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slicerCaches/slicerCache13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drawings/drawing1.xml" ContentType="application/vnd.openxmlformats-officedocument.drawing+xml"/>
  <Override PartName="/xl/tables/table10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drawings/drawing3.xml" ContentType="application/vnd.openxmlformats-officedocument.drawing+xml"/>
  <Override PartName="/xl/slicers/slicer2.xml" ContentType="application/vnd.ms-excel.slicer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tables/table13.xml" ContentType="application/vnd.openxmlformats-officedocument.spreadsheetml.table+xml"/>
  <Override PartName="/xl/queryTables/queryTable8.xml" ContentType="application/vnd.openxmlformats-officedocument.spreadsheetml.query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drawings/drawing4.xml" ContentType="application/vnd.openxmlformats-officedocument.drawing+xml"/>
  <Override PartName="/xl/slicers/slicer3.xml" ContentType="application/vnd.ms-excel.slicer+xml"/>
  <Override PartName="/xl/timelines/timeline1.xml" ContentType="application/vnd.ms-excel.timelin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drawings/drawing5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slicers/slicer4.xml" ContentType="application/vnd.ms-excel.slicer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drawings/drawing7.xml" ContentType="application/vnd.openxmlformats-officedocument.drawing+xml"/>
  <Override PartName="/xl/slicers/slicer5.xml" ContentType="application/vnd.ms-excel.slicer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drawings/drawing8.xml" ContentType="application/vnd.openxmlformats-officedocument.drawing+xml"/>
  <Override PartName="/xl/slicers/slicer6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LA CHACRA - copia\LA-CHACRA\data\"/>
    </mc:Choice>
  </mc:AlternateContent>
  <xr:revisionPtr revIDLastSave="0" documentId="13_ncr:1_{1BCE9461-169B-4013-87DF-524C3A0399C6}" xr6:coauthVersionLast="47" xr6:coauthVersionMax="47" xr10:uidLastSave="{00000000-0000-0000-0000-000000000000}"/>
  <bookViews>
    <workbookView xWindow="-120" yWindow="-120" windowWidth="29040" windowHeight="18240" tabRatio="820" firstSheet="1" activeTab="7" xr2:uid="{948873E0-B7F6-4A09-A992-C4AD437383E9}"/>
  </bookViews>
  <sheets>
    <sheet name="BD_MODULO" sheetId="11" state="hidden" r:id="rId1"/>
    <sheet name="P_CRITICOS" sheetId="12" r:id="rId2"/>
    <sheet name="PRODUCTOS" sheetId="10" r:id="rId3"/>
    <sheet name="REG STOCK" sheetId="34" r:id="rId4"/>
    <sheet name="DETALLE GD" sheetId="20" state="hidden" r:id="rId5"/>
    <sheet name="CUBICACION" sheetId="35" state="hidden" r:id="rId6"/>
    <sheet name="CUB_GP" sheetId="36" state="hidden" r:id="rId7"/>
    <sheet name="GD_MODULOS" sheetId="44" r:id="rId8"/>
    <sheet name="HOME AVANCE" sheetId="41" r:id="rId9"/>
    <sheet name="HOME COMPRAS" sheetId="23" r:id="rId10"/>
    <sheet name="AV_PLAN" sheetId="39" state="hidden" r:id="rId11"/>
    <sheet name="AVANCE" sheetId="40" r:id="rId12"/>
    <sheet name="CURVA" sheetId="42" r:id="rId13"/>
    <sheet name="HOME FISICO" sheetId="38" r:id="rId14"/>
    <sheet name="HOME CONSUMO" sheetId="29" r:id="rId15"/>
    <sheet name="GRAFICOS" sheetId="24" r:id="rId16"/>
    <sheet name="DIFERENCIAS " sheetId="25" r:id="rId17"/>
    <sheet name="DETALLE COMPRAS" sheetId="28" r:id="rId18"/>
  </sheets>
  <definedNames>
    <definedName name="_xlnm._FilterDatabase" localSheetId="14" hidden="1">'HOME CONSUMO'!$F$282:$G$288</definedName>
    <definedName name="_xleta.IF" hidden="1" xlm="1">#NAME?</definedName>
    <definedName name="_xleta.IFERROR" hidden="1" xlm="1">#NAME?</definedName>
    <definedName name="DatosExternos_1" localSheetId="10" hidden="1">AV_PLAN!$A$1:$J$471</definedName>
    <definedName name="DatosExternos_1" localSheetId="12" hidden="1">'CURVA'!$A$1:$F$448</definedName>
    <definedName name="DatosExternos_1" localSheetId="4" hidden="1">'DETALLE GD'!$A$1:$Y$2221</definedName>
    <definedName name="DatosExternos_1" localSheetId="7" hidden="1">GD_MODULOS!$A$1:$I$33</definedName>
    <definedName name="DatosExternos_1" localSheetId="3" hidden="1">'REG STOCK'!$A$1:$G$137</definedName>
    <definedName name="DatosExternos_2" localSheetId="11" hidden="1">AVANCE!$A$1:$BE$705</definedName>
    <definedName name="DatosExternos_3" localSheetId="2" hidden="1">PRODUCTOS!$A$1:$I$254</definedName>
    <definedName name="DatosExternos_4" localSheetId="0" hidden="1">BD_MODULO!$A$1:$H$258</definedName>
    <definedName name="NativeTimeline_Días">#N/A</definedName>
    <definedName name="SegmentaciónDeDatos_Años__FECHA_SOLICITUD">#N/A</definedName>
    <definedName name="SegmentaciónDeDatos_Años__FECHA_SOLICITUD2">#N/A</definedName>
    <definedName name="SegmentaciónDeDatos_DESCRIPCION">#N/A</definedName>
    <definedName name="SegmentaciónDeDatos_DESCRIPCION_2">#N/A</definedName>
    <definedName name="SegmentaciónDeDatos_DESCRIPCION_21">#N/A</definedName>
    <definedName name="SegmentaciónDeDatos_MES">#N/A</definedName>
    <definedName name="SegmentaciónDeDatos_MESES">#N/A</definedName>
    <definedName name="SegmentaciónDeDatos_Meses__FECHA_SOLICITUD">#N/A</definedName>
    <definedName name="SegmentaciónDeDatos_Meses__FECHA_SOLICITUD2">#N/A</definedName>
    <definedName name="SegmentaciónDeDatos_TIPO">#N/A</definedName>
    <definedName name="SegmentaciónDeDatos_TIPO_PRODUCTO">#N/A</definedName>
    <definedName name="SegmentaciónDeDatos_TIPO_PRODUCTO1">#N/A</definedName>
    <definedName name="SegmentaciónDeDatos_TORRE">#N/A</definedName>
  </definedNames>
  <calcPr calcId="191029"/>
  <pivotCaches>
    <pivotCache cacheId="1653" r:id="rId19"/>
    <pivotCache cacheId="1658" r:id="rId20"/>
    <pivotCache cacheId="1669" r:id="rId21"/>
    <pivotCache cacheId="1675" r:id="rId22"/>
    <pivotCache cacheId="1681" r:id="rId23"/>
    <pivotCache cacheId="1688" r:id="rId24"/>
    <pivotCache cacheId="1695" r:id="rId25"/>
  </pivotCaches>
  <extLst>
    <ext xmlns:x14="http://schemas.microsoft.com/office/spreadsheetml/2009/9/main" uri="{BBE1A952-AA13-448e-AADC-164F8A28A991}">
      <x14:slicerCaches>
        <x14:slicerCache r:id="rId26"/>
        <x14:slicerCache r:id="rId27"/>
        <x14:slicerCache r:id="rId28"/>
        <x14:slicerCache r:id="rId29"/>
        <x14:slicerCache r:id="rId30"/>
        <x14:slicerCache r:id="rId31"/>
        <x14:slicerCache r:id="rId32"/>
        <x14:slicerCache r:id="rId33"/>
        <x14:slicerCache r:id="rId34"/>
        <x14:slicerCache r:id="rId35"/>
        <x14:slicerCache r:id="rId36"/>
        <x14:slicerCache r:id="rId37"/>
        <x14:slicerCache r:id="rId3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39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42" l="1"/>
  <c r="G3" i="42"/>
  <c r="G4" i="42"/>
  <c r="G5" i="42"/>
  <c r="G6" i="42"/>
  <c r="G7" i="42"/>
  <c r="G8" i="42"/>
  <c r="G9" i="42"/>
  <c r="G10" i="42"/>
  <c r="G11" i="42"/>
  <c r="G12" i="42"/>
  <c r="G13" i="42"/>
  <c r="G14" i="42"/>
  <c r="G15" i="42"/>
  <c r="G16" i="42"/>
  <c r="G17" i="42"/>
  <c r="G18" i="42"/>
  <c r="G19" i="42"/>
  <c r="G20" i="42"/>
  <c r="G21" i="42"/>
  <c r="G22" i="42"/>
  <c r="G23" i="42"/>
  <c r="G24" i="42"/>
  <c r="G25" i="42"/>
  <c r="G26" i="42"/>
  <c r="G27" i="42"/>
  <c r="G28" i="42"/>
  <c r="G29" i="42"/>
  <c r="G30" i="42"/>
  <c r="G31" i="42"/>
  <c r="G32" i="42"/>
  <c r="G33" i="42"/>
  <c r="G34" i="42"/>
  <c r="G35" i="42"/>
  <c r="G36" i="42"/>
  <c r="G37" i="42"/>
  <c r="G38" i="42"/>
  <c r="G39" i="42"/>
  <c r="G40" i="42"/>
  <c r="G41" i="42"/>
  <c r="G42" i="42"/>
  <c r="G43" i="42"/>
  <c r="G44" i="42"/>
  <c r="G45" i="42"/>
  <c r="G46" i="42"/>
  <c r="G47" i="42"/>
  <c r="G48" i="42"/>
  <c r="G49" i="42"/>
  <c r="G50" i="42"/>
  <c r="G51" i="42"/>
  <c r="G52" i="42"/>
  <c r="G53" i="42"/>
  <c r="G54" i="42"/>
  <c r="G55" i="42"/>
  <c r="G56" i="42"/>
  <c r="G57" i="42"/>
  <c r="G58" i="42"/>
  <c r="G59" i="42"/>
  <c r="G60" i="42"/>
  <c r="G61" i="42"/>
  <c r="G62" i="42"/>
  <c r="G63" i="42"/>
  <c r="G64" i="42"/>
  <c r="G65" i="42"/>
  <c r="G66" i="42"/>
  <c r="G67" i="42"/>
  <c r="G68" i="42"/>
  <c r="G69" i="42"/>
  <c r="G70" i="42"/>
  <c r="G71" i="42"/>
  <c r="G72" i="42"/>
  <c r="G73" i="42"/>
  <c r="G74" i="42"/>
  <c r="G75" i="42"/>
  <c r="G76" i="42"/>
  <c r="G77" i="42"/>
  <c r="G78" i="42"/>
  <c r="G79" i="42"/>
  <c r="G80" i="42"/>
  <c r="G81" i="42"/>
  <c r="G82" i="42"/>
  <c r="G83" i="42"/>
  <c r="G84" i="42"/>
  <c r="G85" i="42"/>
  <c r="G86" i="42"/>
  <c r="G87" i="42"/>
  <c r="G88" i="42"/>
  <c r="G89" i="42"/>
  <c r="G90" i="42"/>
  <c r="G91" i="42"/>
  <c r="G92" i="42"/>
  <c r="G93" i="42"/>
  <c r="G94" i="42"/>
  <c r="G95" i="42"/>
  <c r="G96" i="42"/>
  <c r="G97" i="42"/>
  <c r="G98" i="42"/>
  <c r="G99" i="42"/>
  <c r="G100" i="42"/>
  <c r="G101" i="42"/>
  <c r="G102" i="42"/>
  <c r="G103" i="42"/>
  <c r="G104" i="42"/>
  <c r="G105" i="42"/>
  <c r="G106" i="42"/>
  <c r="G107" i="42"/>
  <c r="G108" i="42"/>
  <c r="G109" i="42"/>
  <c r="G110" i="42"/>
  <c r="G111" i="42"/>
  <c r="G112" i="42"/>
  <c r="G113" i="42"/>
  <c r="G114" i="42"/>
  <c r="G115" i="42"/>
  <c r="G116" i="42"/>
  <c r="G117" i="42"/>
  <c r="G118" i="42"/>
  <c r="G119" i="42"/>
  <c r="G120" i="42"/>
  <c r="G121" i="42"/>
  <c r="G122" i="42"/>
  <c r="G123" i="42"/>
  <c r="G124" i="42"/>
  <c r="G125" i="42"/>
  <c r="G126" i="42"/>
  <c r="G127" i="42"/>
  <c r="G128" i="42"/>
  <c r="G129" i="42"/>
  <c r="G130" i="42"/>
  <c r="G131" i="42"/>
  <c r="G132" i="42"/>
  <c r="G133" i="42"/>
  <c r="G134" i="42"/>
  <c r="G135" i="42"/>
  <c r="G136" i="42"/>
  <c r="G137" i="42"/>
  <c r="G138" i="42"/>
  <c r="G139" i="42"/>
  <c r="G140" i="42"/>
  <c r="G141" i="42"/>
  <c r="G142" i="42"/>
  <c r="G143" i="42"/>
  <c r="G144" i="42"/>
  <c r="G145" i="42"/>
  <c r="G146" i="42"/>
  <c r="G147" i="42"/>
  <c r="G148" i="42"/>
  <c r="G149" i="42"/>
  <c r="G150" i="42"/>
  <c r="G151" i="42"/>
  <c r="G152" i="42"/>
  <c r="G153" i="42"/>
  <c r="G154" i="42"/>
  <c r="G155" i="42"/>
  <c r="G156" i="42"/>
  <c r="G157" i="42"/>
  <c r="G158" i="42"/>
  <c r="G159" i="42"/>
  <c r="G160" i="42"/>
  <c r="G161" i="42"/>
  <c r="G162" i="42"/>
  <c r="G163" i="42"/>
  <c r="G164" i="42"/>
  <c r="G165" i="42"/>
  <c r="G166" i="42"/>
  <c r="G167" i="42"/>
  <c r="G168" i="42"/>
  <c r="G169" i="42"/>
  <c r="G170" i="42"/>
  <c r="G171" i="42"/>
  <c r="G172" i="42"/>
  <c r="G173" i="42"/>
  <c r="G174" i="42"/>
  <c r="G175" i="42"/>
  <c r="G176" i="42"/>
  <c r="G177" i="42"/>
  <c r="G178" i="42"/>
  <c r="G179" i="42"/>
  <c r="G180" i="42"/>
  <c r="G181" i="42"/>
  <c r="G182" i="42"/>
  <c r="G183" i="42"/>
  <c r="G184" i="42"/>
  <c r="G185" i="42"/>
  <c r="G186" i="42"/>
  <c r="G187" i="42"/>
  <c r="G188" i="42"/>
  <c r="G189" i="42"/>
  <c r="G190" i="42"/>
  <c r="G191" i="42"/>
  <c r="G192" i="42"/>
  <c r="G193" i="42"/>
  <c r="G194" i="42"/>
  <c r="G195" i="42"/>
  <c r="G196" i="42"/>
  <c r="G197" i="42"/>
  <c r="G198" i="42"/>
  <c r="G199" i="42"/>
  <c r="G200" i="42"/>
  <c r="G201" i="42"/>
  <c r="G202" i="42"/>
  <c r="G203" i="42"/>
  <c r="G204" i="42"/>
  <c r="G205" i="42"/>
  <c r="G206" i="42"/>
  <c r="G207" i="42"/>
  <c r="G208" i="42"/>
  <c r="G209" i="42"/>
  <c r="G210" i="42"/>
  <c r="G211" i="42"/>
  <c r="G212" i="42"/>
  <c r="G213" i="42"/>
  <c r="G214" i="42"/>
  <c r="G215" i="42"/>
  <c r="G216" i="42"/>
  <c r="G217" i="42"/>
  <c r="G218" i="42"/>
  <c r="G219" i="42"/>
  <c r="G220" i="42"/>
  <c r="G221" i="42"/>
  <c r="G222" i="42"/>
  <c r="G223" i="42"/>
  <c r="G224" i="42"/>
  <c r="G225" i="42"/>
  <c r="G226" i="42"/>
  <c r="G227" i="42"/>
  <c r="G228" i="42"/>
  <c r="G229" i="42"/>
  <c r="G230" i="42"/>
  <c r="G231" i="42"/>
  <c r="G232" i="42"/>
  <c r="G233" i="42"/>
  <c r="G234" i="42"/>
  <c r="G235" i="42"/>
  <c r="G236" i="42"/>
  <c r="G237" i="42"/>
  <c r="G238" i="42"/>
  <c r="G239" i="42"/>
  <c r="G240" i="42"/>
  <c r="G241" i="42"/>
  <c r="G242" i="42"/>
  <c r="G243" i="42"/>
  <c r="G244" i="42"/>
  <c r="G245" i="42"/>
  <c r="G246" i="42"/>
  <c r="G247" i="42"/>
  <c r="G248" i="42"/>
  <c r="G249" i="42"/>
  <c r="G250" i="42"/>
  <c r="G251" i="42"/>
  <c r="G252" i="42"/>
  <c r="G253" i="42"/>
  <c r="G254" i="42"/>
  <c r="G255" i="42"/>
  <c r="G256" i="42"/>
  <c r="G257" i="42"/>
  <c r="G258" i="42"/>
  <c r="G259" i="42"/>
  <c r="G260" i="42"/>
  <c r="G261" i="42"/>
  <c r="G262" i="42"/>
  <c r="G263" i="42"/>
  <c r="G264" i="42"/>
  <c r="G265" i="42"/>
  <c r="G266" i="42"/>
  <c r="G267" i="42"/>
  <c r="G268" i="42"/>
  <c r="G269" i="42"/>
  <c r="G270" i="42"/>
  <c r="G271" i="42"/>
  <c r="G272" i="42"/>
  <c r="G273" i="42"/>
  <c r="G274" i="42"/>
  <c r="G275" i="42"/>
  <c r="G276" i="42"/>
  <c r="G277" i="42"/>
  <c r="G278" i="42"/>
  <c r="G279" i="42"/>
  <c r="G280" i="42"/>
  <c r="G281" i="42"/>
  <c r="G282" i="42"/>
  <c r="G283" i="42"/>
  <c r="G284" i="42"/>
  <c r="G285" i="42"/>
  <c r="G286" i="42"/>
  <c r="G287" i="42"/>
  <c r="G288" i="42"/>
  <c r="G289" i="42"/>
  <c r="G290" i="42"/>
  <c r="G291" i="42"/>
  <c r="G292" i="42"/>
  <c r="G293" i="42"/>
  <c r="G294" i="42"/>
  <c r="G295" i="42"/>
  <c r="G296" i="42"/>
  <c r="G297" i="42"/>
  <c r="G298" i="42"/>
  <c r="G299" i="42"/>
  <c r="G300" i="42"/>
  <c r="G301" i="42"/>
  <c r="G302" i="42"/>
  <c r="G303" i="42"/>
  <c r="G304" i="42"/>
  <c r="G305" i="42"/>
  <c r="G306" i="42"/>
  <c r="G307" i="42"/>
  <c r="G308" i="42"/>
  <c r="G309" i="42"/>
  <c r="G310" i="42"/>
  <c r="G311" i="42"/>
  <c r="G312" i="42"/>
  <c r="G313" i="42"/>
  <c r="G314" i="42"/>
  <c r="G315" i="42"/>
  <c r="G316" i="42"/>
  <c r="G317" i="42"/>
  <c r="G318" i="42"/>
  <c r="G319" i="42"/>
  <c r="G320" i="42"/>
  <c r="G321" i="42"/>
  <c r="G322" i="42"/>
  <c r="G323" i="42"/>
  <c r="G324" i="42"/>
  <c r="G325" i="42"/>
  <c r="G326" i="42"/>
  <c r="G327" i="42"/>
  <c r="G328" i="42"/>
  <c r="G329" i="42"/>
  <c r="G330" i="42"/>
  <c r="G331" i="42"/>
  <c r="G332" i="42"/>
  <c r="G333" i="42"/>
  <c r="G334" i="42"/>
  <c r="G335" i="42"/>
  <c r="G336" i="42"/>
  <c r="G337" i="42"/>
  <c r="G338" i="42"/>
  <c r="G339" i="42"/>
  <c r="G340" i="42"/>
  <c r="G341" i="42"/>
  <c r="G342" i="42"/>
  <c r="G343" i="42"/>
  <c r="G344" i="42"/>
  <c r="G345" i="42"/>
  <c r="G346" i="42"/>
  <c r="G347" i="42"/>
  <c r="G348" i="42"/>
  <c r="G349" i="42"/>
  <c r="G350" i="42"/>
  <c r="G351" i="42"/>
  <c r="G352" i="42"/>
  <c r="G353" i="42"/>
  <c r="G354" i="42"/>
  <c r="G355" i="42"/>
  <c r="G356" i="42"/>
  <c r="G357" i="42"/>
  <c r="G358" i="42"/>
  <c r="G359" i="42"/>
  <c r="G360" i="42"/>
  <c r="G361" i="42"/>
  <c r="G362" i="42"/>
  <c r="G363" i="42"/>
  <c r="G364" i="42"/>
  <c r="G365" i="42"/>
  <c r="G366" i="42"/>
  <c r="G367" i="42"/>
  <c r="G368" i="42"/>
  <c r="G369" i="42"/>
  <c r="G370" i="42"/>
  <c r="G371" i="42"/>
  <c r="G372" i="42"/>
  <c r="G373" i="42"/>
  <c r="G374" i="42"/>
  <c r="G375" i="42"/>
  <c r="G376" i="42"/>
  <c r="G377" i="42"/>
  <c r="G378" i="42"/>
  <c r="G379" i="42"/>
  <c r="G380" i="42"/>
  <c r="G381" i="42"/>
  <c r="G382" i="42"/>
  <c r="G383" i="42"/>
  <c r="G384" i="42"/>
  <c r="G385" i="42"/>
  <c r="G386" i="42"/>
  <c r="G387" i="42"/>
  <c r="G388" i="42"/>
  <c r="G389" i="42"/>
  <c r="G390" i="42"/>
  <c r="G391" i="42"/>
  <c r="G392" i="42"/>
  <c r="G393" i="42"/>
  <c r="G394" i="42"/>
  <c r="G395" i="42"/>
  <c r="G396" i="42"/>
  <c r="G397" i="42"/>
  <c r="G398" i="42"/>
  <c r="G399" i="42"/>
  <c r="G400" i="42"/>
  <c r="G401" i="42"/>
  <c r="G402" i="42"/>
  <c r="G403" i="42"/>
  <c r="G404" i="42"/>
  <c r="G405" i="42"/>
  <c r="G406" i="42"/>
  <c r="G407" i="42"/>
  <c r="G408" i="42"/>
  <c r="G409" i="42"/>
  <c r="G410" i="42"/>
  <c r="G411" i="42"/>
  <c r="G412" i="42"/>
  <c r="G413" i="42"/>
  <c r="G414" i="42"/>
  <c r="G415" i="42"/>
  <c r="G416" i="42"/>
  <c r="G417" i="42"/>
  <c r="G418" i="42"/>
  <c r="G419" i="42"/>
  <c r="G420" i="42"/>
  <c r="G421" i="42"/>
  <c r="G422" i="42"/>
  <c r="G423" i="42"/>
  <c r="G424" i="42"/>
  <c r="G425" i="42"/>
  <c r="G426" i="42"/>
  <c r="G427" i="42"/>
  <c r="G428" i="42"/>
  <c r="G429" i="42"/>
  <c r="G430" i="42"/>
  <c r="G431" i="42"/>
  <c r="G432" i="42"/>
  <c r="G433" i="42"/>
  <c r="G434" i="42"/>
  <c r="G435" i="42"/>
  <c r="G436" i="42"/>
  <c r="G437" i="42"/>
  <c r="G438" i="42"/>
  <c r="G439" i="42"/>
  <c r="G440" i="42"/>
  <c r="G441" i="42"/>
  <c r="G442" i="42"/>
  <c r="G443" i="42"/>
  <c r="G444" i="42"/>
  <c r="G445" i="42"/>
  <c r="G446" i="42"/>
  <c r="G447" i="42"/>
  <c r="G448" i="42"/>
  <c r="H2" i="42"/>
  <c r="H3" i="42"/>
  <c r="H4" i="42"/>
  <c r="H5" i="42"/>
  <c r="H6" i="42"/>
  <c r="H7" i="42"/>
  <c r="H8" i="42"/>
  <c r="H9" i="42"/>
  <c r="H10" i="42"/>
  <c r="H11" i="42"/>
  <c r="H12" i="42"/>
  <c r="H13" i="42"/>
  <c r="H14" i="42"/>
  <c r="H15" i="42"/>
  <c r="H16" i="42"/>
  <c r="H17" i="42"/>
  <c r="H18" i="42"/>
  <c r="H19" i="42"/>
  <c r="H20" i="42"/>
  <c r="H21" i="42"/>
  <c r="H22" i="42"/>
  <c r="H23" i="42"/>
  <c r="H24" i="42"/>
  <c r="H25" i="42"/>
  <c r="H26" i="42"/>
  <c r="H27" i="42"/>
  <c r="H28" i="42"/>
  <c r="H29" i="42"/>
  <c r="H30" i="42"/>
  <c r="H31" i="42"/>
  <c r="H32" i="42"/>
  <c r="H33" i="42"/>
  <c r="H34" i="42"/>
  <c r="H35" i="42"/>
  <c r="H36" i="42"/>
  <c r="H37" i="42"/>
  <c r="H38" i="42"/>
  <c r="H39" i="42"/>
  <c r="H40" i="42"/>
  <c r="H41" i="42"/>
  <c r="H42" i="42"/>
  <c r="H43" i="42"/>
  <c r="H44" i="42"/>
  <c r="H45" i="42"/>
  <c r="H46" i="42"/>
  <c r="H47" i="42"/>
  <c r="H48" i="42"/>
  <c r="H49" i="42"/>
  <c r="H50" i="42"/>
  <c r="H51" i="42"/>
  <c r="H52" i="42"/>
  <c r="H53" i="42"/>
  <c r="H54" i="42"/>
  <c r="H55" i="42"/>
  <c r="H56" i="42"/>
  <c r="H57" i="42"/>
  <c r="H58" i="42"/>
  <c r="H59" i="42"/>
  <c r="H60" i="42"/>
  <c r="H61" i="42"/>
  <c r="H62" i="42"/>
  <c r="H63" i="42"/>
  <c r="H64" i="42"/>
  <c r="H65" i="42"/>
  <c r="H66" i="42"/>
  <c r="H67" i="42"/>
  <c r="H68" i="42"/>
  <c r="H69" i="42"/>
  <c r="H70" i="42"/>
  <c r="H71" i="42"/>
  <c r="H72" i="42"/>
  <c r="H73" i="42"/>
  <c r="H74" i="42"/>
  <c r="H75" i="42"/>
  <c r="H76" i="42"/>
  <c r="H77" i="42"/>
  <c r="H78" i="42"/>
  <c r="H79" i="42"/>
  <c r="H80" i="42"/>
  <c r="H81" i="42"/>
  <c r="H82" i="42"/>
  <c r="H83" i="42"/>
  <c r="H84" i="42"/>
  <c r="H85" i="42"/>
  <c r="H86" i="42"/>
  <c r="H87" i="42"/>
  <c r="H88" i="42"/>
  <c r="H89" i="42"/>
  <c r="H90" i="42"/>
  <c r="H91" i="42"/>
  <c r="H92" i="42"/>
  <c r="H93" i="42"/>
  <c r="H94" i="42"/>
  <c r="H95" i="42"/>
  <c r="H96" i="42"/>
  <c r="H97" i="42"/>
  <c r="H98" i="42"/>
  <c r="H99" i="42"/>
  <c r="H100" i="42"/>
  <c r="H101" i="42"/>
  <c r="H102" i="42"/>
  <c r="H103" i="42"/>
  <c r="H104" i="42"/>
  <c r="H105" i="42"/>
  <c r="H106" i="42"/>
  <c r="H107" i="42"/>
  <c r="H108" i="42"/>
  <c r="H109" i="42"/>
  <c r="H110" i="42"/>
  <c r="H111" i="42"/>
  <c r="H112" i="42"/>
  <c r="H113" i="42"/>
  <c r="H114" i="42"/>
  <c r="H115" i="42"/>
  <c r="H116" i="42"/>
  <c r="H117" i="42"/>
  <c r="H118" i="42"/>
  <c r="H119" i="42"/>
  <c r="H120" i="42"/>
  <c r="H121" i="42"/>
  <c r="H122" i="42"/>
  <c r="H123" i="42"/>
  <c r="H124" i="42"/>
  <c r="H125" i="42"/>
  <c r="H126" i="42"/>
  <c r="H127" i="42"/>
  <c r="H128" i="42"/>
  <c r="H129" i="42"/>
  <c r="H130" i="42"/>
  <c r="H131" i="42"/>
  <c r="H132" i="42"/>
  <c r="H133" i="42"/>
  <c r="H134" i="42"/>
  <c r="H135" i="42"/>
  <c r="H136" i="42"/>
  <c r="H137" i="42"/>
  <c r="H138" i="42"/>
  <c r="H139" i="42"/>
  <c r="H140" i="42"/>
  <c r="H141" i="42"/>
  <c r="H142" i="42"/>
  <c r="H143" i="42"/>
  <c r="H144" i="42"/>
  <c r="H145" i="42"/>
  <c r="H146" i="42"/>
  <c r="H147" i="42"/>
  <c r="H148" i="42"/>
  <c r="H149" i="42"/>
  <c r="H150" i="42"/>
  <c r="H151" i="42"/>
  <c r="H152" i="42"/>
  <c r="H153" i="42"/>
  <c r="H154" i="42"/>
  <c r="H155" i="42"/>
  <c r="H156" i="42"/>
  <c r="H157" i="42"/>
  <c r="H158" i="42"/>
  <c r="H159" i="42"/>
  <c r="H160" i="42"/>
  <c r="H161" i="42"/>
  <c r="H162" i="42"/>
  <c r="H163" i="42"/>
  <c r="H164" i="42"/>
  <c r="H165" i="42"/>
  <c r="H166" i="42"/>
  <c r="H167" i="42"/>
  <c r="H168" i="42"/>
  <c r="H169" i="42"/>
  <c r="H170" i="42"/>
  <c r="H171" i="42"/>
  <c r="H172" i="42"/>
  <c r="H173" i="42"/>
  <c r="H174" i="42"/>
  <c r="H175" i="42"/>
  <c r="H176" i="42"/>
  <c r="H177" i="42"/>
  <c r="H178" i="42"/>
  <c r="H179" i="42"/>
  <c r="H180" i="42"/>
  <c r="H181" i="42"/>
  <c r="H182" i="42"/>
  <c r="H183" i="42"/>
  <c r="H184" i="42"/>
  <c r="H185" i="42"/>
  <c r="H186" i="42"/>
  <c r="H187" i="42"/>
  <c r="H188" i="42"/>
  <c r="H189" i="42"/>
  <c r="H190" i="42"/>
  <c r="H191" i="42"/>
  <c r="H192" i="42"/>
  <c r="H193" i="42"/>
  <c r="H194" i="42"/>
  <c r="H195" i="42"/>
  <c r="H196" i="42"/>
  <c r="H197" i="42"/>
  <c r="H198" i="42"/>
  <c r="H199" i="42"/>
  <c r="H200" i="42"/>
  <c r="H201" i="42"/>
  <c r="H202" i="42"/>
  <c r="H203" i="42"/>
  <c r="H204" i="42"/>
  <c r="H205" i="42"/>
  <c r="H206" i="42"/>
  <c r="H207" i="42"/>
  <c r="H208" i="42"/>
  <c r="H209" i="42"/>
  <c r="H210" i="42"/>
  <c r="H211" i="42"/>
  <c r="H212" i="42"/>
  <c r="H213" i="42"/>
  <c r="H214" i="42"/>
  <c r="H215" i="42"/>
  <c r="H216" i="42"/>
  <c r="H217" i="42"/>
  <c r="H218" i="42"/>
  <c r="H219" i="42"/>
  <c r="H220" i="42"/>
  <c r="H221" i="42"/>
  <c r="H222" i="42"/>
  <c r="H223" i="42"/>
  <c r="H224" i="42"/>
  <c r="H225" i="42"/>
  <c r="H226" i="42"/>
  <c r="H227" i="42"/>
  <c r="H228" i="42"/>
  <c r="H229" i="42"/>
  <c r="H230" i="42"/>
  <c r="H231" i="42"/>
  <c r="H232" i="42"/>
  <c r="H233" i="42"/>
  <c r="H234" i="42"/>
  <c r="H235" i="42"/>
  <c r="H236" i="42"/>
  <c r="H237" i="42"/>
  <c r="H238" i="42"/>
  <c r="H239" i="42"/>
  <c r="H240" i="42"/>
  <c r="H241" i="42"/>
  <c r="H242" i="42"/>
  <c r="H243" i="42"/>
  <c r="H244" i="42"/>
  <c r="H245" i="42"/>
  <c r="H246" i="42"/>
  <c r="H247" i="42"/>
  <c r="H248" i="42"/>
  <c r="H249" i="42"/>
  <c r="H250" i="42"/>
  <c r="H251" i="42"/>
  <c r="H252" i="42"/>
  <c r="H253" i="42"/>
  <c r="H254" i="42"/>
  <c r="H255" i="42"/>
  <c r="H256" i="42"/>
  <c r="H257" i="42"/>
  <c r="H258" i="42"/>
  <c r="H259" i="42"/>
  <c r="H260" i="42"/>
  <c r="H261" i="42"/>
  <c r="H262" i="42"/>
  <c r="H263" i="42"/>
  <c r="H264" i="42"/>
  <c r="H265" i="42"/>
  <c r="H266" i="42"/>
  <c r="H267" i="42"/>
  <c r="H268" i="42"/>
  <c r="H269" i="42"/>
  <c r="H270" i="42"/>
  <c r="H271" i="42"/>
  <c r="H272" i="42"/>
  <c r="H273" i="42"/>
  <c r="H274" i="42"/>
  <c r="H275" i="42"/>
  <c r="H276" i="42"/>
  <c r="H277" i="42"/>
  <c r="H278" i="42"/>
  <c r="H279" i="42"/>
  <c r="H280" i="42"/>
  <c r="H281" i="42"/>
  <c r="H282" i="42"/>
  <c r="H283" i="42"/>
  <c r="H284" i="42"/>
  <c r="H285" i="42"/>
  <c r="H286" i="42"/>
  <c r="H287" i="42"/>
  <c r="H288" i="42"/>
  <c r="H289" i="42"/>
  <c r="H290" i="42"/>
  <c r="H291" i="42"/>
  <c r="H292" i="42"/>
  <c r="H293" i="42"/>
  <c r="H294" i="42"/>
  <c r="H295" i="42"/>
  <c r="H296" i="42"/>
  <c r="H297" i="42"/>
  <c r="H298" i="42"/>
  <c r="H299" i="42"/>
  <c r="H300" i="42"/>
  <c r="H301" i="42"/>
  <c r="H302" i="42"/>
  <c r="H303" i="42"/>
  <c r="H304" i="42"/>
  <c r="H305" i="42"/>
  <c r="H306" i="42"/>
  <c r="H307" i="42"/>
  <c r="H308" i="42"/>
  <c r="H309" i="42"/>
  <c r="H310" i="42"/>
  <c r="H311" i="42"/>
  <c r="H312" i="42"/>
  <c r="H313" i="42"/>
  <c r="H314" i="42"/>
  <c r="H315" i="42"/>
  <c r="H316" i="42"/>
  <c r="H317" i="42"/>
  <c r="H318" i="42"/>
  <c r="H319" i="42"/>
  <c r="H320" i="42"/>
  <c r="H321" i="42"/>
  <c r="H322" i="42"/>
  <c r="H323" i="42"/>
  <c r="H324" i="42"/>
  <c r="H325" i="42"/>
  <c r="H326" i="42"/>
  <c r="H327" i="42"/>
  <c r="H328" i="42"/>
  <c r="H329" i="42"/>
  <c r="H330" i="42"/>
  <c r="H331" i="42"/>
  <c r="H332" i="42"/>
  <c r="H333" i="42"/>
  <c r="H334" i="42"/>
  <c r="H335" i="42"/>
  <c r="H336" i="42"/>
  <c r="H337" i="42"/>
  <c r="H338" i="42"/>
  <c r="H339" i="42"/>
  <c r="H340" i="42"/>
  <c r="H341" i="42"/>
  <c r="H342" i="42"/>
  <c r="H343" i="42"/>
  <c r="H344" i="42"/>
  <c r="H345" i="42"/>
  <c r="H346" i="42"/>
  <c r="H347" i="42"/>
  <c r="H348" i="42"/>
  <c r="H349" i="42"/>
  <c r="H350" i="42"/>
  <c r="H351" i="42"/>
  <c r="H352" i="42"/>
  <c r="H353" i="42"/>
  <c r="H354" i="42"/>
  <c r="H355" i="42"/>
  <c r="H356" i="42"/>
  <c r="H357" i="42"/>
  <c r="H358" i="42"/>
  <c r="H359" i="42"/>
  <c r="H360" i="42"/>
  <c r="H361" i="42"/>
  <c r="H362" i="42"/>
  <c r="H363" i="42"/>
  <c r="H364" i="42"/>
  <c r="H365" i="42"/>
  <c r="H366" i="42"/>
  <c r="H367" i="42"/>
  <c r="H368" i="42"/>
  <c r="H369" i="42"/>
  <c r="H370" i="42"/>
  <c r="H371" i="42"/>
  <c r="H372" i="42"/>
  <c r="H373" i="42"/>
  <c r="H374" i="42"/>
  <c r="H375" i="42"/>
  <c r="H376" i="42"/>
  <c r="H377" i="42"/>
  <c r="H378" i="42"/>
  <c r="H379" i="42"/>
  <c r="H380" i="42"/>
  <c r="H381" i="42"/>
  <c r="H382" i="42"/>
  <c r="H383" i="42"/>
  <c r="H384" i="42"/>
  <c r="H385" i="42"/>
  <c r="H386" i="42"/>
  <c r="H387" i="42"/>
  <c r="H388" i="42"/>
  <c r="H389" i="42"/>
  <c r="H390" i="42"/>
  <c r="H391" i="42"/>
  <c r="H392" i="42"/>
  <c r="H393" i="42"/>
  <c r="H394" i="42"/>
  <c r="H395" i="42"/>
  <c r="H396" i="42"/>
  <c r="H397" i="42"/>
  <c r="H398" i="42"/>
  <c r="H399" i="42"/>
  <c r="H400" i="42"/>
  <c r="H401" i="42"/>
  <c r="H402" i="42"/>
  <c r="H403" i="42"/>
  <c r="H404" i="42"/>
  <c r="H405" i="42"/>
  <c r="H406" i="42"/>
  <c r="H407" i="42"/>
  <c r="H408" i="42"/>
  <c r="H409" i="42"/>
  <c r="H410" i="42"/>
  <c r="H411" i="42"/>
  <c r="H412" i="42"/>
  <c r="H413" i="42"/>
  <c r="H414" i="42"/>
  <c r="H415" i="42"/>
  <c r="H416" i="42"/>
  <c r="H417" i="42"/>
  <c r="H418" i="42"/>
  <c r="H419" i="42"/>
  <c r="H420" i="42"/>
  <c r="H421" i="42"/>
  <c r="H422" i="42"/>
  <c r="H423" i="42"/>
  <c r="H424" i="42"/>
  <c r="H425" i="42"/>
  <c r="H426" i="42"/>
  <c r="H427" i="42"/>
  <c r="H428" i="42"/>
  <c r="H429" i="42"/>
  <c r="H430" i="42"/>
  <c r="H431" i="42"/>
  <c r="H432" i="42"/>
  <c r="H433" i="42"/>
  <c r="H434" i="42"/>
  <c r="H435" i="42"/>
  <c r="H436" i="42"/>
  <c r="H437" i="42"/>
  <c r="H438" i="42"/>
  <c r="H439" i="42"/>
  <c r="H440" i="42"/>
  <c r="H441" i="42"/>
  <c r="H442" i="42"/>
  <c r="H443" i="42"/>
  <c r="H444" i="42"/>
  <c r="H445" i="42"/>
  <c r="H446" i="42"/>
  <c r="H447" i="42"/>
  <c r="H448" i="42"/>
  <c r="J2" i="42"/>
  <c r="J3" i="42"/>
  <c r="J4" i="42"/>
  <c r="J5" i="42"/>
  <c r="J6" i="42"/>
  <c r="J7" i="42"/>
  <c r="J8" i="42"/>
  <c r="J9" i="42"/>
  <c r="J10" i="42"/>
  <c r="J11" i="42"/>
  <c r="J12" i="42"/>
  <c r="J13" i="42"/>
  <c r="J14" i="42"/>
  <c r="J15" i="42"/>
  <c r="J16" i="42"/>
  <c r="J17" i="42"/>
  <c r="J18" i="42"/>
  <c r="J19" i="42"/>
  <c r="J20" i="42"/>
  <c r="J21" i="42"/>
  <c r="J22" i="42"/>
  <c r="J23" i="42"/>
  <c r="J24" i="42"/>
  <c r="J25" i="42"/>
  <c r="J26" i="42"/>
  <c r="J27" i="42"/>
  <c r="J28" i="42"/>
  <c r="J29" i="42"/>
  <c r="J30" i="42"/>
  <c r="J31" i="42"/>
  <c r="J32" i="42"/>
  <c r="J33" i="42"/>
  <c r="J34" i="42"/>
  <c r="J35" i="42"/>
  <c r="J36" i="42"/>
  <c r="J37" i="42"/>
  <c r="J38" i="42"/>
  <c r="J39" i="42"/>
  <c r="J40" i="42"/>
  <c r="J41" i="42"/>
  <c r="J42" i="42"/>
  <c r="J43" i="42"/>
  <c r="J44" i="42"/>
  <c r="J45" i="42"/>
  <c r="J46" i="42"/>
  <c r="J47" i="42"/>
  <c r="J48" i="42"/>
  <c r="J49" i="42"/>
  <c r="J50" i="42"/>
  <c r="J51" i="42"/>
  <c r="J52" i="42"/>
  <c r="J53" i="42"/>
  <c r="J54" i="42"/>
  <c r="J55" i="42"/>
  <c r="J56" i="42"/>
  <c r="J57" i="42"/>
  <c r="J58" i="42"/>
  <c r="J59" i="42"/>
  <c r="J60" i="42"/>
  <c r="J61" i="42"/>
  <c r="J62" i="42"/>
  <c r="J63" i="42"/>
  <c r="J64" i="42"/>
  <c r="J65" i="42"/>
  <c r="J66" i="42"/>
  <c r="J67" i="42"/>
  <c r="J68" i="42"/>
  <c r="J69" i="42"/>
  <c r="J70" i="42"/>
  <c r="J71" i="42"/>
  <c r="J72" i="42"/>
  <c r="J73" i="42"/>
  <c r="J74" i="42"/>
  <c r="J75" i="42"/>
  <c r="J76" i="42"/>
  <c r="J77" i="42"/>
  <c r="J78" i="42"/>
  <c r="J79" i="42"/>
  <c r="J80" i="42"/>
  <c r="J81" i="42"/>
  <c r="J82" i="42"/>
  <c r="J83" i="42"/>
  <c r="J84" i="42"/>
  <c r="J85" i="42"/>
  <c r="J86" i="42"/>
  <c r="J87" i="42"/>
  <c r="J88" i="42"/>
  <c r="J89" i="42"/>
  <c r="J90" i="42"/>
  <c r="J91" i="42"/>
  <c r="J92" i="42"/>
  <c r="J93" i="42"/>
  <c r="J94" i="42"/>
  <c r="J95" i="42"/>
  <c r="J96" i="42"/>
  <c r="J97" i="42"/>
  <c r="J98" i="42"/>
  <c r="J99" i="42"/>
  <c r="J100" i="42"/>
  <c r="J101" i="42"/>
  <c r="J102" i="42"/>
  <c r="J103" i="42"/>
  <c r="J104" i="42"/>
  <c r="J105" i="42"/>
  <c r="J106" i="42"/>
  <c r="J107" i="42"/>
  <c r="J108" i="42"/>
  <c r="J109" i="42"/>
  <c r="J110" i="42"/>
  <c r="J111" i="42"/>
  <c r="J112" i="42"/>
  <c r="J113" i="42"/>
  <c r="J114" i="42"/>
  <c r="J115" i="42"/>
  <c r="J116" i="42"/>
  <c r="J117" i="42"/>
  <c r="J118" i="42"/>
  <c r="J119" i="42"/>
  <c r="J120" i="42"/>
  <c r="J121" i="42"/>
  <c r="J122" i="42"/>
  <c r="J123" i="42"/>
  <c r="J124" i="42"/>
  <c r="J125" i="42"/>
  <c r="J126" i="42"/>
  <c r="J127" i="42"/>
  <c r="J128" i="42"/>
  <c r="J129" i="42"/>
  <c r="J130" i="42"/>
  <c r="J131" i="42"/>
  <c r="J132" i="42"/>
  <c r="J133" i="42"/>
  <c r="J134" i="42"/>
  <c r="J135" i="42"/>
  <c r="J136" i="42"/>
  <c r="J137" i="42"/>
  <c r="J138" i="42"/>
  <c r="J139" i="42"/>
  <c r="J140" i="42"/>
  <c r="J141" i="42"/>
  <c r="J142" i="42"/>
  <c r="J143" i="42"/>
  <c r="J144" i="42"/>
  <c r="J145" i="42"/>
  <c r="J146" i="42"/>
  <c r="J147" i="42"/>
  <c r="J148" i="42"/>
  <c r="J149" i="42"/>
  <c r="J150" i="42"/>
  <c r="J151" i="42"/>
  <c r="J152" i="42"/>
  <c r="J153" i="42"/>
  <c r="J154" i="42"/>
  <c r="J155" i="42"/>
  <c r="J156" i="42"/>
  <c r="J157" i="42"/>
  <c r="J158" i="42"/>
  <c r="J159" i="42"/>
  <c r="J160" i="42"/>
  <c r="J161" i="42"/>
  <c r="J162" i="42"/>
  <c r="J163" i="42"/>
  <c r="J164" i="42"/>
  <c r="J165" i="42"/>
  <c r="J166" i="42"/>
  <c r="J167" i="42"/>
  <c r="J168" i="42"/>
  <c r="J169" i="42"/>
  <c r="J170" i="42"/>
  <c r="J171" i="42"/>
  <c r="J172" i="42"/>
  <c r="J173" i="42"/>
  <c r="J174" i="42"/>
  <c r="J175" i="42"/>
  <c r="J176" i="42"/>
  <c r="J177" i="42"/>
  <c r="J178" i="42"/>
  <c r="J179" i="42"/>
  <c r="J180" i="42"/>
  <c r="J181" i="42"/>
  <c r="J182" i="42"/>
  <c r="J183" i="42"/>
  <c r="J184" i="42"/>
  <c r="J185" i="42"/>
  <c r="J186" i="42"/>
  <c r="J187" i="42"/>
  <c r="J188" i="42"/>
  <c r="J189" i="42"/>
  <c r="J190" i="42"/>
  <c r="J191" i="42"/>
  <c r="J192" i="42"/>
  <c r="J193" i="42"/>
  <c r="J194" i="42"/>
  <c r="J195" i="42"/>
  <c r="J196" i="42"/>
  <c r="J197" i="42"/>
  <c r="J198" i="42"/>
  <c r="J199" i="42"/>
  <c r="J200" i="42"/>
  <c r="J201" i="42"/>
  <c r="J202" i="42"/>
  <c r="J203" i="42"/>
  <c r="J204" i="42"/>
  <c r="J205" i="42"/>
  <c r="J206" i="42"/>
  <c r="J207" i="42"/>
  <c r="J208" i="42"/>
  <c r="J209" i="42"/>
  <c r="J210" i="42"/>
  <c r="J211" i="42"/>
  <c r="J212" i="42"/>
  <c r="J213" i="42"/>
  <c r="J214" i="42"/>
  <c r="J215" i="42"/>
  <c r="J216" i="42"/>
  <c r="J217" i="42"/>
  <c r="J218" i="42"/>
  <c r="J219" i="42"/>
  <c r="J220" i="42"/>
  <c r="J221" i="42"/>
  <c r="J222" i="42"/>
  <c r="J223" i="42"/>
  <c r="J224" i="42"/>
  <c r="J225" i="42"/>
  <c r="J226" i="42"/>
  <c r="J227" i="42"/>
  <c r="J228" i="42"/>
  <c r="J229" i="42"/>
  <c r="J230" i="42"/>
  <c r="J231" i="42"/>
  <c r="J232" i="42"/>
  <c r="J233" i="42"/>
  <c r="J234" i="42"/>
  <c r="J235" i="42"/>
  <c r="J236" i="42"/>
  <c r="J237" i="42"/>
  <c r="J238" i="42"/>
  <c r="J239" i="42"/>
  <c r="J240" i="42"/>
  <c r="J241" i="42"/>
  <c r="J242" i="42"/>
  <c r="J243" i="42"/>
  <c r="J244" i="42"/>
  <c r="J245" i="42"/>
  <c r="J246" i="42"/>
  <c r="J247" i="42"/>
  <c r="J248" i="42"/>
  <c r="J249" i="42"/>
  <c r="J250" i="42"/>
  <c r="J251" i="42"/>
  <c r="J252" i="42"/>
  <c r="J253" i="42"/>
  <c r="J254" i="42"/>
  <c r="J255" i="42"/>
  <c r="J256" i="42"/>
  <c r="J257" i="42"/>
  <c r="J258" i="42"/>
  <c r="J259" i="42"/>
  <c r="J260" i="42"/>
  <c r="J261" i="42"/>
  <c r="J262" i="42"/>
  <c r="J263" i="42"/>
  <c r="J264" i="42"/>
  <c r="J265" i="42"/>
  <c r="J266" i="42"/>
  <c r="J267" i="42"/>
  <c r="J268" i="42"/>
  <c r="J269" i="42"/>
  <c r="J270" i="42"/>
  <c r="J271" i="42"/>
  <c r="J272" i="42"/>
  <c r="J273" i="42"/>
  <c r="J274" i="42"/>
  <c r="J275" i="42"/>
  <c r="J276" i="42"/>
  <c r="J277" i="42"/>
  <c r="J278" i="42"/>
  <c r="J279" i="42"/>
  <c r="J280" i="42"/>
  <c r="J281" i="42"/>
  <c r="J282" i="42"/>
  <c r="J283" i="42"/>
  <c r="J284" i="42"/>
  <c r="J285" i="42"/>
  <c r="J286" i="42"/>
  <c r="J287" i="42"/>
  <c r="J288" i="42"/>
  <c r="J289" i="42"/>
  <c r="J290" i="42"/>
  <c r="J291" i="42"/>
  <c r="J292" i="42"/>
  <c r="J293" i="42"/>
  <c r="J294" i="42"/>
  <c r="J295" i="42"/>
  <c r="J296" i="42"/>
  <c r="J297" i="42"/>
  <c r="J298" i="42"/>
  <c r="J299" i="42"/>
  <c r="J300" i="42"/>
  <c r="J301" i="42"/>
  <c r="J302" i="42"/>
  <c r="J303" i="42"/>
  <c r="J304" i="42"/>
  <c r="J305" i="42"/>
  <c r="J306" i="42"/>
  <c r="J307" i="42"/>
  <c r="J308" i="42"/>
  <c r="J309" i="42"/>
  <c r="J310" i="42"/>
  <c r="J311" i="42"/>
  <c r="J312" i="42"/>
  <c r="J313" i="42"/>
  <c r="J314" i="42"/>
  <c r="J315" i="42"/>
  <c r="J316" i="42"/>
  <c r="J317" i="42"/>
  <c r="J318" i="42"/>
  <c r="J319" i="42"/>
  <c r="J320" i="42"/>
  <c r="J321" i="42"/>
  <c r="J322" i="42"/>
  <c r="J323" i="42"/>
  <c r="J324" i="42"/>
  <c r="J325" i="42"/>
  <c r="J326" i="42"/>
  <c r="J327" i="42"/>
  <c r="J328" i="42"/>
  <c r="J329" i="42"/>
  <c r="J330" i="42"/>
  <c r="J331" i="42"/>
  <c r="J332" i="42"/>
  <c r="J333" i="42"/>
  <c r="J334" i="42"/>
  <c r="J335" i="42"/>
  <c r="J336" i="42"/>
  <c r="J337" i="42"/>
  <c r="J338" i="42"/>
  <c r="J339" i="42"/>
  <c r="J340" i="42"/>
  <c r="J341" i="42"/>
  <c r="J342" i="42"/>
  <c r="J343" i="42"/>
  <c r="J344" i="42"/>
  <c r="J345" i="42"/>
  <c r="J346" i="42"/>
  <c r="J347" i="42"/>
  <c r="J348" i="42"/>
  <c r="J349" i="42"/>
  <c r="J350" i="42"/>
  <c r="J351" i="42"/>
  <c r="J352" i="42"/>
  <c r="J353" i="42"/>
  <c r="J354" i="42"/>
  <c r="J355" i="42"/>
  <c r="J356" i="42"/>
  <c r="J357" i="42"/>
  <c r="J358" i="42"/>
  <c r="J359" i="42"/>
  <c r="J360" i="42"/>
  <c r="J361" i="42"/>
  <c r="J362" i="42"/>
  <c r="J363" i="42"/>
  <c r="J364" i="42"/>
  <c r="J365" i="42"/>
  <c r="J366" i="42"/>
  <c r="J367" i="42"/>
  <c r="J368" i="42"/>
  <c r="J369" i="42"/>
  <c r="J370" i="42"/>
  <c r="J371" i="42"/>
  <c r="J372" i="42"/>
  <c r="J373" i="42"/>
  <c r="J374" i="42"/>
  <c r="J375" i="42"/>
  <c r="J376" i="42"/>
  <c r="J377" i="42"/>
  <c r="J378" i="42"/>
  <c r="J379" i="42"/>
  <c r="J380" i="42"/>
  <c r="J381" i="42"/>
  <c r="J382" i="42"/>
  <c r="J383" i="42"/>
  <c r="J384" i="42"/>
  <c r="J385" i="42"/>
  <c r="J386" i="42"/>
  <c r="J387" i="42"/>
  <c r="J388" i="42"/>
  <c r="J389" i="42"/>
  <c r="J390" i="42"/>
  <c r="J391" i="42"/>
  <c r="J392" i="42"/>
  <c r="J393" i="42"/>
  <c r="J394" i="42"/>
  <c r="J395" i="42"/>
  <c r="J396" i="42"/>
  <c r="J397" i="42"/>
  <c r="J398" i="42"/>
  <c r="J399" i="42"/>
  <c r="J400" i="42"/>
  <c r="J401" i="42"/>
  <c r="J402" i="42"/>
  <c r="J403" i="42"/>
  <c r="J404" i="42"/>
  <c r="J405" i="42"/>
  <c r="J406" i="42"/>
  <c r="J407" i="42"/>
  <c r="J408" i="42"/>
  <c r="J409" i="42"/>
  <c r="J410" i="42"/>
  <c r="J411" i="42"/>
  <c r="J412" i="42"/>
  <c r="J413" i="42"/>
  <c r="J414" i="42"/>
  <c r="J415" i="42"/>
  <c r="J416" i="42"/>
  <c r="J417" i="42"/>
  <c r="J418" i="42"/>
  <c r="J419" i="42"/>
  <c r="J420" i="42"/>
  <c r="J421" i="42"/>
  <c r="J422" i="42"/>
  <c r="J423" i="42"/>
  <c r="J424" i="42"/>
  <c r="J425" i="42"/>
  <c r="J426" i="42"/>
  <c r="J427" i="42"/>
  <c r="J428" i="42"/>
  <c r="J429" i="42"/>
  <c r="J430" i="42"/>
  <c r="J431" i="42"/>
  <c r="J432" i="42"/>
  <c r="J433" i="42"/>
  <c r="J434" i="42"/>
  <c r="J435" i="42"/>
  <c r="J436" i="42"/>
  <c r="J437" i="42"/>
  <c r="J438" i="42"/>
  <c r="J439" i="42"/>
  <c r="J440" i="42"/>
  <c r="J441" i="42"/>
  <c r="J442" i="42"/>
  <c r="J443" i="42"/>
  <c r="J444" i="42"/>
  <c r="J445" i="42"/>
  <c r="J446" i="42"/>
  <c r="J447" i="42"/>
  <c r="J448" i="42"/>
  <c r="K2" i="42"/>
  <c r="K3" i="42"/>
  <c r="K4" i="42"/>
  <c r="K5" i="42"/>
  <c r="K6" i="42"/>
  <c r="K7" i="42"/>
  <c r="K8" i="42"/>
  <c r="K9" i="42"/>
  <c r="K10" i="42"/>
  <c r="K11" i="42"/>
  <c r="K12" i="42"/>
  <c r="K13" i="42"/>
  <c r="K14" i="42"/>
  <c r="K15" i="42"/>
  <c r="K16" i="42"/>
  <c r="K17" i="42"/>
  <c r="K18" i="42"/>
  <c r="K19" i="42"/>
  <c r="K20" i="42"/>
  <c r="K21" i="42"/>
  <c r="K22" i="42"/>
  <c r="K23" i="42"/>
  <c r="K24" i="42"/>
  <c r="K25" i="42"/>
  <c r="K26" i="42"/>
  <c r="K27" i="42"/>
  <c r="K28" i="42"/>
  <c r="K29" i="42"/>
  <c r="K30" i="42"/>
  <c r="K31" i="42"/>
  <c r="K32" i="42"/>
  <c r="K33" i="42"/>
  <c r="K34" i="42"/>
  <c r="K35" i="42"/>
  <c r="K36" i="42"/>
  <c r="K37" i="42"/>
  <c r="K38" i="42"/>
  <c r="K39" i="42"/>
  <c r="K40" i="42"/>
  <c r="K41" i="42"/>
  <c r="K42" i="42"/>
  <c r="K43" i="42"/>
  <c r="K44" i="42"/>
  <c r="K45" i="42"/>
  <c r="K46" i="42"/>
  <c r="K47" i="42"/>
  <c r="K48" i="42"/>
  <c r="K49" i="42"/>
  <c r="K50" i="42"/>
  <c r="K51" i="42"/>
  <c r="K52" i="42"/>
  <c r="K53" i="42"/>
  <c r="K54" i="42"/>
  <c r="K55" i="42"/>
  <c r="K56" i="42"/>
  <c r="K57" i="42"/>
  <c r="K58" i="42"/>
  <c r="K59" i="42"/>
  <c r="K60" i="42"/>
  <c r="K61" i="42"/>
  <c r="K62" i="42"/>
  <c r="K63" i="42"/>
  <c r="K64" i="42"/>
  <c r="K65" i="42"/>
  <c r="K66" i="42"/>
  <c r="K67" i="42"/>
  <c r="K68" i="42"/>
  <c r="K69" i="42"/>
  <c r="K70" i="42"/>
  <c r="K71" i="42"/>
  <c r="K72" i="42"/>
  <c r="K73" i="42"/>
  <c r="K74" i="42"/>
  <c r="K75" i="42"/>
  <c r="K76" i="42"/>
  <c r="K77" i="42"/>
  <c r="K78" i="42"/>
  <c r="K79" i="42"/>
  <c r="K80" i="42"/>
  <c r="K81" i="42"/>
  <c r="K82" i="42"/>
  <c r="K83" i="42"/>
  <c r="K84" i="42"/>
  <c r="K85" i="42"/>
  <c r="K86" i="42"/>
  <c r="K87" i="42"/>
  <c r="K88" i="42"/>
  <c r="K89" i="42"/>
  <c r="K90" i="42"/>
  <c r="K91" i="42"/>
  <c r="K92" i="42"/>
  <c r="K93" i="42"/>
  <c r="K94" i="42"/>
  <c r="K95" i="42"/>
  <c r="K96" i="42"/>
  <c r="K97" i="42"/>
  <c r="K98" i="42"/>
  <c r="K99" i="42"/>
  <c r="K100" i="42"/>
  <c r="K101" i="42"/>
  <c r="K102" i="42"/>
  <c r="K103" i="42"/>
  <c r="K104" i="42"/>
  <c r="K105" i="42"/>
  <c r="K106" i="42"/>
  <c r="K107" i="42"/>
  <c r="K108" i="42"/>
  <c r="K109" i="42"/>
  <c r="K110" i="42"/>
  <c r="K111" i="42"/>
  <c r="K112" i="42"/>
  <c r="K113" i="42"/>
  <c r="K114" i="42"/>
  <c r="K115" i="42"/>
  <c r="K116" i="42"/>
  <c r="K117" i="42"/>
  <c r="K118" i="42"/>
  <c r="K119" i="42"/>
  <c r="K120" i="42"/>
  <c r="K121" i="42"/>
  <c r="K122" i="42"/>
  <c r="K123" i="42"/>
  <c r="K124" i="42"/>
  <c r="K125" i="42"/>
  <c r="K126" i="42"/>
  <c r="K127" i="42"/>
  <c r="K128" i="42"/>
  <c r="K129" i="42"/>
  <c r="K130" i="42"/>
  <c r="K131" i="42"/>
  <c r="K132" i="42"/>
  <c r="K133" i="42"/>
  <c r="K134" i="42"/>
  <c r="K135" i="42"/>
  <c r="K136" i="42"/>
  <c r="K137" i="42"/>
  <c r="K138" i="42"/>
  <c r="K139" i="42"/>
  <c r="K140" i="42"/>
  <c r="K141" i="42"/>
  <c r="K142" i="42"/>
  <c r="K143" i="42"/>
  <c r="K144" i="42"/>
  <c r="K145" i="42"/>
  <c r="K146" i="42"/>
  <c r="K147" i="42"/>
  <c r="K148" i="42"/>
  <c r="K149" i="42"/>
  <c r="K150" i="42"/>
  <c r="K151" i="42"/>
  <c r="K152" i="42"/>
  <c r="K153" i="42"/>
  <c r="K154" i="42"/>
  <c r="K155" i="42"/>
  <c r="K156" i="42"/>
  <c r="K157" i="42"/>
  <c r="K158" i="42"/>
  <c r="K159" i="42"/>
  <c r="K160" i="42"/>
  <c r="K161" i="42"/>
  <c r="K162" i="42"/>
  <c r="K163" i="42"/>
  <c r="K164" i="42"/>
  <c r="K165" i="42"/>
  <c r="K166" i="42"/>
  <c r="K167" i="42"/>
  <c r="K168" i="42"/>
  <c r="K169" i="42"/>
  <c r="K170" i="42"/>
  <c r="K171" i="42"/>
  <c r="K172" i="42"/>
  <c r="K173" i="42"/>
  <c r="K174" i="42"/>
  <c r="K175" i="42"/>
  <c r="K176" i="42"/>
  <c r="K177" i="42"/>
  <c r="K178" i="42"/>
  <c r="K179" i="42"/>
  <c r="K180" i="42"/>
  <c r="K181" i="42"/>
  <c r="K182" i="42"/>
  <c r="K183" i="42"/>
  <c r="K184" i="42"/>
  <c r="K185" i="42"/>
  <c r="K186" i="42"/>
  <c r="K187" i="42"/>
  <c r="K188" i="42"/>
  <c r="K189" i="42"/>
  <c r="K190" i="42"/>
  <c r="K191" i="42"/>
  <c r="K192" i="42"/>
  <c r="K193" i="42"/>
  <c r="K194" i="42"/>
  <c r="K195" i="42"/>
  <c r="K196" i="42"/>
  <c r="K197" i="42"/>
  <c r="K198" i="42"/>
  <c r="K199" i="42"/>
  <c r="K200" i="42"/>
  <c r="K201" i="42"/>
  <c r="K202" i="42"/>
  <c r="K203" i="42"/>
  <c r="K204" i="42"/>
  <c r="K205" i="42"/>
  <c r="K206" i="42"/>
  <c r="K207" i="42"/>
  <c r="K208" i="42"/>
  <c r="K209" i="42"/>
  <c r="K210" i="42"/>
  <c r="K211" i="42"/>
  <c r="K212" i="42"/>
  <c r="K213" i="42"/>
  <c r="K214" i="42"/>
  <c r="K215" i="42"/>
  <c r="K216" i="42"/>
  <c r="K217" i="42"/>
  <c r="K218" i="42"/>
  <c r="K219" i="42"/>
  <c r="K220" i="42"/>
  <c r="K221" i="42"/>
  <c r="K222" i="42"/>
  <c r="K223" i="42"/>
  <c r="K224" i="42"/>
  <c r="K225" i="42"/>
  <c r="K226" i="42"/>
  <c r="K227" i="42"/>
  <c r="K228" i="42"/>
  <c r="K229" i="42"/>
  <c r="K230" i="42"/>
  <c r="K231" i="42"/>
  <c r="K232" i="42"/>
  <c r="K233" i="42"/>
  <c r="K234" i="42"/>
  <c r="K235" i="42"/>
  <c r="K236" i="42"/>
  <c r="K237" i="42"/>
  <c r="K238" i="42"/>
  <c r="K239" i="42"/>
  <c r="K240" i="42"/>
  <c r="K241" i="42"/>
  <c r="K242" i="42"/>
  <c r="K243" i="42"/>
  <c r="K244" i="42"/>
  <c r="K245" i="42"/>
  <c r="K246" i="42"/>
  <c r="K247" i="42"/>
  <c r="K248" i="42"/>
  <c r="K249" i="42"/>
  <c r="K250" i="42"/>
  <c r="K251" i="42"/>
  <c r="K252" i="42"/>
  <c r="K253" i="42"/>
  <c r="K254" i="42"/>
  <c r="K255" i="42"/>
  <c r="K256" i="42"/>
  <c r="K257" i="42"/>
  <c r="K258" i="42"/>
  <c r="K259" i="42"/>
  <c r="K260" i="42"/>
  <c r="K261" i="42"/>
  <c r="K262" i="42"/>
  <c r="K263" i="42"/>
  <c r="K264" i="42"/>
  <c r="K265" i="42"/>
  <c r="K266" i="42"/>
  <c r="K267" i="42"/>
  <c r="K268" i="42"/>
  <c r="K269" i="42"/>
  <c r="K270" i="42"/>
  <c r="K271" i="42"/>
  <c r="K272" i="42"/>
  <c r="K273" i="42"/>
  <c r="K274" i="42"/>
  <c r="K275" i="42"/>
  <c r="K276" i="42"/>
  <c r="K277" i="42"/>
  <c r="K278" i="42"/>
  <c r="K279" i="42"/>
  <c r="K280" i="42"/>
  <c r="K281" i="42"/>
  <c r="K282" i="42"/>
  <c r="K283" i="42"/>
  <c r="K284" i="42"/>
  <c r="K285" i="42"/>
  <c r="K286" i="42"/>
  <c r="K287" i="42"/>
  <c r="K288" i="42"/>
  <c r="K289" i="42"/>
  <c r="K290" i="42"/>
  <c r="K291" i="42"/>
  <c r="K292" i="42"/>
  <c r="K293" i="42"/>
  <c r="K294" i="42"/>
  <c r="K295" i="42"/>
  <c r="K296" i="42"/>
  <c r="K297" i="42"/>
  <c r="K298" i="42"/>
  <c r="K299" i="42"/>
  <c r="K300" i="42"/>
  <c r="K301" i="42"/>
  <c r="K302" i="42"/>
  <c r="K303" i="42"/>
  <c r="K304" i="42"/>
  <c r="K305" i="42"/>
  <c r="K306" i="42"/>
  <c r="K307" i="42"/>
  <c r="K308" i="42"/>
  <c r="K309" i="42"/>
  <c r="K310" i="42"/>
  <c r="K311" i="42"/>
  <c r="K312" i="42"/>
  <c r="K313" i="42"/>
  <c r="K314" i="42"/>
  <c r="K315" i="42"/>
  <c r="K316" i="42"/>
  <c r="K317" i="42"/>
  <c r="K318" i="42"/>
  <c r="K319" i="42"/>
  <c r="K320" i="42"/>
  <c r="K321" i="42"/>
  <c r="K322" i="42"/>
  <c r="K323" i="42"/>
  <c r="K324" i="42"/>
  <c r="K325" i="42"/>
  <c r="K326" i="42"/>
  <c r="K327" i="42"/>
  <c r="K328" i="42"/>
  <c r="K329" i="42"/>
  <c r="K330" i="42"/>
  <c r="K331" i="42"/>
  <c r="K332" i="42"/>
  <c r="K333" i="42"/>
  <c r="K334" i="42"/>
  <c r="K335" i="42"/>
  <c r="K336" i="42"/>
  <c r="K337" i="42"/>
  <c r="K338" i="42"/>
  <c r="K339" i="42"/>
  <c r="K340" i="42"/>
  <c r="K341" i="42"/>
  <c r="K342" i="42"/>
  <c r="K343" i="42"/>
  <c r="K344" i="42"/>
  <c r="K345" i="42"/>
  <c r="K346" i="42"/>
  <c r="K347" i="42"/>
  <c r="K348" i="42"/>
  <c r="K349" i="42"/>
  <c r="K350" i="42"/>
  <c r="K351" i="42"/>
  <c r="K352" i="42"/>
  <c r="K353" i="42"/>
  <c r="K354" i="42"/>
  <c r="K355" i="42"/>
  <c r="K356" i="42"/>
  <c r="K357" i="42"/>
  <c r="K358" i="42"/>
  <c r="K359" i="42"/>
  <c r="K360" i="42"/>
  <c r="K361" i="42"/>
  <c r="K362" i="42"/>
  <c r="K363" i="42"/>
  <c r="K364" i="42"/>
  <c r="K365" i="42"/>
  <c r="K366" i="42"/>
  <c r="K367" i="42"/>
  <c r="K368" i="42"/>
  <c r="K369" i="42"/>
  <c r="K370" i="42"/>
  <c r="K371" i="42"/>
  <c r="K372" i="42"/>
  <c r="K373" i="42"/>
  <c r="K374" i="42"/>
  <c r="K375" i="42"/>
  <c r="K376" i="42"/>
  <c r="K377" i="42"/>
  <c r="K378" i="42"/>
  <c r="K379" i="42"/>
  <c r="K380" i="42"/>
  <c r="K381" i="42"/>
  <c r="K382" i="42"/>
  <c r="K383" i="42"/>
  <c r="K384" i="42"/>
  <c r="K385" i="42"/>
  <c r="K386" i="42"/>
  <c r="K387" i="42"/>
  <c r="K388" i="42"/>
  <c r="K389" i="42"/>
  <c r="K390" i="42"/>
  <c r="K391" i="42"/>
  <c r="K392" i="42"/>
  <c r="K393" i="42"/>
  <c r="K394" i="42"/>
  <c r="K395" i="42"/>
  <c r="K396" i="42"/>
  <c r="K397" i="42"/>
  <c r="K398" i="42"/>
  <c r="K399" i="42"/>
  <c r="K400" i="42"/>
  <c r="K401" i="42"/>
  <c r="K402" i="42"/>
  <c r="K403" i="42"/>
  <c r="K404" i="42"/>
  <c r="K405" i="42"/>
  <c r="K406" i="42"/>
  <c r="K407" i="42"/>
  <c r="K408" i="42"/>
  <c r="K409" i="42"/>
  <c r="K410" i="42"/>
  <c r="K411" i="42"/>
  <c r="K412" i="42"/>
  <c r="K413" i="42"/>
  <c r="K414" i="42"/>
  <c r="K415" i="42"/>
  <c r="K416" i="42"/>
  <c r="K417" i="42"/>
  <c r="K418" i="42"/>
  <c r="K419" i="42"/>
  <c r="K420" i="42"/>
  <c r="K421" i="42"/>
  <c r="K422" i="42"/>
  <c r="K423" i="42"/>
  <c r="K424" i="42"/>
  <c r="K425" i="42"/>
  <c r="K426" i="42"/>
  <c r="K427" i="42"/>
  <c r="K428" i="42"/>
  <c r="K429" i="42"/>
  <c r="K430" i="42"/>
  <c r="K431" i="42"/>
  <c r="K432" i="42"/>
  <c r="K433" i="42"/>
  <c r="K434" i="42"/>
  <c r="K435" i="42"/>
  <c r="K436" i="42"/>
  <c r="K437" i="42"/>
  <c r="K438" i="42"/>
  <c r="K439" i="42"/>
  <c r="K440" i="42"/>
  <c r="K441" i="42"/>
  <c r="K442" i="42"/>
  <c r="K443" i="42"/>
  <c r="K444" i="42"/>
  <c r="K445" i="42"/>
  <c r="K446" i="42"/>
  <c r="K447" i="42"/>
  <c r="K448" i="42"/>
  <c r="L2" i="42"/>
  <c r="L3" i="42"/>
  <c r="L4" i="42"/>
  <c r="L5" i="42"/>
  <c r="L6" i="42"/>
  <c r="L7" i="42"/>
  <c r="L8" i="42"/>
  <c r="L9" i="42"/>
  <c r="L10" i="42"/>
  <c r="L11" i="42"/>
  <c r="L12" i="42"/>
  <c r="L13" i="42"/>
  <c r="L14" i="42"/>
  <c r="L15" i="42"/>
  <c r="L16" i="42"/>
  <c r="L17" i="42"/>
  <c r="L18" i="42"/>
  <c r="L19" i="42"/>
  <c r="L20" i="42"/>
  <c r="L21" i="42"/>
  <c r="L22" i="42"/>
  <c r="L23" i="42"/>
  <c r="L24" i="42"/>
  <c r="L25" i="42"/>
  <c r="L26" i="42"/>
  <c r="L27" i="42"/>
  <c r="L28" i="42"/>
  <c r="L29" i="42"/>
  <c r="L30" i="42"/>
  <c r="L31" i="42"/>
  <c r="L32" i="42"/>
  <c r="L33" i="42"/>
  <c r="L34" i="42"/>
  <c r="L35" i="42"/>
  <c r="L36" i="42"/>
  <c r="L37" i="42"/>
  <c r="L38" i="42"/>
  <c r="L39" i="42"/>
  <c r="L40" i="42"/>
  <c r="L41" i="42"/>
  <c r="L42" i="42"/>
  <c r="L43" i="42"/>
  <c r="L44" i="42"/>
  <c r="L45" i="42"/>
  <c r="L46" i="42"/>
  <c r="L47" i="42"/>
  <c r="L48" i="42"/>
  <c r="L49" i="42"/>
  <c r="L50" i="42"/>
  <c r="L51" i="42"/>
  <c r="L52" i="42"/>
  <c r="L53" i="42"/>
  <c r="L54" i="42"/>
  <c r="L55" i="42"/>
  <c r="L56" i="42"/>
  <c r="L57" i="42"/>
  <c r="L58" i="42"/>
  <c r="L59" i="42"/>
  <c r="L60" i="42"/>
  <c r="L61" i="42"/>
  <c r="L62" i="42"/>
  <c r="L63" i="42"/>
  <c r="L64" i="42"/>
  <c r="L65" i="42"/>
  <c r="L66" i="42"/>
  <c r="L67" i="42"/>
  <c r="L68" i="42"/>
  <c r="L69" i="42"/>
  <c r="L70" i="42"/>
  <c r="L71" i="42"/>
  <c r="L72" i="42"/>
  <c r="L73" i="42"/>
  <c r="L74" i="42"/>
  <c r="L75" i="42"/>
  <c r="L76" i="42"/>
  <c r="L77" i="42"/>
  <c r="L78" i="42"/>
  <c r="L79" i="42"/>
  <c r="L80" i="42"/>
  <c r="L81" i="42"/>
  <c r="L82" i="42"/>
  <c r="L83" i="42"/>
  <c r="L84" i="42"/>
  <c r="L85" i="42"/>
  <c r="L86" i="42"/>
  <c r="L87" i="42"/>
  <c r="L88" i="42"/>
  <c r="L89" i="42"/>
  <c r="L90" i="42"/>
  <c r="L91" i="42"/>
  <c r="L92" i="42"/>
  <c r="L93" i="42"/>
  <c r="L94" i="42"/>
  <c r="L95" i="42"/>
  <c r="L96" i="42"/>
  <c r="L97" i="42"/>
  <c r="L98" i="42"/>
  <c r="L99" i="42"/>
  <c r="L100" i="42"/>
  <c r="L101" i="42"/>
  <c r="L102" i="42"/>
  <c r="L103" i="42"/>
  <c r="L104" i="42"/>
  <c r="L105" i="42"/>
  <c r="L106" i="42"/>
  <c r="L107" i="42"/>
  <c r="L108" i="42"/>
  <c r="L109" i="42"/>
  <c r="L110" i="42"/>
  <c r="L111" i="42"/>
  <c r="L112" i="42"/>
  <c r="L113" i="42"/>
  <c r="L114" i="42"/>
  <c r="L115" i="42"/>
  <c r="L116" i="42"/>
  <c r="L117" i="42"/>
  <c r="L118" i="42"/>
  <c r="L119" i="42"/>
  <c r="L120" i="42"/>
  <c r="L121" i="42"/>
  <c r="L122" i="42"/>
  <c r="L123" i="42"/>
  <c r="L124" i="42"/>
  <c r="L125" i="42"/>
  <c r="L126" i="42"/>
  <c r="L127" i="42"/>
  <c r="L128" i="42"/>
  <c r="L129" i="42"/>
  <c r="L130" i="42"/>
  <c r="L131" i="42"/>
  <c r="L132" i="42"/>
  <c r="L133" i="42"/>
  <c r="L134" i="42"/>
  <c r="L135" i="42"/>
  <c r="L136" i="42"/>
  <c r="L137" i="42"/>
  <c r="L138" i="42"/>
  <c r="L139" i="42"/>
  <c r="L140" i="42"/>
  <c r="L141" i="42"/>
  <c r="L142" i="42"/>
  <c r="L143" i="42"/>
  <c r="L144" i="42"/>
  <c r="L145" i="42"/>
  <c r="L146" i="42"/>
  <c r="L147" i="42"/>
  <c r="L148" i="42"/>
  <c r="L149" i="42"/>
  <c r="L150" i="42"/>
  <c r="L151" i="42"/>
  <c r="L152" i="42"/>
  <c r="L153" i="42"/>
  <c r="L154" i="42"/>
  <c r="L155" i="42"/>
  <c r="L156" i="42"/>
  <c r="L157" i="42"/>
  <c r="L158" i="42"/>
  <c r="L159" i="42"/>
  <c r="L160" i="42"/>
  <c r="L161" i="42"/>
  <c r="L162" i="42"/>
  <c r="L163" i="42"/>
  <c r="L164" i="42"/>
  <c r="L165" i="42"/>
  <c r="L166" i="42"/>
  <c r="L167" i="42"/>
  <c r="L168" i="42"/>
  <c r="L169" i="42"/>
  <c r="L170" i="42"/>
  <c r="L171" i="42"/>
  <c r="L172" i="42"/>
  <c r="L173" i="42"/>
  <c r="L174" i="42"/>
  <c r="L175" i="42"/>
  <c r="L176" i="42"/>
  <c r="L177" i="42"/>
  <c r="L178" i="42"/>
  <c r="L179" i="42"/>
  <c r="L180" i="42"/>
  <c r="L181" i="42"/>
  <c r="L182" i="42"/>
  <c r="L183" i="42"/>
  <c r="L184" i="42"/>
  <c r="L185" i="42"/>
  <c r="L186" i="42"/>
  <c r="L187" i="42"/>
  <c r="L188" i="42"/>
  <c r="L189" i="42"/>
  <c r="L190" i="42"/>
  <c r="L191" i="42"/>
  <c r="L192" i="42"/>
  <c r="L193" i="42"/>
  <c r="L194" i="42"/>
  <c r="L195" i="42"/>
  <c r="L196" i="42"/>
  <c r="L197" i="42"/>
  <c r="L198" i="42"/>
  <c r="L199" i="42"/>
  <c r="L200" i="42"/>
  <c r="L201" i="42"/>
  <c r="L202" i="42"/>
  <c r="L203" i="42"/>
  <c r="L204" i="42"/>
  <c r="L205" i="42"/>
  <c r="L206" i="42"/>
  <c r="L207" i="42"/>
  <c r="L208" i="42"/>
  <c r="L209" i="42"/>
  <c r="L210" i="42"/>
  <c r="L211" i="42"/>
  <c r="L212" i="42"/>
  <c r="L213" i="42"/>
  <c r="L214" i="42"/>
  <c r="L215" i="42"/>
  <c r="L216" i="42"/>
  <c r="L217" i="42"/>
  <c r="L218" i="42"/>
  <c r="L219" i="42"/>
  <c r="L220" i="42"/>
  <c r="L221" i="42"/>
  <c r="L222" i="42"/>
  <c r="L223" i="42"/>
  <c r="L224" i="42"/>
  <c r="L225" i="42"/>
  <c r="L226" i="42"/>
  <c r="L227" i="42"/>
  <c r="L228" i="42"/>
  <c r="L229" i="42"/>
  <c r="L230" i="42"/>
  <c r="L231" i="42"/>
  <c r="L232" i="42"/>
  <c r="L233" i="42"/>
  <c r="L234" i="42"/>
  <c r="L235" i="42"/>
  <c r="L236" i="42"/>
  <c r="L237" i="42"/>
  <c r="L238" i="42"/>
  <c r="L239" i="42"/>
  <c r="L240" i="42"/>
  <c r="L241" i="42"/>
  <c r="L242" i="42"/>
  <c r="L243" i="42"/>
  <c r="L244" i="42"/>
  <c r="L245" i="42"/>
  <c r="L246" i="42"/>
  <c r="L247" i="42"/>
  <c r="L248" i="42"/>
  <c r="L249" i="42"/>
  <c r="L250" i="42"/>
  <c r="L251" i="42"/>
  <c r="L252" i="42"/>
  <c r="L253" i="42"/>
  <c r="L254" i="42"/>
  <c r="L255" i="42"/>
  <c r="L256" i="42"/>
  <c r="L257" i="42"/>
  <c r="L258" i="42"/>
  <c r="L259" i="42"/>
  <c r="L260" i="42"/>
  <c r="L261" i="42"/>
  <c r="L262" i="42"/>
  <c r="L263" i="42"/>
  <c r="L264" i="42"/>
  <c r="L265" i="42"/>
  <c r="L266" i="42"/>
  <c r="L267" i="42"/>
  <c r="L268" i="42"/>
  <c r="L269" i="42"/>
  <c r="L270" i="42"/>
  <c r="L271" i="42"/>
  <c r="L272" i="42"/>
  <c r="L273" i="42"/>
  <c r="L274" i="42"/>
  <c r="L275" i="42"/>
  <c r="L276" i="42"/>
  <c r="L277" i="42"/>
  <c r="L278" i="42"/>
  <c r="L279" i="42"/>
  <c r="L280" i="42"/>
  <c r="L281" i="42"/>
  <c r="L282" i="42"/>
  <c r="L283" i="42"/>
  <c r="L284" i="42"/>
  <c r="L285" i="42"/>
  <c r="L286" i="42"/>
  <c r="L287" i="42"/>
  <c r="L288" i="42"/>
  <c r="L289" i="42"/>
  <c r="L290" i="42"/>
  <c r="L291" i="42"/>
  <c r="L292" i="42"/>
  <c r="L293" i="42"/>
  <c r="L294" i="42"/>
  <c r="L295" i="42"/>
  <c r="L296" i="42"/>
  <c r="L297" i="42"/>
  <c r="L298" i="42"/>
  <c r="L299" i="42"/>
  <c r="L300" i="42"/>
  <c r="L301" i="42"/>
  <c r="L302" i="42"/>
  <c r="L303" i="42"/>
  <c r="L304" i="42"/>
  <c r="L305" i="42"/>
  <c r="L306" i="42"/>
  <c r="L307" i="42"/>
  <c r="L308" i="42"/>
  <c r="L309" i="42"/>
  <c r="L310" i="42"/>
  <c r="L311" i="42"/>
  <c r="L312" i="42"/>
  <c r="L313" i="42"/>
  <c r="L314" i="42"/>
  <c r="L315" i="42"/>
  <c r="L316" i="42"/>
  <c r="L317" i="42"/>
  <c r="L318" i="42"/>
  <c r="L319" i="42"/>
  <c r="L320" i="42"/>
  <c r="L321" i="42"/>
  <c r="L322" i="42"/>
  <c r="L323" i="42"/>
  <c r="L324" i="42"/>
  <c r="L325" i="42"/>
  <c r="L326" i="42"/>
  <c r="L327" i="42"/>
  <c r="L328" i="42"/>
  <c r="L329" i="42"/>
  <c r="L330" i="42"/>
  <c r="L331" i="42"/>
  <c r="L332" i="42"/>
  <c r="L333" i="42"/>
  <c r="L334" i="42"/>
  <c r="L335" i="42"/>
  <c r="L336" i="42"/>
  <c r="L337" i="42"/>
  <c r="L338" i="42"/>
  <c r="L339" i="42"/>
  <c r="L340" i="42"/>
  <c r="L341" i="42"/>
  <c r="L342" i="42"/>
  <c r="L343" i="42"/>
  <c r="L344" i="42"/>
  <c r="L345" i="42"/>
  <c r="L346" i="42"/>
  <c r="L347" i="42"/>
  <c r="L348" i="42"/>
  <c r="L349" i="42"/>
  <c r="L350" i="42"/>
  <c r="L351" i="42"/>
  <c r="L352" i="42"/>
  <c r="L353" i="42"/>
  <c r="L354" i="42"/>
  <c r="L355" i="42"/>
  <c r="L356" i="42"/>
  <c r="L357" i="42"/>
  <c r="L358" i="42"/>
  <c r="L359" i="42"/>
  <c r="L360" i="42"/>
  <c r="L361" i="42"/>
  <c r="L362" i="42"/>
  <c r="L363" i="42"/>
  <c r="L364" i="42"/>
  <c r="L365" i="42"/>
  <c r="L366" i="42"/>
  <c r="L367" i="42"/>
  <c r="L368" i="42"/>
  <c r="L369" i="42"/>
  <c r="L370" i="42"/>
  <c r="L371" i="42"/>
  <c r="L372" i="42"/>
  <c r="L373" i="42"/>
  <c r="L374" i="42"/>
  <c r="L375" i="42"/>
  <c r="L376" i="42"/>
  <c r="L377" i="42"/>
  <c r="L378" i="42"/>
  <c r="L379" i="42"/>
  <c r="L380" i="42"/>
  <c r="L381" i="42"/>
  <c r="L382" i="42"/>
  <c r="L383" i="42"/>
  <c r="L384" i="42"/>
  <c r="L385" i="42"/>
  <c r="L386" i="42"/>
  <c r="L387" i="42"/>
  <c r="L388" i="42"/>
  <c r="L389" i="42"/>
  <c r="L390" i="42"/>
  <c r="L391" i="42"/>
  <c r="L392" i="42"/>
  <c r="L393" i="42"/>
  <c r="L394" i="42"/>
  <c r="L395" i="42"/>
  <c r="L396" i="42"/>
  <c r="L397" i="42"/>
  <c r="L398" i="42"/>
  <c r="L399" i="42"/>
  <c r="L400" i="42"/>
  <c r="L401" i="42"/>
  <c r="L402" i="42"/>
  <c r="L403" i="42"/>
  <c r="L404" i="42"/>
  <c r="L405" i="42"/>
  <c r="L406" i="42"/>
  <c r="L407" i="42"/>
  <c r="L408" i="42"/>
  <c r="L409" i="42"/>
  <c r="L410" i="42"/>
  <c r="L411" i="42"/>
  <c r="L412" i="42"/>
  <c r="L413" i="42"/>
  <c r="L414" i="42"/>
  <c r="L415" i="42"/>
  <c r="L416" i="42"/>
  <c r="L417" i="42"/>
  <c r="L418" i="42"/>
  <c r="L419" i="42"/>
  <c r="L420" i="42"/>
  <c r="L421" i="42"/>
  <c r="L422" i="42"/>
  <c r="L423" i="42"/>
  <c r="L424" i="42"/>
  <c r="L425" i="42"/>
  <c r="L426" i="42"/>
  <c r="L427" i="42"/>
  <c r="L428" i="42"/>
  <c r="L429" i="42"/>
  <c r="L430" i="42"/>
  <c r="L431" i="42"/>
  <c r="L432" i="42"/>
  <c r="L433" i="42"/>
  <c r="L434" i="42"/>
  <c r="L435" i="42"/>
  <c r="L436" i="42"/>
  <c r="L437" i="42"/>
  <c r="L438" i="42"/>
  <c r="L439" i="42"/>
  <c r="L440" i="42"/>
  <c r="L441" i="42"/>
  <c r="L442" i="42"/>
  <c r="L443" i="42"/>
  <c r="L444" i="42"/>
  <c r="L445" i="42"/>
  <c r="L446" i="42"/>
  <c r="L447" i="42"/>
  <c r="L448" i="42"/>
  <c r="M2" i="42"/>
  <c r="N2" i="42" s="1"/>
  <c r="M3" i="42"/>
  <c r="N3" i="42" s="1"/>
  <c r="M4" i="42"/>
  <c r="N4" i="42" s="1"/>
  <c r="M5" i="42"/>
  <c r="N5" i="42" s="1"/>
  <c r="M6" i="42"/>
  <c r="N6" i="42" s="1"/>
  <c r="M7" i="42"/>
  <c r="M8" i="42"/>
  <c r="N8" i="42" s="1"/>
  <c r="M9" i="42"/>
  <c r="N9" i="42" s="1"/>
  <c r="M10" i="42"/>
  <c r="M11" i="42"/>
  <c r="M12" i="42"/>
  <c r="N12" i="42" s="1"/>
  <c r="M13" i="42"/>
  <c r="N13" i="42" s="1"/>
  <c r="M14" i="42"/>
  <c r="N14" i="42" s="1"/>
  <c r="M15" i="42"/>
  <c r="M16" i="42"/>
  <c r="N16" i="42" s="1"/>
  <c r="M17" i="42"/>
  <c r="N17" i="42" s="1"/>
  <c r="M18" i="42"/>
  <c r="N18" i="42" s="1"/>
  <c r="M19" i="42"/>
  <c r="N19" i="42" s="1"/>
  <c r="M20" i="42"/>
  <c r="N20" i="42" s="1"/>
  <c r="M21" i="42"/>
  <c r="M22" i="42"/>
  <c r="N22" i="42" s="1"/>
  <c r="M23" i="42"/>
  <c r="N23" i="42" s="1"/>
  <c r="M24" i="42"/>
  <c r="M25" i="42"/>
  <c r="M26" i="42"/>
  <c r="N26" i="42" s="1"/>
  <c r="M27" i="42"/>
  <c r="N27" i="42" s="1"/>
  <c r="M28" i="42"/>
  <c r="N28" i="42" s="1"/>
  <c r="M29" i="42"/>
  <c r="M30" i="42"/>
  <c r="N30" i="42" s="1"/>
  <c r="M31" i="42"/>
  <c r="N31" i="42" s="1"/>
  <c r="M32" i="42"/>
  <c r="N32" i="42" s="1"/>
  <c r="M33" i="42"/>
  <c r="N33" i="42" s="1"/>
  <c r="M34" i="42"/>
  <c r="N34" i="42" s="1"/>
  <c r="M35" i="42"/>
  <c r="M36" i="42"/>
  <c r="N36" i="42" s="1"/>
  <c r="M37" i="42"/>
  <c r="N37" i="42" s="1"/>
  <c r="M38" i="42"/>
  <c r="N38" i="42" s="1"/>
  <c r="M39" i="42"/>
  <c r="M40" i="42"/>
  <c r="N40" i="42" s="1"/>
  <c r="M41" i="42"/>
  <c r="N41" i="42" s="1"/>
  <c r="M42" i="42"/>
  <c r="N42" i="42" s="1"/>
  <c r="M43" i="42"/>
  <c r="N43" i="42" s="1"/>
  <c r="M44" i="42"/>
  <c r="N44" i="42" s="1"/>
  <c r="M45" i="42"/>
  <c r="N45" i="42" s="1"/>
  <c r="M46" i="42"/>
  <c r="N46" i="42" s="1"/>
  <c r="M47" i="42"/>
  <c r="N47" i="42" s="1"/>
  <c r="M48" i="42"/>
  <c r="N48" i="42" s="1"/>
  <c r="M49" i="42"/>
  <c r="M50" i="42"/>
  <c r="N50" i="42" s="1"/>
  <c r="M51" i="42"/>
  <c r="N51" i="42" s="1"/>
  <c r="M52" i="42"/>
  <c r="N52" i="42" s="1"/>
  <c r="M53" i="42"/>
  <c r="M54" i="42"/>
  <c r="N54" i="42" s="1"/>
  <c r="M55" i="42"/>
  <c r="N55" i="42" s="1"/>
  <c r="M56" i="42"/>
  <c r="N56" i="42" s="1"/>
  <c r="M57" i="42"/>
  <c r="N57" i="42" s="1"/>
  <c r="M58" i="42"/>
  <c r="N58" i="42" s="1"/>
  <c r="M59" i="42"/>
  <c r="N59" i="42" s="1"/>
  <c r="M60" i="42"/>
  <c r="N60" i="42" s="1"/>
  <c r="M61" i="42"/>
  <c r="N61" i="42" s="1"/>
  <c r="M62" i="42"/>
  <c r="N62" i="42" s="1"/>
  <c r="M63" i="42"/>
  <c r="M64" i="42"/>
  <c r="N64" i="42" s="1"/>
  <c r="M65" i="42"/>
  <c r="N65" i="42" s="1"/>
  <c r="M66" i="42"/>
  <c r="M67" i="42"/>
  <c r="M68" i="42"/>
  <c r="N68" i="42" s="1"/>
  <c r="M69" i="42"/>
  <c r="N69" i="42" s="1"/>
  <c r="M70" i="42"/>
  <c r="N70" i="42" s="1"/>
  <c r="M71" i="42"/>
  <c r="M72" i="42"/>
  <c r="N72" i="42" s="1"/>
  <c r="M73" i="42"/>
  <c r="N73" i="42" s="1"/>
  <c r="M74" i="42"/>
  <c r="N74" i="42" s="1"/>
  <c r="M75" i="42"/>
  <c r="N75" i="42" s="1"/>
  <c r="M76" i="42"/>
  <c r="N76" i="42" s="1"/>
  <c r="M77" i="42"/>
  <c r="M78" i="42"/>
  <c r="N78" i="42" s="1"/>
  <c r="M79" i="42"/>
  <c r="N79" i="42" s="1"/>
  <c r="M80" i="42"/>
  <c r="M81" i="42"/>
  <c r="M82" i="42"/>
  <c r="N82" i="42" s="1"/>
  <c r="M83" i="42"/>
  <c r="N83" i="42" s="1"/>
  <c r="M84" i="42"/>
  <c r="N84" i="42" s="1"/>
  <c r="M85" i="42"/>
  <c r="M86" i="42"/>
  <c r="N86" i="42" s="1"/>
  <c r="M87" i="42"/>
  <c r="N87" i="42" s="1"/>
  <c r="M88" i="42"/>
  <c r="N88" i="42" s="1"/>
  <c r="M89" i="42"/>
  <c r="N89" i="42" s="1"/>
  <c r="M90" i="42"/>
  <c r="N90" i="42" s="1"/>
  <c r="M91" i="42"/>
  <c r="M92" i="42"/>
  <c r="N92" i="42" s="1"/>
  <c r="M93" i="42"/>
  <c r="N93" i="42" s="1"/>
  <c r="M94" i="42"/>
  <c r="M95" i="42"/>
  <c r="M96" i="42"/>
  <c r="N96" i="42" s="1"/>
  <c r="M97" i="42"/>
  <c r="N97" i="42" s="1"/>
  <c r="M98" i="42"/>
  <c r="N98" i="42" s="1"/>
  <c r="M99" i="42"/>
  <c r="N99" i="42" s="1"/>
  <c r="M100" i="42"/>
  <c r="N100" i="42" s="1"/>
  <c r="M101" i="42"/>
  <c r="N101" i="42" s="1"/>
  <c r="M102" i="42"/>
  <c r="N102" i="42" s="1"/>
  <c r="M103" i="42"/>
  <c r="N103" i="42" s="1"/>
  <c r="M104" i="42"/>
  <c r="N104" i="42" s="1"/>
  <c r="M105" i="42"/>
  <c r="M106" i="42"/>
  <c r="N106" i="42" s="1"/>
  <c r="M107" i="42"/>
  <c r="N107" i="42" s="1"/>
  <c r="M108" i="42"/>
  <c r="N108" i="42" s="1"/>
  <c r="M109" i="42"/>
  <c r="M110" i="42"/>
  <c r="N110" i="42" s="1"/>
  <c r="M111" i="42"/>
  <c r="N111" i="42" s="1"/>
  <c r="M112" i="42"/>
  <c r="N112" i="42" s="1"/>
  <c r="M113" i="42"/>
  <c r="N113" i="42" s="1"/>
  <c r="M114" i="42"/>
  <c r="N114" i="42" s="1"/>
  <c r="M115" i="42"/>
  <c r="N115" i="42" s="1"/>
  <c r="M116" i="42"/>
  <c r="N116" i="42" s="1"/>
  <c r="M117" i="42"/>
  <c r="N117" i="42" s="1"/>
  <c r="M118" i="42"/>
  <c r="N118" i="42" s="1"/>
  <c r="M119" i="42"/>
  <c r="M120" i="42"/>
  <c r="N120" i="42" s="1"/>
  <c r="M121" i="42"/>
  <c r="M122" i="42"/>
  <c r="M123" i="42"/>
  <c r="M124" i="42"/>
  <c r="M125" i="42"/>
  <c r="M126" i="42"/>
  <c r="M127" i="42"/>
  <c r="M128" i="42"/>
  <c r="M129" i="42"/>
  <c r="M130" i="42"/>
  <c r="M131" i="42"/>
  <c r="M132" i="42"/>
  <c r="M133" i="42"/>
  <c r="M134" i="42"/>
  <c r="M135" i="42"/>
  <c r="M136" i="42"/>
  <c r="M137" i="42"/>
  <c r="M138" i="42"/>
  <c r="M139" i="42"/>
  <c r="M140" i="42"/>
  <c r="M141" i="42"/>
  <c r="M142" i="42"/>
  <c r="M143" i="42"/>
  <c r="M144" i="42"/>
  <c r="M145" i="42"/>
  <c r="M146" i="42"/>
  <c r="M147" i="42"/>
  <c r="M148" i="42"/>
  <c r="M149" i="42"/>
  <c r="M150" i="42"/>
  <c r="M151" i="42"/>
  <c r="M152" i="42"/>
  <c r="M153" i="42"/>
  <c r="M154" i="42"/>
  <c r="M155" i="42"/>
  <c r="M156" i="42"/>
  <c r="M157" i="42"/>
  <c r="M158" i="42"/>
  <c r="M159" i="42"/>
  <c r="M160" i="42"/>
  <c r="M161" i="42"/>
  <c r="M162" i="42"/>
  <c r="M163" i="42"/>
  <c r="M164" i="42"/>
  <c r="M165" i="42"/>
  <c r="M166" i="42"/>
  <c r="M167" i="42"/>
  <c r="M168" i="42"/>
  <c r="M169" i="42"/>
  <c r="M170" i="42"/>
  <c r="M171" i="42"/>
  <c r="M172" i="42"/>
  <c r="M173" i="42"/>
  <c r="M174" i="42"/>
  <c r="M175" i="42"/>
  <c r="M176" i="42"/>
  <c r="M177" i="42"/>
  <c r="M178" i="42"/>
  <c r="M179" i="42"/>
  <c r="M180" i="42"/>
  <c r="M181" i="42"/>
  <c r="M182" i="42"/>
  <c r="M183" i="42"/>
  <c r="M184" i="42"/>
  <c r="M185" i="42"/>
  <c r="M186" i="42"/>
  <c r="M187" i="42"/>
  <c r="M188" i="42"/>
  <c r="M189" i="42"/>
  <c r="M190" i="42"/>
  <c r="M191" i="42"/>
  <c r="M192" i="42"/>
  <c r="M193" i="42"/>
  <c r="M194" i="42"/>
  <c r="M195" i="42"/>
  <c r="M196" i="42"/>
  <c r="M197" i="42"/>
  <c r="M198" i="42"/>
  <c r="M199" i="42"/>
  <c r="M200" i="42"/>
  <c r="M201" i="42"/>
  <c r="M202" i="42"/>
  <c r="M203" i="42"/>
  <c r="M204" i="42"/>
  <c r="M205" i="42"/>
  <c r="M206" i="42"/>
  <c r="M207" i="42"/>
  <c r="M208" i="42"/>
  <c r="M209" i="42"/>
  <c r="M210" i="42"/>
  <c r="M211" i="42"/>
  <c r="M212" i="42"/>
  <c r="M213" i="42"/>
  <c r="M214" i="42"/>
  <c r="M215" i="42"/>
  <c r="M216" i="42"/>
  <c r="M217" i="42"/>
  <c r="M218" i="42"/>
  <c r="M219" i="42"/>
  <c r="M220" i="42"/>
  <c r="M221" i="42"/>
  <c r="M222" i="42"/>
  <c r="M223" i="42"/>
  <c r="M224" i="42"/>
  <c r="M225" i="42"/>
  <c r="M226" i="42"/>
  <c r="M227" i="42"/>
  <c r="M228" i="42"/>
  <c r="M229" i="42"/>
  <c r="M230" i="42"/>
  <c r="M231" i="42"/>
  <c r="M232" i="42"/>
  <c r="M233" i="42"/>
  <c r="M234" i="42"/>
  <c r="M235" i="42"/>
  <c r="M236" i="42"/>
  <c r="M237" i="42"/>
  <c r="M238" i="42"/>
  <c r="M239" i="42"/>
  <c r="M240" i="42"/>
  <c r="M241" i="42"/>
  <c r="M242" i="42"/>
  <c r="M243" i="42"/>
  <c r="M244" i="42"/>
  <c r="M245" i="42"/>
  <c r="M246" i="42"/>
  <c r="M247" i="42"/>
  <c r="M248" i="42"/>
  <c r="M249" i="42"/>
  <c r="M250" i="42"/>
  <c r="M251" i="42"/>
  <c r="M252" i="42"/>
  <c r="M253" i="42"/>
  <c r="M254" i="42"/>
  <c r="M255" i="42"/>
  <c r="M256" i="42"/>
  <c r="M257" i="42"/>
  <c r="M258" i="42"/>
  <c r="M259" i="42"/>
  <c r="M260" i="42"/>
  <c r="M261" i="42"/>
  <c r="M262" i="42"/>
  <c r="M263" i="42"/>
  <c r="M264" i="42"/>
  <c r="M265" i="42"/>
  <c r="M266" i="42"/>
  <c r="M267" i="42"/>
  <c r="M268" i="42"/>
  <c r="M269" i="42"/>
  <c r="M270" i="42"/>
  <c r="M271" i="42"/>
  <c r="M272" i="42"/>
  <c r="M273" i="42"/>
  <c r="M274" i="42"/>
  <c r="M275" i="42"/>
  <c r="M276" i="42"/>
  <c r="M277" i="42"/>
  <c r="M278" i="42"/>
  <c r="M279" i="42"/>
  <c r="M280" i="42"/>
  <c r="M281" i="42"/>
  <c r="M282" i="42"/>
  <c r="M283" i="42"/>
  <c r="M284" i="42"/>
  <c r="M285" i="42"/>
  <c r="M286" i="42"/>
  <c r="M287" i="42"/>
  <c r="M288" i="42"/>
  <c r="M289" i="42"/>
  <c r="M290" i="42"/>
  <c r="M291" i="42"/>
  <c r="M292" i="42"/>
  <c r="M293" i="42"/>
  <c r="M294" i="42"/>
  <c r="M295" i="42"/>
  <c r="M296" i="42"/>
  <c r="M297" i="42"/>
  <c r="M298" i="42"/>
  <c r="M299" i="42"/>
  <c r="M300" i="42"/>
  <c r="M301" i="42"/>
  <c r="M302" i="42"/>
  <c r="M303" i="42"/>
  <c r="M304" i="42"/>
  <c r="M305" i="42"/>
  <c r="M306" i="42"/>
  <c r="M307" i="42"/>
  <c r="M308" i="42"/>
  <c r="M309" i="42"/>
  <c r="M310" i="42"/>
  <c r="M311" i="42"/>
  <c r="M312" i="42"/>
  <c r="M313" i="42"/>
  <c r="M314" i="42"/>
  <c r="M315" i="42"/>
  <c r="M316" i="42"/>
  <c r="M317" i="42"/>
  <c r="M318" i="42"/>
  <c r="M319" i="42"/>
  <c r="M320" i="42"/>
  <c r="M321" i="42"/>
  <c r="M322" i="42"/>
  <c r="M323" i="42"/>
  <c r="M324" i="42"/>
  <c r="M325" i="42"/>
  <c r="M326" i="42"/>
  <c r="M327" i="42"/>
  <c r="M328" i="42"/>
  <c r="M329" i="42"/>
  <c r="M330" i="42"/>
  <c r="M331" i="42"/>
  <c r="M332" i="42"/>
  <c r="M333" i="42"/>
  <c r="M334" i="42"/>
  <c r="M335" i="42"/>
  <c r="M336" i="42"/>
  <c r="M337" i="42"/>
  <c r="M338" i="42"/>
  <c r="M339" i="42"/>
  <c r="M340" i="42"/>
  <c r="M341" i="42"/>
  <c r="M342" i="42"/>
  <c r="M343" i="42"/>
  <c r="M344" i="42"/>
  <c r="M345" i="42"/>
  <c r="M346" i="42"/>
  <c r="M347" i="42"/>
  <c r="M348" i="42"/>
  <c r="M349" i="42"/>
  <c r="M350" i="42"/>
  <c r="M351" i="42"/>
  <c r="M352" i="42"/>
  <c r="M353" i="42"/>
  <c r="M354" i="42"/>
  <c r="M355" i="42"/>
  <c r="M356" i="42"/>
  <c r="M357" i="42"/>
  <c r="M358" i="42"/>
  <c r="M359" i="42"/>
  <c r="M360" i="42"/>
  <c r="M361" i="42"/>
  <c r="M362" i="42"/>
  <c r="M363" i="42"/>
  <c r="M364" i="42"/>
  <c r="M365" i="42"/>
  <c r="M366" i="42"/>
  <c r="M367" i="42"/>
  <c r="M368" i="42"/>
  <c r="M369" i="42"/>
  <c r="M370" i="42"/>
  <c r="M371" i="42"/>
  <c r="M372" i="42"/>
  <c r="M373" i="42"/>
  <c r="M374" i="42"/>
  <c r="M375" i="42"/>
  <c r="M376" i="42"/>
  <c r="M377" i="42"/>
  <c r="M378" i="42"/>
  <c r="M379" i="42"/>
  <c r="M380" i="42"/>
  <c r="M381" i="42"/>
  <c r="M382" i="42"/>
  <c r="M383" i="42"/>
  <c r="M384" i="42"/>
  <c r="M385" i="42"/>
  <c r="M386" i="42"/>
  <c r="M387" i="42"/>
  <c r="M388" i="42"/>
  <c r="M389" i="42"/>
  <c r="M390" i="42"/>
  <c r="M391" i="42"/>
  <c r="M392" i="42"/>
  <c r="M393" i="42"/>
  <c r="M394" i="42"/>
  <c r="M395" i="42"/>
  <c r="M396" i="42"/>
  <c r="M397" i="42"/>
  <c r="M398" i="42"/>
  <c r="M399" i="42"/>
  <c r="M400" i="42"/>
  <c r="M401" i="42"/>
  <c r="M402" i="42"/>
  <c r="M403" i="42"/>
  <c r="M404" i="42"/>
  <c r="M405" i="42"/>
  <c r="M406" i="42"/>
  <c r="M407" i="42"/>
  <c r="M408" i="42"/>
  <c r="M409" i="42"/>
  <c r="M410" i="42"/>
  <c r="M411" i="42"/>
  <c r="M412" i="42"/>
  <c r="M413" i="42"/>
  <c r="M414" i="42"/>
  <c r="M415" i="42"/>
  <c r="M416" i="42"/>
  <c r="M417" i="42"/>
  <c r="M418" i="42"/>
  <c r="M419" i="42"/>
  <c r="M420" i="42"/>
  <c r="M421" i="42"/>
  <c r="M422" i="42"/>
  <c r="M423" i="42"/>
  <c r="M424" i="42"/>
  <c r="M425" i="42"/>
  <c r="M426" i="42"/>
  <c r="M427" i="42"/>
  <c r="M428" i="42"/>
  <c r="M429" i="42"/>
  <c r="M430" i="42"/>
  <c r="M431" i="42"/>
  <c r="M432" i="42"/>
  <c r="M433" i="42"/>
  <c r="M434" i="42"/>
  <c r="M435" i="42"/>
  <c r="M436" i="42"/>
  <c r="M437" i="42"/>
  <c r="M438" i="42"/>
  <c r="M439" i="42"/>
  <c r="M440" i="42"/>
  <c r="M441" i="42"/>
  <c r="M442" i="42"/>
  <c r="M443" i="42"/>
  <c r="M444" i="42"/>
  <c r="M445" i="42"/>
  <c r="M446" i="42"/>
  <c r="M447" i="42"/>
  <c r="M448" i="42"/>
  <c r="N10" i="42"/>
  <c r="N15" i="42"/>
  <c r="N24" i="42"/>
  <c r="N29" i="42"/>
  <c r="N66" i="42"/>
  <c r="N71" i="42"/>
  <c r="N80" i="42"/>
  <c r="N85" i="42"/>
  <c r="N94" i="42"/>
  <c r="N121" i="42"/>
  <c r="N122" i="42"/>
  <c r="N123" i="42"/>
  <c r="N124" i="42"/>
  <c r="N125" i="42"/>
  <c r="N126" i="42"/>
  <c r="N127" i="42"/>
  <c r="N128" i="42"/>
  <c r="N129" i="42"/>
  <c r="N130" i="42"/>
  <c r="N131" i="42"/>
  <c r="N132" i="42"/>
  <c r="N133" i="42"/>
  <c r="N134" i="42"/>
  <c r="N135" i="42"/>
  <c r="N136" i="42"/>
  <c r="N137" i="42"/>
  <c r="N138" i="42"/>
  <c r="N139" i="42"/>
  <c r="N140" i="42"/>
  <c r="N141" i="42"/>
  <c r="N142" i="42"/>
  <c r="N143" i="42"/>
  <c r="N144" i="42"/>
  <c r="N145" i="42"/>
  <c r="N146" i="42"/>
  <c r="N147" i="42"/>
  <c r="N148" i="42"/>
  <c r="N149" i="42"/>
  <c r="N150" i="42"/>
  <c r="N151" i="42"/>
  <c r="N152" i="42"/>
  <c r="N153" i="42"/>
  <c r="N154" i="42"/>
  <c r="N155" i="42"/>
  <c r="N156" i="42"/>
  <c r="N157" i="42"/>
  <c r="N158" i="42"/>
  <c r="N159" i="42"/>
  <c r="N160" i="42"/>
  <c r="N161" i="42"/>
  <c r="N162" i="42"/>
  <c r="N163" i="42"/>
  <c r="N164" i="42"/>
  <c r="N165" i="42"/>
  <c r="N166" i="42"/>
  <c r="N167" i="42"/>
  <c r="N168" i="42"/>
  <c r="N169" i="42"/>
  <c r="N170" i="42"/>
  <c r="N171" i="42"/>
  <c r="N172" i="42"/>
  <c r="N173" i="42"/>
  <c r="N174" i="42"/>
  <c r="N175" i="42"/>
  <c r="N176" i="42"/>
  <c r="N177" i="42"/>
  <c r="N178" i="42"/>
  <c r="N179" i="42"/>
  <c r="N180" i="42"/>
  <c r="N181" i="42"/>
  <c r="N182" i="42"/>
  <c r="N183" i="42"/>
  <c r="N184" i="42"/>
  <c r="N185" i="42"/>
  <c r="N186" i="42"/>
  <c r="N187" i="42"/>
  <c r="N188" i="42"/>
  <c r="N189" i="42"/>
  <c r="N190" i="42"/>
  <c r="N191" i="42"/>
  <c r="N192" i="42"/>
  <c r="N193" i="42"/>
  <c r="N194" i="42"/>
  <c r="N195" i="42"/>
  <c r="N196" i="42"/>
  <c r="N197" i="42"/>
  <c r="N198" i="42"/>
  <c r="N199" i="42"/>
  <c r="N200" i="42"/>
  <c r="N201" i="42"/>
  <c r="N202" i="42"/>
  <c r="N203" i="42"/>
  <c r="N204" i="42"/>
  <c r="N205" i="42"/>
  <c r="N206" i="42"/>
  <c r="N207" i="42"/>
  <c r="N208" i="42"/>
  <c r="N209" i="42"/>
  <c r="N210" i="42"/>
  <c r="N211" i="42"/>
  <c r="N212" i="42"/>
  <c r="N213" i="42"/>
  <c r="N214" i="42"/>
  <c r="N215" i="42"/>
  <c r="N216" i="42"/>
  <c r="N217" i="42"/>
  <c r="N218" i="42"/>
  <c r="N219" i="42"/>
  <c r="N220" i="42"/>
  <c r="N221" i="42"/>
  <c r="N222" i="42"/>
  <c r="N223" i="42"/>
  <c r="N224" i="42"/>
  <c r="N225" i="42"/>
  <c r="N226" i="42"/>
  <c r="N227" i="42"/>
  <c r="N228" i="42"/>
  <c r="N229" i="42"/>
  <c r="N230" i="42"/>
  <c r="N231" i="42"/>
  <c r="N232" i="42"/>
  <c r="N233" i="42"/>
  <c r="N234" i="42"/>
  <c r="N235" i="42"/>
  <c r="N236" i="42"/>
  <c r="N237" i="42"/>
  <c r="N238" i="42"/>
  <c r="N239" i="42"/>
  <c r="N240" i="42"/>
  <c r="N241" i="42"/>
  <c r="N242" i="42"/>
  <c r="N243" i="42"/>
  <c r="N244" i="42"/>
  <c r="N245" i="42"/>
  <c r="N246" i="42"/>
  <c r="N247" i="42"/>
  <c r="N248" i="42"/>
  <c r="N249" i="42"/>
  <c r="N250" i="42"/>
  <c r="N251" i="42"/>
  <c r="N252" i="42"/>
  <c r="N253" i="42"/>
  <c r="N254" i="42"/>
  <c r="N255" i="42"/>
  <c r="N256" i="42"/>
  <c r="N257" i="42"/>
  <c r="N258" i="42"/>
  <c r="N259" i="42"/>
  <c r="N260" i="42"/>
  <c r="N261" i="42"/>
  <c r="N262" i="42"/>
  <c r="N263" i="42"/>
  <c r="N264" i="42"/>
  <c r="N265" i="42"/>
  <c r="N266" i="42"/>
  <c r="N267" i="42"/>
  <c r="N268" i="42"/>
  <c r="N269" i="42"/>
  <c r="N270" i="42"/>
  <c r="N271" i="42"/>
  <c r="N272" i="42"/>
  <c r="N273" i="42"/>
  <c r="N274" i="42"/>
  <c r="N275" i="42"/>
  <c r="N276" i="42"/>
  <c r="N277" i="42"/>
  <c r="N278" i="42"/>
  <c r="N279" i="42"/>
  <c r="N280" i="42"/>
  <c r="N281" i="42"/>
  <c r="N282" i="42"/>
  <c r="N283" i="42"/>
  <c r="N284" i="42"/>
  <c r="N285" i="42"/>
  <c r="N286" i="42"/>
  <c r="N287" i="42"/>
  <c r="N288" i="42"/>
  <c r="N289" i="42"/>
  <c r="N290" i="42"/>
  <c r="N291" i="42"/>
  <c r="N292" i="42"/>
  <c r="N293" i="42"/>
  <c r="N294" i="42"/>
  <c r="N295" i="42"/>
  <c r="N296" i="42"/>
  <c r="N297" i="42"/>
  <c r="N298" i="42"/>
  <c r="N299" i="42"/>
  <c r="N300" i="42"/>
  <c r="N301" i="42"/>
  <c r="N302" i="42"/>
  <c r="N303" i="42"/>
  <c r="N304" i="42"/>
  <c r="N305" i="42"/>
  <c r="N306" i="42"/>
  <c r="N307" i="42"/>
  <c r="N308" i="42"/>
  <c r="N309" i="42"/>
  <c r="N310" i="42"/>
  <c r="N311" i="42"/>
  <c r="N312" i="42"/>
  <c r="N313" i="42"/>
  <c r="N314" i="42"/>
  <c r="N315" i="42"/>
  <c r="N316" i="42"/>
  <c r="N317" i="42"/>
  <c r="N318" i="42"/>
  <c r="N319" i="42"/>
  <c r="N320" i="42"/>
  <c r="N321" i="42"/>
  <c r="N322" i="42"/>
  <c r="N323" i="42"/>
  <c r="N324" i="42"/>
  <c r="N325" i="42"/>
  <c r="N326" i="42"/>
  <c r="N327" i="42"/>
  <c r="N328" i="42"/>
  <c r="N329" i="42"/>
  <c r="N330" i="42"/>
  <c r="N331" i="42"/>
  <c r="N332" i="42"/>
  <c r="N333" i="42"/>
  <c r="N334" i="42"/>
  <c r="N335" i="42"/>
  <c r="N336" i="42"/>
  <c r="N337" i="42"/>
  <c r="N338" i="42"/>
  <c r="N339" i="42"/>
  <c r="N340" i="42"/>
  <c r="N341" i="42"/>
  <c r="N342" i="42"/>
  <c r="N343" i="42"/>
  <c r="N344" i="42"/>
  <c r="N345" i="42"/>
  <c r="N346" i="42"/>
  <c r="N347" i="42"/>
  <c r="N348" i="42"/>
  <c r="N349" i="42"/>
  <c r="N350" i="42"/>
  <c r="N351" i="42"/>
  <c r="N352" i="42"/>
  <c r="N353" i="42"/>
  <c r="N354" i="42"/>
  <c r="N355" i="42"/>
  <c r="N356" i="42"/>
  <c r="N357" i="42"/>
  <c r="N358" i="42"/>
  <c r="N359" i="42"/>
  <c r="N360" i="42"/>
  <c r="N361" i="42"/>
  <c r="N362" i="42"/>
  <c r="N363" i="42"/>
  <c r="N364" i="42"/>
  <c r="N365" i="42"/>
  <c r="N366" i="42"/>
  <c r="N367" i="42"/>
  <c r="N368" i="42"/>
  <c r="N369" i="42"/>
  <c r="N370" i="42"/>
  <c r="N371" i="42"/>
  <c r="N372" i="42"/>
  <c r="N373" i="42"/>
  <c r="N374" i="42"/>
  <c r="N375" i="42"/>
  <c r="N376" i="42"/>
  <c r="N377" i="42"/>
  <c r="N378" i="42"/>
  <c r="N379" i="42"/>
  <c r="N380" i="42"/>
  <c r="N381" i="42"/>
  <c r="N382" i="42"/>
  <c r="N383" i="42"/>
  <c r="N384" i="42"/>
  <c r="N385" i="42"/>
  <c r="N386" i="42"/>
  <c r="N387" i="42"/>
  <c r="N388" i="42"/>
  <c r="N389" i="42"/>
  <c r="N390" i="42"/>
  <c r="N391" i="42"/>
  <c r="N392" i="42"/>
  <c r="N393" i="42"/>
  <c r="N394" i="42"/>
  <c r="N395" i="42"/>
  <c r="N396" i="42"/>
  <c r="N397" i="42"/>
  <c r="N398" i="42"/>
  <c r="N399" i="42"/>
  <c r="N400" i="42"/>
  <c r="N401" i="42"/>
  <c r="N402" i="42"/>
  <c r="N403" i="42"/>
  <c r="N404" i="42"/>
  <c r="N405" i="42"/>
  <c r="N406" i="42"/>
  <c r="N407" i="42"/>
  <c r="N408" i="42"/>
  <c r="N409" i="42"/>
  <c r="N410" i="42"/>
  <c r="N411" i="42"/>
  <c r="N412" i="42"/>
  <c r="N413" i="42"/>
  <c r="N414" i="42"/>
  <c r="N415" i="42"/>
  <c r="N416" i="42"/>
  <c r="N417" i="42"/>
  <c r="N418" i="42"/>
  <c r="N419" i="42"/>
  <c r="N420" i="42"/>
  <c r="N421" i="42"/>
  <c r="N422" i="42"/>
  <c r="N423" i="42"/>
  <c r="N424" i="42"/>
  <c r="N425" i="42"/>
  <c r="N426" i="42"/>
  <c r="N427" i="42"/>
  <c r="N428" i="42"/>
  <c r="N429" i="42"/>
  <c r="N430" i="42"/>
  <c r="N431" i="42"/>
  <c r="N432" i="42"/>
  <c r="N433" i="42"/>
  <c r="N434" i="42"/>
  <c r="N435" i="42"/>
  <c r="N436" i="42"/>
  <c r="N437" i="42"/>
  <c r="N438" i="42"/>
  <c r="N439" i="42"/>
  <c r="N440" i="42"/>
  <c r="N441" i="42"/>
  <c r="N442" i="42"/>
  <c r="N443" i="42"/>
  <c r="N444" i="42"/>
  <c r="N445" i="42"/>
  <c r="N446" i="42"/>
  <c r="N447" i="42"/>
  <c r="N448" i="42"/>
  <c r="BF2" i="40"/>
  <c r="BF3" i="40"/>
  <c r="BF4" i="40"/>
  <c r="BF5" i="40"/>
  <c r="BF6" i="40"/>
  <c r="BF7" i="40"/>
  <c r="BF8" i="40"/>
  <c r="BF9" i="40"/>
  <c r="BF10" i="40"/>
  <c r="BF11" i="40"/>
  <c r="BF12" i="40"/>
  <c r="BF13" i="40"/>
  <c r="BF14" i="40"/>
  <c r="BF15" i="40"/>
  <c r="BF16" i="40"/>
  <c r="BF17" i="40"/>
  <c r="BF18" i="40"/>
  <c r="BF19" i="40"/>
  <c r="BF20" i="40"/>
  <c r="BF21" i="40"/>
  <c r="BF22" i="40"/>
  <c r="BF23" i="40"/>
  <c r="BF24" i="40"/>
  <c r="BF25" i="40"/>
  <c r="BF26" i="40"/>
  <c r="BF27" i="40"/>
  <c r="BF28" i="40"/>
  <c r="BF29" i="40"/>
  <c r="BF30" i="40"/>
  <c r="BF31" i="40"/>
  <c r="BF32" i="40"/>
  <c r="BF33" i="40"/>
  <c r="BF34" i="40"/>
  <c r="BF35" i="40"/>
  <c r="BF36" i="40"/>
  <c r="BF37" i="40"/>
  <c r="BF38" i="40"/>
  <c r="BF39" i="40"/>
  <c r="BF40" i="40"/>
  <c r="BF41" i="40"/>
  <c r="BF42" i="40"/>
  <c r="BF43" i="40"/>
  <c r="BF44" i="40"/>
  <c r="BF45" i="40"/>
  <c r="BF46" i="40"/>
  <c r="BF47" i="40"/>
  <c r="BF48" i="40"/>
  <c r="BF49" i="40"/>
  <c r="BF50" i="40"/>
  <c r="BF51" i="40"/>
  <c r="BF52" i="40"/>
  <c r="BF53" i="40"/>
  <c r="BF54" i="40"/>
  <c r="BF55" i="40"/>
  <c r="BF56" i="40"/>
  <c r="BF57" i="40"/>
  <c r="BF58" i="40"/>
  <c r="BF59" i="40"/>
  <c r="BF60" i="40"/>
  <c r="BF61" i="40"/>
  <c r="BF62" i="40"/>
  <c r="BF63" i="40"/>
  <c r="BF64" i="40"/>
  <c r="BF65" i="40"/>
  <c r="BF66" i="40"/>
  <c r="BF67" i="40"/>
  <c r="BF68" i="40"/>
  <c r="BF69" i="40"/>
  <c r="BF70" i="40"/>
  <c r="BF71" i="40"/>
  <c r="BF72" i="40"/>
  <c r="BF73" i="40"/>
  <c r="BF74" i="40"/>
  <c r="BF75" i="40"/>
  <c r="BF76" i="40"/>
  <c r="BF77" i="40"/>
  <c r="BF78" i="40"/>
  <c r="BF79" i="40"/>
  <c r="BF80" i="40"/>
  <c r="BF81" i="40"/>
  <c r="BF82" i="40"/>
  <c r="BF83" i="40"/>
  <c r="BF84" i="40"/>
  <c r="BF85" i="40"/>
  <c r="BF86" i="40"/>
  <c r="BF87" i="40"/>
  <c r="BF88" i="40"/>
  <c r="BF89" i="40"/>
  <c r="BF90" i="40"/>
  <c r="BF91" i="40"/>
  <c r="BF92" i="40"/>
  <c r="BF93" i="40"/>
  <c r="BF94" i="40"/>
  <c r="BF95" i="40"/>
  <c r="BF96" i="40"/>
  <c r="BF97" i="40"/>
  <c r="BF98" i="40"/>
  <c r="BF99" i="40"/>
  <c r="BF100" i="40"/>
  <c r="BF101" i="40"/>
  <c r="BF102" i="40"/>
  <c r="BF103" i="40"/>
  <c r="BF104" i="40"/>
  <c r="BF105" i="40"/>
  <c r="BF106" i="40"/>
  <c r="BF107" i="40"/>
  <c r="BF108" i="40"/>
  <c r="BF109" i="40"/>
  <c r="BF110" i="40"/>
  <c r="BF111" i="40"/>
  <c r="BF112" i="40"/>
  <c r="BF113" i="40"/>
  <c r="BF114" i="40"/>
  <c r="BF115" i="40"/>
  <c r="BF116" i="40"/>
  <c r="BF117" i="40"/>
  <c r="BF118" i="40"/>
  <c r="BF119" i="40"/>
  <c r="BF120" i="40"/>
  <c r="BF121" i="40"/>
  <c r="BF122" i="40"/>
  <c r="BF123" i="40"/>
  <c r="BF124" i="40"/>
  <c r="BF125" i="40"/>
  <c r="BF126" i="40"/>
  <c r="BF127" i="40"/>
  <c r="BF128" i="40"/>
  <c r="BF129" i="40"/>
  <c r="BF130" i="40"/>
  <c r="BF131" i="40"/>
  <c r="BF132" i="40"/>
  <c r="BF133" i="40"/>
  <c r="BF134" i="40"/>
  <c r="BF135" i="40"/>
  <c r="BF136" i="40"/>
  <c r="BF137" i="40"/>
  <c r="BF138" i="40"/>
  <c r="BF139" i="40"/>
  <c r="BF140" i="40"/>
  <c r="BF141" i="40"/>
  <c r="BF142" i="40"/>
  <c r="BF143" i="40"/>
  <c r="BF144" i="40"/>
  <c r="BF145" i="40"/>
  <c r="BF146" i="40"/>
  <c r="BF147" i="40"/>
  <c r="BF148" i="40"/>
  <c r="BF149" i="40"/>
  <c r="BF150" i="40"/>
  <c r="BF151" i="40"/>
  <c r="BF152" i="40"/>
  <c r="BF153" i="40"/>
  <c r="BF154" i="40"/>
  <c r="BF155" i="40"/>
  <c r="BF156" i="40"/>
  <c r="BF157" i="40"/>
  <c r="BF158" i="40"/>
  <c r="BF159" i="40"/>
  <c r="BF160" i="40"/>
  <c r="BF161" i="40"/>
  <c r="BF162" i="40"/>
  <c r="BF163" i="40"/>
  <c r="BF164" i="40"/>
  <c r="BF165" i="40"/>
  <c r="BF166" i="40"/>
  <c r="BF167" i="40"/>
  <c r="BF168" i="40"/>
  <c r="BF169" i="40"/>
  <c r="BF170" i="40"/>
  <c r="BF171" i="40"/>
  <c r="BF172" i="40"/>
  <c r="BF173" i="40"/>
  <c r="BF174" i="40"/>
  <c r="BF175" i="40"/>
  <c r="BF176" i="40"/>
  <c r="BF177" i="40"/>
  <c r="BF178" i="40"/>
  <c r="BF179" i="40"/>
  <c r="BF180" i="40"/>
  <c r="BF181" i="40"/>
  <c r="BF182" i="40"/>
  <c r="BF183" i="40"/>
  <c r="BF184" i="40"/>
  <c r="BF185" i="40"/>
  <c r="BF186" i="40"/>
  <c r="BF187" i="40"/>
  <c r="BF188" i="40"/>
  <c r="BF189" i="40"/>
  <c r="BF190" i="40"/>
  <c r="BF191" i="40"/>
  <c r="BF192" i="40"/>
  <c r="BF193" i="40"/>
  <c r="BF194" i="40"/>
  <c r="BF195" i="40"/>
  <c r="BF196" i="40"/>
  <c r="BF197" i="40"/>
  <c r="BF198" i="40"/>
  <c r="BF199" i="40"/>
  <c r="BF200" i="40"/>
  <c r="BF201" i="40"/>
  <c r="BF202" i="40"/>
  <c r="BF203" i="40"/>
  <c r="BF204" i="40"/>
  <c r="BF205" i="40"/>
  <c r="BF206" i="40"/>
  <c r="BF207" i="40"/>
  <c r="BF208" i="40"/>
  <c r="BF209" i="40"/>
  <c r="BF210" i="40"/>
  <c r="BF211" i="40"/>
  <c r="BF212" i="40"/>
  <c r="BF213" i="40"/>
  <c r="BF214" i="40"/>
  <c r="BF215" i="40"/>
  <c r="BF216" i="40"/>
  <c r="BF217" i="40"/>
  <c r="BF218" i="40"/>
  <c r="BF219" i="40"/>
  <c r="BF220" i="40"/>
  <c r="BF221" i="40"/>
  <c r="BF222" i="40"/>
  <c r="BF223" i="40"/>
  <c r="BF224" i="40"/>
  <c r="BF225" i="40"/>
  <c r="BF226" i="40"/>
  <c r="BF227" i="40"/>
  <c r="BF228" i="40"/>
  <c r="BF229" i="40"/>
  <c r="BF230" i="40"/>
  <c r="BF231" i="40"/>
  <c r="BF232" i="40"/>
  <c r="BF233" i="40"/>
  <c r="BF234" i="40"/>
  <c r="BF235" i="40"/>
  <c r="BF236" i="40"/>
  <c r="BF237" i="40"/>
  <c r="BF238" i="40"/>
  <c r="BF239" i="40"/>
  <c r="BF240" i="40"/>
  <c r="BF241" i="40"/>
  <c r="BF242" i="40"/>
  <c r="BF243" i="40"/>
  <c r="BF244" i="40"/>
  <c r="BF245" i="40"/>
  <c r="BF246" i="40"/>
  <c r="BF247" i="40"/>
  <c r="BF248" i="40"/>
  <c r="BF249" i="40"/>
  <c r="BF250" i="40"/>
  <c r="BF251" i="40"/>
  <c r="BF252" i="40"/>
  <c r="BF253" i="40"/>
  <c r="BF254" i="40"/>
  <c r="BF255" i="40"/>
  <c r="BF256" i="40"/>
  <c r="BF257" i="40"/>
  <c r="BF258" i="40"/>
  <c r="BF259" i="40"/>
  <c r="BF260" i="40"/>
  <c r="BF261" i="40"/>
  <c r="BF262" i="40"/>
  <c r="BF263" i="40"/>
  <c r="BF264" i="40"/>
  <c r="BF265" i="40"/>
  <c r="BF266" i="40"/>
  <c r="BF267" i="40"/>
  <c r="BF268" i="40"/>
  <c r="BF269" i="40"/>
  <c r="BF270" i="40"/>
  <c r="BF271" i="40"/>
  <c r="BF272" i="40"/>
  <c r="BF273" i="40"/>
  <c r="BF274" i="40"/>
  <c r="BF275" i="40"/>
  <c r="BF276" i="40"/>
  <c r="BF277" i="40"/>
  <c r="BF278" i="40"/>
  <c r="BF279" i="40"/>
  <c r="BF280" i="40"/>
  <c r="BF281" i="40"/>
  <c r="BF282" i="40"/>
  <c r="BF283" i="40"/>
  <c r="BF284" i="40"/>
  <c r="BF285" i="40"/>
  <c r="BF286" i="40"/>
  <c r="BF287" i="40"/>
  <c r="BF288" i="40"/>
  <c r="BF289" i="40"/>
  <c r="BF290" i="40"/>
  <c r="BF291" i="40"/>
  <c r="BF292" i="40"/>
  <c r="BF293" i="40"/>
  <c r="BF294" i="40"/>
  <c r="BF295" i="40"/>
  <c r="BF296" i="40"/>
  <c r="BF297" i="40"/>
  <c r="BF298" i="40"/>
  <c r="BF299" i="40"/>
  <c r="BF300" i="40"/>
  <c r="BF301" i="40"/>
  <c r="BF302" i="40"/>
  <c r="BF303" i="40"/>
  <c r="BF304" i="40"/>
  <c r="BF305" i="40"/>
  <c r="BF306" i="40"/>
  <c r="BF307" i="40"/>
  <c r="BF308" i="40"/>
  <c r="BF309" i="40"/>
  <c r="BF310" i="40"/>
  <c r="BF311" i="40"/>
  <c r="BF312" i="40"/>
  <c r="BF313" i="40"/>
  <c r="BF314" i="40"/>
  <c r="BF315" i="40"/>
  <c r="BF316" i="40"/>
  <c r="BF317" i="40"/>
  <c r="BF318" i="40"/>
  <c r="BF319" i="40"/>
  <c r="BF320" i="40"/>
  <c r="BF321" i="40"/>
  <c r="BF322" i="40"/>
  <c r="BF323" i="40"/>
  <c r="BF324" i="40"/>
  <c r="BF325" i="40"/>
  <c r="BF326" i="40"/>
  <c r="BF327" i="40"/>
  <c r="BF328" i="40"/>
  <c r="BF329" i="40"/>
  <c r="BF330" i="40"/>
  <c r="BF331" i="40"/>
  <c r="BF332" i="40"/>
  <c r="BF333" i="40"/>
  <c r="BF334" i="40"/>
  <c r="BF335" i="40"/>
  <c r="BF336" i="40"/>
  <c r="BF337" i="40"/>
  <c r="BF338" i="40"/>
  <c r="BF339" i="40"/>
  <c r="BF340" i="40"/>
  <c r="BF341" i="40"/>
  <c r="BF342" i="40"/>
  <c r="BF343" i="40"/>
  <c r="BF344" i="40"/>
  <c r="BF345" i="40"/>
  <c r="BF346" i="40"/>
  <c r="BF347" i="40"/>
  <c r="BF348" i="40"/>
  <c r="BF349" i="40"/>
  <c r="BF350" i="40"/>
  <c r="BF351" i="40"/>
  <c r="BF352" i="40"/>
  <c r="BF353" i="40"/>
  <c r="BF354" i="40"/>
  <c r="BF355" i="40"/>
  <c r="BF356" i="40"/>
  <c r="BF357" i="40"/>
  <c r="BF358" i="40"/>
  <c r="BF359" i="40"/>
  <c r="BF360" i="40"/>
  <c r="BF361" i="40"/>
  <c r="BF362" i="40"/>
  <c r="BF363" i="40"/>
  <c r="BF364" i="40"/>
  <c r="BF365" i="40"/>
  <c r="BF366" i="40"/>
  <c r="BF367" i="40"/>
  <c r="BF368" i="40"/>
  <c r="BF369" i="40"/>
  <c r="BF370" i="40"/>
  <c r="BF371" i="40"/>
  <c r="BF372" i="40"/>
  <c r="BF373" i="40"/>
  <c r="BF374" i="40"/>
  <c r="BF375" i="40"/>
  <c r="BF376" i="40"/>
  <c r="BF377" i="40"/>
  <c r="BF378" i="40"/>
  <c r="BF379" i="40"/>
  <c r="BF380" i="40"/>
  <c r="BF381" i="40"/>
  <c r="BF382" i="40"/>
  <c r="BF383" i="40"/>
  <c r="BF384" i="40"/>
  <c r="BF385" i="40"/>
  <c r="BF386" i="40"/>
  <c r="BF387" i="40"/>
  <c r="BF388" i="40"/>
  <c r="BF389" i="40"/>
  <c r="BF390" i="40"/>
  <c r="BF391" i="40"/>
  <c r="BF392" i="40"/>
  <c r="BF393" i="40"/>
  <c r="BF394" i="40"/>
  <c r="BF395" i="40"/>
  <c r="BF396" i="40"/>
  <c r="BF397" i="40"/>
  <c r="BF398" i="40"/>
  <c r="BF399" i="40"/>
  <c r="BF400" i="40"/>
  <c r="BF401" i="40"/>
  <c r="BF402" i="40"/>
  <c r="BF403" i="40"/>
  <c r="BF404" i="40"/>
  <c r="BF405" i="40"/>
  <c r="BF406" i="40"/>
  <c r="BF407" i="40"/>
  <c r="BF408" i="40"/>
  <c r="BF409" i="40"/>
  <c r="BF410" i="40"/>
  <c r="BF411" i="40"/>
  <c r="BF412" i="40"/>
  <c r="BF413" i="40"/>
  <c r="BF414" i="40"/>
  <c r="BF415" i="40"/>
  <c r="BF416" i="40"/>
  <c r="BF417" i="40"/>
  <c r="BF418" i="40"/>
  <c r="BF419" i="40"/>
  <c r="BF420" i="40"/>
  <c r="BF421" i="40"/>
  <c r="BF422" i="40"/>
  <c r="BF423" i="40"/>
  <c r="BF424" i="40"/>
  <c r="BF425" i="40"/>
  <c r="BF426" i="40"/>
  <c r="BF427" i="40"/>
  <c r="BF428" i="40"/>
  <c r="BF429" i="40"/>
  <c r="BF430" i="40"/>
  <c r="BF431" i="40"/>
  <c r="BF432" i="40"/>
  <c r="BF433" i="40"/>
  <c r="BF434" i="40"/>
  <c r="BF435" i="40"/>
  <c r="BF436" i="40"/>
  <c r="BF437" i="40"/>
  <c r="BF438" i="40"/>
  <c r="BF439" i="40"/>
  <c r="BF440" i="40"/>
  <c r="BF441" i="40"/>
  <c r="BF442" i="40"/>
  <c r="BF443" i="40"/>
  <c r="BF444" i="40"/>
  <c r="BF445" i="40"/>
  <c r="BF446" i="40"/>
  <c r="BF447" i="40"/>
  <c r="BF448" i="40"/>
  <c r="BF449" i="40"/>
  <c r="BF450" i="40"/>
  <c r="BF451" i="40"/>
  <c r="BF452" i="40"/>
  <c r="BF453" i="40"/>
  <c r="BF454" i="40"/>
  <c r="BF455" i="40"/>
  <c r="BF456" i="40"/>
  <c r="BF457" i="40"/>
  <c r="BF458" i="40"/>
  <c r="BF459" i="40"/>
  <c r="BF460" i="40"/>
  <c r="BF461" i="40"/>
  <c r="BF462" i="40"/>
  <c r="BF463" i="40"/>
  <c r="BF464" i="40"/>
  <c r="BF465" i="40"/>
  <c r="BF466" i="40"/>
  <c r="BF467" i="40"/>
  <c r="BF468" i="40"/>
  <c r="BF469" i="40"/>
  <c r="BF470" i="40"/>
  <c r="BF471" i="40"/>
  <c r="BF472" i="40"/>
  <c r="BF473" i="40"/>
  <c r="BF474" i="40"/>
  <c r="BF475" i="40"/>
  <c r="BF476" i="40"/>
  <c r="BF477" i="40"/>
  <c r="BF478" i="40"/>
  <c r="BF479" i="40"/>
  <c r="BF480" i="40"/>
  <c r="BF481" i="40"/>
  <c r="BF482" i="40"/>
  <c r="BF483" i="40"/>
  <c r="BF484" i="40"/>
  <c r="BF485" i="40"/>
  <c r="BF486" i="40"/>
  <c r="BF487" i="40"/>
  <c r="BF488" i="40"/>
  <c r="BF489" i="40"/>
  <c r="BF490" i="40"/>
  <c r="BF491" i="40"/>
  <c r="BF492" i="40"/>
  <c r="BF493" i="40"/>
  <c r="BF494" i="40"/>
  <c r="BF495" i="40"/>
  <c r="BF496" i="40"/>
  <c r="BF497" i="40"/>
  <c r="BF498" i="40"/>
  <c r="BF499" i="40"/>
  <c r="BF500" i="40"/>
  <c r="BF501" i="40"/>
  <c r="BF502" i="40"/>
  <c r="BF503" i="40"/>
  <c r="BF504" i="40"/>
  <c r="BF505" i="40"/>
  <c r="BF506" i="40"/>
  <c r="BF507" i="40"/>
  <c r="BF508" i="40"/>
  <c r="BF509" i="40"/>
  <c r="BF510" i="40"/>
  <c r="BF511" i="40"/>
  <c r="BF512" i="40"/>
  <c r="BF513" i="40"/>
  <c r="BF514" i="40"/>
  <c r="BF515" i="40"/>
  <c r="BF516" i="40"/>
  <c r="BF517" i="40"/>
  <c r="BF518" i="40"/>
  <c r="BF519" i="40"/>
  <c r="BF520" i="40"/>
  <c r="BF521" i="40"/>
  <c r="BF522" i="40"/>
  <c r="BF523" i="40"/>
  <c r="BF524" i="40"/>
  <c r="BF525" i="40"/>
  <c r="BF526" i="40"/>
  <c r="BF527" i="40"/>
  <c r="BF528" i="40"/>
  <c r="BF529" i="40"/>
  <c r="BF530" i="40"/>
  <c r="BF531" i="40"/>
  <c r="BF532" i="40"/>
  <c r="BF533" i="40"/>
  <c r="BF534" i="40"/>
  <c r="BF535" i="40"/>
  <c r="BF536" i="40"/>
  <c r="BF537" i="40"/>
  <c r="BF538" i="40"/>
  <c r="BF539" i="40"/>
  <c r="BF540" i="40"/>
  <c r="BF541" i="40"/>
  <c r="BF542" i="40"/>
  <c r="BF543" i="40"/>
  <c r="BF544" i="40"/>
  <c r="BF545" i="40"/>
  <c r="BF546" i="40"/>
  <c r="BF547" i="40"/>
  <c r="BF548" i="40"/>
  <c r="BF549" i="40"/>
  <c r="BF550" i="40"/>
  <c r="BF551" i="40"/>
  <c r="BF552" i="40"/>
  <c r="BF553" i="40"/>
  <c r="BF554" i="40"/>
  <c r="BF555" i="40"/>
  <c r="BF556" i="40"/>
  <c r="BF557" i="40"/>
  <c r="BF558" i="40"/>
  <c r="BF559" i="40"/>
  <c r="BF560" i="40"/>
  <c r="BF561" i="40"/>
  <c r="BF562" i="40"/>
  <c r="BF563" i="40"/>
  <c r="BF564" i="40"/>
  <c r="BF565" i="40"/>
  <c r="BF566" i="40"/>
  <c r="BF567" i="40"/>
  <c r="BF568" i="40"/>
  <c r="BF569" i="40"/>
  <c r="BF570" i="40"/>
  <c r="BF571" i="40"/>
  <c r="BF572" i="40"/>
  <c r="BF573" i="40"/>
  <c r="BF574" i="40"/>
  <c r="BF575" i="40"/>
  <c r="BF576" i="40"/>
  <c r="BF577" i="40"/>
  <c r="BF578" i="40"/>
  <c r="BF579" i="40"/>
  <c r="BF580" i="40"/>
  <c r="BF581" i="40"/>
  <c r="BF582" i="40"/>
  <c r="BF583" i="40"/>
  <c r="BF584" i="40"/>
  <c r="BF585" i="40"/>
  <c r="BF586" i="40"/>
  <c r="BF587" i="40"/>
  <c r="BF588" i="40"/>
  <c r="BF589" i="40"/>
  <c r="BF590" i="40"/>
  <c r="BF591" i="40"/>
  <c r="BF592" i="40"/>
  <c r="BF593" i="40"/>
  <c r="BF594" i="40"/>
  <c r="BF595" i="40"/>
  <c r="BF596" i="40"/>
  <c r="BF597" i="40"/>
  <c r="BF598" i="40"/>
  <c r="BF599" i="40"/>
  <c r="BF600" i="40"/>
  <c r="BF601" i="40"/>
  <c r="BF602" i="40"/>
  <c r="BF603" i="40"/>
  <c r="BF604" i="40"/>
  <c r="BF605" i="40"/>
  <c r="BF606" i="40"/>
  <c r="BF607" i="40"/>
  <c r="BF608" i="40"/>
  <c r="BF609" i="40"/>
  <c r="BF610" i="40"/>
  <c r="BF611" i="40"/>
  <c r="BF612" i="40"/>
  <c r="BF613" i="40"/>
  <c r="BF614" i="40"/>
  <c r="BF615" i="40"/>
  <c r="BF616" i="40"/>
  <c r="BF617" i="40"/>
  <c r="BF618" i="40"/>
  <c r="BF619" i="40"/>
  <c r="BF620" i="40"/>
  <c r="BF621" i="40"/>
  <c r="BF622" i="40"/>
  <c r="BF623" i="40"/>
  <c r="BF624" i="40"/>
  <c r="BF625" i="40"/>
  <c r="BF626" i="40"/>
  <c r="BF627" i="40"/>
  <c r="BF628" i="40"/>
  <c r="BF629" i="40"/>
  <c r="BF630" i="40"/>
  <c r="BF631" i="40"/>
  <c r="BF632" i="40"/>
  <c r="BF633" i="40"/>
  <c r="BF634" i="40"/>
  <c r="BF635" i="40"/>
  <c r="BF636" i="40"/>
  <c r="BF637" i="40"/>
  <c r="BF638" i="40"/>
  <c r="BF639" i="40"/>
  <c r="BF640" i="40"/>
  <c r="BF641" i="40"/>
  <c r="BF642" i="40"/>
  <c r="BF643" i="40"/>
  <c r="BF644" i="40"/>
  <c r="BF645" i="40"/>
  <c r="BF646" i="40"/>
  <c r="BF647" i="40"/>
  <c r="BF648" i="40"/>
  <c r="BF649" i="40"/>
  <c r="BF650" i="40"/>
  <c r="BF651" i="40"/>
  <c r="BF652" i="40"/>
  <c r="BF653" i="40"/>
  <c r="BF654" i="40"/>
  <c r="BF655" i="40"/>
  <c r="BF656" i="40"/>
  <c r="BF657" i="40"/>
  <c r="BF658" i="40"/>
  <c r="BF659" i="40"/>
  <c r="BF660" i="40"/>
  <c r="BF661" i="40"/>
  <c r="BF662" i="40"/>
  <c r="BF663" i="40"/>
  <c r="BF664" i="40"/>
  <c r="BF665" i="40"/>
  <c r="BF666" i="40"/>
  <c r="BF667" i="40"/>
  <c r="BF668" i="40"/>
  <c r="BF669" i="40"/>
  <c r="BF670" i="40"/>
  <c r="BF671" i="40"/>
  <c r="BF672" i="40"/>
  <c r="BF673" i="40"/>
  <c r="BF674" i="40"/>
  <c r="BF675" i="40"/>
  <c r="BF676" i="40"/>
  <c r="BF677" i="40"/>
  <c r="BF678" i="40"/>
  <c r="BF679" i="40"/>
  <c r="BF680" i="40"/>
  <c r="BF681" i="40"/>
  <c r="BF682" i="40"/>
  <c r="BF683" i="40"/>
  <c r="BF684" i="40"/>
  <c r="BF685" i="40"/>
  <c r="BF686" i="40"/>
  <c r="BF687" i="40"/>
  <c r="BF688" i="40"/>
  <c r="BF689" i="40"/>
  <c r="BF690" i="40"/>
  <c r="BF691" i="40"/>
  <c r="BF692" i="40"/>
  <c r="BF693" i="40"/>
  <c r="BF694" i="40"/>
  <c r="BF695" i="40"/>
  <c r="BF696" i="40"/>
  <c r="BF697" i="40"/>
  <c r="BF698" i="40"/>
  <c r="BF699" i="40"/>
  <c r="BF700" i="40"/>
  <c r="BF701" i="40"/>
  <c r="BF702" i="40"/>
  <c r="BF703" i="40"/>
  <c r="BF704" i="40"/>
  <c r="BF705" i="40"/>
  <c r="BG2" i="40"/>
  <c r="BG3" i="40"/>
  <c r="BG4" i="40"/>
  <c r="BG5" i="40"/>
  <c r="BG6" i="40"/>
  <c r="BG7" i="40"/>
  <c r="BG8" i="40"/>
  <c r="BG9" i="40"/>
  <c r="BG10" i="40"/>
  <c r="BG11" i="40"/>
  <c r="BG12" i="40"/>
  <c r="BG13" i="40"/>
  <c r="BG14" i="40"/>
  <c r="BG15" i="40"/>
  <c r="BG16" i="40"/>
  <c r="BG17" i="40"/>
  <c r="BG18" i="40"/>
  <c r="BG19" i="40"/>
  <c r="BG20" i="40"/>
  <c r="BG21" i="40"/>
  <c r="BG22" i="40"/>
  <c r="BG23" i="40"/>
  <c r="BG24" i="40"/>
  <c r="BG25" i="40"/>
  <c r="BG26" i="40"/>
  <c r="BG27" i="40"/>
  <c r="BG28" i="40"/>
  <c r="BG29" i="40"/>
  <c r="BG30" i="40"/>
  <c r="BG31" i="40"/>
  <c r="BG32" i="40"/>
  <c r="BG33" i="40"/>
  <c r="BG34" i="40"/>
  <c r="BG35" i="40"/>
  <c r="BG36" i="40"/>
  <c r="BG37" i="40"/>
  <c r="BG38" i="40"/>
  <c r="BG39" i="40"/>
  <c r="BG40" i="40"/>
  <c r="BG41" i="40"/>
  <c r="BG42" i="40"/>
  <c r="BG43" i="40"/>
  <c r="BG44" i="40"/>
  <c r="BG45" i="40"/>
  <c r="BG46" i="40"/>
  <c r="BG47" i="40"/>
  <c r="BG48" i="40"/>
  <c r="BG49" i="40"/>
  <c r="BG50" i="40"/>
  <c r="BG51" i="40"/>
  <c r="BG52" i="40"/>
  <c r="BG53" i="40"/>
  <c r="BG54" i="40"/>
  <c r="BG55" i="40"/>
  <c r="BG56" i="40"/>
  <c r="BG57" i="40"/>
  <c r="BG58" i="40"/>
  <c r="BG59" i="40"/>
  <c r="BG60" i="40"/>
  <c r="BG61" i="40"/>
  <c r="BG62" i="40"/>
  <c r="BG63" i="40"/>
  <c r="BG64" i="40"/>
  <c r="BG65" i="40"/>
  <c r="BG66" i="40"/>
  <c r="BG67" i="40"/>
  <c r="BG68" i="40"/>
  <c r="BG69" i="40"/>
  <c r="BG70" i="40"/>
  <c r="BG71" i="40"/>
  <c r="BG72" i="40"/>
  <c r="BG73" i="40"/>
  <c r="BG74" i="40"/>
  <c r="BG75" i="40"/>
  <c r="BG76" i="40"/>
  <c r="BG77" i="40"/>
  <c r="BG78" i="40"/>
  <c r="BG79" i="40"/>
  <c r="BG80" i="40"/>
  <c r="BG81" i="40"/>
  <c r="BG82" i="40"/>
  <c r="BG83" i="40"/>
  <c r="BG84" i="40"/>
  <c r="BG85" i="40"/>
  <c r="BG86" i="40"/>
  <c r="BG87" i="40"/>
  <c r="BG88" i="40"/>
  <c r="BG89" i="40"/>
  <c r="BG90" i="40"/>
  <c r="BG91" i="40"/>
  <c r="BG92" i="40"/>
  <c r="BG93" i="40"/>
  <c r="BG94" i="40"/>
  <c r="BG95" i="40"/>
  <c r="BG96" i="40"/>
  <c r="BG97" i="40"/>
  <c r="BG98" i="40"/>
  <c r="BG99" i="40"/>
  <c r="BG100" i="40"/>
  <c r="BG101" i="40"/>
  <c r="BG102" i="40"/>
  <c r="BG103" i="40"/>
  <c r="BG104" i="40"/>
  <c r="BG105" i="40"/>
  <c r="BG106" i="40"/>
  <c r="BG107" i="40"/>
  <c r="BG108" i="40"/>
  <c r="BG109" i="40"/>
  <c r="BG110" i="40"/>
  <c r="BG111" i="40"/>
  <c r="BG112" i="40"/>
  <c r="BG113" i="40"/>
  <c r="BG114" i="40"/>
  <c r="BG115" i="40"/>
  <c r="BG116" i="40"/>
  <c r="BG117" i="40"/>
  <c r="BG118" i="40"/>
  <c r="BG119" i="40"/>
  <c r="BG120" i="40"/>
  <c r="BG121" i="40"/>
  <c r="BG122" i="40"/>
  <c r="BG123" i="40"/>
  <c r="BG124" i="40"/>
  <c r="BG125" i="40"/>
  <c r="BG126" i="40"/>
  <c r="BG127" i="40"/>
  <c r="BG128" i="40"/>
  <c r="BG129" i="40"/>
  <c r="BG130" i="40"/>
  <c r="BG131" i="40"/>
  <c r="BG132" i="40"/>
  <c r="BG133" i="40"/>
  <c r="BG134" i="40"/>
  <c r="BG135" i="40"/>
  <c r="BG136" i="40"/>
  <c r="BG137" i="40"/>
  <c r="BG138" i="40"/>
  <c r="BG139" i="40"/>
  <c r="BG140" i="40"/>
  <c r="BG141" i="40"/>
  <c r="BG142" i="40"/>
  <c r="BG143" i="40"/>
  <c r="BG144" i="40"/>
  <c r="BG145" i="40"/>
  <c r="BG146" i="40"/>
  <c r="BG147" i="40"/>
  <c r="BG148" i="40"/>
  <c r="BG149" i="40"/>
  <c r="BG150" i="40"/>
  <c r="BG151" i="40"/>
  <c r="BG152" i="40"/>
  <c r="BG153" i="40"/>
  <c r="BG154" i="40"/>
  <c r="BG155" i="40"/>
  <c r="BG156" i="40"/>
  <c r="BG157" i="40"/>
  <c r="BG158" i="40"/>
  <c r="BG159" i="40"/>
  <c r="BG160" i="40"/>
  <c r="BG161" i="40"/>
  <c r="BG162" i="40"/>
  <c r="BG163" i="40"/>
  <c r="BG164" i="40"/>
  <c r="BG165" i="40"/>
  <c r="BG166" i="40"/>
  <c r="BG167" i="40"/>
  <c r="BG168" i="40"/>
  <c r="BG169" i="40"/>
  <c r="BG170" i="40"/>
  <c r="BG171" i="40"/>
  <c r="BG172" i="40"/>
  <c r="BG173" i="40"/>
  <c r="BG174" i="40"/>
  <c r="BG175" i="40"/>
  <c r="BG176" i="40"/>
  <c r="BG177" i="40"/>
  <c r="BG178" i="40"/>
  <c r="BG179" i="40"/>
  <c r="BG180" i="40"/>
  <c r="BG181" i="40"/>
  <c r="BG182" i="40"/>
  <c r="BG183" i="40"/>
  <c r="BG184" i="40"/>
  <c r="BG185" i="40"/>
  <c r="BG186" i="40"/>
  <c r="BG187" i="40"/>
  <c r="BG188" i="40"/>
  <c r="BG189" i="40"/>
  <c r="BG190" i="40"/>
  <c r="BG191" i="40"/>
  <c r="BG192" i="40"/>
  <c r="BG193" i="40"/>
  <c r="BG194" i="40"/>
  <c r="BG195" i="40"/>
  <c r="BG196" i="40"/>
  <c r="BG197" i="40"/>
  <c r="BG198" i="40"/>
  <c r="BG199" i="40"/>
  <c r="BG200" i="40"/>
  <c r="BG201" i="40"/>
  <c r="BG202" i="40"/>
  <c r="BG203" i="40"/>
  <c r="BG204" i="40"/>
  <c r="BG205" i="40"/>
  <c r="BG206" i="40"/>
  <c r="BG207" i="40"/>
  <c r="BG208" i="40"/>
  <c r="BG209" i="40"/>
  <c r="BG210" i="40"/>
  <c r="BG211" i="40"/>
  <c r="BG212" i="40"/>
  <c r="BG213" i="40"/>
  <c r="BG214" i="40"/>
  <c r="BG215" i="40"/>
  <c r="BG216" i="40"/>
  <c r="BG217" i="40"/>
  <c r="BG218" i="40"/>
  <c r="BG219" i="40"/>
  <c r="BG220" i="40"/>
  <c r="BG221" i="40"/>
  <c r="BG222" i="40"/>
  <c r="BG223" i="40"/>
  <c r="BG224" i="40"/>
  <c r="BG225" i="40"/>
  <c r="BG226" i="40"/>
  <c r="BG227" i="40"/>
  <c r="BG228" i="40"/>
  <c r="BG229" i="40"/>
  <c r="BG230" i="40"/>
  <c r="BG231" i="40"/>
  <c r="BG232" i="40"/>
  <c r="BG233" i="40"/>
  <c r="BG234" i="40"/>
  <c r="BG235" i="40"/>
  <c r="BG236" i="40"/>
  <c r="BG237" i="40"/>
  <c r="BG238" i="40"/>
  <c r="BG239" i="40"/>
  <c r="BG240" i="40"/>
  <c r="BG241" i="40"/>
  <c r="BG242" i="40"/>
  <c r="BG243" i="40"/>
  <c r="BG244" i="40"/>
  <c r="BG245" i="40"/>
  <c r="BG246" i="40"/>
  <c r="BG247" i="40"/>
  <c r="BG248" i="40"/>
  <c r="BG249" i="40"/>
  <c r="BG250" i="40"/>
  <c r="BG251" i="40"/>
  <c r="BG252" i="40"/>
  <c r="BG253" i="40"/>
  <c r="BG254" i="40"/>
  <c r="BG255" i="40"/>
  <c r="BG256" i="40"/>
  <c r="BG257" i="40"/>
  <c r="BG258" i="40"/>
  <c r="BG259" i="40"/>
  <c r="BG260" i="40"/>
  <c r="BG261" i="40"/>
  <c r="BG262" i="40"/>
  <c r="BG263" i="40"/>
  <c r="BG264" i="40"/>
  <c r="BG265" i="40"/>
  <c r="BG266" i="40"/>
  <c r="BG267" i="40"/>
  <c r="BG268" i="40"/>
  <c r="BG269" i="40"/>
  <c r="BG270" i="40"/>
  <c r="BG271" i="40"/>
  <c r="BG272" i="40"/>
  <c r="BG273" i="40"/>
  <c r="BG274" i="40"/>
  <c r="BG275" i="40"/>
  <c r="BG276" i="40"/>
  <c r="BG277" i="40"/>
  <c r="BG278" i="40"/>
  <c r="BG279" i="40"/>
  <c r="BG280" i="40"/>
  <c r="BG281" i="40"/>
  <c r="BG282" i="40"/>
  <c r="BG283" i="40"/>
  <c r="BG284" i="40"/>
  <c r="BG285" i="40"/>
  <c r="BG286" i="40"/>
  <c r="BG287" i="40"/>
  <c r="BG288" i="40"/>
  <c r="BG289" i="40"/>
  <c r="BG290" i="40"/>
  <c r="BG291" i="40"/>
  <c r="BG292" i="40"/>
  <c r="BG293" i="40"/>
  <c r="BG294" i="40"/>
  <c r="BG295" i="40"/>
  <c r="BG296" i="40"/>
  <c r="BG297" i="40"/>
  <c r="BG298" i="40"/>
  <c r="BG299" i="40"/>
  <c r="BG300" i="40"/>
  <c r="BG301" i="40"/>
  <c r="BG302" i="40"/>
  <c r="BG303" i="40"/>
  <c r="BG304" i="40"/>
  <c r="BG305" i="40"/>
  <c r="BG306" i="40"/>
  <c r="BG307" i="40"/>
  <c r="BG308" i="40"/>
  <c r="BG309" i="40"/>
  <c r="BG310" i="40"/>
  <c r="BG311" i="40"/>
  <c r="BG312" i="40"/>
  <c r="BG313" i="40"/>
  <c r="BG314" i="40"/>
  <c r="BG315" i="40"/>
  <c r="BG316" i="40"/>
  <c r="BG317" i="40"/>
  <c r="BG318" i="40"/>
  <c r="BG319" i="40"/>
  <c r="BG320" i="40"/>
  <c r="BG321" i="40"/>
  <c r="BG322" i="40"/>
  <c r="BG323" i="40"/>
  <c r="BG324" i="40"/>
  <c r="BG325" i="40"/>
  <c r="BG326" i="40"/>
  <c r="BG327" i="40"/>
  <c r="BG328" i="40"/>
  <c r="BG329" i="40"/>
  <c r="BG330" i="40"/>
  <c r="BG331" i="40"/>
  <c r="BG332" i="40"/>
  <c r="BG333" i="40"/>
  <c r="BG334" i="40"/>
  <c r="BG335" i="40"/>
  <c r="BG336" i="40"/>
  <c r="BG337" i="40"/>
  <c r="BG338" i="40"/>
  <c r="BG339" i="40"/>
  <c r="BG340" i="40"/>
  <c r="BG341" i="40"/>
  <c r="BG342" i="40"/>
  <c r="BG343" i="40"/>
  <c r="BG344" i="40"/>
  <c r="BG345" i="40"/>
  <c r="BG346" i="40"/>
  <c r="BG347" i="40"/>
  <c r="BG348" i="40"/>
  <c r="BG349" i="40"/>
  <c r="BG350" i="40"/>
  <c r="BG351" i="40"/>
  <c r="BG352" i="40"/>
  <c r="BG353" i="40"/>
  <c r="BG354" i="40"/>
  <c r="BG355" i="40"/>
  <c r="BG356" i="40"/>
  <c r="BG357" i="40"/>
  <c r="BG358" i="40"/>
  <c r="BG359" i="40"/>
  <c r="BG360" i="40"/>
  <c r="BG361" i="40"/>
  <c r="BG362" i="40"/>
  <c r="BG363" i="40"/>
  <c r="BG364" i="40"/>
  <c r="BG365" i="40"/>
  <c r="BG366" i="40"/>
  <c r="BG367" i="40"/>
  <c r="BG368" i="40"/>
  <c r="BG369" i="40"/>
  <c r="BG370" i="40"/>
  <c r="BG371" i="40"/>
  <c r="BG372" i="40"/>
  <c r="BG373" i="40"/>
  <c r="BG374" i="40"/>
  <c r="BG375" i="40"/>
  <c r="BG376" i="40"/>
  <c r="BG377" i="40"/>
  <c r="BG378" i="40"/>
  <c r="BG379" i="40"/>
  <c r="BG380" i="40"/>
  <c r="BG381" i="40"/>
  <c r="BG382" i="40"/>
  <c r="BG383" i="40"/>
  <c r="BG384" i="40"/>
  <c r="BG385" i="40"/>
  <c r="BG386" i="40"/>
  <c r="BG387" i="40"/>
  <c r="BG388" i="40"/>
  <c r="BG389" i="40"/>
  <c r="BG390" i="40"/>
  <c r="BG391" i="40"/>
  <c r="BG392" i="40"/>
  <c r="BG393" i="40"/>
  <c r="BG394" i="40"/>
  <c r="BG395" i="40"/>
  <c r="BG396" i="40"/>
  <c r="BG397" i="40"/>
  <c r="BG398" i="40"/>
  <c r="BG399" i="40"/>
  <c r="BG400" i="40"/>
  <c r="BG401" i="40"/>
  <c r="BG402" i="40"/>
  <c r="BG403" i="40"/>
  <c r="BG404" i="40"/>
  <c r="BG405" i="40"/>
  <c r="BG406" i="40"/>
  <c r="BG407" i="40"/>
  <c r="BG408" i="40"/>
  <c r="BG409" i="40"/>
  <c r="BG410" i="40"/>
  <c r="BG411" i="40"/>
  <c r="BG412" i="40"/>
  <c r="BG413" i="40"/>
  <c r="BG414" i="40"/>
  <c r="BG415" i="40"/>
  <c r="BG416" i="40"/>
  <c r="BG417" i="40"/>
  <c r="BG418" i="40"/>
  <c r="BG419" i="40"/>
  <c r="BG420" i="40"/>
  <c r="BG421" i="40"/>
  <c r="BG422" i="40"/>
  <c r="BG423" i="40"/>
  <c r="BG424" i="40"/>
  <c r="BG425" i="40"/>
  <c r="BG426" i="40"/>
  <c r="BG427" i="40"/>
  <c r="BG428" i="40"/>
  <c r="BG429" i="40"/>
  <c r="BG430" i="40"/>
  <c r="BG431" i="40"/>
  <c r="BG432" i="40"/>
  <c r="BG433" i="40"/>
  <c r="BG434" i="40"/>
  <c r="BG435" i="40"/>
  <c r="BG436" i="40"/>
  <c r="BG437" i="40"/>
  <c r="BG438" i="40"/>
  <c r="BG439" i="40"/>
  <c r="BG440" i="40"/>
  <c r="BG441" i="40"/>
  <c r="BG442" i="40"/>
  <c r="BG443" i="40"/>
  <c r="BG444" i="40"/>
  <c r="BG445" i="40"/>
  <c r="BG446" i="40"/>
  <c r="BG447" i="40"/>
  <c r="BG448" i="40"/>
  <c r="BG449" i="40"/>
  <c r="BG450" i="40"/>
  <c r="BG451" i="40"/>
  <c r="BG452" i="40"/>
  <c r="BG453" i="40"/>
  <c r="BG454" i="40"/>
  <c r="BG455" i="40"/>
  <c r="BG456" i="40"/>
  <c r="BG457" i="40"/>
  <c r="BG458" i="40"/>
  <c r="BG459" i="40"/>
  <c r="BG460" i="40"/>
  <c r="BG461" i="40"/>
  <c r="BG462" i="40"/>
  <c r="BG463" i="40"/>
  <c r="BG464" i="40"/>
  <c r="BG465" i="40"/>
  <c r="BG466" i="40"/>
  <c r="BG467" i="40"/>
  <c r="BG468" i="40"/>
  <c r="BG469" i="40"/>
  <c r="BG470" i="40"/>
  <c r="BG471" i="40"/>
  <c r="BG472" i="40"/>
  <c r="BG473" i="40"/>
  <c r="BG474" i="40"/>
  <c r="BG475" i="40"/>
  <c r="BG476" i="40"/>
  <c r="BG477" i="40"/>
  <c r="BG478" i="40"/>
  <c r="BG479" i="40"/>
  <c r="BG480" i="40"/>
  <c r="BG481" i="40"/>
  <c r="BG482" i="40"/>
  <c r="BG483" i="40"/>
  <c r="BG484" i="40"/>
  <c r="BG485" i="40"/>
  <c r="BG486" i="40"/>
  <c r="BG487" i="40"/>
  <c r="BG488" i="40"/>
  <c r="BG489" i="40"/>
  <c r="BG490" i="40"/>
  <c r="BG491" i="40"/>
  <c r="BG492" i="40"/>
  <c r="BG493" i="40"/>
  <c r="BG494" i="40"/>
  <c r="BG495" i="40"/>
  <c r="BG496" i="40"/>
  <c r="BG497" i="40"/>
  <c r="BG498" i="40"/>
  <c r="BG499" i="40"/>
  <c r="BG500" i="40"/>
  <c r="BG501" i="40"/>
  <c r="BG502" i="40"/>
  <c r="BG503" i="40"/>
  <c r="BG504" i="40"/>
  <c r="BG505" i="40"/>
  <c r="BG506" i="40"/>
  <c r="BG507" i="40"/>
  <c r="BG508" i="40"/>
  <c r="BG509" i="40"/>
  <c r="BG510" i="40"/>
  <c r="BG511" i="40"/>
  <c r="BG512" i="40"/>
  <c r="BG513" i="40"/>
  <c r="BG514" i="40"/>
  <c r="BG515" i="40"/>
  <c r="BG516" i="40"/>
  <c r="BG517" i="40"/>
  <c r="BG518" i="40"/>
  <c r="BG519" i="40"/>
  <c r="BG520" i="40"/>
  <c r="BG521" i="40"/>
  <c r="BG522" i="40"/>
  <c r="BG523" i="40"/>
  <c r="BG524" i="40"/>
  <c r="BG525" i="40"/>
  <c r="BG526" i="40"/>
  <c r="BG527" i="40"/>
  <c r="BG528" i="40"/>
  <c r="BG529" i="40"/>
  <c r="BG530" i="40"/>
  <c r="BG531" i="40"/>
  <c r="BG532" i="40"/>
  <c r="BG533" i="40"/>
  <c r="BG534" i="40"/>
  <c r="BG535" i="40"/>
  <c r="BG536" i="40"/>
  <c r="BG537" i="40"/>
  <c r="BG538" i="40"/>
  <c r="BG539" i="40"/>
  <c r="BG540" i="40"/>
  <c r="BG541" i="40"/>
  <c r="BG542" i="40"/>
  <c r="BG543" i="40"/>
  <c r="BG544" i="40"/>
  <c r="BG545" i="40"/>
  <c r="BG546" i="40"/>
  <c r="BG547" i="40"/>
  <c r="BG548" i="40"/>
  <c r="BG549" i="40"/>
  <c r="BG550" i="40"/>
  <c r="BG551" i="40"/>
  <c r="BG552" i="40"/>
  <c r="BG553" i="40"/>
  <c r="BG554" i="40"/>
  <c r="BG555" i="40"/>
  <c r="BG556" i="40"/>
  <c r="BG557" i="40"/>
  <c r="BG558" i="40"/>
  <c r="BG559" i="40"/>
  <c r="BG560" i="40"/>
  <c r="BG561" i="40"/>
  <c r="BG562" i="40"/>
  <c r="BG563" i="40"/>
  <c r="BG564" i="40"/>
  <c r="BG565" i="40"/>
  <c r="BG566" i="40"/>
  <c r="BG567" i="40"/>
  <c r="BG568" i="40"/>
  <c r="BG569" i="40"/>
  <c r="BG570" i="40"/>
  <c r="BG571" i="40"/>
  <c r="BG572" i="40"/>
  <c r="BG573" i="40"/>
  <c r="BG574" i="40"/>
  <c r="BG575" i="40"/>
  <c r="BG576" i="40"/>
  <c r="BG577" i="40"/>
  <c r="BG578" i="40"/>
  <c r="BG579" i="40"/>
  <c r="BG580" i="40"/>
  <c r="BG581" i="40"/>
  <c r="BG582" i="40"/>
  <c r="BG583" i="40"/>
  <c r="BG584" i="40"/>
  <c r="BG585" i="40"/>
  <c r="BG586" i="40"/>
  <c r="BG587" i="40"/>
  <c r="BG588" i="40"/>
  <c r="BG589" i="40"/>
  <c r="BG590" i="40"/>
  <c r="BG591" i="40"/>
  <c r="BG592" i="40"/>
  <c r="BG593" i="40"/>
  <c r="BG594" i="40"/>
  <c r="BG595" i="40"/>
  <c r="BG596" i="40"/>
  <c r="BG597" i="40"/>
  <c r="BG598" i="40"/>
  <c r="BG599" i="40"/>
  <c r="BG600" i="40"/>
  <c r="BG601" i="40"/>
  <c r="BG602" i="40"/>
  <c r="BG603" i="40"/>
  <c r="BG604" i="40"/>
  <c r="BG605" i="40"/>
  <c r="BG606" i="40"/>
  <c r="BG607" i="40"/>
  <c r="BG608" i="40"/>
  <c r="BG609" i="40"/>
  <c r="BG610" i="40"/>
  <c r="BG611" i="40"/>
  <c r="BG612" i="40"/>
  <c r="BG613" i="40"/>
  <c r="BG614" i="40"/>
  <c r="BG615" i="40"/>
  <c r="BG616" i="40"/>
  <c r="BG617" i="40"/>
  <c r="BG618" i="40"/>
  <c r="BG619" i="40"/>
  <c r="BG620" i="40"/>
  <c r="BG621" i="40"/>
  <c r="BG622" i="40"/>
  <c r="BG623" i="40"/>
  <c r="BG624" i="40"/>
  <c r="BG625" i="40"/>
  <c r="BG626" i="40"/>
  <c r="BG627" i="40"/>
  <c r="BG628" i="40"/>
  <c r="BG629" i="40"/>
  <c r="BG630" i="40"/>
  <c r="BG631" i="40"/>
  <c r="BG632" i="40"/>
  <c r="BG633" i="40"/>
  <c r="BG634" i="40"/>
  <c r="BG635" i="40"/>
  <c r="BG636" i="40"/>
  <c r="BG637" i="40"/>
  <c r="BG638" i="40"/>
  <c r="BG639" i="40"/>
  <c r="BG640" i="40"/>
  <c r="BG641" i="40"/>
  <c r="BG642" i="40"/>
  <c r="BG643" i="40"/>
  <c r="BG644" i="40"/>
  <c r="BG645" i="40"/>
  <c r="BG646" i="40"/>
  <c r="BG647" i="40"/>
  <c r="BG648" i="40"/>
  <c r="BG649" i="40"/>
  <c r="BG650" i="40"/>
  <c r="BG651" i="40"/>
  <c r="BG652" i="40"/>
  <c r="BG653" i="40"/>
  <c r="BG654" i="40"/>
  <c r="BG655" i="40"/>
  <c r="BG656" i="40"/>
  <c r="BG657" i="40"/>
  <c r="BG658" i="40"/>
  <c r="BG659" i="40"/>
  <c r="BG660" i="40"/>
  <c r="BG661" i="40"/>
  <c r="BG662" i="40"/>
  <c r="BG663" i="40"/>
  <c r="BG664" i="40"/>
  <c r="BG665" i="40"/>
  <c r="BG666" i="40"/>
  <c r="BG667" i="40"/>
  <c r="BG668" i="40"/>
  <c r="BG669" i="40"/>
  <c r="BG670" i="40"/>
  <c r="BG671" i="40"/>
  <c r="BG672" i="40"/>
  <c r="BG673" i="40"/>
  <c r="BG674" i="40"/>
  <c r="BG675" i="40"/>
  <c r="BG676" i="40"/>
  <c r="BG677" i="40"/>
  <c r="BG678" i="40"/>
  <c r="BG679" i="40"/>
  <c r="BG680" i="40"/>
  <c r="BG681" i="40"/>
  <c r="BG682" i="40"/>
  <c r="BG683" i="40"/>
  <c r="BG684" i="40"/>
  <c r="BG685" i="40"/>
  <c r="BG686" i="40"/>
  <c r="BG687" i="40"/>
  <c r="BG688" i="40"/>
  <c r="BG689" i="40"/>
  <c r="BG690" i="40"/>
  <c r="BG691" i="40"/>
  <c r="BG692" i="40"/>
  <c r="BG693" i="40"/>
  <c r="BG694" i="40"/>
  <c r="BG695" i="40"/>
  <c r="BG696" i="40"/>
  <c r="BG697" i="40"/>
  <c r="BG698" i="40"/>
  <c r="BG699" i="40"/>
  <c r="BG700" i="40"/>
  <c r="BG701" i="40"/>
  <c r="BG702" i="40"/>
  <c r="BG703" i="40"/>
  <c r="BG704" i="40"/>
  <c r="BG705" i="40"/>
  <c r="BH2" i="40"/>
  <c r="BH3" i="40"/>
  <c r="BH4" i="40"/>
  <c r="BH5" i="40"/>
  <c r="BH6" i="40"/>
  <c r="BH7" i="40"/>
  <c r="BH8" i="40"/>
  <c r="BH9" i="40"/>
  <c r="BH10" i="40"/>
  <c r="BH11" i="40"/>
  <c r="BH12" i="40"/>
  <c r="BH13" i="40"/>
  <c r="BH14" i="40"/>
  <c r="BH15" i="40"/>
  <c r="BH16" i="40"/>
  <c r="BH17" i="40"/>
  <c r="BH18" i="40"/>
  <c r="BH19" i="40"/>
  <c r="BH20" i="40"/>
  <c r="BH21" i="40"/>
  <c r="BH22" i="40"/>
  <c r="BH23" i="40"/>
  <c r="BH24" i="40"/>
  <c r="BH25" i="40"/>
  <c r="BH26" i="40"/>
  <c r="BH27" i="40"/>
  <c r="BH28" i="40"/>
  <c r="BH29" i="40"/>
  <c r="BH30" i="40"/>
  <c r="BH31" i="40"/>
  <c r="BH32" i="40"/>
  <c r="BH33" i="40"/>
  <c r="BH34" i="40"/>
  <c r="BH35" i="40"/>
  <c r="BH36" i="40"/>
  <c r="BH37" i="40"/>
  <c r="BH38" i="40"/>
  <c r="BH39" i="40"/>
  <c r="BH40" i="40"/>
  <c r="BH41" i="40"/>
  <c r="BH42" i="40"/>
  <c r="BH43" i="40"/>
  <c r="BH44" i="40"/>
  <c r="BH45" i="40"/>
  <c r="BH46" i="40"/>
  <c r="BH47" i="40"/>
  <c r="BH48" i="40"/>
  <c r="BH49" i="40"/>
  <c r="BH50" i="40"/>
  <c r="BH51" i="40"/>
  <c r="BH52" i="40"/>
  <c r="BH53" i="40"/>
  <c r="BH54" i="40"/>
  <c r="BH55" i="40"/>
  <c r="BH56" i="40"/>
  <c r="BH57" i="40"/>
  <c r="BH58" i="40"/>
  <c r="BH59" i="40"/>
  <c r="BH60" i="40"/>
  <c r="BH61" i="40"/>
  <c r="BH62" i="40"/>
  <c r="BH63" i="40"/>
  <c r="BH64" i="40"/>
  <c r="BH65" i="40"/>
  <c r="BH66" i="40"/>
  <c r="BH67" i="40"/>
  <c r="BH68" i="40"/>
  <c r="BH69" i="40"/>
  <c r="BH70" i="40"/>
  <c r="BH71" i="40"/>
  <c r="BH72" i="40"/>
  <c r="BH73" i="40"/>
  <c r="BH74" i="40"/>
  <c r="BH75" i="40"/>
  <c r="BH76" i="40"/>
  <c r="BH77" i="40"/>
  <c r="BH78" i="40"/>
  <c r="BH79" i="40"/>
  <c r="BH80" i="40"/>
  <c r="BH81" i="40"/>
  <c r="BH82" i="40"/>
  <c r="BH83" i="40"/>
  <c r="BH84" i="40"/>
  <c r="BH85" i="40"/>
  <c r="BH86" i="40"/>
  <c r="BH87" i="40"/>
  <c r="BH88" i="40"/>
  <c r="BH89" i="40"/>
  <c r="BH90" i="40"/>
  <c r="BH91" i="40"/>
  <c r="BH92" i="40"/>
  <c r="BH93" i="40"/>
  <c r="BH94" i="40"/>
  <c r="BH95" i="40"/>
  <c r="BH96" i="40"/>
  <c r="BH97" i="40"/>
  <c r="BH98" i="40"/>
  <c r="BH99" i="40"/>
  <c r="BH100" i="40"/>
  <c r="BH101" i="40"/>
  <c r="BH102" i="40"/>
  <c r="BH103" i="40"/>
  <c r="BH104" i="40"/>
  <c r="BH105" i="40"/>
  <c r="BH106" i="40"/>
  <c r="BH107" i="40"/>
  <c r="BH108" i="40"/>
  <c r="BH109" i="40"/>
  <c r="BH110" i="40"/>
  <c r="BH111" i="40"/>
  <c r="BH112" i="40"/>
  <c r="BH113" i="40"/>
  <c r="BH114" i="40"/>
  <c r="BH115" i="40"/>
  <c r="BH116" i="40"/>
  <c r="BH117" i="40"/>
  <c r="BH118" i="40"/>
  <c r="BH119" i="40"/>
  <c r="BH120" i="40"/>
  <c r="BH121" i="40"/>
  <c r="BH122" i="40"/>
  <c r="BH123" i="40"/>
  <c r="BH124" i="40"/>
  <c r="BH125" i="40"/>
  <c r="BH126" i="40"/>
  <c r="BH127" i="40"/>
  <c r="BH128" i="40"/>
  <c r="BH129" i="40"/>
  <c r="BH130" i="40"/>
  <c r="BH131" i="40"/>
  <c r="BH132" i="40"/>
  <c r="BH133" i="40"/>
  <c r="BH134" i="40"/>
  <c r="BH135" i="40"/>
  <c r="BH136" i="40"/>
  <c r="BH137" i="40"/>
  <c r="BH138" i="40"/>
  <c r="BH139" i="40"/>
  <c r="BH140" i="40"/>
  <c r="BH141" i="40"/>
  <c r="BH142" i="40"/>
  <c r="BH143" i="40"/>
  <c r="BH144" i="40"/>
  <c r="BH145" i="40"/>
  <c r="BH146" i="40"/>
  <c r="BH147" i="40"/>
  <c r="BH148" i="40"/>
  <c r="BH149" i="40"/>
  <c r="BH150" i="40"/>
  <c r="BH151" i="40"/>
  <c r="BH152" i="40"/>
  <c r="BH153" i="40"/>
  <c r="BH154" i="40"/>
  <c r="BH155" i="40"/>
  <c r="BH156" i="40"/>
  <c r="BH157" i="40"/>
  <c r="BH158" i="40"/>
  <c r="BH159" i="40"/>
  <c r="BH160" i="40"/>
  <c r="BH161" i="40"/>
  <c r="BH162" i="40"/>
  <c r="BH163" i="40"/>
  <c r="BH164" i="40"/>
  <c r="BH165" i="40"/>
  <c r="BH166" i="40"/>
  <c r="BH167" i="40"/>
  <c r="BH168" i="40"/>
  <c r="BH169" i="40"/>
  <c r="BH170" i="40"/>
  <c r="BH171" i="40"/>
  <c r="BH172" i="40"/>
  <c r="BH173" i="40"/>
  <c r="BH174" i="40"/>
  <c r="BH175" i="40"/>
  <c r="BH176" i="40"/>
  <c r="BH177" i="40"/>
  <c r="BH178" i="40"/>
  <c r="BH179" i="40"/>
  <c r="BH180" i="40"/>
  <c r="BH181" i="40"/>
  <c r="BH182" i="40"/>
  <c r="BH183" i="40"/>
  <c r="BH184" i="40"/>
  <c r="BH185" i="40"/>
  <c r="BH186" i="40"/>
  <c r="BH187" i="40"/>
  <c r="BH188" i="40"/>
  <c r="BH189" i="40"/>
  <c r="BH190" i="40"/>
  <c r="BH191" i="40"/>
  <c r="BH192" i="40"/>
  <c r="BH193" i="40"/>
  <c r="BH194" i="40"/>
  <c r="BH195" i="40"/>
  <c r="BH196" i="40"/>
  <c r="BH197" i="40"/>
  <c r="BH198" i="40"/>
  <c r="BH199" i="40"/>
  <c r="BH200" i="40"/>
  <c r="BH201" i="40"/>
  <c r="BH202" i="40"/>
  <c r="BH203" i="40"/>
  <c r="BH204" i="40"/>
  <c r="BH205" i="40"/>
  <c r="BH206" i="40"/>
  <c r="BH207" i="40"/>
  <c r="BH208" i="40"/>
  <c r="BH209" i="40"/>
  <c r="BH210" i="40"/>
  <c r="BH211" i="40"/>
  <c r="BH212" i="40"/>
  <c r="BH213" i="40"/>
  <c r="BH214" i="40"/>
  <c r="BH215" i="40"/>
  <c r="BH216" i="40"/>
  <c r="BH217" i="40"/>
  <c r="BH218" i="40"/>
  <c r="BH219" i="40"/>
  <c r="BH220" i="40"/>
  <c r="BH221" i="40"/>
  <c r="BH222" i="40"/>
  <c r="BH223" i="40"/>
  <c r="BH224" i="40"/>
  <c r="BH225" i="40"/>
  <c r="BH226" i="40"/>
  <c r="BH227" i="40"/>
  <c r="BH228" i="40"/>
  <c r="BH229" i="40"/>
  <c r="BH230" i="40"/>
  <c r="BH231" i="40"/>
  <c r="BH232" i="40"/>
  <c r="BH233" i="40"/>
  <c r="BH234" i="40"/>
  <c r="BH235" i="40"/>
  <c r="BH236" i="40"/>
  <c r="BH237" i="40"/>
  <c r="BH238" i="40"/>
  <c r="BH239" i="40"/>
  <c r="BH240" i="40"/>
  <c r="BH241" i="40"/>
  <c r="BH242" i="40"/>
  <c r="BH243" i="40"/>
  <c r="BH244" i="40"/>
  <c r="BH245" i="40"/>
  <c r="BH246" i="40"/>
  <c r="BH247" i="40"/>
  <c r="BH248" i="40"/>
  <c r="BH249" i="40"/>
  <c r="BH250" i="40"/>
  <c r="BH251" i="40"/>
  <c r="BH252" i="40"/>
  <c r="BH253" i="40"/>
  <c r="BH254" i="40"/>
  <c r="BH255" i="40"/>
  <c r="BH256" i="40"/>
  <c r="BH257" i="40"/>
  <c r="BH258" i="40"/>
  <c r="BH259" i="40"/>
  <c r="BH260" i="40"/>
  <c r="BH261" i="40"/>
  <c r="BH262" i="40"/>
  <c r="BH263" i="40"/>
  <c r="BH264" i="40"/>
  <c r="BH265" i="40"/>
  <c r="BH266" i="40"/>
  <c r="BH267" i="40"/>
  <c r="BH268" i="40"/>
  <c r="BH269" i="40"/>
  <c r="BH270" i="40"/>
  <c r="BH271" i="40"/>
  <c r="BH272" i="40"/>
  <c r="BH273" i="40"/>
  <c r="BH274" i="40"/>
  <c r="BH275" i="40"/>
  <c r="BH276" i="40"/>
  <c r="BH277" i="40"/>
  <c r="BH278" i="40"/>
  <c r="BH279" i="40"/>
  <c r="BH280" i="40"/>
  <c r="BH281" i="40"/>
  <c r="BH282" i="40"/>
  <c r="BH283" i="40"/>
  <c r="BH284" i="40"/>
  <c r="BH285" i="40"/>
  <c r="BH286" i="40"/>
  <c r="BH287" i="40"/>
  <c r="BH288" i="40"/>
  <c r="BH289" i="40"/>
  <c r="BH290" i="40"/>
  <c r="BH291" i="40"/>
  <c r="BH292" i="40"/>
  <c r="BH293" i="40"/>
  <c r="BH294" i="40"/>
  <c r="BH295" i="40"/>
  <c r="BH296" i="40"/>
  <c r="BH297" i="40"/>
  <c r="BH298" i="40"/>
  <c r="BH299" i="40"/>
  <c r="BH300" i="40"/>
  <c r="BH301" i="40"/>
  <c r="BH302" i="40"/>
  <c r="BH303" i="40"/>
  <c r="BH304" i="40"/>
  <c r="BH305" i="40"/>
  <c r="BH306" i="40"/>
  <c r="BH307" i="40"/>
  <c r="BH308" i="40"/>
  <c r="BH309" i="40"/>
  <c r="BH310" i="40"/>
  <c r="BH311" i="40"/>
  <c r="BH312" i="40"/>
  <c r="BH313" i="40"/>
  <c r="BH314" i="40"/>
  <c r="BH315" i="40"/>
  <c r="BH316" i="40"/>
  <c r="BH317" i="40"/>
  <c r="BH318" i="40"/>
  <c r="BH319" i="40"/>
  <c r="BH320" i="40"/>
  <c r="BH321" i="40"/>
  <c r="BH322" i="40"/>
  <c r="BH323" i="40"/>
  <c r="BH324" i="40"/>
  <c r="BH325" i="40"/>
  <c r="BH326" i="40"/>
  <c r="BH327" i="40"/>
  <c r="BH328" i="40"/>
  <c r="BH329" i="40"/>
  <c r="BH330" i="40"/>
  <c r="BH331" i="40"/>
  <c r="BH332" i="40"/>
  <c r="BH333" i="40"/>
  <c r="BH334" i="40"/>
  <c r="BH335" i="40"/>
  <c r="BH336" i="40"/>
  <c r="BH337" i="40"/>
  <c r="BH338" i="40"/>
  <c r="BH339" i="40"/>
  <c r="BH340" i="40"/>
  <c r="BH341" i="40"/>
  <c r="BH342" i="40"/>
  <c r="BH343" i="40"/>
  <c r="BH344" i="40"/>
  <c r="BH345" i="40"/>
  <c r="BH346" i="40"/>
  <c r="BH347" i="40"/>
  <c r="BH348" i="40"/>
  <c r="BH349" i="40"/>
  <c r="BH350" i="40"/>
  <c r="BH351" i="40"/>
  <c r="BH352" i="40"/>
  <c r="BH353" i="40"/>
  <c r="BH354" i="40"/>
  <c r="BH355" i="40"/>
  <c r="BH356" i="40"/>
  <c r="BH357" i="40"/>
  <c r="BH358" i="40"/>
  <c r="BH359" i="40"/>
  <c r="BH360" i="40"/>
  <c r="BH361" i="40"/>
  <c r="BH362" i="40"/>
  <c r="BH363" i="40"/>
  <c r="BH364" i="40"/>
  <c r="BH365" i="40"/>
  <c r="BH366" i="40"/>
  <c r="BH367" i="40"/>
  <c r="BH368" i="40"/>
  <c r="BH369" i="40"/>
  <c r="BH370" i="40"/>
  <c r="BH371" i="40"/>
  <c r="BH372" i="40"/>
  <c r="BH373" i="40"/>
  <c r="BH374" i="40"/>
  <c r="BH375" i="40"/>
  <c r="BH376" i="40"/>
  <c r="BH377" i="40"/>
  <c r="BH378" i="40"/>
  <c r="BH379" i="40"/>
  <c r="BH380" i="40"/>
  <c r="BH381" i="40"/>
  <c r="BH382" i="40"/>
  <c r="BH383" i="40"/>
  <c r="BH384" i="40"/>
  <c r="BH385" i="40"/>
  <c r="BH386" i="40"/>
  <c r="BH387" i="40"/>
  <c r="BH388" i="40"/>
  <c r="BH389" i="40"/>
  <c r="BH390" i="40"/>
  <c r="BH391" i="40"/>
  <c r="BH392" i="40"/>
  <c r="BH393" i="40"/>
  <c r="BH394" i="40"/>
  <c r="BH395" i="40"/>
  <c r="BH396" i="40"/>
  <c r="BH397" i="40"/>
  <c r="BH398" i="40"/>
  <c r="BH399" i="40"/>
  <c r="BH400" i="40"/>
  <c r="BH401" i="40"/>
  <c r="BH402" i="40"/>
  <c r="BH403" i="40"/>
  <c r="BH404" i="40"/>
  <c r="BH405" i="40"/>
  <c r="BH406" i="40"/>
  <c r="BH407" i="40"/>
  <c r="BH408" i="40"/>
  <c r="BH409" i="40"/>
  <c r="BH410" i="40"/>
  <c r="BH411" i="40"/>
  <c r="BH412" i="40"/>
  <c r="BH413" i="40"/>
  <c r="BH414" i="40"/>
  <c r="BH415" i="40"/>
  <c r="BH416" i="40"/>
  <c r="BH417" i="40"/>
  <c r="BH418" i="40"/>
  <c r="BH419" i="40"/>
  <c r="BH420" i="40"/>
  <c r="BH421" i="40"/>
  <c r="BH422" i="40"/>
  <c r="BH423" i="40"/>
  <c r="BH424" i="40"/>
  <c r="BH425" i="40"/>
  <c r="BH426" i="40"/>
  <c r="BH427" i="40"/>
  <c r="BH428" i="40"/>
  <c r="BH429" i="40"/>
  <c r="BH430" i="40"/>
  <c r="BH431" i="40"/>
  <c r="BH432" i="40"/>
  <c r="BH433" i="40"/>
  <c r="BH434" i="40"/>
  <c r="BH435" i="40"/>
  <c r="BH436" i="40"/>
  <c r="BH437" i="40"/>
  <c r="BH438" i="40"/>
  <c r="BH439" i="40"/>
  <c r="BH440" i="40"/>
  <c r="BH441" i="40"/>
  <c r="BH442" i="40"/>
  <c r="BH443" i="40"/>
  <c r="BH444" i="40"/>
  <c r="BH445" i="40"/>
  <c r="BH446" i="40"/>
  <c r="BH447" i="40"/>
  <c r="BH448" i="40"/>
  <c r="BH449" i="40"/>
  <c r="BH450" i="40"/>
  <c r="BH451" i="40"/>
  <c r="BH452" i="40"/>
  <c r="BH453" i="40"/>
  <c r="BH454" i="40"/>
  <c r="BH455" i="40"/>
  <c r="BH456" i="40"/>
  <c r="BH457" i="40"/>
  <c r="BH458" i="40"/>
  <c r="BH459" i="40"/>
  <c r="BH460" i="40"/>
  <c r="BH461" i="40"/>
  <c r="BH462" i="40"/>
  <c r="BH463" i="40"/>
  <c r="BH464" i="40"/>
  <c r="BH465" i="40"/>
  <c r="BH466" i="40"/>
  <c r="BH467" i="40"/>
  <c r="BH468" i="40"/>
  <c r="BH469" i="40"/>
  <c r="BH470" i="40"/>
  <c r="BH471" i="40"/>
  <c r="BH472" i="40"/>
  <c r="BH473" i="40"/>
  <c r="BH474" i="40"/>
  <c r="BH475" i="40"/>
  <c r="BH476" i="40"/>
  <c r="BH477" i="40"/>
  <c r="BH478" i="40"/>
  <c r="BH479" i="40"/>
  <c r="BH480" i="40"/>
  <c r="BH481" i="40"/>
  <c r="BH482" i="40"/>
  <c r="BH483" i="40"/>
  <c r="BH484" i="40"/>
  <c r="BH485" i="40"/>
  <c r="BH486" i="40"/>
  <c r="BH487" i="40"/>
  <c r="BH488" i="40"/>
  <c r="BH489" i="40"/>
  <c r="BH490" i="40"/>
  <c r="BH491" i="40"/>
  <c r="BH492" i="40"/>
  <c r="BH493" i="40"/>
  <c r="BH494" i="40"/>
  <c r="BH495" i="40"/>
  <c r="BH496" i="40"/>
  <c r="BH497" i="40"/>
  <c r="BH498" i="40"/>
  <c r="BH499" i="40"/>
  <c r="BH500" i="40"/>
  <c r="BH501" i="40"/>
  <c r="BH502" i="40"/>
  <c r="BH503" i="40"/>
  <c r="BH504" i="40"/>
  <c r="BH505" i="40"/>
  <c r="BH506" i="40"/>
  <c r="BH507" i="40"/>
  <c r="BH508" i="40"/>
  <c r="BH509" i="40"/>
  <c r="BH510" i="40"/>
  <c r="BH511" i="40"/>
  <c r="BH512" i="40"/>
  <c r="BH513" i="40"/>
  <c r="BH514" i="40"/>
  <c r="BH515" i="40"/>
  <c r="BH516" i="40"/>
  <c r="BH517" i="40"/>
  <c r="BH518" i="40"/>
  <c r="BH519" i="40"/>
  <c r="BH520" i="40"/>
  <c r="BH521" i="40"/>
  <c r="BH522" i="40"/>
  <c r="BH523" i="40"/>
  <c r="BH524" i="40"/>
  <c r="BH525" i="40"/>
  <c r="BH526" i="40"/>
  <c r="BH527" i="40"/>
  <c r="BH528" i="40"/>
  <c r="BH529" i="40"/>
  <c r="BH530" i="40"/>
  <c r="BH531" i="40"/>
  <c r="BH532" i="40"/>
  <c r="BH533" i="40"/>
  <c r="BH534" i="40"/>
  <c r="BH535" i="40"/>
  <c r="BH536" i="40"/>
  <c r="BH537" i="40"/>
  <c r="BH538" i="40"/>
  <c r="BH539" i="40"/>
  <c r="BH540" i="40"/>
  <c r="BH541" i="40"/>
  <c r="BH542" i="40"/>
  <c r="BH543" i="40"/>
  <c r="BH544" i="40"/>
  <c r="BH545" i="40"/>
  <c r="BH546" i="40"/>
  <c r="BH547" i="40"/>
  <c r="BH548" i="40"/>
  <c r="BH549" i="40"/>
  <c r="BH550" i="40"/>
  <c r="BH551" i="40"/>
  <c r="BH552" i="40"/>
  <c r="BH553" i="40"/>
  <c r="BH554" i="40"/>
  <c r="BH555" i="40"/>
  <c r="BH556" i="40"/>
  <c r="BH557" i="40"/>
  <c r="BH558" i="40"/>
  <c r="BH559" i="40"/>
  <c r="BH560" i="40"/>
  <c r="BH561" i="40"/>
  <c r="BH562" i="40"/>
  <c r="BH563" i="40"/>
  <c r="BH564" i="40"/>
  <c r="BH565" i="40"/>
  <c r="BH566" i="40"/>
  <c r="BH567" i="40"/>
  <c r="BH568" i="40"/>
  <c r="BH569" i="40"/>
  <c r="BH570" i="40"/>
  <c r="BH571" i="40"/>
  <c r="BH572" i="40"/>
  <c r="BH573" i="40"/>
  <c r="BH574" i="40"/>
  <c r="BH575" i="40"/>
  <c r="BH576" i="40"/>
  <c r="BH577" i="40"/>
  <c r="BH578" i="40"/>
  <c r="BH579" i="40"/>
  <c r="BH580" i="40"/>
  <c r="BH581" i="40"/>
  <c r="BH582" i="40"/>
  <c r="BH583" i="40"/>
  <c r="BH584" i="40"/>
  <c r="BH585" i="40"/>
  <c r="BH586" i="40"/>
  <c r="BH587" i="40"/>
  <c r="BH588" i="40"/>
  <c r="BH589" i="40"/>
  <c r="BH590" i="40"/>
  <c r="BH591" i="40"/>
  <c r="BH592" i="40"/>
  <c r="BH593" i="40"/>
  <c r="BH594" i="40"/>
  <c r="BH595" i="40"/>
  <c r="BH596" i="40"/>
  <c r="BH597" i="40"/>
  <c r="BH598" i="40"/>
  <c r="BH599" i="40"/>
  <c r="BH600" i="40"/>
  <c r="BH601" i="40"/>
  <c r="BH602" i="40"/>
  <c r="BH603" i="40"/>
  <c r="BH604" i="40"/>
  <c r="BH605" i="40"/>
  <c r="BH606" i="40"/>
  <c r="BH607" i="40"/>
  <c r="BH608" i="40"/>
  <c r="BH609" i="40"/>
  <c r="BH610" i="40"/>
  <c r="BH611" i="40"/>
  <c r="BH612" i="40"/>
  <c r="BH613" i="40"/>
  <c r="BH614" i="40"/>
  <c r="BH615" i="40"/>
  <c r="BH616" i="40"/>
  <c r="BH617" i="40"/>
  <c r="BH618" i="40"/>
  <c r="BH619" i="40"/>
  <c r="BH620" i="40"/>
  <c r="BH621" i="40"/>
  <c r="BH622" i="40"/>
  <c r="BH623" i="40"/>
  <c r="BH624" i="40"/>
  <c r="BH625" i="40"/>
  <c r="BH626" i="40"/>
  <c r="BH627" i="40"/>
  <c r="BH628" i="40"/>
  <c r="BH629" i="40"/>
  <c r="BH630" i="40"/>
  <c r="BH631" i="40"/>
  <c r="BH632" i="40"/>
  <c r="BH633" i="40"/>
  <c r="BH634" i="40"/>
  <c r="BH635" i="40"/>
  <c r="BH636" i="40"/>
  <c r="BH637" i="40"/>
  <c r="BH638" i="40"/>
  <c r="BH639" i="40"/>
  <c r="BH640" i="40"/>
  <c r="BH641" i="40"/>
  <c r="BH642" i="40"/>
  <c r="BH643" i="40"/>
  <c r="BH644" i="40"/>
  <c r="BH645" i="40"/>
  <c r="BH646" i="40"/>
  <c r="BH647" i="40"/>
  <c r="BH648" i="40"/>
  <c r="BH649" i="40"/>
  <c r="BH650" i="40"/>
  <c r="BH651" i="40"/>
  <c r="BH652" i="40"/>
  <c r="BH653" i="40"/>
  <c r="BH654" i="40"/>
  <c r="BH655" i="40"/>
  <c r="BH656" i="40"/>
  <c r="BH657" i="40"/>
  <c r="BH658" i="40"/>
  <c r="BH659" i="40"/>
  <c r="BH660" i="40"/>
  <c r="BH661" i="40"/>
  <c r="BH662" i="40"/>
  <c r="BH663" i="40"/>
  <c r="BH664" i="40"/>
  <c r="BH665" i="40"/>
  <c r="BH666" i="40"/>
  <c r="BH667" i="40"/>
  <c r="BH668" i="40"/>
  <c r="BH669" i="40"/>
  <c r="BH670" i="40"/>
  <c r="BH671" i="40"/>
  <c r="BH672" i="40"/>
  <c r="BH673" i="40"/>
  <c r="BH674" i="40"/>
  <c r="BH675" i="40"/>
  <c r="BH676" i="40"/>
  <c r="BH677" i="40"/>
  <c r="BH678" i="40"/>
  <c r="BH679" i="40"/>
  <c r="BH680" i="40"/>
  <c r="BH681" i="40"/>
  <c r="BH682" i="40"/>
  <c r="BH683" i="40"/>
  <c r="BH684" i="40"/>
  <c r="BH685" i="40"/>
  <c r="BH686" i="40"/>
  <c r="BH687" i="40"/>
  <c r="BH688" i="40"/>
  <c r="BH689" i="40"/>
  <c r="BH690" i="40"/>
  <c r="BH691" i="40"/>
  <c r="BH692" i="40"/>
  <c r="BH693" i="40"/>
  <c r="BH694" i="40"/>
  <c r="BH695" i="40"/>
  <c r="BH696" i="40"/>
  <c r="BH697" i="40"/>
  <c r="BH698" i="40"/>
  <c r="BH699" i="40"/>
  <c r="BH700" i="40"/>
  <c r="BH701" i="40"/>
  <c r="BH702" i="40"/>
  <c r="BH703" i="40"/>
  <c r="BH704" i="40"/>
  <c r="BH705" i="40"/>
  <c r="BI2" i="40"/>
  <c r="BI3" i="40"/>
  <c r="BI4" i="40"/>
  <c r="BI5" i="40"/>
  <c r="BI6" i="40"/>
  <c r="BI7" i="40"/>
  <c r="BI8" i="40"/>
  <c r="BI9" i="40"/>
  <c r="BI10" i="40"/>
  <c r="BI11" i="40"/>
  <c r="BI12" i="40"/>
  <c r="BI13" i="40"/>
  <c r="BI14" i="40"/>
  <c r="BI15" i="40"/>
  <c r="BI16" i="40"/>
  <c r="BI17" i="40"/>
  <c r="BI18" i="40"/>
  <c r="BI19" i="40"/>
  <c r="BI20" i="40"/>
  <c r="BI21" i="40"/>
  <c r="BI22" i="40"/>
  <c r="BI23" i="40"/>
  <c r="BI24" i="40"/>
  <c r="BI25" i="40"/>
  <c r="BI26" i="40"/>
  <c r="BI27" i="40"/>
  <c r="BI28" i="40"/>
  <c r="BI29" i="40"/>
  <c r="BI30" i="40"/>
  <c r="BI31" i="40"/>
  <c r="BI32" i="40"/>
  <c r="BI33" i="40"/>
  <c r="BI34" i="40"/>
  <c r="BI35" i="40"/>
  <c r="BI36" i="40"/>
  <c r="BI37" i="40"/>
  <c r="BI38" i="40"/>
  <c r="BI39" i="40"/>
  <c r="BI40" i="40"/>
  <c r="BI41" i="40"/>
  <c r="BI42" i="40"/>
  <c r="BI43" i="40"/>
  <c r="BI44" i="40"/>
  <c r="BI45" i="40"/>
  <c r="BI46" i="40"/>
  <c r="BI47" i="40"/>
  <c r="BI48" i="40"/>
  <c r="BI49" i="40"/>
  <c r="BI50" i="40"/>
  <c r="BI51" i="40"/>
  <c r="BI52" i="40"/>
  <c r="BI53" i="40"/>
  <c r="BI54" i="40"/>
  <c r="BI55" i="40"/>
  <c r="BI56" i="40"/>
  <c r="BI57" i="40"/>
  <c r="BI58" i="40"/>
  <c r="BI59" i="40"/>
  <c r="BI60" i="40"/>
  <c r="BI61" i="40"/>
  <c r="BI62" i="40"/>
  <c r="BI63" i="40"/>
  <c r="BI64" i="40"/>
  <c r="BI65" i="40"/>
  <c r="BI66" i="40"/>
  <c r="BI67" i="40"/>
  <c r="BI68" i="40"/>
  <c r="BI69" i="40"/>
  <c r="BI70" i="40"/>
  <c r="BI71" i="40"/>
  <c r="BI72" i="40"/>
  <c r="BI73" i="40"/>
  <c r="BI74" i="40"/>
  <c r="BI75" i="40"/>
  <c r="BI76" i="40"/>
  <c r="BI77" i="40"/>
  <c r="BI78" i="40"/>
  <c r="BI79" i="40"/>
  <c r="BI80" i="40"/>
  <c r="BI81" i="40"/>
  <c r="BI82" i="40"/>
  <c r="BI83" i="40"/>
  <c r="BI84" i="40"/>
  <c r="BI85" i="40"/>
  <c r="BI86" i="40"/>
  <c r="BI87" i="40"/>
  <c r="BI88" i="40"/>
  <c r="BI89" i="40"/>
  <c r="BI90" i="40"/>
  <c r="BI91" i="40"/>
  <c r="BI92" i="40"/>
  <c r="BI93" i="40"/>
  <c r="BI94" i="40"/>
  <c r="BI95" i="40"/>
  <c r="BI96" i="40"/>
  <c r="BI97" i="40"/>
  <c r="BI98" i="40"/>
  <c r="BI99" i="40"/>
  <c r="BI100" i="40"/>
  <c r="BI101" i="40"/>
  <c r="BI102" i="40"/>
  <c r="BI103" i="40"/>
  <c r="BI104" i="40"/>
  <c r="BI105" i="40"/>
  <c r="BI106" i="40"/>
  <c r="BI107" i="40"/>
  <c r="BI108" i="40"/>
  <c r="BI109" i="40"/>
  <c r="BI110" i="40"/>
  <c r="BI111" i="40"/>
  <c r="BI112" i="40"/>
  <c r="BI113" i="40"/>
  <c r="BI114" i="40"/>
  <c r="BI115" i="40"/>
  <c r="BI116" i="40"/>
  <c r="BI117" i="40"/>
  <c r="BI118" i="40"/>
  <c r="BI119" i="40"/>
  <c r="BI120" i="40"/>
  <c r="BI121" i="40"/>
  <c r="BI122" i="40"/>
  <c r="BI123" i="40"/>
  <c r="BI124" i="40"/>
  <c r="BI125" i="40"/>
  <c r="BI126" i="40"/>
  <c r="BI127" i="40"/>
  <c r="BI128" i="40"/>
  <c r="BI129" i="40"/>
  <c r="BI130" i="40"/>
  <c r="BI131" i="40"/>
  <c r="BI132" i="40"/>
  <c r="BI133" i="40"/>
  <c r="BI134" i="40"/>
  <c r="BI135" i="40"/>
  <c r="BI136" i="40"/>
  <c r="BI137" i="40"/>
  <c r="BI138" i="40"/>
  <c r="BI139" i="40"/>
  <c r="BI140" i="40"/>
  <c r="BI141" i="40"/>
  <c r="BI142" i="40"/>
  <c r="BI143" i="40"/>
  <c r="BI144" i="40"/>
  <c r="BI145" i="40"/>
  <c r="BI146" i="40"/>
  <c r="BI147" i="40"/>
  <c r="BI148" i="40"/>
  <c r="BI149" i="40"/>
  <c r="BI150" i="40"/>
  <c r="BI151" i="40"/>
  <c r="BI152" i="40"/>
  <c r="BI153" i="40"/>
  <c r="BI154" i="40"/>
  <c r="BI155" i="40"/>
  <c r="BI156" i="40"/>
  <c r="BI157" i="40"/>
  <c r="BI158" i="40"/>
  <c r="BI159" i="40"/>
  <c r="BI160" i="40"/>
  <c r="BI161" i="40"/>
  <c r="BI162" i="40"/>
  <c r="BI163" i="40"/>
  <c r="BI164" i="40"/>
  <c r="BI165" i="40"/>
  <c r="BI166" i="40"/>
  <c r="BI167" i="40"/>
  <c r="BI168" i="40"/>
  <c r="BI169" i="40"/>
  <c r="BI170" i="40"/>
  <c r="BI171" i="40"/>
  <c r="BI172" i="40"/>
  <c r="BI173" i="40"/>
  <c r="BI174" i="40"/>
  <c r="BI175" i="40"/>
  <c r="BI176" i="40"/>
  <c r="BI177" i="40"/>
  <c r="BI178" i="40"/>
  <c r="BI179" i="40"/>
  <c r="BI180" i="40"/>
  <c r="BI181" i="40"/>
  <c r="BI182" i="40"/>
  <c r="BI183" i="40"/>
  <c r="BI184" i="40"/>
  <c r="BI185" i="40"/>
  <c r="BI186" i="40"/>
  <c r="BI187" i="40"/>
  <c r="BI188" i="40"/>
  <c r="BI189" i="40"/>
  <c r="BI190" i="40"/>
  <c r="BI191" i="40"/>
  <c r="BI192" i="40"/>
  <c r="BI193" i="40"/>
  <c r="BI194" i="40"/>
  <c r="BI195" i="40"/>
  <c r="BI196" i="40"/>
  <c r="BI197" i="40"/>
  <c r="BI198" i="40"/>
  <c r="BI199" i="40"/>
  <c r="BI200" i="40"/>
  <c r="BI201" i="40"/>
  <c r="BI202" i="40"/>
  <c r="BI203" i="40"/>
  <c r="BI204" i="40"/>
  <c r="BI205" i="40"/>
  <c r="BI206" i="40"/>
  <c r="BI207" i="40"/>
  <c r="BI208" i="40"/>
  <c r="BI209" i="40"/>
  <c r="BI210" i="40"/>
  <c r="BI211" i="40"/>
  <c r="BI212" i="40"/>
  <c r="BI213" i="40"/>
  <c r="BI214" i="40"/>
  <c r="BI215" i="40"/>
  <c r="BI216" i="40"/>
  <c r="BI217" i="40"/>
  <c r="BI218" i="40"/>
  <c r="BI219" i="40"/>
  <c r="BI220" i="40"/>
  <c r="BI221" i="40"/>
  <c r="BI222" i="40"/>
  <c r="BI223" i="40"/>
  <c r="BI224" i="40"/>
  <c r="BI225" i="40"/>
  <c r="BI226" i="40"/>
  <c r="BI227" i="40"/>
  <c r="BI228" i="40"/>
  <c r="BI229" i="40"/>
  <c r="BI230" i="40"/>
  <c r="BI231" i="40"/>
  <c r="BI232" i="40"/>
  <c r="BI233" i="40"/>
  <c r="BI234" i="40"/>
  <c r="BI235" i="40"/>
  <c r="BI236" i="40"/>
  <c r="BI237" i="40"/>
  <c r="BI238" i="40"/>
  <c r="BI239" i="40"/>
  <c r="BI240" i="40"/>
  <c r="BI241" i="40"/>
  <c r="BI242" i="40"/>
  <c r="BI243" i="40"/>
  <c r="BI244" i="40"/>
  <c r="BI245" i="40"/>
  <c r="BI246" i="40"/>
  <c r="BI247" i="40"/>
  <c r="BI248" i="40"/>
  <c r="BI249" i="40"/>
  <c r="BI250" i="40"/>
  <c r="BI251" i="40"/>
  <c r="BI252" i="40"/>
  <c r="BI253" i="40"/>
  <c r="BI254" i="40"/>
  <c r="BI255" i="40"/>
  <c r="BI256" i="40"/>
  <c r="BI257" i="40"/>
  <c r="BI258" i="40"/>
  <c r="BI259" i="40"/>
  <c r="BI260" i="40"/>
  <c r="BI261" i="40"/>
  <c r="BI262" i="40"/>
  <c r="BI263" i="40"/>
  <c r="BI264" i="40"/>
  <c r="BI265" i="40"/>
  <c r="BI266" i="40"/>
  <c r="BI267" i="40"/>
  <c r="BI268" i="40"/>
  <c r="BI269" i="40"/>
  <c r="BI270" i="40"/>
  <c r="BI271" i="40"/>
  <c r="BI272" i="40"/>
  <c r="BI273" i="40"/>
  <c r="BI274" i="40"/>
  <c r="BI275" i="40"/>
  <c r="BI276" i="40"/>
  <c r="BI277" i="40"/>
  <c r="BI278" i="40"/>
  <c r="BI279" i="40"/>
  <c r="BI280" i="40"/>
  <c r="BI281" i="40"/>
  <c r="BI282" i="40"/>
  <c r="BI283" i="40"/>
  <c r="BI284" i="40"/>
  <c r="BI285" i="40"/>
  <c r="BI286" i="40"/>
  <c r="BI287" i="40"/>
  <c r="BI288" i="40"/>
  <c r="BI289" i="40"/>
  <c r="BI290" i="40"/>
  <c r="BI291" i="40"/>
  <c r="BI292" i="40"/>
  <c r="BI293" i="40"/>
  <c r="BI294" i="40"/>
  <c r="BI295" i="40"/>
  <c r="BI296" i="40"/>
  <c r="BI297" i="40"/>
  <c r="BI298" i="40"/>
  <c r="BI299" i="40"/>
  <c r="BI300" i="40"/>
  <c r="BI301" i="40"/>
  <c r="BI302" i="40"/>
  <c r="BI303" i="40"/>
  <c r="BI304" i="40"/>
  <c r="BI305" i="40"/>
  <c r="BI306" i="40"/>
  <c r="BI307" i="40"/>
  <c r="BI308" i="40"/>
  <c r="BI309" i="40"/>
  <c r="BI310" i="40"/>
  <c r="BI311" i="40"/>
  <c r="BI312" i="40"/>
  <c r="BI313" i="40"/>
  <c r="BI314" i="40"/>
  <c r="BI315" i="40"/>
  <c r="BI316" i="40"/>
  <c r="BI317" i="40"/>
  <c r="BI318" i="40"/>
  <c r="BI319" i="40"/>
  <c r="BI320" i="40"/>
  <c r="BI321" i="40"/>
  <c r="BI322" i="40"/>
  <c r="BI323" i="40"/>
  <c r="BI324" i="40"/>
  <c r="BI325" i="40"/>
  <c r="BI326" i="40"/>
  <c r="BI327" i="40"/>
  <c r="BI328" i="40"/>
  <c r="BI329" i="40"/>
  <c r="BI330" i="40"/>
  <c r="BI331" i="40"/>
  <c r="BI332" i="40"/>
  <c r="BI333" i="40"/>
  <c r="BI334" i="40"/>
  <c r="BI335" i="40"/>
  <c r="BI336" i="40"/>
  <c r="BI337" i="40"/>
  <c r="BI338" i="40"/>
  <c r="BI339" i="40"/>
  <c r="BI340" i="40"/>
  <c r="BI341" i="40"/>
  <c r="BI342" i="40"/>
  <c r="BI343" i="40"/>
  <c r="BI344" i="40"/>
  <c r="BI345" i="40"/>
  <c r="BI346" i="40"/>
  <c r="BI347" i="40"/>
  <c r="BI348" i="40"/>
  <c r="BI349" i="40"/>
  <c r="BI350" i="40"/>
  <c r="BI351" i="40"/>
  <c r="BI352" i="40"/>
  <c r="BI353" i="40"/>
  <c r="BI354" i="40"/>
  <c r="BI355" i="40"/>
  <c r="BI356" i="40"/>
  <c r="BI357" i="40"/>
  <c r="BI358" i="40"/>
  <c r="BI359" i="40"/>
  <c r="BI360" i="40"/>
  <c r="BI361" i="40"/>
  <c r="BI362" i="40"/>
  <c r="BI363" i="40"/>
  <c r="BI364" i="40"/>
  <c r="BI365" i="40"/>
  <c r="BI366" i="40"/>
  <c r="BI367" i="40"/>
  <c r="BI368" i="40"/>
  <c r="BI369" i="40"/>
  <c r="BI370" i="40"/>
  <c r="BI371" i="40"/>
  <c r="BI372" i="40"/>
  <c r="BI373" i="40"/>
  <c r="BI374" i="40"/>
  <c r="BI375" i="40"/>
  <c r="BI376" i="40"/>
  <c r="BI377" i="40"/>
  <c r="BI378" i="40"/>
  <c r="BI379" i="40"/>
  <c r="BI380" i="40"/>
  <c r="BI381" i="40"/>
  <c r="BI382" i="40"/>
  <c r="BI383" i="40"/>
  <c r="BI384" i="40"/>
  <c r="BI385" i="40"/>
  <c r="BI386" i="40"/>
  <c r="BI387" i="40"/>
  <c r="BI388" i="40"/>
  <c r="BI389" i="40"/>
  <c r="BI390" i="40"/>
  <c r="BI391" i="40"/>
  <c r="BI392" i="40"/>
  <c r="BI393" i="40"/>
  <c r="BI394" i="40"/>
  <c r="BI395" i="40"/>
  <c r="BI396" i="40"/>
  <c r="BI397" i="40"/>
  <c r="BI398" i="40"/>
  <c r="BI399" i="40"/>
  <c r="BI400" i="40"/>
  <c r="BI401" i="40"/>
  <c r="BI402" i="40"/>
  <c r="BI403" i="40"/>
  <c r="BI404" i="40"/>
  <c r="BI405" i="40"/>
  <c r="BI406" i="40"/>
  <c r="BI407" i="40"/>
  <c r="BI408" i="40"/>
  <c r="BI409" i="40"/>
  <c r="BI410" i="40"/>
  <c r="BI411" i="40"/>
  <c r="BI412" i="40"/>
  <c r="BI413" i="40"/>
  <c r="BI414" i="40"/>
  <c r="BI415" i="40"/>
  <c r="BI416" i="40"/>
  <c r="BI417" i="40"/>
  <c r="BI418" i="40"/>
  <c r="BI419" i="40"/>
  <c r="BI420" i="40"/>
  <c r="BI421" i="40"/>
  <c r="BI422" i="40"/>
  <c r="BI423" i="40"/>
  <c r="BI424" i="40"/>
  <c r="BI425" i="40"/>
  <c r="BI426" i="40"/>
  <c r="BI427" i="40"/>
  <c r="BI428" i="40"/>
  <c r="BI429" i="40"/>
  <c r="BI430" i="40"/>
  <c r="BI431" i="40"/>
  <c r="BI432" i="40"/>
  <c r="BI433" i="40"/>
  <c r="BI434" i="40"/>
  <c r="BI435" i="40"/>
  <c r="BI436" i="40"/>
  <c r="BI437" i="40"/>
  <c r="BI438" i="40"/>
  <c r="BI439" i="40"/>
  <c r="BI440" i="40"/>
  <c r="BI441" i="40"/>
  <c r="BI442" i="40"/>
  <c r="BI443" i="40"/>
  <c r="BI444" i="40"/>
  <c r="BI445" i="40"/>
  <c r="BI446" i="40"/>
  <c r="BI447" i="40"/>
  <c r="BI448" i="40"/>
  <c r="BI449" i="40"/>
  <c r="BI450" i="40"/>
  <c r="BI451" i="40"/>
  <c r="BI452" i="40"/>
  <c r="BI453" i="40"/>
  <c r="BI454" i="40"/>
  <c r="BI455" i="40"/>
  <c r="BI456" i="40"/>
  <c r="BI457" i="40"/>
  <c r="BI458" i="40"/>
  <c r="BI459" i="40"/>
  <c r="BI460" i="40"/>
  <c r="BI461" i="40"/>
  <c r="BI462" i="40"/>
  <c r="BI463" i="40"/>
  <c r="BI464" i="40"/>
  <c r="BI465" i="40"/>
  <c r="BI466" i="40"/>
  <c r="BI467" i="40"/>
  <c r="BI468" i="40"/>
  <c r="BI469" i="40"/>
  <c r="BI470" i="40"/>
  <c r="BI471" i="40"/>
  <c r="BI472" i="40"/>
  <c r="BI473" i="40"/>
  <c r="BI474" i="40"/>
  <c r="BI475" i="40"/>
  <c r="BI476" i="40"/>
  <c r="BI477" i="40"/>
  <c r="BI478" i="40"/>
  <c r="BI479" i="40"/>
  <c r="BI480" i="40"/>
  <c r="BI481" i="40"/>
  <c r="BI482" i="40"/>
  <c r="BI483" i="40"/>
  <c r="BI484" i="40"/>
  <c r="BI485" i="40"/>
  <c r="BI486" i="40"/>
  <c r="BI487" i="40"/>
  <c r="BI488" i="40"/>
  <c r="BI489" i="40"/>
  <c r="BI490" i="40"/>
  <c r="BI491" i="40"/>
  <c r="BI492" i="40"/>
  <c r="BI493" i="40"/>
  <c r="BI494" i="40"/>
  <c r="BI495" i="40"/>
  <c r="BI496" i="40"/>
  <c r="BI497" i="40"/>
  <c r="BI498" i="40"/>
  <c r="BI499" i="40"/>
  <c r="BI500" i="40"/>
  <c r="BI501" i="40"/>
  <c r="BI502" i="40"/>
  <c r="BI503" i="40"/>
  <c r="BI504" i="40"/>
  <c r="BI505" i="40"/>
  <c r="BI506" i="40"/>
  <c r="BI507" i="40"/>
  <c r="BI508" i="40"/>
  <c r="BI509" i="40"/>
  <c r="BI510" i="40"/>
  <c r="BI511" i="40"/>
  <c r="BI512" i="40"/>
  <c r="BI513" i="40"/>
  <c r="BI514" i="40"/>
  <c r="BI515" i="40"/>
  <c r="BI516" i="40"/>
  <c r="BI517" i="40"/>
  <c r="BI518" i="40"/>
  <c r="BI519" i="40"/>
  <c r="BI520" i="40"/>
  <c r="BI521" i="40"/>
  <c r="BI522" i="40"/>
  <c r="BI523" i="40"/>
  <c r="BI524" i="40"/>
  <c r="BI525" i="40"/>
  <c r="BI526" i="40"/>
  <c r="BI527" i="40"/>
  <c r="BI528" i="40"/>
  <c r="BI529" i="40"/>
  <c r="BI530" i="40"/>
  <c r="BI531" i="40"/>
  <c r="BI532" i="40"/>
  <c r="BI533" i="40"/>
  <c r="BI534" i="40"/>
  <c r="BI535" i="40"/>
  <c r="BI536" i="40"/>
  <c r="BI537" i="40"/>
  <c r="BI538" i="40"/>
  <c r="BI539" i="40"/>
  <c r="BI540" i="40"/>
  <c r="BI541" i="40"/>
  <c r="BI542" i="40"/>
  <c r="BI543" i="40"/>
  <c r="BI544" i="40"/>
  <c r="BI545" i="40"/>
  <c r="BI546" i="40"/>
  <c r="BI547" i="40"/>
  <c r="BI548" i="40"/>
  <c r="BI549" i="40"/>
  <c r="BI550" i="40"/>
  <c r="BI551" i="40"/>
  <c r="BI552" i="40"/>
  <c r="BI553" i="40"/>
  <c r="BI554" i="40"/>
  <c r="BI555" i="40"/>
  <c r="BI556" i="40"/>
  <c r="BI557" i="40"/>
  <c r="BI558" i="40"/>
  <c r="BI559" i="40"/>
  <c r="BI560" i="40"/>
  <c r="BI561" i="40"/>
  <c r="BI562" i="40"/>
  <c r="BI563" i="40"/>
  <c r="BI564" i="40"/>
  <c r="BI565" i="40"/>
  <c r="BI566" i="40"/>
  <c r="BI567" i="40"/>
  <c r="BI568" i="40"/>
  <c r="BI569" i="40"/>
  <c r="BI570" i="40"/>
  <c r="BI571" i="40"/>
  <c r="BI572" i="40"/>
  <c r="BI573" i="40"/>
  <c r="BI574" i="40"/>
  <c r="BI575" i="40"/>
  <c r="BI576" i="40"/>
  <c r="BI577" i="40"/>
  <c r="BI578" i="40"/>
  <c r="BI579" i="40"/>
  <c r="BI580" i="40"/>
  <c r="BI581" i="40"/>
  <c r="BI582" i="40"/>
  <c r="BI583" i="40"/>
  <c r="BI584" i="40"/>
  <c r="BI585" i="40"/>
  <c r="BI586" i="40"/>
  <c r="BI587" i="40"/>
  <c r="BI588" i="40"/>
  <c r="BI589" i="40"/>
  <c r="BI590" i="40"/>
  <c r="BI591" i="40"/>
  <c r="BI592" i="40"/>
  <c r="BI593" i="40"/>
  <c r="BI594" i="40"/>
  <c r="BI595" i="40"/>
  <c r="BI596" i="40"/>
  <c r="BI597" i="40"/>
  <c r="BI598" i="40"/>
  <c r="BI599" i="40"/>
  <c r="BI600" i="40"/>
  <c r="BI601" i="40"/>
  <c r="BI602" i="40"/>
  <c r="BI603" i="40"/>
  <c r="BI604" i="40"/>
  <c r="BI605" i="40"/>
  <c r="BI606" i="40"/>
  <c r="BI607" i="40"/>
  <c r="BI608" i="40"/>
  <c r="BI609" i="40"/>
  <c r="BI610" i="40"/>
  <c r="BI611" i="40"/>
  <c r="BI612" i="40"/>
  <c r="BI613" i="40"/>
  <c r="BI614" i="40"/>
  <c r="BI615" i="40"/>
  <c r="BI616" i="40"/>
  <c r="BI617" i="40"/>
  <c r="BI618" i="40"/>
  <c r="BI619" i="40"/>
  <c r="BI620" i="40"/>
  <c r="BI621" i="40"/>
  <c r="BI622" i="40"/>
  <c r="BI623" i="40"/>
  <c r="BI624" i="40"/>
  <c r="BI625" i="40"/>
  <c r="BI626" i="40"/>
  <c r="BI627" i="40"/>
  <c r="BI628" i="40"/>
  <c r="BI629" i="40"/>
  <c r="BI630" i="40"/>
  <c r="BI631" i="40"/>
  <c r="BI632" i="40"/>
  <c r="BI633" i="40"/>
  <c r="BI634" i="40"/>
  <c r="BI635" i="40"/>
  <c r="BI636" i="40"/>
  <c r="BI637" i="40"/>
  <c r="BI638" i="40"/>
  <c r="BI639" i="40"/>
  <c r="BI640" i="40"/>
  <c r="BI641" i="40"/>
  <c r="BI642" i="40"/>
  <c r="BI643" i="40"/>
  <c r="BI644" i="40"/>
  <c r="BI645" i="40"/>
  <c r="BI646" i="40"/>
  <c r="BI647" i="40"/>
  <c r="BI648" i="40"/>
  <c r="BI649" i="40"/>
  <c r="BI650" i="40"/>
  <c r="BI651" i="40"/>
  <c r="BI652" i="40"/>
  <c r="BI653" i="40"/>
  <c r="BI654" i="40"/>
  <c r="BI655" i="40"/>
  <c r="BI656" i="40"/>
  <c r="BI657" i="40"/>
  <c r="BI658" i="40"/>
  <c r="BI659" i="40"/>
  <c r="BI660" i="40"/>
  <c r="BI661" i="40"/>
  <c r="BI662" i="40"/>
  <c r="BI663" i="40"/>
  <c r="BI664" i="40"/>
  <c r="BI665" i="40"/>
  <c r="BI666" i="40"/>
  <c r="BI667" i="40"/>
  <c r="BI668" i="40"/>
  <c r="BI669" i="40"/>
  <c r="BI670" i="40"/>
  <c r="BI671" i="40"/>
  <c r="BI672" i="40"/>
  <c r="BI673" i="40"/>
  <c r="BI674" i="40"/>
  <c r="BI675" i="40"/>
  <c r="BI676" i="40"/>
  <c r="BI677" i="40"/>
  <c r="BI678" i="40"/>
  <c r="BI679" i="40"/>
  <c r="BI680" i="40"/>
  <c r="BI681" i="40"/>
  <c r="BI682" i="40"/>
  <c r="BI683" i="40"/>
  <c r="BI684" i="40"/>
  <c r="BI685" i="40"/>
  <c r="BI686" i="40"/>
  <c r="BI687" i="40"/>
  <c r="BI688" i="40"/>
  <c r="BI689" i="40"/>
  <c r="BI690" i="40"/>
  <c r="BI691" i="40"/>
  <c r="BI692" i="40"/>
  <c r="BI693" i="40"/>
  <c r="BI694" i="40"/>
  <c r="BI695" i="40"/>
  <c r="BI696" i="40"/>
  <c r="BI697" i="40"/>
  <c r="BI698" i="40"/>
  <c r="BI699" i="40"/>
  <c r="BI700" i="40"/>
  <c r="BI701" i="40"/>
  <c r="BI702" i="40"/>
  <c r="BI703" i="40"/>
  <c r="BI704" i="40"/>
  <c r="BI705" i="40"/>
  <c r="K2" i="39"/>
  <c r="K3" i="39"/>
  <c r="K4" i="39"/>
  <c r="K5" i="39"/>
  <c r="K6" i="39"/>
  <c r="K7" i="39"/>
  <c r="K8" i="39"/>
  <c r="K9" i="39"/>
  <c r="K10" i="39"/>
  <c r="K11" i="39"/>
  <c r="K12" i="39"/>
  <c r="K13" i="39"/>
  <c r="K14" i="39"/>
  <c r="K15" i="39"/>
  <c r="K16" i="39"/>
  <c r="K17" i="39"/>
  <c r="K18" i="39"/>
  <c r="K19" i="39"/>
  <c r="K20" i="39"/>
  <c r="K21" i="39"/>
  <c r="K22" i="39"/>
  <c r="K23" i="39"/>
  <c r="K24" i="39"/>
  <c r="K25" i="39"/>
  <c r="K26" i="39"/>
  <c r="K27" i="39"/>
  <c r="K28" i="39"/>
  <c r="K29" i="39"/>
  <c r="K30" i="39"/>
  <c r="K31" i="39"/>
  <c r="K32" i="39"/>
  <c r="K33" i="39"/>
  <c r="K34" i="39"/>
  <c r="K35" i="39"/>
  <c r="K36" i="39"/>
  <c r="K37" i="39"/>
  <c r="K38" i="39"/>
  <c r="K39" i="39"/>
  <c r="K40" i="39"/>
  <c r="K41" i="39"/>
  <c r="K42" i="39"/>
  <c r="K43" i="39"/>
  <c r="K44" i="39"/>
  <c r="K45" i="39"/>
  <c r="K46" i="39"/>
  <c r="K47" i="39"/>
  <c r="K48" i="39"/>
  <c r="K49" i="39"/>
  <c r="K50" i="39"/>
  <c r="K51" i="39"/>
  <c r="K52" i="39"/>
  <c r="K53" i="39"/>
  <c r="K54" i="39"/>
  <c r="K55" i="39"/>
  <c r="K56" i="39"/>
  <c r="K57" i="39"/>
  <c r="K58" i="39"/>
  <c r="K59" i="39"/>
  <c r="K60" i="39"/>
  <c r="K61" i="39"/>
  <c r="K62" i="39"/>
  <c r="K63" i="39"/>
  <c r="K64" i="39"/>
  <c r="K65" i="39"/>
  <c r="K66" i="39"/>
  <c r="K67" i="39"/>
  <c r="K68" i="39"/>
  <c r="K69" i="39"/>
  <c r="K70" i="39"/>
  <c r="K71" i="39"/>
  <c r="K72" i="39"/>
  <c r="K73" i="39"/>
  <c r="K74" i="39"/>
  <c r="K75" i="39"/>
  <c r="K76" i="39"/>
  <c r="K77" i="39"/>
  <c r="K78" i="39"/>
  <c r="K79" i="39"/>
  <c r="K80" i="39"/>
  <c r="K81" i="39"/>
  <c r="K82" i="39"/>
  <c r="K83" i="39"/>
  <c r="K84" i="39"/>
  <c r="K85" i="39"/>
  <c r="K86" i="39"/>
  <c r="K87" i="39"/>
  <c r="K88" i="39"/>
  <c r="K89" i="39"/>
  <c r="K90" i="39"/>
  <c r="K91" i="39"/>
  <c r="K92" i="39"/>
  <c r="K93" i="39"/>
  <c r="K94" i="39"/>
  <c r="K95" i="39"/>
  <c r="K96" i="39"/>
  <c r="K97" i="39"/>
  <c r="K98" i="39"/>
  <c r="K99" i="39"/>
  <c r="K100" i="39"/>
  <c r="K101" i="39"/>
  <c r="K102" i="39"/>
  <c r="K103" i="39"/>
  <c r="K104" i="39"/>
  <c r="K105" i="39"/>
  <c r="K106" i="39"/>
  <c r="K107" i="39"/>
  <c r="K108" i="39"/>
  <c r="K109" i="39"/>
  <c r="K110" i="39"/>
  <c r="K111" i="39"/>
  <c r="K112" i="39"/>
  <c r="K113" i="39"/>
  <c r="K114" i="39"/>
  <c r="K115" i="39"/>
  <c r="K116" i="39"/>
  <c r="K117" i="39"/>
  <c r="K118" i="39"/>
  <c r="K119" i="39"/>
  <c r="K120" i="39"/>
  <c r="K121" i="39"/>
  <c r="K122" i="39"/>
  <c r="K123" i="39"/>
  <c r="K124" i="39"/>
  <c r="K125" i="39"/>
  <c r="K126" i="39"/>
  <c r="K127" i="39"/>
  <c r="K128" i="39"/>
  <c r="K129" i="39"/>
  <c r="K130" i="39"/>
  <c r="K131" i="39"/>
  <c r="K132" i="39"/>
  <c r="K133" i="39"/>
  <c r="K134" i="39"/>
  <c r="K135" i="39"/>
  <c r="K136" i="39"/>
  <c r="K137" i="39"/>
  <c r="K138" i="39"/>
  <c r="K139" i="39"/>
  <c r="K140" i="39"/>
  <c r="K141" i="39"/>
  <c r="K142" i="39"/>
  <c r="K143" i="39"/>
  <c r="K144" i="39"/>
  <c r="K145" i="39"/>
  <c r="K146" i="39"/>
  <c r="K147" i="39"/>
  <c r="K148" i="39"/>
  <c r="K149" i="39"/>
  <c r="K150" i="39"/>
  <c r="K151" i="39"/>
  <c r="K152" i="39"/>
  <c r="K153" i="39"/>
  <c r="K154" i="39"/>
  <c r="K155" i="39"/>
  <c r="K156" i="39"/>
  <c r="K157" i="39"/>
  <c r="K158" i="39"/>
  <c r="K159" i="39"/>
  <c r="K160" i="39"/>
  <c r="K161" i="39"/>
  <c r="K162" i="39"/>
  <c r="K163" i="39"/>
  <c r="K164" i="39"/>
  <c r="K165" i="39"/>
  <c r="K166" i="39"/>
  <c r="K167" i="39"/>
  <c r="K168" i="39"/>
  <c r="K169" i="39"/>
  <c r="K170" i="39"/>
  <c r="K171" i="39"/>
  <c r="K172" i="39"/>
  <c r="K173" i="39"/>
  <c r="K174" i="39"/>
  <c r="K175" i="39"/>
  <c r="K176" i="39"/>
  <c r="K177" i="39"/>
  <c r="K178" i="39"/>
  <c r="K179" i="39"/>
  <c r="K180" i="39"/>
  <c r="K181" i="39"/>
  <c r="K182" i="39"/>
  <c r="K183" i="39"/>
  <c r="K184" i="39"/>
  <c r="K185" i="39"/>
  <c r="K186" i="39"/>
  <c r="K187" i="39"/>
  <c r="K188" i="39"/>
  <c r="K189" i="39"/>
  <c r="K190" i="39"/>
  <c r="K191" i="39"/>
  <c r="K192" i="39"/>
  <c r="K193" i="39"/>
  <c r="K194" i="39"/>
  <c r="K195" i="39"/>
  <c r="K196" i="39"/>
  <c r="K197" i="39"/>
  <c r="K198" i="39"/>
  <c r="K199" i="39"/>
  <c r="K200" i="39"/>
  <c r="K201" i="39"/>
  <c r="K202" i="39"/>
  <c r="K203" i="39"/>
  <c r="K204" i="39"/>
  <c r="K205" i="39"/>
  <c r="K206" i="39"/>
  <c r="K207" i="39"/>
  <c r="K208" i="39"/>
  <c r="K209" i="39"/>
  <c r="K210" i="39"/>
  <c r="K211" i="39"/>
  <c r="K212" i="39"/>
  <c r="K213" i="39"/>
  <c r="K214" i="39"/>
  <c r="K215" i="39"/>
  <c r="K216" i="39"/>
  <c r="K217" i="39"/>
  <c r="K218" i="39"/>
  <c r="K219" i="39"/>
  <c r="K220" i="39"/>
  <c r="K221" i="39"/>
  <c r="K222" i="39"/>
  <c r="K223" i="39"/>
  <c r="K224" i="39"/>
  <c r="K225" i="39"/>
  <c r="K226" i="39"/>
  <c r="K227" i="39"/>
  <c r="K228" i="39"/>
  <c r="K229" i="39"/>
  <c r="K230" i="39"/>
  <c r="K231" i="39"/>
  <c r="K232" i="39"/>
  <c r="K233" i="39"/>
  <c r="K234" i="39"/>
  <c r="K235" i="39"/>
  <c r="K236" i="39"/>
  <c r="K237" i="39"/>
  <c r="K238" i="39"/>
  <c r="K239" i="39"/>
  <c r="K240" i="39"/>
  <c r="K241" i="39"/>
  <c r="K242" i="39"/>
  <c r="K243" i="39"/>
  <c r="K244" i="39"/>
  <c r="K245" i="39"/>
  <c r="K246" i="39"/>
  <c r="K247" i="39"/>
  <c r="K248" i="39"/>
  <c r="K249" i="39"/>
  <c r="K250" i="39"/>
  <c r="K251" i="39"/>
  <c r="K252" i="39"/>
  <c r="K253" i="39"/>
  <c r="K254" i="39"/>
  <c r="K255" i="39"/>
  <c r="K256" i="39"/>
  <c r="K257" i="39"/>
  <c r="K258" i="39"/>
  <c r="K259" i="39"/>
  <c r="K260" i="39"/>
  <c r="K261" i="39"/>
  <c r="K262" i="39"/>
  <c r="K263" i="39"/>
  <c r="K264" i="39"/>
  <c r="K265" i="39"/>
  <c r="K266" i="39"/>
  <c r="K267" i="39"/>
  <c r="K268" i="39"/>
  <c r="K269" i="39"/>
  <c r="K270" i="39"/>
  <c r="K271" i="39"/>
  <c r="K272" i="39"/>
  <c r="K273" i="39"/>
  <c r="K274" i="39"/>
  <c r="K275" i="39"/>
  <c r="K276" i="39"/>
  <c r="K277" i="39"/>
  <c r="K278" i="39"/>
  <c r="K279" i="39"/>
  <c r="K280" i="39"/>
  <c r="K281" i="39"/>
  <c r="K282" i="39"/>
  <c r="K283" i="39"/>
  <c r="K284" i="39"/>
  <c r="K285" i="39"/>
  <c r="K286" i="39"/>
  <c r="K287" i="39"/>
  <c r="K288" i="39"/>
  <c r="K289" i="39"/>
  <c r="K290" i="39"/>
  <c r="K291" i="39"/>
  <c r="K292" i="39"/>
  <c r="K293" i="39"/>
  <c r="K294" i="39"/>
  <c r="K295" i="39"/>
  <c r="K296" i="39"/>
  <c r="K297" i="39"/>
  <c r="K298" i="39"/>
  <c r="K299" i="39"/>
  <c r="K300" i="39"/>
  <c r="K301" i="39"/>
  <c r="K302" i="39"/>
  <c r="K303" i="39"/>
  <c r="K304" i="39"/>
  <c r="K305" i="39"/>
  <c r="K306" i="39"/>
  <c r="K307" i="39"/>
  <c r="K308" i="39"/>
  <c r="K309" i="39"/>
  <c r="K310" i="39"/>
  <c r="K311" i="39"/>
  <c r="K312" i="39"/>
  <c r="K313" i="39"/>
  <c r="K314" i="39"/>
  <c r="K315" i="39"/>
  <c r="K316" i="39"/>
  <c r="K317" i="39"/>
  <c r="K318" i="39"/>
  <c r="K319" i="39"/>
  <c r="K320" i="39"/>
  <c r="K321" i="39"/>
  <c r="K322" i="39"/>
  <c r="K323" i="39"/>
  <c r="K324" i="39"/>
  <c r="K325" i="39"/>
  <c r="K326" i="39"/>
  <c r="K327" i="39"/>
  <c r="K328" i="39"/>
  <c r="K329" i="39"/>
  <c r="K330" i="39"/>
  <c r="K331" i="39"/>
  <c r="K332" i="39"/>
  <c r="K333" i="39"/>
  <c r="K334" i="39"/>
  <c r="K335" i="39"/>
  <c r="K336" i="39"/>
  <c r="K337" i="39"/>
  <c r="K338" i="39"/>
  <c r="K339" i="39"/>
  <c r="K340" i="39"/>
  <c r="K341" i="39"/>
  <c r="K342" i="39"/>
  <c r="K343" i="39"/>
  <c r="K344" i="39"/>
  <c r="K345" i="39"/>
  <c r="K346" i="39"/>
  <c r="K347" i="39"/>
  <c r="K348" i="39"/>
  <c r="K349" i="39"/>
  <c r="K350" i="39"/>
  <c r="K351" i="39"/>
  <c r="K352" i="39"/>
  <c r="K353" i="39"/>
  <c r="K354" i="39"/>
  <c r="K355" i="39"/>
  <c r="K356" i="39"/>
  <c r="K357" i="39"/>
  <c r="K358" i="39"/>
  <c r="K359" i="39"/>
  <c r="K360" i="39"/>
  <c r="K361" i="39"/>
  <c r="K362" i="39"/>
  <c r="K363" i="39"/>
  <c r="K364" i="39"/>
  <c r="K365" i="39"/>
  <c r="K366" i="39"/>
  <c r="K367" i="39"/>
  <c r="K368" i="39"/>
  <c r="K369" i="39"/>
  <c r="K370" i="39"/>
  <c r="K371" i="39"/>
  <c r="K372" i="39"/>
  <c r="K373" i="39"/>
  <c r="K374" i="39"/>
  <c r="K375" i="39"/>
  <c r="K376" i="39"/>
  <c r="K377" i="39"/>
  <c r="K378" i="39"/>
  <c r="K379" i="39"/>
  <c r="K380" i="39"/>
  <c r="K381" i="39"/>
  <c r="K382" i="39"/>
  <c r="K383" i="39"/>
  <c r="K384" i="39"/>
  <c r="K385" i="39"/>
  <c r="K386" i="39"/>
  <c r="K387" i="39"/>
  <c r="K388" i="39"/>
  <c r="K389" i="39"/>
  <c r="K390" i="39"/>
  <c r="K391" i="39"/>
  <c r="K392" i="39"/>
  <c r="K393" i="39"/>
  <c r="K394" i="39"/>
  <c r="K395" i="39"/>
  <c r="K396" i="39"/>
  <c r="K397" i="39"/>
  <c r="K398" i="39"/>
  <c r="K399" i="39"/>
  <c r="K400" i="39"/>
  <c r="K401" i="39"/>
  <c r="K402" i="39"/>
  <c r="K403" i="39"/>
  <c r="K404" i="39"/>
  <c r="K405" i="39"/>
  <c r="K406" i="39"/>
  <c r="K407" i="39"/>
  <c r="K408" i="39"/>
  <c r="K409" i="39"/>
  <c r="K410" i="39"/>
  <c r="K411" i="39"/>
  <c r="K412" i="39"/>
  <c r="K413" i="39"/>
  <c r="K414" i="39"/>
  <c r="K415" i="39"/>
  <c r="K416" i="39"/>
  <c r="K417" i="39"/>
  <c r="K418" i="39"/>
  <c r="K419" i="39"/>
  <c r="K420" i="39"/>
  <c r="K421" i="39"/>
  <c r="K422" i="39"/>
  <c r="K423" i="39"/>
  <c r="K424" i="39"/>
  <c r="K425" i="39"/>
  <c r="K426" i="39"/>
  <c r="K427" i="39"/>
  <c r="K428" i="39"/>
  <c r="K429" i="39"/>
  <c r="K430" i="39"/>
  <c r="K431" i="39"/>
  <c r="K432" i="39"/>
  <c r="K433" i="39"/>
  <c r="K434" i="39"/>
  <c r="K435" i="39"/>
  <c r="K436" i="39"/>
  <c r="K437" i="39"/>
  <c r="K438" i="39"/>
  <c r="K439" i="39"/>
  <c r="K440" i="39"/>
  <c r="K441" i="39"/>
  <c r="K442" i="39"/>
  <c r="K443" i="39"/>
  <c r="K444" i="39"/>
  <c r="K445" i="39"/>
  <c r="K446" i="39"/>
  <c r="K447" i="39"/>
  <c r="K448" i="39"/>
  <c r="K449" i="39"/>
  <c r="K450" i="39"/>
  <c r="K451" i="39"/>
  <c r="K452" i="39"/>
  <c r="K453" i="39"/>
  <c r="K454" i="39"/>
  <c r="K455" i="39"/>
  <c r="K456" i="39"/>
  <c r="K457" i="39"/>
  <c r="K458" i="39"/>
  <c r="K459" i="39"/>
  <c r="K460" i="39"/>
  <c r="K461" i="39"/>
  <c r="K462" i="39"/>
  <c r="K463" i="39"/>
  <c r="K464" i="39"/>
  <c r="K465" i="39"/>
  <c r="K466" i="39"/>
  <c r="K467" i="39"/>
  <c r="K468" i="39"/>
  <c r="K469" i="39"/>
  <c r="K470" i="39"/>
  <c r="K471" i="39"/>
  <c r="L2" i="39"/>
  <c r="L3" i="39"/>
  <c r="L4" i="39"/>
  <c r="L5" i="39"/>
  <c r="L6" i="39"/>
  <c r="L7" i="39"/>
  <c r="L8" i="39"/>
  <c r="L9" i="39"/>
  <c r="L10" i="39"/>
  <c r="L11" i="39"/>
  <c r="L12" i="39"/>
  <c r="L13" i="39"/>
  <c r="L14" i="39"/>
  <c r="L15" i="39"/>
  <c r="L16" i="39"/>
  <c r="L17" i="39"/>
  <c r="L18" i="39"/>
  <c r="L19" i="39"/>
  <c r="L20" i="39"/>
  <c r="L21" i="39"/>
  <c r="L22" i="39"/>
  <c r="L23" i="39"/>
  <c r="L24" i="39"/>
  <c r="L25" i="39"/>
  <c r="L26" i="39"/>
  <c r="L27" i="39"/>
  <c r="L28" i="39"/>
  <c r="L29" i="39"/>
  <c r="L30" i="39"/>
  <c r="L31" i="39"/>
  <c r="L32" i="39"/>
  <c r="L33" i="39"/>
  <c r="L34" i="39"/>
  <c r="L35" i="39"/>
  <c r="L36" i="39"/>
  <c r="L37" i="39"/>
  <c r="L38" i="39"/>
  <c r="L39" i="39"/>
  <c r="L40" i="39"/>
  <c r="L41" i="39"/>
  <c r="L42" i="39"/>
  <c r="L43" i="39"/>
  <c r="L44" i="39"/>
  <c r="L45" i="39"/>
  <c r="L46" i="39"/>
  <c r="L47" i="39"/>
  <c r="L48" i="39"/>
  <c r="L49" i="39"/>
  <c r="L50" i="39"/>
  <c r="L51" i="39"/>
  <c r="L52" i="39"/>
  <c r="L53" i="39"/>
  <c r="L54" i="39"/>
  <c r="L55" i="39"/>
  <c r="L56" i="39"/>
  <c r="L57" i="39"/>
  <c r="L58" i="39"/>
  <c r="L59" i="39"/>
  <c r="L60" i="39"/>
  <c r="L61" i="39"/>
  <c r="L62" i="39"/>
  <c r="L63" i="39"/>
  <c r="L64" i="39"/>
  <c r="L65" i="39"/>
  <c r="L66" i="39"/>
  <c r="L67" i="39"/>
  <c r="L68" i="39"/>
  <c r="L69" i="39"/>
  <c r="L70" i="39"/>
  <c r="L71" i="39"/>
  <c r="L72" i="39"/>
  <c r="L73" i="39"/>
  <c r="L74" i="39"/>
  <c r="L75" i="39"/>
  <c r="L76" i="39"/>
  <c r="L77" i="39"/>
  <c r="L78" i="39"/>
  <c r="L79" i="39"/>
  <c r="L80" i="39"/>
  <c r="L81" i="39"/>
  <c r="L82" i="39"/>
  <c r="L83" i="39"/>
  <c r="L84" i="39"/>
  <c r="L85" i="39"/>
  <c r="L86" i="39"/>
  <c r="L87" i="39"/>
  <c r="L88" i="39"/>
  <c r="L89" i="39"/>
  <c r="L90" i="39"/>
  <c r="L91" i="39"/>
  <c r="L92" i="39"/>
  <c r="L93" i="39"/>
  <c r="L94" i="39"/>
  <c r="L95" i="39"/>
  <c r="L96" i="39"/>
  <c r="L97" i="39"/>
  <c r="L98" i="39"/>
  <c r="L99" i="39"/>
  <c r="L100" i="39"/>
  <c r="L101" i="39"/>
  <c r="L102" i="39"/>
  <c r="L103" i="39"/>
  <c r="L104" i="39"/>
  <c r="L105" i="39"/>
  <c r="L106" i="39"/>
  <c r="L107" i="39"/>
  <c r="L108" i="39"/>
  <c r="L109" i="39"/>
  <c r="L110" i="39"/>
  <c r="L111" i="39"/>
  <c r="L112" i="39"/>
  <c r="L113" i="39"/>
  <c r="L114" i="39"/>
  <c r="L115" i="39"/>
  <c r="L116" i="39"/>
  <c r="L117" i="39"/>
  <c r="L118" i="39"/>
  <c r="L119" i="39"/>
  <c r="L120" i="39"/>
  <c r="L121" i="39"/>
  <c r="L122" i="39"/>
  <c r="L123" i="39"/>
  <c r="L124" i="39"/>
  <c r="L125" i="39"/>
  <c r="L126" i="39"/>
  <c r="L127" i="39"/>
  <c r="L128" i="39"/>
  <c r="L129" i="39"/>
  <c r="L130" i="39"/>
  <c r="L131" i="39"/>
  <c r="L132" i="39"/>
  <c r="L133" i="39"/>
  <c r="L134" i="39"/>
  <c r="L135" i="39"/>
  <c r="L136" i="39"/>
  <c r="L137" i="39"/>
  <c r="L138" i="39"/>
  <c r="L139" i="39"/>
  <c r="L140" i="39"/>
  <c r="L141" i="39"/>
  <c r="L142" i="39"/>
  <c r="L143" i="39"/>
  <c r="L144" i="39"/>
  <c r="L145" i="39"/>
  <c r="L146" i="39"/>
  <c r="L147" i="39"/>
  <c r="L148" i="39"/>
  <c r="L149" i="39"/>
  <c r="L150" i="39"/>
  <c r="L151" i="39"/>
  <c r="L152" i="39"/>
  <c r="L153" i="39"/>
  <c r="L154" i="39"/>
  <c r="L155" i="39"/>
  <c r="L156" i="39"/>
  <c r="L157" i="39"/>
  <c r="L158" i="39"/>
  <c r="L159" i="39"/>
  <c r="L160" i="39"/>
  <c r="L161" i="39"/>
  <c r="L162" i="39"/>
  <c r="L163" i="39"/>
  <c r="L164" i="39"/>
  <c r="L165" i="39"/>
  <c r="L166" i="39"/>
  <c r="L167" i="39"/>
  <c r="L168" i="39"/>
  <c r="L169" i="39"/>
  <c r="L170" i="39"/>
  <c r="L171" i="39"/>
  <c r="L172" i="39"/>
  <c r="L173" i="39"/>
  <c r="L174" i="39"/>
  <c r="L175" i="39"/>
  <c r="L176" i="39"/>
  <c r="L177" i="39"/>
  <c r="L178" i="39"/>
  <c r="L179" i="39"/>
  <c r="L180" i="39"/>
  <c r="L181" i="39"/>
  <c r="L182" i="39"/>
  <c r="L183" i="39"/>
  <c r="L184" i="39"/>
  <c r="L185" i="39"/>
  <c r="L186" i="39"/>
  <c r="L187" i="39"/>
  <c r="L188" i="39"/>
  <c r="L189" i="39"/>
  <c r="L190" i="39"/>
  <c r="L191" i="39"/>
  <c r="L192" i="39"/>
  <c r="L193" i="39"/>
  <c r="L194" i="39"/>
  <c r="L195" i="39"/>
  <c r="L196" i="39"/>
  <c r="L197" i="39"/>
  <c r="L198" i="39"/>
  <c r="L199" i="39"/>
  <c r="L200" i="39"/>
  <c r="L201" i="39"/>
  <c r="L202" i="39"/>
  <c r="L203" i="39"/>
  <c r="L204" i="39"/>
  <c r="L205" i="39"/>
  <c r="L206" i="39"/>
  <c r="L207" i="39"/>
  <c r="L208" i="39"/>
  <c r="L209" i="39"/>
  <c r="L210" i="39"/>
  <c r="L211" i="39"/>
  <c r="L212" i="39"/>
  <c r="L213" i="39"/>
  <c r="L214" i="39"/>
  <c r="L215" i="39"/>
  <c r="L216" i="39"/>
  <c r="L217" i="39"/>
  <c r="L218" i="39"/>
  <c r="L219" i="39"/>
  <c r="L220" i="39"/>
  <c r="L221" i="39"/>
  <c r="L222" i="39"/>
  <c r="L223" i="39"/>
  <c r="L224" i="39"/>
  <c r="L225" i="39"/>
  <c r="L226" i="39"/>
  <c r="L227" i="39"/>
  <c r="L228" i="39"/>
  <c r="L229" i="39"/>
  <c r="L230" i="39"/>
  <c r="L231" i="39"/>
  <c r="L232" i="39"/>
  <c r="L233" i="39"/>
  <c r="L234" i="39"/>
  <c r="L235" i="39"/>
  <c r="L236" i="39"/>
  <c r="L237" i="39"/>
  <c r="L238" i="39"/>
  <c r="L239" i="39"/>
  <c r="L240" i="39"/>
  <c r="L241" i="39"/>
  <c r="L242" i="39"/>
  <c r="L243" i="39"/>
  <c r="L244" i="39"/>
  <c r="L245" i="39"/>
  <c r="L246" i="39"/>
  <c r="L247" i="39"/>
  <c r="L248" i="39"/>
  <c r="L249" i="39"/>
  <c r="L250" i="39"/>
  <c r="L251" i="39"/>
  <c r="L252" i="39"/>
  <c r="L253" i="39"/>
  <c r="L254" i="39"/>
  <c r="L255" i="39"/>
  <c r="L256" i="39"/>
  <c r="L257" i="39"/>
  <c r="L258" i="39"/>
  <c r="L259" i="39"/>
  <c r="L260" i="39"/>
  <c r="L261" i="39"/>
  <c r="L262" i="39"/>
  <c r="L263" i="39"/>
  <c r="L264" i="39"/>
  <c r="L265" i="39"/>
  <c r="L266" i="39"/>
  <c r="L267" i="39"/>
  <c r="L268" i="39"/>
  <c r="L269" i="39"/>
  <c r="L270" i="39"/>
  <c r="L271" i="39"/>
  <c r="L272" i="39"/>
  <c r="L273" i="39"/>
  <c r="L274" i="39"/>
  <c r="L275" i="39"/>
  <c r="L276" i="39"/>
  <c r="L277" i="39"/>
  <c r="L278" i="39"/>
  <c r="L279" i="39"/>
  <c r="L280" i="39"/>
  <c r="L281" i="39"/>
  <c r="L282" i="39"/>
  <c r="L283" i="39"/>
  <c r="L284" i="39"/>
  <c r="L285" i="39"/>
  <c r="L286" i="39"/>
  <c r="L287" i="39"/>
  <c r="L288" i="39"/>
  <c r="L289" i="39"/>
  <c r="L290" i="39"/>
  <c r="L291" i="39"/>
  <c r="L292" i="39"/>
  <c r="L293" i="39"/>
  <c r="L294" i="39"/>
  <c r="L295" i="39"/>
  <c r="L296" i="39"/>
  <c r="L297" i="39"/>
  <c r="L298" i="39"/>
  <c r="L299" i="39"/>
  <c r="L300" i="39"/>
  <c r="L301" i="39"/>
  <c r="L302" i="39"/>
  <c r="L303" i="39"/>
  <c r="L304" i="39"/>
  <c r="L305" i="39"/>
  <c r="L306" i="39"/>
  <c r="L307" i="39"/>
  <c r="L308" i="39"/>
  <c r="L309" i="39"/>
  <c r="L310" i="39"/>
  <c r="L311" i="39"/>
  <c r="L312" i="39"/>
  <c r="L313" i="39"/>
  <c r="L314" i="39"/>
  <c r="L315" i="39"/>
  <c r="L316" i="39"/>
  <c r="L317" i="39"/>
  <c r="L318" i="39"/>
  <c r="L319" i="39"/>
  <c r="L320" i="39"/>
  <c r="L321" i="39"/>
  <c r="L322" i="39"/>
  <c r="L323" i="39"/>
  <c r="L324" i="39"/>
  <c r="L325" i="39"/>
  <c r="L326" i="39"/>
  <c r="L327" i="39"/>
  <c r="L328" i="39"/>
  <c r="L329" i="39"/>
  <c r="L330" i="39"/>
  <c r="L331" i="39"/>
  <c r="L332" i="39"/>
  <c r="L333" i="39"/>
  <c r="L334" i="39"/>
  <c r="L335" i="39"/>
  <c r="L336" i="39"/>
  <c r="L337" i="39"/>
  <c r="L338" i="39"/>
  <c r="L339" i="39"/>
  <c r="L340" i="39"/>
  <c r="L341" i="39"/>
  <c r="L342" i="39"/>
  <c r="L343" i="39"/>
  <c r="L344" i="39"/>
  <c r="L345" i="39"/>
  <c r="L346" i="39"/>
  <c r="L347" i="39"/>
  <c r="L348" i="39"/>
  <c r="L349" i="39"/>
  <c r="L350" i="39"/>
  <c r="L351" i="39"/>
  <c r="L352" i="39"/>
  <c r="L353" i="39"/>
  <c r="L354" i="39"/>
  <c r="L355" i="39"/>
  <c r="L356" i="39"/>
  <c r="L357" i="39"/>
  <c r="L358" i="39"/>
  <c r="L359" i="39"/>
  <c r="L360" i="39"/>
  <c r="L361" i="39"/>
  <c r="L362" i="39"/>
  <c r="L363" i="39"/>
  <c r="L364" i="39"/>
  <c r="L365" i="39"/>
  <c r="L366" i="39"/>
  <c r="L367" i="39"/>
  <c r="L368" i="39"/>
  <c r="L369" i="39"/>
  <c r="L370" i="39"/>
  <c r="L371" i="39"/>
  <c r="L372" i="39"/>
  <c r="L373" i="39"/>
  <c r="L374" i="39"/>
  <c r="L375" i="39"/>
  <c r="L376" i="39"/>
  <c r="L377" i="39"/>
  <c r="L378" i="39"/>
  <c r="L379" i="39"/>
  <c r="L380" i="39"/>
  <c r="L381" i="39"/>
  <c r="L382" i="39"/>
  <c r="L383" i="39"/>
  <c r="L384" i="39"/>
  <c r="L385" i="39"/>
  <c r="L386" i="39"/>
  <c r="L387" i="39"/>
  <c r="L388" i="39"/>
  <c r="L389" i="39"/>
  <c r="L390" i="39"/>
  <c r="L391" i="39"/>
  <c r="L392" i="39"/>
  <c r="L393" i="39"/>
  <c r="L394" i="39"/>
  <c r="L395" i="39"/>
  <c r="L396" i="39"/>
  <c r="L397" i="39"/>
  <c r="L398" i="39"/>
  <c r="L399" i="39"/>
  <c r="L400" i="39"/>
  <c r="L401" i="39"/>
  <c r="L402" i="39"/>
  <c r="L403" i="39"/>
  <c r="L404" i="39"/>
  <c r="L405" i="39"/>
  <c r="L406" i="39"/>
  <c r="L407" i="39"/>
  <c r="L408" i="39"/>
  <c r="L409" i="39"/>
  <c r="L410" i="39"/>
  <c r="L411" i="39"/>
  <c r="L412" i="39"/>
  <c r="L413" i="39"/>
  <c r="L414" i="39"/>
  <c r="L415" i="39"/>
  <c r="L416" i="39"/>
  <c r="L417" i="39"/>
  <c r="L418" i="39"/>
  <c r="L419" i="39"/>
  <c r="L420" i="39"/>
  <c r="L421" i="39"/>
  <c r="L422" i="39"/>
  <c r="L423" i="39"/>
  <c r="L424" i="39"/>
  <c r="L425" i="39"/>
  <c r="L426" i="39"/>
  <c r="L427" i="39"/>
  <c r="L428" i="39"/>
  <c r="L429" i="39"/>
  <c r="L430" i="39"/>
  <c r="L431" i="39"/>
  <c r="L432" i="39"/>
  <c r="L433" i="39"/>
  <c r="L434" i="39"/>
  <c r="L435" i="39"/>
  <c r="L436" i="39"/>
  <c r="L437" i="39"/>
  <c r="L438" i="39"/>
  <c r="L439" i="39"/>
  <c r="L440" i="39"/>
  <c r="L441" i="39"/>
  <c r="L442" i="39"/>
  <c r="L443" i="39"/>
  <c r="L444" i="39"/>
  <c r="L445" i="39"/>
  <c r="L446" i="39"/>
  <c r="L447" i="39"/>
  <c r="L448" i="39"/>
  <c r="L449" i="39"/>
  <c r="L450" i="39"/>
  <c r="L451" i="39"/>
  <c r="L452" i="39"/>
  <c r="L453" i="39"/>
  <c r="L454" i="39"/>
  <c r="L455" i="39"/>
  <c r="L456" i="39"/>
  <c r="L457" i="39"/>
  <c r="L458" i="39"/>
  <c r="L459" i="39"/>
  <c r="L460" i="39"/>
  <c r="L461" i="39"/>
  <c r="L462" i="39"/>
  <c r="L463" i="39"/>
  <c r="L464" i="39"/>
  <c r="L465" i="39"/>
  <c r="L466" i="39"/>
  <c r="L467" i="39"/>
  <c r="L468" i="39"/>
  <c r="L469" i="39"/>
  <c r="L470" i="39"/>
  <c r="L471" i="39"/>
  <c r="M2" i="39"/>
  <c r="M3" i="39"/>
  <c r="M4" i="39"/>
  <c r="M5" i="39"/>
  <c r="M6" i="39"/>
  <c r="M7" i="39"/>
  <c r="M8" i="39"/>
  <c r="M9" i="39"/>
  <c r="M10" i="39"/>
  <c r="M11" i="39"/>
  <c r="M12" i="39"/>
  <c r="M13" i="39"/>
  <c r="M14" i="39"/>
  <c r="M15" i="39"/>
  <c r="M16" i="39"/>
  <c r="M17" i="39"/>
  <c r="M18" i="39"/>
  <c r="M19" i="39"/>
  <c r="M20" i="39"/>
  <c r="M21" i="39"/>
  <c r="M22" i="39"/>
  <c r="M23" i="39"/>
  <c r="M24" i="39"/>
  <c r="M25" i="39"/>
  <c r="M26" i="39"/>
  <c r="M27" i="39"/>
  <c r="M28" i="39"/>
  <c r="M29" i="39"/>
  <c r="M30" i="39"/>
  <c r="M31" i="39"/>
  <c r="M32" i="39"/>
  <c r="M33" i="39"/>
  <c r="M34" i="39"/>
  <c r="M35" i="39"/>
  <c r="M36" i="39"/>
  <c r="M37" i="39"/>
  <c r="M38" i="39"/>
  <c r="M39" i="39"/>
  <c r="M40" i="39"/>
  <c r="M41" i="39"/>
  <c r="M42" i="39"/>
  <c r="M43" i="39"/>
  <c r="M44" i="39"/>
  <c r="M45" i="39"/>
  <c r="M46" i="39"/>
  <c r="M47" i="39"/>
  <c r="M48" i="39"/>
  <c r="M49" i="39"/>
  <c r="M50" i="39"/>
  <c r="M51" i="39"/>
  <c r="M52" i="39"/>
  <c r="M53" i="39"/>
  <c r="M54" i="39"/>
  <c r="M55" i="39"/>
  <c r="M56" i="39"/>
  <c r="M57" i="39"/>
  <c r="M58" i="39"/>
  <c r="M59" i="39"/>
  <c r="M60" i="39"/>
  <c r="M61" i="39"/>
  <c r="M62" i="39"/>
  <c r="M63" i="39"/>
  <c r="M64" i="39"/>
  <c r="M65" i="39"/>
  <c r="M66" i="39"/>
  <c r="M67" i="39"/>
  <c r="M68" i="39"/>
  <c r="M69" i="39"/>
  <c r="M70" i="39"/>
  <c r="M71" i="39"/>
  <c r="M72" i="39"/>
  <c r="M73" i="39"/>
  <c r="M74" i="39"/>
  <c r="M75" i="39"/>
  <c r="M76" i="39"/>
  <c r="M77" i="39"/>
  <c r="M78" i="39"/>
  <c r="M79" i="39"/>
  <c r="M80" i="39"/>
  <c r="M81" i="39"/>
  <c r="M82" i="39"/>
  <c r="M83" i="39"/>
  <c r="M84" i="39"/>
  <c r="M85" i="39"/>
  <c r="M86" i="39"/>
  <c r="M87" i="39"/>
  <c r="M88" i="39"/>
  <c r="M89" i="39"/>
  <c r="M90" i="39"/>
  <c r="M91" i="39"/>
  <c r="M92" i="39"/>
  <c r="M93" i="39"/>
  <c r="M94" i="39"/>
  <c r="M95" i="39"/>
  <c r="M96" i="39"/>
  <c r="M97" i="39"/>
  <c r="M98" i="39"/>
  <c r="M99" i="39"/>
  <c r="M100" i="39"/>
  <c r="M101" i="39"/>
  <c r="M102" i="39"/>
  <c r="M103" i="39"/>
  <c r="M104" i="39"/>
  <c r="M105" i="39"/>
  <c r="M106" i="39"/>
  <c r="M107" i="39"/>
  <c r="M108" i="39"/>
  <c r="M109" i="39"/>
  <c r="M110" i="39"/>
  <c r="M111" i="39"/>
  <c r="M112" i="39"/>
  <c r="M113" i="39"/>
  <c r="M114" i="39"/>
  <c r="M115" i="39"/>
  <c r="M116" i="39"/>
  <c r="M117" i="39"/>
  <c r="M118" i="39"/>
  <c r="M119" i="39"/>
  <c r="M120" i="39"/>
  <c r="M121" i="39"/>
  <c r="M122" i="39"/>
  <c r="M123" i="39"/>
  <c r="M124" i="39"/>
  <c r="M125" i="39"/>
  <c r="M126" i="39"/>
  <c r="M127" i="39"/>
  <c r="M128" i="39"/>
  <c r="M129" i="39"/>
  <c r="M130" i="39"/>
  <c r="M131" i="39"/>
  <c r="M132" i="39"/>
  <c r="M133" i="39"/>
  <c r="M134" i="39"/>
  <c r="M135" i="39"/>
  <c r="M136" i="39"/>
  <c r="M137" i="39"/>
  <c r="M138" i="39"/>
  <c r="M139" i="39"/>
  <c r="M140" i="39"/>
  <c r="M141" i="39"/>
  <c r="M142" i="39"/>
  <c r="M143" i="39"/>
  <c r="M144" i="39"/>
  <c r="M145" i="39"/>
  <c r="M146" i="39"/>
  <c r="M147" i="39"/>
  <c r="M148" i="39"/>
  <c r="M149" i="39"/>
  <c r="M150" i="39"/>
  <c r="M151" i="39"/>
  <c r="M152" i="39"/>
  <c r="M153" i="39"/>
  <c r="M154" i="39"/>
  <c r="M155" i="39"/>
  <c r="M156" i="39"/>
  <c r="M157" i="39"/>
  <c r="M158" i="39"/>
  <c r="M159" i="39"/>
  <c r="M160" i="39"/>
  <c r="M161" i="39"/>
  <c r="M162" i="39"/>
  <c r="M163" i="39"/>
  <c r="M164" i="39"/>
  <c r="M165" i="39"/>
  <c r="M166" i="39"/>
  <c r="M167" i="39"/>
  <c r="M168" i="39"/>
  <c r="M169" i="39"/>
  <c r="M170" i="39"/>
  <c r="M171" i="39"/>
  <c r="M172" i="39"/>
  <c r="M173" i="39"/>
  <c r="M174" i="39"/>
  <c r="M175" i="39"/>
  <c r="M176" i="39"/>
  <c r="M177" i="39"/>
  <c r="M178" i="39"/>
  <c r="M179" i="39"/>
  <c r="M180" i="39"/>
  <c r="M181" i="39"/>
  <c r="M182" i="39"/>
  <c r="M183" i="39"/>
  <c r="M184" i="39"/>
  <c r="M185" i="39"/>
  <c r="M186" i="39"/>
  <c r="M187" i="39"/>
  <c r="M188" i="39"/>
  <c r="M189" i="39"/>
  <c r="M190" i="39"/>
  <c r="M191" i="39"/>
  <c r="M192" i="39"/>
  <c r="M193" i="39"/>
  <c r="M194" i="39"/>
  <c r="M195" i="39"/>
  <c r="M196" i="39"/>
  <c r="M197" i="39"/>
  <c r="M198" i="39"/>
  <c r="M199" i="39"/>
  <c r="M200" i="39"/>
  <c r="M201" i="39"/>
  <c r="M202" i="39"/>
  <c r="M203" i="39"/>
  <c r="M204" i="39"/>
  <c r="M205" i="39"/>
  <c r="M206" i="39"/>
  <c r="M207" i="39"/>
  <c r="M208" i="39"/>
  <c r="M209" i="39"/>
  <c r="M210" i="39"/>
  <c r="M211" i="39"/>
  <c r="M212" i="39"/>
  <c r="M213" i="39"/>
  <c r="M214" i="39"/>
  <c r="M215" i="39"/>
  <c r="M216" i="39"/>
  <c r="M217" i="39"/>
  <c r="M218" i="39"/>
  <c r="M219" i="39"/>
  <c r="M220" i="39"/>
  <c r="M221" i="39"/>
  <c r="M222" i="39"/>
  <c r="M223" i="39"/>
  <c r="M224" i="39"/>
  <c r="M225" i="39"/>
  <c r="M226" i="39"/>
  <c r="M227" i="39"/>
  <c r="M228" i="39"/>
  <c r="M229" i="39"/>
  <c r="M230" i="39"/>
  <c r="M231" i="39"/>
  <c r="M232" i="39"/>
  <c r="M233" i="39"/>
  <c r="M234" i="39"/>
  <c r="M235" i="39"/>
  <c r="M236" i="39"/>
  <c r="M237" i="39"/>
  <c r="M238" i="39"/>
  <c r="M239" i="39"/>
  <c r="M240" i="39"/>
  <c r="M241" i="39"/>
  <c r="M242" i="39"/>
  <c r="M243" i="39"/>
  <c r="M244" i="39"/>
  <c r="M245" i="39"/>
  <c r="M246" i="39"/>
  <c r="M247" i="39"/>
  <c r="M248" i="39"/>
  <c r="M249" i="39"/>
  <c r="M250" i="39"/>
  <c r="M251" i="39"/>
  <c r="M252" i="39"/>
  <c r="M253" i="39"/>
  <c r="M254" i="39"/>
  <c r="M255" i="39"/>
  <c r="M256" i="39"/>
  <c r="M257" i="39"/>
  <c r="M258" i="39"/>
  <c r="M259" i="39"/>
  <c r="M260" i="39"/>
  <c r="M261" i="39"/>
  <c r="M262" i="39"/>
  <c r="M263" i="39"/>
  <c r="M264" i="39"/>
  <c r="M265" i="39"/>
  <c r="M266" i="39"/>
  <c r="M267" i="39"/>
  <c r="M268" i="39"/>
  <c r="M269" i="39"/>
  <c r="M270" i="39"/>
  <c r="M271" i="39"/>
  <c r="M272" i="39"/>
  <c r="M273" i="39"/>
  <c r="M274" i="39"/>
  <c r="M275" i="39"/>
  <c r="M276" i="39"/>
  <c r="M277" i="39"/>
  <c r="M278" i="39"/>
  <c r="M279" i="39"/>
  <c r="M280" i="39"/>
  <c r="M281" i="39"/>
  <c r="M282" i="39"/>
  <c r="M283" i="39"/>
  <c r="M284" i="39"/>
  <c r="M285" i="39"/>
  <c r="M286" i="39"/>
  <c r="M287" i="39"/>
  <c r="M288" i="39"/>
  <c r="M289" i="39"/>
  <c r="M290" i="39"/>
  <c r="M291" i="39"/>
  <c r="M292" i="39"/>
  <c r="M293" i="39"/>
  <c r="M294" i="39"/>
  <c r="M295" i="39"/>
  <c r="M296" i="39"/>
  <c r="M297" i="39"/>
  <c r="M298" i="39"/>
  <c r="M299" i="39"/>
  <c r="M300" i="39"/>
  <c r="M301" i="39"/>
  <c r="M302" i="39"/>
  <c r="M303" i="39"/>
  <c r="M304" i="39"/>
  <c r="M305" i="39"/>
  <c r="M306" i="39"/>
  <c r="M307" i="39"/>
  <c r="M308" i="39"/>
  <c r="M309" i="39"/>
  <c r="M310" i="39"/>
  <c r="M311" i="39"/>
  <c r="M312" i="39"/>
  <c r="M313" i="39"/>
  <c r="M314" i="39"/>
  <c r="M315" i="39"/>
  <c r="M316" i="39"/>
  <c r="M317" i="39"/>
  <c r="M318" i="39"/>
  <c r="M319" i="39"/>
  <c r="M320" i="39"/>
  <c r="M321" i="39"/>
  <c r="M322" i="39"/>
  <c r="M323" i="39"/>
  <c r="M324" i="39"/>
  <c r="M325" i="39"/>
  <c r="M326" i="39"/>
  <c r="M327" i="39"/>
  <c r="M328" i="39"/>
  <c r="M329" i="39"/>
  <c r="M330" i="39"/>
  <c r="M331" i="39"/>
  <c r="M332" i="39"/>
  <c r="M333" i="39"/>
  <c r="M334" i="39"/>
  <c r="M335" i="39"/>
  <c r="M336" i="39"/>
  <c r="M337" i="39"/>
  <c r="M338" i="39"/>
  <c r="M339" i="39"/>
  <c r="M340" i="39"/>
  <c r="M341" i="39"/>
  <c r="M342" i="39"/>
  <c r="M343" i="39"/>
  <c r="M344" i="39"/>
  <c r="M345" i="39"/>
  <c r="M346" i="39"/>
  <c r="M347" i="39"/>
  <c r="M348" i="39"/>
  <c r="M349" i="39"/>
  <c r="M350" i="39"/>
  <c r="M351" i="39"/>
  <c r="M352" i="39"/>
  <c r="M353" i="39"/>
  <c r="M354" i="39"/>
  <c r="M355" i="39"/>
  <c r="M356" i="39"/>
  <c r="M357" i="39"/>
  <c r="M358" i="39"/>
  <c r="M359" i="39"/>
  <c r="M360" i="39"/>
  <c r="M361" i="39"/>
  <c r="M362" i="39"/>
  <c r="M363" i="39"/>
  <c r="M364" i="39"/>
  <c r="M365" i="39"/>
  <c r="M366" i="39"/>
  <c r="M367" i="39"/>
  <c r="M368" i="39"/>
  <c r="M369" i="39"/>
  <c r="M370" i="39"/>
  <c r="M371" i="39"/>
  <c r="M372" i="39"/>
  <c r="M373" i="39"/>
  <c r="M374" i="39"/>
  <c r="M375" i="39"/>
  <c r="M376" i="39"/>
  <c r="M377" i="39"/>
  <c r="M378" i="39"/>
  <c r="M379" i="39"/>
  <c r="M380" i="39"/>
  <c r="M381" i="39"/>
  <c r="M382" i="39"/>
  <c r="M383" i="39"/>
  <c r="M384" i="39"/>
  <c r="M385" i="39"/>
  <c r="M386" i="39"/>
  <c r="M387" i="39"/>
  <c r="M388" i="39"/>
  <c r="M389" i="39"/>
  <c r="M390" i="39"/>
  <c r="M391" i="39"/>
  <c r="M392" i="39"/>
  <c r="M393" i="39"/>
  <c r="M394" i="39"/>
  <c r="M395" i="39"/>
  <c r="M396" i="39"/>
  <c r="M397" i="39"/>
  <c r="M398" i="39"/>
  <c r="M399" i="39"/>
  <c r="M400" i="39"/>
  <c r="M401" i="39"/>
  <c r="M402" i="39"/>
  <c r="M403" i="39"/>
  <c r="M404" i="39"/>
  <c r="M405" i="39"/>
  <c r="M406" i="39"/>
  <c r="M407" i="39"/>
  <c r="M408" i="39"/>
  <c r="M409" i="39"/>
  <c r="M410" i="39"/>
  <c r="M411" i="39"/>
  <c r="M412" i="39"/>
  <c r="M413" i="39"/>
  <c r="M414" i="39"/>
  <c r="M415" i="39"/>
  <c r="M416" i="39"/>
  <c r="M417" i="39"/>
  <c r="M418" i="39"/>
  <c r="M419" i="39"/>
  <c r="M420" i="39"/>
  <c r="M421" i="39"/>
  <c r="M422" i="39"/>
  <c r="M423" i="39"/>
  <c r="M424" i="39"/>
  <c r="M425" i="39"/>
  <c r="M426" i="39"/>
  <c r="M427" i="39"/>
  <c r="M428" i="39"/>
  <c r="M429" i="39"/>
  <c r="M430" i="39"/>
  <c r="M431" i="39"/>
  <c r="M432" i="39"/>
  <c r="M433" i="39"/>
  <c r="M434" i="39"/>
  <c r="M435" i="39"/>
  <c r="M436" i="39"/>
  <c r="M437" i="39"/>
  <c r="M438" i="39"/>
  <c r="M439" i="39"/>
  <c r="M440" i="39"/>
  <c r="M441" i="39"/>
  <c r="M442" i="39"/>
  <c r="M443" i="39"/>
  <c r="M444" i="39"/>
  <c r="M445" i="39"/>
  <c r="M446" i="39"/>
  <c r="M447" i="39"/>
  <c r="M448" i="39"/>
  <c r="M449" i="39"/>
  <c r="M450" i="39"/>
  <c r="M451" i="39"/>
  <c r="M452" i="39"/>
  <c r="M453" i="39"/>
  <c r="M454" i="39"/>
  <c r="M455" i="39"/>
  <c r="M456" i="39"/>
  <c r="M457" i="39"/>
  <c r="M458" i="39"/>
  <c r="M459" i="39"/>
  <c r="M460" i="39"/>
  <c r="M461" i="39"/>
  <c r="M462" i="39"/>
  <c r="M463" i="39"/>
  <c r="M464" i="39"/>
  <c r="M465" i="39"/>
  <c r="M466" i="39"/>
  <c r="M467" i="39"/>
  <c r="M468" i="39"/>
  <c r="M469" i="39"/>
  <c r="M470" i="39"/>
  <c r="M471" i="39"/>
  <c r="N2" i="39"/>
  <c r="N3" i="39"/>
  <c r="N4" i="39"/>
  <c r="N5" i="39"/>
  <c r="N6" i="39"/>
  <c r="N7" i="39"/>
  <c r="N8" i="39"/>
  <c r="N9" i="39"/>
  <c r="N10" i="39"/>
  <c r="N11" i="39"/>
  <c r="N12" i="39"/>
  <c r="N13" i="39"/>
  <c r="N14" i="39"/>
  <c r="N15" i="39"/>
  <c r="N16" i="39"/>
  <c r="N17" i="39"/>
  <c r="N18" i="39"/>
  <c r="N19" i="39"/>
  <c r="N20" i="39"/>
  <c r="N21" i="39"/>
  <c r="N22" i="39"/>
  <c r="N23" i="39"/>
  <c r="N24" i="39"/>
  <c r="N25" i="39"/>
  <c r="N26" i="39"/>
  <c r="N27" i="39"/>
  <c r="N28" i="39"/>
  <c r="N29" i="39"/>
  <c r="N30" i="39"/>
  <c r="N31" i="39"/>
  <c r="N32" i="39"/>
  <c r="N33" i="39"/>
  <c r="N34" i="39"/>
  <c r="N35" i="39"/>
  <c r="N36" i="39"/>
  <c r="N37" i="39"/>
  <c r="N38" i="39"/>
  <c r="N39" i="39"/>
  <c r="N40" i="39"/>
  <c r="N41" i="39"/>
  <c r="N42" i="39"/>
  <c r="N43" i="39"/>
  <c r="N44" i="39"/>
  <c r="N45" i="39"/>
  <c r="N46" i="39"/>
  <c r="N47" i="39"/>
  <c r="N48" i="39"/>
  <c r="N49" i="39"/>
  <c r="N50" i="39"/>
  <c r="N51" i="39"/>
  <c r="N52" i="39"/>
  <c r="N53" i="39"/>
  <c r="N54" i="39"/>
  <c r="N55" i="39"/>
  <c r="N56" i="39"/>
  <c r="N57" i="39"/>
  <c r="N58" i="39"/>
  <c r="N59" i="39"/>
  <c r="N60" i="39"/>
  <c r="N61" i="39"/>
  <c r="N62" i="39"/>
  <c r="N63" i="39"/>
  <c r="N64" i="39"/>
  <c r="N65" i="39"/>
  <c r="N66" i="39"/>
  <c r="N67" i="39"/>
  <c r="N68" i="39"/>
  <c r="N69" i="39"/>
  <c r="N70" i="39"/>
  <c r="N71" i="39"/>
  <c r="N72" i="39"/>
  <c r="N73" i="39"/>
  <c r="N74" i="39"/>
  <c r="N75" i="39"/>
  <c r="N76" i="39"/>
  <c r="N77" i="39"/>
  <c r="N78" i="39"/>
  <c r="N79" i="39"/>
  <c r="N80" i="39"/>
  <c r="N81" i="39"/>
  <c r="N82" i="39"/>
  <c r="N83" i="39"/>
  <c r="N84" i="39"/>
  <c r="N85" i="39"/>
  <c r="N86" i="39"/>
  <c r="N87" i="39"/>
  <c r="N88" i="39"/>
  <c r="N89" i="39"/>
  <c r="N90" i="39"/>
  <c r="N91" i="39"/>
  <c r="N92" i="39"/>
  <c r="N93" i="39"/>
  <c r="N94" i="39"/>
  <c r="N95" i="39"/>
  <c r="N96" i="39"/>
  <c r="N97" i="39"/>
  <c r="N98" i="39"/>
  <c r="N99" i="39"/>
  <c r="N100" i="39"/>
  <c r="N101" i="39"/>
  <c r="N102" i="39"/>
  <c r="N103" i="39"/>
  <c r="N104" i="39"/>
  <c r="N105" i="39"/>
  <c r="N106" i="39"/>
  <c r="N107" i="39"/>
  <c r="N108" i="39"/>
  <c r="N109" i="39"/>
  <c r="N110" i="39"/>
  <c r="N111" i="39"/>
  <c r="N112" i="39"/>
  <c r="N113" i="39"/>
  <c r="N114" i="39"/>
  <c r="N115" i="39"/>
  <c r="N116" i="39"/>
  <c r="N117" i="39"/>
  <c r="N118" i="39"/>
  <c r="N119" i="39"/>
  <c r="N120" i="39"/>
  <c r="N121" i="39"/>
  <c r="N122" i="39"/>
  <c r="N123" i="39"/>
  <c r="N124" i="39"/>
  <c r="N125" i="39"/>
  <c r="N126" i="39"/>
  <c r="N127" i="39"/>
  <c r="N128" i="39"/>
  <c r="N129" i="39"/>
  <c r="N130" i="39"/>
  <c r="N131" i="39"/>
  <c r="N132" i="39"/>
  <c r="N133" i="39"/>
  <c r="N134" i="39"/>
  <c r="N135" i="39"/>
  <c r="N136" i="39"/>
  <c r="N137" i="39"/>
  <c r="N138" i="39"/>
  <c r="N139" i="39"/>
  <c r="N140" i="39"/>
  <c r="N141" i="39"/>
  <c r="N142" i="39"/>
  <c r="N143" i="39"/>
  <c r="N144" i="39"/>
  <c r="N145" i="39"/>
  <c r="N146" i="39"/>
  <c r="N147" i="39"/>
  <c r="N148" i="39"/>
  <c r="N149" i="39"/>
  <c r="N150" i="39"/>
  <c r="N151" i="39"/>
  <c r="N152" i="39"/>
  <c r="N153" i="39"/>
  <c r="N154" i="39"/>
  <c r="N155" i="39"/>
  <c r="N156" i="39"/>
  <c r="N157" i="39"/>
  <c r="N158" i="39"/>
  <c r="N159" i="39"/>
  <c r="N160" i="39"/>
  <c r="N161" i="39"/>
  <c r="N162" i="39"/>
  <c r="N163" i="39"/>
  <c r="N164" i="39"/>
  <c r="N165" i="39"/>
  <c r="N166" i="39"/>
  <c r="N167" i="39"/>
  <c r="N168" i="39"/>
  <c r="N169" i="39"/>
  <c r="N170" i="39"/>
  <c r="N171" i="39"/>
  <c r="N172" i="39"/>
  <c r="N173" i="39"/>
  <c r="N174" i="39"/>
  <c r="N175" i="39"/>
  <c r="N176" i="39"/>
  <c r="N177" i="39"/>
  <c r="N178" i="39"/>
  <c r="N179" i="39"/>
  <c r="N180" i="39"/>
  <c r="N181" i="39"/>
  <c r="N182" i="39"/>
  <c r="N183" i="39"/>
  <c r="N184" i="39"/>
  <c r="N185" i="39"/>
  <c r="N186" i="39"/>
  <c r="N187" i="39"/>
  <c r="N188" i="39"/>
  <c r="N189" i="39"/>
  <c r="N190" i="39"/>
  <c r="N191" i="39"/>
  <c r="N192" i="39"/>
  <c r="N193" i="39"/>
  <c r="N194" i="39"/>
  <c r="N195" i="39"/>
  <c r="N196" i="39"/>
  <c r="N197" i="39"/>
  <c r="N198" i="39"/>
  <c r="N199" i="39"/>
  <c r="N200" i="39"/>
  <c r="N201" i="39"/>
  <c r="N202" i="39"/>
  <c r="N203" i="39"/>
  <c r="N204" i="39"/>
  <c r="N205" i="39"/>
  <c r="N206" i="39"/>
  <c r="N207" i="39"/>
  <c r="N208" i="39"/>
  <c r="N209" i="39"/>
  <c r="N210" i="39"/>
  <c r="N211" i="39"/>
  <c r="N212" i="39"/>
  <c r="N213" i="39"/>
  <c r="N214" i="39"/>
  <c r="N215" i="39"/>
  <c r="N216" i="39"/>
  <c r="N217" i="39"/>
  <c r="N218" i="39"/>
  <c r="N219" i="39"/>
  <c r="N220" i="39"/>
  <c r="N221" i="39"/>
  <c r="N222" i="39"/>
  <c r="N223" i="39"/>
  <c r="N224" i="39"/>
  <c r="N225" i="39"/>
  <c r="N226" i="39"/>
  <c r="N227" i="39"/>
  <c r="N228" i="39"/>
  <c r="N229" i="39"/>
  <c r="N230" i="39"/>
  <c r="N231" i="39"/>
  <c r="N232" i="39"/>
  <c r="N233" i="39"/>
  <c r="N234" i="39"/>
  <c r="N235" i="39"/>
  <c r="N236" i="39"/>
  <c r="N237" i="39"/>
  <c r="N238" i="39"/>
  <c r="N239" i="39"/>
  <c r="N240" i="39"/>
  <c r="N241" i="39"/>
  <c r="N242" i="39"/>
  <c r="N243" i="39"/>
  <c r="N244" i="39"/>
  <c r="N245" i="39"/>
  <c r="N246" i="39"/>
  <c r="N247" i="39"/>
  <c r="N248" i="39"/>
  <c r="N249" i="39"/>
  <c r="N250" i="39"/>
  <c r="N251" i="39"/>
  <c r="N252" i="39"/>
  <c r="N253" i="39"/>
  <c r="N254" i="39"/>
  <c r="N255" i="39"/>
  <c r="N256" i="39"/>
  <c r="N257" i="39"/>
  <c r="N258" i="39"/>
  <c r="N259" i="39"/>
  <c r="N260" i="39"/>
  <c r="N261" i="39"/>
  <c r="N262" i="39"/>
  <c r="N263" i="39"/>
  <c r="N264" i="39"/>
  <c r="N265" i="39"/>
  <c r="N266" i="39"/>
  <c r="N267" i="39"/>
  <c r="N268" i="39"/>
  <c r="N269" i="39"/>
  <c r="N270" i="39"/>
  <c r="N271" i="39"/>
  <c r="N272" i="39"/>
  <c r="N273" i="39"/>
  <c r="N274" i="39"/>
  <c r="N275" i="39"/>
  <c r="N276" i="39"/>
  <c r="N277" i="39"/>
  <c r="N278" i="39"/>
  <c r="N279" i="39"/>
  <c r="N280" i="39"/>
  <c r="N281" i="39"/>
  <c r="N282" i="39"/>
  <c r="N283" i="39"/>
  <c r="N284" i="39"/>
  <c r="N285" i="39"/>
  <c r="N286" i="39"/>
  <c r="N287" i="39"/>
  <c r="N288" i="39"/>
  <c r="N289" i="39"/>
  <c r="N290" i="39"/>
  <c r="N291" i="39"/>
  <c r="N292" i="39"/>
  <c r="N293" i="39"/>
  <c r="N294" i="39"/>
  <c r="N295" i="39"/>
  <c r="N296" i="39"/>
  <c r="N297" i="39"/>
  <c r="N298" i="39"/>
  <c r="N299" i="39"/>
  <c r="N300" i="39"/>
  <c r="N301" i="39"/>
  <c r="N302" i="39"/>
  <c r="N303" i="39"/>
  <c r="N304" i="39"/>
  <c r="N305" i="39"/>
  <c r="N306" i="39"/>
  <c r="N307" i="39"/>
  <c r="N308" i="39"/>
  <c r="N309" i="39"/>
  <c r="N310" i="39"/>
  <c r="N311" i="39"/>
  <c r="N312" i="39"/>
  <c r="N313" i="39"/>
  <c r="N314" i="39"/>
  <c r="N315" i="39"/>
  <c r="N316" i="39"/>
  <c r="N317" i="39"/>
  <c r="N318" i="39"/>
  <c r="N319" i="39"/>
  <c r="N320" i="39"/>
  <c r="N321" i="39"/>
  <c r="N322" i="39"/>
  <c r="N323" i="39"/>
  <c r="N324" i="39"/>
  <c r="N325" i="39"/>
  <c r="N326" i="39"/>
  <c r="N327" i="39"/>
  <c r="N328" i="39"/>
  <c r="N329" i="39"/>
  <c r="N330" i="39"/>
  <c r="N331" i="39"/>
  <c r="N332" i="39"/>
  <c r="N333" i="39"/>
  <c r="N334" i="39"/>
  <c r="N335" i="39"/>
  <c r="N336" i="39"/>
  <c r="N337" i="39"/>
  <c r="N338" i="39"/>
  <c r="N339" i="39"/>
  <c r="N340" i="39"/>
  <c r="N341" i="39"/>
  <c r="N342" i="39"/>
  <c r="N343" i="39"/>
  <c r="N344" i="39"/>
  <c r="N345" i="39"/>
  <c r="N346" i="39"/>
  <c r="N347" i="39"/>
  <c r="N348" i="39"/>
  <c r="N349" i="39"/>
  <c r="N350" i="39"/>
  <c r="N351" i="39"/>
  <c r="N352" i="39"/>
  <c r="N353" i="39"/>
  <c r="N354" i="39"/>
  <c r="N355" i="39"/>
  <c r="N356" i="39"/>
  <c r="N357" i="39"/>
  <c r="N358" i="39"/>
  <c r="N359" i="39"/>
  <c r="N360" i="39"/>
  <c r="N361" i="39"/>
  <c r="N362" i="39"/>
  <c r="N363" i="39"/>
  <c r="N364" i="39"/>
  <c r="N365" i="39"/>
  <c r="N366" i="39"/>
  <c r="N367" i="39"/>
  <c r="N368" i="39"/>
  <c r="N369" i="39"/>
  <c r="N370" i="39"/>
  <c r="N371" i="39"/>
  <c r="N372" i="39"/>
  <c r="N373" i="39"/>
  <c r="N374" i="39"/>
  <c r="N375" i="39"/>
  <c r="N376" i="39"/>
  <c r="N377" i="39"/>
  <c r="N378" i="39"/>
  <c r="N379" i="39"/>
  <c r="N380" i="39"/>
  <c r="N381" i="39"/>
  <c r="N382" i="39"/>
  <c r="N383" i="39"/>
  <c r="N384" i="39"/>
  <c r="N385" i="39"/>
  <c r="N386" i="39"/>
  <c r="N387" i="39"/>
  <c r="N388" i="39"/>
  <c r="N389" i="39"/>
  <c r="N390" i="39"/>
  <c r="N391" i="39"/>
  <c r="N392" i="39"/>
  <c r="N393" i="39"/>
  <c r="N394" i="39"/>
  <c r="N395" i="39"/>
  <c r="N396" i="39"/>
  <c r="N397" i="39"/>
  <c r="N398" i="39"/>
  <c r="N399" i="39"/>
  <c r="N400" i="39"/>
  <c r="N401" i="39"/>
  <c r="N402" i="39"/>
  <c r="N403" i="39"/>
  <c r="N404" i="39"/>
  <c r="N405" i="39"/>
  <c r="N406" i="39"/>
  <c r="N407" i="39"/>
  <c r="N408" i="39"/>
  <c r="N409" i="39"/>
  <c r="N410" i="39"/>
  <c r="N411" i="39"/>
  <c r="N412" i="39"/>
  <c r="N413" i="39"/>
  <c r="N414" i="39"/>
  <c r="N415" i="39"/>
  <c r="N416" i="39"/>
  <c r="N417" i="39"/>
  <c r="N418" i="39"/>
  <c r="N419" i="39"/>
  <c r="N420" i="39"/>
  <c r="N421" i="39"/>
  <c r="N422" i="39"/>
  <c r="N423" i="39"/>
  <c r="N424" i="39"/>
  <c r="N425" i="39"/>
  <c r="N426" i="39"/>
  <c r="N427" i="39"/>
  <c r="N428" i="39"/>
  <c r="N429" i="39"/>
  <c r="N430" i="39"/>
  <c r="N431" i="39"/>
  <c r="N432" i="39"/>
  <c r="N433" i="39"/>
  <c r="N434" i="39"/>
  <c r="N435" i="39"/>
  <c r="N436" i="39"/>
  <c r="N437" i="39"/>
  <c r="N438" i="39"/>
  <c r="N439" i="39"/>
  <c r="N440" i="39"/>
  <c r="N441" i="39"/>
  <c r="N442" i="39"/>
  <c r="N443" i="39"/>
  <c r="N444" i="39"/>
  <c r="N445" i="39"/>
  <c r="N446" i="39"/>
  <c r="N447" i="39"/>
  <c r="N448" i="39"/>
  <c r="N449" i="39"/>
  <c r="N450" i="39"/>
  <c r="N451" i="39"/>
  <c r="N452" i="39"/>
  <c r="N453" i="39"/>
  <c r="N454" i="39"/>
  <c r="N455" i="39"/>
  <c r="N456" i="39"/>
  <c r="N457" i="39"/>
  <c r="N458" i="39"/>
  <c r="N459" i="39"/>
  <c r="N460" i="39"/>
  <c r="N461" i="39"/>
  <c r="N462" i="39"/>
  <c r="N463" i="39"/>
  <c r="N464" i="39"/>
  <c r="N465" i="39"/>
  <c r="N466" i="39"/>
  <c r="N467" i="39"/>
  <c r="N468" i="39"/>
  <c r="N469" i="39"/>
  <c r="N470" i="39"/>
  <c r="N471" i="39"/>
  <c r="O2" i="39"/>
  <c r="O3" i="39"/>
  <c r="O4" i="39"/>
  <c r="O5" i="39"/>
  <c r="O6" i="39"/>
  <c r="O7" i="39"/>
  <c r="O8" i="39"/>
  <c r="O9" i="39"/>
  <c r="O10" i="39"/>
  <c r="O11" i="39"/>
  <c r="O12" i="39"/>
  <c r="O13" i="39"/>
  <c r="O14" i="39"/>
  <c r="O15" i="39"/>
  <c r="O16" i="39"/>
  <c r="O17" i="39"/>
  <c r="O18" i="39"/>
  <c r="O19" i="39"/>
  <c r="O20" i="39"/>
  <c r="O21" i="39"/>
  <c r="O22" i="39"/>
  <c r="O23" i="39"/>
  <c r="O24" i="39"/>
  <c r="O25" i="39"/>
  <c r="O26" i="39"/>
  <c r="O27" i="39"/>
  <c r="O28" i="39"/>
  <c r="O29" i="39"/>
  <c r="O30" i="39"/>
  <c r="O31" i="39"/>
  <c r="O32" i="39"/>
  <c r="O33" i="39"/>
  <c r="O34" i="39"/>
  <c r="O35" i="39"/>
  <c r="O36" i="39"/>
  <c r="O37" i="39"/>
  <c r="O38" i="39"/>
  <c r="O39" i="39"/>
  <c r="O40" i="39"/>
  <c r="O41" i="39"/>
  <c r="O42" i="39"/>
  <c r="O43" i="39"/>
  <c r="O44" i="39"/>
  <c r="O45" i="39"/>
  <c r="O46" i="39"/>
  <c r="O47" i="39"/>
  <c r="O48" i="39"/>
  <c r="O49" i="39"/>
  <c r="O50" i="39"/>
  <c r="O51" i="39"/>
  <c r="O52" i="39"/>
  <c r="O53" i="39"/>
  <c r="O54" i="39"/>
  <c r="O55" i="39"/>
  <c r="O56" i="39"/>
  <c r="O57" i="39"/>
  <c r="O58" i="39"/>
  <c r="O59" i="39"/>
  <c r="O60" i="39"/>
  <c r="O61" i="39"/>
  <c r="O62" i="39"/>
  <c r="O63" i="39"/>
  <c r="O64" i="39"/>
  <c r="O65" i="39"/>
  <c r="O66" i="39"/>
  <c r="O67" i="39"/>
  <c r="O68" i="39"/>
  <c r="O69" i="39"/>
  <c r="O70" i="39"/>
  <c r="O71" i="39"/>
  <c r="O72" i="39"/>
  <c r="O73" i="39"/>
  <c r="O74" i="39"/>
  <c r="O75" i="39"/>
  <c r="O76" i="39"/>
  <c r="O77" i="39"/>
  <c r="O78" i="39"/>
  <c r="O79" i="39"/>
  <c r="O80" i="39"/>
  <c r="O81" i="39"/>
  <c r="O82" i="39"/>
  <c r="O83" i="39"/>
  <c r="O84" i="39"/>
  <c r="O85" i="39"/>
  <c r="O86" i="39"/>
  <c r="O87" i="39"/>
  <c r="O88" i="39"/>
  <c r="O89" i="39"/>
  <c r="O90" i="39"/>
  <c r="O91" i="39"/>
  <c r="O92" i="39"/>
  <c r="O93" i="39"/>
  <c r="O94" i="39"/>
  <c r="O95" i="39"/>
  <c r="O96" i="39"/>
  <c r="O97" i="39"/>
  <c r="O98" i="39"/>
  <c r="O99" i="39"/>
  <c r="O100" i="39"/>
  <c r="O101" i="39"/>
  <c r="O102" i="39"/>
  <c r="O103" i="39"/>
  <c r="O104" i="39"/>
  <c r="O105" i="39"/>
  <c r="O106" i="39"/>
  <c r="O107" i="39"/>
  <c r="O108" i="39"/>
  <c r="O109" i="39"/>
  <c r="O110" i="39"/>
  <c r="O111" i="39"/>
  <c r="O112" i="39"/>
  <c r="O113" i="39"/>
  <c r="O114" i="39"/>
  <c r="O115" i="39"/>
  <c r="O116" i="39"/>
  <c r="O117" i="39"/>
  <c r="O118" i="39"/>
  <c r="O119" i="39"/>
  <c r="O120" i="39"/>
  <c r="O121" i="39"/>
  <c r="O122" i="39"/>
  <c r="O123" i="39"/>
  <c r="O124" i="39"/>
  <c r="O125" i="39"/>
  <c r="O126" i="39"/>
  <c r="O127" i="39"/>
  <c r="O128" i="39"/>
  <c r="O129" i="39"/>
  <c r="O130" i="39"/>
  <c r="O131" i="39"/>
  <c r="O132" i="39"/>
  <c r="O133" i="39"/>
  <c r="O134" i="39"/>
  <c r="O135" i="39"/>
  <c r="O136" i="39"/>
  <c r="O137" i="39"/>
  <c r="O138" i="39"/>
  <c r="O139" i="39"/>
  <c r="O140" i="39"/>
  <c r="O141" i="39"/>
  <c r="O142" i="39"/>
  <c r="O143" i="39"/>
  <c r="O144" i="39"/>
  <c r="O145" i="39"/>
  <c r="O146" i="39"/>
  <c r="O147" i="39"/>
  <c r="O148" i="39"/>
  <c r="O149" i="39"/>
  <c r="O150" i="39"/>
  <c r="O151" i="39"/>
  <c r="O152" i="39"/>
  <c r="O153" i="39"/>
  <c r="O154" i="39"/>
  <c r="O155" i="39"/>
  <c r="O156" i="39"/>
  <c r="O157" i="39"/>
  <c r="O158" i="39"/>
  <c r="O159" i="39"/>
  <c r="O160" i="39"/>
  <c r="O161" i="39"/>
  <c r="O162" i="39"/>
  <c r="O163" i="39"/>
  <c r="O164" i="39"/>
  <c r="O165" i="39"/>
  <c r="O166" i="39"/>
  <c r="O167" i="39"/>
  <c r="O168" i="39"/>
  <c r="O169" i="39"/>
  <c r="O170" i="39"/>
  <c r="O171" i="39"/>
  <c r="O172" i="39"/>
  <c r="O173" i="39"/>
  <c r="O174" i="39"/>
  <c r="O175" i="39"/>
  <c r="O176" i="39"/>
  <c r="O177" i="39"/>
  <c r="O178" i="39"/>
  <c r="O179" i="39"/>
  <c r="O180" i="39"/>
  <c r="O181" i="39"/>
  <c r="O182" i="39"/>
  <c r="O183" i="39"/>
  <c r="O184" i="39"/>
  <c r="O185" i="39"/>
  <c r="O186" i="39"/>
  <c r="O187" i="39"/>
  <c r="O188" i="39"/>
  <c r="O189" i="39"/>
  <c r="O190" i="39"/>
  <c r="O191" i="39"/>
  <c r="O192" i="39"/>
  <c r="O193" i="39"/>
  <c r="O194" i="39"/>
  <c r="O195" i="39"/>
  <c r="O196" i="39"/>
  <c r="O197" i="39"/>
  <c r="O198" i="39"/>
  <c r="O199" i="39"/>
  <c r="O200" i="39"/>
  <c r="O201" i="39"/>
  <c r="O202" i="39"/>
  <c r="O203" i="39"/>
  <c r="O204" i="39"/>
  <c r="O205" i="39"/>
  <c r="O206" i="39"/>
  <c r="O207" i="39"/>
  <c r="O208" i="39"/>
  <c r="O209" i="39"/>
  <c r="O210" i="39"/>
  <c r="O211" i="39"/>
  <c r="O212" i="39"/>
  <c r="O213" i="39"/>
  <c r="O214" i="39"/>
  <c r="O215" i="39"/>
  <c r="O216" i="39"/>
  <c r="O217" i="39"/>
  <c r="O218" i="39"/>
  <c r="O219" i="39"/>
  <c r="O220" i="39"/>
  <c r="O221" i="39"/>
  <c r="O222" i="39"/>
  <c r="O223" i="39"/>
  <c r="O224" i="39"/>
  <c r="O225" i="39"/>
  <c r="O226" i="39"/>
  <c r="O227" i="39"/>
  <c r="O228" i="39"/>
  <c r="O229" i="39"/>
  <c r="O230" i="39"/>
  <c r="O231" i="39"/>
  <c r="O232" i="39"/>
  <c r="O233" i="39"/>
  <c r="O234" i="39"/>
  <c r="O235" i="39"/>
  <c r="O236" i="39"/>
  <c r="O237" i="39"/>
  <c r="O238" i="39"/>
  <c r="O239" i="39"/>
  <c r="O240" i="39"/>
  <c r="O241" i="39"/>
  <c r="O242" i="39"/>
  <c r="O243" i="39"/>
  <c r="O244" i="39"/>
  <c r="O245" i="39"/>
  <c r="O246" i="39"/>
  <c r="O247" i="39"/>
  <c r="O248" i="39"/>
  <c r="O249" i="39"/>
  <c r="O250" i="39"/>
  <c r="O251" i="39"/>
  <c r="O252" i="39"/>
  <c r="O253" i="39"/>
  <c r="O254" i="39"/>
  <c r="O255" i="39"/>
  <c r="O256" i="39"/>
  <c r="O257" i="39"/>
  <c r="O258" i="39"/>
  <c r="O259" i="39"/>
  <c r="O260" i="39"/>
  <c r="O261" i="39"/>
  <c r="O262" i="39"/>
  <c r="O263" i="39"/>
  <c r="O264" i="39"/>
  <c r="O265" i="39"/>
  <c r="O266" i="39"/>
  <c r="O267" i="39"/>
  <c r="O268" i="39"/>
  <c r="O269" i="39"/>
  <c r="O270" i="39"/>
  <c r="O271" i="39"/>
  <c r="O272" i="39"/>
  <c r="O273" i="39"/>
  <c r="O274" i="39"/>
  <c r="O275" i="39"/>
  <c r="O276" i="39"/>
  <c r="O277" i="39"/>
  <c r="O278" i="39"/>
  <c r="O279" i="39"/>
  <c r="O280" i="39"/>
  <c r="O281" i="39"/>
  <c r="O282" i="39"/>
  <c r="O283" i="39"/>
  <c r="O284" i="39"/>
  <c r="O285" i="39"/>
  <c r="O286" i="39"/>
  <c r="O287" i="39"/>
  <c r="O288" i="39"/>
  <c r="O289" i="39"/>
  <c r="O290" i="39"/>
  <c r="O291" i="39"/>
  <c r="O292" i="39"/>
  <c r="O293" i="39"/>
  <c r="O294" i="39"/>
  <c r="O295" i="39"/>
  <c r="O296" i="39"/>
  <c r="O297" i="39"/>
  <c r="O298" i="39"/>
  <c r="O299" i="39"/>
  <c r="O300" i="39"/>
  <c r="O301" i="39"/>
  <c r="O302" i="39"/>
  <c r="O303" i="39"/>
  <c r="O304" i="39"/>
  <c r="O305" i="39"/>
  <c r="O306" i="39"/>
  <c r="O307" i="39"/>
  <c r="O308" i="39"/>
  <c r="O309" i="39"/>
  <c r="O310" i="39"/>
  <c r="O311" i="39"/>
  <c r="O312" i="39"/>
  <c r="O313" i="39"/>
  <c r="O314" i="39"/>
  <c r="O315" i="39"/>
  <c r="O316" i="39"/>
  <c r="O317" i="39"/>
  <c r="O318" i="39"/>
  <c r="O319" i="39"/>
  <c r="O320" i="39"/>
  <c r="O321" i="39"/>
  <c r="O322" i="39"/>
  <c r="O323" i="39"/>
  <c r="O324" i="39"/>
  <c r="O325" i="39"/>
  <c r="O326" i="39"/>
  <c r="O327" i="39"/>
  <c r="O328" i="39"/>
  <c r="O329" i="39"/>
  <c r="O330" i="39"/>
  <c r="O331" i="39"/>
  <c r="O332" i="39"/>
  <c r="O333" i="39"/>
  <c r="O334" i="39"/>
  <c r="O335" i="39"/>
  <c r="O336" i="39"/>
  <c r="O337" i="39"/>
  <c r="O338" i="39"/>
  <c r="O339" i="39"/>
  <c r="O340" i="39"/>
  <c r="O341" i="39"/>
  <c r="O342" i="39"/>
  <c r="O343" i="39"/>
  <c r="O344" i="39"/>
  <c r="O345" i="39"/>
  <c r="O346" i="39"/>
  <c r="O347" i="39"/>
  <c r="O348" i="39"/>
  <c r="O349" i="39"/>
  <c r="O350" i="39"/>
  <c r="O351" i="39"/>
  <c r="O352" i="39"/>
  <c r="O353" i="39"/>
  <c r="O354" i="39"/>
  <c r="O355" i="39"/>
  <c r="O356" i="39"/>
  <c r="O357" i="39"/>
  <c r="O358" i="39"/>
  <c r="O359" i="39"/>
  <c r="O360" i="39"/>
  <c r="O361" i="39"/>
  <c r="O362" i="39"/>
  <c r="O363" i="39"/>
  <c r="O364" i="39"/>
  <c r="O365" i="39"/>
  <c r="O366" i="39"/>
  <c r="O367" i="39"/>
  <c r="O368" i="39"/>
  <c r="O369" i="39"/>
  <c r="O370" i="39"/>
  <c r="O371" i="39"/>
  <c r="O372" i="39"/>
  <c r="O373" i="39"/>
  <c r="O374" i="39"/>
  <c r="O375" i="39"/>
  <c r="O376" i="39"/>
  <c r="O377" i="39"/>
  <c r="O378" i="39"/>
  <c r="O379" i="39"/>
  <c r="O380" i="39"/>
  <c r="O381" i="39"/>
  <c r="O382" i="39"/>
  <c r="O383" i="39"/>
  <c r="O384" i="39"/>
  <c r="O385" i="39"/>
  <c r="O386" i="39"/>
  <c r="O387" i="39"/>
  <c r="O388" i="39"/>
  <c r="O389" i="39"/>
  <c r="O390" i="39"/>
  <c r="O391" i="39"/>
  <c r="O392" i="39"/>
  <c r="O393" i="39"/>
  <c r="O394" i="39"/>
  <c r="O395" i="39"/>
  <c r="O396" i="39"/>
  <c r="O397" i="39"/>
  <c r="O398" i="39"/>
  <c r="O399" i="39"/>
  <c r="O400" i="39"/>
  <c r="O401" i="39"/>
  <c r="O402" i="39"/>
  <c r="O403" i="39"/>
  <c r="O404" i="39"/>
  <c r="O405" i="39"/>
  <c r="O406" i="39"/>
  <c r="O407" i="39"/>
  <c r="O408" i="39"/>
  <c r="O409" i="39"/>
  <c r="O410" i="39"/>
  <c r="O411" i="39"/>
  <c r="O412" i="39"/>
  <c r="O413" i="39"/>
  <c r="O414" i="39"/>
  <c r="O415" i="39"/>
  <c r="O416" i="39"/>
  <c r="O417" i="39"/>
  <c r="O418" i="39"/>
  <c r="O419" i="39"/>
  <c r="O420" i="39"/>
  <c r="O421" i="39"/>
  <c r="O422" i="39"/>
  <c r="O423" i="39"/>
  <c r="O424" i="39"/>
  <c r="O425" i="39"/>
  <c r="O426" i="39"/>
  <c r="O427" i="39"/>
  <c r="O428" i="39"/>
  <c r="O429" i="39"/>
  <c r="O430" i="39"/>
  <c r="O431" i="39"/>
  <c r="O432" i="39"/>
  <c r="O433" i="39"/>
  <c r="O434" i="39"/>
  <c r="O435" i="39"/>
  <c r="O436" i="39"/>
  <c r="O437" i="39"/>
  <c r="O438" i="39"/>
  <c r="O439" i="39"/>
  <c r="O440" i="39"/>
  <c r="O441" i="39"/>
  <c r="O442" i="39"/>
  <c r="O443" i="39"/>
  <c r="O444" i="39"/>
  <c r="O445" i="39"/>
  <c r="O446" i="39"/>
  <c r="O447" i="39"/>
  <c r="O448" i="39"/>
  <c r="O449" i="39"/>
  <c r="O450" i="39"/>
  <c r="O451" i="39"/>
  <c r="O452" i="39"/>
  <c r="O453" i="39"/>
  <c r="O454" i="39"/>
  <c r="O455" i="39"/>
  <c r="O456" i="39"/>
  <c r="O457" i="39"/>
  <c r="O458" i="39"/>
  <c r="O459" i="39"/>
  <c r="O460" i="39"/>
  <c r="O461" i="39"/>
  <c r="O462" i="39"/>
  <c r="O463" i="39"/>
  <c r="O464" i="39"/>
  <c r="O465" i="39"/>
  <c r="O466" i="39"/>
  <c r="O467" i="39"/>
  <c r="O468" i="39"/>
  <c r="O469" i="39"/>
  <c r="O470" i="39"/>
  <c r="O471" i="39"/>
  <c r="Q2" i="39"/>
  <c r="U2" i="39" s="1"/>
  <c r="Q3" i="39"/>
  <c r="U3" i="39" s="1"/>
  <c r="Q4" i="39"/>
  <c r="Q5" i="39"/>
  <c r="Q6" i="39"/>
  <c r="Q7" i="39"/>
  <c r="Q8" i="39"/>
  <c r="U8" i="39" s="1"/>
  <c r="Q9" i="39"/>
  <c r="Q10" i="39"/>
  <c r="Q11" i="39"/>
  <c r="Q12" i="39"/>
  <c r="Q13" i="39"/>
  <c r="U13" i="39" s="1"/>
  <c r="Q14" i="39"/>
  <c r="Q15" i="39"/>
  <c r="U15" i="39" s="1"/>
  <c r="Q16" i="39"/>
  <c r="U16" i="39" s="1"/>
  <c r="Q17" i="39"/>
  <c r="U17" i="39" s="1"/>
  <c r="Q18" i="39"/>
  <c r="Q19" i="39"/>
  <c r="Q20" i="39"/>
  <c r="Q21" i="39"/>
  <c r="Q22" i="39"/>
  <c r="U22" i="39" s="1"/>
  <c r="Q23" i="39"/>
  <c r="Q24" i="39"/>
  <c r="Q25" i="39"/>
  <c r="Q26" i="39"/>
  <c r="Q27" i="39"/>
  <c r="Q28" i="39"/>
  <c r="Q29" i="39"/>
  <c r="Q30" i="39"/>
  <c r="U30" i="39" s="1"/>
  <c r="Q31" i="39"/>
  <c r="U31" i="39" s="1"/>
  <c r="Q32" i="39"/>
  <c r="Q33" i="39"/>
  <c r="U33" i="39" s="1"/>
  <c r="Q34" i="39"/>
  <c r="Q35" i="39"/>
  <c r="Q36" i="39"/>
  <c r="U36" i="39" s="1"/>
  <c r="Q37" i="39"/>
  <c r="Q38" i="39"/>
  <c r="Q39" i="39"/>
  <c r="Q40" i="39"/>
  <c r="Q41" i="39"/>
  <c r="U41" i="39" s="1"/>
  <c r="Q42" i="39"/>
  <c r="Q43" i="39"/>
  <c r="U43" i="39" s="1"/>
  <c r="Q44" i="39"/>
  <c r="U44" i="39" s="1"/>
  <c r="Q45" i="39"/>
  <c r="U45" i="39" s="1"/>
  <c r="Q46" i="39"/>
  <c r="Q47" i="39"/>
  <c r="Q48" i="39"/>
  <c r="Q49" i="39"/>
  <c r="Q50" i="39"/>
  <c r="U50" i="39" s="1"/>
  <c r="Q51" i="39"/>
  <c r="Q52" i="39"/>
  <c r="Q53" i="39"/>
  <c r="Q54" i="39"/>
  <c r="Q55" i="39"/>
  <c r="U55" i="39" s="1"/>
  <c r="Q56" i="39"/>
  <c r="Q57" i="39"/>
  <c r="Q58" i="39"/>
  <c r="U58" i="39" s="1"/>
  <c r="Q59" i="39"/>
  <c r="U59" i="39" s="1"/>
  <c r="Q60" i="39"/>
  <c r="Q61" i="39"/>
  <c r="Q62" i="39"/>
  <c r="Q63" i="39"/>
  <c r="Q64" i="39"/>
  <c r="U64" i="39" s="1"/>
  <c r="Q65" i="39"/>
  <c r="Q66" i="39"/>
  <c r="Q67" i="39"/>
  <c r="Q68" i="39"/>
  <c r="Q69" i="39"/>
  <c r="Q70" i="39"/>
  <c r="Q71" i="39"/>
  <c r="Q72" i="39"/>
  <c r="U72" i="39" s="1"/>
  <c r="Q73" i="39"/>
  <c r="U73" i="39" s="1"/>
  <c r="Q74" i="39"/>
  <c r="Q75" i="39"/>
  <c r="Q76" i="39"/>
  <c r="Q77" i="39"/>
  <c r="Q78" i="39"/>
  <c r="U78" i="39" s="1"/>
  <c r="Q79" i="39"/>
  <c r="Q80" i="39"/>
  <c r="Q81" i="39"/>
  <c r="Q82" i="39"/>
  <c r="Q83" i="39"/>
  <c r="Q84" i="39"/>
  <c r="Q85" i="39"/>
  <c r="U85" i="39" s="1"/>
  <c r="Q86" i="39"/>
  <c r="U86" i="39" s="1"/>
  <c r="Q87" i="39"/>
  <c r="U87" i="39" s="1"/>
  <c r="Q88" i="39"/>
  <c r="Q89" i="39"/>
  <c r="Q90" i="39"/>
  <c r="Q91" i="39"/>
  <c r="Q92" i="39"/>
  <c r="U92" i="39" s="1"/>
  <c r="Q93" i="39"/>
  <c r="Q94" i="39"/>
  <c r="Q95" i="39"/>
  <c r="Q96" i="39"/>
  <c r="Q97" i="39"/>
  <c r="U97" i="39" s="1"/>
  <c r="Q98" i="39"/>
  <c r="Q99" i="39"/>
  <c r="U99" i="39" s="1"/>
  <c r="Q100" i="39"/>
  <c r="U100" i="39" s="1"/>
  <c r="Q101" i="39"/>
  <c r="U101" i="39" s="1"/>
  <c r="Q102" i="39"/>
  <c r="Q103" i="39"/>
  <c r="Q104" i="39"/>
  <c r="Q105" i="39"/>
  <c r="Q106" i="39"/>
  <c r="U106" i="39" s="1"/>
  <c r="Q107" i="39"/>
  <c r="Q108" i="39"/>
  <c r="Q109" i="39"/>
  <c r="Q110" i="39"/>
  <c r="Q111" i="39"/>
  <c r="Q112" i="39"/>
  <c r="Q113" i="39"/>
  <c r="U113" i="39" s="1"/>
  <c r="Q114" i="39"/>
  <c r="U114" i="39" s="1"/>
  <c r="Q115" i="39"/>
  <c r="U115" i="39" s="1"/>
  <c r="Q116" i="39"/>
  <c r="Q117" i="39"/>
  <c r="Q118" i="39"/>
  <c r="Q119" i="39"/>
  <c r="Q120" i="39"/>
  <c r="U120" i="39" s="1"/>
  <c r="Q121" i="39"/>
  <c r="Q122" i="39"/>
  <c r="Q123" i="39"/>
  <c r="Q124" i="39"/>
  <c r="Q125" i="39"/>
  <c r="Q126" i="39"/>
  <c r="Q127" i="39"/>
  <c r="Q128" i="39"/>
  <c r="U128" i="39" s="1"/>
  <c r="Q129" i="39"/>
  <c r="U129" i="39" s="1"/>
  <c r="Q130" i="39"/>
  <c r="Q131" i="39"/>
  <c r="Q132" i="39"/>
  <c r="Q133" i="39"/>
  <c r="Q134" i="39"/>
  <c r="U134" i="39" s="1"/>
  <c r="Q135" i="39"/>
  <c r="Q136" i="39"/>
  <c r="Q137" i="39"/>
  <c r="Q138" i="39"/>
  <c r="Q139" i="39"/>
  <c r="Q140" i="39"/>
  <c r="Q141" i="39"/>
  <c r="Q142" i="39"/>
  <c r="U142" i="39" s="1"/>
  <c r="Q143" i="39"/>
  <c r="U143" i="39" s="1"/>
  <c r="Q144" i="39"/>
  <c r="Q145" i="39"/>
  <c r="Q146" i="39"/>
  <c r="Q147" i="39"/>
  <c r="Q148" i="39"/>
  <c r="U148" i="39" s="1"/>
  <c r="Q149" i="39"/>
  <c r="Q150" i="39"/>
  <c r="Q151" i="39"/>
  <c r="Q152" i="39"/>
  <c r="Q153" i="39"/>
  <c r="U153" i="39" s="1"/>
  <c r="Q154" i="39"/>
  <c r="Q155" i="39"/>
  <c r="Q156" i="39"/>
  <c r="U156" i="39" s="1"/>
  <c r="Q157" i="39"/>
  <c r="U157" i="39" s="1"/>
  <c r="Q158" i="39"/>
  <c r="Q159" i="39"/>
  <c r="Q160" i="39"/>
  <c r="Q161" i="39"/>
  <c r="Q162" i="39"/>
  <c r="U162" i="39" s="1"/>
  <c r="Q163" i="39"/>
  <c r="Q164" i="39"/>
  <c r="Q165" i="39"/>
  <c r="Q166" i="39"/>
  <c r="Q167" i="39"/>
  <c r="Q168" i="39"/>
  <c r="Q169" i="39"/>
  <c r="Q170" i="39"/>
  <c r="U170" i="39" s="1"/>
  <c r="Q171" i="39"/>
  <c r="Q172" i="39"/>
  <c r="Q173" i="39"/>
  <c r="Q174" i="39"/>
  <c r="Q175" i="39"/>
  <c r="Q176" i="39"/>
  <c r="U176" i="39" s="1"/>
  <c r="Q177" i="39"/>
  <c r="Q178" i="39"/>
  <c r="Q179" i="39"/>
  <c r="Q180" i="39"/>
  <c r="Q181" i="39"/>
  <c r="Q182" i="39"/>
  <c r="Q183" i="39"/>
  <c r="Q184" i="39"/>
  <c r="U184" i="39" s="1"/>
  <c r="Q185" i="39"/>
  <c r="U185" i="39" s="1"/>
  <c r="Q186" i="39"/>
  <c r="Q187" i="39"/>
  <c r="Q188" i="39"/>
  <c r="Q189" i="39"/>
  <c r="Q190" i="39"/>
  <c r="U190" i="39" s="1"/>
  <c r="Q191" i="39"/>
  <c r="Q192" i="39"/>
  <c r="Q193" i="39"/>
  <c r="Q194" i="39"/>
  <c r="Q195" i="39"/>
  <c r="U195" i="39" s="1"/>
  <c r="Q196" i="39"/>
  <c r="Q197" i="39"/>
  <c r="U197" i="39" s="1"/>
  <c r="Q198" i="39"/>
  <c r="U198" i="39" s="1"/>
  <c r="Q199" i="39"/>
  <c r="U199" i="39" s="1"/>
  <c r="Q200" i="39"/>
  <c r="Q201" i="39"/>
  <c r="Q202" i="39"/>
  <c r="Q203" i="39"/>
  <c r="Q204" i="39"/>
  <c r="U204" i="39" s="1"/>
  <c r="Q205" i="39"/>
  <c r="Q206" i="39"/>
  <c r="U206" i="39" s="1"/>
  <c r="Q207" i="39"/>
  <c r="Q208" i="39"/>
  <c r="Q209" i="39"/>
  <c r="U209" i="39" s="1"/>
  <c r="Q210" i="39"/>
  <c r="Q211" i="39"/>
  <c r="Q212" i="39"/>
  <c r="U212" i="39" s="1"/>
  <c r="Q213" i="39"/>
  <c r="Q214" i="39"/>
  <c r="Q215" i="39"/>
  <c r="Q216" i="39"/>
  <c r="Q217" i="39"/>
  <c r="Q218" i="39"/>
  <c r="U218" i="39" s="1"/>
  <c r="Q219" i="39"/>
  <c r="Q220" i="39"/>
  <c r="Q221" i="39"/>
  <c r="Q222" i="39"/>
  <c r="Q223" i="39"/>
  <c r="Q224" i="39"/>
  <c r="Q225" i="39"/>
  <c r="Q226" i="39"/>
  <c r="U226" i="39" s="1"/>
  <c r="Q227" i="39"/>
  <c r="U227" i="39" s="1"/>
  <c r="Q228" i="39"/>
  <c r="Q229" i="39"/>
  <c r="U229" i="39" s="1"/>
  <c r="Q230" i="39"/>
  <c r="Q231" i="39"/>
  <c r="Q232" i="39"/>
  <c r="U232" i="39" s="1"/>
  <c r="Q233" i="39"/>
  <c r="Q234" i="39"/>
  <c r="Q235" i="39"/>
  <c r="Q236" i="39"/>
  <c r="Q237" i="39"/>
  <c r="U237" i="39" s="1"/>
  <c r="Q238" i="39"/>
  <c r="Q239" i="39"/>
  <c r="U239" i="39" s="1"/>
  <c r="Q240" i="39"/>
  <c r="U240" i="39" s="1"/>
  <c r="Q241" i="39"/>
  <c r="U241" i="39" s="1"/>
  <c r="Q242" i="39"/>
  <c r="Q243" i="39"/>
  <c r="Q244" i="39"/>
  <c r="Q245" i="39"/>
  <c r="Q246" i="39"/>
  <c r="U246" i="39" s="1"/>
  <c r="Q247" i="39"/>
  <c r="Q248" i="39"/>
  <c r="U248" i="39" s="1"/>
  <c r="Q249" i="39"/>
  <c r="Q250" i="39"/>
  <c r="U250" i="39" s="1"/>
  <c r="Q251" i="39"/>
  <c r="Q252" i="39"/>
  <c r="Q253" i="39"/>
  <c r="U253" i="39" s="1"/>
  <c r="Q254" i="39"/>
  <c r="U254" i="39" s="1"/>
  <c r="Q255" i="39"/>
  <c r="U255" i="39" s="1"/>
  <c r="Q256" i="39"/>
  <c r="Q257" i="39"/>
  <c r="Q258" i="39"/>
  <c r="Q259" i="39"/>
  <c r="Q260" i="39"/>
  <c r="U260" i="39" s="1"/>
  <c r="Q261" i="39"/>
  <c r="Q262" i="39"/>
  <c r="Q263" i="39"/>
  <c r="Q264" i="39"/>
  <c r="Q265" i="39"/>
  <c r="Q266" i="39"/>
  <c r="Q267" i="39"/>
  <c r="Q268" i="39"/>
  <c r="U268" i="39" s="1"/>
  <c r="Q269" i="39"/>
  <c r="Q270" i="39"/>
  <c r="Q271" i="39"/>
  <c r="Q272" i="39"/>
  <c r="Q273" i="39"/>
  <c r="Q274" i="39"/>
  <c r="U274" i="39" s="1"/>
  <c r="Q275" i="39"/>
  <c r="Q276" i="39"/>
  <c r="Q277" i="39"/>
  <c r="Q278" i="39"/>
  <c r="Q279" i="39"/>
  <c r="U279" i="39" s="1"/>
  <c r="Q280" i="39"/>
  <c r="Q281" i="39"/>
  <c r="Q282" i="39"/>
  <c r="U282" i="39" s="1"/>
  <c r="Q283" i="39"/>
  <c r="U283" i="39" s="1"/>
  <c r="Q284" i="39"/>
  <c r="Q285" i="39"/>
  <c r="Q286" i="39"/>
  <c r="Q287" i="39"/>
  <c r="Q288" i="39"/>
  <c r="U288" i="39" s="1"/>
  <c r="Q289" i="39"/>
  <c r="Q290" i="39"/>
  <c r="Q291" i="39"/>
  <c r="Q292" i="39"/>
  <c r="Q293" i="39"/>
  <c r="Q294" i="39"/>
  <c r="Q295" i="39"/>
  <c r="U295" i="39" s="1"/>
  <c r="Q296" i="39"/>
  <c r="U296" i="39" s="1"/>
  <c r="Q297" i="39"/>
  <c r="Q298" i="39"/>
  <c r="Q299" i="39"/>
  <c r="Q300" i="39"/>
  <c r="Q301" i="39"/>
  <c r="Q302" i="39"/>
  <c r="U302" i="39" s="1"/>
  <c r="Q303" i="39"/>
  <c r="Q304" i="39"/>
  <c r="Q305" i="39"/>
  <c r="Q306" i="39"/>
  <c r="Q307" i="39"/>
  <c r="Q308" i="39"/>
  <c r="Q309" i="39"/>
  <c r="Q310" i="39"/>
  <c r="U310" i="39" s="1"/>
  <c r="Q311" i="39"/>
  <c r="U311" i="39" s="1"/>
  <c r="Q312" i="39"/>
  <c r="Q313" i="39"/>
  <c r="Q314" i="39"/>
  <c r="Q315" i="39"/>
  <c r="Q316" i="39"/>
  <c r="U316" i="39" s="1"/>
  <c r="Q317" i="39"/>
  <c r="Q318" i="39"/>
  <c r="U318" i="39" s="1"/>
  <c r="Q319" i="39"/>
  <c r="Q320" i="39"/>
  <c r="Q321" i="39"/>
  <c r="U321" i="39" s="1"/>
  <c r="Q322" i="39"/>
  <c r="Q323" i="39"/>
  <c r="Q324" i="39"/>
  <c r="U324" i="39" s="1"/>
  <c r="Q325" i="39"/>
  <c r="U325" i="39" s="1"/>
  <c r="Q326" i="39"/>
  <c r="Q327" i="39"/>
  <c r="Q328" i="39"/>
  <c r="Q329" i="39"/>
  <c r="Q330" i="39"/>
  <c r="U330" i="39" s="1"/>
  <c r="Q331" i="39"/>
  <c r="Q332" i="39"/>
  <c r="U332" i="39" s="1"/>
  <c r="Q333" i="39"/>
  <c r="Q334" i="39"/>
  <c r="Q335" i="39"/>
  <c r="U335" i="39" s="1"/>
  <c r="Q336" i="39"/>
  <c r="Q337" i="39"/>
  <c r="Q338" i="39"/>
  <c r="U338" i="39" s="1"/>
  <c r="Q339" i="39"/>
  <c r="U339" i="39" s="1"/>
  <c r="Q340" i="39"/>
  <c r="Q341" i="39"/>
  <c r="Q342" i="39"/>
  <c r="Q343" i="39"/>
  <c r="Q344" i="39"/>
  <c r="U344" i="39" s="1"/>
  <c r="Q345" i="39"/>
  <c r="Q346" i="39"/>
  <c r="Q347" i="39"/>
  <c r="Q348" i="39"/>
  <c r="Q349" i="39"/>
  <c r="U349" i="39" s="1"/>
  <c r="Q350" i="39"/>
  <c r="Q351" i="39"/>
  <c r="U351" i="39" s="1"/>
  <c r="Q352" i="39"/>
  <c r="U352" i="39" s="1"/>
  <c r="Q353" i="39"/>
  <c r="Q354" i="39"/>
  <c r="Q355" i="39"/>
  <c r="Q356" i="39"/>
  <c r="Q357" i="39"/>
  <c r="Q358" i="39"/>
  <c r="U358" i="39" s="1"/>
  <c r="Q359" i="39"/>
  <c r="Q360" i="39"/>
  <c r="U360" i="39" s="1"/>
  <c r="Q361" i="39"/>
  <c r="Q362" i="39"/>
  <c r="Q363" i="39"/>
  <c r="Q364" i="39"/>
  <c r="Q365" i="39"/>
  <c r="Q366" i="39"/>
  <c r="U366" i="39" s="1"/>
  <c r="Q367" i="39"/>
  <c r="U367" i="39" s="1"/>
  <c r="Q368" i="39"/>
  <c r="Q369" i="39"/>
  <c r="Q370" i="39"/>
  <c r="Q371" i="39"/>
  <c r="Q372" i="39"/>
  <c r="U372" i="39" s="1"/>
  <c r="Q373" i="39"/>
  <c r="Q374" i="39"/>
  <c r="Q375" i="39"/>
  <c r="Q376" i="39"/>
  <c r="Q377" i="39"/>
  <c r="U377" i="39" s="1"/>
  <c r="Q378" i="39"/>
  <c r="U378" i="39" s="1"/>
  <c r="Q379" i="39"/>
  <c r="U379" i="39" s="1"/>
  <c r="Q380" i="39"/>
  <c r="U380" i="39" s="1"/>
  <c r="Q381" i="39"/>
  <c r="U381" i="39" s="1"/>
  <c r="Q382" i="39"/>
  <c r="Q383" i="39"/>
  <c r="Q384" i="39"/>
  <c r="Q385" i="39"/>
  <c r="Q386" i="39"/>
  <c r="U386" i="39" s="1"/>
  <c r="Q387" i="39"/>
  <c r="Q388" i="39"/>
  <c r="Q389" i="39"/>
  <c r="Q390" i="39"/>
  <c r="Q391" i="39"/>
  <c r="Q392" i="39"/>
  <c r="Q393" i="39"/>
  <c r="Q394" i="39"/>
  <c r="U394" i="39" s="1"/>
  <c r="Q395" i="39"/>
  <c r="Q396" i="39"/>
  <c r="Q397" i="39"/>
  <c r="Q398" i="39"/>
  <c r="Q399" i="39"/>
  <c r="Q400" i="39"/>
  <c r="U400" i="39" s="1"/>
  <c r="Q401" i="39"/>
  <c r="Q402" i="39"/>
  <c r="U402" i="39" s="1"/>
  <c r="Q403" i="39"/>
  <c r="Q404" i="39"/>
  <c r="Q405" i="39"/>
  <c r="U405" i="39" s="1"/>
  <c r="Q406" i="39"/>
  <c r="Q407" i="39"/>
  <c r="U407" i="39" s="1"/>
  <c r="Q408" i="39"/>
  <c r="U408" i="39" s="1"/>
  <c r="Q409" i="39"/>
  <c r="U409" i="39" s="1"/>
  <c r="Q410" i="39"/>
  <c r="Q411" i="39"/>
  <c r="Q412" i="39"/>
  <c r="Q413" i="39"/>
  <c r="Q414" i="39"/>
  <c r="U414" i="39" s="1"/>
  <c r="Q415" i="39"/>
  <c r="Q416" i="39"/>
  <c r="U416" i="39" s="1"/>
  <c r="Q417" i="39"/>
  <c r="Q418" i="39"/>
  <c r="Q419" i="39"/>
  <c r="U419" i="39" s="1"/>
  <c r="Q420" i="39"/>
  <c r="Q421" i="39"/>
  <c r="Q422" i="39"/>
  <c r="U422" i="39" s="1"/>
  <c r="Q423" i="39"/>
  <c r="U423" i="39" s="1"/>
  <c r="Q424" i="39"/>
  <c r="Q425" i="39"/>
  <c r="Q426" i="39"/>
  <c r="Q427" i="39"/>
  <c r="Q428" i="39"/>
  <c r="U428" i="39" s="1"/>
  <c r="Q429" i="39"/>
  <c r="Q430" i="39"/>
  <c r="Q431" i="39"/>
  <c r="Q432" i="39"/>
  <c r="Q433" i="39"/>
  <c r="Q434" i="39"/>
  <c r="Q435" i="39"/>
  <c r="Q436" i="39"/>
  <c r="U436" i="39" s="1"/>
  <c r="Q437" i="39"/>
  <c r="U437" i="39" s="1"/>
  <c r="Q438" i="39"/>
  <c r="Q439" i="39"/>
  <c r="Q440" i="39"/>
  <c r="Q441" i="39"/>
  <c r="Q442" i="39"/>
  <c r="U442" i="39" s="1"/>
  <c r="Q443" i="39"/>
  <c r="Q444" i="39"/>
  <c r="Q445" i="39"/>
  <c r="Q446" i="39"/>
  <c r="Q447" i="39"/>
  <c r="Q448" i="39"/>
  <c r="Q449" i="39"/>
  <c r="U449" i="39" s="1"/>
  <c r="Q450" i="39"/>
  <c r="U450" i="39" s="1"/>
  <c r="Q451" i="39"/>
  <c r="U451" i="39" s="1"/>
  <c r="Q452" i="39"/>
  <c r="Q453" i="39"/>
  <c r="Q454" i="39"/>
  <c r="Q455" i="39"/>
  <c r="Q456" i="39"/>
  <c r="U456" i="39" s="1"/>
  <c r="Q457" i="39"/>
  <c r="Q458" i="39"/>
  <c r="Q459" i="39"/>
  <c r="Q460" i="39"/>
  <c r="Q461" i="39"/>
  <c r="Q462" i="39"/>
  <c r="Q463" i="39"/>
  <c r="Q464" i="39"/>
  <c r="U464" i="39" s="1"/>
  <c r="Q465" i="39"/>
  <c r="U465" i="39" s="1"/>
  <c r="Q466" i="39"/>
  <c r="Q467" i="39"/>
  <c r="Q468" i="39"/>
  <c r="Q469" i="39"/>
  <c r="Q470" i="39"/>
  <c r="U470" i="39" s="1"/>
  <c r="Q471" i="39"/>
  <c r="R2" i="39"/>
  <c r="R3" i="39"/>
  <c r="R4" i="39"/>
  <c r="R5" i="39"/>
  <c r="R6" i="39"/>
  <c r="R7" i="39"/>
  <c r="R8" i="39"/>
  <c r="R9" i="39"/>
  <c r="R10" i="39"/>
  <c r="R11" i="39"/>
  <c r="R12" i="39"/>
  <c r="R13" i="39"/>
  <c r="R14" i="39"/>
  <c r="R15" i="39"/>
  <c r="R16" i="39"/>
  <c r="R17" i="39"/>
  <c r="R18" i="39"/>
  <c r="R19" i="39"/>
  <c r="R20" i="39"/>
  <c r="R21" i="39"/>
  <c r="R22" i="39"/>
  <c r="R23" i="39"/>
  <c r="R24" i="39"/>
  <c r="R25" i="39"/>
  <c r="R26" i="39"/>
  <c r="R27" i="39"/>
  <c r="R28" i="39"/>
  <c r="R29" i="39"/>
  <c r="R30" i="39"/>
  <c r="R31" i="39"/>
  <c r="R32" i="39"/>
  <c r="R33" i="39"/>
  <c r="R34" i="39"/>
  <c r="R35" i="39"/>
  <c r="R36" i="39"/>
  <c r="R37" i="39"/>
  <c r="R38" i="39"/>
  <c r="R39" i="39"/>
  <c r="R40" i="39"/>
  <c r="R41" i="39"/>
  <c r="R42" i="39"/>
  <c r="R43" i="39"/>
  <c r="R44" i="39"/>
  <c r="R45" i="39"/>
  <c r="R46" i="39"/>
  <c r="R47" i="39"/>
  <c r="R48" i="39"/>
  <c r="R49" i="39"/>
  <c r="R50" i="39"/>
  <c r="R51" i="39"/>
  <c r="R52" i="39"/>
  <c r="R53" i="39"/>
  <c r="R54" i="39"/>
  <c r="R55" i="39"/>
  <c r="R56" i="39"/>
  <c r="R57" i="39"/>
  <c r="R58" i="39"/>
  <c r="R59" i="39"/>
  <c r="R60" i="39"/>
  <c r="R61" i="39"/>
  <c r="R62" i="39"/>
  <c r="R63" i="39"/>
  <c r="R64" i="39"/>
  <c r="R65" i="39"/>
  <c r="R66" i="39"/>
  <c r="R67" i="39"/>
  <c r="R68" i="39"/>
  <c r="R69" i="39"/>
  <c r="R70" i="39"/>
  <c r="R71" i="39"/>
  <c r="R72" i="39"/>
  <c r="R73" i="39"/>
  <c r="R74" i="39"/>
  <c r="R75" i="39"/>
  <c r="R76" i="39"/>
  <c r="R77" i="39"/>
  <c r="R78" i="39"/>
  <c r="R79" i="39"/>
  <c r="R80" i="39"/>
  <c r="R81" i="39"/>
  <c r="R82" i="39"/>
  <c r="R83" i="39"/>
  <c r="R84" i="39"/>
  <c r="R85" i="39"/>
  <c r="R86" i="39"/>
  <c r="R87" i="39"/>
  <c r="R88" i="39"/>
  <c r="R89" i="39"/>
  <c r="R90" i="39"/>
  <c r="R91" i="39"/>
  <c r="R92" i="39"/>
  <c r="R93" i="39"/>
  <c r="R94" i="39"/>
  <c r="R95" i="39"/>
  <c r="R96" i="39"/>
  <c r="R97" i="39"/>
  <c r="R98" i="39"/>
  <c r="R99" i="39"/>
  <c r="R100" i="39"/>
  <c r="R101" i="39"/>
  <c r="R102" i="39"/>
  <c r="R103" i="39"/>
  <c r="R104" i="39"/>
  <c r="R105" i="39"/>
  <c r="R106" i="39"/>
  <c r="R107" i="39"/>
  <c r="R108" i="39"/>
  <c r="R109" i="39"/>
  <c r="R110" i="39"/>
  <c r="R111" i="39"/>
  <c r="R112" i="39"/>
  <c r="R113" i="39"/>
  <c r="R114" i="39"/>
  <c r="R115" i="39"/>
  <c r="R116" i="39"/>
  <c r="R117" i="39"/>
  <c r="R118" i="39"/>
  <c r="R119" i="39"/>
  <c r="R120" i="39"/>
  <c r="R121" i="39"/>
  <c r="R122" i="39"/>
  <c r="R123" i="39"/>
  <c r="R124" i="39"/>
  <c r="R125" i="39"/>
  <c r="R126" i="39"/>
  <c r="R127" i="39"/>
  <c r="R128" i="39"/>
  <c r="R129" i="39"/>
  <c r="R130" i="39"/>
  <c r="R131" i="39"/>
  <c r="R132" i="39"/>
  <c r="R133" i="39"/>
  <c r="R134" i="39"/>
  <c r="R135" i="39"/>
  <c r="R136" i="39"/>
  <c r="R137" i="39"/>
  <c r="R138" i="39"/>
  <c r="R139" i="39"/>
  <c r="R140" i="39"/>
  <c r="R141" i="39"/>
  <c r="R142" i="39"/>
  <c r="R143" i="39"/>
  <c r="R144" i="39"/>
  <c r="R145" i="39"/>
  <c r="R146" i="39"/>
  <c r="R147" i="39"/>
  <c r="R148" i="39"/>
  <c r="R149" i="39"/>
  <c r="R150" i="39"/>
  <c r="R151" i="39"/>
  <c r="R152" i="39"/>
  <c r="R153" i="39"/>
  <c r="R154" i="39"/>
  <c r="R155" i="39"/>
  <c r="R156" i="39"/>
  <c r="R157" i="39"/>
  <c r="R158" i="39"/>
  <c r="R159" i="39"/>
  <c r="R160" i="39"/>
  <c r="R161" i="39"/>
  <c r="R162" i="39"/>
  <c r="R163" i="39"/>
  <c r="R164" i="39"/>
  <c r="R165" i="39"/>
  <c r="R166" i="39"/>
  <c r="R167" i="39"/>
  <c r="R168" i="39"/>
  <c r="R169" i="39"/>
  <c r="R170" i="39"/>
  <c r="R171" i="39"/>
  <c r="R172" i="39"/>
  <c r="R173" i="39"/>
  <c r="R174" i="39"/>
  <c r="R175" i="39"/>
  <c r="R176" i="39"/>
  <c r="R177" i="39"/>
  <c r="R178" i="39"/>
  <c r="R179" i="39"/>
  <c r="R180" i="39"/>
  <c r="R181" i="39"/>
  <c r="R182" i="39"/>
  <c r="R183" i="39"/>
  <c r="R184" i="39"/>
  <c r="R185" i="39"/>
  <c r="R186" i="39"/>
  <c r="R187" i="39"/>
  <c r="R188" i="39"/>
  <c r="R189" i="39"/>
  <c r="R190" i="39"/>
  <c r="R191" i="39"/>
  <c r="R192" i="39"/>
  <c r="R193" i="39"/>
  <c r="R194" i="39"/>
  <c r="R195" i="39"/>
  <c r="R196" i="39"/>
  <c r="R197" i="39"/>
  <c r="R198" i="39"/>
  <c r="R199" i="39"/>
  <c r="R200" i="39"/>
  <c r="R201" i="39"/>
  <c r="R202" i="39"/>
  <c r="R203" i="39"/>
  <c r="R204" i="39"/>
  <c r="R205" i="39"/>
  <c r="R206" i="39"/>
  <c r="R207" i="39"/>
  <c r="R208" i="39"/>
  <c r="R209" i="39"/>
  <c r="R210" i="39"/>
  <c r="R211" i="39"/>
  <c r="R212" i="39"/>
  <c r="R213" i="39"/>
  <c r="R214" i="39"/>
  <c r="R215" i="39"/>
  <c r="R216" i="39"/>
  <c r="R217" i="39"/>
  <c r="R218" i="39"/>
  <c r="R219" i="39"/>
  <c r="R220" i="39"/>
  <c r="R221" i="39"/>
  <c r="R222" i="39"/>
  <c r="R223" i="39"/>
  <c r="R224" i="39"/>
  <c r="R225" i="39"/>
  <c r="R226" i="39"/>
  <c r="R227" i="39"/>
  <c r="R228" i="39"/>
  <c r="R229" i="39"/>
  <c r="R230" i="39"/>
  <c r="R231" i="39"/>
  <c r="R232" i="39"/>
  <c r="R233" i="39"/>
  <c r="R234" i="39"/>
  <c r="R235" i="39"/>
  <c r="R236" i="39"/>
  <c r="R237" i="39"/>
  <c r="R238" i="39"/>
  <c r="R239" i="39"/>
  <c r="R240" i="39"/>
  <c r="R241" i="39"/>
  <c r="R242" i="39"/>
  <c r="R243" i="39"/>
  <c r="R244" i="39"/>
  <c r="R245" i="39"/>
  <c r="R246" i="39"/>
  <c r="R247" i="39"/>
  <c r="R248" i="39"/>
  <c r="R249" i="39"/>
  <c r="R250" i="39"/>
  <c r="R251" i="39"/>
  <c r="R252" i="39"/>
  <c r="R253" i="39"/>
  <c r="R254" i="39"/>
  <c r="R255" i="39"/>
  <c r="R256" i="39"/>
  <c r="R257" i="39"/>
  <c r="R258" i="39"/>
  <c r="R259" i="39"/>
  <c r="R260" i="39"/>
  <c r="R261" i="39"/>
  <c r="R262" i="39"/>
  <c r="R263" i="39"/>
  <c r="R264" i="39"/>
  <c r="R265" i="39"/>
  <c r="R266" i="39"/>
  <c r="R267" i="39"/>
  <c r="R268" i="39"/>
  <c r="R269" i="39"/>
  <c r="R270" i="39"/>
  <c r="R271" i="39"/>
  <c r="R272" i="39"/>
  <c r="R273" i="39"/>
  <c r="R274" i="39"/>
  <c r="R275" i="39"/>
  <c r="R276" i="39"/>
  <c r="R277" i="39"/>
  <c r="R278" i="39"/>
  <c r="R279" i="39"/>
  <c r="R280" i="39"/>
  <c r="R281" i="39"/>
  <c r="R282" i="39"/>
  <c r="R283" i="39"/>
  <c r="R284" i="39"/>
  <c r="R285" i="39"/>
  <c r="R286" i="39"/>
  <c r="R287" i="39"/>
  <c r="R288" i="39"/>
  <c r="R289" i="39"/>
  <c r="R290" i="39"/>
  <c r="R291" i="39"/>
  <c r="R292" i="39"/>
  <c r="R293" i="39"/>
  <c r="R294" i="39"/>
  <c r="R295" i="39"/>
  <c r="R296" i="39"/>
  <c r="R297" i="39"/>
  <c r="R298" i="39"/>
  <c r="R299" i="39"/>
  <c r="R300" i="39"/>
  <c r="R301" i="39"/>
  <c r="R302" i="39"/>
  <c r="R303" i="39"/>
  <c r="R304" i="39"/>
  <c r="R305" i="39"/>
  <c r="R306" i="39"/>
  <c r="R307" i="39"/>
  <c r="R308" i="39"/>
  <c r="R309" i="39"/>
  <c r="R310" i="39"/>
  <c r="R311" i="39"/>
  <c r="R312" i="39"/>
  <c r="R313" i="39"/>
  <c r="R314" i="39"/>
  <c r="R315" i="39"/>
  <c r="R316" i="39"/>
  <c r="R317" i="39"/>
  <c r="R318" i="39"/>
  <c r="R319" i="39"/>
  <c r="R320" i="39"/>
  <c r="R321" i="39"/>
  <c r="R322" i="39"/>
  <c r="R323" i="39"/>
  <c r="R324" i="39"/>
  <c r="R325" i="39"/>
  <c r="R326" i="39"/>
  <c r="R327" i="39"/>
  <c r="R328" i="39"/>
  <c r="R329" i="39"/>
  <c r="R330" i="39"/>
  <c r="R331" i="39"/>
  <c r="R332" i="39"/>
  <c r="R333" i="39"/>
  <c r="R334" i="39"/>
  <c r="R335" i="39"/>
  <c r="R336" i="39"/>
  <c r="R337" i="39"/>
  <c r="R338" i="39"/>
  <c r="R339" i="39"/>
  <c r="R340" i="39"/>
  <c r="R341" i="39"/>
  <c r="R342" i="39"/>
  <c r="R343" i="39"/>
  <c r="R344" i="39"/>
  <c r="R345" i="39"/>
  <c r="R346" i="39"/>
  <c r="R347" i="39"/>
  <c r="R348" i="39"/>
  <c r="R349" i="39"/>
  <c r="R350" i="39"/>
  <c r="R351" i="39"/>
  <c r="R352" i="39"/>
  <c r="R353" i="39"/>
  <c r="R354" i="39"/>
  <c r="R355" i="39"/>
  <c r="R356" i="39"/>
  <c r="R357" i="39"/>
  <c r="R358" i="39"/>
  <c r="R359" i="39"/>
  <c r="R360" i="39"/>
  <c r="R361" i="39"/>
  <c r="R362" i="39"/>
  <c r="R363" i="39"/>
  <c r="R364" i="39"/>
  <c r="R365" i="39"/>
  <c r="R366" i="39"/>
  <c r="R367" i="39"/>
  <c r="R368" i="39"/>
  <c r="R369" i="39"/>
  <c r="R370" i="39"/>
  <c r="R371" i="39"/>
  <c r="R372" i="39"/>
  <c r="R373" i="39"/>
  <c r="R374" i="39"/>
  <c r="R375" i="39"/>
  <c r="R376" i="39"/>
  <c r="R377" i="39"/>
  <c r="R378" i="39"/>
  <c r="R379" i="39"/>
  <c r="R380" i="39"/>
  <c r="R381" i="39"/>
  <c r="R382" i="39"/>
  <c r="R383" i="39"/>
  <c r="R384" i="39"/>
  <c r="R385" i="39"/>
  <c r="R386" i="39"/>
  <c r="R387" i="39"/>
  <c r="R388" i="39"/>
  <c r="R389" i="39"/>
  <c r="R390" i="39"/>
  <c r="R391" i="39"/>
  <c r="R392" i="39"/>
  <c r="R393" i="39"/>
  <c r="R394" i="39"/>
  <c r="R395" i="39"/>
  <c r="R396" i="39"/>
  <c r="R397" i="39"/>
  <c r="R398" i="39"/>
  <c r="R399" i="39"/>
  <c r="R400" i="39"/>
  <c r="R401" i="39"/>
  <c r="R402" i="39"/>
  <c r="R403" i="39"/>
  <c r="R404" i="39"/>
  <c r="R405" i="39"/>
  <c r="R406" i="39"/>
  <c r="R407" i="39"/>
  <c r="R408" i="39"/>
  <c r="R409" i="39"/>
  <c r="R410" i="39"/>
  <c r="R411" i="39"/>
  <c r="R412" i="39"/>
  <c r="R413" i="39"/>
  <c r="R414" i="39"/>
  <c r="R415" i="39"/>
  <c r="R416" i="39"/>
  <c r="R417" i="39"/>
  <c r="R418" i="39"/>
  <c r="R419" i="39"/>
  <c r="R420" i="39"/>
  <c r="R421" i="39"/>
  <c r="R422" i="39"/>
  <c r="R423" i="39"/>
  <c r="R424" i="39"/>
  <c r="R425" i="39"/>
  <c r="R426" i="39"/>
  <c r="R427" i="39"/>
  <c r="R428" i="39"/>
  <c r="R429" i="39"/>
  <c r="R430" i="39"/>
  <c r="R431" i="39"/>
  <c r="R432" i="39"/>
  <c r="R433" i="39"/>
  <c r="R434" i="39"/>
  <c r="R435" i="39"/>
  <c r="R436" i="39"/>
  <c r="R437" i="39"/>
  <c r="R438" i="39"/>
  <c r="R439" i="39"/>
  <c r="R440" i="39"/>
  <c r="R441" i="39"/>
  <c r="R442" i="39"/>
  <c r="R443" i="39"/>
  <c r="R444" i="39"/>
  <c r="R445" i="39"/>
  <c r="R446" i="39"/>
  <c r="R447" i="39"/>
  <c r="R448" i="39"/>
  <c r="R449" i="39"/>
  <c r="R450" i="39"/>
  <c r="R451" i="39"/>
  <c r="R452" i="39"/>
  <c r="R453" i="39"/>
  <c r="R454" i="39"/>
  <c r="R455" i="39"/>
  <c r="R456" i="39"/>
  <c r="R457" i="39"/>
  <c r="R458" i="39"/>
  <c r="R459" i="39"/>
  <c r="R460" i="39"/>
  <c r="R461" i="39"/>
  <c r="R462" i="39"/>
  <c r="R463" i="39"/>
  <c r="R464" i="39"/>
  <c r="R465" i="39"/>
  <c r="R466" i="39"/>
  <c r="R467" i="39"/>
  <c r="R468" i="39"/>
  <c r="R469" i="39"/>
  <c r="R470" i="39"/>
  <c r="R471" i="39"/>
  <c r="S2" i="39"/>
  <c r="S3" i="39"/>
  <c r="S4" i="39"/>
  <c r="S5" i="39"/>
  <c r="S6" i="39"/>
  <c r="S7" i="39"/>
  <c r="S8" i="39"/>
  <c r="S9" i="39"/>
  <c r="S10" i="39"/>
  <c r="S11" i="39"/>
  <c r="S12" i="39"/>
  <c r="U12" i="39" s="1"/>
  <c r="S13" i="39"/>
  <c r="S14" i="39"/>
  <c r="S15" i="39"/>
  <c r="S16" i="39"/>
  <c r="S17" i="39"/>
  <c r="S18" i="39"/>
  <c r="S19" i="39"/>
  <c r="S20" i="39"/>
  <c r="S21" i="39"/>
  <c r="S22" i="39"/>
  <c r="S23" i="39"/>
  <c r="S24" i="39"/>
  <c r="S25" i="39"/>
  <c r="S26" i="39"/>
  <c r="U26" i="39" s="1"/>
  <c r="S27" i="39"/>
  <c r="S28" i="39"/>
  <c r="S29" i="39"/>
  <c r="S30" i="39"/>
  <c r="S31" i="39"/>
  <c r="S32" i="39"/>
  <c r="S33" i="39"/>
  <c r="S34" i="39"/>
  <c r="S35" i="39"/>
  <c r="S36" i="39"/>
  <c r="S37" i="39"/>
  <c r="U37" i="39" s="1"/>
  <c r="S38" i="39"/>
  <c r="S39" i="39"/>
  <c r="S40" i="39"/>
  <c r="U40" i="39" s="1"/>
  <c r="S41" i="39"/>
  <c r="S42" i="39"/>
  <c r="S43" i="39"/>
  <c r="S44" i="39"/>
  <c r="S45" i="39"/>
  <c r="S46" i="39"/>
  <c r="S47" i="39"/>
  <c r="S48" i="39"/>
  <c r="S49" i="39"/>
  <c r="S50" i="39"/>
  <c r="S51" i="39"/>
  <c r="S52" i="39"/>
  <c r="S53" i="39"/>
  <c r="S54" i="39"/>
  <c r="U54" i="39" s="1"/>
  <c r="S55" i="39"/>
  <c r="S56" i="39"/>
  <c r="S57" i="39"/>
  <c r="S58" i="39"/>
  <c r="S59" i="39"/>
  <c r="S60" i="39"/>
  <c r="S61" i="39"/>
  <c r="S62" i="39"/>
  <c r="S63" i="39"/>
  <c r="S64" i="39"/>
  <c r="S65" i="39"/>
  <c r="S66" i="39"/>
  <c r="S67" i="39"/>
  <c r="S68" i="39"/>
  <c r="U68" i="39" s="1"/>
  <c r="S69" i="39"/>
  <c r="S70" i="39"/>
  <c r="S71" i="39"/>
  <c r="S72" i="39"/>
  <c r="S73" i="39"/>
  <c r="S74" i="39"/>
  <c r="S75" i="39"/>
  <c r="S76" i="39"/>
  <c r="S77" i="39"/>
  <c r="S78" i="39"/>
  <c r="S79" i="39"/>
  <c r="S80" i="39"/>
  <c r="S81" i="39"/>
  <c r="S82" i="39"/>
  <c r="U82" i="39" s="1"/>
  <c r="S83" i="39"/>
  <c r="U83" i="39" s="1"/>
  <c r="S84" i="39"/>
  <c r="S85" i="39"/>
  <c r="S86" i="39"/>
  <c r="S87" i="39"/>
  <c r="S88" i="39"/>
  <c r="S89" i="39"/>
  <c r="S90" i="39"/>
  <c r="S91" i="39"/>
  <c r="S92" i="39"/>
  <c r="S93" i="39"/>
  <c r="U93" i="39" s="1"/>
  <c r="S94" i="39"/>
  <c r="S95" i="39"/>
  <c r="S96" i="39"/>
  <c r="U96" i="39" s="1"/>
  <c r="S97" i="39"/>
  <c r="S98" i="39"/>
  <c r="U98" i="39" s="1"/>
  <c r="S99" i="39"/>
  <c r="S100" i="39"/>
  <c r="S101" i="39"/>
  <c r="S102" i="39"/>
  <c r="U102" i="39" s="1"/>
  <c r="S103" i="39"/>
  <c r="S104" i="39"/>
  <c r="S105" i="39"/>
  <c r="S106" i="39"/>
  <c r="S107" i="39"/>
  <c r="S108" i="39"/>
  <c r="S109" i="39"/>
  <c r="S110" i="39"/>
  <c r="U110" i="39" s="1"/>
  <c r="S111" i="39"/>
  <c r="U111" i="39" s="1"/>
  <c r="S112" i="39"/>
  <c r="S113" i="39"/>
  <c r="S114" i="39"/>
  <c r="S115" i="39"/>
  <c r="S116" i="39"/>
  <c r="S117" i="39"/>
  <c r="S118" i="39"/>
  <c r="S119" i="39"/>
  <c r="S120" i="39"/>
  <c r="S121" i="39"/>
  <c r="U121" i="39" s="1"/>
  <c r="S122" i="39"/>
  <c r="U122" i="39" s="1"/>
  <c r="S123" i="39"/>
  <c r="S124" i="39"/>
  <c r="U124" i="39" s="1"/>
  <c r="S125" i="39"/>
  <c r="U125" i="39" s="1"/>
  <c r="S126" i="39"/>
  <c r="S127" i="39"/>
  <c r="S128" i="39"/>
  <c r="S129" i="39"/>
  <c r="S130" i="39"/>
  <c r="U130" i="39" s="1"/>
  <c r="S131" i="39"/>
  <c r="U131" i="39" s="1"/>
  <c r="S132" i="39"/>
  <c r="S133" i="39"/>
  <c r="S134" i="39"/>
  <c r="S135" i="39"/>
  <c r="S136" i="39"/>
  <c r="S137" i="39"/>
  <c r="S138" i="39"/>
  <c r="U138" i="39" s="1"/>
  <c r="S139" i="39"/>
  <c r="U139" i="39" s="1"/>
  <c r="S140" i="39"/>
  <c r="U140" i="39" s="1"/>
  <c r="S141" i="39"/>
  <c r="S142" i="39"/>
  <c r="S143" i="39"/>
  <c r="S144" i="39"/>
  <c r="S145" i="39"/>
  <c r="S146" i="39"/>
  <c r="S147" i="39"/>
  <c r="S148" i="39"/>
  <c r="S149" i="39"/>
  <c r="S150" i="39"/>
  <c r="S151" i="39"/>
  <c r="S152" i="39"/>
  <c r="U152" i="39" s="1"/>
  <c r="S153" i="39"/>
  <c r="S154" i="39"/>
  <c r="S155" i="39"/>
  <c r="S156" i="39"/>
  <c r="S157" i="39"/>
  <c r="S158" i="39"/>
  <c r="S159" i="39"/>
  <c r="S160" i="39"/>
  <c r="S161" i="39"/>
  <c r="S162" i="39"/>
  <c r="S163" i="39"/>
  <c r="U163" i="39" s="1"/>
  <c r="S164" i="39"/>
  <c r="U164" i="39" s="1"/>
  <c r="S165" i="39"/>
  <c r="S166" i="39"/>
  <c r="U166" i="39" s="1"/>
  <c r="S167" i="39"/>
  <c r="S168" i="39"/>
  <c r="S169" i="39"/>
  <c r="S170" i="39"/>
  <c r="S171" i="39"/>
  <c r="S172" i="39"/>
  <c r="U172" i="39" s="1"/>
  <c r="S173" i="39"/>
  <c r="S174" i="39"/>
  <c r="S175" i="39"/>
  <c r="S176" i="39"/>
  <c r="S177" i="39"/>
  <c r="U177" i="39" s="1"/>
  <c r="S178" i="39"/>
  <c r="S179" i="39"/>
  <c r="S180" i="39"/>
  <c r="U180" i="39" s="1"/>
  <c r="S181" i="39"/>
  <c r="S182" i="39"/>
  <c r="S183" i="39"/>
  <c r="S184" i="39"/>
  <c r="S185" i="39"/>
  <c r="S186" i="39"/>
  <c r="S187" i="39"/>
  <c r="S188" i="39"/>
  <c r="S189" i="39"/>
  <c r="S190" i="39"/>
  <c r="S191" i="39"/>
  <c r="S192" i="39"/>
  <c r="S193" i="39"/>
  <c r="S194" i="39"/>
  <c r="U194" i="39" s="1"/>
  <c r="S195" i="39"/>
  <c r="S196" i="39"/>
  <c r="S197" i="39"/>
  <c r="S198" i="39"/>
  <c r="S199" i="39"/>
  <c r="S200" i="39"/>
  <c r="S201" i="39"/>
  <c r="S202" i="39"/>
  <c r="S203" i="39"/>
  <c r="S204" i="39"/>
  <c r="S205" i="39"/>
  <c r="S206" i="39"/>
  <c r="S207" i="39"/>
  <c r="S208" i="39"/>
  <c r="U208" i="39" s="1"/>
  <c r="S209" i="39"/>
  <c r="S210" i="39"/>
  <c r="S211" i="39"/>
  <c r="S212" i="39"/>
  <c r="S213" i="39"/>
  <c r="S214" i="39"/>
  <c r="U214" i="39" s="1"/>
  <c r="S215" i="39"/>
  <c r="S216" i="39"/>
  <c r="S217" i="39"/>
  <c r="S218" i="39"/>
  <c r="S219" i="39"/>
  <c r="S220" i="39"/>
  <c r="S221" i="39"/>
  <c r="S222" i="39"/>
  <c r="S223" i="39"/>
  <c r="S224" i="39"/>
  <c r="S225" i="39"/>
  <c r="S226" i="39"/>
  <c r="S227" i="39"/>
  <c r="S228" i="39"/>
  <c r="S229" i="39"/>
  <c r="S230" i="39"/>
  <c r="S231" i="39"/>
  <c r="S232" i="39"/>
  <c r="S233" i="39"/>
  <c r="S234" i="39"/>
  <c r="S235" i="39"/>
  <c r="S236" i="39"/>
  <c r="U236" i="39" s="1"/>
  <c r="S237" i="39"/>
  <c r="S238" i="39"/>
  <c r="S239" i="39"/>
  <c r="S240" i="39"/>
  <c r="S241" i="39"/>
  <c r="S242" i="39"/>
  <c r="S243" i="39"/>
  <c r="S244" i="39"/>
  <c r="S245" i="39"/>
  <c r="S246" i="39"/>
  <c r="S247" i="39"/>
  <c r="S248" i="39"/>
  <c r="S249" i="39"/>
  <c r="S250" i="39"/>
  <c r="S251" i="39"/>
  <c r="U251" i="39" s="1"/>
  <c r="S252" i="39"/>
  <c r="S253" i="39"/>
  <c r="S254" i="39"/>
  <c r="S255" i="39"/>
  <c r="S256" i="39"/>
  <c r="U256" i="39" s="1"/>
  <c r="S257" i="39"/>
  <c r="S258" i="39"/>
  <c r="S259" i="39"/>
  <c r="S260" i="39"/>
  <c r="S261" i="39"/>
  <c r="S262" i="39"/>
  <c r="S263" i="39"/>
  <c r="S264" i="39"/>
  <c r="U264" i="39" s="1"/>
  <c r="S265" i="39"/>
  <c r="S266" i="39"/>
  <c r="S267" i="39"/>
  <c r="S268" i="39"/>
  <c r="S269" i="39"/>
  <c r="S270" i="39"/>
  <c r="S271" i="39"/>
  <c r="S272" i="39"/>
  <c r="S273" i="39"/>
  <c r="S274" i="39"/>
  <c r="S275" i="39"/>
  <c r="U275" i="39" s="1"/>
  <c r="S276" i="39"/>
  <c r="S277" i="39"/>
  <c r="S278" i="39"/>
  <c r="U278" i="39" s="1"/>
  <c r="S279" i="39"/>
  <c r="S280" i="39"/>
  <c r="S281" i="39"/>
  <c r="S282" i="39"/>
  <c r="S283" i="39"/>
  <c r="S284" i="39"/>
  <c r="S285" i="39"/>
  <c r="S286" i="39"/>
  <c r="S287" i="39"/>
  <c r="S288" i="39"/>
  <c r="S289" i="39"/>
  <c r="S290" i="39"/>
  <c r="S291" i="39"/>
  <c r="S292" i="39"/>
  <c r="U292" i="39" s="1"/>
  <c r="S293" i="39"/>
  <c r="U293" i="39" s="1"/>
  <c r="S294" i="39"/>
  <c r="S295" i="39"/>
  <c r="S296" i="39"/>
  <c r="S297" i="39"/>
  <c r="S298" i="39"/>
  <c r="U298" i="39" s="1"/>
  <c r="S299" i="39"/>
  <c r="S300" i="39"/>
  <c r="S301" i="39"/>
  <c r="S302" i="39"/>
  <c r="S303" i="39"/>
  <c r="S304" i="39"/>
  <c r="S305" i="39"/>
  <c r="S306" i="39"/>
  <c r="U306" i="39" s="1"/>
  <c r="S307" i="39"/>
  <c r="S308" i="39"/>
  <c r="S309" i="39"/>
  <c r="S310" i="39"/>
  <c r="S311" i="39"/>
  <c r="S312" i="39"/>
  <c r="U312" i="39" s="1"/>
  <c r="S313" i="39"/>
  <c r="S314" i="39"/>
  <c r="S315" i="39"/>
  <c r="S316" i="39"/>
  <c r="S317" i="39"/>
  <c r="U317" i="39" s="1"/>
  <c r="S318" i="39"/>
  <c r="S319" i="39"/>
  <c r="S320" i="39"/>
  <c r="U320" i="39" s="1"/>
  <c r="S321" i="39"/>
  <c r="S322" i="39"/>
  <c r="S323" i="39"/>
  <c r="S324" i="39"/>
  <c r="S325" i="39"/>
  <c r="S326" i="39"/>
  <c r="S327" i="39"/>
  <c r="S328" i="39"/>
  <c r="S329" i="39"/>
  <c r="S330" i="39"/>
  <c r="S331" i="39"/>
  <c r="U331" i="39" s="1"/>
  <c r="S332" i="39"/>
  <c r="S333" i="39"/>
  <c r="S334" i="39"/>
  <c r="U334" i="39" s="1"/>
  <c r="S335" i="39"/>
  <c r="S336" i="39"/>
  <c r="S337" i="39"/>
  <c r="S338" i="39"/>
  <c r="S339" i="39"/>
  <c r="S340" i="39"/>
  <c r="S341" i="39"/>
  <c r="S342" i="39"/>
  <c r="S343" i="39"/>
  <c r="S344" i="39"/>
  <c r="S345" i="39"/>
  <c r="S346" i="39"/>
  <c r="S347" i="39"/>
  <c r="S348" i="39"/>
  <c r="U348" i="39" s="1"/>
  <c r="S349" i="39"/>
  <c r="S350" i="39"/>
  <c r="S351" i="39"/>
  <c r="S352" i="39"/>
  <c r="S353" i="39"/>
  <c r="S354" i="39"/>
  <c r="S355" i="39"/>
  <c r="S356" i="39"/>
  <c r="S357" i="39"/>
  <c r="S358" i="39"/>
  <c r="S359" i="39"/>
  <c r="S360" i="39"/>
  <c r="S361" i="39"/>
  <c r="S362" i="39"/>
  <c r="U362" i="39" s="1"/>
  <c r="S363" i="39"/>
  <c r="S364" i="39"/>
  <c r="S365" i="39"/>
  <c r="S366" i="39"/>
  <c r="S367" i="39"/>
  <c r="S368" i="39"/>
  <c r="S369" i="39"/>
  <c r="S370" i="39"/>
  <c r="S371" i="39"/>
  <c r="S372" i="39"/>
  <c r="S373" i="39"/>
  <c r="U373" i="39" s="1"/>
  <c r="S374" i="39"/>
  <c r="S375" i="39"/>
  <c r="S376" i="39"/>
  <c r="U376" i="39" s="1"/>
  <c r="S377" i="39"/>
  <c r="S378" i="39"/>
  <c r="S379" i="39"/>
  <c r="S380" i="39"/>
  <c r="S381" i="39"/>
  <c r="S382" i="39"/>
  <c r="S383" i="39"/>
  <c r="S384" i="39"/>
  <c r="S385" i="39"/>
  <c r="S386" i="39"/>
  <c r="S387" i="39"/>
  <c r="U387" i="39" s="1"/>
  <c r="S388" i="39"/>
  <c r="S389" i="39"/>
  <c r="S390" i="39"/>
  <c r="U390" i="39" s="1"/>
  <c r="S391" i="39"/>
  <c r="U391" i="39" s="1"/>
  <c r="S392" i="39"/>
  <c r="S393" i="39"/>
  <c r="S394" i="39"/>
  <c r="S395" i="39"/>
  <c r="S396" i="39"/>
  <c r="S397" i="39"/>
  <c r="S398" i="39"/>
  <c r="S399" i="39"/>
  <c r="S400" i="39"/>
  <c r="S401" i="39"/>
  <c r="S402" i="39"/>
  <c r="S403" i="39"/>
  <c r="S404" i="39"/>
  <c r="U404" i="39" s="1"/>
  <c r="S405" i="39"/>
  <c r="S406" i="39"/>
  <c r="S407" i="39"/>
  <c r="S408" i="39"/>
  <c r="S409" i="39"/>
  <c r="S410" i="39"/>
  <c r="U410" i="39" s="1"/>
  <c r="S411" i="39"/>
  <c r="U411" i="39" s="1"/>
  <c r="S412" i="39"/>
  <c r="S413" i="39"/>
  <c r="S414" i="39"/>
  <c r="S415" i="39"/>
  <c r="S416" i="39"/>
  <c r="S417" i="39"/>
  <c r="S418" i="39"/>
  <c r="U418" i="39" s="1"/>
  <c r="S419" i="39"/>
  <c r="S420" i="39"/>
  <c r="S421" i="39"/>
  <c r="S422" i="39"/>
  <c r="S423" i="39"/>
  <c r="S424" i="39"/>
  <c r="S425" i="39"/>
  <c r="U425" i="39" s="1"/>
  <c r="S426" i="39"/>
  <c r="S427" i="39"/>
  <c r="S428" i="39"/>
  <c r="S429" i="39"/>
  <c r="S430" i="39"/>
  <c r="S431" i="39"/>
  <c r="S432" i="39"/>
  <c r="U432" i="39" s="1"/>
  <c r="S433" i="39"/>
  <c r="U433" i="39" s="1"/>
  <c r="S434" i="39"/>
  <c r="S435" i="39"/>
  <c r="S436" i="39"/>
  <c r="S437" i="39"/>
  <c r="S438" i="39"/>
  <c r="S439" i="39"/>
  <c r="S440" i="39"/>
  <c r="S441" i="39"/>
  <c r="S442" i="39"/>
  <c r="S443" i="39"/>
  <c r="S444" i="39"/>
  <c r="S445" i="39"/>
  <c r="S446" i="39"/>
  <c r="U446" i="39" s="1"/>
  <c r="S447" i="39"/>
  <c r="U447" i="39" s="1"/>
  <c r="S448" i="39"/>
  <c r="S449" i="39"/>
  <c r="S450" i="39"/>
  <c r="S451" i="39"/>
  <c r="S452" i="39"/>
  <c r="S453" i="39"/>
  <c r="S454" i="39"/>
  <c r="S455" i="39"/>
  <c r="S456" i="39"/>
  <c r="S457" i="39"/>
  <c r="U457" i="39" s="1"/>
  <c r="S458" i="39"/>
  <c r="U458" i="39" s="1"/>
  <c r="S459" i="39"/>
  <c r="S460" i="39"/>
  <c r="U460" i="39" s="1"/>
  <c r="S461" i="39"/>
  <c r="S462" i="39"/>
  <c r="S463" i="39"/>
  <c r="S464" i="39"/>
  <c r="S465" i="39"/>
  <c r="S466" i="39"/>
  <c r="U466" i="39" s="1"/>
  <c r="S467" i="39"/>
  <c r="S468" i="39"/>
  <c r="S469" i="39"/>
  <c r="S470" i="39"/>
  <c r="S471" i="39"/>
  <c r="T2" i="39"/>
  <c r="T3" i="39"/>
  <c r="T4" i="39"/>
  <c r="T5" i="39"/>
  <c r="T6" i="39"/>
  <c r="T7" i="39"/>
  <c r="T8" i="39"/>
  <c r="T9" i="39"/>
  <c r="T10" i="39"/>
  <c r="T11" i="39"/>
  <c r="T12" i="39"/>
  <c r="T13" i="39"/>
  <c r="T14" i="39"/>
  <c r="T15" i="39"/>
  <c r="T16" i="39"/>
  <c r="T17" i="39"/>
  <c r="T18" i="39"/>
  <c r="T19" i="39"/>
  <c r="T20" i="39"/>
  <c r="T21" i="39"/>
  <c r="T22" i="39"/>
  <c r="T23" i="39"/>
  <c r="T24" i="39"/>
  <c r="T25" i="39"/>
  <c r="T26" i="39"/>
  <c r="T27" i="39"/>
  <c r="T28" i="39"/>
  <c r="T29" i="39"/>
  <c r="T30" i="39"/>
  <c r="T31" i="39"/>
  <c r="T32" i="39"/>
  <c r="T33" i="39"/>
  <c r="T34" i="39"/>
  <c r="T35" i="39"/>
  <c r="T36" i="39"/>
  <c r="T37" i="39"/>
  <c r="T38" i="39"/>
  <c r="T39" i="39"/>
  <c r="T40" i="39"/>
  <c r="T41" i="39"/>
  <c r="T42" i="39"/>
  <c r="T43" i="39"/>
  <c r="T44" i="39"/>
  <c r="T45" i="39"/>
  <c r="T46" i="39"/>
  <c r="T47" i="39"/>
  <c r="T48" i="39"/>
  <c r="T49" i="39"/>
  <c r="T50" i="39"/>
  <c r="T51" i="39"/>
  <c r="T52" i="39"/>
  <c r="T53" i="39"/>
  <c r="T54" i="39"/>
  <c r="T55" i="39"/>
  <c r="T56" i="39"/>
  <c r="T57" i="39"/>
  <c r="T58" i="39"/>
  <c r="T59" i="39"/>
  <c r="T60" i="39"/>
  <c r="T61" i="39"/>
  <c r="T62" i="39"/>
  <c r="T63" i="39"/>
  <c r="T64" i="39"/>
  <c r="T65" i="39"/>
  <c r="T66" i="39"/>
  <c r="T67" i="39"/>
  <c r="T68" i="39"/>
  <c r="T69" i="39"/>
  <c r="T70" i="39"/>
  <c r="T71" i="39"/>
  <c r="T72" i="39"/>
  <c r="T73" i="39"/>
  <c r="T74" i="39"/>
  <c r="T75" i="39"/>
  <c r="T76" i="39"/>
  <c r="T77" i="39"/>
  <c r="T78" i="39"/>
  <c r="T79" i="39"/>
  <c r="T80" i="39"/>
  <c r="T81" i="39"/>
  <c r="T82" i="39"/>
  <c r="T83" i="39"/>
  <c r="T84" i="39"/>
  <c r="T85" i="39"/>
  <c r="T86" i="39"/>
  <c r="T87" i="39"/>
  <c r="T88" i="39"/>
  <c r="T89" i="39"/>
  <c r="T90" i="39"/>
  <c r="T91" i="39"/>
  <c r="T92" i="39"/>
  <c r="T93" i="39"/>
  <c r="T94" i="39"/>
  <c r="T95" i="39"/>
  <c r="T96" i="39"/>
  <c r="T97" i="39"/>
  <c r="T98" i="39"/>
  <c r="T99" i="39"/>
  <c r="T100" i="39"/>
  <c r="T101" i="39"/>
  <c r="T102" i="39"/>
  <c r="T103" i="39"/>
  <c r="T104" i="39"/>
  <c r="T105" i="39"/>
  <c r="T106" i="39"/>
  <c r="T107" i="39"/>
  <c r="T108" i="39"/>
  <c r="T109" i="39"/>
  <c r="T110" i="39"/>
  <c r="T111" i="39"/>
  <c r="T112" i="39"/>
  <c r="T113" i="39"/>
  <c r="T114" i="39"/>
  <c r="T115" i="39"/>
  <c r="T116" i="39"/>
  <c r="T117" i="39"/>
  <c r="T118" i="39"/>
  <c r="T119" i="39"/>
  <c r="T120" i="39"/>
  <c r="T121" i="39"/>
  <c r="T122" i="39"/>
  <c r="T123" i="39"/>
  <c r="T124" i="39"/>
  <c r="T125" i="39"/>
  <c r="T126" i="39"/>
  <c r="T127" i="39"/>
  <c r="T128" i="39"/>
  <c r="T129" i="39"/>
  <c r="T130" i="39"/>
  <c r="T131" i="39"/>
  <c r="T132" i="39"/>
  <c r="T133" i="39"/>
  <c r="T134" i="39"/>
  <c r="T135" i="39"/>
  <c r="T136" i="39"/>
  <c r="T137" i="39"/>
  <c r="T138" i="39"/>
  <c r="T139" i="39"/>
  <c r="T140" i="39"/>
  <c r="T141" i="39"/>
  <c r="T142" i="39"/>
  <c r="T143" i="39"/>
  <c r="T144" i="39"/>
  <c r="T145" i="39"/>
  <c r="T146" i="39"/>
  <c r="T147" i="39"/>
  <c r="T148" i="39"/>
  <c r="T149" i="39"/>
  <c r="T150" i="39"/>
  <c r="T151" i="39"/>
  <c r="T152" i="39"/>
  <c r="T153" i="39"/>
  <c r="T154" i="39"/>
  <c r="T155" i="39"/>
  <c r="T156" i="39"/>
  <c r="T157" i="39"/>
  <c r="T158" i="39"/>
  <c r="T159" i="39"/>
  <c r="T160" i="39"/>
  <c r="T161" i="39"/>
  <c r="T162" i="39"/>
  <c r="T163" i="39"/>
  <c r="T164" i="39"/>
  <c r="T165" i="39"/>
  <c r="T166" i="39"/>
  <c r="T167" i="39"/>
  <c r="T168" i="39"/>
  <c r="T169" i="39"/>
  <c r="T170" i="39"/>
  <c r="T171" i="39"/>
  <c r="T172" i="39"/>
  <c r="T173" i="39"/>
  <c r="T174" i="39"/>
  <c r="T175" i="39"/>
  <c r="T176" i="39"/>
  <c r="T177" i="39"/>
  <c r="T178" i="39"/>
  <c r="T179" i="39"/>
  <c r="T180" i="39"/>
  <c r="T181" i="39"/>
  <c r="T182" i="39"/>
  <c r="T183" i="39"/>
  <c r="T184" i="39"/>
  <c r="T185" i="39"/>
  <c r="T186" i="39"/>
  <c r="T187" i="39"/>
  <c r="T188" i="39"/>
  <c r="T189" i="39"/>
  <c r="T190" i="39"/>
  <c r="T191" i="39"/>
  <c r="T192" i="39"/>
  <c r="T193" i="39"/>
  <c r="T194" i="39"/>
  <c r="T195" i="39"/>
  <c r="T196" i="39"/>
  <c r="T197" i="39"/>
  <c r="T198" i="39"/>
  <c r="T199" i="39"/>
  <c r="T200" i="39"/>
  <c r="T201" i="39"/>
  <c r="T202" i="39"/>
  <c r="T203" i="39"/>
  <c r="T204" i="39"/>
  <c r="T205" i="39"/>
  <c r="T206" i="39"/>
  <c r="T207" i="39"/>
  <c r="T208" i="39"/>
  <c r="T209" i="39"/>
  <c r="T210" i="39"/>
  <c r="T211" i="39"/>
  <c r="T212" i="39"/>
  <c r="T213" i="39"/>
  <c r="T214" i="39"/>
  <c r="T215" i="39"/>
  <c r="T216" i="39"/>
  <c r="T217" i="39"/>
  <c r="T218" i="39"/>
  <c r="T219" i="39"/>
  <c r="T220" i="39"/>
  <c r="T221" i="39"/>
  <c r="T222" i="39"/>
  <c r="T223" i="39"/>
  <c r="T224" i="39"/>
  <c r="T225" i="39"/>
  <c r="T226" i="39"/>
  <c r="T227" i="39"/>
  <c r="T228" i="39"/>
  <c r="T229" i="39"/>
  <c r="T230" i="39"/>
  <c r="T231" i="39"/>
  <c r="T232" i="39"/>
  <c r="T233" i="39"/>
  <c r="T234" i="39"/>
  <c r="T235" i="39"/>
  <c r="T236" i="39"/>
  <c r="T237" i="39"/>
  <c r="T238" i="39"/>
  <c r="T239" i="39"/>
  <c r="T240" i="39"/>
  <c r="T241" i="39"/>
  <c r="T242" i="39"/>
  <c r="T243" i="39"/>
  <c r="T244" i="39"/>
  <c r="T245" i="39"/>
  <c r="T246" i="39"/>
  <c r="T247" i="39"/>
  <c r="T248" i="39"/>
  <c r="T249" i="39"/>
  <c r="T250" i="39"/>
  <c r="T251" i="39"/>
  <c r="T252" i="39"/>
  <c r="T253" i="39"/>
  <c r="T254" i="39"/>
  <c r="T255" i="39"/>
  <c r="T256" i="39"/>
  <c r="T257" i="39"/>
  <c r="T258" i="39"/>
  <c r="T259" i="39"/>
  <c r="T260" i="39"/>
  <c r="T261" i="39"/>
  <c r="T262" i="39"/>
  <c r="T263" i="39"/>
  <c r="T264" i="39"/>
  <c r="T265" i="39"/>
  <c r="T266" i="39"/>
  <c r="T267" i="39"/>
  <c r="T268" i="39"/>
  <c r="T269" i="39"/>
  <c r="T270" i="39"/>
  <c r="T271" i="39"/>
  <c r="T272" i="39"/>
  <c r="T273" i="39"/>
  <c r="T274" i="39"/>
  <c r="T275" i="39"/>
  <c r="T276" i="39"/>
  <c r="T277" i="39"/>
  <c r="T278" i="39"/>
  <c r="T279" i="39"/>
  <c r="T280" i="39"/>
  <c r="T281" i="39"/>
  <c r="T282" i="39"/>
  <c r="T283" i="39"/>
  <c r="T284" i="39"/>
  <c r="T285" i="39"/>
  <c r="T286" i="39"/>
  <c r="T287" i="39"/>
  <c r="T288" i="39"/>
  <c r="T289" i="39"/>
  <c r="T290" i="39"/>
  <c r="T291" i="39"/>
  <c r="T292" i="39"/>
  <c r="T293" i="39"/>
  <c r="T294" i="39"/>
  <c r="T295" i="39"/>
  <c r="T296" i="39"/>
  <c r="T297" i="39"/>
  <c r="T298" i="39"/>
  <c r="T299" i="39"/>
  <c r="T300" i="39"/>
  <c r="T301" i="39"/>
  <c r="T302" i="39"/>
  <c r="T303" i="39"/>
  <c r="T304" i="39"/>
  <c r="T305" i="39"/>
  <c r="T306" i="39"/>
  <c r="T307" i="39"/>
  <c r="T308" i="39"/>
  <c r="T309" i="39"/>
  <c r="T310" i="39"/>
  <c r="T311" i="39"/>
  <c r="T312" i="39"/>
  <c r="T313" i="39"/>
  <c r="T314" i="39"/>
  <c r="T315" i="39"/>
  <c r="T316" i="39"/>
  <c r="T317" i="39"/>
  <c r="T318" i="39"/>
  <c r="T319" i="39"/>
  <c r="T320" i="39"/>
  <c r="T321" i="39"/>
  <c r="T322" i="39"/>
  <c r="T323" i="39"/>
  <c r="T324" i="39"/>
  <c r="T325" i="39"/>
  <c r="T326" i="39"/>
  <c r="T327" i="39"/>
  <c r="T328" i="39"/>
  <c r="T329" i="39"/>
  <c r="T330" i="39"/>
  <c r="T331" i="39"/>
  <c r="T332" i="39"/>
  <c r="T333" i="39"/>
  <c r="T334" i="39"/>
  <c r="T335" i="39"/>
  <c r="T336" i="39"/>
  <c r="T337" i="39"/>
  <c r="T338" i="39"/>
  <c r="T339" i="39"/>
  <c r="T340" i="39"/>
  <c r="T341" i="39"/>
  <c r="T342" i="39"/>
  <c r="T343" i="39"/>
  <c r="T344" i="39"/>
  <c r="T345" i="39"/>
  <c r="T346" i="39"/>
  <c r="T347" i="39"/>
  <c r="T348" i="39"/>
  <c r="T349" i="39"/>
  <c r="T350" i="39"/>
  <c r="T351" i="39"/>
  <c r="T352" i="39"/>
  <c r="T353" i="39"/>
  <c r="T354" i="39"/>
  <c r="T355" i="39"/>
  <c r="T356" i="39"/>
  <c r="T357" i="39"/>
  <c r="T358" i="39"/>
  <c r="T359" i="39"/>
  <c r="T360" i="39"/>
  <c r="T361" i="39"/>
  <c r="T362" i="39"/>
  <c r="T363" i="39"/>
  <c r="T364" i="39"/>
  <c r="T365" i="39"/>
  <c r="T366" i="39"/>
  <c r="T367" i="39"/>
  <c r="T368" i="39"/>
  <c r="T369" i="39"/>
  <c r="T370" i="39"/>
  <c r="T371" i="39"/>
  <c r="T372" i="39"/>
  <c r="T373" i="39"/>
  <c r="T374" i="39"/>
  <c r="T375" i="39"/>
  <c r="T376" i="39"/>
  <c r="T377" i="39"/>
  <c r="T378" i="39"/>
  <c r="T379" i="39"/>
  <c r="T380" i="39"/>
  <c r="T381" i="39"/>
  <c r="T382" i="39"/>
  <c r="T383" i="39"/>
  <c r="T384" i="39"/>
  <c r="T385" i="39"/>
  <c r="T386" i="39"/>
  <c r="T387" i="39"/>
  <c r="T388" i="39"/>
  <c r="T389" i="39"/>
  <c r="T390" i="39"/>
  <c r="T391" i="39"/>
  <c r="T392" i="39"/>
  <c r="T393" i="39"/>
  <c r="T394" i="39"/>
  <c r="T395" i="39"/>
  <c r="T396" i="39"/>
  <c r="T397" i="39"/>
  <c r="T398" i="39"/>
  <c r="T399" i="39"/>
  <c r="T400" i="39"/>
  <c r="T401" i="39"/>
  <c r="T402" i="39"/>
  <c r="T403" i="39"/>
  <c r="T404" i="39"/>
  <c r="T405" i="39"/>
  <c r="T406" i="39"/>
  <c r="T407" i="39"/>
  <c r="T408" i="39"/>
  <c r="T409" i="39"/>
  <c r="T410" i="39"/>
  <c r="T411" i="39"/>
  <c r="T412" i="39"/>
  <c r="T413" i="39"/>
  <c r="T414" i="39"/>
  <c r="T415" i="39"/>
  <c r="T416" i="39"/>
  <c r="T417" i="39"/>
  <c r="T418" i="39"/>
  <c r="T419" i="39"/>
  <c r="T420" i="39"/>
  <c r="T421" i="39"/>
  <c r="T422" i="39"/>
  <c r="T423" i="39"/>
  <c r="T424" i="39"/>
  <c r="T425" i="39"/>
  <c r="T426" i="39"/>
  <c r="T427" i="39"/>
  <c r="T428" i="39"/>
  <c r="T429" i="39"/>
  <c r="T430" i="39"/>
  <c r="T431" i="39"/>
  <c r="T432" i="39"/>
  <c r="T433" i="39"/>
  <c r="T434" i="39"/>
  <c r="T435" i="39"/>
  <c r="T436" i="39"/>
  <c r="T437" i="39"/>
  <c r="T438" i="39"/>
  <c r="T439" i="39"/>
  <c r="T440" i="39"/>
  <c r="T441" i="39"/>
  <c r="T442" i="39"/>
  <c r="T443" i="39"/>
  <c r="T444" i="39"/>
  <c r="T445" i="39"/>
  <c r="T446" i="39"/>
  <c r="T447" i="39"/>
  <c r="T448" i="39"/>
  <c r="T449" i="39"/>
  <c r="T450" i="39"/>
  <c r="T451" i="39"/>
  <c r="T452" i="39"/>
  <c r="T453" i="39"/>
  <c r="T454" i="39"/>
  <c r="T455" i="39"/>
  <c r="T456" i="39"/>
  <c r="T457" i="39"/>
  <c r="T458" i="39"/>
  <c r="T459" i="39"/>
  <c r="T460" i="39"/>
  <c r="T461" i="39"/>
  <c r="T462" i="39"/>
  <c r="T463" i="39"/>
  <c r="T464" i="39"/>
  <c r="T465" i="39"/>
  <c r="T466" i="39"/>
  <c r="T467" i="39"/>
  <c r="T468" i="39"/>
  <c r="T469" i="39"/>
  <c r="T470" i="39"/>
  <c r="T471" i="39"/>
  <c r="U4" i="39"/>
  <c r="U5" i="39"/>
  <c r="U10" i="39"/>
  <c r="U18" i="39"/>
  <c r="U19" i="39"/>
  <c r="U24" i="39"/>
  <c r="U27" i="39"/>
  <c r="U32" i="39"/>
  <c r="U38" i="39"/>
  <c r="U52" i="39"/>
  <c r="U60" i="39"/>
  <c r="U61" i="39"/>
  <c r="U65" i="39"/>
  <c r="U66" i="39"/>
  <c r="U74" i="39"/>
  <c r="U80" i="39"/>
  <c r="U94" i="39"/>
  <c r="U103" i="39"/>
  <c r="U108" i="39"/>
  <c r="U116" i="39"/>
  <c r="U117" i="39"/>
  <c r="U136" i="39"/>
  <c r="U141" i="39"/>
  <c r="U150" i="39"/>
  <c r="U158" i="39"/>
  <c r="U159" i="39"/>
  <c r="U171" i="39"/>
  <c r="U173" i="39"/>
  <c r="U178" i="39"/>
  <c r="U181" i="39"/>
  <c r="U192" i="39"/>
  <c r="U200" i="39"/>
  <c r="U201" i="39"/>
  <c r="U213" i="39"/>
  <c r="U215" i="39"/>
  <c r="U220" i="39"/>
  <c r="U222" i="39"/>
  <c r="U223" i="39"/>
  <c r="U228" i="39"/>
  <c r="U234" i="39"/>
  <c r="U257" i="39"/>
  <c r="U262" i="39"/>
  <c r="U269" i="39"/>
  <c r="U270" i="39"/>
  <c r="U271" i="39"/>
  <c r="U276" i="39"/>
  <c r="U290" i="39"/>
  <c r="U297" i="39"/>
  <c r="U299" i="39"/>
  <c r="U304" i="39"/>
  <c r="U307" i="39"/>
  <c r="U313" i="39"/>
  <c r="U326" i="39"/>
  <c r="U327" i="39"/>
  <c r="U346" i="39"/>
  <c r="U353" i="39"/>
  <c r="U354" i="39"/>
  <c r="U355" i="39"/>
  <c r="U368" i="39"/>
  <c r="U369" i="39"/>
  <c r="U374" i="39"/>
  <c r="U388" i="39"/>
  <c r="U395" i="39"/>
  <c r="U396" i="39"/>
  <c r="U397" i="39"/>
  <c r="U424" i="39"/>
  <c r="U430" i="39"/>
  <c r="U435" i="39"/>
  <c r="U444" i="39"/>
  <c r="U452" i="39"/>
  <c r="U453" i="39"/>
  <c r="U467" i="39"/>
  <c r="J2" i="44"/>
  <c r="J3" i="44"/>
  <c r="J4" i="44" s="1"/>
  <c r="J5" i="44" s="1"/>
  <c r="J6" i="44" s="1"/>
  <c r="J7" i="44" s="1"/>
  <c r="J8" i="44" s="1"/>
  <c r="J9" i="44" s="1"/>
  <c r="J10" i="44" s="1"/>
  <c r="J11" i="44" s="1"/>
  <c r="J12" i="44" s="1"/>
  <c r="J13" i="44" s="1"/>
  <c r="J14" i="44" s="1"/>
  <c r="J15" i="44" s="1"/>
  <c r="J16" i="44" s="1"/>
  <c r="J17" i="44" s="1"/>
  <c r="J18" i="44" s="1"/>
  <c r="J19" i="44" s="1"/>
  <c r="J20" i="44" s="1"/>
  <c r="J21" i="44" s="1"/>
  <c r="J22" i="44" s="1"/>
  <c r="J23" i="44" s="1"/>
  <c r="J24" i="44" s="1"/>
  <c r="J25" i="44" s="1"/>
  <c r="J26" i="44" s="1"/>
  <c r="J27" i="44" s="1"/>
  <c r="J28" i="44" s="1"/>
  <c r="J29" i="44" s="1"/>
  <c r="J30" i="44" s="1"/>
  <c r="J31" i="44" s="1"/>
  <c r="J32" i="44" s="1"/>
  <c r="J33" i="44" s="1"/>
  <c r="Z2" i="20"/>
  <c r="Z3" i="20"/>
  <c r="Z4" i="20"/>
  <c r="Z5" i="20"/>
  <c r="Z6" i="20"/>
  <c r="Z7" i="20"/>
  <c r="Z8" i="20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34" i="20"/>
  <c r="Z35" i="20"/>
  <c r="Z36" i="20"/>
  <c r="Z37" i="20"/>
  <c r="Z38" i="20"/>
  <c r="Z39" i="20"/>
  <c r="Z40" i="20"/>
  <c r="Z41" i="20"/>
  <c r="Z42" i="20"/>
  <c r="Z43" i="20"/>
  <c r="Z44" i="20"/>
  <c r="Z45" i="20"/>
  <c r="Z46" i="20"/>
  <c r="Z47" i="20"/>
  <c r="Z48" i="20"/>
  <c r="Z49" i="20"/>
  <c r="Z50" i="20"/>
  <c r="Z51" i="20"/>
  <c r="Z52" i="20"/>
  <c r="Z53" i="20"/>
  <c r="Z54" i="20"/>
  <c r="Z55" i="20"/>
  <c r="Z56" i="20"/>
  <c r="Z57" i="20"/>
  <c r="Z58" i="20"/>
  <c r="Z59" i="20"/>
  <c r="Z60" i="20"/>
  <c r="Z61" i="20"/>
  <c r="Z62" i="20"/>
  <c r="Z63" i="20"/>
  <c r="Z64" i="20"/>
  <c r="Z65" i="20"/>
  <c r="Z66" i="20"/>
  <c r="Z67" i="20"/>
  <c r="Z68" i="20"/>
  <c r="Z69" i="20"/>
  <c r="Z70" i="20"/>
  <c r="Z71" i="20"/>
  <c r="Z72" i="20"/>
  <c r="Z73" i="20"/>
  <c r="Z74" i="20"/>
  <c r="Z75" i="20"/>
  <c r="Z76" i="20"/>
  <c r="Z77" i="20"/>
  <c r="Z78" i="20"/>
  <c r="Z79" i="20"/>
  <c r="Z80" i="20"/>
  <c r="Z81" i="20"/>
  <c r="Z82" i="20"/>
  <c r="Z83" i="20"/>
  <c r="Z84" i="20"/>
  <c r="Z85" i="20"/>
  <c r="Z86" i="20"/>
  <c r="Z87" i="20"/>
  <c r="Z88" i="20"/>
  <c r="Z89" i="20"/>
  <c r="Z90" i="20"/>
  <c r="Z91" i="20"/>
  <c r="Z92" i="20"/>
  <c r="Z93" i="20"/>
  <c r="Z94" i="20"/>
  <c r="Z95" i="20"/>
  <c r="Z96" i="20"/>
  <c r="Z97" i="20"/>
  <c r="Z98" i="20"/>
  <c r="Z99" i="20"/>
  <c r="Z100" i="20"/>
  <c r="Z101" i="20"/>
  <c r="Z102" i="20"/>
  <c r="Z103" i="20"/>
  <c r="Z104" i="20"/>
  <c r="Z105" i="20"/>
  <c r="Z106" i="20"/>
  <c r="Z107" i="20"/>
  <c r="Z108" i="20"/>
  <c r="Z109" i="20"/>
  <c r="Z110" i="20"/>
  <c r="Z111" i="20"/>
  <c r="Z112" i="20"/>
  <c r="Z113" i="20"/>
  <c r="Z114" i="20"/>
  <c r="Z115" i="20"/>
  <c r="Z116" i="20"/>
  <c r="Z117" i="20"/>
  <c r="Z118" i="20"/>
  <c r="Z119" i="20"/>
  <c r="Z120" i="20"/>
  <c r="Z121" i="20"/>
  <c r="Z122" i="20"/>
  <c r="Z123" i="20"/>
  <c r="Z124" i="20"/>
  <c r="Z125" i="20"/>
  <c r="Z126" i="20"/>
  <c r="Z127" i="20"/>
  <c r="Z128" i="20"/>
  <c r="Z129" i="20"/>
  <c r="Z130" i="20"/>
  <c r="Z131" i="20"/>
  <c r="Z132" i="20"/>
  <c r="Z133" i="20"/>
  <c r="Z134" i="20"/>
  <c r="Z135" i="20"/>
  <c r="Z136" i="20"/>
  <c r="Z137" i="20"/>
  <c r="Z138" i="20"/>
  <c r="Z139" i="20"/>
  <c r="Z140" i="20"/>
  <c r="Z141" i="20"/>
  <c r="Z142" i="20"/>
  <c r="Z143" i="20"/>
  <c r="Z144" i="20"/>
  <c r="Z145" i="20"/>
  <c r="Z146" i="20"/>
  <c r="Z147" i="20"/>
  <c r="Z148" i="20"/>
  <c r="Z149" i="20"/>
  <c r="Z150" i="20"/>
  <c r="Z151" i="20"/>
  <c r="Z152" i="20"/>
  <c r="Z153" i="20"/>
  <c r="Z154" i="20"/>
  <c r="Z155" i="20"/>
  <c r="Z156" i="20"/>
  <c r="Z157" i="20"/>
  <c r="Z158" i="20"/>
  <c r="Z159" i="20"/>
  <c r="Z160" i="20"/>
  <c r="Z161" i="20"/>
  <c r="Z162" i="20"/>
  <c r="Z163" i="20"/>
  <c r="Z164" i="20"/>
  <c r="Z165" i="20"/>
  <c r="Z166" i="20"/>
  <c r="Z167" i="20"/>
  <c r="Z168" i="20"/>
  <c r="Z169" i="20"/>
  <c r="Z170" i="20"/>
  <c r="Z171" i="20"/>
  <c r="Z172" i="20"/>
  <c r="Z173" i="20"/>
  <c r="Z174" i="20"/>
  <c r="Z175" i="20"/>
  <c r="Z176" i="20"/>
  <c r="Z177" i="20"/>
  <c r="Z178" i="20"/>
  <c r="Z179" i="20"/>
  <c r="Z180" i="20"/>
  <c r="Z181" i="20"/>
  <c r="Z182" i="20"/>
  <c r="Z183" i="20"/>
  <c r="Z184" i="20"/>
  <c r="Z185" i="20"/>
  <c r="Z186" i="20"/>
  <c r="Z187" i="20"/>
  <c r="Z188" i="20"/>
  <c r="Z189" i="20"/>
  <c r="Z190" i="20"/>
  <c r="Z191" i="20"/>
  <c r="Z192" i="20"/>
  <c r="Z193" i="20"/>
  <c r="Z194" i="20"/>
  <c r="Z195" i="20"/>
  <c r="Z196" i="20"/>
  <c r="Z197" i="20"/>
  <c r="Z198" i="20"/>
  <c r="Z199" i="20"/>
  <c r="Z200" i="20"/>
  <c r="Z201" i="20"/>
  <c r="Z202" i="20"/>
  <c r="Z203" i="20"/>
  <c r="Z204" i="20"/>
  <c r="Z205" i="20"/>
  <c r="Z206" i="20"/>
  <c r="Z207" i="20"/>
  <c r="Z208" i="20"/>
  <c r="Z209" i="20"/>
  <c r="Z210" i="20"/>
  <c r="Z211" i="20"/>
  <c r="Z212" i="20"/>
  <c r="Z213" i="20"/>
  <c r="Z214" i="20"/>
  <c r="Z215" i="20"/>
  <c r="Z216" i="20"/>
  <c r="Z217" i="20"/>
  <c r="Z218" i="20"/>
  <c r="Z219" i="20"/>
  <c r="Z220" i="20"/>
  <c r="Z221" i="20"/>
  <c r="Z222" i="20"/>
  <c r="Z223" i="20"/>
  <c r="Z224" i="20"/>
  <c r="Z225" i="20"/>
  <c r="Z226" i="20"/>
  <c r="Z227" i="20"/>
  <c r="Z228" i="20"/>
  <c r="Z229" i="20"/>
  <c r="Z230" i="20"/>
  <c r="Z231" i="20"/>
  <c r="Z232" i="20"/>
  <c r="Z233" i="20"/>
  <c r="Z234" i="20"/>
  <c r="Z235" i="20"/>
  <c r="Z236" i="20"/>
  <c r="Z237" i="20"/>
  <c r="Z238" i="20"/>
  <c r="Z239" i="20"/>
  <c r="Z240" i="20"/>
  <c r="Z241" i="20"/>
  <c r="Z242" i="20"/>
  <c r="Z243" i="20"/>
  <c r="Z244" i="20"/>
  <c r="Z245" i="20"/>
  <c r="Z246" i="20"/>
  <c r="Z247" i="20"/>
  <c r="Z248" i="20"/>
  <c r="Z249" i="20"/>
  <c r="Z250" i="20"/>
  <c r="Z251" i="20"/>
  <c r="Z252" i="20"/>
  <c r="Z253" i="20"/>
  <c r="Z254" i="20"/>
  <c r="Z255" i="20"/>
  <c r="Z256" i="20"/>
  <c r="Z257" i="20"/>
  <c r="Z258" i="20"/>
  <c r="Z259" i="20"/>
  <c r="Z260" i="20"/>
  <c r="Z261" i="20"/>
  <c r="Z262" i="20"/>
  <c r="Z263" i="20"/>
  <c r="Z264" i="20"/>
  <c r="Z265" i="20"/>
  <c r="Z266" i="20"/>
  <c r="Z267" i="20"/>
  <c r="Z268" i="20"/>
  <c r="Z269" i="20"/>
  <c r="Z270" i="20"/>
  <c r="Z271" i="20"/>
  <c r="Z272" i="20"/>
  <c r="Z273" i="20"/>
  <c r="Z274" i="20"/>
  <c r="Z275" i="20"/>
  <c r="Z276" i="20"/>
  <c r="Z277" i="20"/>
  <c r="Z278" i="20"/>
  <c r="Z279" i="20"/>
  <c r="Z280" i="20"/>
  <c r="Z281" i="20"/>
  <c r="Z282" i="20"/>
  <c r="Z283" i="20"/>
  <c r="Z284" i="20"/>
  <c r="Z285" i="20"/>
  <c r="Z286" i="20"/>
  <c r="Z287" i="20"/>
  <c r="Z288" i="20"/>
  <c r="Z289" i="20"/>
  <c r="Z290" i="20"/>
  <c r="Z291" i="20"/>
  <c r="Z292" i="20"/>
  <c r="Z293" i="20"/>
  <c r="Z294" i="20"/>
  <c r="Z295" i="20"/>
  <c r="Z296" i="20"/>
  <c r="Z297" i="20"/>
  <c r="Z298" i="20"/>
  <c r="Z299" i="20"/>
  <c r="Z300" i="20"/>
  <c r="Z301" i="20"/>
  <c r="Z302" i="20"/>
  <c r="Z303" i="20"/>
  <c r="Z304" i="20"/>
  <c r="Z305" i="20"/>
  <c r="Z306" i="20"/>
  <c r="Z307" i="20"/>
  <c r="Z308" i="20"/>
  <c r="Z309" i="20"/>
  <c r="Z310" i="20"/>
  <c r="Z311" i="20"/>
  <c r="Z312" i="20"/>
  <c r="Z313" i="20"/>
  <c r="Z314" i="20"/>
  <c r="Z315" i="20"/>
  <c r="Z316" i="20"/>
  <c r="Z317" i="20"/>
  <c r="Z318" i="20"/>
  <c r="Z319" i="20"/>
  <c r="Z320" i="20"/>
  <c r="Z321" i="20"/>
  <c r="Z322" i="20"/>
  <c r="Z323" i="20"/>
  <c r="Z324" i="20"/>
  <c r="Z325" i="20"/>
  <c r="Z326" i="20"/>
  <c r="Z327" i="20"/>
  <c r="Z328" i="20"/>
  <c r="Z329" i="20"/>
  <c r="Z330" i="20"/>
  <c r="Z331" i="20"/>
  <c r="Z332" i="20"/>
  <c r="Z333" i="20"/>
  <c r="Z334" i="20"/>
  <c r="Z335" i="20"/>
  <c r="Z336" i="20"/>
  <c r="Z337" i="20"/>
  <c r="Z338" i="20"/>
  <c r="Z339" i="20"/>
  <c r="Z340" i="20"/>
  <c r="Z341" i="20"/>
  <c r="Z342" i="20"/>
  <c r="Z343" i="20"/>
  <c r="Z344" i="20"/>
  <c r="Z345" i="20"/>
  <c r="Z346" i="20"/>
  <c r="Z347" i="20"/>
  <c r="Z348" i="20"/>
  <c r="Z349" i="20"/>
  <c r="Z350" i="20"/>
  <c r="Z351" i="20"/>
  <c r="Z352" i="20"/>
  <c r="Z353" i="20"/>
  <c r="Z354" i="20"/>
  <c r="Z355" i="20"/>
  <c r="Z356" i="20"/>
  <c r="Z357" i="20"/>
  <c r="Z358" i="20"/>
  <c r="Z359" i="20"/>
  <c r="Z360" i="20"/>
  <c r="Z361" i="20"/>
  <c r="Z362" i="20"/>
  <c r="Z363" i="20"/>
  <c r="Z364" i="20"/>
  <c r="Z365" i="20"/>
  <c r="Z366" i="20"/>
  <c r="Z367" i="20"/>
  <c r="Z368" i="20"/>
  <c r="Z369" i="20"/>
  <c r="Z370" i="20"/>
  <c r="Z371" i="20"/>
  <c r="Z372" i="20"/>
  <c r="Z373" i="20"/>
  <c r="Z374" i="20"/>
  <c r="Z375" i="20"/>
  <c r="Z376" i="20"/>
  <c r="Z377" i="20"/>
  <c r="Z378" i="20"/>
  <c r="Z379" i="20"/>
  <c r="Z380" i="20"/>
  <c r="Z381" i="20"/>
  <c r="Z382" i="20"/>
  <c r="Z383" i="20"/>
  <c r="Z384" i="20"/>
  <c r="Z385" i="20"/>
  <c r="Z386" i="20"/>
  <c r="Z387" i="20"/>
  <c r="Z388" i="20"/>
  <c r="Z389" i="20"/>
  <c r="Z390" i="20"/>
  <c r="Z391" i="20"/>
  <c r="Z392" i="20"/>
  <c r="Z393" i="20"/>
  <c r="Z394" i="20"/>
  <c r="Z395" i="20"/>
  <c r="Z396" i="20"/>
  <c r="Z397" i="20"/>
  <c r="Z398" i="20"/>
  <c r="Z399" i="20"/>
  <c r="Z400" i="20"/>
  <c r="Z401" i="20"/>
  <c r="Z402" i="20"/>
  <c r="Z403" i="20"/>
  <c r="Z404" i="20"/>
  <c r="Z405" i="20"/>
  <c r="Z406" i="20"/>
  <c r="Z407" i="20"/>
  <c r="Z408" i="20"/>
  <c r="Z409" i="20"/>
  <c r="Z410" i="20"/>
  <c r="Z411" i="20"/>
  <c r="Z412" i="20"/>
  <c r="Z413" i="20"/>
  <c r="Z414" i="20"/>
  <c r="Z415" i="20"/>
  <c r="Z416" i="20"/>
  <c r="Z417" i="20"/>
  <c r="Z418" i="20"/>
  <c r="Z419" i="20"/>
  <c r="Z420" i="20"/>
  <c r="Z421" i="20"/>
  <c r="Z422" i="20"/>
  <c r="Z423" i="20"/>
  <c r="Z424" i="20"/>
  <c r="Z425" i="20"/>
  <c r="Z426" i="20"/>
  <c r="Z427" i="20"/>
  <c r="Z428" i="20"/>
  <c r="Z429" i="20"/>
  <c r="Z430" i="20"/>
  <c r="Z431" i="20"/>
  <c r="Z432" i="20"/>
  <c r="Z433" i="20"/>
  <c r="Z434" i="20"/>
  <c r="Z435" i="20"/>
  <c r="Z436" i="20"/>
  <c r="Z437" i="20"/>
  <c r="Z438" i="20"/>
  <c r="Z439" i="20"/>
  <c r="Z440" i="20"/>
  <c r="Z441" i="20"/>
  <c r="Z442" i="20"/>
  <c r="Z443" i="20"/>
  <c r="Z444" i="20"/>
  <c r="Z445" i="20"/>
  <c r="Z446" i="20"/>
  <c r="Z447" i="20"/>
  <c r="Z448" i="20"/>
  <c r="Z449" i="20"/>
  <c r="Z450" i="20"/>
  <c r="Z451" i="20"/>
  <c r="Z452" i="20"/>
  <c r="Z453" i="20"/>
  <c r="Z454" i="20"/>
  <c r="Z455" i="20"/>
  <c r="Z456" i="20"/>
  <c r="Z457" i="20"/>
  <c r="Z458" i="20"/>
  <c r="Z459" i="20"/>
  <c r="Z460" i="20"/>
  <c r="Z461" i="20"/>
  <c r="Z462" i="20"/>
  <c r="Z463" i="20"/>
  <c r="Z464" i="20"/>
  <c r="Z465" i="20"/>
  <c r="Z466" i="20"/>
  <c r="Z467" i="20"/>
  <c r="Z468" i="20"/>
  <c r="Z469" i="20"/>
  <c r="Z470" i="20"/>
  <c r="Z471" i="20"/>
  <c r="Z472" i="20"/>
  <c r="Z473" i="20"/>
  <c r="Z474" i="20"/>
  <c r="Z475" i="20"/>
  <c r="Z476" i="20"/>
  <c r="Z477" i="20"/>
  <c r="Z478" i="20"/>
  <c r="Z479" i="20"/>
  <c r="Z480" i="20"/>
  <c r="Z481" i="20"/>
  <c r="Z482" i="20"/>
  <c r="Z483" i="20"/>
  <c r="Z484" i="20"/>
  <c r="Z485" i="20"/>
  <c r="Z486" i="20"/>
  <c r="Z487" i="20"/>
  <c r="Z488" i="20"/>
  <c r="Z489" i="20"/>
  <c r="Z490" i="20"/>
  <c r="Z491" i="20"/>
  <c r="Z492" i="20"/>
  <c r="Z493" i="20"/>
  <c r="Z494" i="20"/>
  <c r="Z495" i="20"/>
  <c r="Z496" i="20"/>
  <c r="Z497" i="20"/>
  <c r="Z498" i="20"/>
  <c r="Z499" i="20"/>
  <c r="Z500" i="20"/>
  <c r="Z501" i="20"/>
  <c r="Z502" i="20"/>
  <c r="Z503" i="20"/>
  <c r="Z504" i="20"/>
  <c r="Z505" i="20"/>
  <c r="Z506" i="20"/>
  <c r="Z507" i="20"/>
  <c r="Z508" i="20"/>
  <c r="Z509" i="20"/>
  <c r="Z510" i="20"/>
  <c r="Z511" i="20"/>
  <c r="Z512" i="20"/>
  <c r="Z513" i="20"/>
  <c r="Z514" i="20"/>
  <c r="Z515" i="20"/>
  <c r="Z516" i="20"/>
  <c r="Z517" i="20"/>
  <c r="Z518" i="20"/>
  <c r="Z519" i="20"/>
  <c r="Z520" i="20"/>
  <c r="Z521" i="20"/>
  <c r="Z522" i="20"/>
  <c r="Z523" i="20"/>
  <c r="Z524" i="20"/>
  <c r="Z525" i="20"/>
  <c r="Z526" i="20"/>
  <c r="Z527" i="20"/>
  <c r="Z528" i="20"/>
  <c r="Z529" i="20"/>
  <c r="Z530" i="20"/>
  <c r="Z531" i="20"/>
  <c r="Z532" i="20"/>
  <c r="Z533" i="20"/>
  <c r="Z534" i="20"/>
  <c r="Z535" i="20"/>
  <c r="Z536" i="20"/>
  <c r="Z537" i="20"/>
  <c r="Z538" i="20"/>
  <c r="Z539" i="20"/>
  <c r="Z540" i="20"/>
  <c r="Z541" i="20"/>
  <c r="Z542" i="20"/>
  <c r="Z543" i="20"/>
  <c r="Z544" i="20"/>
  <c r="Z545" i="20"/>
  <c r="Z546" i="20"/>
  <c r="Z547" i="20"/>
  <c r="Z548" i="20"/>
  <c r="Z549" i="20"/>
  <c r="Z550" i="20"/>
  <c r="Z551" i="20"/>
  <c r="Z552" i="20"/>
  <c r="Z553" i="20"/>
  <c r="Z554" i="20"/>
  <c r="Z555" i="20"/>
  <c r="Z556" i="20"/>
  <c r="Z557" i="20"/>
  <c r="Z558" i="20"/>
  <c r="Z559" i="20"/>
  <c r="Z560" i="20"/>
  <c r="Z561" i="20"/>
  <c r="Z562" i="20"/>
  <c r="Z563" i="20"/>
  <c r="Z564" i="20"/>
  <c r="Z565" i="20"/>
  <c r="Z566" i="20"/>
  <c r="Z567" i="20"/>
  <c r="Z568" i="20"/>
  <c r="Z569" i="20"/>
  <c r="Z570" i="20"/>
  <c r="Z571" i="20"/>
  <c r="Z572" i="20"/>
  <c r="Z573" i="20"/>
  <c r="Z574" i="20"/>
  <c r="Z575" i="20"/>
  <c r="Z576" i="20"/>
  <c r="Z577" i="20"/>
  <c r="Z578" i="20"/>
  <c r="Z579" i="20"/>
  <c r="Z580" i="20"/>
  <c r="Z581" i="20"/>
  <c r="Z582" i="20"/>
  <c r="Z583" i="20"/>
  <c r="Z584" i="20"/>
  <c r="Z585" i="20"/>
  <c r="Z586" i="20"/>
  <c r="Z587" i="20"/>
  <c r="Z588" i="20"/>
  <c r="Z589" i="20"/>
  <c r="Z590" i="20"/>
  <c r="Z591" i="20"/>
  <c r="Z592" i="20"/>
  <c r="Z593" i="20"/>
  <c r="Z594" i="20"/>
  <c r="Z595" i="20"/>
  <c r="Z596" i="20"/>
  <c r="Z597" i="20"/>
  <c r="Z598" i="20"/>
  <c r="Z599" i="20"/>
  <c r="Z600" i="20"/>
  <c r="Z601" i="20"/>
  <c r="Z602" i="20"/>
  <c r="Z603" i="20"/>
  <c r="Z604" i="20"/>
  <c r="Z605" i="20"/>
  <c r="Z606" i="20"/>
  <c r="Z607" i="20"/>
  <c r="Z608" i="20"/>
  <c r="Z609" i="20"/>
  <c r="Z610" i="20"/>
  <c r="Z611" i="20"/>
  <c r="Z612" i="20"/>
  <c r="Z613" i="20"/>
  <c r="Z614" i="20"/>
  <c r="Z615" i="20"/>
  <c r="Z616" i="20"/>
  <c r="Z617" i="20"/>
  <c r="Z618" i="20"/>
  <c r="Z619" i="20"/>
  <c r="Z620" i="20"/>
  <c r="Z621" i="20"/>
  <c r="Z622" i="20"/>
  <c r="Z623" i="20"/>
  <c r="Z624" i="20"/>
  <c r="Z625" i="20"/>
  <c r="Z626" i="20"/>
  <c r="Z627" i="20"/>
  <c r="Z628" i="20"/>
  <c r="Z629" i="20"/>
  <c r="Z630" i="20"/>
  <c r="Z631" i="20"/>
  <c r="Z632" i="20"/>
  <c r="Z633" i="20"/>
  <c r="Z634" i="20"/>
  <c r="Z635" i="20"/>
  <c r="Z636" i="20"/>
  <c r="Z637" i="20"/>
  <c r="Z638" i="20"/>
  <c r="Z639" i="20"/>
  <c r="Z640" i="20"/>
  <c r="Z641" i="20"/>
  <c r="Z642" i="20"/>
  <c r="Z643" i="20"/>
  <c r="Z644" i="20"/>
  <c r="Z645" i="20"/>
  <c r="Z646" i="20"/>
  <c r="Z647" i="20"/>
  <c r="Z648" i="20"/>
  <c r="Z649" i="20"/>
  <c r="Z650" i="20"/>
  <c r="Z651" i="20"/>
  <c r="Z652" i="20"/>
  <c r="Z653" i="20"/>
  <c r="Z654" i="20"/>
  <c r="Z655" i="20"/>
  <c r="Z656" i="20"/>
  <c r="Z657" i="20"/>
  <c r="Z658" i="20"/>
  <c r="Z659" i="20"/>
  <c r="Z660" i="20"/>
  <c r="Z661" i="20"/>
  <c r="Z662" i="20"/>
  <c r="Z663" i="20"/>
  <c r="Z664" i="20"/>
  <c r="Z665" i="20"/>
  <c r="Z666" i="20"/>
  <c r="Z667" i="20"/>
  <c r="Z668" i="20"/>
  <c r="Z669" i="20"/>
  <c r="Z670" i="20"/>
  <c r="Z671" i="20"/>
  <c r="Z672" i="20"/>
  <c r="Z673" i="20"/>
  <c r="Z674" i="20"/>
  <c r="Z675" i="20"/>
  <c r="Z676" i="20"/>
  <c r="Z677" i="20"/>
  <c r="Z678" i="20"/>
  <c r="Z679" i="20"/>
  <c r="Z680" i="20"/>
  <c r="Z681" i="20"/>
  <c r="Z682" i="20"/>
  <c r="Z683" i="20"/>
  <c r="Z684" i="20"/>
  <c r="Z685" i="20"/>
  <c r="Z686" i="20"/>
  <c r="Z687" i="20"/>
  <c r="Z688" i="20"/>
  <c r="Z689" i="20"/>
  <c r="Z690" i="20"/>
  <c r="Z691" i="20"/>
  <c r="Z692" i="20"/>
  <c r="Z693" i="20"/>
  <c r="Z694" i="20"/>
  <c r="Z695" i="20"/>
  <c r="Z696" i="20"/>
  <c r="Z697" i="20"/>
  <c r="Z698" i="20"/>
  <c r="Z699" i="20"/>
  <c r="Z700" i="20"/>
  <c r="Z701" i="20"/>
  <c r="Z702" i="20"/>
  <c r="Z703" i="20"/>
  <c r="Z704" i="20"/>
  <c r="Z705" i="20"/>
  <c r="Z706" i="20"/>
  <c r="Z707" i="20"/>
  <c r="Z708" i="20"/>
  <c r="Z709" i="20"/>
  <c r="Z710" i="20"/>
  <c r="Z711" i="20"/>
  <c r="Z712" i="20"/>
  <c r="Z713" i="20"/>
  <c r="Z714" i="20"/>
  <c r="Z715" i="20"/>
  <c r="Z716" i="20"/>
  <c r="Z717" i="20"/>
  <c r="Z718" i="20"/>
  <c r="Z719" i="20"/>
  <c r="Z720" i="20"/>
  <c r="Z721" i="20"/>
  <c r="Z722" i="20"/>
  <c r="Z723" i="20"/>
  <c r="Z724" i="20"/>
  <c r="Z725" i="20"/>
  <c r="Z726" i="20"/>
  <c r="Z727" i="20"/>
  <c r="Z728" i="20"/>
  <c r="Z729" i="20"/>
  <c r="Z730" i="20"/>
  <c r="Z731" i="20"/>
  <c r="Z732" i="20"/>
  <c r="Z733" i="20"/>
  <c r="Z734" i="20"/>
  <c r="Z735" i="20"/>
  <c r="Z736" i="20"/>
  <c r="Z737" i="20"/>
  <c r="Z738" i="20"/>
  <c r="Z739" i="20"/>
  <c r="Z740" i="20"/>
  <c r="Z741" i="20"/>
  <c r="Z742" i="20"/>
  <c r="Z743" i="20"/>
  <c r="Z744" i="20"/>
  <c r="Z745" i="20"/>
  <c r="Z746" i="20"/>
  <c r="Z747" i="20"/>
  <c r="Z748" i="20"/>
  <c r="Z749" i="20"/>
  <c r="Z750" i="20"/>
  <c r="Z751" i="20"/>
  <c r="Z752" i="20"/>
  <c r="Z753" i="20"/>
  <c r="Z754" i="20"/>
  <c r="Z755" i="20"/>
  <c r="Z756" i="20"/>
  <c r="Z757" i="20"/>
  <c r="Z758" i="20"/>
  <c r="Z759" i="20"/>
  <c r="Z760" i="20"/>
  <c r="Z761" i="20"/>
  <c r="Z762" i="20"/>
  <c r="Z763" i="20"/>
  <c r="Z764" i="20"/>
  <c r="Z765" i="20"/>
  <c r="Z766" i="20"/>
  <c r="Z767" i="20"/>
  <c r="Z768" i="20"/>
  <c r="Z769" i="20"/>
  <c r="Z770" i="20"/>
  <c r="Z771" i="20"/>
  <c r="Z772" i="20"/>
  <c r="Z773" i="20"/>
  <c r="Z774" i="20"/>
  <c r="Z775" i="20"/>
  <c r="Z776" i="20"/>
  <c r="Z777" i="20"/>
  <c r="Z778" i="20"/>
  <c r="Z779" i="20"/>
  <c r="Z780" i="20"/>
  <c r="Z781" i="20"/>
  <c r="Z782" i="20"/>
  <c r="Z783" i="20"/>
  <c r="Z784" i="20"/>
  <c r="Z785" i="20"/>
  <c r="Z786" i="20"/>
  <c r="Z787" i="20"/>
  <c r="Z788" i="20"/>
  <c r="Z789" i="20"/>
  <c r="Z790" i="20"/>
  <c r="Z791" i="20"/>
  <c r="Z792" i="20"/>
  <c r="Z793" i="20"/>
  <c r="Z794" i="20"/>
  <c r="Z795" i="20"/>
  <c r="Z796" i="20"/>
  <c r="Z797" i="20"/>
  <c r="Z798" i="20"/>
  <c r="Z799" i="20"/>
  <c r="Z800" i="20"/>
  <c r="Z801" i="20"/>
  <c r="Z802" i="20"/>
  <c r="Z803" i="20"/>
  <c r="Z804" i="20"/>
  <c r="Z805" i="20"/>
  <c r="Z806" i="20"/>
  <c r="Z807" i="20"/>
  <c r="Z808" i="20"/>
  <c r="Z809" i="20"/>
  <c r="Z810" i="20"/>
  <c r="Z811" i="20"/>
  <c r="Z812" i="20"/>
  <c r="Z813" i="20"/>
  <c r="Z814" i="20"/>
  <c r="Z815" i="20"/>
  <c r="Z816" i="20"/>
  <c r="Z817" i="20"/>
  <c r="Z818" i="20"/>
  <c r="Z819" i="20"/>
  <c r="Z820" i="20"/>
  <c r="Z821" i="20"/>
  <c r="Z822" i="20"/>
  <c r="Z823" i="20"/>
  <c r="Z824" i="20"/>
  <c r="Z825" i="20"/>
  <c r="Z826" i="20"/>
  <c r="Z827" i="20"/>
  <c r="Z828" i="20"/>
  <c r="Z829" i="20"/>
  <c r="Z830" i="20"/>
  <c r="Z831" i="20"/>
  <c r="Z832" i="20"/>
  <c r="Z833" i="20"/>
  <c r="Z834" i="20"/>
  <c r="Z835" i="20"/>
  <c r="Z836" i="20"/>
  <c r="Z837" i="20"/>
  <c r="Z838" i="20"/>
  <c r="Z839" i="20"/>
  <c r="Z840" i="20"/>
  <c r="Z841" i="20"/>
  <c r="Z842" i="20"/>
  <c r="Z843" i="20"/>
  <c r="Z844" i="20"/>
  <c r="Z845" i="20"/>
  <c r="Z846" i="20"/>
  <c r="Z847" i="20"/>
  <c r="Z848" i="20"/>
  <c r="Z849" i="20"/>
  <c r="Z850" i="20"/>
  <c r="Z851" i="20"/>
  <c r="Z852" i="20"/>
  <c r="Z853" i="20"/>
  <c r="Z854" i="20"/>
  <c r="Z855" i="20"/>
  <c r="Z856" i="20"/>
  <c r="Z857" i="20"/>
  <c r="Z858" i="20"/>
  <c r="Z859" i="20"/>
  <c r="Z860" i="20"/>
  <c r="Z861" i="20"/>
  <c r="Z862" i="20"/>
  <c r="Z863" i="20"/>
  <c r="Z864" i="20"/>
  <c r="Z865" i="20"/>
  <c r="Z866" i="20"/>
  <c r="Z867" i="20"/>
  <c r="Z868" i="20"/>
  <c r="Z869" i="20"/>
  <c r="Z870" i="20"/>
  <c r="Z871" i="20"/>
  <c r="Z872" i="20"/>
  <c r="Z873" i="20"/>
  <c r="Z874" i="20"/>
  <c r="Z875" i="20"/>
  <c r="Z876" i="20"/>
  <c r="Z877" i="20"/>
  <c r="Z878" i="20"/>
  <c r="Z879" i="20"/>
  <c r="Z880" i="20"/>
  <c r="Z881" i="20"/>
  <c r="Z882" i="20"/>
  <c r="Z883" i="20"/>
  <c r="Z884" i="20"/>
  <c r="Z885" i="20"/>
  <c r="Z886" i="20"/>
  <c r="Z887" i="20"/>
  <c r="Z888" i="20"/>
  <c r="Z889" i="20"/>
  <c r="Z890" i="20"/>
  <c r="Z891" i="20"/>
  <c r="Z892" i="20"/>
  <c r="Z893" i="20"/>
  <c r="Z894" i="20"/>
  <c r="Z895" i="20"/>
  <c r="Z896" i="20"/>
  <c r="Z897" i="20"/>
  <c r="Z898" i="20"/>
  <c r="Z899" i="20"/>
  <c r="Z900" i="20"/>
  <c r="Z901" i="20"/>
  <c r="Z902" i="20"/>
  <c r="Z903" i="20"/>
  <c r="Z904" i="20"/>
  <c r="Z905" i="20"/>
  <c r="Z906" i="20"/>
  <c r="Z907" i="20"/>
  <c r="Z908" i="20"/>
  <c r="Z909" i="20"/>
  <c r="Z910" i="20"/>
  <c r="Z911" i="20"/>
  <c r="Z912" i="20"/>
  <c r="Z913" i="20"/>
  <c r="Z914" i="20"/>
  <c r="Z915" i="20"/>
  <c r="Z916" i="20"/>
  <c r="Z917" i="20"/>
  <c r="Z918" i="20"/>
  <c r="Z919" i="20"/>
  <c r="Z920" i="20"/>
  <c r="Z921" i="20"/>
  <c r="Z922" i="20"/>
  <c r="Z923" i="20"/>
  <c r="Z924" i="20"/>
  <c r="Z925" i="20"/>
  <c r="Z926" i="20"/>
  <c r="Z927" i="20"/>
  <c r="Z928" i="20"/>
  <c r="Z929" i="20"/>
  <c r="Z930" i="20"/>
  <c r="Z931" i="20"/>
  <c r="Z932" i="20"/>
  <c r="Z933" i="20"/>
  <c r="Z934" i="20"/>
  <c r="Z935" i="20"/>
  <c r="Z936" i="20"/>
  <c r="Z937" i="20"/>
  <c r="Z938" i="20"/>
  <c r="Z939" i="20"/>
  <c r="Z940" i="20"/>
  <c r="Z941" i="20"/>
  <c r="Z942" i="20"/>
  <c r="Z943" i="20"/>
  <c r="Z944" i="20"/>
  <c r="Z945" i="20"/>
  <c r="Z946" i="20"/>
  <c r="Z947" i="20"/>
  <c r="Z948" i="20"/>
  <c r="Z949" i="20"/>
  <c r="Z950" i="20"/>
  <c r="Z951" i="20"/>
  <c r="Z952" i="20"/>
  <c r="Z953" i="20"/>
  <c r="Z954" i="20"/>
  <c r="Z955" i="20"/>
  <c r="Z956" i="20"/>
  <c r="Z957" i="20"/>
  <c r="Z958" i="20"/>
  <c r="Z959" i="20"/>
  <c r="Z960" i="20"/>
  <c r="Z961" i="20"/>
  <c r="Z962" i="20"/>
  <c r="Z963" i="20"/>
  <c r="Z964" i="20"/>
  <c r="Z965" i="20"/>
  <c r="Z966" i="20"/>
  <c r="Z967" i="20"/>
  <c r="Z968" i="20"/>
  <c r="Z969" i="20"/>
  <c r="Z970" i="20"/>
  <c r="Z971" i="20"/>
  <c r="Z972" i="20"/>
  <c r="Z973" i="20"/>
  <c r="Z974" i="20"/>
  <c r="Z975" i="20"/>
  <c r="Z976" i="20"/>
  <c r="Z977" i="20"/>
  <c r="Z978" i="20"/>
  <c r="Z979" i="20"/>
  <c r="Z980" i="20"/>
  <c r="Z981" i="20"/>
  <c r="Z982" i="20"/>
  <c r="Z983" i="20"/>
  <c r="Z984" i="20"/>
  <c r="Z985" i="20"/>
  <c r="Z986" i="20"/>
  <c r="Z987" i="20"/>
  <c r="Z988" i="20"/>
  <c r="Z989" i="20"/>
  <c r="Z990" i="20"/>
  <c r="Z991" i="20"/>
  <c r="Z992" i="20"/>
  <c r="Z993" i="20"/>
  <c r="Z994" i="20"/>
  <c r="Z995" i="20"/>
  <c r="Z996" i="20"/>
  <c r="Z997" i="20"/>
  <c r="Z998" i="20"/>
  <c r="Z999" i="20"/>
  <c r="Z1000" i="20"/>
  <c r="Z1001" i="20"/>
  <c r="Z1002" i="20"/>
  <c r="Z1003" i="20"/>
  <c r="Z1004" i="20"/>
  <c r="Z1005" i="20"/>
  <c r="Z1006" i="20"/>
  <c r="Z1007" i="20"/>
  <c r="Z1008" i="20"/>
  <c r="Z1009" i="20"/>
  <c r="Z1010" i="20"/>
  <c r="Z1011" i="20"/>
  <c r="Z1012" i="20"/>
  <c r="Z1013" i="20"/>
  <c r="Z1014" i="20"/>
  <c r="Z1015" i="20"/>
  <c r="Z1016" i="20"/>
  <c r="Z1017" i="20"/>
  <c r="Z1018" i="20"/>
  <c r="Z1019" i="20"/>
  <c r="Z1020" i="20"/>
  <c r="Z1021" i="20"/>
  <c r="Z1022" i="20"/>
  <c r="Z1023" i="20"/>
  <c r="Z1024" i="20"/>
  <c r="Z1025" i="20"/>
  <c r="Z1026" i="20"/>
  <c r="Z1027" i="20"/>
  <c r="Z1028" i="20"/>
  <c r="Z1029" i="20"/>
  <c r="Z1030" i="20"/>
  <c r="Z1031" i="20"/>
  <c r="Z1032" i="20"/>
  <c r="Z1033" i="20"/>
  <c r="Z1034" i="20"/>
  <c r="Z1035" i="20"/>
  <c r="Z1036" i="20"/>
  <c r="Z1037" i="20"/>
  <c r="Z1038" i="20"/>
  <c r="Z1039" i="20"/>
  <c r="Z1040" i="20"/>
  <c r="Z1041" i="20"/>
  <c r="Z1042" i="20"/>
  <c r="Z1043" i="20"/>
  <c r="Z1044" i="20"/>
  <c r="Z1045" i="20"/>
  <c r="Z1046" i="20"/>
  <c r="Z1047" i="20"/>
  <c r="Z1048" i="20"/>
  <c r="Z1049" i="20"/>
  <c r="Z1050" i="20"/>
  <c r="Z1051" i="20"/>
  <c r="Z1052" i="20"/>
  <c r="Z1053" i="20"/>
  <c r="Z1054" i="20"/>
  <c r="Z1055" i="20"/>
  <c r="Z1056" i="20"/>
  <c r="Z1057" i="20"/>
  <c r="Z1058" i="20"/>
  <c r="Z1059" i="20"/>
  <c r="Z1060" i="20"/>
  <c r="Z1061" i="20"/>
  <c r="Z1062" i="20"/>
  <c r="Z1063" i="20"/>
  <c r="Z1064" i="20"/>
  <c r="Z1065" i="20"/>
  <c r="Z1066" i="20"/>
  <c r="Z1067" i="20"/>
  <c r="Z1068" i="20"/>
  <c r="Z1069" i="20"/>
  <c r="Z1070" i="20"/>
  <c r="Z1071" i="20"/>
  <c r="Z1072" i="20"/>
  <c r="Z1073" i="20"/>
  <c r="Z1074" i="20"/>
  <c r="Z1075" i="20"/>
  <c r="Z1076" i="20"/>
  <c r="Z1077" i="20"/>
  <c r="Z1078" i="20"/>
  <c r="Z1079" i="20"/>
  <c r="Z1080" i="20"/>
  <c r="Z1081" i="20"/>
  <c r="Z1082" i="20"/>
  <c r="Z1083" i="20"/>
  <c r="Z1084" i="20"/>
  <c r="Z1085" i="20"/>
  <c r="Z1086" i="20"/>
  <c r="Z1087" i="20"/>
  <c r="Z1088" i="20"/>
  <c r="Z1089" i="20"/>
  <c r="Z1090" i="20"/>
  <c r="Z1091" i="20"/>
  <c r="Z1092" i="20"/>
  <c r="Z1093" i="20"/>
  <c r="Z1094" i="20"/>
  <c r="Z1095" i="20"/>
  <c r="Z1096" i="20"/>
  <c r="Z1097" i="20"/>
  <c r="Z1098" i="20"/>
  <c r="Z1099" i="20"/>
  <c r="Z1100" i="20"/>
  <c r="Z1101" i="20"/>
  <c r="Z1102" i="20"/>
  <c r="Z1103" i="20"/>
  <c r="Z1104" i="20"/>
  <c r="Z1105" i="20"/>
  <c r="Z1106" i="20"/>
  <c r="Z1107" i="20"/>
  <c r="Z1108" i="20"/>
  <c r="Z1109" i="20"/>
  <c r="Z1110" i="20"/>
  <c r="Z1111" i="20"/>
  <c r="Z1112" i="20"/>
  <c r="Z1113" i="20"/>
  <c r="Z1114" i="20"/>
  <c r="Z1115" i="20"/>
  <c r="Z1116" i="20"/>
  <c r="Z1117" i="20"/>
  <c r="Z1118" i="20"/>
  <c r="Z1119" i="20"/>
  <c r="Z1120" i="20"/>
  <c r="Z1121" i="20"/>
  <c r="Z1122" i="20"/>
  <c r="Z1123" i="20"/>
  <c r="Z1124" i="20"/>
  <c r="Z1125" i="20"/>
  <c r="Z1126" i="20"/>
  <c r="Z1127" i="20"/>
  <c r="Z1128" i="20"/>
  <c r="Z1129" i="20"/>
  <c r="Z1130" i="20"/>
  <c r="Z1131" i="20"/>
  <c r="Z1132" i="20"/>
  <c r="Z1133" i="20"/>
  <c r="Z1134" i="20"/>
  <c r="Z1135" i="20"/>
  <c r="Z1136" i="20"/>
  <c r="Z1137" i="20"/>
  <c r="Z1138" i="20"/>
  <c r="Z1139" i="20"/>
  <c r="Z1140" i="20"/>
  <c r="Z1141" i="20"/>
  <c r="Z1142" i="20"/>
  <c r="Z1143" i="20"/>
  <c r="Z1144" i="20"/>
  <c r="Z1145" i="20"/>
  <c r="Z1146" i="20"/>
  <c r="Z1147" i="20"/>
  <c r="Z1148" i="20"/>
  <c r="Z1149" i="20"/>
  <c r="Z1150" i="20"/>
  <c r="Z1151" i="20"/>
  <c r="Z1152" i="20"/>
  <c r="Z1153" i="20"/>
  <c r="Z1154" i="20"/>
  <c r="Z1155" i="20"/>
  <c r="Z1156" i="20"/>
  <c r="Z1157" i="20"/>
  <c r="Z1158" i="20"/>
  <c r="Z1159" i="20"/>
  <c r="Z1160" i="20"/>
  <c r="Z1161" i="20"/>
  <c r="Z1162" i="20"/>
  <c r="Z1163" i="20"/>
  <c r="Z1164" i="20"/>
  <c r="Z1165" i="20"/>
  <c r="Z1166" i="20"/>
  <c r="Z1167" i="20"/>
  <c r="Z1168" i="20"/>
  <c r="Z1169" i="20"/>
  <c r="Z1170" i="20"/>
  <c r="Z1171" i="20"/>
  <c r="Z1172" i="20"/>
  <c r="Z1173" i="20"/>
  <c r="Z1174" i="20"/>
  <c r="Z1175" i="20"/>
  <c r="Z1176" i="20"/>
  <c r="Z1177" i="20"/>
  <c r="Z1178" i="20"/>
  <c r="Z1179" i="20"/>
  <c r="Z1180" i="20"/>
  <c r="Z1181" i="20"/>
  <c r="Z1182" i="20"/>
  <c r="Z1183" i="20"/>
  <c r="Z1184" i="20"/>
  <c r="Z1185" i="20"/>
  <c r="Z1186" i="20"/>
  <c r="Z1187" i="20"/>
  <c r="Z1188" i="20"/>
  <c r="Z1189" i="20"/>
  <c r="Z1190" i="20"/>
  <c r="Z1191" i="20"/>
  <c r="Z1192" i="20"/>
  <c r="Z1193" i="20"/>
  <c r="Z1194" i="20"/>
  <c r="Z1195" i="20"/>
  <c r="Z1196" i="20"/>
  <c r="Z1197" i="20"/>
  <c r="Z1198" i="20"/>
  <c r="Z1199" i="20"/>
  <c r="Z1200" i="20"/>
  <c r="Z1201" i="20"/>
  <c r="Z1202" i="20"/>
  <c r="Z1203" i="20"/>
  <c r="Z1204" i="20"/>
  <c r="Z1205" i="20"/>
  <c r="Z1206" i="20"/>
  <c r="Z1207" i="20"/>
  <c r="Z1208" i="20"/>
  <c r="Z1209" i="20"/>
  <c r="Z1210" i="20"/>
  <c r="Z1211" i="20"/>
  <c r="Z1212" i="20"/>
  <c r="Z1213" i="20"/>
  <c r="Z1214" i="20"/>
  <c r="Z1215" i="20"/>
  <c r="Z1216" i="20"/>
  <c r="Z1217" i="20"/>
  <c r="Z1218" i="20"/>
  <c r="Z1219" i="20"/>
  <c r="Z1220" i="20"/>
  <c r="Z1221" i="20"/>
  <c r="Z1222" i="20"/>
  <c r="Z1223" i="20"/>
  <c r="Z1224" i="20"/>
  <c r="Z1225" i="20"/>
  <c r="Z1226" i="20"/>
  <c r="Z1227" i="20"/>
  <c r="Z1228" i="20"/>
  <c r="Z1229" i="20"/>
  <c r="Z1230" i="20"/>
  <c r="Z1231" i="20"/>
  <c r="Z1232" i="20"/>
  <c r="Z1233" i="20"/>
  <c r="Z1234" i="20"/>
  <c r="Z1235" i="20"/>
  <c r="Z1236" i="20"/>
  <c r="Z1237" i="20"/>
  <c r="Z1238" i="20"/>
  <c r="Z1239" i="20"/>
  <c r="Z1240" i="20"/>
  <c r="Z1241" i="20"/>
  <c r="Z1242" i="20"/>
  <c r="Z1243" i="20"/>
  <c r="Z1244" i="20"/>
  <c r="Z1245" i="20"/>
  <c r="Z1246" i="20"/>
  <c r="Z1247" i="20"/>
  <c r="Z1248" i="20"/>
  <c r="Z1249" i="20"/>
  <c r="Z1250" i="20"/>
  <c r="Z1251" i="20"/>
  <c r="Z1252" i="20"/>
  <c r="Z1253" i="20"/>
  <c r="Z1254" i="20"/>
  <c r="Z1255" i="20"/>
  <c r="Z1256" i="20"/>
  <c r="Z1257" i="20"/>
  <c r="Z1258" i="20"/>
  <c r="Z1259" i="20"/>
  <c r="Z1260" i="20"/>
  <c r="Z1261" i="20"/>
  <c r="Z1262" i="20"/>
  <c r="Z1263" i="20"/>
  <c r="Z1264" i="20"/>
  <c r="Z1265" i="20"/>
  <c r="Z1266" i="20"/>
  <c r="Z1267" i="20"/>
  <c r="Z1268" i="20"/>
  <c r="Z1269" i="20"/>
  <c r="Z1270" i="20"/>
  <c r="Z1271" i="20"/>
  <c r="Z1272" i="20"/>
  <c r="Z1273" i="20"/>
  <c r="Z1274" i="20"/>
  <c r="Z1275" i="20"/>
  <c r="Z1276" i="20"/>
  <c r="Z1277" i="20"/>
  <c r="Z1278" i="20"/>
  <c r="Z1279" i="20"/>
  <c r="Z1280" i="20"/>
  <c r="Z1281" i="20"/>
  <c r="Z1282" i="20"/>
  <c r="Z1283" i="20"/>
  <c r="Z1284" i="20"/>
  <c r="Z1285" i="20"/>
  <c r="Z1286" i="20"/>
  <c r="Z1287" i="20"/>
  <c r="Z1288" i="20"/>
  <c r="Z1289" i="20"/>
  <c r="Z1290" i="20"/>
  <c r="Z1291" i="20"/>
  <c r="Z1292" i="20"/>
  <c r="Z1293" i="20"/>
  <c r="Z1294" i="20"/>
  <c r="Z1295" i="20"/>
  <c r="Z1296" i="20"/>
  <c r="Z1297" i="20"/>
  <c r="Z1298" i="20"/>
  <c r="Z1299" i="20"/>
  <c r="Z1300" i="20"/>
  <c r="Z1301" i="20"/>
  <c r="Z1302" i="20"/>
  <c r="Z1303" i="20"/>
  <c r="Z1304" i="20"/>
  <c r="Z1305" i="20"/>
  <c r="Z1306" i="20"/>
  <c r="Z1307" i="20"/>
  <c r="Z1308" i="20"/>
  <c r="Z1309" i="20"/>
  <c r="Z1310" i="20"/>
  <c r="Z1311" i="20"/>
  <c r="Z1312" i="20"/>
  <c r="Z1313" i="20"/>
  <c r="Z1314" i="20"/>
  <c r="Z1315" i="20"/>
  <c r="Z1316" i="20"/>
  <c r="Z1317" i="20"/>
  <c r="Z1318" i="20"/>
  <c r="Z1319" i="20"/>
  <c r="Z1320" i="20"/>
  <c r="Z1321" i="20"/>
  <c r="Z1322" i="20"/>
  <c r="Z1323" i="20"/>
  <c r="Z1324" i="20"/>
  <c r="Z1325" i="20"/>
  <c r="Z1326" i="20"/>
  <c r="Z1327" i="20"/>
  <c r="Z1328" i="20"/>
  <c r="Z1329" i="20"/>
  <c r="Z1330" i="20"/>
  <c r="Z1331" i="20"/>
  <c r="Z1332" i="20"/>
  <c r="Z1333" i="20"/>
  <c r="Z1334" i="20"/>
  <c r="Z1335" i="20"/>
  <c r="Z1336" i="20"/>
  <c r="Z1337" i="20"/>
  <c r="Z1338" i="20"/>
  <c r="Z1339" i="20"/>
  <c r="Z1340" i="20"/>
  <c r="Z1341" i="20"/>
  <c r="Z1342" i="20"/>
  <c r="Z1343" i="20"/>
  <c r="Z1344" i="20"/>
  <c r="Z1345" i="20"/>
  <c r="Z1346" i="20"/>
  <c r="Z1347" i="20"/>
  <c r="Z1348" i="20"/>
  <c r="Z1349" i="20"/>
  <c r="Z1350" i="20"/>
  <c r="Z1351" i="20"/>
  <c r="Z1352" i="20"/>
  <c r="Z1353" i="20"/>
  <c r="Z1354" i="20"/>
  <c r="Z1355" i="20"/>
  <c r="Z1356" i="20"/>
  <c r="Z1357" i="20"/>
  <c r="Z1358" i="20"/>
  <c r="Z1359" i="20"/>
  <c r="Z1360" i="20"/>
  <c r="Z1361" i="20"/>
  <c r="Z1362" i="20"/>
  <c r="Z1363" i="20"/>
  <c r="Z1364" i="20"/>
  <c r="Z1365" i="20"/>
  <c r="Z1366" i="20"/>
  <c r="Z1367" i="20"/>
  <c r="Z1368" i="20"/>
  <c r="Z1369" i="20"/>
  <c r="Z1370" i="20"/>
  <c r="Z1371" i="20"/>
  <c r="Z1372" i="20"/>
  <c r="Z1373" i="20"/>
  <c r="Z1374" i="20"/>
  <c r="Z1375" i="20"/>
  <c r="Z1376" i="20"/>
  <c r="Z1377" i="20"/>
  <c r="Z1378" i="20"/>
  <c r="Z1379" i="20"/>
  <c r="Z1380" i="20"/>
  <c r="Z1381" i="20"/>
  <c r="Z1382" i="20"/>
  <c r="Z1383" i="20"/>
  <c r="Z1384" i="20"/>
  <c r="Z1385" i="20"/>
  <c r="Z1386" i="20"/>
  <c r="Z1387" i="20"/>
  <c r="Z1388" i="20"/>
  <c r="Z1389" i="20"/>
  <c r="Z1390" i="20"/>
  <c r="Z1391" i="20"/>
  <c r="Z1392" i="20"/>
  <c r="Z1393" i="20"/>
  <c r="Z1394" i="20"/>
  <c r="Z1395" i="20"/>
  <c r="Z1396" i="20"/>
  <c r="Z1397" i="20"/>
  <c r="Z1398" i="20"/>
  <c r="Z1399" i="20"/>
  <c r="Z1400" i="20"/>
  <c r="Z1401" i="20"/>
  <c r="Z1402" i="20"/>
  <c r="Z1403" i="20"/>
  <c r="Z1404" i="20"/>
  <c r="Z1405" i="20"/>
  <c r="Z1406" i="20"/>
  <c r="Z1407" i="20"/>
  <c r="Z1408" i="20"/>
  <c r="Z1409" i="20"/>
  <c r="Z1410" i="20"/>
  <c r="Z1411" i="20"/>
  <c r="Z1412" i="20"/>
  <c r="Z1413" i="20"/>
  <c r="Z1414" i="20"/>
  <c r="Z1415" i="20"/>
  <c r="Z1416" i="20"/>
  <c r="Z1417" i="20"/>
  <c r="Z1418" i="20"/>
  <c r="Z1419" i="20"/>
  <c r="Z1420" i="20"/>
  <c r="Z1421" i="20"/>
  <c r="Z1422" i="20"/>
  <c r="Z1423" i="20"/>
  <c r="Z1424" i="20"/>
  <c r="Z1425" i="20"/>
  <c r="Z1426" i="20"/>
  <c r="Z1427" i="20"/>
  <c r="Z1428" i="20"/>
  <c r="Z1429" i="20"/>
  <c r="Z1430" i="20"/>
  <c r="Z1431" i="20"/>
  <c r="Z1432" i="20"/>
  <c r="Z1433" i="20"/>
  <c r="Z1434" i="20"/>
  <c r="Z1435" i="20"/>
  <c r="Z1436" i="20"/>
  <c r="Z1437" i="20"/>
  <c r="Z1438" i="20"/>
  <c r="Z1439" i="20"/>
  <c r="Z1440" i="20"/>
  <c r="Z1441" i="20"/>
  <c r="Z1442" i="20"/>
  <c r="Z1443" i="20"/>
  <c r="Z1444" i="20"/>
  <c r="Z1445" i="20"/>
  <c r="Z1446" i="20"/>
  <c r="Z1447" i="20"/>
  <c r="Z1448" i="20"/>
  <c r="Z1449" i="20"/>
  <c r="Z1450" i="20"/>
  <c r="Z1451" i="20"/>
  <c r="Z1452" i="20"/>
  <c r="Z1453" i="20"/>
  <c r="Z1454" i="20"/>
  <c r="Z1455" i="20"/>
  <c r="Z1456" i="20"/>
  <c r="Z1457" i="20"/>
  <c r="Z1458" i="20"/>
  <c r="Z1459" i="20"/>
  <c r="Z1460" i="20"/>
  <c r="Z1461" i="20"/>
  <c r="Z1462" i="20"/>
  <c r="Z1463" i="20"/>
  <c r="Z1464" i="20"/>
  <c r="Z1465" i="20"/>
  <c r="Z1466" i="20"/>
  <c r="Z1467" i="20"/>
  <c r="Z1468" i="20"/>
  <c r="Z1469" i="20"/>
  <c r="Z1470" i="20"/>
  <c r="Z1471" i="20"/>
  <c r="Z1472" i="20"/>
  <c r="Z1473" i="20"/>
  <c r="Z1474" i="20"/>
  <c r="Z1475" i="20"/>
  <c r="Z1476" i="20"/>
  <c r="Z1477" i="20"/>
  <c r="Z1478" i="20"/>
  <c r="Z1479" i="20"/>
  <c r="Z1480" i="20"/>
  <c r="Z1481" i="20"/>
  <c r="Z1482" i="20"/>
  <c r="Z1483" i="20"/>
  <c r="Z1484" i="20"/>
  <c r="Z1485" i="20"/>
  <c r="Z1486" i="20"/>
  <c r="Z1487" i="20"/>
  <c r="Z1488" i="20"/>
  <c r="Z1489" i="20"/>
  <c r="Z1490" i="20"/>
  <c r="Z1491" i="20"/>
  <c r="Z1492" i="20"/>
  <c r="Z1493" i="20"/>
  <c r="Z1494" i="20"/>
  <c r="Z1495" i="20"/>
  <c r="Z1496" i="20"/>
  <c r="Z1497" i="20"/>
  <c r="Z1498" i="20"/>
  <c r="Z1499" i="20"/>
  <c r="Z1500" i="20"/>
  <c r="Z1501" i="20"/>
  <c r="Z1502" i="20"/>
  <c r="Z1503" i="20"/>
  <c r="Z1504" i="20"/>
  <c r="Z1505" i="20"/>
  <c r="Z1506" i="20"/>
  <c r="Z1507" i="20"/>
  <c r="Z1508" i="20"/>
  <c r="Z1509" i="20"/>
  <c r="Z1510" i="20"/>
  <c r="Z1511" i="20"/>
  <c r="Z1512" i="20"/>
  <c r="Z1513" i="20"/>
  <c r="Z1514" i="20"/>
  <c r="Z1515" i="20"/>
  <c r="Z1516" i="20"/>
  <c r="Z1517" i="20"/>
  <c r="Z1518" i="20"/>
  <c r="Z1519" i="20"/>
  <c r="Z1520" i="20"/>
  <c r="Z1521" i="20"/>
  <c r="Z1522" i="20"/>
  <c r="Z1523" i="20"/>
  <c r="Z1524" i="20"/>
  <c r="Z1525" i="20"/>
  <c r="Z1526" i="20"/>
  <c r="Z1527" i="20"/>
  <c r="Z1528" i="20"/>
  <c r="Z1529" i="20"/>
  <c r="Z1530" i="20"/>
  <c r="Z1531" i="20"/>
  <c r="Z1532" i="20"/>
  <c r="Z1533" i="20"/>
  <c r="Z1534" i="20"/>
  <c r="Z1535" i="20"/>
  <c r="Z1536" i="20"/>
  <c r="Z1537" i="20"/>
  <c r="Z1538" i="20"/>
  <c r="Z1539" i="20"/>
  <c r="Z1540" i="20"/>
  <c r="Z1541" i="20"/>
  <c r="Z1542" i="20"/>
  <c r="Z1543" i="20"/>
  <c r="Z1544" i="20"/>
  <c r="Z1545" i="20"/>
  <c r="Z1546" i="20"/>
  <c r="Z1547" i="20"/>
  <c r="Z1548" i="20"/>
  <c r="Z1549" i="20"/>
  <c r="Z1550" i="20"/>
  <c r="Z1551" i="20"/>
  <c r="Z1552" i="20"/>
  <c r="Z1553" i="20"/>
  <c r="Z1554" i="20"/>
  <c r="Z1555" i="20"/>
  <c r="Z1556" i="20"/>
  <c r="Z1557" i="20"/>
  <c r="Z1558" i="20"/>
  <c r="Z1559" i="20"/>
  <c r="Z1560" i="20"/>
  <c r="Z1561" i="20"/>
  <c r="Z1562" i="20"/>
  <c r="Z1563" i="20"/>
  <c r="Z1564" i="20"/>
  <c r="Z1565" i="20"/>
  <c r="Z1566" i="20"/>
  <c r="Z1567" i="20"/>
  <c r="Z1568" i="20"/>
  <c r="Z1569" i="20"/>
  <c r="Z1570" i="20"/>
  <c r="Z1571" i="20"/>
  <c r="Z1572" i="20"/>
  <c r="Z1573" i="20"/>
  <c r="Z1574" i="20"/>
  <c r="Z1575" i="20"/>
  <c r="Z1576" i="20"/>
  <c r="Z1577" i="20"/>
  <c r="Z1578" i="20"/>
  <c r="Z1579" i="20"/>
  <c r="Z1580" i="20"/>
  <c r="Z1581" i="20"/>
  <c r="Z1582" i="20"/>
  <c r="Z1583" i="20"/>
  <c r="Z1584" i="20"/>
  <c r="Z1585" i="20"/>
  <c r="Z1586" i="20"/>
  <c r="Z1587" i="20"/>
  <c r="Z1588" i="20"/>
  <c r="Z1589" i="20"/>
  <c r="Z1590" i="20"/>
  <c r="Z1591" i="20"/>
  <c r="Z1592" i="20"/>
  <c r="Z1593" i="20"/>
  <c r="Z1594" i="20"/>
  <c r="Z1595" i="20"/>
  <c r="Z1596" i="20"/>
  <c r="Z1597" i="20"/>
  <c r="Z1598" i="20"/>
  <c r="Z1599" i="20"/>
  <c r="Z1600" i="20"/>
  <c r="Z1601" i="20"/>
  <c r="Z1602" i="20"/>
  <c r="Z1603" i="20"/>
  <c r="Z1604" i="20"/>
  <c r="Z1605" i="20"/>
  <c r="Z1606" i="20"/>
  <c r="Z1607" i="20"/>
  <c r="Z1608" i="20"/>
  <c r="Z1609" i="20"/>
  <c r="Z1610" i="20"/>
  <c r="Z1611" i="20"/>
  <c r="Z1612" i="20"/>
  <c r="Z1613" i="20"/>
  <c r="Z1614" i="20"/>
  <c r="Z1615" i="20"/>
  <c r="Z1616" i="20"/>
  <c r="Z1617" i="20"/>
  <c r="Z1618" i="20"/>
  <c r="Z1619" i="20"/>
  <c r="Z1620" i="20"/>
  <c r="Z1621" i="20"/>
  <c r="Z1622" i="20"/>
  <c r="Z1623" i="20"/>
  <c r="Z1624" i="20"/>
  <c r="Z1625" i="20"/>
  <c r="Z1626" i="20"/>
  <c r="Z1627" i="20"/>
  <c r="Z1628" i="20"/>
  <c r="Z1629" i="20"/>
  <c r="Z1630" i="20"/>
  <c r="Z1631" i="20"/>
  <c r="Z1632" i="20"/>
  <c r="Z1633" i="20"/>
  <c r="Z1634" i="20"/>
  <c r="Z1635" i="20"/>
  <c r="Z1636" i="20"/>
  <c r="Z1637" i="20"/>
  <c r="Z1638" i="20"/>
  <c r="Z1639" i="20"/>
  <c r="Z1640" i="20"/>
  <c r="Z1641" i="20"/>
  <c r="Z1642" i="20"/>
  <c r="Z1643" i="20"/>
  <c r="Z1644" i="20"/>
  <c r="Z1645" i="20"/>
  <c r="Z1646" i="20"/>
  <c r="Z1647" i="20"/>
  <c r="Z1648" i="20"/>
  <c r="Z1649" i="20"/>
  <c r="Z1650" i="20"/>
  <c r="Z1651" i="20"/>
  <c r="Z1652" i="20"/>
  <c r="Z1653" i="20"/>
  <c r="Z1654" i="20"/>
  <c r="Z1655" i="20"/>
  <c r="Z1656" i="20"/>
  <c r="Z1657" i="20"/>
  <c r="Z1658" i="20"/>
  <c r="Z1659" i="20"/>
  <c r="Z1660" i="20"/>
  <c r="Z1661" i="20"/>
  <c r="Z1662" i="20"/>
  <c r="Z1663" i="20"/>
  <c r="Z1664" i="20"/>
  <c r="Z1665" i="20"/>
  <c r="Z1666" i="20"/>
  <c r="Z1667" i="20"/>
  <c r="Z1668" i="20"/>
  <c r="Z1669" i="20"/>
  <c r="Z1670" i="20"/>
  <c r="Z1671" i="20"/>
  <c r="Z1672" i="20"/>
  <c r="Z1673" i="20"/>
  <c r="Z1674" i="20"/>
  <c r="Z1675" i="20"/>
  <c r="Z1676" i="20"/>
  <c r="Z1677" i="20"/>
  <c r="Z1678" i="20"/>
  <c r="Z1679" i="20"/>
  <c r="Z1680" i="20"/>
  <c r="Z1681" i="20"/>
  <c r="Z1682" i="20"/>
  <c r="Z1683" i="20"/>
  <c r="Z1684" i="20"/>
  <c r="Z1685" i="20"/>
  <c r="Z1686" i="20"/>
  <c r="Z1687" i="20"/>
  <c r="Z1688" i="20"/>
  <c r="Z1689" i="20"/>
  <c r="Z1690" i="20"/>
  <c r="Z1691" i="20"/>
  <c r="Z1692" i="20"/>
  <c r="Z1693" i="20"/>
  <c r="Z1694" i="20"/>
  <c r="Z1695" i="20"/>
  <c r="Z1696" i="20"/>
  <c r="Z1697" i="20"/>
  <c r="Z1698" i="20"/>
  <c r="Z1699" i="20"/>
  <c r="Z1700" i="20"/>
  <c r="Z1701" i="20"/>
  <c r="Z1702" i="20"/>
  <c r="Z1703" i="20"/>
  <c r="Z1704" i="20"/>
  <c r="Z1705" i="20"/>
  <c r="Z1706" i="20"/>
  <c r="Z1707" i="20"/>
  <c r="Z1708" i="20"/>
  <c r="Z1709" i="20"/>
  <c r="Z1710" i="20"/>
  <c r="Z1711" i="20"/>
  <c r="Z1712" i="20"/>
  <c r="Z1713" i="20"/>
  <c r="Z1714" i="20"/>
  <c r="Z1715" i="20"/>
  <c r="Z1716" i="20"/>
  <c r="Z1717" i="20"/>
  <c r="Z1718" i="20"/>
  <c r="Z1719" i="20"/>
  <c r="Z1720" i="20"/>
  <c r="Z1721" i="20"/>
  <c r="Z1722" i="20"/>
  <c r="Z1723" i="20"/>
  <c r="Z1724" i="20"/>
  <c r="Z1725" i="20"/>
  <c r="Z1726" i="20"/>
  <c r="Z1727" i="20"/>
  <c r="Z1728" i="20"/>
  <c r="Z1729" i="20"/>
  <c r="Z1730" i="20"/>
  <c r="Z1731" i="20"/>
  <c r="Z1732" i="20"/>
  <c r="Z1733" i="20"/>
  <c r="Z1734" i="20"/>
  <c r="Z1735" i="20"/>
  <c r="Z1736" i="20"/>
  <c r="Z1737" i="20"/>
  <c r="Z1738" i="20"/>
  <c r="Z1739" i="20"/>
  <c r="Z1740" i="20"/>
  <c r="Z1741" i="20"/>
  <c r="Z1742" i="20"/>
  <c r="Z1743" i="20"/>
  <c r="Z1744" i="20"/>
  <c r="Z1745" i="20"/>
  <c r="Z1746" i="20"/>
  <c r="Z1747" i="20"/>
  <c r="Z1748" i="20"/>
  <c r="Z1749" i="20"/>
  <c r="Z1750" i="20"/>
  <c r="Z1751" i="20"/>
  <c r="Z1752" i="20"/>
  <c r="Z1753" i="20"/>
  <c r="Z1754" i="20"/>
  <c r="Z1755" i="20"/>
  <c r="Z1756" i="20"/>
  <c r="Z1757" i="20"/>
  <c r="Z1758" i="20"/>
  <c r="Z1759" i="20"/>
  <c r="Z1760" i="20"/>
  <c r="Z1761" i="20"/>
  <c r="Z1762" i="20"/>
  <c r="Z1763" i="20"/>
  <c r="Z1764" i="20"/>
  <c r="Z1765" i="20"/>
  <c r="Z1766" i="20"/>
  <c r="Z1767" i="20"/>
  <c r="Z1768" i="20"/>
  <c r="Z1769" i="20"/>
  <c r="Z1770" i="20"/>
  <c r="Z1771" i="20"/>
  <c r="Z1772" i="20"/>
  <c r="Z1773" i="20"/>
  <c r="Z1774" i="20"/>
  <c r="Z1775" i="20"/>
  <c r="Z1776" i="20"/>
  <c r="Z1777" i="20"/>
  <c r="Z1778" i="20"/>
  <c r="Z1779" i="20"/>
  <c r="Z1780" i="20"/>
  <c r="Z1781" i="20"/>
  <c r="Z1782" i="20"/>
  <c r="Z1783" i="20"/>
  <c r="Z1784" i="20"/>
  <c r="Z1785" i="20"/>
  <c r="Z1786" i="20"/>
  <c r="Z1787" i="20"/>
  <c r="Z1788" i="20"/>
  <c r="Z1789" i="20"/>
  <c r="Z1790" i="20"/>
  <c r="Z1791" i="20"/>
  <c r="Z1792" i="20"/>
  <c r="Z1793" i="20"/>
  <c r="Z1794" i="20"/>
  <c r="Z1795" i="20"/>
  <c r="Z1796" i="20"/>
  <c r="Z1797" i="20"/>
  <c r="Z1798" i="20"/>
  <c r="Z1799" i="20"/>
  <c r="Z1800" i="20"/>
  <c r="Z1801" i="20"/>
  <c r="Z1802" i="20"/>
  <c r="Z1803" i="20"/>
  <c r="Z1804" i="20"/>
  <c r="Z1805" i="20"/>
  <c r="Z1806" i="20"/>
  <c r="Z1807" i="20"/>
  <c r="Z1808" i="20"/>
  <c r="Z1809" i="20"/>
  <c r="Z1810" i="20"/>
  <c r="Z1811" i="20"/>
  <c r="Z1812" i="20"/>
  <c r="Z1813" i="20"/>
  <c r="Z1814" i="20"/>
  <c r="Z1815" i="20"/>
  <c r="Z1816" i="20"/>
  <c r="Z1817" i="20"/>
  <c r="Z1818" i="20"/>
  <c r="Z1819" i="20"/>
  <c r="Z1820" i="20"/>
  <c r="Z1821" i="20"/>
  <c r="Z1822" i="20"/>
  <c r="Z1823" i="20"/>
  <c r="Z1824" i="20"/>
  <c r="Z1825" i="20"/>
  <c r="Z1826" i="20"/>
  <c r="Z1827" i="20"/>
  <c r="Z1828" i="20"/>
  <c r="Z1829" i="20"/>
  <c r="Z1830" i="20"/>
  <c r="Z1831" i="20"/>
  <c r="Z1832" i="20"/>
  <c r="Z1833" i="20"/>
  <c r="Z1834" i="20"/>
  <c r="Z1835" i="20"/>
  <c r="Z1836" i="20"/>
  <c r="Z1837" i="20"/>
  <c r="Z1838" i="20"/>
  <c r="Z1839" i="20"/>
  <c r="Z1840" i="20"/>
  <c r="Z1841" i="20"/>
  <c r="Z1842" i="20"/>
  <c r="Z1843" i="20"/>
  <c r="Z1844" i="20"/>
  <c r="Z1845" i="20"/>
  <c r="Z1846" i="20"/>
  <c r="Z1847" i="20"/>
  <c r="Z1848" i="20"/>
  <c r="Z1849" i="20"/>
  <c r="Z1850" i="20"/>
  <c r="Z1851" i="20"/>
  <c r="Z1852" i="20"/>
  <c r="Z1853" i="20"/>
  <c r="Z1854" i="20"/>
  <c r="Z1855" i="20"/>
  <c r="Z1856" i="20"/>
  <c r="Z1857" i="20"/>
  <c r="Z1858" i="20"/>
  <c r="Z1859" i="20"/>
  <c r="Z1860" i="20"/>
  <c r="Z1861" i="20"/>
  <c r="Z1862" i="20"/>
  <c r="Z1863" i="20"/>
  <c r="Z1864" i="20"/>
  <c r="Z1865" i="20"/>
  <c r="Z1866" i="20"/>
  <c r="Z1867" i="20"/>
  <c r="Z1868" i="20"/>
  <c r="Z1869" i="20"/>
  <c r="Z1870" i="20"/>
  <c r="Z1871" i="20"/>
  <c r="Z1872" i="20"/>
  <c r="Z1873" i="20"/>
  <c r="Z1874" i="20"/>
  <c r="Z1875" i="20"/>
  <c r="Z1876" i="20"/>
  <c r="Z1877" i="20"/>
  <c r="Z1878" i="20"/>
  <c r="Z1879" i="20"/>
  <c r="Z1880" i="20"/>
  <c r="Z1881" i="20"/>
  <c r="Z1882" i="20"/>
  <c r="Z1883" i="20"/>
  <c r="Z1884" i="20"/>
  <c r="Z1885" i="20"/>
  <c r="Z1886" i="20"/>
  <c r="Z1887" i="20"/>
  <c r="Z1888" i="20"/>
  <c r="Z1889" i="20"/>
  <c r="Z1890" i="20"/>
  <c r="Z1891" i="20"/>
  <c r="Z1892" i="20"/>
  <c r="Z1893" i="20"/>
  <c r="Z1894" i="20"/>
  <c r="Z1895" i="20"/>
  <c r="Z1896" i="20"/>
  <c r="Z1897" i="20"/>
  <c r="Z1898" i="20"/>
  <c r="Z1899" i="20"/>
  <c r="Z1900" i="20"/>
  <c r="Z1901" i="20"/>
  <c r="Z1902" i="20"/>
  <c r="Z1903" i="20"/>
  <c r="Z1904" i="20"/>
  <c r="Z1905" i="20"/>
  <c r="Z1906" i="20"/>
  <c r="Z1907" i="20"/>
  <c r="Z1908" i="20"/>
  <c r="Z1909" i="20"/>
  <c r="Z1910" i="20"/>
  <c r="Z1911" i="20"/>
  <c r="Z1912" i="20"/>
  <c r="Z1913" i="20"/>
  <c r="Z1914" i="20"/>
  <c r="Z1915" i="20"/>
  <c r="Z1916" i="20"/>
  <c r="Z1917" i="20"/>
  <c r="Z1918" i="20"/>
  <c r="Z1919" i="20"/>
  <c r="Z1920" i="20"/>
  <c r="Z1921" i="20"/>
  <c r="Z1922" i="20"/>
  <c r="Z1923" i="20"/>
  <c r="Z1924" i="20"/>
  <c r="Z1925" i="20"/>
  <c r="Z1926" i="20"/>
  <c r="Z1927" i="20"/>
  <c r="Z1928" i="20"/>
  <c r="Z1929" i="20"/>
  <c r="Z1930" i="20"/>
  <c r="Z1931" i="20"/>
  <c r="Z1932" i="20"/>
  <c r="Z1933" i="20"/>
  <c r="Z1934" i="20"/>
  <c r="Z1935" i="20"/>
  <c r="Z1936" i="20"/>
  <c r="Z1937" i="20"/>
  <c r="Z1938" i="20"/>
  <c r="Z1939" i="20"/>
  <c r="Z1940" i="20"/>
  <c r="Z1941" i="20"/>
  <c r="Z1942" i="20"/>
  <c r="Z1943" i="20"/>
  <c r="Z1944" i="20"/>
  <c r="Z1945" i="20"/>
  <c r="Z1946" i="20"/>
  <c r="Z1947" i="20"/>
  <c r="Z1948" i="20"/>
  <c r="Z1949" i="20"/>
  <c r="Z1950" i="20"/>
  <c r="Z1951" i="20"/>
  <c r="Z1952" i="20"/>
  <c r="Z1953" i="20"/>
  <c r="Z1954" i="20"/>
  <c r="Z1955" i="20"/>
  <c r="Z1956" i="20"/>
  <c r="Z1957" i="20"/>
  <c r="Z1958" i="20"/>
  <c r="Z1959" i="20"/>
  <c r="Z1960" i="20"/>
  <c r="Z1961" i="20"/>
  <c r="Z1962" i="20"/>
  <c r="Z1963" i="20"/>
  <c r="Z1964" i="20"/>
  <c r="Z1965" i="20"/>
  <c r="Z1966" i="20"/>
  <c r="Z1967" i="20"/>
  <c r="Z1968" i="20"/>
  <c r="Z1969" i="20"/>
  <c r="Z1970" i="20"/>
  <c r="Z1971" i="20"/>
  <c r="Z1972" i="20"/>
  <c r="Z1973" i="20"/>
  <c r="Z1974" i="20"/>
  <c r="Z1975" i="20"/>
  <c r="Z1976" i="20"/>
  <c r="Z1977" i="20"/>
  <c r="Z1978" i="20"/>
  <c r="Z1979" i="20"/>
  <c r="Z1980" i="20"/>
  <c r="Z1981" i="20"/>
  <c r="Z1982" i="20"/>
  <c r="Z1983" i="20"/>
  <c r="Z1984" i="20"/>
  <c r="Z1985" i="20"/>
  <c r="Z1986" i="20"/>
  <c r="Z1987" i="20"/>
  <c r="Z1988" i="20"/>
  <c r="Z1989" i="20"/>
  <c r="Z1990" i="20"/>
  <c r="Z1991" i="20"/>
  <c r="Z1992" i="20"/>
  <c r="Z1993" i="20"/>
  <c r="Z1994" i="20"/>
  <c r="Z1995" i="20"/>
  <c r="Z1996" i="20"/>
  <c r="Z1997" i="20"/>
  <c r="Z1998" i="20"/>
  <c r="Z1999" i="20"/>
  <c r="Z2000" i="20"/>
  <c r="Z2001" i="20"/>
  <c r="Z2002" i="20"/>
  <c r="Z2003" i="20"/>
  <c r="Z2004" i="20"/>
  <c r="Z2005" i="20"/>
  <c r="Z2006" i="20"/>
  <c r="Z2007" i="20"/>
  <c r="Z2008" i="20"/>
  <c r="Z2009" i="20"/>
  <c r="Z2010" i="20"/>
  <c r="Z2011" i="20"/>
  <c r="Z2012" i="20"/>
  <c r="Z2013" i="20"/>
  <c r="Z2014" i="20"/>
  <c r="Z2015" i="20"/>
  <c r="Z2016" i="20"/>
  <c r="Z2017" i="20"/>
  <c r="Z2018" i="20"/>
  <c r="Z2019" i="20"/>
  <c r="Z2020" i="20"/>
  <c r="Z2021" i="20"/>
  <c r="Z2022" i="20"/>
  <c r="Z2023" i="20"/>
  <c r="Z2024" i="20"/>
  <c r="Z2025" i="20"/>
  <c r="Z2026" i="20"/>
  <c r="Z2027" i="20"/>
  <c r="Z2028" i="20"/>
  <c r="Z2029" i="20"/>
  <c r="Z2030" i="20"/>
  <c r="Z2031" i="20"/>
  <c r="Z2032" i="20"/>
  <c r="Z2033" i="20"/>
  <c r="Z2034" i="20"/>
  <c r="Z2035" i="20"/>
  <c r="Z2036" i="20"/>
  <c r="Z2037" i="20"/>
  <c r="Z2038" i="20"/>
  <c r="Z2039" i="20"/>
  <c r="Z2040" i="20"/>
  <c r="Z2041" i="20"/>
  <c r="Z2042" i="20"/>
  <c r="Z2043" i="20"/>
  <c r="Z2044" i="20"/>
  <c r="Z2045" i="20"/>
  <c r="Z2046" i="20"/>
  <c r="Z2047" i="20"/>
  <c r="Z2048" i="20"/>
  <c r="Z2049" i="20"/>
  <c r="Z2050" i="20"/>
  <c r="Z2051" i="20"/>
  <c r="Z2052" i="20"/>
  <c r="Z2053" i="20"/>
  <c r="Z2054" i="20"/>
  <c r="Z2055" i="20"/>
  <c r="Z2056" i="20"/>
  <c r="Z2057" i="20"/>
  <c r="Z2058" i="20"/>
  <c r="Z2059" i="20"/>
  <c r="Z2060" i="20"/>
  <c r="Z2061" i="20"/>
  <c r="Z2062" i="20"/>
  <c r="Z2063" i="20"/>
  <c r="Z2064" i="20"/>
  <c r="Z2065" i="20"/>
  <c r="Z2066" i="20"/>
  <c r="Z2067" i="20"/>
  <c r="Z2068" i="20"/>
  <c r="Z2069" i="20"/>
  <c r="Z2070" i="20"/>
  <c r="Z2071" i="20"/>
  <c r="Z2072" i="20"/>
  <c r="Z2073" i="20"/>
  <c r="Z2074" i="20"/>
  <c r="Z2075" i="20"/>
  <c r="Z2076" i="20"/>
  <c r="Z2077" i="20"/>
  <c r="Z2078" i="20"/>
  <c r="Z2079" i="20"/>
  <c r="Z2080" i="20"/>
  <c r="Z2081" i="20"/>
  <c r="Z2082" i="20"/>
  <c r="Z2083" i="20"/>
  <c r="Z2084" i="20"/>
  <c r="Z2085" i="20"/>
  <c r="Z2086" i="20"/>
  <c r="Z2087" i="20"/>
  <c r="Z2088" i="20"/>
  <c r="Z2089" i="20"/>
  <c r="Z2090" i="20"/>
  <c r="Z2091" i="20"/>
  <c r="Z2092" i="20"/>
  <c r="Z2093" i="20"/>
  <c r="Z2094" i="20"/>
  <c r="Z2095" i="20"/>
  <c r="Z2096" i="20"/>
  <c r="Z2097" i="20"/>
  <c r="Z2098" i="20"/>
  <c r="Z2099" i="20"/>
  <c r="Z2100" i="20"/>
  <c r="Z2101" i="20"/>
  <c r="Z2102" i="20"/>
  <c r="Z2103" i="20"/>
  <c r="Z2104" i="20"/>
  <c r="Z2105" i="20"/>
  <c r="Z2106" i="20"/>
  <c r="Z2107" i="20"/>
  <c r="Z2108" i="20"/>
  <c r="Z2109" i="20"/>
  <c r="Z2110" i="20"/>
  <c r="Z2111" i="20"/>
  <c r="Z2112" i="20"/>
  <c r="Z2113" i="20"/>
  <c r="Z2114" i="20"/>
  <c r="Z2115" i="20"/>
  <c r="Z2116" i="20"/>
  <c r="Z2117" i="20"/>
  <c r="Z2118" i="20"/>
  <c r="Z2119" i="20"/>
  <c r="Z2120" i="20"/>
  <c r="Z2121" i="20"/>
  <c r="Z2122" i="20"/>
  <c r="Z2123" i="20"/>
  <c r="Z2124" i="20"/>
  <c r="Z2125" i="20"/>
  <c r="Z2126" i="20"/>
  <c r="Z2127" i="20"/>
  <c r="Z2128" i="20"/>
  <c r="Z2129" i="20"/>
  <c r="Z2130" i="20"/>
  <c r="Z2131" i="20"/>
  <c r="Z2132" i="20"/>
  <c r="Z2133" i="20"/>
  <c r="Z2134" i="20"/>
  <c r="Z2135" i="20"/>
  <c r="Z2136" i="20"/>
  <c r="Z2137" i="20"/>
  <c r="Z2138" i="20"/>
  <c r="Z2139" i="20"/>
  <c r="Z2140" i="20"/>
  <c r="Z2141" i="20"/>
  <c r="Z2142" i="20"/>
  <c r="Z2143" i="20"/>
  <c r="Z2144" i="20"/>
  <c r="Z2145" i="20"/>
  <c r="Z2146" i="20"/>
  <c r="Z2147" i="20"/>
  <c r="Z2148" i="20"/>
  <c r="Z2149" i="20"/>
  <c r="Z2150" i="20"/>
  <c r="Z2151" i="20"/>
  <c r="Z2152" i="20"/>
  <c r="Z2153" i="20"/>
  <c r="Z2154" i="20"/>
  <c r="Z2155" i="20"/>
  <c r="Z2156" i="20"/>
  <c r="Z2157" i="20"/>
  <c r="Z2158" i="20"/>
  <c r="Z2159" i="20"/>
  <c r="Z2160" i="20"/>
  <c r="Z2161" i="20"/>
  <c r="Z2162" i="20"/>
  <c r="Z2163" i="20"/>
  <c r="Z2164" i="20"/>
  <c r="Z2165" i="20"/>
  <c r="Z2166" i="20"/>
  <c r="Z2167" i="20"/>
  <c r="Z2168" i="20"/>
  <c r="Z2169" i="20"/>
  <c r="Z2170" i="20"/>
  <c r="Z2171" i="20"/>
  <c r="Z2172" i="20"/>
  <c r="Z2173" i="20"/>
  <c r="Z2174" i="20"/>
  <c r="Z2175" i="20"/>
  <c r="Z2176" i="20"/>
  <c r="Z2177" i="20"/>
  <c r="Z2178" i="20"/>
  <c r="Z2179" i="20"/>
  <c r="Z2180" i="20"/>
  <c r="Z2181" i="20"/>
  <c r="Z2182" i="20"/>
  <c r="Z2183" i="20"/>
  <c r="Z2184" i="20"/>
  <c r="Z2185" i="20"/>
  <c r="Z2186" i="20"/>
  <c r="Z2187" i="20"/>
  <c r="Z2188" i="20"/>
  <c r="Z2189" i="20"/>
  <c r="Z2190" i="20"/>
  <c r="Z2191" i="20"/>
  <c r="Z2192" i="20"/>
  <c r="Z2193" i="20"/>
  <c r="Z2194" i="20"/>
  <c r="Z2195" i="20"/>
  <c r="Z2196" i="20"/>
  <c r="Z2197" i="20"/>
  <c r="Z2198" i="20"/>
  <c r="Z2199" i="20"/>
  <c r="Z2200" i="20"/>
  <c r="Z2201" i="20"/>
  <c r="Z2202" i="20"/>
  <c r="Z2203" i="20"/>
  <c r="Z2204" i="20"/>
  <c r="Z2205" i="20"/>
  <c r="Z2206" i="20"/>
  <c r="Z2207" i="20"/>
  <c r="Z2208" i="20"/>
  <c r="Z2209" i="20"/>
  <c r="Z2210" i="20"/>
  <c r="Z2211" i="20"/>
  <c r="Z2212" i="20"/>
  <c r="Z2213" i="20"/>
  <c r="Z2214" i="20"/>
  <c r="Z2215" i="20"/>
  <c r="Z2216" i="20"/>
  <c r="Z2217" i="20"/>
  <c r="Z2218" i="20"/>
  <c r="Z2219" i="20"/>
  <c r="Z2220" i="20"/>
  <c r="Z2221" i="20"/>
  <c r="AA3" i="20"/>
  <c r="AA4" i="20"/>
  <c r="AA5" i="20"/>
  <c r="AA7" i="20"/>
  <c r="AA21" i="20"/>
  <c r="AA35" i="20"/>
  <c r="AA50" i="20"/>
  <c r="AA68" i="20"/>
  <c r="AA70" i="20"/>
  <c r="AA83" i="20"/>
  <c r="AA89" i="20"/>
  <c r="AA91" i="20"/>
  <c r="AA103" i="20"/>
  <c r="AA117" i="20"/>
  <c r="AA119" i="20"/>
  <c r="AA124" i="20"/>
  <c r="AA145" i="20"/>
  <c r="AA147" i="20"/>
  <c r="AA148" i="20"/>
  <c r="AA149" i="20"/>
  <c r="AA152" i="20"/>
  <c r="AA163" i="20"/>
  <c r="AA166" i="20"/>
  <c r="AA190" i="20"/>
  <c r="AA193" i="20"/>
  <c r="AA194" i="20"/>
  <c r="AA201" i="20"/>
  <c r="AA212" i="20"/>
  <c r="AA217" i="20"/>
  <c r="AA242" i="20"/>
  <c r="AA243" i="20"/>
  <c r="AA245" i="20"/>
  <c r="AA246" i="20"/>
  <c r="AA260" i="20"/>
  <c r="AA269" i="20"/>
  <c r="AA271" i="20"/>
  <c r="AA287" i="20"/>
  <c r="AA306" i="20"/>
  <c r="AA313" i="20"/>
  <c r="AA315" i="20"/>
  <c r="AA316" i="20"/>
  <c r="AA330" i="20"/>
  <c r="AA343" i="20"/>
  <c r="AA345" i="20"/>
  <c r="AA348" i="20"/>
  <c r="AA358" i="20"/>
  <c r="AA376" i="20"/>
  <c r="AA390" i="20"/>
  <c r="AA399" i="20"/>
  <c r="AA414" i="20"/>
  <c r="AA425" i="20"/>
  <c r="AA427" i="20"/>
  <c r="AA455" i="20"/>
  <c r="AA460" i="20"/>
  <c r="AA465" i="20"/>
  <c r="AA479" i="20"/>
  <c r="AA481" i="20"/>
  <c r="AA490" i="20"/>
  <c r="AA497" i="20"/>
  <c r="AA511" i="20"/>
  <c r="AA518" i="20"/>
  <c r="AA530" i="20"/>
  <c r="AA535" i="20"/>
  <c r="AA544" i="20"/>
  <c r="AA547" i="20"/>
  <c r="AA548" i="20"/>
  <c r="AA554" i="20"/>
  <c r="AA577" i="20"/>
  <c r="AA579" i="20"/>
  <c r="AA585" i="20"/>
  <c r="AA593" i="20"/>
  <c r="AA619" i="20"/>
  <c r="AA621" i="20"/>
  <c r="AA633" i="20"/>
  <c r="AA638" i="20"/>
  <c r="AA647" i="20"/>
  <c r="AA651" i="20"/>
  <c r="AA665" i="20"/>
  <c r="AA670" i="20"/>
  <c r="AA675" i="20"/>
  <c r="AA679" i="20"/>
  <c r="AA693" i="20"/>
  <c r="AA694" i="20"/>
  <c r="AA697" i="20"/>
  <c r="AA700" i="20"/>
  <c r="AA712" i="20"/>
  <c r="AA726" i="20"/>
  <c r="AA737" i="20"/>
  <c r="AA740" i="20"/>
  <c r="AA754" i="20"/>
  <c r="AA763" i="20"/>
  <c r="AA765" i="20"/>
  <c r="AA768" i="20"/>
  <c r="AA770" i="20"/>
  <c r="AA782" i="20"/>
  <c r="AA787" i="20"/>
  <c r="AA796" i="20"/>
  <c r="AA812" i="20"/>
  <c r="AA817" i="20"/>
  <c r="AA834" i="20"/>
  <c r="AA847" i="20"/>
  <c r="AA856" i="20"/>
  <c r="AA877" i="20"/>
  <c r="AA879" i="20"/>
  <c r="AA880" i="20"/>
  <c r="AA882" i="20"/>
  <c r="AA894" i="20"/>
  <c r="AA903" i="20"/>
  <c r="AA922" i="20"/>
  <c r="AA927" i="20"/>
  <c r="AA929" i="20"/>
  <c r="AA949" i="20"/>
  <c r="AA950" i="20"/>
  <c r="AA961" i="20"/>
  <c r="AA964" i="20"/>
  <c r="AA966" i="20"/>
  <c r="AA985" i="20"/>
  <c r="AA987" i="20"/>
  <c r="AA992" i="20"/>
  <c r="AA1011" i="20"/>
  <c r="AA1015" i="20"/>
  <c r="AA1025" i="20"/>
  <c r="AA1033" i="20"/>
  <c r="AA1035" i="20"/>
  <c r="AA1037" i="20"/>
  <c r="AA1048" i="20"/>
  <c r="AA1069" i="20"/>
  <c r="AA1071" i="20"/>
  <c r="AA1073" i="20"/>
  <c r="AA1095" i="20"/>
  <c r="AA1097" i="20"/>
  <c r="AA1104" i="20"/>
  <c r="AA1105" i="20"/>
  <c r="AA1125" i="20"/>
  <c r="AA1127" i="20"/>
  <c r="AA1128" i="20"/>
  <c r="AA1146" i="20"/>
  <c r="AA1160" i="20"/>
  <c r="AA1165" i="20"/>
  <c r="AA1179" i="20"/>
  <c r="AA1183" i="20"/>
  <c r="AA1211" i="20"/>
  <c r="AA1212" i="20"/>
  <c r="AA1228" i="20"/>
  <c r="AA1230" i="20"/>
  <c r="AA1242" i="20"/>
  <c r="AA1244" i="20"/>
  <c r="AA1265" i="20"/>
  <c r="AA1267" i="20"/>
  <c r="AA1268" i="20"/>
  <c r="AA1272" i="20"/>
  <c r="AA1281" i="20"/>
  <c r="AA1293" i="20"/>
  <c r="AA1305" i="20"/>
  <c r="AA1307" i="20"/>
  <c r="AA1309" i="20"/>
  <c r="AA1310" i="20"/>
  <c r="AA1321" i="20"/>
  <c r="AA1326" i="20"/>
  <c r="AA1328" i="20"/>
  <c r="AA1334" i="20"/>
  <c r="AA1338" i="20"/>
  <c r="AA1340" i="20"/>
  <c r="AA1342" i="20"/>
  <c r="AA1351" i="20"/>
  <c r="AA1358" i="20"/>
  <c r="AA1365" i="20"/>
  <c r="AA1368" i="20"/>
  <c r="AA1377" i="20"/>
  <c r="AA1379" i="20"/>
  <c r="AA1382" i="20"/>
  <c r="AA1386" i="20"/>
  <c r="AA1389" i="20"/>
  <c r="AA1400" i="20"/>
  <c r="AA1407" i="20"/>
  <c r="AA1414" i="20"/>
  <c r="AA1424" i="20"/>
  <c r="AA1426" i="20"/>
  <c r="AA1427" i="20"/>
  <c r="AA1433" i="20"/>
  <c r="AA1452" i="20"/>
  <c r="AA1461" i="20"/>
  <c r="AA1463" i="20"/>
  <c r="AA1477" i="20"/>
  <c r="AA1478" i="20"/>
  <c r="AA1479" i="20"/>
  <c r="AA1480" i="20"/>
  <c r="AA1491" i="20"/>
  <c r="AA1496" i="20"/>
  <c r="AA1503" i="20"/>
  <c r="AA1508" i="20"/>
  <c r="AA1510" i="20"/>
  <c r="AA1515" i="20"/>
  <c r="AA1519" i="20"/>
  <c r="AA1533" i="20"/>
  <c r="AA1536" i="20"/>
  <c r="AA1547" i="20"/>
  <c r="AA1550" i="20"/>
  <c r="AA1552" i="20"/>
  <c r="AA1561" i="20"/>
  <c r="AA1571" i="20"/>
  <c r="AA1573" i="20"/>
  <c r="AA1575" i="20"/>
  <c r="AA1576" i="20"/>
  <c r="AA1578" i="20"/>
  <c r="AA1580" i="20"/>
  <c r="AA1585" i="20"/>
  <c r="AA1597" i="20"/>
  <c r="AA1603" i="20"/>
  <c r="AA1606" i="20"/>
  <c r="AA1608" i="20"/>
  <c r="AA1627" i="20"/>
  <c r="AA1631" i="20"/>
  <c r="AA1643" i="20"/>
  <c r="AA1645" i="20"/>
  <c r="AA1648" i="20"/>
  <c r="AA1655" i="20"/>
  <c r="AA1659" i="20"/>
  <c r="AA1669" i="20"/>
  <c r="AA1671" i="20"/>
  <c r="AA1673" i="20"/>
  <c r="AA1687" i="20"/>
  <c r="AA1690" i="20"/>
  <c r="AA1697" i="20"/>
  <c r="AA1699" i="20"/>
  <c r="AA1701" i="20"/>
  <c r="AA1702" i="20"/>
  <c r="AA1703" i="20"/>
  <c r="AA1715" i="20"/>
  <c r="AA1718" i="20"/>
  <c r="AA1720" i="20"/>
  <c r="AA1734" i="20"/>
  <c r="AA1743" i="20"/>
  <c r="AA1749" i="20"/>
  <c r="AA1757" i="20"/>
  <c r="AA1760" i="20"/>
  <c r="AA1762" i="20"/>
  <c r="AA1771" i="20"/>
  <c r="AA1788" i="20"/>
  <c r="AA1790" i="20"/>
  <c r="AA1805" i="20"/>
  <c r="AA1809" i="20"/>
  <c r="AA1811" i="20"/>
  <c r="AA1823" i="20"/>
  <c r="AA1824" i="20"/>
  <c r="AA1827" i="20"/>
  <c r="AA1832" i="20"/>
  <c r="AA1837" i="20"/>
  <c r="AA1844" i="20"/>
  <c r="AA1855" i="20"/>
  <c r="AA1860" i="20"/>
  <c r="AA1872" i="20"/>
  <c r="AA1879" i="20"/>
  <c r="AA1895" i="20"/>
  <c r="AA1897" i="20"/>
  <c r="AA1900" i="20"/>
  <c r="AA1902" i="20"/>
  <c r="AA1916" i="20"/>
  <c r="AA1925" i="20"/>
  <c r="AA1927" i="20"/>
  <c r="AA1928" i="20"/>
  <c r="AA1935" i="20"/>
  <c r="AA1960" i="20"/>
  <c r="AA1961" i="20"/>
  <c r="AA1963" i="20"/>
  <c r="AA1965" i="20"/>
  <c r="AA1967" i="20"/>
  <c r="AA1970" i="20"/>
  <c r="AA1972" i="20"/>
  <c r="AA1984" i="20"/>
  <c r="AA1986" i="20"/>
  <c r="AA1995" i="20"/>
  <c r="AA2003" i="20"/>
  <c r="AA2005" i="20"/>
  <c r="AA2007" i="20"/>
  <c r="AA2014" i="20"/>
  <c r="AA2023" i="20"/>
  <c r="AA2035" i="20"/>
  <c r="AA2037" i="20"/>
  <c r="AA2038" i="20"/>
  <c r="AA2051" i="20"/>
  <c r="AA2068" i="20"/>
  <c r="AA2071" i="20"/>
  <c r="AA2077" i="20"/>
  <c r="AA2093" i="20"/>
  <c r="AA2095" i="20"/>
  <c r="AA2105" i="20"/>
  <c r="AA2107" i="20"/>
  <c r="AA2119" i="20"/>
  <c r="AA2121" i="20"/>
  <c r="AA2123" i="20"/>
  <c r="AA2124" i="20"/>
  <c r="AA2126" i="20"/>
  <c r="AA2138" i="20"/>
  <c r="AA2149" i="20"/>
  <c r="AA2154" i="20"/>
  <c r="AA2158" i="20"/>
  <c r="AA2161" i="20"/>
  <c r="AA2163" i="20"/>
  <c r="AA2180" i="20"/>
  <c r="AA2182" i="20"/>
  <c r="AA2189" i="20"/>
  <c r="AA2191" i="20"/>
  <c r="AA2208" i="20"/>
  <c r="AA2210" i="20"/>
  <c r="AA2217" i="20"/>
  <c r="AB10" i="20"/>
  <c r="AB12" i="20"/>
  <c r="AB91" i="20"/>
  <c r="AB96" i="20"/>
  <c r="AB104" i="20"/>
  <c r="AB105" i="20"/>
  <c r="AB143" i="20"/>
  <c r="AB155" i="20"/>
  <c r="AB175" i="20"/>
  <c r="AB215" i="20"/>
  <c r="AB220" i="20"/>
  <c r="AB231" i="20"/>
  <c r="AB248" i="20"/>
  <c r="AB251" i="20"/>
  <c r="AB252" i="20"/>
  <c r="AB311" i="20"/>
  <c r="AB318" i="20"/>
  <c r="AB323" i="20"/>
  <c r="AB336" i="20"/>
  <c r="AB354" i="20"/>
  <c r="AB357" i="20"/>
  <c r="AB370" i="20"/>
  <c r="AB392" i="20"/>
  <c r="AB431" i="20"/>
  <c r="AB433" i="20"/>
  <c r="AB445" i="20"/>
  <c r="AB451" i="20"/>
  <c r="AB466" i="20"/>
  <c r="AB488" i="20"/>
  <c r="AB511" i="20"/>
  <c r="AB536" i="20"/>
  <c r="AB546" i="20"/>
  <c r="AB547" i="20"/>
  <c r="AB549" i="20"/>
  <c r="AB562" i="20"/>
  <c r="AB572" i="20"/>
  <c r="AB600" i="20"/>
  <c r="AB603" i="20"/>
  <c r="AB605" i="20"/>
  <c r="AB610" i="20"/>
  <c r="AB614" i="20"/>
  <c r="AB619" i="20"/>
  <c r="AB626" i="20"/>
  <c r="AB638" i="20"/>
  <c r="AB640" i="20"/>
  <c r="AB644" i="20"/>
  <c r="AB656" i="20"/>
  <c r="AB657" i="20"/>
  <c r="AB658" i="20"/>
  <c r="AB659" i="20"/>
  <c r="AB670" i="20"/>
  <c r="AB674" i="20"/>
  <c r="AB681" i="20"/>
  <c r="AB722" i="20"/>
  <c r="AB731" i="20"/>
  <c r="AB750" i="20"/>
  <c r="AB753" i="20"/>
  <c r="AB755" i="20"/>
  <c r="AB756" i="20"/>
  <c r="AB758" i="20"/>
  <c r="AB777" i="20"/>
  <c r="AB778" i="20"/>
  <c r="AB781" i="20"/>
  <c r="AB786" i="20"/>
  <c r="AB794" i="20"/>
  <c r="AB795" i="20"/>
  <c r="AB807" i="20"/>
  <c r="AB810" i="20"/>
  <c r="AB811" i="20"/>
  <c r="AB815" i="20"/>
  <c r="AB829" i="20"/>
  <c r="AB832" i="20"/>
  <c r="AB833" i="20"/>
  <c r="AB844" i="20"/>
  <c r="AB854" i="20"/>
  <c r="AB858" i="20"/>
  <c r="AB860" i="20"/>
  <c r="AB875" i="20"/>
  <c r="AB883" i="20"/>
  <c r="AB895" i="20"/>
  <c r="AB900" i="20"/>
  <c r="AB917" i="20"/>
  <c r="AB920" i="20"/>
  <c r="AB931" i="20"/>
  <c r="AB936" i="20"/>
  <c r="AB939" i="20"/>
  <c r="AB949" i="20"/>
  <c r="AB951" i="20"/>
  <c r="AB960" i="20"/>
  <c r="AB961" i="20"/>
  <c r="AB963" i="20"/>
  <c r="AB971" i="20"/>
  <c r="AB972" i="20"/>
  <c r="AB975" i="20"/>
  <c r="AB979" i="20"/>
  <c r="AB1003" i="20"/>
  <c r="AB1011" i="20"/>
  <c r="AB1016" i="20"/>
  <c r="AB1017" i="20"/>
  <c r="AB1019" i="20"/>
  <c r="AB1025" i="20"/>
  <c r="AB1038" i="20"/>
  <c r="AB1042" i="20"/>
  <c r="AB1043" i="20"/>
  <c r="AB1055" i="20"/>
  <c r="AB1057" i="20"/>
  <c r="AB1060" i="20"/>
  <c r="AB1078" i="20"/>
  <c r="AB1079" i="20"/>
  <c r="AB1080" i="20"/>
  <c r="AB1081" i="20"/>
  <c r="AB1082" i="20"/>
  <c r="AB1083" i="20"/>
  <c r="AB1084" i="20"/>
  <c r="AB1085" i="20"/>
  <c r="AB1086" i="20"/>
  <c r="AB1087" i="20"/>
  <c r="AB1088" i="20"/>
  <c r="AB1089" i="20"/>
  <c r="AB1102" i="20"/>
  <c r="AB1104" i="20"/>
  <c r="AB1110" i="20"/>
  <c r="AB1111" i="20"/>
  <c r="AB1112" i="20"/>
  <c r="AB1124" i="20"/>
  <c r="AB1127" i="20"/>
  <c r="AB1128" i="20"/>
  <c r="AB1137" i="20"/>
  <c r="AB1142" i="20"/>
  <c r="AB1144" i="20"/>
  <c r="AB1145" i="20"/>
  <c r="AB1146" i="20"/>
  <c r="AB1159" i="20"/>
  <c r="AB1164" i="20"/>
  <c r="AB1167" i="20"/>
  <c r="AB1173" i="20"/>
  <c r="AB1184" i="20"/>
  <c r="AB1190" i="20"/>
  <c r="AB1191" i="20"/>
  <c r="AB1196" i="20"/>
  <c r="AB1199" i="20"/>
  <c r="AB1201" i="20"/>
  <c r="AB1204" i="20"/>
  <c r="AB1217" i="20"/>
  <c r="AB1226" i="20"/>
  <c r="AB1234" i="20"/>
  <c r="AB1236" i="20"/>
  <c r="AB1238" i="20"/>
  <c r="AB1239" i="20"/>
  <c r="AB1240" i="20"/>
  <c r="AB1241" i="20"/>
  <c r="AB1242" i="20"/>
  <c r="AB1258" i="20"/>
  <c r="AB1262" i="20"/>
  <c r="AB1263" i="20"/>
  <c r="AB1267" i="20"/>
  <c r="AB1270" i="20"/>
  <c r="AB1276" i="20"/>
  <c r="AB1281" i="20"/>
  <c r="AB1282" i="20"/>
  <c r="AB1299" i="20"/>
  <c r="AB1305" i="20"/>
  <c r="AB1306" i="20"/>
  <c r="AB1309" i="20"/>
  <c r="AB1321" i="20"/>
  <c r="AB1333" i="20"/>
  <c r="AB1334" i="20"/>
  <c r="AB1335" i="20"/>
  <c r="AB1343" i="20"/>
  <c r="AB1360" i="20"/>
  <c r="AB1367" i="20"/>
  <c r="AB1369" i="20"/>
  <c r="AB1370" i="20"/>
  <c r="AB1372" i="20"/>
  <c r="AB1373" i="20"/>
  <c r="AB1375" i="20"/>
  <c r="AB1380" i="20"/>
  <c r="AB1394" i="20"/>
  <c r="AB1399" i="20"/>
  <c r="AB1409" i="20"/>
  <c r="AB1410" i="20"/>
  <c r="AB1418" i="20"/>
  <c r="AB1419" i="20"/>
  <c r="AB1422" i="20"/>
  <c r="AB1424" i="20"/>
  <c r="AB1426" i="20"/>
  <c r="AB1428" i="20"/>
  <c r="AB1445" i="20"/>
  <c r="AB1450" i="20"/>
  <c r="AB1457" i="20"/>
  <c r="AB1459" i="20"/>
  <c r="AB1461" i="20"/>
  <c r="AB1462" i="20"/>
  <c r="AB1463" i="20"/>
  <c r="AB1465" i="20"/>
  <c r="AB1492" i="20"/>
  <c r="AB1493" i="20"/>
  <c r="AB1495" i="20"/>
  <c r="AB1499" i="20"/>
  <c r="AB1500" i="20"/>
  <c r="AB1501" i="20"/>
  <c r="AB1508" i="20"/>
  <c r="AB1512" i="20"/>
  <c r="AB1516" i="20"/>
  <c r="AB1517" i="20"/>
  <c r="AB1534" i="20"/>
  <c r="AB1535" i="20"/>
  <c r="AB1543" i="20"/>
  <c r="AB1544" i="20"/>
  <c r="AB1545" i="20"/>
  <c r="AB1546" i="20"/>
  <c r="AB1566" i="20"/>
  <c r="AB1573" i="20"/>
  <c r="AB1578" i="20"/>
  <c r="AB1582" i="20"/>
  <c r="AB1586" i="20"/>
  <c r="AB1591" i="20"/>
  <c r="AB1594" i="20"/>
  <c r="AB1606" i="20"/>
  <c r="AB1608" i="20"/>
  <c r="AB1609" i="20"/>
  <c r="AB1615" i="20"/>
  <c r="AB1617" i="20"/>
  <c r="AB1626" i="20"/>
  <c r="AB1627" i="20"/>
  <c r="AB1650" i="20"/>
  <c r="AB1657" i="20"/>
  <c r="AB1659" i="20"/>
  <c r="AB1661" i="20"/>
  <c r="AB1663" i="20"/>
  <c r="AB1666" i="20"/>
  <c r="AB1671" i="20"/>
  <c r="AB1672" i="20"/>
  <c r="AB1673" i="20"/>
  <c r="AB1684" i="20"/>
  <c r="AB1685" i="20"/>
  <c r="AB1687" i="20"/>
  <c r="AB1688" i="20"/>
  <c r="AB1694" i="20"/>
  <c r="AB1696" i="20"/>
  <c r="AB1697" i="20"/>
  <c r="AB1698" i="20"/>
  <c r="AB1701" i="20"/>
  <c r="AB1702" i="20"/>
  <c r="AB1705" i="20"/>
  <c r="AB1708" i="20"/>
  <c r="AB1717" i="20"/>
  <c r="AB1718" i="20"/>
  <c r="AB1721" i="20"/>
  <c r="AB1727" i="20"/>
  <c r="AB1730" i="20"/>
  <c r="AB1731" i="20"/>
  <c r="AB1733" i="20"/>
  <c r="AB1735" i="20"/>
  <c r="AB1740" i="20"/>
  <c r="AB1756" i="20"/>
  <c r="AB1763" i="20"/>
  <c r="AB1766" i="20"/>
  <c r="AB1767" i="20"/>
  <c r="AB1769" i="20"/>
  <c r="AB1782" i="20"/>
  <c r="AB1784" i="20"/>
  <c r="AB1797" i="20"/>
  <c r="AB1799" i="20"/>
  <c r="AB1803" i="20"/>
  <c r="AB1809" i="20"/>
  <c r="AB1821" i="20"/>
  <c r="AB1822" i="20"/>
  <c r="AB1823" i="20"/>
  <c r="AB1847" i="20"/>
  <c r="AB1851" i="20"/>
  <c r="AB1852" i="20"/>
  <c r="AB1856" i="20"/>
  <c r="AB1862" i="20"/>
  <c r="AB1865" i="20"/>
  <c r="AB1871" i="20"/>
  <c r="AB1880" i="20"/>
  <c r="AB1888" i="20"/>
  <c r="AB1895" i="20"/>
  <c r="AB1900" i="20"/>
  <c r="AB1903" i="20"/>
  <c r="AB1906" i="20"/>
  <c r="AB1907" i="20"/>
  <c r="AB1908" i="20"/>
  <c r="AB1923" i="20"/>
  <c r="AB1924" i="20"/>
  <c r="AB1929" i="20"/>
  <c r="AB1931" i="20"/>
  <c r="AB1939" i="20"/>
  <c r="AB1940" i="20"/>
  <c r="AB1956" i="20"/>
  <c r="AB1957" i="20"/>
  <c r="AB1958" i="20"/>
  <c r="AB1959" i="20"/>
  <c r="AB1960" i="20"/>
  <c r="AB1963" i="20"/>
  <c r="AB1965" i="20"/>
  <c r="AB1966" i="20"/>
  <c r="AB1970" i="20"/>
  <c r="AB1972" i="20"/>
  <c r="AB1974" i="20"/>
  <c r="AB1975" i="20"/>
  <c r="AB1991" i="20"/>
  <c r="AB1993" i="20"/>
  <c r="AB1997" i="20"/>
  <c r="AB1999" i="20"/>
  <c r="AB2001" i="20"/>
  <c r="AB2002" i="20"/>
  <c r="AB2004" i="20"/>
  <c r="AB2011" i="20"/>
  <c r="AB2014" i="20"/>
  <c r="AB2023" i="20"/>
  <c r="AB2025" i="20"/>
  <c r="AB2027" i="20"/>
  <c r="AB2029" i="20"/>
  <c r="AB2030" i="20"/>
  <c r="AB2043" i="20"/>
  <c r="AB2044" i="20"/>
  <c r="AB2047" i="20"/>
  <c r="AB2057" i="20"/>
  <c r="AB2058" i="20"/>
  <c r="AB2060" i="20"/>
  <c r="AB2065" i="20"/>
  <c r="AB2068" i="20"/>
  <c r="AB2070" i="20"/>
  <c r="AB2072" i="20"/>
  <c r="AB2076" i="20"/>
  <c r="AB2084" i="20"/>
  <c r="AB2092" i="20"/>
  <c r="AB2095" i="20"/>
  <c r="AB2098" i="20"/>
  <c r="AB2102" i="20"/>
  <c r="AB2103" i="20"/>
  <c r="AB2119" i="20"/>
  <c r="AB2123" i="20"/>
  <c r="AB2135" i="20"/>
  <c r="AB2138" i="20"/>
  <c r="AB2140" i="20"/>
  <c r="AB2157" i="20"/>
  <c r="AB2163" i="20"/>
  <c r="AB2164" i="20"/>
  <c r="AB2165" i="20"/>
  <c r="AB2166" i="20"/>
  <c r="AB2167" i="20"/>
  <c r="AB2168" i="20"/>
  <c r="AB2170" i="20"/>
  <c r="AB2171" i="20"/>
  <c r="AB2176" i="20"/>
  <c r="AB2178" i="20"/>
  <c r="AB2180" i="20"/>
  <c r="AB2181" i="20"/>
  <c r="AB2182" i="20"/>
  <c r="AB2183" i="20"/>
  <c r="AB2184" i="20"/>
  <c r="AB2196" i="20"/>
  <c r="AB2198" i="20"/>
  <c r="AB2207" i="20"/>
  <c r="AB2209" i="20"/>
  <c r="AB2210" i="20"/>
  <c r="AB2221" i="20"/>
  <c r="AC2" i="20"/>
  <c r="AA2" i="20" s="1"/>
  <c r="AC3" i="20"/>
  <c r="AC4" i="20"/>
  <c r="AC5" i="20"/>
  <c r="AC6" i="20"/>
  <c r="AA6" i="20" s="1"/>
  <c r="AC7" i="20"/>
  <c r="AC8" i="20"/>
  <c r="AA8" i="20" s="1"/>
  <c r="AC9" i="20"/>
  <c r="AA9" i="20" s="1"/>
  <c r="AC10" i="20"/>
  <c r="AA10" i="20" s="1"/>
  <c r="AC11" i="20"/>
  <c r="AA11" i="20" s="1"/>
  <c r="AC12" i="20"/>
  <c r="AA12" i="20" s="1"/>
  <c r="AC13" i="20"/>
  <c r="AA13" i="20" s="1"/>
  <c r="AC14" i="20"/>
  <c r="AA14" i="20" s="1"/>
  <c r="AC15" i="20"/>
  <c r="AA15" i="20" s="1"/>
  <c r="AC16" i="20"/>
  <c r="AA16" i="20" s="1"/>
  <c r="AC17" i="20"/>
  <c r="AA17" i="20" s="1"/>
  <c r="AC18" i="20"/>
  <c r="AA18" i="20" s="1"/>
  <c r="AC19" i="20"/>
  <c r="AA19" i="20" s="1"/>
  <c r="AC20" i="20"/>
  <c r="AA20" i="20" s="1"/>
  <c r="AC21" i="20"/>
  <c r="AC22" i="20"/>
  <c r="AA22" i="20" s="1"/>
  <c r="AC23" i="20"/>
  <c r="AA23" i="20" s="1"/>
  <c r="AC24" i="20"/>
  <c r="AA24" i="20" s="1"/>
  <c r="AC25" i="20"/>
  <c r="AA25" i="20" s="1"/>
  <c r="AC26" i="20"/>
  <c r="AA26" i="20" s="1"/>
  <c r="AC27" i="20"/>
  <c r="AA27" i="20" s="1"/>
  <c r="AC28" i="20"/>
  <c r="AA28" i="20" s="1"/>
  <c r="AC29" i="20"/>
  <c r="AA29" i="20" s="1"/>
  <c r="AC30" i="20"/>
  <c r="AA30" i="20" s="1"/>
  <c r="AC31" i="20"/>
  <c r="AA31" i="20" s="1"/>
  <c r="AC32" i="20"/>
  <c r="AA32" i="20" s="1"/>
  <c r="AC33" i="20"/>
  <c r="AA33" i="20" s="1"/>
  <c r="AC34" i="20"/>
  <c r="AA34" i="20" s="1"/>
  <c r="AC35" i="20"/>
  <c r="AC36" i="20"/>
  <c r="AA36" i="20" s="1"/>
  <c r="AC37" i="20"/>
  <c r="AA37" i="20" s="1"/>
  <c r="AC38" i="20"/>
  <c r="AA38" i="20" s="1"/>
  <c r="AC39" i="20"/>
  <c r="AA39" i="20" s="1"/>
  <c r="AC40" i="20"/>
  <c r="AA40" i="20" s="1"/>
  <c r="AC41" i="20"/>
  <c r="AA41" i="20" s="1"/>
  <c r="AC42" i="20"/>
  <c r="AA42" i="20" s="1"/>
  <c r="AC43" i="20"/>
  <c r="AA43" i="20" s="1"/>
  <c r="AC44" i="20"/>
  <c r="AA44" i="20" s="1"/>
  <c r="AC45" i="20"/>
  <c r="AA45" i="20" s="1"/>
  <c r="AC46" i="20"/>
  <c r="AA46" i="20" s="1"/>
  <c r="AC47" i="20"/>
  <c r="AA47" i="20" s="1"/>
  <c r="AC48" i="20"/>
  <c r="AA48" i="20" s="1"/>
  <c r="AC49" i="20"/>
  <c r="AA49" i="20" s="1"/>
  <c r="AC50" i="20"/>
  <c r="AC51" i="20"/>
  <c r="AA51" i="20" s="1"/>
  <c r="AC52" i="20"/>
  <c r="AA52" i="20" s="1"/>
  <c r="AC53" i="20"/>
  <c r="AA53" i="20" s="1"/>
  <c r="AC54" i="20"/>
  <c r="AA54" i="20" s="1"/>
  <c r="AC55" i="20"/>
  <c r="AA55" i="20" s="1"/>
  <c r="AC56" i="20"/>
  <c r="AA56" i="20" s="1"/>
  <c r="AC57" i="20"/>
  <c r="AA57" i="20" s="1"/>
  <c r="AC58" i="20"/>
  <c r="AA58" i="20" s="1"/>
  <c r="AC59" i="20"/>
  <c r="AA59" i="20" s="1"/>
  <c r="AC60" i="20"/>
  <c r="AA60" i="20" s="1"/>
  <c r="AC61" i="20"/>
  <c r="AA61" i="20" s="1"/>
  <c r="AC62" i="20"/>
  <c r="AA62" i="20" s="1"/>
  <c r="AC63" i="20"/>
  <c r="AA63" i="20" s="1"/>
  <c r="AC64" i="20"/>
  <c r="AA64" i="20" s="1"/>
  <c r="AC65" i="20"/>
  <c r="AA65" i="20" s="1"/>
  <c r="AC66" i="20"/>
  <c r="AA66" i="20" s="1"/>
  <c r="AC67" i="20"/>
  <c r="AA67" i="20" s="1"/>
  <c r="AC68" i="20"/>
  <c r="AC69" i="20"/>
  <c r="AA69" i="20" s="1"/>
  <c r="AC70" i="20"/>
  <c r="AC71" i="20"/>
  <c r="AA71" i="20" s="1"/>
  <c r="AC72" i="20"/>
  <c r="AA72" i="20" s="1"/>
  <c r="AC73" i="20"/>
  <c r="AA73" i="20" s="1"/>
  <c r="AC74" i="20"/>
  <c r="AA74" i="20" s="1"/>
  <c r="AC75" i="20"/>
  <c r="AA75" i="20" s="1"/>
  <c r="AC76" i="20"/>
  <c r="AA76" i="20" s="1"/>
  <c r="AC77" i="20"/>
  <c r="AA77" i="20" s="1"/>
  <c r="AC78" i="20"/>
  <c r="AA78" i="20" s="1"/>
  <c r="AC79" i="20"/>
  <c r="AA79" i="20" s="1"/>
  <c r="AC80" i="20"/>
  <c r="AA80" i="20" s="1"/>
  <c r="AC81" i="20"/>
  <c r="AA81" i="20" s="1"/>
  <c r="AC82" i="20"/>
  <c r="AA82" i="20" s="1"/>
  <c r="AC83" i="20"/>
  <c r="AC84" i="20"/>
  <c r="AA84" i="20" s="1"/>
  <c r="AC85" i="20"/>
  <c r="AA85" i="20" s="1"/>
  <c r="AC86" i="20"/>
  <c r="AA86" i="20" s="1"/>
  <c r="AC87" i="20"/>
  <c r="AA87" i="20" s="1"/>
  <c r="AC88" i="20"/>
  <c r="AA88" i="20" s="1"/>
  <c r="AC89" i="20"/>
  <c r="AC90" i="20"/>
  <c r="AA90" i="20" s="1"/>
  <c r="AC91" i="20"/>
  <c r="AC92" i="20"/>
  <c r="AA92" i="20" s="1"/>
  <c r="AC93" i="20"/>
  <c r="AA93" i="20" s="1"/>
  <c r="AC94" i="20"/>
  <c r="AA94" i="20" s="1"/>
  <c r="AC95" i="20"/>
  <c r="AA95" i="20" s="1"/>
  <c r="AC96" i="20"/>
  <c r="AA96" i="20" s="1"/>
  <c r="AC97" i="20"/>
  <c r="AA97" i="20" s="1"/>
  <c r="AC98" i="20"/>
  <c r="AA98" i="20" s="1"/>
  <c r="AC99" i="20"/>
  <c r="AA99" i="20" s="1"/>
  <c r="AC100" i="20"/>
  <c r="AA100" i="20" s="1"/>
  <c r="AC101" i="20"/>
  <c r="AA101" i="20" s="1"/>
  <c r="AC102" i="20"/>
  <c r="AA102" i="20" s="1"/>
  <c r="AC103" i="20"/>
  <c r="AC104" i="20"/>
  <c r="AA104" i="20" s="1"/>
  <c r="AC105" i="20"/>
  <c r="AA105" i="20" s="1"/>
  <c r="AC106" i="20"/>
  <c r="AA106" i="20" s="1"/>
  <c r="AC107" i="20"/>
  <c r="AA107" i="20" s="1"/>
  <c r="AC108" i="20"/>
  <c r="AA108" i="20" s="1"/>
  <c r="AC109" i="20"/>
  <c r="AA109" i="20" s="1"/>
  <c r="AC110" i="20"/>
  <c r="AA110" i="20" s="1"/>
  <c r="AC111" i="20"/>
  <c r="AA111" i="20" s="1"/>
  <c r="AC112" i="20"/>
  <c r="AA112" i="20" s="1"/>
  <c r="AC113" i="20"/>
  <c r="AA113" i="20" s="1"/>
  <c r="AC114" i="20"/>
  <c r="AA114" i="20" s="1"/>
  <c r="AC115" i="20"/>
  <c r="AA115" i="20" s="1"/>
  <c r="AC116" i="20"/>
  <c r="AA116" i="20" s="1"/>
  <c r="AC117" i="20"/>
  <c r="AC118" i="20"/>
  <c r="AA118" i="20" s="1"/>
  <c r="AC119" i="20"/>
  <c r="AC120" i="20"/>
  <c r="AA120" i="20" s="1"/>
  <c r="AC121" i="20"/>
  <c r="AA121" i="20" s="1"/>
  <c r="AC122" i="20"/>
  <c r="AA122" i="20" s="1"/>
  <c r="AC123" i="20"/>
  <c r="AA123" i="20" s="1"/>
  <c r="AC124" i="20"/>
  <c r="AC125" i="20"/>
  <c r="AA125" i="20" s="1"/>
  <c r="AC126" i="20"/>
  <c r="AA126" i="20" s="1"/>
  <c r="AC127" i="20"/>
  <c r="AA127" i="20" s="1"/>
  <c r="AC128" i="20"/>
  <c r="AA128" i="20" s="1"/>
  <c r="AC129" i="20"/>
  <c r="AA129" i="20" s="1"/>
  <c r="AC130" i="20"/>
  <c r="AA130" i="20" s="1"/>
  <c r="AC131" i="20"/>
  <c r="AA131" i="20" s="1"/>
  <c r="AC132" i="20"/>
  <c r="AA132" i="20" s="1"/>
  <c r="AC133" i="20"/>
  <c r="AA133" i="20" s="1"/>
  <c r="AC134" i="20"/>
  <c r="AA134" i="20" s="1"/>
  <c r="AC135" i="20"/>
  <c r="AA135" i="20" s="1"/>
  <c r="AC136" i="20"/>
  <c r="AA136" i="20" s="1"/>
  <c r="AC137" i="20"/>
  <c r="AA137" i="20" s="1"/>
  <c r="AC138" i="20"/>
  <c r="AA138" i="20" s="1"/>
  <c r="AC139" i="20"/>
  <c r="AA139" i="20" s="1"/>
  <c r="AC140" i="20"/>
  <c r="AA140" i="20" s="1"/>
  <c r="AC141" i="20"/>
  <c r="AA141" i="20" s="1"/>
  <c r="AC142" i="20"/>
  <c r="AA142" i="20" s="1"/>
  <c r="AC143" i="20"/>
  <c r="AA143" i="20" s="1"/>
  <c r="AC144" i="20"/>
  <c r="AA144" i="20" s="1"/>
  <c r="AC145" i="20"/>
  <c r="AC146" i="20"/>
  <c r="AA146" i="20" s="1"/>
  <c r="AC147" i="20"/>
  <c r="AC148" i="20"/>
  <c r="AC149" i="20"/>
  <c r="AC150" i="20"/>
  <c r="AA150" i="20" s="1"/>
  <c r="AC151" i="20"/>
  <c r="AA151" i="20" s="1"/>
  <c r="AC152" i="20"/>
  <c r="AC153" i="20"/>
  <c r="AA153" i="20" s="1"/>
  <c r="AC154" i="20"/>
  <c r="AA154" i="20" s="1"/>
  <c r="AC155" i="20"/>
  <c r="AA155" i="20" s="1"/>
  <c r="AC156" i="20"/>
  <c r="AA156" i="20" s="1"/>
  <c r="AC157" i="20"/>
  <c r="AA157" i="20" s="1"/>
  <c r="AC158" i="20"/>
  <c r="AA158" i="20" s="1"/>
  <c r="AC159" i="20"/>
  <c r="AA159" i="20" s="1"/>
  <c r="AC160" i="20"/>
  <c r="AA160" i="20" s="1"/>
  <c r="AC161" i="20"/>
  <c r="AA161" i="20" s="1"/>
  <c r="AC162" i="20"/>
  <c r="AA162" i="20" s="1"/>
  <c r="AC163" i="20"/>
  <c r="AC164" i="20"/>
  <c r="AA164" i="20" s="1"/>
  <c r="AC165" i="20"/>
  <c r="AA165" i="20" s="1"/>
  <c r="AC166" i="20"/>
  <c r="AC167" i="20"/>
  <c r="AA167" i="20" s="1"/>
  <c r="AC168" i="20"/>
  <c r="AA168" i="20" s="1"/>
  <c r="AC169" i="20"/>
  <c r="AA169" i="20" s="1"/>
  <c r="AC170" i="20"/>
  <c r="AA170" i="20" s="1"/>
  <c r="AC171" i="20"/>
  <c r="AA171" i="20" s="1"/>
  <c r="AC172" i="20"/>
  <c r="AA172" i="20" s="1"/>
  <c r="AC173" i="20"/>
  <c r="AA173" i="20" s="1"/>
  <c r="AC174" i="20"/>
  <c r="AA174" i="20" s="1"/>
  <c r="AC175" i="20"/>
  <c r="AA175" i="20" s="1"/>
  <c r="AC176" i="20"/>
  <c r="AA176" i="20" s="1"/>
  <c r="AC177" i="20"/>
  <c r="AA177" i="20" s="1"/>
  <c r="AC178" i="20"/>
  <c r="AA178" i="20" s="1"/>
  <c r="AC179" i="20"/>
  <c r="AA179" i="20" s="1"/>
  <c r="AC180" i="20"/>
  <c r="AA180" i="20" s="1"/>
  <c r="AC181" i="20"/>
  <c r="AA181" i="20" s="1"/>
  <c r="AC182" i="20"/>
  <c r="AA182" i="20" s="1"/>
  <c r="AC183" i="20"/>
  <c r="AA183" i="20" s="1"/>
  <c r="AC184" i="20"/>
  <c r="AA184" i="20" s="1"/>
  <c r="AC185" i="20"/>
  <c r="AA185" i="20" s="1"/>
  <c r="AC186" i="20"/>
  <c r="AA186" i="20" s="1"/>
  <c r="AC187" i="20"/>
  <c r="AA187" i="20" s="1"/>
  <c r="AC188" i="20"/>
  <c r="AA188" i="20" s="1"/>
  <c r="AC189" i="20"/>
  <c r="AA189" i="20" s="1"/>
  <c r="AC190" i="20"/>
  <c r="AC191" i="20"/>
  <c r="AA191" i="20" s="1"/>
  <c r="AC192" i="20"/>
  <c r="AA192" i="20" s="1"/>
  <c r="AC193" i="20"/>
  <c r="AC194" i="20"/>
  <c r="AC195" i="20"/>
  <c r="AA195" i="20" s="1"/>
  <c r="AC196" i="20"/>
  <c r="AA196" i="20" s="1"/>
  <c r="AC197" i="20"/>
  <c r="AA197" i="20" s="1"/>
  <c r="AC198" i="20"/>
  <c r="AA198" i="20" s="1"/>
  <c r="AC199" i="20"/>
  <c r="AA199" i="20" s="1"/>
  <c r="AC200" i="20"/>
  <c r="AA200" i="20" s="1"/>
  <c r="AC201" i="20"/>
  <c r="AC202" i="20"/>
  <c r="AA202" i="20" s="1"/>
  <c r="AC203" i="20"/>
  <c r="AA203" i="20" s="1"/>
  <c r="AC204" i="20"/>
  <c r="AA204" i="20" s="1"/>
  <c r="AC205" i="20"/>
  <c r="AA205" i="20" s="1"/>
  <c r="AC206" i="20"/>
  <c r="AA206" i="20" s="1"/>
  <c r="AC207" i="20"/>
  <c r="AA207" i="20" s="1"/>
  <c r="AC208" i="20"/>
  <c r="AA208" i="20" s="1"/>
  <c r="AC209" i="20"/>
  <c r="AA209" i="20" s="1"/>
  <c r="AC210" i="20"/>
  <c r="AA210" i="20" s="1"/>
  <c r="AC211" i="20"/>
  <c r="AA211" i="20" s="1"/>
  <c r="AC212" i="20"/>
  <c r="AC213" i="20"/>
  <c r="AA213" i="20" s="1"/>
  <c r="AC214" i="20"/>
  <c r="AA214" i="20" s="1"/>
  <c r="AC215" i="20"/>
  <c r="AA215" i="20" s="1"/>
  <c r="AC216" i="20"/>
  <c r="AA216" i="20" s="1"/>
  <c r="AC217" i="20"/>
  <c r="AC218" i="20"/>
  <c r="AA218" i="20" s="1"/>
  <c r="AC219" i="20"/>
  <c r="AA219" i="20" s="1"/>
  <c r="AC220" i="20"/>
  <c r="AA220" i="20" s="1"/>
  <c r="AC221" i="20"/>
  <c r="AA221" i="20" s="1"/>
  <c r="AC222" i="20"/>
  <c r="AA222" i="20" s="1"/>
  <c r="AC223" i="20"/>
  <c r="AA223" i="20" s="1"/>
  <c r="AC224" i="20"/>
  <c r="AA224" i="20" s="1"/>
  <c r="AC225" i="20"/>
  <c r="AA225" i="20" s="1"/>
  <c r="AC226" i="20"/>
  <c r="AA226" i="20" s="1"/>
  <c r="AC227" i="20"/>
  <c r="AA227" i="20" s="1"/>
  <c r="AC228" i="20"/>
  <c r="AA228" i="20" s="1"/>
  <c r="AC229" i="20"/>
  <c r="AA229" i="20" s="1"/>
  <c r="AC230" i="20"/>
  <c r="AA230" i="20" s="1"/>
  <c r="AC231" i="20"/>
  <c r="AA231" i="20" s="1"/>
  <c r="AC232" i="20"/>
  <c r="AA232" i="20" s="1"/>
  <c r="AC233" i="20"/>
  <c r="AA233" i="20" s="1"/>
  <c r="AC234" i="20"/>
  <c r="AA234" i="20" s="1"/>
  <c r="AC235" i="20"/>
  <c r="AA235" i="20" s="1"/>
  <c r="AC236" i="20"/>
  <c r="AA236" i="20" s="1"/>
  <c r="AC237" i="20"/>
  <c r="AA237" i="20" s="1"/>
  <c r="AC238" i="20"/>
  <c r="AA238" i="20" s="1"/>
  <c r="AC239" i="20"/>
  <c r="AA239" i="20" s="1"/>
  <c r="AC240" i="20"/>
  <c r="AA240" i="20" s="1"/>
  <c r="AC241" i="20"/>
  <c r="AA241" i="20" s="1"/>
  <c r="AC242" i="20"/>
  <c r="AC243" i="20"/>
  <c r="AC244" i="20"/>
  <c r="AA244" i="20" s="1"/>
  <c r="AC245" i="20"/>
  <c r="AC246" i="20"/>
  <c r="AC247" i="20"/>
  <c r="AA247" i="20" s="1"/>
  <c r="AC248" i="20"/>
  <c r="AA248" i="20" s="1"/>
  <c r="AC249" i="20"/>
  <c r="AA249" i="20" s="1"/>
  <c r="AC250" i="20"/>
  <c r="AA250" i="20" s="1"/>
  <c r="AC251" i="20"/>
  <c r="AA251" i="20" s="1"/>
  <c r="AC252" i="20"/>
  <c r="AA252" i="20" s="1"/>
  <c r="AC253" i="20"/>
  <c r="AA253" i="20" s="1"/>
  <c r="AC254" i="20"/>
  <c r="AA254" i="20" s="1"/>
  <c r="AC255" i="20"/>
  <c r="AA255" i="20" s="1"/>
  <c r="AC256" i="20"/>
  <c r="AA256" i="20" s="1"/>
  <c r="AC257" i="20"/>
  <c r="AA257" i="20" s="1"/>
  <c r="AC258" i="20"/>
  <c r="AA258" i="20" s="1"/>
  <c r="AC259" i="20"/>
  <c r="AA259" i="20" s="1"/>
  <c r="AC260" i="20"/>
  <c r="AC261" i="20"/>
  <c r="AA261" i="20" s="1"/>
  <c r="AC262" i="20"/>
  <c r="AA262" i="20" s="1"/>
  <c r="AC263" i="20"/>
  <c r="AA263" i="20" s="1"/>
  <c r="AC264" i="20"/>
  <c r="AA264" i="20" s="1"/>
  <c r="AC265" i="20"/>
  <c r="AA265" i="20" s="1"/>
  <c r="AC266" i="20"/>
  <c r="AA266" i="20" s="1"/>
  <c r="AC267" i="20"/>
  <c r="AA267" i="20" s="1"/>
  <c r="AC268" i="20"/>
  <c r="AA268" i="20" s="1"/>
  <c r="AC269" i="20"/>
  <c r="AC270" i="20"/>
  <c r="AA270" i="20" s="1"/>
  <c r="AC271" i="20"/>
  <c r="AC272" i="20"/>
  <c r="AA272" i="20" s="1"/>
  <c r="AC273" i="20"/>
  <c r="AA273" i="20" s="1"/>
  <c r="AC274" i="20"/>
  <c r="AA274" i="20" s="1"/>
  <c r="AC275" i="20"/>
  <c r="AA275" i="20" s="1"/>
  <c r="AC276" i="20"/>
  <c r="AA276" i="20" s="1"/>
  <c r="AC277" i="20"/>
  <c r="AA277" i="20" s="1"/>
  <c r="AC278" i="20"/>
  <c r="AA278" i="20" s="1"/>
  <c r="AC279" i="20"/>
  <c r="AA279" i="20" s="1"/>
  <c r="AC280" i="20"/>
  <c r="AA280" i="20" s="1"/>
  <c r="AC281" i="20"/>
  <c r="AA281" i="20" s="1"/>
  <c r="AC282" i="20"/>
  <c r="AA282" i="20" s="1"/>
  <c r="AC283" i="20"/>
  <c r="AA283" i="20" s="1"/>
  <c r="AC284" i="20"/>
  <c r="AA284" i="20" s="1"/>
  <c r="AC285" i="20"/>
  <c r="AA285" i="20" s="1"/>
  <c r="AC286" i="20"/>
  <c r="AA286" i="20" s="1"/>
  <c r="AC287" i="20"/>
  <c r="AC288" i="20"/>
  <c r="AA288" i="20" s="1"/>
  <c r="AC289" i="20"/>
  <c r="AA289" i="20" s="1"/>
  <c r="AC290" i="20"/>
  <c r="AA290" i="20" s="1"/>
  <c r="AC291" i="20"/>
  <c r="AA291" i="20" s="1"/>
  <c r="AC292" i="20"/>
  <c r="AA292" i="20" s="1"/>
  <c r="AC293" i="20"/>
  <c r="AA293" i="20" s="1"/>
  <c r="AC294" i="20"/>
  <c r="AA294" i="20" s="1"/>
  <c r="AC295" i="20"/>
  <c r="AA295" i="20" s="1"/>
  <c r="AC296" i="20"/>
  <c r="AA296" i="20" s="1"/>
  <c r="AC297" i="20"/>
  <c r="AA297" i="20" s="1"/>
  <c r="AC298" i="20"/>
  <c r="AA298" i="20" s="1"/>
  <c r="AC299" i="20"/>
  <c r="AA299" i="20" s="1"/>
  <c r="AC300" i="20"/>
  <c r="AA300" i="20" s="1"/>
  <c r="AC301" i="20"/>
  <c r="AA301" i="20" s="1"/>
  <c r="AC302" i="20"/>
  <c r="AA302" i="20" s="1"/>
  <c r="AC303" i="20"/>
  <c r="AA303" i="20" s="1"/>
  <c r="AC304" i="20"/>
  <c r="AA304" i="20" s="1"/>
  <c r="AC305" i="20"/>
  <c r="AA305" i="20" s="1"/>
  <c r="AC306" i="20"/>
  <c r="AC307" i="20"/>
  <c r="AA307" i="20" s="1"/>
  <c r="AC308" i="20"/>
  <c r="AA308" i="20" s="1"/>
  <c r="AC309" i="20"/>
  <c r="AA309" i="20" s="1"/>
  <c r="AC310" i="20"/>
  <c r="AA310" i="20" s="1"/>
  <c r="AC311" i="20"/>
  <c r="AA311" i="20" s="1"/>
  <c r="AC312" i="20"/>
  <c r="AA312" i="20" s="1"/>
  <c r="AC313" i="20"/>
  <c r="AC314" i="20"/>
  <c r="AA314" i="20" s="1"/>
  <c r="AC315" i="20"/>
  <c r="AC316" i="20"/>
  <c r="AC317" i="20"/>
  <c r="AA317" i="20" s="1"/>
  <c r="AC318" i="20"/>
  <c r="AA318" i="20" s="1"/>
  <c r="AC319" i="20"/>
  <c r="AA319" i="20" s="1"/>
  <c r="AC320" i="20"/>
  <c r="AA320" i="20" s="1"/>
  <c r="AC321" i="20"/>
  <c r="AA321" i="20" s="1"/>
  <c r="AC322" i="20"/>
  <c r="AA322" i="20" s="1"/>
  <c r="AC323" i="20"/>
  <c r="AA323" i="20" s="1"/>
  <c r="AC324" i="20"/>
  <c r="AA324" i="20" s="1"/>
  <c r="AC325" i="20"/>
  <c r="AA325" i="20" s="1"/>
  <c r="AC326" i="20"/>
  <c r="AA326" i="20" s="1"/>
  <c r="AC327" i="20"/>
  <c r="AA327" i="20" s="1"/>
  <c r="AC328" i="20"/>
  <c r="AA328" i="20" s="1"/>
  <c r="AC329" i="20"/>
  <c r="AA329" i="20" s="1"/>
  <c r="AC330" i="20"/>
  <c r="AC331" i="20"/>
  <c r="AA331" i="20" s="1"/>
  <c r="AC332" i="20"/>
  <c r="AA332" i="20" s="1"/>
  <c r="AC333" i="20"/>
  <c r="AA333" i="20" s="1"/>
  <c r="AC334" i="20"/>
  <c r="AA334" i="20" s="1"/>
  <c r="AC335" i="20"/>
  <c r="AA335" i="20" s="1"/>
  <c r="AC336" i="20"/>
  <c r="AA336" i="20" s="1"/>
  <c r="AC337" i="20"/>
  <c r="AA337" i="20" s="1"/>
  <c r="AC338" i="20"/>
  <c r="AA338" i="20" s="1"/>
  <c r="AC339" i="20"/>
  <c r="AA339" i="20" s="1"/>
  <c r="AC340" i="20"/>
  <c r="AA340" i="20" s="1"/>
  <c r="AC341" i="20"/>
  <c r="AA341" i="20" s="1"/>
  <c r="AC342" i="20"/>
  <c r="AA342" i="20" s="1"/>
  <c r="AC343" i="20"/>
  <c r="AC344" i="20"/>
  <c r="AA344" i="20" s="1"/>
  <c r="AC345" i="20"/>
  <c r="AC346" i="20"/>
  <c r="AA346" i="20" s="1"/>
  <c r="AC347" i="20"/>
  <c r="AA347" i="20" s="1"/>
  <c r="AC348" i="20"/>
  <c r="AC349" i="20"/>
  <c r="AA349" i="20" s="1"/>
  <c r="AC350" i="20"/>
  <c r="AA350" i="20" s="1"/>
  <c r="AC351" i="20"/>
  <c r="AA351" i="20" s="1"/>
  <c r="AC352" i="20"/>
  <c r="AA352" i="20" s="1"/>
  <c r="AC353" i="20"/>
  <c r="AA353" i="20" s="1"/>
  <c r="AC354" i="20"/>
  <c r="AA354" i="20" s="1"/>
  <c r="AC355" i="20"/>
  <c r="AA355" i="20" s="1"/>
  <c r="AC356" i="20"/>
  <c r="AA356" i="20" s="1"/>
  <c r="AC357" i="20"/>
  <c r="AA357" i="20" s="1"/>
  <c r="AC358" i="20"/>
  <c r="AC359" i="20"/>
  <c r="AA359" i="20" s="1"/>
  <c r="AC360" i="20"/>
  <c r="AA360" i="20" s="1"/>
  <c r="AC361" i="20"/>
  <c r="AA361" i="20" s="1"/>
  <c r="AC362" i="20"/>
  <c r="AA362" i="20" s="1"/>
  <c r="AC363" i="20"/>
  <c r="AA363" i="20" s="1"/>
  <c r="AC364" i="20"/>
  <c r="AA364" i="20" s="1"/>
  <c r="AC365" i="20"/>
  <c r="AA365" i="20" s="1"/>
  <c r="AC366" i="20"/>
  <c r="AA366" i="20" s="1"/>
  <c r="AC367" i="20"/>
  <c r="AA367" i="20" s="1"/>
  <c r="AC368" i="20"/>
  <c r="AA368" i="20" s="1"/>
  <c r="AC369" i="20"/>
  <c r="AA369" i="20" s="1"/>
  <c r="AC370" i="20"/>
  <c r="AA370" i="20" s="1"/>
  <c r="AC371" i="20"/>
  <c r="AA371" i="20" s="1"/>
  <c r="AC372" i="20"/>
  <c r="AA372" i="20" s="1"/>
  <c r="AC373" i="20"/>
  <c r="AA373" i="20" s="1"/>
  <c r="AC374" i="20"/>
  <c r="AA374" i="20" s="1"/>
  <c r="AC375" i="20"/>
  <c r="AA375" i="20" s="1"/>
  <c r="AC376" i="20"/>
  <c r="AC377" i="20"/>
  <c r="AA377" i="20" s="1"/>
  <c r="AC378" i="20"/>
  <c r="AA378" i="20" s="1"/>
  <c r="AC379" i="20"/>
  <c r="AA379" i="20" s="1"/>
  <c r="AC380" i="20"/>
  <c r="AA380" i="20" s="1"/>
  <c r="AC381" i="20"/>
  <c r="AA381" i="20" s="1"/>
  <c r="AC382" i="20"/>
  <c r="AA382" i="20" s="1"/>
  <c r="AC383" i="20"/>
  <c r="AA383" i="20" s="1"/>
  <c r="AC384" i="20"/>
  <c r="AA384" i="20" s="1"/>
  <c r="AC385" i="20"/>
  <c r="AA385" i="20" s="1"/>
  <c r="AC386" i="20"/>
  <c r="AA386" i="20" s="1"/>
  <c r="AC387" i="20"/>
  <c r="AA387" i="20" s="1"/>
  <c r="AC388" i="20"/>
  <c r="AA388" i="20" s="1"/>
  <c r="AC389" i="20"/>
  <c r="AA389" i="20" s="1"/>
  <c r="AC390" i="20"/>
  <c r="AC391" i="20"/>
  <c r="AA391" i="20" s="1"/>
  <c r="AC392" i="20"/>
  <c r="AA392" i="20" s="1"/>
  <c r="AC393" i="20"/>
  <c r="AA393" i="20" s="1"/>
  <c r="AC394" i="20"/>
  <c r="AA394" i="20" s="1"/>
  <c r="AC395" i="20"/>
  <c r="AA395" i="20" s="1"/>
  <c r="AC396" i="20"/>
  <c r="AA396" i="20" s="1"/>
  <c r="AC397" i="20"/>
  <c r="AA397" i="20" s="1"/>
  <c r="AC398" i="20"/>
  <c r="AA398" i="20" s="1"/>
  <c r="AC399" i="20"/>
  <c r="AC400" i="20"/>
  <c r="AA400" i="20" s="1"/>
  <c r="AC401" i="20"/>
  <c r="AA401" i="20" s="1"/>
  <c r="AC402" i="20"/>
  <c r="AA402" i="20" s="1"/>
  <c r="AC403" i="20"/>
  <c r="AA403" i="20" s="1"/>
  <c r="AC404" i="20"/>
  <c r="AA404" i="20" s="1"/>
  <c r="AC405" i="20"/>
  <c r="AA405" i="20" s="1"/>
  <c r="AC406" i="20"/>
  <c r="AA406" i="20" s="1"/>
  <c r="AC407" i="20"/>
  <c r="AA407" i="20" s="1"/>
  <c r="AC408" i="20"/>
  <c r="AA408" i="20" s="1"/>
  <c r="AC409" i="20"/>
  <c r="AA409" i="20" s="1"/>
  <c r="AC410" i="20"/>
  <c r="AA410" i="20" s="1"/>
  <c r="AC411" i="20"/>
  <c r="AA411" i="20" s="1"/>
  <c r="AC412" i="20"/>
  <c r="AA412" i="20" s="1"/>
  <c r="AC413" i="20"/>
  <c r="AA413" i="20" s="1"/>
  <c r="AC414" i="20"/>
  <c r="AC415" i="20"/>
  <c r="AA415" i="20" s="1"/>
  <c r="AC416" i="20"/>
  <c r="AA416" i="20" s="1"/>
  <c r="AC417" i="20"/>
  <c r="AA417" i="20" s="1"/>
  <c r="AC418" i="20"/>
  <c r="AA418" i="20" s="1"/>
  <c r="AC419" i="20"/>
  <c r="AA419" i="20" s="1"/>
  <c r="AC420" i="20"/>
  <c r="AA420" i="20" s="1"/>
  <c r="AC421" i="20"/>
  <c r="AA421" i="20" s="1"/>
  <c r="AC422" i="20"/>
  <c r="AA422" i="20" s="1"/>
  <c r="AC423" i="20"/>
  <c r="AA423" i="20" s="1"/>
  <c r="AC424" i="20"/>
  <c r="AA424" i="20" s="1"/>
  <c r="AC425" i="20"/>
  <c r="AC426" i="20"/>
  <c r="AA426" i="20" s="1"/>
  <c r="AC427" i="20"/>
  <c r="AC428" i="20"/>
  <c r="AA428" i="20" s="1"/>
  <c r="AC429" i="20"/>
  <c r="AA429" i="20" s="1"/>
  <c r="AC430" i="20"/>
  <c r="AA430" i="20" s="1"/>
  <c r="AC431" i="20"/>
  <c r="AA431" i="20" s="1"/>
  <c r="AC432" i="20"/>
  <c r="AA432" i="20" s="1"/>
  <c r="AC433" i="20"/>
  <c r="AA433" i="20" s="1"/>
  <c r="AC434" i="20"/>
  <c r="AA434" i="20" s="1"/>
  <c r="AC435" i="20"/>
  <c r="AA435" i="20" s="1"/>
  <c r="AC436" i="20"/>
  <c r="AA436" i="20" s="1"/>
  <c r="AC437" i="20"/>
  <c r="AA437" i="20" s="1"/>
  <c r="AC438" i="20"/>
  <c r="AA438" i="20" s="1"/>
  <c r="AC439" i="20"/>
  <c r="AA439" i="20" s="1"/>
  <c r="AC440" i="20"/>
  <c r="AA440" i="20" s="1"/>
  <c r="AC441" i="20"/>
  <c r="AA441" i="20" s="1"/>
  <c r="AC442" i="20"/>
  <c r="AA442" i="20" s="1"/>
  <c r="AC443" i="20"/>
  <c r="AA443" i="20" s="1"/>
  <c r="AC444" i="20"/>
  <c r="AA444" i="20" s="1"/>
  <c r="AC445" i="20"/>
  <c r="AA445" i="20" s="1"/>
  <c r="AC446" i="20"/>
  <c r="AA446" i="20" s="1"/>
  <c r="AC447" i="20"/>
  <c r="AA447" i="20" s="1"/>
  <c r="AC448" i="20"/>
  <c r="AA448" i="20" s="1"/>
  <c r="AC449" i="20"/>
  <c r="AA449" i="20" s="1"/>
  <c r="AC450" i="20"/>
  <c r="AA450" i="20" s="1"/>
  <c r="AC451" i="20"/>
  <c r="AA451" i="20" s="1"/>
  <c r="AC452" i="20"/>
  <c r="AA452" i="20" s="1"/>
  <c r="AC453" i="20"/>
  <c r="AA453" i="20" s="1"/>
  <c r="AC454" i="20"/>
  <c r="AA454" i="20" s="1"/>
  <c r="AC455" i="20"/>
  <c r="AC456" i="20"/>
  <c r="AA456" i="20" s="1"/>
  <c r="AC457" i="20"/>
  <c r="AA457" i="20" s="1"/>
  <c r="AC458" i="20"/>
  <c r="AA458" i="20" s="1"/>
  <c r="AC459" i="20"/>
  <c r="AA459" i="20" s="1"/>
  <c r="AC460" i="20"/>
  <c r="AC461" i="20"/>
  <c r="AA461" i="20" s="1"/>
  <c r="AC462" i="20"/>
  <c r="AA462" i="20" s="1"/>
  <c r="AC463" i="20"/>
  <c r="AA463" i="20" s="1"/>
  <c r="AC464" i="20"/>
  <c r="AA464" i="20" s="1"/>
  <c r="AC465" i="20"/>
  <c r="AC466" i="20"/>
  <c r="AA466" i="20" s="1"/>
  <c r="AC467" i="20"/>
  <c r="AA467" i="20" s="1"/>
  <c r="AC468" i="20"/>
  <c r="AA468" i="20" s="1"/>
  <c r="AC469" i="20"/>
  <c r="AA469" i="20" s="1"/>
  <c r="AC470" i="20"/>
  <c r="AA470" i="20" s="1"/>
  <c r="AC471" i="20"/>
  <c r="AA471" i="20" s="1"/>
  <c r="AC472" i="20"/>
  <c r="AA472" i="20" s="1"/>
  <c r="AC473" i="20"/>
  <c r="AA473" i="20" s="1"/>
  <c r="AC474" i="20"/>
  <c r="AA474" i="20" s="1"/>
  <c r="AC475" i="20"/>
  <c r="AA475" i="20" s="1"/>
  <c r="AC476" i="20"/>
  <c r="AA476" i="20" s="1"/>
  <c r="AC477" i="20"/>
  <c r="AA477" i="20" s="1"/>
  <c r="AC478" i="20"/>
  <c r="AA478" i="20" s="1"/>
  <c r="AC479" i="20"/>
  <c r="AC480" i="20"/>
  <c r="AA480" i="20" s="1"/>
  <c r="AC481" i="20"/>
  <c r="AC482" i="20"/>
  <c r="AA482" i="20" s="1"/>
  <c r="AC483" i="20"/>
  <c r="AA483" i="20" s="1"/>
  <c r="AC484" i="20"/>
  <c r="AA484" i="20" s="1"/>
  <c r="AC485" i="20"/>
  <c r="AA485" i="20" s="1"/>
  <c r="AC486" i="20"/>
  <c r="AA486" i="20" s="1"/>
  <c r="AC487" i="20"/>
  <c r="AA487" i="20" s="1"/>
  <c r="AC488" i="20"/>
  <c r="AA488" i="20" s="1"/>
  <c r="AC489" i="20"/>
  <c r="AA489" i="20" s="1"/>
  <c r="AC490" i="20"/>
  <c r="AC491" i="20"/>
  <c r="AA491" i="20" s="1"/>
  <c r="AC492" i="20"/>
  <c r="AA492" i="20" s="1"/>
  <c r="AC493" i="20"/>
  <c r="AA493" i="20" s="1"/>
  <c r="AC494" i="20"/>
  <c r="AA494" i="20" s="1"/>
  <c r="AC495" i="20"/>
  <c r="AA495" i="20" s="1"/>
  <c r="AC496" i="20"/>
  <c r="AA496" i="20" s="1"/>
  <c r="AC497" i="20"/>
  <c r="AC498" i="20"/>
  <c r="AA498" i="20" s="1"/>
  <c r="AC499" i="20"/>
  <c r="AA499" i="20" s="1"/>
  <c r="AC500" i="20"/>
  <c r="AA500" i="20" s="1"/>
  <c r="AC501" i="20"/>
  <c r="AA501" i="20" s="1"/>
  <c r="AC502" i="20"/>
  <c r="AA502" i="20" s="1"/>
  <c r="AC503" i="20"/>
  <c r="AA503" i="20" s="1"/>
  <c r="AC504" i="20"/>
  <c r="AA504" i="20" s="1"/>
  <c r="AC505" i="20"/>
  <c r="AA505" i="20" s="1"/>
  <c r="AC506" i="20"/>
  <c r="AA506" i="20" s="1"/>
  <c r="AC507" i="20"/>
  <c r="AA507" i="20" s="1"/>
  <c r="AC508" i="20"/>
  <c r="AA508" i="20" s="1"/>
  <c r="AC509" i="20"/>
  <c r="AA509" i="20" s="1"/>
  <c r="AC510" i="20"/>
  <c r="AA510" i="20" s="1"/>
  <c r="AC511" i="20"/>
  <c r="AC512" i="20"/>
  <c r="AA512" i="20" s="1"/>
  <c r="AC513" i="20"/>
  <c r="AA513" i="20" s="1"/>
  <c r="AC514" i="20"/>
  <c r="AA514" i="20" s="1"/>
  <c r="AC515" i="20"/>
  <c r="AA515" i="20" s="1"/>
  <c r="AC516" i="20"/>
  <c r="AA516" i="20" s="1"/>
  <c r="AC517" i="20"/>
  <c r="AA517" i="20" s="1"/>
  <c r="AC518" i="20"/>
  <c r="AC519" i="20"/>
  <c r="AA519" i="20" s="1"/>
  <c r="AC520" i="20"/>
  <c r="AA520" i="20" s="1"/>
  <c r="AC521" i="20"/>
  <c r="AA521" i="20" s="1"/>
  <c r="AC522" i="20"/>
  <c r="AA522" i="20" s="1"/>
  <c r="AC523" i="20"/>
  <c r="AA523" i="20" s="1"/>
  <c r="AC524" i="20"/>
  <c r="AA524" i="20" s="1"/>
  <c r="AC525" i="20"/>
  <c r="AA525" i="20" s="1"/>
  <c r="AC526" i="20"/>
  <c r="AA526" i="20" s="1"/>
  <c r="AC527" i="20"/>
  <c r="AA527" i="20" s="1"/>
  <c r="AC528" i="20"/>
  <c r="AA528" i="20" s="1"/>
  <c r="AC529" i="20"/>
  <c r="AA529" i="20" s="1"/>
  <c r="AC530" i="20"/>
  <c r="AC531" i="20"/>
  <c r="AA531" i="20" s="1"/>
  <c r="AC532" i="20"/>
  <c r="AA532" i="20" s="1"/>
  <c r="AC533" i="20"/>
  <c r="AA533" i="20" s="1"/>
  <c r="AC534" i="20"/>
  <c r="AA534" i="20" s="1"/>
  <c r="AC535" i="20"/>
  <c r="AC536" i="20"/>
  <c r="AA536" i="20" s="1"/>
  <c r="AC537" i="20"/>
  <c r="AA537" i="20" s="1"/>
  <c r="AC538" i="20"/>
  <c r="AA538" i="20" s="1"/>
  <c r="AC539" i="20"/>
  <c r="AA539" i="20" s="1"/>
  <c r="AC540" i="20"/>
  <c r="AA540" i="20" s="1"/>
  <c r="AC541" i="20"/>
  <c r="AA541" i="20" s="1"/>
  <c r="AC542" i="20"/>
  <c r="AA542" i="20" s="1"/>
  <c r="AC543" i="20"/>
  <c r="AA543" i="20" s="1"/>
  <c r="AC544" i="20"/>
  <c r="AC545" i="20"/>
  <c r="AA545" i="20" s="1"/>
  <c r="AC546" i="20"/>
  <c r="AA546" i="20" s="1"/>
  <c r="AC547" i="20"/>
  <c r="AC548" i="20"/>
  <c r="AC549" i="20"/>
  <c r="AA549" i="20" s="1"/>
  <c r="AC550" i="20"/>
  <c r="AA550" i="20" s="1"/>
  <c r="AC551" i="20"/>
  <c r="AA551" i="20" s="1"/>
  <c r="AC552" i="20"/>
  <c r="AA552" i="20" s="1"/>
  <c r="AC553" i="20"/>
  <c r="AA553" i="20" s="1"/>
  <c r="AC554" i="20"/>
  <c r="AC555" i="20"/>
  <c r="AA555" i="20" s="1"/>
  <c r="AC556" i="20"/>
  <c r="AA556" i="20" s="1"/>
  <c r="AC557" i="20"/>
  <c r="AA557" i="20" s="1"/>
  <c r="AC558" i="20"/>
  <c r="AA558" i="20" s="1"/>
  <c r="AC559" i="20"/>
  <c r="AA559" i="20" s="1"/>
  <c r="AC560" i="20"/>
  <c r="AA560" i="20" s="1"/>
  <c r="AC561" i="20"/>
  <c r="AA561" i="20" s="1"/>
  <c r="AC562" i="20"/>
  <c r="AA562" i="20" s="1"/>
  <c r="AC563" i="20"/>
  <c r="AA563" i="20" s="1"/>
  <c r="AC564" i="20"/>
  <c r="AA564" i="20" s="1"/>
  <c r="AC565" i="20"/>
  <c r="AA565" i="20" s="1"/>
  <c r="AC566" i="20"/>
  <c r="AA566" i="20" s="1"/>
  <c r="AC567" i="20"/>
  <c r="AA567" i="20" s="1"/>
  <c r="AC568" i="20"/>
  <c r="AA568" i="20" s="1"/>
  <c r="AC569" i="20"/>
  <c r="AA569" i="20" s="1"/>
  <c r="AC570" i="20"/>
  <c r="AA570" i="20" s="1"/>
  <c r="AC571" i="20"/>
  <c r="AA571" i="20" s="1"/>
  <c r="AC572" i="20"/>
  <c r="AA572" i="20" s="1"/>
  <c r="AC573" i="20"/>
  <c r="AA573" i="20" s="1"/>
  <c r="AC574" i="20"/>
  <c r="AA574" i="20" s="1"/>
  <c r="AC575" i="20"/>
  <c r="AA575" i="20" s="1"/>
  <c r="AC576" i="20"/>
  <c r="AA576" i="20" s="1"/>
  <c r="AC577" i="20"/>
  <c r="AC578" i="20"/>
  <c r="AA578" i="20" s="1"/>
  <c r="AC579" i="20"/>
  <c r="AC580" i="20"/>
  <c r="AA580" i="20" s="1"/>
  <c r="AC581" i="20"/>
  <c r="AA581" i="20" s="1"/>
  <c r="AC582" i="20"/>
  <c r="AA582" i="20" s="1"/>
  <c r="AC583" i="20"/>
  <c r="AA583" i="20" s="1"/>
  <c r="AC584" i="20"/>
  <c r="AA584" i="20" s="1"/>
  <c r="AC585" i="20"/>
  <c r="AC586" i="20"/>
  <c r="AA586" i="20" s="1"/>
  <c r="AC587" i="20"/>
  <c r="AA587" i="20" s="1"/>
  <c r="AC588" i="20"/>
  <c r="AA588" i="20" s="1"/>
  <c r="AC589" i="20"/>
  <c r="AA589" i="20" s="1"/>
  <c r="AC590" i="20"/>
  <c r="AA590" i="20" s="1"/>
  <c r="AC591" i="20"/>
  <c r="AA591" i="20" s="1"/>
  <c r="AC592" i="20"/>
  <c r="AA592" i="20" s="1"/>
  <c r="AC593" i="20"/>
  <c r="AC594" i="20"/>
  <c r="AA594" i="20" s="1"/>
  <c r="AC595" i="20"/>
  <c r="AA595" i="20" s="1"/>
  <c r="AC596" i="20"/>
  <c r="AA596" i="20" s="1"/>
  <c r="AC597" i="20"/>
  <c r="AA597" i="20" s="1"/>
  <c r="AC598" i="20"/>
  <c r="AA598" i="20" s="1"/>
  <c r="AC599" i="20"/>
  <c r="AA599" i="20" s="1"/>
  <c r="AC600" i="20"/>
  <c r="AA600" i="20" s="1"/>
  <c r="AC601" i="20"/>
  <c r="AA601" i="20" s="1"/>
  <c r="AC602" i="20"/>
  <c r="AA602" i="20" s="1"/>
  <c r="AC603" i="20"/>
  <c r="AA603" i="20" s="1"/>
  <c r="AC604" i="20"/>
  <c r="AA604" i="20" s="1"/>
  <c r="AC605" i="20"/>
  <c r="AA605" i="20" s="1"/>
  <c r="AC606" i="20"/>
  <c r="AA606" i="20" s="1"/>
  <c r="AC607" i="20"/>
  <c r="AA607" i="20" s="1"/>
  <c r="AC608" i="20"/>
  <c r="AA608" i="20" s="1"/>
  <c r="AC609" i="20"/>
  <c r="AA609" i="20" s="1"/>
  <c r="AC610" i="20"/>
  <c r="AA610" i="20" s="1"/>
  <c r="AC611" i="20"/>
  <c r="AA611" i="20" s="1"/>
  <c r="AC612" i="20"/>
  <c r="AA612" i="20" s="1"/>
  <c r="AC613" i="20"/>
  <c r="AA613" i="20" s="1"/>
  <c r="AC614" i="20"/>
  <c r="AA614" i="20" s="1"/>
  <c r="AC615" i="20"/>
  <c r="AA615" i="20" s="1"/>
  <c r="AC616" i="20"/>
  <c r="AA616" i="20" s="1"/>
  <c r="AC617" i="20"/>
  <c r="AA617" i="20" s="1"/>
  <c r="AC618" i="20"/>
  <c r="AA618" i="20" s="1"/>
  <c r="AC619" i="20"/>
  <c r="AC620" i="20"/>
  <c r="AA620" i="20" s="1"/>
  <c r="AC621" i="20"/>
  <c r="AC622" i="20"/>
  <c r="AA622" i="20" s="1"/>
  <c r="AC623" i="20"/>
  <c r="AA623" i="20" s="1"/>
  <c r="AC624" i="20"/>
  <c r="AA624" i="20" s="1"/>
  <c r="AC625" i="20"/>
  <c r="AA625" i="20" s="1"/>
  <c r="AC626" i="20"/>
  <c r="AA626" i="20" s="1"/>
  <c r="AC627" i="20"/>
  <c r="AA627" i="20" s="1"/>
  <c r="AC628" i="20"/>
  <c r="AA628" i="20" s="1"/>
  <c r="AC629" i="20"/>
  <c r="AA629" i="20" s="1"/>
  <c r="AC630" i="20"/>
  <c r="AA630" i="20" s="1"/>
  <c r="AC631" i="20"/>
  <c r="AA631" i="20" s="1"/>
  <c r="AC632" i="20"/>
  <c r="AA632" i="20" s="1"/>
  <c r="AC633" i="20"/>
  <c r="AC634" i="20"/>
  <c r="AA634" i="20" s="1"/>
  <c r="AC635" i="20"/>
  <c r="AA635" i="20" s="1"/>
  <c r="AC636" i="20"/>
  <c r="AA636" i="20" s="1"/>
  <c r="AC637" i="20"/>
  <c r="AA637" i="20" s="1"/>
  <c r="AC638" i="20"/>
  <c r="AC639" i="20"/>
  <c r="AA639" i="20" s="1"/>
  <c r="AC640" i="20"/>
  <c r="AA640" i="20" s="1"/>
  <c r="AC641" i="20"/>
  <c r="AA641" i="20" s="1"/>
  <c r="AC642" i="20"/>
  <c r="AA642" i="20" s="1"/>
  <c r="AC643" i="20"/>
  <c r="AA643" i="20" s="1"/>
  <c r="AC644" i="20"/>
  <c r="AA644" i="20" s="1"/>
  <c r="AC645" i="20"/>
  <c r="AA645" i="20" s="1"/>
  <c r="AC646" i="20"/>
  <c r="AA646" i="20" s="1"/>
  <c r="AC647" i="20"/>
  <c r="AC648" i="20"/>
  <c r="AA648" i="20" s="1"/>
  <c r="AC649" i="20"/>
  <c r="AA649" i="20" s="1"/>
  <c r="AC650" i="20"/>
  <c r="AA650" i="20" s="1"/>
  <c r="AC651" i="20"/>
  <c r="AC652" i="20"/>
  <c r="AA652" i="20" s="1"/>
  <c r="AC653" i="20"/>
  <c r="AA653" i="20" s="1"/>
  <c r="AC654" i="20"/>
  <c r="AA654" i="20" s="1"/>
  <c r="AC655" i="20"/>
  <c r="AA655" i="20" s="1"/>
  <c r="AC656" i="20"/>
  <c r="AA656" i="20" s="1"/>
  <c r="AC657" i="20"/>
  <c r="AA657" i="20" s="1"/>
  <c r="AC658" i="20"/>
  <c r="AA658" i="20" s="1"/>
  <c r="AC659" i="20"/>
  <c r="AA659" i="20" s="1"/>
  <c r="AC660" i="20"/>
  <c r="AA660" i="20" s="1"/>
  <c r="AC661" i="20"/>
  <c r="AA661" i="20" s="1"/>
  <c r="AC662" i="20"/>
  <c r="AA662" i="20" s="1"/>
  <c r="AC663" i="20"/>
  <c r="AA663" i="20" s="1"/>
  <c r="AC664" i="20"/>
  <c r="AA664" i="20" s="1"/>
  <c r="AC665" i="20"/>
  <c r="AC666" i="20"/>
  <c r="AA666" i="20" s="1"/>
  <c r="AC667" i="20"/>
  <c r="AA667" i="20" s="1"/>
  <c r="AC668" i="20"/>
  <c r="AA668" i="20" s="1"/>
  <c r="AC669" i="20"/>
  <c r="AA669" i="20" s="1"/>
  <c r="AC670" i="20"/>
  <c r="AC671" i="20"/>
  <c r="AA671" i="20" s="1"/>
  <c r="AC672" i="20"/>
  <c r="AA672" i="20" s="1"/>
  <c r="AC673" i="20"/>
  <c r="AA673" i="20" s="1"/>
  <c r="AC674" i="20"/>
  <c r="AA674" i="20" s="1"/>
  <c r="AC675" i="20"/>
  <c r="AC676" i="20"/>
  <c r="AA676" i="20" s="1"/>
  <c r="AC677" i="20"/>
  <c r="AA677" i="20" s="1"/>
  <c r="AC678" i="20"/>
  <c r="AA678" i="20" s="1"/>
  <c r="AC679" i="20"/>
  <c r="AC680" i="20"/>
  <c r="AA680" i="20" s="1"/>
  <c r="AC681" i="20"/>
  <c r="AA681" i="20" s="1"/>
  <c r="AC682" i="20"/>
  <c r="AA682" i="20" s="1"/>
  <c r="AC683" i="20"/>
  <c r="AA683" i="20" s="1"/>
  <c r="AC684" i="20"/>
  <c r="AA684" i="20" s="1"/>
  <c r="AC685" i="20"/>
  <c r="AA685" i="20" s="1"/>
  <c r="AC686" i="20"/>
  <c r="AA686" i="20" s="1"/>
  <c r="AC687" i="20"/>
  <c r="AA687" i="20" s="1"/>
  <c r="AC688" i="20"/>
  <c r="AA688" i="20" s="1"/>
  <c r="AC689" i="20"/>
  <c r="AA689" i="20" s="1"/>
  <c r="AC690" i="20"/>
  <c r="AA690" i="20" s="1"/>
  <c r="AC691" i="20"/>
  <c r="AA691" i="20" s="1"/>
  <c r="AC692" i="20"/>
  <c r="AA692" i="20" s="1"/>
  <c r="AC693" i="20"/>
  <c r="AC694" i="20"/>
  <c r="AC695" i="20"/>
  <c r="AA695" i="20" s="1"/>
  <c r="AC696" i="20"/>
  <c r="AA696" i="20" s="1"/>
  <c r="AC697" i="20"/>
  <c r="AC698" i="20"/>
  <c r="AA698" i="20" s="1"/>
  <c r="AC699" i="20"/>
  <c r="AA699" i="20" s="1"/>
  <c r="AC700" i="20"/>
  <c r="AC701" i="20"/>
  <c r="AA701" i="20" s="1"/>
  <c r="AC702" i="20"/>
  <c r="AA702" i="20" s="1"/>
  <c r="AC703" i="20"/>
  <c r="AA703" i="20" s="1"/>
  <c r="AC704" i="20"/>
  <c r="AA704" i="20" s="1"/>
  <c r="AC705" i="20"/>
  <c r="AA705" i="20" s="1"/>
  <c r="AC706" i="20"/>
  <c r="AA706" i="20" s="1"/>
  <c r="AC707" i="20"/>
  <c r="AA707" i="20" s="1"/>
  <c r="AC708" i="20"/>
  <c r="AA708" i="20" s="1"/>
  <c r="AC709" i="20"/>
  <c r="AA709" i="20" s="1"/>
  <c r="AC710" i="20"/>
  <c r="AA710" i="20" s="1"/>
  <c r="AC711" i="20"/>
  <c r="AA711" i="20" s="1"/>
  <c r="AC712" i="20"/>
  <c r="AC713" i="20"/>
  <c r="AA713" i="20" s="1"/>
  <c r="AC714" i="20"/>
  <c r="AA714" i="20" s="1"/>
  <c r="AC715" i="20"/>
  <c r="AA715" i="20" s="1"/>
  <c r="AC716" i="20"/>
  <c r="AA716" i="20" s="1"/>
  <c r="AC717" i="20"/>
  <c r="AA717" i="20" s="1"/>
  <c r="AC718" i="20"/>
  <c r="AA718" i="20" s="1"/>
  <c r="AC719" i="20"/>
  <c r="AA719" i="20" s="1"/>
  <c r="AC720" i="20"/>
  <c r="AA720" i="20" s="1"/>
  <c r="AC721" i="20"/>
  <c r="AA721" i="20" s="1"/>
  <c r="AC722" i="20"/>
  <c r="AA722" i="20" s="1"/>
  <c r="AC723" i="20"/>
  <c r="AA723" i="20" s="1"/>
  <c r="AC724" i="20"/>
  <c r="AA724" i="20" s="1"/>
  <c r="AC725" i="20"/>
  <c r="AA725" i="20" s="1"/>
  <c r="AC726" i="20"/>
  <c r="AC727" i="20"/>
  <c r="AA727" i="20" s="1"/>
  <c r="AC728" i="20"/>
  <c r="AA728" i="20" s="1"/>
  <c r="AC729" i="20"/>
  <c r="AA729" i="20" s="1"/>
  <c r="AC730" i="20"/>
  <c r="AA730" i="20" s="1"/>
  <c r="AC731" i="20"/>
  <c r="AA731" i="20" s="1"/>
  <c r="AC732" i="20"/>
  <c r="AA732" i="20" s="1"/>
  <c r="AC733" i="20"/>
  <c r="AA733" i="20" s="1"/>
  <c r="AC734" i="20"/>
  <c r="AA734" i="20" s="1"/>
  <c r="AC735" i="20"/>
  <c r="AA735" i="20" s="1"/>
  <c r="AC736" i="20"/>
  <c r="AA736" i="20" s="1"/>
  <c r="AC737" i="20"/>
  <c r="AC738" i="20"/>
  <c r="AA738" i="20" s="1"/>
  <c r="AC739" i="20"/>
  <c r="AA739" i="20" s="1"/>
  <c r="AC740" i="20"/>
  <c r="AC741" i="20"/>
  <c r="AA741" i="20" s="1"/>
  <c r="AC742" i="20"/>
  <c r="AA742" i="20" s="1"/>
  <c r="AC743" i="20"/>
  <c r="AA743" i="20" s="1"/>
  <c r="AC744" i="20"/>
  <c r="AA744" i="20" s="1"/>
  <c r="AC745" i="20"/>
  <c r="AA745" i="20" s="1"/>
  <c r="AC746" i="20"/>
  <c r="AA746" i="20" s="1"/>
  <c r="AC747" i="20"/>
  <c r="AA747" i="20" s="1"/>
  <c r="AC748" i="20"/>
  <c r="AA748" i="20" s="1"/>
  <c r="AC749" i="20"/>
  <c r="AA749" i="20" s="1"/>
  <c r="AC750" i="20"/>
  <c r="AA750" i="20" s="1"/>
  <c r="AC751" i="20"/>
  <c r="AA751" i="20" s="1"/>
  <c r="AC752" i="20"/>
  <c r="AA752" i="20" s="1"/>
  <c r="AC753" i="20"/>
  <c r="AA753" i="20" s="1"/>
  <c r="AC754" i="20"/>
  <c r="AC755" i="20"/>
  <c r="AA755" i="20" s="1"/>
  <c r="AC756" i="20"/>
  <c r="AA756" i="20" s="1"/>
  <c r="AC757" i="20"/>
  <c r="AA757" i="20" s="1"/>
  <c r="AC758" i="20"/>
  <c r="AA758" i="20" s="1"/>
  <c r="AC759" i="20"/>
  <c r="AA759" i="20" s="1"/>
  <c r="AC760" i="20"/>
  <c r="AA760" i="20" s="1"/>
  <c r="AC761" i="20"/>
  <c r="AA761" i="20" s="1"/>
  <c r="AC762" i="20"/>
  <c r="AA762" i="20" s="1"/>
  <c r="AC763" i="20"/>
  <c r="AC764" i="20"/>
  <c r="AA764" i="20" s="1"/>
  <c r="AC765" i="20"/>
  <c r="AC766" i="20"/>
  <c r="AA766" i="20" s="1"/>
  <c r="AC767" i="20"/>
  <c r="AA767" i="20" s="1"/>
  <c r="AC768" i="20"/>
  <c r="AC769" i="20"/>
  <c r="AA769" i="20" s="1"/>
  <c r="AC770" i="20"/>
  <c r="AC771" i="20"/>
  <c r="AA771" i="20" s="1"/>
  <c r="AC772" i="20"/>
  <c r="AA772" i="20" s="1"/>
  <c r="AC773" i="20"/>
  <c r="AA773" i="20" s="1"/>
  <c r="AC774" i="20"/>
  <c r="AA774" i="20" s="1"/>
  <c r="AC775" i="20"/>
  <c r="AA775" i="20" s="1"/>
  <c r="AC776" i="20"/>
  <c r="AA776" i="20" s="1"/>
  <c r="AC777" i="20"/>
  <c r="AA777" i="20" s="1"/>
  <c r="AC778" i="20"/>
  <c r="AA778" i="20" s="1"/>
  <c r="AC779" i="20"/>
  <c r="AA779" i="20" s="1"/>
  <c r="AC780" i="20"/>
  <c r="AA780" i="20" s="1"/>
  <c r="AC781" i="20"/>
  <c r="AA781" i="20" s="1"/>
  <c r="AC782" i="20"/>
  <c r="AC783" i="20"/>
  <c r="AA783" i="20" s="1"/>
  <c r="AC784" i="20"/>
  <c r="AA784" i="20" s="1"/>
  <c r="AC785" i="20"/>
  <c r="AA785" i="20" s="1"/>
  <c r="AC786" i="20"/>
  <c r="AA786" i="20" s="1"/>
  <c r="AC787" i="20"/>
  <c r="AC788" i="20"/>
  <c r="AA788" i="20" s="1"/>
  <c r="AC789" i="20"/>
  <c r="AA789" i="20" s="1"/>
  <c r="AC790" i="20"/>
  <c r="AA790" i="20" s="1"/>
  <c r="AC791" i="20"/>
  <c r="AA791" i="20" s="1"/>
  <c r="AC792" i="20"/>
  <c r="AA792" i="20" s="1"/>
  <c r="AC793" i="20"/>
  <c r="AA793" i="20" s="1"/>
  <c r="AC794" i="20"/>
  <c r="AA794" i="20" s="1"/>
  <c r="AC795" i="20"/>
  <c r="AA795" i="20" s="1"/>
  <c r="AC796" i="20"/>
  <c r="AC797" i="20"/>
  <c r="AA797" i="20" s="1"/>
  <c r="AC798" i="20"/>
  <c r="AA798" i="20" s="1"/>
  <c r="AC799" i="20"/>
  <c r="AA799" i="20" s="1"/>
  <c r="AC800" i="20"/>
  <c r="AA800" i="20" s="1"/>
  <c r="AC801" i="20"/>
  <c r="AA801" i="20" s="1"/>
  <c r="AC802" i="20"/>
  <c r="AA802" i="20" s="1"/>
  <c r="AC803" i="20"/>
  <c r="AA803" i="20" s="1"/>
  <c r="AC804" i="20"/>
  <c r="AA804" i="20" s="1"/>
  <c r="AC805" i="20"/>
  <c r="AA805" i="20" s="1"/>
  <c r="AC806" i="20"/>
  <c r="AA806" i="20" s="1"/>
  <c r="AC807" i="20"/>
  <c r="AA807" i="20" s="1"/>
  <c r="AC808" i="20"/>
  <c r="AA808" i="20" s="1"/>
  <c r="AC809" i="20"/>
  <c r="AA809" i="20" s="1"/>
  <c r="AC810" i="20"/>
  <c r="AA810" i="20" s="1"/>
  <c r="AC811" i="20"/>
  <c r="AA811" i="20" s="1"/>
  <c r="AC812" i="20"/>
  <c r="AC813" i="20"/>
  <c r="AA813" i="20" s="1"/>
  <c r="AC814" i="20"/>
  <c r="AA814" i="20" s="1"/>
  <c r="AC815" i="20"/>
  <c r="AA815" i="20" s="1"/>
  <c r="AC816" i="20"/>
  <c r="AA816" i="20" s="1"/>
  <c r="AC817" i="20"/>
  <c r="AC818" i="20"/>
  <c r="AA818" i="20" s="1"/>
  <c r="AC819" i="20"/>
  <c r="AA819" i="20" s="1"/>
  <c r="AC820" i="20"/>
  <c r="AA820" i="20" s="1"/>
  <c r="AC821" i="20"/>
  <c r="AA821" i="20" s="1"/>
  <c r="AC822" i="20"/>
  <c r="AA822" i="20" s="1"/>
  <c r="AC823" i="20"/>
  <c r="AA823" i="20" s="1"/>
  <c r="AC824" i="20"/>
  <c r="AA824" i="20" s="1"/>
  <c r="AC825" i="20"/>
  <c r="AA825" i="20" s="1"/>
  <c r="AC826" i="20"/>
  <c r="AA826" i="20" s="1"/>
  <c r="AC827" i="20"/>
  <c r="AA827" i="20" s="1"/>
  <c r="AC828" i="20"/>
  <c r="AA828" i="20" s="1"/>
  <c r="AC829" i="20"/>
  <c r="AA829" i="20" s="1"/>
  <c r="AC830" i="20"/>
  <c r="AA830" i="20" s="1"/>
  <c r="AC831" i="20"/>
  <c r="AA831" i="20" s="1"/>
  <c r="AC832" i="20"/>
  <c r="AA832" i="20" s="1"/>
  <c r="AC833" i="20"/>
  <c r="AA833" i="20" s="1"/>
  <c r="AC834" i="20"/>
  <c r="AC835" i="20"/>
  <c r="AA835" i="20" s="1"/>
  <c r="AC836" i="20"/>
  <c r="AA836" i="20" s="1"/>
  <c r="AC837" i="20"/>
  <c r="AA837" i="20" s="1"/>
  <c r="AC838" i="20"/>
  <c r="AA838" i="20" s="1"/>
  <c r="AC839" i="20"/>
  <c r="AA839" i="20" s="1"/>
  <c r="AC840" i="20"/>
  <c r="AA840" i="20" s="1"/>
  <c r="AC841" i="20"/>
  <c r="AA841" i="20" s="1"/>
  <c r="AC842" i="20"/>
  <c r="AA842" i="20" s="1"/>
  <c r="AC843" i="20"/>
  <c r="AA843" i="20" s="1"/>
  <c r="AC844" i="20"/>
  <c r="AA844" i="20" s="1"/>
  <c r="AC845" i="20"/>
  <c r="AA845" i="20" s="1"/>
  <c r="AC846" i="20"/>
  <c r="AA846" i="20" s="1"/>
  <c r="AC847" i="20"/>
  <c r="AC848" i="20"/>
  <c r="AA848" i="20" s="1"/>
  <c r="AC849" i="20"/>
  <c r="AA849" i="20" s="1"/>
  <c r="AC850" i="20"/>
  <c r="AA850" i="20" s="1"/>
  <c r="AC851" i="20"/>
  <c r="AA851" i="20" s="1"/>
  <c r="AC852" i="20"/>
  <c r="AA852" i="20" s="1"/>
  <c r="AC853" i="20"/>
  <c r="AA853" i="20" s="1"/>
  <c r="AC854" i="20"/>
  <c r="AA854" i="20" s="1"/>
  <c r="AC855" i="20"/>
  <c r="AA855" i="20" s="1"/>
  <c r="AC856" i="20"/>
  <c r="AC857" i="20"/>
  <c r="AA857" i="20" s="1"/>
  <c r="AC858" i="20"/>
  <c r="AA858" i="20" s="1"/>
  <c r="AC859" i="20"/>
  <c r="AA859" i="20" s="1"/>
  <c r="AC860" i="20"/>
  <c r="AA860" i="20" s="1"/>
  <c r="AC861" i="20"/>
  <c r="AA861" i="20" s="1"/>
  <c r="AC862" i="20"/>
  <c r="AA862" i="20" s="1"/>
  <c r="AC863" i="20"/>
  <c r="AA863" i="20" s="1"/>
  <c r="AC864" i="20"/>
  <c r="AA864" i="20" s="1"/>
  <c r="AC865" i="20"/>
  <c r="AA865" i="20" s="1"/>
  <c r="AC866" i="20"/>
  <c r="AA866" i="20" s="1"/>
  <c r="AC867" i="20"/>
  <c r="AA867" i="20" s="1"/>
  <c r="AC868" i="20"/>
  <c r="AA868" i="20" s="1"/>
  <c r="AC869" i="20"/>
  <c r="AA869" i="20" s="1"/>
  <c r="AC870" i="20"/>
  <c r="AA870" i="20" s="1"/>
  <c r="AC871" i="20"/>
  <c r="AA871" i="20" s="1"/>
  <c r="AC872" i="20"/>
  <c r="AA872" i="20" s="1"/>
  <c r="AC873" i="20"/>
  <c r="AA873" i="20" s="1"/>
  <c r="AC874" i="20"/>
  <c r="AA874" i="20" s="1"/>
  <c r="AC875" i="20"/>
  <c r="AA875" i="20" s="1"/>
  <c r="AC876" i="20"/>
  <c r="AA876" i="20" s="1"/>
  <c r="AC877" i="20"/>
  <c r="AC878" i="20"/>
  <c r="AA878" i="20" s="1"/>
  <c r="AC879" i="20"/>
  <c r="AC880" i="20"/>
  <c r="AC881" i="20"/>
  <c r="AA881" i="20" s="1"/>
  <c r="AC882" i="20"/>
  <c r="AC883" i="20"/>
  <c r="AA883" i="20" s="1"/>
  <c r="AC884" i="20"/>
  <c r="AA884" i="20" s="1"/>
  <c r="AC885" i="20"/>
  <c r="AA885" i="20" s="1"/>
  <c r="AC886" i="20"/>
  <c r="AA886" i="20" s="1"/>
  <c r="AC887" i="20"/>
  <c r="AA887" i="20" s="1"/>
  <c r="AC888" i="20"/>
  <c r="AA888" i="20" s="1"/>
  <c r="AC889" i="20"/>
  <c r="AA889" i="20" s="1"/>
  <c r="AC890" i="20"/>
  <c r="AA890" i="20" s="1"/>
  <c r="AC891" i="20"/>
  <c r="AA891" i="20" s="1"/>
  <c r="AC892" i="20"/>
  <c r="AA892" i="20" s="1"/>
  <c r="AC893" i="20"/>
  <c r="AA893" i="20" s="1"/>
  <c r="AC894" i="20"/>
  <c r="AC895" i="20"/>
  <c r="AA895" i="20" s="1"/>
  <c r="AC896" i="20"/>
  <c r="AA896" i="20" s="1"/>
  <c r="AC897" i="20"/>
  <c r="AA897" i="20" s="1"/>
  <c r="AC898" i="20"/>
  <c r="AA898" i="20" s="1"/>
  <c r="AC899" i="20"/>
  <c r="AA899" i="20" s="1"/>
  <c r="AC900" i="20"/>
  <c r="AA900" i="20" s="1"/>
  <c r="AC901" i="20"/>
  <c r="AA901" i="20" s="1"/>
  <c r="AC902" i="20"/>
  <c r="AA902" i="20" s="1"/>
  <c r="AC903" i="20"/>
  <c r="AC904" i="20"/>
  <c r="AA904" i="20" s="1"/>
  <c r="AC905" i="20"/>
  <c r="AA905" i="20" s="1"/>
  <c r="AC906" i="20"/>
  <c r="AA906" i="20" s="1"/>
  <c r="AC907" i="20"/>
  <c r="AA907" i="20" s="1"/>
  <c r="AC908" i="20"/>
  <c r="AA908" i="20" s="1"/>
  <c r="AC909" i="20"/>
  <c r="AA909" i="20" s="1"/>
  <c r="AC910" i="20"/>
  <c r="AA910" i="20" s="1"/>
  <c r="AC911" i="20"/>
  <c r="AA911" i="20" s="1"/>
  <c r="AC912" i="20"/>
  <c r="AA912" i="20" s="1"/>
  <c r="AC913" i="20"/>
  <c r="AA913" i="20" s="1"/>
  <c r="AC914" i="20"/>
  <c r="AA914" i="20" s="1"/>
  <c r="AC915" i="20"/>
  <c r="AA915" i="20" s="1"/>
  <c r="AC916" i="20"/>
  <c r="AA916" i="20" s="1"/>
  <c r="AC917" i="20"/>
  <c r="AA917" i="20" s="1"/>
  <c r="AC918" i="20"/>
  <c r="AA918" i="20" s="1"/>
  <c r="AC919" i="20"/>
  <c r="AA919" i="20" s="1"/>
  <c r="AC920" i="20"/>
  <c r="AA920" i="20" s="1"/>
  <c r="AC921" i="20"/>
  <c r="AA921" i="20" s="1"/>
  <c r="AC922" i="20"/>
  <c r="AC923" i="20"/>
  <c r="AA923" i="20" s="1"/>
  <c r="AC924" i="20"/>
  <c r="AA924" i="20" s="1"/>
  <c r="AC925" i="20"/>
  <c r="AA925" i="20" s="1"/>
  <c r="AC926" i="20"/>
  <c r="AA926" i="20" s="1"/>
  <c r="AC927" i="20"/>
  <c r="AC928" i="20"/>
  <c r="AA928" i="20" s="1"/>
  <c r="AC929" i="20"/>
  <c r="AC930" i="20"/>
  <c r="AA930" i="20" s="1"/>
  <c r="AC931" i="20"/>
  <c r="AA931" i="20" s="1"/>
  <c r="AC932" i="20"/>
  <c r="AA932" i="20" s="1"/>
  <c r="AC933" i="20"/>
  <c r="AA933" i="20" s="1"/>
  <c r="AC934" i="20"/>
  <c r="AA934" i="20" s="1"/>
  <c r="AC935" i="20"/>
  <c r="AA935" i="20" s="1"/>
  <c r="AC936" i="20"/>
  <c r="AA936" i="20" s="1"/>
  <c r="AC937" i="20"/>
  <c r="AA937" i="20" s="1"/>
  <c r="AC938" i="20"/>
  <c r="AA938" i="20" s="1"/>
  <c r="AC939" i="20"/>
  <c r="AA939" i="20" s="1"/>
  <c r="AC940" i="20"/>
  <c r="AA940" i="20" s="1"/>
  <c r="AC941" i="20"/>
  <c r="AA941" i="20" s="1"/>
  <c r="AC942" i="20"/>
  <c r="AA942" i="20" s="1"/>
  <c r="AC943" i="20"/>
  <c r="AA943" i="20" s="1"/>
  <c r="AC944" i="20"/>
  <c r="AA944" i="20" s="1"/>
  <c r="AC945" i="20"/>
  <c r="AA945" i="20" s="1"/>
  <c r="AC946" i="20"/>
  <c r="AA946" i="20" s="1"/>
  <c r="AC947" i="20"/>
  <c r="AA947" i="20" s="1"/>
  <c r="AC948" i="20"/>
  <c r="AA948" i="20" s="1"/>
  <c r="AC949" i="20"/>
  <c r="AC950" i="20"/>
  <c r="AC951" i="20"/>
  <c r="AA951" i="20" s="1"/>
  <c r="AC952" i="20"/>
  <c r="AA952" i="20" s="1"/>
  <c r="AC953" i="20"/>
  <c r="AA953" i="20" s="1"/>
  <c r="AC954" i="20"/>
  <c r="AA954" i="20" s="1"/>
  <c r="AC955" i="20"/>
  <c r="AA955" i="20" s="1"/>
  <c r="AC956" i="20"/>
  <c r="AA956" i="20" s="1"/>
  <c r="AC957" i="20"/>
  <c r="AA957" i="20" s="1"/>
  <c r="AC958" i="20"/>
  <c r="AA958" i="20" s="1"/>
  <c r="AC959" i="20"/>
  <c r="AA959" i="20" s="1"/>
  <c r="AC960" i="20"/>
  <c r="AA960" i="20" s="1"/>
  <c r="AC961" i="20"/>
  <c r="AC962" i="20"/>
  <c r="AA962" i="20" s="1"/>
  <c r="AC963" i="20"/>
  <c r="AA963" i="20" s="1"/>
  <c r="AC964" i="20"/>
  <c r="AC965" i="20"/>
  <c r="AA965" i="20" s="1"/>
  <c r="AC966" i="20"/>
  <c r="AC967" i="20"/>
  <c r="AA967" i="20" s="1"/>
  <c r="AC968" i="20"/>
  <c r="AA968" i="20" s="1"/>
  <c r="AC969" i="20"/>
  <c r="AA969" i="20" s="1"/>
  <c r="AC970" i="20"/>
  <c r="AA970" i="20" s="1"/>
  <c r="AC971" i="20"/>
  <c r="AA971" i="20" s="1"/>
  <c r="AC972" i="20"/>
  <c r="AA972" i="20" s="1"/>
  <c r="AC973" i="20"/>
  <c r="AA973" i="20" s="1"/>
  <c r="AC974" i="20"/>
  <c r="AA974" i="20" s="1"/>
  <c r="AC975" i="20"/>
  <c r="AA975" i="20" s="1"/>
  <c r="AC976" i="20"/>
  <c r="AA976" i="20" s="1"/>
  <c r="AC977" i="20"/>
  <c r="AA977" i="20" s="1"/>
  <c r="AC978" i="20"/>
  <c r="AA978" i="20" s="1"/>
  <c r="AC979" i="20"/>
  <c r="AA979" i="20" s="1"/>
  <c r="AC980" i="20"/>
  <c r="AA980" i="20" s="1"/>
  <c r="AC981" i="20"/>
  <c r="AA981" i="20" s="1"/>
  <c r="AC982" i="20"/>
  <c r="AA982" i="20" s="1"/>
  <c r="AC983" i="20"/>
  <c r="AA983" i="20" s="1"/>
  <c r="AC984" i="20"/>
  <c r="AA984" i="20" s="1"/>
  <c r="AC985" i="20"/>
  <c r="AC986" i="20"/>
  <c r="AA986" i="20" s="1"/>
  <c r="AC987" i="20"/>
  <c r="AC988" i="20"/>
  <c r="AA988" i="20" s="1"/>
  <c r="AC989" i="20"/>
  <c r="AA989" i="20" s="1"/>
  <c r="AC990" i="20"/>
  <c r="AA990" i="20" s="1"/>
  <c r="AC991" i="20"/>
  <c r="AA991" i="20" s="1"/>
  <c r="AC992" i="20"/>
  <c r="AC993" i="20"/>
  <c r="AA993" i="20" s="1"/>
  <c r="AC994" i="20"/>
  <c r="AA994" i="20" s="1"/>
  <c r="AC995" i="20"/>
  <c r="AA995" i="20" s="1"/>
  <c r="AC996" i="20"/>
  <c r="AA996" i="20" s="1"/>
  <c r="AC997" i="20"/>
  <c r="AA997" i="20" s="1"/>
  <c r="AC998" i="20"/>
  <c r="AA998" i="20" s="1"/>
  <c r="AC999" i="20"/>
  <c r="AA999" i="20" s="1"/>
  <c r="AC1000" i="20"/>
  <c r="AA1000" i="20" s="1"/>
  <c r="AC1001" i="20"/>
  <c r="AA1001" i="20" s="1"/>
  <c r="AC1002" i="20"/>
  <c r="AA1002" i="20" s="1"/>
  <c r="AC1003" i="20"/>
  <c r="AA1003" i="20" s="1"/>
  <c r="AC1004" i="20"/>
  <c r="AA1004" i="20" s="1"/>
  <c r="AC1005" i="20"/>
  <c r="AA1005" i="20" s="1"/>
  <c r="AC1006" i="20"/>
  <c r="AA1006" i="20" s="1"/>
  <c r="AC1007" i="20"/>
  <c r="AA1007" i="20" s="1"/>
  <c r="AC1008" i="20"/>
  <c r="AA1008" i="20" s="1"/>
  <c r="AC1009" i="20"/>
  <c r="AA1009" i="20" s="1"/>
  <c r="AC1010" i="20"/>
  <c r="AA1010" i="20" s="1"/>
  <c r="AC1011" i="20"/>
  <c r="AC1012" i="20"/>
  <c r="AA1012" i="20" s="1"/>
  <c r="AC1013" i="20"/>
  <c r="AA1013" i="20" s="1"/>
  <c r="AC1014" i="20"/>
  <c r="AA1014" i="20" s="1"/>
  <c r="AC1015" i="20"/>
  <c r="AC1016" i="20"/>
  <c r="AA1016" i="20" s="1"/>
  <c r="AC1017" i="20"/>
  <c r="AA1017" i="20" s="1"/>
  <c r="AC1018" i="20"/>
  <c r="AA1018" i="20" s="1"/>
  <c r="AC1019" i="20"/>
  <c r="AA1019" i="20" s="1"/>
  <c r="AC1020" i="20"/>
  <c r="AA1020" i="20" s="1"/>
  <c r="AC1021" i="20"/>
  <c r="AA1021" i="20" s="1"/>
  <c r="AC1022" i="20"/>
  <c r="AA1022" i="20" s="1"/>
  <c r="AC1023" i="20"/>
  <c r="AA1023" i="20" s="1"/>
  <c r="AC1024" i="20"/>
  <c r="AA1024" i="20" s="1"/>
  <c r="AC1025" i="20"/>
  <c r="AC1026" i="20"/>
  <c r="AA1026" i="20" s="1"/>
  <c r="AC1027" i="20"/>
  <c r="AA1027" i="20" s="1"/>
  <c r="AC1028" i="20"/>
  <c r="AA1028" i="20" s="1"/>
  <c r="AC1029" i="20"/>
  <c r="AA1029" i="20" s="1"/>
  <c r="AC1030" i="20"/>
  <c r="AA1030" i="20" s="1"/>
  <c r="AC1031" i="20"/>
  <c r="AA1031" i="20" s="1"/>
  <c r="AC1032" i="20"/>
  <c r="AA1032" i="20" s="1"/>
  <c r="AC1033" i="20"/>
  <c r="AC1034" i="20"/>
  <c r="AA1034" i="20" s="1"/>
  <c r="AC1035" i="20"/>
  <c r="AC1036" i="20"/>
  <c r="AA1036" i="20" s="1"/>
  <c r="AC1037" i="20"/>
  <c r="AC1038" i="20"/>
  <c r="AA1038" i="20" s="1"/>
  <c r="AC1039" i="20"/>
  <c r="AA1039" i="20" s="1"/>
  <c r="AC1040" i="20"/>
  <c r="AA1040" i="20" s="1"/>
  <c r="AC1041" i="20"/>
  <c r="AA1041" i="20" s="1"/>
  <c r="AC1042" i="20"/>
  <c r="AA1042" i="20" s="1"/>
  <c r="AC1043" i="20"/>
  <c r="AA1043" i="20" s="1"/>
  <c r="AC1044" i="20"/>
  <c r="AA1044" i="20" s="1"/>
  <c r="AC1045" i="20"/>
  <c r="AA1045" i="20" s="1"/>
  <c r="AC1046" i="20"/>
  <c r="AA1046" i="20" s="1"/>
  <c r="AC1047" i="20"/>
  <c r="AA1047" i="20" s="1"/>
  <c r="AC1048" i="20"/>
  <c r="AC1049" i="20"/>
  <c r="AA1049" i="20" s="1"/>
  <c r="AC1050" i="20"/>
  <c r="AA1050" i="20" s="1"/>
  <c r="AC1051" i="20"/>
  <c r="AA1051" i="20" s="1"/>
  <c r="AC1052" i="20"/>
  <c r="AA1052" i="20" s="1"/>
  <c r="AC1053" i="20"/>
  <c r="AA1053" i="20" s="1"/>
  <c r="AC1054" i="20"/>
  <c r="AA1054" i="20" s="1"/>
  <c r="AC1055" i="20"/>
  <c r="AA1055" i="20" s="1"/>
  <c r="AC1056" i="20"/>
  <c r="AA1056" i="20" s="1"/>
  <c r="AC1057" i="20"/>
  <c r="AA1057" i="20" s="1"/>
  <c r="AC1058" i="20"/>
  <c r="AA1058" i="20" s="1"/>
  <c r="AC1059" i="20"/>
  <c r="AA1059" i="20" s="1"/>
  <c r="AC1060" i="20"/>
  <c r="AA1060" i="20" s="1"/>
  <c r="AC1061" i="20"/>
  <c r="AA1061" i="20" s="1"/>
  <c r="AC1062" i="20"/>
  <c r="AA1062" i="20" s="1"/>
  <c r="AC1063" i="20"/>
  <c r="AA1063" i="20" s="1"/>
  <c r="AC1064" i="20"/>
  <c r="AA1064" i="20" s="1"/>
  <c r="AC1065" i="20"/>
  <c r="AA1065" i="20" s="1"/>
  <c r="AC1066" i="20"/>
  <c r="AA1066" i="20" s="1"/>
  <c r="AC1067" i="20"/>
  <c r="AA1067" i="20" s="1"/>
  <c r="AC1068" i="20"/>
  <c r="AA1068" i="20" s="1"/>
  <c r="AC1069" i="20"/>
  <c r="AC1070" i="20"/>
  <c r="AA1070" i="20" s="1"/>
  <c r="AC1071" i="20"/>
  <c r="AC1072" i="20"/>
  <c r="AA1072" i="20" s="1"/>
  <c r="AC1073" i="20"/>
  <c r="AC1074" i="20"/>
  <c r="AA1074" i="20" s="1"/>
  <c r="AC1075" i="20"/>
  <c r="AA1075" i="20" s="1"/>
  <c r="AC1076" i="20"/>
  <c r="AA1076" i="20" s="1"/>
  <c r="AC1077" i="20"/>
  <c r="AA1077" i="20" s="1"/>
  <c r="AC1078" i="20"/>
  <c r="AA1078" i="20" s="1"/>
  <c r="AC1079" i="20"/>
  <c r="AA1079" i="20" s="1"/>
  <c r="AC1080" i="20"/>
  <c r="AA1080" i="20" s="1"/>
  <c r="AC1081" i="20"/>
  <c r="AA1081" i="20" s="1"/>
  <c r="AC1082" i="20"/>
  <c r="AA1082" i="20" s="1"/>
  <c r="AC1083" i="20"/>
  <c r="AA1083" i="20" s="1"/>
  <c r="AC1084" i="20"/>
  <c r="AA1084" i="20" s="1"/>
  <c r="AC1085" i="20"/>
  <c r="AA1085" i="20" s="1"/>
  <c r="AC1086" i="20"/>
  <c r="AA1086" i="20" s="1"/>
  <c r="AC1087" i="20"/>
  <c r="AA1087" i="20" s="1"/>
  <c r="AC1088" i="20"/>
  <c r="AA1088" i="20" s="1"/>
  <c r="AC1089" i="20"/>
  <c r="AA1089" i="20" s="1"/>
  <c r="AC1090" i="20"/>
  <c r="AA1090" i="20" s="1"/>
  <c r="AC1091" i="20"/>
  <c r="AA1091" i="20" s="1"/>
  <c r="AC1092" i="20"/>
  <c r="AA1092" i="20" s="1"/>
  <c r="AC1093" i="20"/>
  <c r="AA1093" i="20" s="1"/>
  <c r="AC1094" i="20"/>
  <c r="AA1094" i="20" s="1"/>
  <c r="AC1095" i="20"/>
  <c r="AC1096" i="20"/>
  <c r="AA1096" i="20" s="1"/>
  <c r="AC1097" i="20"/>
  <c r="AC1098" i="20"/>
  <c r="AA1098" i="20" s="1"/>
  <c r="AC1099" i="20"/>
  <c r="AA1099" i="20" s="1"/>
  <c r="AC1100" i="20"/>
  <c r="AA1100" i="20" s="1"/>
  <c r="AC1101" i="20"/>
  <c r="AA1101" i="20" s="1"/>
  <c r="AC1102" i="20"/>
  <c r="AA1102" i="20" s="1"/>
  <c r="AC1103" i="20"/>
  <c r="AA1103" i="20" s="1"/>
  <c r="AC1104" i="20"/>
  <c r="AC1105" i="20"/>
  <c r="AC1106" i="20"/>
  <c r="AA1106" i="20" s="1"/>
  <c r="AC1107" i="20"/>
  <c r="AA1107" i="20" s="1"/>
  <c r="AC1108" i="20"/>
  <c r="AA1108" i="20" s="1"/>
  <c r="AC1109" i="20"/>
  <c r="AA1109" i="20" s="1"/>
  <c r="AC1110" i="20"/>
  <c r="AA1110" i="20" s="1"/>
  <c r="AC1111" i="20"/>
  <c r="AA1111" i="20" s="1"/>
  <c r="AC1112" i="20"/>
  <c r="AA1112" i="20" s="1"/>
  <c r="AC1113" i="20"/>
  <c r="AA1113" i="20" s="1"/>
  <c r="AC1114" i="20"/>
  <c r="AA1114" i="20" s="1"/>
  <c r="AC1115" i="20"/>
  <c r="AA1115" i="20" s="1"/>
  <c r="AC1116" i="20"/>
  <c r="AA1116" i="20" s="1"/>
  <c r="AC1117" i="20"/>
  <c r="AA1117" i="20" s="1"/>
  <c r="AC1118" i="20"/>
  <c r="AA1118" i="20" s="1"/>
  <c r="AC1119" i="20"/>
  <c r="AA1119" i="20" s="1"/>
  <c r="AC1120" i="20"/>
  <c r="AA1120" i="20" s="1"/>
  <c r="AC1121" i="20"/>
  <c r="AA1121" i="20" s="1"/>
  <c r="AC1122" i="20"/>
  <c r="AA1122" i="20" s="1"/>
  <c r="AC1123" i="20"/>
  <c r="AA1123" i="20" s="1"/>
  <c r="AC1124" i="20"/>
  <c r="AA1124" i="20" s="1"/>
  <c r="AC1125" i="20"/>
  <c r="AC1126" i="20"/>
  <c r="AA1126" i="20" s="1"/>
  <c r="AC1127" i="20"/>
  <c r="AC1128" i="20"/>
  <c r="AC1129" i="20"/>
  <c r="AA1129" i="20" s="1"/>
  <c r="AC1130" i="20"/>
  <c r="AA1130" i="20" s="1"/>
  <c r="AC1131" i="20"/>
  <c r="AA1131" i="20" s="1"/>
  <c r="AC1132" i="20"/>
  <c r="AA1132" i="20" s="1"/>
  <c r="AC1133" i="20"/>
  <c r="AA1133" i="20" s="1"/>
  <c r="AC1134" i="20"/>
  <c r="AA1134" i="20" s="1"/>
  <c r="AC1135" i="20"/>
  <c r="AA1135" i="20" s="1"/>
  <c r="AC1136" i="20"/>
  <c r="AA1136" i="20" s="1"/>
  <c r="AC1137" i="20"/>
  <c r="AA1137" i="20" s="1"/>
  <c r="AC1138" i="20"/>
  <c r="AA1138" i="20" s="1"/>
  <c r="AC1139" i="20"/>
  <c r="AA1139" i="20" s="1"/>
  <c r="AC1140" i="20"/>
  <c r="AA1140" i="20" s="1"/>
  <c r="AC1141" i="20"/>
  <c r="AA1141" i="20" s="1"/>
  <c r="AC1142" i="20"/>
  <c r="AA1142" i="20" s="1"/>
  <c r="AC1143" i="20"/>
  <c r="AA1143" i="20" s="1"/>
  <c r="AC1144" i="20"/>
  <c r="AA1144" i="20" s="1"/>
  <c r="AC1145" i="20"/>
  <c r="AA1145" i="20" s="1"/>
  <c r="AC1146" i="20"/>
  <c r="AC1147" i="20"/>
  <c r="AA1147" i="20" s="1"/>
  <c r="AC1148" i="20"/>
  <c r="AA1148" i="20" s="1"/>
  <c r="AC1149" i="20"/>
  <c r="AA1149" i="20" s="1"/>
  <c r="AC1150" i="20"/>
  <c r="AA1150" i="20" s="1"/>
  <c r="AC1151" i="20"/>
  <c r="AA1151" i="20" s="1"/>
  <c r="AC1152" i="20"/>
  <c r="AA1152" i="20" s="1"/>
  <c r="AC1153" i="20"/>
  <c r="AA1153" i="20" s="1"/>
  <c r="AC1154" i="20"/>
  <c r="AA1154" i="20" s="1"/>
  <c r="AC1155" i="20"/>
  <c r="AA1155" i="20" s="1"/>
  <c r="AC1156" i="20"/>
  <c r="AA1156" i="20" s="1"/>
  <c r="AC1157" i="20"/>
  <c r="AA1157" i="20" s="1"/>
  <c r="AC1158" i="20"/>
  <c r="AA1158" i="20" s="1"/>
  <c r="AC1159" i="20"/>
  <c r="AA1159" i="20" s="1"/>
  <c r="AC1160" i="20"/>
  <c r="AC1161" i="20"/>
  <c r="AA1161" i="20" s="1"/>
  <c r="AC1162" i="20"/>
  <c r="AA1162" i="20" s="1"/>
  <c r="AC1163" i="20"/>
  <c r="AA1163" i="20" s="1"/>
  <c r="AC1164" i="20"/>
  <c r="AA1164" i="20" s="1"/>
  <c r="AC1165" i="20"/>
  <c r="AC1166" i="20"/>
  <c r="AA1166" i="20" s="1"/>
  <c r="AC1167" i="20"/>
  <c r="AA1167" i="20" s="1"/>
  <c r="AC1168" i="20"/>
  <c r="AA1168" i="20" s="1"/>
  <c r="AC1169" i="20"/>
  <c r="AA1169" i="20" s="1"/>
  <c r="AC1170" i="20"/>
  <c r="AA1170" i="20" s="1"/>
  <c r="AC1171" i="20"/>
  <c r="AA1171" i="20" s="1"/>
  <c r="AC1172" i="20"/>
  <c r="AA1172" i="20" s="1"/>
  <c r="AC1173" i="20"/>
  <c r="AA1173" i="20" s="1"/>
  <c r="AC1174" i="20"/>
  <c r="AA1174" i="20" s="1"/>
  <c r="AC1175" i="20"/>
  <c r="AA1175" i="20" s="1"/>
  <c r="AC1176" i="20"/>
  <c r="AA1176" i="20" s="1"/>
  <c r="AC1177" i="20"/>
  <c r="AA1177" i="20" s="1"/>
  <c r="AC1178" i="20"/>
  <c r="AA1178" i="20" s="1"/>
  <c r="AC1179" i="20"/>
  <c r="AC1180" i="20"/>
  <c r="AA1180" i="20" s="1"/>
  <c r="AC1181" i="20"/>
  <c r="AA1181" i="20" s="1"/>
  <c r="AC1182" i="20"/>
  <c r="AA1182" i="20" s="1"/>
  <c r="AC1183" i="20"/>
  <c r="AC1184" i="20"/>
  <c r="AA1184" i="20" s="1"/>
  <c r="AC1185" i="20"/>
  <c r="AA1185" i="20" s="1"/>
  <c r="AC1186" i="20"/>
  <c r="AA1186" i="20" s="1"/>
  <c r="AC1187" i="20"/>
  <c r="AA1187" i="20" s="1"/>
  <c r="AC1188" i="20"/>
  <c r="AA1188" i="20" s="1"/>
  <c r="AC1189" i="20"/>
  <c r="AA1189" i="20" s="1"/>
  <c r="AC1190" i="20"/>
  <c r="AA1190" i="20" s="1"/>
  <c r="AC1191" i="20"/>
  <c r="AA1191" i="20" s="1"/>
  <c r="AC1192" i="20"/>
  <c r="AA1192" i="20" s="1"/>
  <c r="AC1193" i="20"/>
  <c r="AA1193" i="20" s="1"/>
  <c r="AC1194" i="20"/>
  <c r="AA1194" i="20" s="1"/>
  <c r="AC1195" i="20"/>
  <c r="AA1195" i="20" s="1"/>
  <c r="AC1196" i="20"/>
  <c r="AA1196" i="20" s="1"/>
  <c r="AC1197" i="20"/>
  <c r="AA1197" i="20" s="1"/>
  <c r="AC1198" i="20"/>
  <c r="AA1198" i="20" s="1"/>
  <c r="AC1199" i="20"/>
  <c r="AA1199" i="20" s="1"/>
  <c r="AC1200" i="20"/>
  <c r="AA1200" i="20" s="1"/>
  <c r="AC1201" i="20"/>
  <c r="AA1201" i="20" s="1"/>
  <c r="AC1202" i="20"/>
  <c r="AA1202" i="20" s="1"/>
  <c r="AC1203" i="20"/>
  <c r="AA1203" i="20" s="1"/>
  <c r="AC1204" i="20"/>
  <c r="AA1204" i="20" s="1"/>
  <c r="AC1205" i="20"/>
  <c r="AA1205" i="20" s="1"/>
  <c r="AC1206" i="20"/>
  <c r="AA1206" i="20" s="1"/>
  <c r="AC1207" i="20"/>
  <c r="AA1207" i="20" s="1"/>
  <c r="AC1208" i="20"/>
  <c r="AA1208" i="20" s="1"/>
  <c r="AC1209" i="20"/>
  <c r="AA1209" i="20" s="1"/>
  <c r="AC1210" i="20"/>
  <c r="AA1210" i="20" s="1"/>
  <c r="AC1211" i="20"/>
  <c r="AC1212" i="20"/>
  <c r="AC1213" i="20"/>
  <c r="AA1213" i="20" s="1"/>
  <c r="AC1214" i="20"/>
  <c r="AA1214" i="20" s="1"/>
  <c r="AC1215" i="20"/>
  <c r="AA1215" i="20" s="1"/>
  <c r="AC1216" i="20"/>
  <c r="AA1216" i="20" s="1"/>
  <c r="AC1217" i="20"/>
  <c r="AA1217" i="20" s="1"/>
  <c r="AC1218" i="20"/>
  <c r="AA1218" i="20" s="1"/>
  <c r="AC1219" i="20"/>
  <c r="AA1219" i="20" s="1"/>
  <c r="AC1220" i="20"/>
  <c r="AA1220" i="20" s="1"/>
  <c r="AC1221" i="20"/>
  <c r="AA1221" i="20" s="1"/>
  <c r="AC1222" i="20"/>
  <c r="AA1222" i="20" s="1"/>
  <c r="AC1223" i="20"/>
  <c r="AA1223" i="20" s="1"/>
  <c r="AC1224" i="20"/>
  <c r="AA1224" i="20" s="1"/>
  <c r="AC1225" i="20"/>
  <c r="AA1225" i="20" s="1"/>
  <c r="AC1226" i="20"/>
  <c r="AA1226" i="20" s="1"/>
  <c r="AC1227" i="20"/>
  <c r="AA1227" i="20" s="1"/>
  <c r="AC1228" i="20"/>
  <c r="AC1229" i="20"/>
  <c r="AA1229" i="20" s="1"/>
  <c r="AC1230" i="20"/>
  <c r="AC1231" i="20"/>
  <c r="AA1231" i="20" s="1"/>
  <c r="AC1232" i="20"/>
  <c r="AA1232" i="20" s="1"/>
  <c r="AC1233" i="20"/>
  <c r="AA1233" i="20" s="1"/>
  <c r="AC1234" i="20"/>
  <c r="AA1234" i="20" s="1"/>
  <c r="AC1235" i="20"/>
  <c r="AA1235" i="20" s="1"/>
  <c r="AC1236" i="20"/>
  <c r="AA1236" i="20" s="1"/>
  <c r="AC1237" i="20"/>
  <c r="AA1237" i="20" s="1"/>
  <c r="AC1238" i="20"/>
  <c r="AA1238" i="20" s="1"/>
  <c r="AC1239" i="20"/>
  <c r="AA1239" i="20" s="1"/>
  <c r="AC1240" i="20"/>
  <c r="AA1240" i="20" s="1"/>
  <c r="AC1241" i="20"/>
  <c r="AA1241" i="20" s="1"/>
  <c r="AC1242" i="20"/>
  <c r="AC1243" i="20"/>
  <c r="AA1243" i="20" s="1"/>
  <c r="AC1244" i="20"/>
  <c r="AC1245" i="20"/>
  <c r="AA1245" i="20" s="1"/>
  <c r="AC1246" i="20"/>
  <c r="AA1246" i="20" s="1"/>
  <c r="AC1247" i="20"/>
  <c r="AA1247" i="20" s="1"/>
  <c r="AC1248" i="20"/>
  <c r="AA1248" i="20" s="1"/>
  <c r="AC1249" i="20"/>
  <c r="AA1249" i="20" s="1"/>
  <c r="AC1250" i="20"/>
  <c r="AA1250" i="20" s="1"/>
  <c r="AC1251" i="20"/>
  <c r="AA1251" i="20" s="1"/>
  <c r="AC1252" i="20"/>
  <c r="AA1252" i="20" s="1"/>
  <c r="AC1253" i="20"/>
  <c r="AA1253" i="20" s="1"/>
  <c r="AC1254" i="20"/>
  <c r="AA1254" i="20" s="1"/>
  <c r="AC1255" i="20"/>
  <c r="AA1255" i="20" s="1"/>
  <c r="AC1256" i="20"/>
  <c r="AA1256" i="20" s="1"/>
  <c r="AC1257" i="20"/>
  <c r="AA1257" i="20" s="1"/>
  <c r="AC1258" i="20"/>
  <c r="AA1258" i="20" s="1"/>
  <c r="AC1259" i="20"/>
  <c r="AA1259" i="20" s="1"/>
  <c r="AC1260" i="20"/>
  <c r="AA1260" i="20" s="1"/>
  <c r="AC1261" i="20"/>
  <c r="AA1261" i="20" s="1"/>
  <c r="AC1262" i="20"/>
  <c r="AA1262" i="20" s="1"/>
  <c r="AC1263" i="20"/>
  <c r="AA1263" i="20" s="1"/>
  <c r="AC1264" i="20"/>
  <c r="AA1264" i="20" s="1"/>
  <c r="AC1265" i="20"/>
  <c r="AC1266" i="20"/>
  <c r="AA1266" i="20" s="1"/>
  <c r="AC1267" i="20"/>
  <c r="AC1268" i="20"/>
  <c r="AC1269" i="20"/>
  <c r="AA1269" i="20" s="1"/>
  <c r="AC1270" i="20"/>
  <c r="AA1270" i="20" s="1"/>
  <c r="AC1271" i="20"/>
  <c r="AA1271" i="20" s="1"/>
  <c r="AC1272" i="20"/>
  <c r="AC1273" i="20"/>
  <c r="AA1273" i="20" s="1"/>
  <c r="AC1274" i="20"/>
  <c r="AA1274" i="20" s="1"/>
  <c r="AC1275" i="20"/>
  <c r="AA1275" i="20" s="1"/>
  <c r="AC1276" i="20"/>
  <c r="AA1276" i="20" s="1"/>
  <c r="AC1277" i="20"/>
  <c r="AA1277" i="20" s="1"/>
  <c r="AC1278" i="20"/>
  <c r="AA1278" i="20" s="1"/>
  <c r="AC1279" i="20"/>
  <c r="AA1279" i="20" s="1"/>
  <c r="AC1280" i="20"/>
  <c r="AA1280" i="20" s="1"/>
  <c r="AC1281" i="20"/>
  <c r="AC1282" i="20"/>
  <c r="AA1282" i="20" s="1"/>
  <c r="AC1283" i="20"/>
  <c r="AA1283" i="20" s="1"/>
  <c r="AC1284" i="20"/>
  <c r="AA1284" i="20" s="1"/>
  <c r="AC1285" i="20"/>
  <c r="AA1285" i="20" s="1"/>
  <c r="AC1286" i="20"/>
  <c r="AA1286" i="20" s="1"/>
  <c r="AC1287" i="20"/>
  <c r="AA1287" i="20" s="1"/>
  <c r="AC1288" i="20"/>
  <c r="AA1288" i="20" s="1"/>
  <c r="AC1289" i="20"/>
  <c r="AA1289" i="20" s="1"/>
  <c r="AC1290" i="20"/>
  <c r="AA1290" i="20" s="1"/>
  <c r="AC1291" i="20"/>
  <c r="AA1291" i="20" s="1"/>
  <c r="AC1292" i="20"/>
  <c r="AA1292" i="20" s="1"/>
  <c r="AC1293" i="20"/>
  <c r="AC1294" i="20"/>
  <c r="AA1294" i="20" s="1"/>
  <c r="AC1295" i="20"/>
  <c r="AA1295" i="20" s="1"/>
  <c r="AC1296" i="20"/>
  <c r="AA1296" i="20" s="1"/>
  <c r="AC1297" i="20"/>
  <c r="AA1297" i="20" s="1"/>
  <c r="AC1298" i="20"/>
  <c r="AA1298" i="20" s="1"/>
  <c r="AC1299" i="20"/>
  <c r="AA1299" i="20" s="1"/>
  <c r="AC1300" i="20"/>
  <c r="AA1300" i="20" s="1"/>
  <c r="AC1301" i="20"/>
  <c r="AA1301" i="20" s="1"/>
  <c r="AC1302" i="20"/>
  <c r="AA1302" i="20" s="1"/>
  <c r="AC1303" i="20"/>
  <c r="AA1303" i="20" s="1"/>
  <c r="AC1304" i="20"/>
  <c r="AA1304" i="20" s="1"/>
  <c r="AC1305" i="20"/>
  <c r="AC1306" i="20"/>
  <c r="AA1306" i="20" s="1"/>
  <c r="AC1307" i="20"/>
  <c r="AC1308" i="20"/>
  <c r="AA1308" i="20" s="1"/>
  <c r="AC1309" i="20"/>
  <c r="AC1310" i="20"/>
  <c r="AC1311" i="20"/>
  <c r="AA1311" i="20" s="1"/>
  <c r="AC1312" i="20"/>
  <c r="AA1312" i="20" s="1"/>
  <c r="AC1313" i="20"/>
  <c r="AA1313" i="20" s="1"/>
  <c r="AC1314" i="20"/>
  <c r="AA1314" i="20" s="1"/>
  <c r="AC1315" i="20"/>
  <c r="AA1315" i="20" s="1"/>
  <c r="AC1316" i="20"/>
  <c r="AA1316" i="20" s="1"/>
  <c r="AC1317" i="20"/>
  <c r="AA1317" i="20" s="1"/>
  <c r="AC1318" i="20"/>
  <c r="AA1318" i="20" s="1"/>
  <c r="AC1319" i="20"/>
  <c r="AA1319" i="20" s="1"/>
  <c r="AC1320" i="20"/>
  <c r="AA1320" i="20" s="1"/>
  <c r="AC1321" i="20"/>
  <c r="AC1322" i="20"/>
  <c r="AA1322" i="20" s="1"/>
  <c r="AC1323" i="20"/>
  <c r="AA1323" i="20" s="1"/>
  <c r="AC1324" i="20"/>
  <c r="AA1324" i="20" s="1"/>
  <c r="AC1325" i="20"/>
  <c r="AA1325" i="20" s="1"/>
  <c r="AC1326" i="20"/>
  <c r="AC1327" i="20"/>
  <c r="AA1327" i="20" s="1"/>
  <c r="AC1328" i="20"/>
  <c r="AC1329" i="20"/>
  <c r="AA1329" i="20" s="1"/>
  <c r="AC1330" i="20"/>
  <c r="AA1330" i="20" s="1"/>
  <c r="AC1331" i="20"/>
  <c r="AA1331" i="20" s="1"/>
  <c r="AC1332" i="20"/>
  <c r="AA1332" i="20" s="1"/>
  <c r="AC1333" i="20"/>
  <c r="AA1333" i="20" s="1"/>
  <c r="AC1334" i="20"/>
  <c r="AC1335" i="20"/>
  <c r="AA1335" i="20" s="1"/>
  <c r="AC1336" i="20"/>
  <c r="AA1336" i="20" s="1"/>
  <c r="AC1337" i="20"/>
  <c r="AA1337" i="20" s="1"/>
  <c r="AC1338" i="20"/>
  <c r="AC1339" i="20"/>
  <c r="AA1339" i="20" s="1"/>
  <c r="AC1340" i="20"/>
  <c r="AC1341" i="20"/>
  <c r="AA1341" i="20" s="1"/>
  <c r="AC1342" i="20"/>
  <c r="AC1343" i="20"/>
  <c r="AA1343" i="20" s="1"/>
  <c r="AC1344" i="20"/>
  <c r="AA1344" i="20" s="1"/>
  <c r="AC1345" i="20"/>
  <c r="AA1345" i="20" s="1"/>
  <c r="AC1346" i="20"/>
  <c r="AA1346" i="20" s="1"/>
  <c r="AC1347" i="20"/>
  <c r="AA1347" i="20" s="1"/>
  <c r="AC1348" i="20"/>
  <c r="AA1348" i="20" s="1"/>
  <c r="AC1349" i="20"/>
  <c r="AA1349" i="20" s="1"/>
  <c r="AC1350" i="20"/>
  <c r="AA1350" i="20" s="1"/>
  <c r="AC1351" i="20"/>
  <c r="AC1352" i="20"/>
  <c r="AA1352" i="20" s="1"/>
  <c r="AC1353" i="20"/>
  <c r="AA1353" i="20" s="1"/>
  <c r="AC1354" i="20"/>
  <c r="AA1354" i="20" s="1"/>
  <c r="AC1355" i="20"/>
  <c r="AA1355" i="20" s="1"/>
  <c r="AC1356" i="20"/>
  <c r="AA1356" i="20" s="1"/>
  <c r="AC1357" i="20"/>
  <c r="AA1357" i="20" s="1"/>
  <c r="AC1358" i="20"/>
  <c r="AC1359" i="20"/>
  <c r="AA1359" i="20" s="1"/>
  <c r="AC1360" i="20"/>
  <c r="AA1360" i="20" s="1"/>
  <c r="AC1361" i="20"/>
  <c r="AA1361" i="20" s="1"/>
  <c r="AC1362" i="20"/>
  <c r="AA1362" i="20" s="1"/>
  <c r="AC1363" i="20"/>
  <c r="AA1363" i="20" s="1"/>
  <c r="AC1364" i="20"/>
  <c r="AA1364" i="20" s="1"/>
  <c r="AC1365" i="20"/>
  <c r="AC1366" i="20"/>
  <c r="AA1366" i="20" s="1"/>
  <c r="AC1367" i="20"/>
  <c r="AA1367" i="20" s="1"/>
  <c r="AC1368" i="20"/>
  <c r="AC1369" i="20"/>
  <c r="AA1369" i="20" s="1"/>
  <c r="AC1370" i="20"/>
  <c r="AA1370" i="20" s="1"/>
  <c r="AC1371" i="20"/>
  <c r="AA1371" i="20" s="1"/>
  <c r="AC1372" i="20"/>
  <c r="AA1372" i="20" s="1"/>
  <c r="AC1373" i="20"/>
  <c r="AA1373" i="20" s="1"/>
  <c r="AC1374" i="20"/>
  <c r="AA1374" i="20" s="1"/>
  <c r="AC1375" i="20"/>
  <c r="AA1375" i="20" s="1"/>
  <c r="AC1376" i="20"/>
  <c r="AA1376" i="20" s="1"/>
  <c r="AC1377" i="20"/>
  <c r="AC1378" i="20"/>
  <c r="AA1378" i="20" s="1"/>
  <c r="AC1379" i="20"/>
  <c r="AC1380" i="20"/>
  <c r="AA1380" i="20" s="1"/>
  <c r="AC1381" i="20"/>
  <c r="AA1381" i="20" s="1"/>
  <c r="AC1382" i="20"/>
  <c r="AC1383" i="20"/>
  <c r="AA1383" i="20" s="1"/>
  <c r="AC1384" i="20"/>
  <c r="AA1384" i="20" s="1"/>
  <c r="AC1385" i="20"/>
  <c r="AA1385" i="20" s="1"/>
  <c r="AC1386" i="20"/>
  <c r="AC1387" i="20"/>
  <c r="AA1387" i="20" s="1"/>
  <c r="AC1388" i="20"/>
  <c r="AA1388" i="20" s="1"/>
  <c r="AC1389" i="20"/>
  <c r="AC1390" i="20"/>
  <c r="AA1390" i="20" s="1"/>
  <c r="AC1391" i="20"/>
  <c r="AA1391" i="20" s="1"/>
  <c r="AC1392" i="20"/>
  <c r="AA1392" i="20" s="1"/>
  <c r="AC1393" i="20"/>
  <c r="AA1393" i="20" s="1"/>
  <c r="AC1394" i="20"/>
  <c r="AA1394" i="20" s="1"/>
  <c r="AC1395" i="20"/>
  <c r="AA1395" i="20" s="1"/>
  <c r="AC1396" i="20"/>
  <c r="AA1396" i="20" s="1"/>
  <c r="AC1397" i="20"/>
  <c r="AA1397" i="20" s="1"/>
  <c r="AC1398" i="20"/>
  <c r="AA1398" i="20" s="1"/>
  <c r="AC1399" i="20"/>
  <c r="AA1399" i="20" s="1"/>
  <c r="AC1400" i="20"/>
  <c r="AC1401" i="20"/>
  <c r="AA1401" i="20" s="1"/>
  <c r="AC1402" i="20"/>
  <c r="AA1402" i="20" s="1"/>
  <c r="AC1403" i="20"/>
  <c r="AA1403" i="20" s="1"/>
  <c r="AC1404" i="20"/>
  <c r="AA1404" i="20" s="1"/>
  <c r="AC1405" i="20"/>
  <c r="AA1405" i="20" s="1"/>
  <c r="AC1406" i="20"/>
  <c r="AA1406" i="20" s="1"/>
  <c r="AC1407" i="20"/>
  <c r="AC1408" i="20"/>
  <c r="AA1408" i="20" s="1"/>
  <c r="AC1409" i="20"/>
  <c r="AA1409" i="20" s="1"/>
  <c r="AC1410" i="20"/>
  <c r="AA1410" i="20" s="1"/>
  <c r="AC1411" i="20"/>
  <c r="AA1411" i="20" s="1"/>
  <c r="AC1412" i="20"/>
  <c r="AA1412" i="20" s="1"/>
  <c r="AC1413" i="20"/>
  <c r="AA1413" i="20" s="1"/>
  <c r="AC1414" i="20"/>
  <c r="AC1415" i="20"/>
  <c r="AA1415" i="20" s="1"/>
  <c r="AC1416" i="20"/>
  <c r="AA1416" i="20" s="1"/>
  <c r="AC1417" i="20"/>
  <c r="AA1417" i="20" s="1"/>
  <c r="AC1418" i="20"/>
  <c r="AA1418" i="20" s="1"/>
  <c r="AC1419" i="20"/>
  <c r="AA1419" i="20" s="1"/>
  <c r="AC1420" i="20"/>
  <c r="AA1420" i="20" s="1"/>
  <c r="AC1421" i="20"/>
  <c r="AA1421" i="20" s="1"/>
  <c r="AC1422" i="20"/>
  <c r="AA1422" i="20" s="1"/>
  <c r="AC1423" i="20"/>
  <c r="AA1423" i="20" s="1"/>
  <c r="AC1424" i="20"/>
  <c r="AC1425" i="20"/>
  <c r="AA1425" i="20" s="1"/>
  <c r="AC1426" i="20"/>
  <c r="AC1427" i="20"/>
  <c r="AC1428" i="20"/>
  <c r="AA1428" i="20" s="1"/>
  <c r="AC1429" i="20"/>
  <c r="AA1429" i="20" s="1"/>
  <c r="AC1430" i="20"/>
  <c r="AA1430" i="20" s="1"/>
  <c r="AC1431" i="20"/>
  <c r="AA1431" i="20" s="1"/>
  <c r="AC1432" i="20"/>
  <c r="AA1432" i="20" s="1"/>
  <c r="AC1433" i="20"/>
  <c r="AC1434" i="20"/>
  <c r="AA1434" i="20" s="1"/>
  <c r="AC1435" i="20"/>
  <c r="AA1435" i="20" s="1"/>
  <c r="AC1436" i="20"/>
  <c r="AA1436" i="20" s="1"/>
  <c r="AC1437" i="20"/>
  <c r="AA1437" i="20" s="1"/>
  <c r="AC1438" i="20"/>
  <c r="AA1438" i="20" s="1"/>
  <c r="AC1439" i="20"/>
  <c r="AA1439" i="20" s="1"/>
  <c r="AC1440" i="20"/>
  <c r="AA1440" i="20" s="1"/>
  <c r="AC1441" i="20"/>
  <c r="AA1441" i="20" s="1"/>
  <c r="AC1442" i="20"/>
  <c r="AA1442" i="20" s="1"/>
  <c r="AC1443" i="20"/>
  <c r="AA1443" i="20" s="1"/>
  <c r="AC1444" i="20"/>
  <c r="AA1444" i="20" s="1"/>
  <c r="AC1445" i="20"/>
  <c r="AA1445" i="20" s="1"/>
  <c r="AC1446" i="20"/>
  <c r="AA1446" i="20" s="1"/>
  <c r="AC1447" i="20"/>
  <c r="AA1447" i="20" s="1"/>
  <c r="AC1448" i="20"/>
  <c r="AA1448" i="20" s="1"/>
  <c r="AC1449" i="20"/>
  <c r="AA1449" i="20" s="1"/>
  <c r="AC1450" i="20"/>
  <c r="AA1450" i="20" s="1"/>
  <c r="AC1451" i="20"/>
  <c r="AA1451" i="20" s="1"/>
  <c r="AC1452" i="20"/>
  <c r="AC1453" i="20"/>
  <c r="AA1453" i="20" s="1"/>
  <c r="AC1454" i="20"/>
  <c r="AA1454" i="20" s="1"/>
  <c r="AC1455" i="20"/>
  <c r="AA1455" i="20" s="1"/>
  <c r="AC1456" i="20"/>
  <c r="AA1456" i="20" s="1"/>
  <c r="AC1457" i="20"/>
  <c r="AA1457" i="20" s="1"/>
  <c r="AC1458" i="20"/>
  <c r="AA1458" i="20" s="1"/>
  <c r="AC1459" i="20"/>
  <c r="AA1459" i="20" s="1"/>
  <c r="AC1460" i="20"/>
  <c r="AA1460" i="20" s="1"/>
  <c r="AC1461" i="20"/>
  <c r="AC1462" i="20"/>
  <c r="AA1462" i="20" s="1"/>
  <c r="AC1463" i="20"/>
  <c r="AC1464" i="20"/>
  <c r="AA1464" i="20" s="1"/>
  <c r="AC1465" i="20"/>
  <c r="AA1465" i="20" s="1"/>
  <c r="AC1466" i="20"/>
  <c r="AA1466" i="20" s="1"/>
  <c r="AC1467" i="20"/>
  <c r="AA1467" i="20" s="1"/>
  <c r="AC1468" i="20"/>
  <c r="AA1468" i="20" s="1"/>
  <c r="AC1469" i="20"/>
  <c r="AA1469" i="20" s="1"/>
  <c r="AC1470" i="20"/>
  <c r="AA1470" i="20" s="1"/>
  <c r="AC1471" i="20"/>
  <c r="AA1471" i="20" s="1"/>
  <c r="AC1472" i="20"/>
  <c r="AA1472" i="20" s="1"/>
  <c r="AC1473" i="20"/>
  <c r="AA1473" i="20" s="1"/>
  <c r="AC1474" i="20"/>
  <c r="AA1474" i="20" s="1"/>
  <c r="AC1475" i="20"/>
  <c r="AA1475" i="20" s="1"/>
  <c r="AC1476" i="20"/>
  <c r="AA1476" i="20" s="1"/>
  <c r="AC1477" i="20"/>
  <c r="AC1478" i="20"/>
  <c r="AC1479" i="20"/>
  <c r="AC1480" i="20"/>
  <c r="AC1481" i="20"/>
  <c r="AA1481" i="20" s="1"/>
  <c r="AC1482" i="20"/>
  <c r="AA1482" i="20" s="1"/>
  <c r="AC1483" i="20"/>
  <c r="AA1483" i="20" s="1"/>
  <c r="AC1484" i="20"/>
  <c r="AA1484" i="20" s="1"/>
  <c r="AC1485" i="20"/>
  <c r="AA1485" i="20" s="1"/>
  <c r="AC1486" i="20"/>
  <c r="AA1486" i="20" s="1"/>
  <c r="AC1487" i="20"/>
  <c r="AA1487" i="20" s="1"/>
  <c r="AC1488" i="20"/>
  <c r="AA1488" i="20" s="1"/>
  <c r="AC1489" i="20"/>
  <c r="AA1489" i="20" s="1"/>
  <c r="AC1490" i="20"/>
  <c r="AA1490" i="20" s="1"/>
  <c r="AC1491" i="20"/>
  <c r="AC1492" i="20"/>
  <c r="AA1492" i="20" s="1"/>
  <c r="AC1493" i="20"/>
  <c r="AA1493" i="20" s="1"/>
  <c r="AC1494" i="20"/>
  <c r="AA1494" i="20" s="1"/>
  <c r="AC1495" i="20"/>
  <c r="AA1495" i="20" s="1"/>
  <c r="AC1496" i="20"/>
  <c r="AC1497" i="20"/>
  <c r="AA1497" i="20" s="1"/>
  <c r="AC1498" i="20"/>
  <c r="AA1498" i="20" s="1"/>
  <c r="AC1499" i="20"/>
  <c r="AA1499" i="20" s="1"/>
  <c r="AC1500" i="20"/>
  <c r="AA1500" i="20" s="1"/>
  <c r="AC1501" i="20"/>
  <c r="AA1501" i="20" s="1"/>
  <c r="AC1502" i="20"/>
  <c r="AA1502" i="20" s="1"/>
  <c r="AC1503" i="20"/>
  <c r="AC1504" i="20"/>
  <c r="AA1504" i="20" s="1"/>
  <c r="AC1505" i="20"/>
  <c r="AA1505" i="20" s="1"/>
  <c r="AC1506" i="20"/>
  <c r="AA1506" i="20" s="1"/>
  <c r="AC1507" i="20"/>
  <c r="AA1507" i="20" s="1"/>
  <c r="AC1508" i="20"/>
  <c r="AC1509" i="20"/>
  <c r="AA1509" i="20" s="1"/>
  <c r="AC1510" i="20"/>
  <c r="AC1511" i="20"/>
  <c r="AA1511" i="20" s="1"/>
  <c r="AC1512" i="20"/>
  <c r="AA1512" i="20" s="1"/>
  <c r="AC1513" i="20"/>
  <c r="AA1513" i="20" s="1"/>
  <c r="AC1514" i="20"/>
  <c r="AA1514" i="20" s="1"/>
  <c r="AC1515" i="20"/>
  <c r="AC1516" i="20"/>
  <c r="AA1516" i="20" s="1"/>
  <c r="AC1517" i="20"/>
  <c r="AA1517" i="20" s="1"/>
  <c r="AC1518" i="20"/>
  <c r="AA1518" i="20" s="1"/>
  <c r="AC1519" i="20"/>
  <c r="AC1520" i="20"/>
  <c r="AA1520" i="20" s="1"/>
  <c r="AC1521" i="20"/>
  <c r="AA1521" i="20" s="1"/>
  <c r="AC1522" i="20"/>
  <c r="AA1522" i="20" s="1"/>
  <c r="AC1523" i="20"/>
  <c r="AA1523" i="20" s="1"/>
  <c r="AC1524" i="20"/>
  <c r="AA1524" i="20" s="1"/>
  <c r="AC1525" i="20"/>
  <c r="AA1525" i="20" s="1"/>
  <c r="AC1526" i="20"/>
  <c r="AA1526" i="20" s="1"/>
  <c r="AC1527" i="20"/>
  <c r="AA1527" i="20" s="1"/>
  <c r="AC1528" i="20"/>
  <c r="AA1528" i="20" s="1"/>
  <c r="AC1529" i="20"/>
  <c r="AA1529" i="20" s="1"/>
  <c r="AC1530" i="20"/>
  <c r="AA1530" i="20" s="1"/>
  <c r="AC1531" i="20"/>
  <c r="AA1531" i="20" s="1"/>
  <c r="AC1532" i="20"/>
  <c r="AA1532" i="20" s="1"/>
  <c r="AC1533" i="20"/>
  <c r="AC1534" i="20"/>
  <c r="AA1534" i="20" s="1"/>
  <c r="AC1535" i="20"/>
  <c r="AA1535" i="20" s="1"/>
  <c r="AC1536" i="20"/>
  <c r="AC1537" i="20"/>
  <c r="AA1537" i="20" s="1"/>
  <c r="AC1538" i="20"/>
  <c r="AA1538" i="20" s="1"/>
  <c r="AC1539" i="20"/>
  <c r="AA1539" i="20" s="1"/>
  <c r="AC1540" i="20"/>
  <c r="AA1540" i="20" s="1"/>
  <c r="AC1541" i="20"/>
  <c r="AA1541" i="20" s="1"/>
  <c r="AC1542" i="20"/>
  <c r="AA1542" i="20" s="1"/>
  <c r="AC1543" i="20"/>
  <c r="AA1543" i="20" s="1"/>
  <c r="AC1544" i="20"/>
  <c r="AA1544" i="20" s="1"/>
  <c r="AC1545" i="20"/>
  <c r="AA1545" i="20" s="1"/>
  <c r="AC1546" i="20"/>
  <c r="AA1546" i="20" s="1"/>
  <c r="AC1547" i="20"/>
  <c r="AC1548" i="20"/>
  <c r="AA1548" i="20" s="1"/>
  <c r="AC1549" i="20"/>
  <c r="AA1549" i="20" s="1"/>
  <c r="AC1550" i="20"/>
  <c r="AC1551" i="20"/>
  <c r="AA1551" i="20" s="1"/>
  <c r="AC1552" i="20"/>
  <c r="AC1553" i="20"/>
  <c r="AA1553" i="20" s="1"/>
  <c r="AC1554" i="20"/>
  <c r="AA1554" i="20" s="1"/>
  <c r="AC1555" i="20"/>
  <c r="AA1555" i="20" s="1"/>
  <c r="AC1556" i="20"/>
  <c r="AA1556" i="20" s="1"/>
  <c r="AC1557" i="20"/>
  <c r="AA1557" i="20" s="1"/>
  <c r="AC1558" i="20"/>
  <c r="AA1558" i="20" s="1"/>
  <c r="AC1559" i="20"/>
  <c r="AA1559" i="20" s="1"/>
  <c r="AC1560" i="20"/>
  <c r="AA1560" i="20" s="1"/>
  <c r="AC1561" i="20"/>
  <c r="AC1562" i="20"/>
  <c r="AA1562" i="20" s="1"/>
  <c r="AC1563" i="20"/>
  <c r="AA1563" i="20" s="1"/>
  <c r="AC1564" i="20"/>
  <c r="AA1564" i="20" s="1"/>
  <c r="AC1565" i="20"/>
  <c r="AA1565" i="20" s="1"/>
  <c r="AC1566" i="20"/>
  <c r="AA1566" i="20" s="1"/>
  <c r="AC1567" i="20"/>
  <c r="AA1567" i="20" s="1"/>
  <c r="AC1568" i="20"/>
  <c r="AA1568" i="20" s="1"/>
  <c r="AC1569" i="20"/>
  <c r="AA1569" i="20" s="1"/>
  <c r="AC1570" i="20"/>
  <c r="AA1570" i="20" s="1"/>
  <c r="AC1571" i="20"/>
  <c r="AC1572" i="20"/>
  <c r="AA1572" i="20" s="1"/>
  <c r="AC1573" i="20"/>
  <c r="AC1574" i="20"/>
  <c r="AA1574" i="20" s="1"/>
  <c r="AC1575" i="20"/>
  <c r="AC1576" i="20"/>
  <c r="AC1577" i="20"/>
  <c r="AA1577" i="20" s="1"/>
  <c r="AC1578" i="20"/>
  <c r="AC1579" i="20"/>
  <c r="AA1579" i="20" s="1"/>
  <c r="AC1580" i="20"/>
  <c r="AC1581" i="20"/>
  <c r="AA1581" i="20" s="1"/>
  <c r="AC1582" i="20"/>
  <c r="AA1582" i="20" s="1"/>
  <c r="AC1583" i="20"/>
  <c r="AA1583" i="20" s="1"/>
  <c r="AC1584" i="20"/>
  <c r="AA1584" i="20" s="1"/>
  <c r="AC1585" i="20"/>
  <c r="AC1586" i="20"/>
  <c r="AA1586" i="20" s="1"/>
  <c r="AC1587" i="20"/>
  <c r="AA1587" i="20" s="1"/>
  <c r="AC1588" i="20"/>
  <c r="AA1588" i="20" s="1"/>
  <c r="AC1589" i="20"/>
  <c r="AA1589" i="20" s="1"/>
  <c r="AC1590" i="20"/>
  <c r="AA1590" i="20" s="1"/>
  <c r="AC1591" i="20"/>
  <c r="AA1591" i="20" s="1"/>
  <c r="AC1592" i="20"/>
  <c r="AA1592" i="20" s="1"/>
  <c r="AC1593" i="20"/>
  <c r="AA1593" i="20" s="1"/>
  <c r="AC1594" i="20"/>
  <c r="AA1594" i="20" s="1"/>
  <c r="AC1595" i="20"/>
  <c r="AA1595" i="20" s="1"/>
  <c r="AC1596" i="20"/>
  <c r="AA1596" i="20" s="1"/>
  <c r="AC1597" i="20"/>
  <c r="AC1598" i="20"/>
  <c r="AA1598" i="20" s="1"/>
  <c r="AC1599" i="20"/>
  <c r="AA1599" i="20" s="1"/>
  <c r="AC1600" i="20"/>
  <c r="AA1600" i="20" s="1"/>
  <c r="AC1601" i="20"/>
  <c r="AA1601" i="20" s="1"/>
  <c r="AC1602" i="20"/>
  <c r="AA1602" i="20" s="1"/>
  <c r="AC1603" i="20"/>
  <c r="AC1604" i="20"/>
  <c r="AA1604" i="20" s="1"/>
  <c r="AC1605" i="20"/>
  <c r="AA1605" i="20" s="1"/>
  <c r="AC1606" i="20"/>
  <c r="AC1607" i="20"/>
  <c r="AA1607" i="20" s="1"/>
  <c r="AC1608" i="20"/>
  <c r="AC1609" i="20"/>
  <c r="AA1609" i="20" s="1"/>
  <c r="AC1610" i="20"/>
  <c r="AA1610" i="20" s="1"/>
  <c r="AC1611" i="20"/>
  <c r="AA1611" i="20" s="1"/>
  <c r="AC1612" i="20"/>
  <c r="AA1612" i="20" s="1"/>
  <c r="AC1613" i="20"/>
  <c r="AA1613" i="20" s="1"/>
  <c r="AC1614" i="20"/>
  <c r="AA1614" i="20" s="1"/>
  <c r="AC1615" i="20"/>
  <c r="AA1615" i="20" s="1"/>
  <c r="AC1616" i="20"/>
  <c r="AA1616" i="20" s="1"/>
  <c r="AC1617" i="20"/>
  <c r="AA1617" i="20" s="1"/>
  <c r="AC1618" i="20"/>
  <c r="AA1618" i="20" s="1"/>
  <c r="AC1619" i="20"/>
  <c r="AA1619" i="20" s="1"/>
  <c r="AC1620" i="20"/>
  <c r="AA1620" i="20" s="1"/>
  <c r="AC1621" i="20"/>
  <c r="AA1621" i="20" s="1"/>
  <c r="AC1622" i="20"/>
  <c r="AA1622" i="20" s="1"/>
  <c r="AC1623" i="20"/>
  <c r="AA1623" i="20" s="1"/>
  <c r="AC1624" i="20"/>
  <c r="AA1624" i="20" s="1"/>
  <c r="AC1625" i="20"/>
  <c r="AA1625" i="20" s="1"/>
  <c r="AC1626" i="20"/>
  <c r="AA1626" i="20" s="1"/>
  <c r="AC1627" i="20"/>
  <c r="AC1628" i="20"/>
  <c r="AA1628" i="20" s="1"/>
  <c r="AC1629" i="20"/>
  <c r="AA1629" i="20" s="1"/>
  <c r="AC1630" i="20"/>
  <c r="AA1630" i="20" s="1"/>
  <c r="AC1631" i="20"/>
  <c r="AC1632" i="20"/>
  <c r="AA1632" i="20" s="1"/>
  <c r="AC1633" i="20"/>
  <c r="AA1633" i="20" s="1"/>
  <c r="AC1634" i="20"/>
  <c r="AA1634" i="20" s="1"/>
  <c r="AC1635" i="20"/>
  <c r="AA1635" i="20" s="1"/>
  <c r="AC1636" i="20"/>
  <c r="AA1636" i="20" s="1"/>
  <c r="AC1637" i="20"/>
  <c r="AA1637" i="20" s="1"/>
  <c r="AC1638" i="20"/>
  <c r="AA1638" i="20" s="1"/>
  <c r="AC1639" i="20"/>
  <c r="AA1639" i="20" s="1"/>
  <c r="AC1640" i="20"/>
  <c r="AA1640" i="20" s="1"/>
  <c r="AC1641" i="20"/>
  <c r="AA1641" i="20" s="1"/>
  <c r="AC1642" i="20"/>
  <c r="AA1642" i="20" s="1"/>
  <c r="AC1643" i="20"/>
  <c r="AC1644" i="20"/>
  <c r="AA1644" i="20" s="1"/>
  <c r="AC1645" i="20"/>
  <c r="AC1646" i="20"/>
  <c r="AA1646" i="20" s="1"/>
  <c r="AC1647" i="20"/>
  <c r="AA1647" i="20" s="1"/>
  <c r="AC1648" i="20"/>
  <c r="AC1649" i="20"/>
  <c r="AA1649" i="20" s="1"/>
  <c r="AC1650" i="20"/>
  <c r="AA1650" i="20" s="1"/>
  <c r="AC1651" i="20"/>
  <c r="AA1651" i="20" s="1"/>
  <c r="AC1652" i="20"/>
  <c r="AA1652" i="20" s="1"/>
  <c r="AC1653" i="20"/>
  <c r="AA1653" i="20" s="1"/>
  <c r="AC1654" i="20"/>
  <c r="AA1654" i="20" s="1"/>
  <c r="AC1655" i="20"/>
  <c r="AC1656" i="20"/>
  <c r="AA1656" i="20" s="1"/>
  <c r="AC1657" i="20"/>
  <c r="AA1657" i="20" s="1"/>
  <c r="AC1658" i="20"/>
  <c r="AA1658" i="20" s="1"/>
  <c r="AC1659" i="20"/>
  <c r="AC1660" i="20"/>
  <c r="AA1660" i="20" s="1"/>
  <c r="AC1661" i="20"/>
  <c r="AA1661" i="20" s="1"/>
  <c r="AC1662" i="20"/>
  <c r="AA1662" i="20" s="1"/>
  <c r="AC1663" i="20"/>
  <c r="AA1663" i="20" s="1"/>
  <c r="AC1664" i="20"/>
  <c r="AA1664" i="20" s="1"/>
  <c r="AC1665" i="20"/>
  <c r="AA1665" i="20" s="1"/>
  <c r="AC1666" i="20"/>
  <c r="AA1666" i="20" s="1"/>
  <c r="AC1667" i="20"/>
  <c r="AA1667" i="20" s="1"/>
  <c r="AC1668" i="20"/>
  <c r="AA1668" i="20" s="1"/>
  <c r="AC1669" i="20"/>
  <c r="AC1670" i="20"/>
  <c r="AA1670" i="20" s="1"/>
  <c r="AC1671" i="20"/>
  <c r="AC1672" i="20"/>
  <c r="AA1672" i="20" s="1"/>
  <c r="AC1673" i="20"/>
  <c r="AC1674" i="20"/>
  <c r="AA1674" i="20" s="1"/>
  <c r="AC1675" i="20"/>
  <c r="AA1675" i="20" s="1"/>
  <c r="AC1676" i="20"/>
  <c r="AA1676" i="20" s="1"/>
  <c r="AC1677" i="20"/>
  <c r="AA1677" i="20" s="1"/>
  <c r="AC1678" i="20"/>
  <c r="AA1678" i="20" s="1"/>
  <c r="AC1679" i="20"/>
  <c r="AA1679" i="20" s="1"/>
  <c r="AC1680" i="20"/>
  <c r="AA1680" i="20" s="1"/>
  <c r="AC1681" i="20"/>
  <c r="AA1681" i="20" s="1"/>
  <c r="AC1682" i="20"/>
  <c r="AA1682" i="20" s="1"/>
  <c r="AC1683" i="20"/>
  <c r="AA1683" i="20" s="1"/>
  <c r="AC1684" i="20"/>
  <c r="AA1684" i="20" s="1"/>
  <c r="AC1685" i="20"/>
  <c r="AA1685" i="20" s="1"/>
  <c r="AC1686" i="20"/>
  <c r="AA1686" i="20" s="1"/>
  <c r="AC1687" i="20"/>
  <c r="AC1688" i="20"/>
  <c r="AA1688" i="20" s="1"/>
  <c r="AC1689" i="20"/>
  <c r="AA1689" i="20" s="1"/>
  <c r="AC1690" i="20"/>
  <c r="AC1691" i="20"/>
  <c r="AA1691" i="20" s="1"/>
  <c r="AC1692" i="20"/>
  <c r="AA1692" i="20" s="1"/>
  <c r="AC1693" i="20"/>
  <c r="AA1693" i="20" s="1"/>
  <c r="AC1694" i="20"/>
  <c r="AA1694" i="20" s="1"/>
  <c r="AC1695" i="20"/>
  <c r="AA1695" i="20" s="1"/>
  <c r="AC1696" i="20"/>
  <c r="AA1696" i="20" s="1"/>
  <c r="AC1697" i="20"/>
  <c r="AC1698" i="20"/>
  <c r="AA1698" i="20" s="1"/>
  <c r="AC1699" i="20"/>
  <c r="AC1700" i="20"/>
  <c r="AA1700" i="20" s="1"/>
  <c r="AC1701" i="20"/>
  <c r="AC1702" i="20"/>
  <c r="AC1703" i="20"/>
  <c r="AC1704" i="20"/>
  <c r="AA1704" i="20" s="1"/>
  <c r="AC1705" i="20"/>
  <c r="AA1705" i="20" s="1"/>
  <c r="AC1706" i="20"/>
  <c r="AA1706" i="20" s="1"/>
  <c r="AC1707" i="20"/>
  <c r="AA1707" i="20" s="1"/>
  <c r="AC1708" i="20"/>
  <c r="AA1708" i="20" s="1"/>
  <c r="AC1709" i="20"/>
  <c r="AA1709" i="20" s="1"/>
  <c r="AC1710" i="20"/>
  <c r="AA1710" i="20" s="1"/>
  <c r="AC1711" i="20"/>
  <c r="AA1711" i="20" s="1"/>
  <c r="AC1712" i="20"/>
  <c r="AA1712" i="20" s="1"/>
  <c r="AC1713" i="20"/>
  <c r="AA1713" i="20" s="1"/>
  <c r="AC1714" i="20"/>
  <c r="AA1714" i="20" s="1"/>
  <c r="AC1715" i="20"/>
  <c r="AC1716" i="20"/>
  <c r="AA1716" i="20" s="1"/>
  <c r="AC1717" i="20"/>
  <c r="AA1717" i="20" s="1"/>
  <c r="AC1718" i="20"/>
  <c r="AC1719" i="20"/>
  <c r="AA1719" i="20" s="1"/>
  <c r="AC1720" i="20"/>
  <c r="AC1721" i="20"/>
  <c r="AA1721" i="20" s="1"/>
  <c r="AC1722" i="20"/>
  <c r="AA1722" i="20" s="1"/>
  <c r="AC1723" i="20"/>
  <c r="AA1723" i="20" s="1"/>
  <c r="AC1724" i="20"/>
  <c r="AA1724" i="20" s="1"/>
  <c r="AC1725" i="20"/>
  <c r="AA1725" i="20" s="1"/>
  <c r="AC1726" i="20"/>
  <c r="AA1726" i="20" s="1"/>
  <c r="AC1727" i="20"/>
  <c r="AA1727" i="20" s="1"/>
  <c r="AC1728" i="20"/>
  <c r="AA1728" i="20" s="1"/>
  <c r="AC1729" i="20"/>
  <c r="AA1729" i="20" s="1"/>
  <c r="AC1730" i="20"/>
  <c r="AA1730" i="20" s="1"/>
  <c r="AC1731" i="20"/>
  <c r="AA1731" i="20" s="1"/>
  <c r="AC1732" i="20"/>
  <c r="AA1732" i="20" s="1"/>
  <c r="AC1733" i="20"/>
  <c r="AA1733" i="20" s="1"/>
  <c r="AC1734" i="20"/>
  <c r="AC1735" i="20"/>
  <c r="AA1735" i="20" s="1"/>
  <c r="AC1736" i="20"/>
  <c r="AA1736" i="20" s="1"/>
  <c r="AC1737" i="20"/>
  <c r="AA1737" i="20" s="1"/>
  <c r="AC1738" i="20"/>
  <c r="AA1738" i="20" s="1"/>
  <c r="AC1739" i="20"/>
  <c r="AA1739" i="20" s="1"/>
  <c r="AC1740" i="20"/>
  <c r="AA1740" i="20" s="1"/>
  <c r="AC1741" i="20"/>
  <c r="AA1741" i="20" s="1"/>
  <c r="AC1742" i="20"/>
  <c r="AA1742" i="20" s="1"/>
  <c r="AC1743" i="20"/>
  <c r="AC1744" i="20"/>
  <c r="AA1744" i="20" s="1"/>
  <c r="AC1745" i="20"/>
  <c r="AA1745" i="20" s="1"/>
  <c r="AC1746" i="20"/>
  <c r="AA1746" i="20" s="1"/>
  <c r="AC1747" i="20"/>
  <c r="AA1747" i="20" s="1"/>
  <c r="AC1748" i="20"/>
  <c r="AA1748" i="20" s="1"/>
  <c r="AC1749" i="20"/>
  <c r="AC1750" i="20"/>
  <c r="AA1750" i="20" s="1"/>
  <c r="AC1751" i="20"/>
  <c r="AA1751" i="20" s="1"/>
  <c r="AC1752" i="20"/>
  <c r="AA1752" i="20" s="1"/>
  <c r="AC1753" i="20"/>
  <c r="AA1753" i="20" s="1"/>
  <c r="AC1754" i="20"/>
  <c r="AA1754" i="20" s="1"/>
  <c r="AC1755" i="20"/>
  <c r="AA1755" i="20" s="1"/>
  <c r="AC1756" i="20"/>
  <c r="AA1756" i="20" s="1"/>
  <c r="AC1757" i="20"/>
  <c r="AC1758" i="20"/>
  <c r="AA1758" i="20" s="1"/>
  <c r="AC1759" i="20"/>
  <c r="AA1759" i="20" s="1"/>
  <c r="AC1760" i="20"/>
  <c r="AC1761" i="20"/>
  <c r="AA1761" i="20" s="1"/>
  <c r="AC1762" i="20"/>
  <c r="AC1763" i="20"/>
  <c r="AA1763" i="20" s="1"/>
  <c r="AC1764" i="20"/>
  <c r="AA1764" i="20" s="1"/>
  <c r="AC1765" i="20"/>
  <c r="AA1765" i="20" s="1"/>
  <c r="AC1766" i="20"/>
  <c r="AA1766" i="20" s="1"/>
  <c r="AC1767" i="20"/>
  <c r="AA1767" i="20" s="1"/>
  <c r="AC1768" i="20"/>
  <c r="AA1768" i="20" s="1"/>
  <c r="AC1769" i="20"/>
  <c r="AA1769" i="20" s="1"/>
  <c r="AC1770" i="20"/>
  <c r="AA1770" i="20" s="1"/>
  <c r="AC1771" i="20"/>
  <c r="AC1772" i="20"/>
  <c r="AA1772" i="20" s="1"/>
  <c r="AC1773" i="20"/>
  <c r="AA1773" i="20" s="1"/>
  <c r="AC1774" i="20"/>
  <c r="AA1774" i="20" s="1"/>
  <c r="AC1775" i="20"/>
  <c r="AA1775" i="20" s="1"/>
  <c r="AC1776" i="20"/>
  <c r="AA1776" i="20" s="1"/>
  <c r="AC1777" i="20"/>
  <c r="AA1777" i="20" s="1"/>
  <c r="AC1778" i="20"/>
  <c r="AA1778" i="20" s="1"/>
  <c r="AC1779" i="20"/>
  <c r="AA1779" i="20" s="1"/>
  <c r="AC1780" i="20"/>
  <c r="AA1780" i="20" s="1"/>
  <c r="AC1781" i="20"/>
  <c r="AA1781" i="20" s="1"/>
  <c r="AC1782" i="20"/>
  <c r="AA1782" i="20" s="1"/>
  <c r="AC1783" i="20"/>
  <c r="AA1783" i="20" s="1"/>
  <c r="AC1784" i="20"/>
  <c r="AA1784" i="20" s="1"/>
  <c r="AC1785" i="20"/>
  <c r="AA1785" i="20" s="1"/>
  <c r="AC1786" i="20"/>
  <c r="AA1786" i="20" s="1"/>
  <c r="AC1787" i="20"/>
  <c r="AA1787" i="20" s="1"/>
  <c r="AC1788" i="20"/>
  <c r="AC1789" i="20"/>
  <c r="AA1789" i="20" s="1"/>
  <c r="AC1790" i="20"/>
  <c r="AC1791" i="20"/>
  <c r="AA1791" i="20" s="1"/>
  <c r="AC1792" i="20"/>
  <c r="AA1792" i="20" s="1"/>
  <c r="AC1793" i="20"/>
  <c r="AA1793" i="20" s="1"/>
  <c r="AC1794" i="20"/>
  <c r="AA1794" i="20" s="1"/>
  <c r="AC1795" i="20"/>
  <c r="AA1795" i="20" s="1"/>
  <c r="AC1796" i="20"/>
  <c r="AA1796" i="20" s="1"/>
  <c r="AC1797" i="20"/>
  <c r="AA1797" i="20" s="1"/>
  <c r="AC1798" i="20"/>
  <c r="AA1798" i="20" s="1"/>
  <c r="AC1799" i="20"/>
  <c r="AA1799" i="20" s="1"/>
  <c r="AC1800" i="20"/>
  <c r="AA1800" i="20" s="1"/>
  <c r="AC1801" i="20"/>
  <c r="AA1801" i="20" s="1"/>
  <c r="AC1802" i="20"/>
  <c r="AA1802" i="20" s="1"/>
  <c r="AC1803" i="20"/>
  <c r="AA1803" i="20" s="1"/>
  <c r="AC1804" i="20"/>
  <c r="AA1804" i="20" s="1"/>
  <c r="AC1805" i="20"/>
  <c r="AC1806" i="20"/>
  <c r="AA1806" i="20" s="1"/>
  <c r="AC1807" i="20"/>
  <c r="AA1807" i="20" s="1"/>
  <c r="AC1808" i="20"/>
  <c r="AA1808" i="20" s="1"/>
  <c r="AC1809" i="20"/>
  <c r="AC1810" i="20"/>
  <c r="AA1810" i="20" s="1"/>
  <c r="AC1811" i="20"/>
  <c r="AC1812" i="20"/>
  <c r="AA1812" i="20" s="1"/>
  <c r="AC1813" i="20"/>
  <c r="AA1813" i="20" s="1"/>
  <c r="AC1814" i="20"/>
  <c r="AA1814" i="20" s="1"/>
  <c r="AC1815" i="20"/>
  <c r="AA1815" i="20" s="1"/>
  <c r="AC1816" i="20"/>
  <c r="AA1816" i="20" s="1"/>
  <c r="AC1817" i="20"/>
  <c r="AA1817" i="20" s="1"/>
  <c r="AC1818" i="20"/>
  <c r="AA1818" i="20" s="1"/>
  <c r="AC1819" i="20"/>
  <c r="AA1819" i="20" s="1"/>
  <c r="AC1820" i="20"/>
  <c r="AA1820" i="20" s="1"/>
  <c r="AC1821" i="20"/>
  <c r="AA1821" i="20" s="1"/>
  <c r="AC1822" i="20"/>
  <c r="AA1822" i="20" s="1"/>
  <c r="AC1823" i="20"/>
  <c r="AC1824" i="20"/>
  <c r="AC1825" i="20"/>
  <c r="AA1825" i="20" s="1"/>
  <c r="AC1826" i="20"/>
  <c r="AA1826" i="20" s="1"/>
  <c r="AC1827" i="20"/>
  <c r="AC1828" i="20"/>
  <c r="AA1828" i="20" s="1"/>
  <c r="AC1829" i="20"/>
  <c r="AA1829" i="20" s="1"/>
  <c r="AC1830" i="20"/>
  <c r="AA1830" i="20" s="1"/>
  <c r="AC1831" i="20"/>
  <c r="AA1831" i="20" s="1"/>
  <c r="AC1832" i="20"/>
  <c r="AC1833" i="20"/>
  <c r="AA1833" i="20" s="1"/>
  <c r="AC1834" i="20"/>
  <c r="AA1834" i="20" s="1"/>
  <c r="AC1835" i="20"/>
  <c r="AA1835" i="20" s="1"/>
  <c r="AC1836" i="20"/>
  <c r="AA1836" i="20" s="1"/>
  <c r="AC1837" i="20"/>
  <c r="AC1838" i="20"/>
  <c r="AA1838" i="20" s="1"/>
  <c r="AC1839" i="20"/>
  <c r="AA1839" i="20" s="1"/>
  <c r="AC1840" i="20"/>
  <c r="AA1840" i="20" s="1"/>
  <c r="AC1841" i="20"/>
  <c r="AA1841" i="20" s="1"/>
  <c r="AC1842" i="20"/>
  <c r="AA1842" i="20" s="1"/>
  <c r="AC1843" i="20"/>
  <c r="AA1843" i="20" s="1"/>
  <c r="AC1844" i="20"/>
  <c r="AC1845" i="20"/>
  <c r="AA1845" i="20" s="1"/>
  <c r="AC1846" i="20"/>
  <c r="AA1846" i="20" s="1"/>
  <c r="AC1847" i="20"/>
  <c r="AA1847" i="20" s="1"/>
  <c r="AC1848" i="20"/>
  <c r="AA1848" i="20" s="1"/>
  <c r="AC1849" i="20"/>
  <c r="AA1849" i="20" s="1"/>
  <c r="AC1850" i="20"/>
  <c r="AA1850" i="20" s="1"/>
  <c r="AC1851" i="20"/>
  <c r="AA1851" i="20" s="1"/>
  <c r="AC1852" i="20"/>
  <c r="AA1852" i="20" s="1"/>
  <c r="AC1853" i="20"/>
  <c r="AA1853" i="20" s="1"/>
  <c r="AC1854" i="20"/>
  <c r="AA1854" i="20" s="1"/>
  <c r="AC1855" i="20"/>
  <c r="AC1856" i="20"/>
  <c r="AA1856" i="20" s="1"/>
  <c r="AC1857" i="20"/>
  <c r="AA1857" i="20" s="1"/>
  <c r="AC1858" i="20"/>
  <c r="AA1858" i="20" s="1"/>
  <c r="AC1859" i="20"/>
  <c r="AA1859" i="20" s="1"/>
  <c r="AC1860" i="20"/>
  <c r="AC1861" i="20"/>
  <c r="AA1861" i="20" s="1"/>
  <c r="AC1862" i="20"/>
  <c r="AA1862" i="20" s="1"/>
  <c r="AC1863" i="20"/>
  <c r="AA1863" i="20" s="1"/>
  <c r="AC1864" i="20"/>
  <c r="AA1864" i="20" s="1"/>
  <c r="AC1865" i="20"/>
  <c r="AA1865" i="20" s="1"/>
  <c r="AC1866" i="20"/>
  <c r="AA1866" i="20" s="1"/>
  <c r="AC1867" i="20"/>
  <c r="AA1867" i="20" s="1"/>
  <c r="AC1868" i="20"/>
  <c r="AA1868" i="20" s="1"/>
  <c r="AC1869" i="20"/>
  <c r="AA1869" i="20" s="1"/>
  <c r="AC1870" i="20"/>
  <c r="AA1870" i="20" s="1"/>
  <c r="AC1871" i="20"/>
  <c r="AA1871" i="20" s="1"/>
  <c r="AC1872" i="20"/>
  <c r="AC1873" i="20"/>
  <c r="AA1873" i="20" s="1"/>
  <c r="AC1874" i="20"/>
  <c r="AA1874" i="20" s="1"/>
  <c r="AC1875" i="20"/>
  <c r="AA1875" i="20" s="1"/>
  <c r="AC1876" i="20"/>
  <c r="AA1876" i="20" s="1"/>
  <c r="AC1877" i="20"/>
  <c r="AA1877" i="20" s="1"/>
  <c r="AC1878" i="20"/>
  <c r="AA1878" i="20" s="1"/>
  <c r="AC1879" i="20"/>
  <c r="AC1880" i="20"/>
  <c r="AA1880" i="20" s="1"/>
  <c r="AC1881" i="20"/>
  <c r="AA1881" i="20" s="1"/>
  <c r="AC1882" i="20"/>
  <c r="AA1882" i="20" s="1"/>
  <c r="AC1883" i="20"/>
  <c r="AA1883" i="20" s="1"/>
  <c r="AC1884" i="20"/>
  <c r="AA1884" i="20" s="1"/>
  <c r="AC1885" i="20"/>
  <c r="AA1885" i="20" s="1"/>
  <c r="AC1886" i="20"/>
  <c r="AA1886" i="20" s="1"/>
  <c r="AC1887" i="20"/>
  <c r="AA1887" i="20" s="1"/>
  <c r="AC1888" i="20"/>
  <c r="AA1888" i="20" s="1"/>
  <c r="AC1889" i="20"/>
  <c r="AA1889" i="20" s="1"/>
  <c r="AC1890" i="20"/>
  <c r="AA1890" i="20" s="1"/>
  <c r="AC1891" i="20"/>
  <c r="AA1891" i="20" s="1"/>
  <c r="AC1892" i="20"/>
  <c r="AA1892" i="20" s="1"/>
  <c r="AC1893" i="20"/>
  <c r="AA1893" i="20" s="1"/>
  <c r="AC1894" i="20"/>
  <c r="AA1894" i="20" s="1"/>
  <c r="AC1895" i="20"/>
  <c r="AC1896" i="20"/>
  <c r="AA1896" i="20" s="1"/>
  <c r="AC1897" i="20"/>
  <c r="AC1898" i="20"/>
  <c r="AA1898" i="20" s="1"/>
  <c r="AC1899" i="20"/>
  <c r="AA1899" i="20" s="1"/>
  <c r="AC1900" i="20"/>
  <c r="AC1901" i="20"/>
  <c r="AA1901" i="20" s="1"/>
  <c r="AC1902" i="20"/>
  <c r="AC1903" i="20"/>
  <c r="AA1903" i="20" s="1"/>
  <c r="AC1904" i="20"/>
  <c r="AA1904" i="20" s="1"/>
  <c r="AC1905" i="20"/>
  <c r="AA1905" i="20" s="1"/>
  <c r="AC1906" i="20"/>
  <c r="AA1906" i="20" s="1"/>
  <c r="AC1907" i="20"/>
  <c r="AA1907" i="20" s="1"/>
  <c r="AC1908" i="20"/>
  <c r="AA1908" i="20" s="1"/>
  <c r="AC1909" i="20"/>
  <c r="AA1909" i="20" s="1"/>
  <c r="AC1910" i="20"/>
  <c r="AA1910" i="20" s="1"/>
  <c r="AC1911" i="20"/>
  <c r="AA1911" i="20" s="1"/>
  <c r="AC1912" i="20"/>
  <c r="AA1912" i="20" s="1"/>
  <c r="AC1913" i="20"/>
  <c r="AA1913" i="20" s="1"/>
  <c r="AC1914" i="20"/>
  <c r="AA1914" i="20" s="1"/>
  <c r="AC1915" i="20"/>
  <c r="AA1915" i="20" s="1"/>
  <c r="AC1916" i="20"/>
  <c r="AC1917" i="20"/>
  <c r="AA1917" i="20" s="1"/>
  <c r="AC1918" i="20"/>
  <c r="AA1918" i="20" s="1"/>
  <c r="AC1919" i="20"/>
  <c r="AA1919" i="20" s="1"/>
  <c r="AC1920" i="20"/>
  <c r="AA1920" i="20" s="1"/>
  <c r="AC1921" i="20"/>
  <c r="AA1921" i="20" s="1"/>
  <c r="AC1922" i="20"/>
  <c r="AA1922" i="20" s="1"/>
  <c r="AC1923" i="20"/>
  <c r="AA1923" i="20" s="1"/>
  <c r="AC1924" i="20"/>
  <c r="AA1924" i="20" s="1"/>
  <c r="AC1925" i="20"/>
  <c r="AC1926" i="20"/>
  <c r="AA1926" i="20" s="1"/>
  <c r="AC1927" i="20"/>
  <c r="AC1928" i="20"/>
  <c r="AC1929" i="20"/>
  <c r="AA1929" i="20" s="1"/>
  <c r="AC1930" i="20"/>
  <c r="AA1930" i="20" s="1"/>
  <c r="AC1931" i="20"/>
  <c r="AA1931" i="20" s="1"/>
  <c r="AC1932" i="20"/>
  <c r="AA1932" i="20" s="1"/>
  <c r="AC1933" i="20"/>
  <c r="AA1933" i="20" s="1"/>
  <c r="AC1934" i="20"/>
  <c r="AA1934" i="20" s="1"/>
  <c r="AC1935" i="20"/>
  <c r="AC1936" i="20"/>
  <c r="AA1936" i="20" s="1"/>
  <c r="AC1937" i="20"/>
  <c r="AA1937" i="20" s="1"/>
  <c r="AC1938" i="20"/>
  <c r="AA1938" i="20" s="1"/>
  <c r="AC1939" i="20"/>
  <c r="AA1939" i="20" s="1"/>
  <c r="AC1940" i="20"/>
  <c r="AA1940" i="20" s="1"/>
  <c r="AC1941" i="20"/>
  <c r="AA1941" i="20" s="1"/>
  <c r="AC1942" i="20"/>
  <c r="AA1942" i="20" s="1"/>
  <c r="AC1943" i="20"/>
  <c r="AA1943" i="20" s="1"/>
  <c r="AC1944" i="20"/>
  <c r="AA1944" i="20" s="1"/>
  <c r="AC1945" i="20"/>
  <c r="AA1945" i="20" s="1"/>
  <c r="AC1946" i="20"/>
  <c r="AA1946" i="20" s="1"/>
  <c r="AC1947" i="20"/>
  <c r="AA1947" i="20" s="1"/>
  <c r="AC1948" i="20"/>
  <c r="AA1948" i="20" s="1"/>
  <c r="AC1949" i="20"/>
  <c r="AA1949" i="20" s="1"/>
  <c r="AC1950" i="20"/>
  <c r="AA1950" i="20" s="1"/>
  <c r="AC1951" i="20"/>
  <c r="AA1951" i="20" s="1"/>
  <c r="AC1952" i="20"/>
  <c r="AA1952" i="20" s="1"/>
  <c r="AC1953" i="20"/>
  <c r="AA1953" i="20" s="1"/>
  <c r="AC1954" i="20"/>
  <c r="AA1954" i="20" s="1"/>
  <c r="AC1955" i="20"/>
  <c r="AA1955" i="20" s="1"/>
  <c r="AC1956" i="20"/>
  <c r="AA1956" i="20" s="1"/>
  <c r="AC1957" i="20"/>
  <c r="AA1957" i="20" s="1"/>
  <c r="AC1958" i="20"/>
  <c r="AA1958" i="20" s="1"/>
  <c r="AC1959" i="20"/>
  <c r="AA1959" i="20" s="1"/>
  <c r="AC1960" i="20"/>
  <c r="AC1961" i="20"/>
  <c r="AC1962" i="20"/>
  <c r="AA1962" i="20" s="1"/>
  <c r="AC1963" i="20"/>
  <c r="AC1964" i="20"/>
  <c r="AA1964" i="20" s="1"/>
  <c r="AC1965" i="20"/>
  <c r="AC1966" i="20"/>
  <c r="AA1966" i="20" s="1"/>
  <c r="AC1967" i="20"/>
  <c r="AC1968" i="20"/>
  <c r="AA1968" i="20" s="1"/>
  <c r="AC1969" i="20"/>
  <c r="AA1969" i="20" s="1"/>
  <c r="AC1970" i="20"/>
  <c r="AC1971" i="20"/>
  <c r="AA1971" i="20" s="1"/>
  <c r="AC1972" i="20"/>
  <c r="AC1973" i="20"/>
  <c r="AA1973" i="20" s="1"/>
  <c r="AC1974" i="20"/>
  <c r="AA1974" i="20" s="1"/>
  <c r="AC1975" i="20"/>
  <c r="AA1975" i="20" s="1"/>
  <c r="AC1976" i="20"/>
  <c r="AA1976" i="20" s="1"/>
  <c r="AC1977" i="20"/>
  <c r="AA1977" i="20" s="1"/>
  <c r="AC1978" i="20"/>
  <c r="AA1978" i="20" s="1"/>
  <c r="AC1979" i="20"/>
  <c r="AA1979" i="20" s="1"/>
  <c r="AC1980" i="20"/>
  <c r="AA1980" i="20" s="1"/>
  <c r="AC1981" i="20"/>
  <c r="AA1981" i="20" s="1"/>
  <c r="AC1982" i="20"/>
  <c r="AA1982" i="20" s="1"/>
  <c r="AC1983" i="20"/>
  <c r="AA1983" i="20" s="1"/>
  <c r="AC1984" i="20"/>
  <c r="AC1985" i="20"/>
  <c r="AA1985" i="20" s="1"/>
  <c r="AC1986" i="20"/>
  <c r="AC1987" i="20"/>
  <c r="AA1987" i="20" s="1"/>
  <c r="AC1988" i="20"/>
  <c r="AA1988" i="20" s="1"/>
  <c r="AC1989" i="20"/>
  <c r="AA1989" i="20" s="1"/>
  <c r="AC1990" i="20"/>
  <c r="AA1990" i="20" s="1"/>
  <c r="AC1991" i="20"/>
  <c r="AA1991" i="20" s="1"/>
  <c r="AC1992" i="20"/>
  <c r="AA1992" i="20" s="1"/>
  <c r="AC1993" i="20"/>
  <c r="AA1993" i="20" s="1"/>
  <c r="AC1994" i="20"/>
  <c r="AA1994" i="20" s="1"/>
  <c r="AC1995" i="20"/>
  <c r="AC1996" i="20"/>
  <c r="AA1996" i="20" s="1"/>
  <c r="AC1997" i="20"/>
  <c r="AA1997" i="20" s="1"/>
  <c r="AC1998" i="20"/>
  <c r="AA1998" i="20" s="1"/>
  <c r="AC1999" i="20"/>
  <c r="AA1999" i="20" s="1"/>
  <c r="AC2000" i="20"/>
  <c r="AA2000" i="20" s="1"/>
  <c r="AC2001" i="20"/>
  <c r="AA2001" i="20" s="1"/>
  <c r="AC2002" i="20"/>
  <c r="AA2002" i="20" s="1"/>
  <c r="AC2003" i="20"/>
  <c r="AC2004" i="20"/>
  <c r="AA2004" i="20" s="1"/>
  <c r="AC2005" i="20"/>
  <c r="AC2006" i="20"/>
  <c r="AA2006" i="20" s="1"/>
  <c r="AC2007" i="20"/>
  <c r="AC2008" i="20"/>
  <c r="AA2008" i="20" s="1"/>
  <c r="AC2009" i="20"/>
  <c r="AA2009" i="20" s="1"/>
  <c r="AC2010" i="20"/>
  <c r="AA2010" i="20" s="1"/>
  <c r="AC2011" i="20"/>
  <c r="AA2011" i="20" s="1"/>
  <c r="AC2012" i="20"/>
  <c r="AA2012" i="20" s="1"/>
  <c r="AC2013" i="20"/>
  <c r="AA2013" i="20" s="1"/>
  <c r="AC2014" i="20"/>
  <c r="AC2015" i="20"/>
  <c r="AA2015" i="20" s="1"/>
  <c r="AC2016" i="20"/>
  <c r="AA2016" i="20" s="1"/>
  <c r="AC2017" i="20"/>
  <c r="AA2017" i="20" s="1"/>
  <c r="AC2018" i="20"/>
  <c r="AA2018" i="20" s="1"/>
  <c r="AC2019" i="20"/>
  <c r="AA2019" i="20" s="1"/>
  <c r="AC2020" i="20"/>
  <c r="AA2020" i="20" s="1"/>
  <c r="AC2021" i="20"/>
  <c r="AA2021" i="20" s="1"/>
  <c r="AC2022" i="20"/>
  <c r="AA2022" i="20" s="1"/>
  <c r="AC2023" i="20"/>
  <c r="AC2024" i="20"/>
  <c r="AA2024" i="20" s="1"/>
  <c r="AC2025" i="20"/>
  <c r="AA2025" i="20" s="1"/>
  <c r="AC2026" i="20"/>
  <c r="AA2026" i="20" s="1"/>
  <c r="AC2027" i="20"/>
  <c r="AA2027" i="20" s="1"/>
  <c r="AC2028" i="20"/>
  <c r="AA2028" i="20" s="1"/>
  <c r="AC2029" i="20"/>
  <c r="AA2029" i="20" s="1"/>
  <c r="AC2030" i="20"/>
  <c r="AA2030" i="20" s="1"/>
  <c r="AC2031" i="20"/>
  <c r="AA2031" i="20" s="1"/>
  <c r="AC2032" i="20"/>
  <c r="AA2032" i="20" s="1"/>
  <c r="AC2033" i="20"/>
  <c r="AA2033" i="20" s="1"/>
  <c r="AC2034" i="20"/>
  <c r="AA2034" i="20" s="1"/>
  <c r="AC2035" i="20"/>
  <c r="AC2036" i="20"/>
  <c r="AA2036" i="20" s="1"/>
  <c r="AC2037" i="20"/>
  <c r="AC2038" i="20"/>
  <c r="AC2039" i="20"/>
  <c r="AA2039" i="20" s="1"/>
  <c r="AC2040" i="20"/>
  <c r="AA2040" i="20" s="1"/>
  <c r="AC2041" i="20"/>
  <c r="AA2041" i="20" s="1"/>
  <c r="AC2042" i="20"/>
  <c r="AA2042" i="20" s="1"/>
  <c r="AC2043" i="20"/>
  <c r="AA2043" i="20" s="1"/>
  <c r="AC2044" i="20"/>
  <c r="AA2044" i="20" s="1"/>
  <c r="AC2045" i="20"/>
  <c r="AA2045" i="20" s="1"/>
  <c r="AC2046" i="20"/>
  <c r="AA2046" i="20" s="1"/>
  <c r="AC2047" i="20"/>
  <c r="AA2047" i="20" s="1"/>
  <c r="AC2048" i="20"/>
  <c r="AA2048" i="20" s="1"/>
  <c r="AC2049" i="20"/>
  <c r="AA2049" i="20" s="1"/>
  <c r="AC2050" i="20"/>
  <c r="AA2050" i="20" s="1"/>
  <c r="AC2051" i="20"/>
  <c r="AC2052" i="20"/>
  <c r="AA2052" i="20" s="1"/>
  <c r="AC2053" i="20"/>
  <c r="AA2053" i="20" s="1"/>
  <c r="AC2054" i="20"/>
  <c r="AA2054" i="20" s="1"/>
  <c r="AC2055" i="20"/>
  <c r="AA2055" i="20" s="1"/>
  <c r="AC2056" i="20"/>
  <c r="AA2056" i="20" s="1"/>
  <c r="AC2057" i="20"/>
  <c r="AA2057" i="20" s="1"/>
  <c r="AC2058" i="20"/>
  <c r="AA2058" i="20" s="1"/>
  <c r="AC2059" i="20"/>
  <c r="AA2059" i="20" s="1"/>
  <c r="AC2060" i="20"/>
  <c r="AA2060" i="20" s="1"/>
  <c r="AC2061" i="20"/>
  <c r="AA2061" i="20" s="1"/>
  <c r="AC2062" i="20"/>
  <c r="AA2062" i="20" s="1"/>
  <c r="AC2063" i="20"/>
  <c r="AA2063" i="20" s="1"/>
  <c r="AC2064" i="20"/>
  <c r="AA2064" i="20" s="1"/>
  <c r="AC2065" i="20"/>
  <c r="AA2065" i="20" s="1"/>
  <c r="AC2066" i="20"/>
  <c r="AA2066" i="20" s="1"/>
  <c r="AC2067" i="20"/>
  <c r="AA2067" i="20" s="1"/>
  <c r="AC2068" i="20"/>
  <c r="AC2069" i="20"/>
  <c r="AA2069" i="20" s="1"/>
  <c r="AC2070" i="20"/>
  <c r="AA2070" i="20" s="1"/>
  <c r="AC2071" i="20"/>
  <c r="AC2072" i="20"/>
  <c r="AA2072" i="20" s="1"/>
  <c r="AC2073" i="20"/>
  <c r="AA2073" i="20" s="1"/>
  <c r="AC2074" i="20"/>
  <c r="AA2074" i="20" s="1"/>
  <c r="AC2075" i="20"/>
  <c r="AA2075" i="20" s="1"/>
  <c r="AC2076" i="20"/>
  <c r="AA2076" i="20" s="1"/>
  <c r="AC2077" i="20"/>
  <c r="AC2078" i="20"/>
  <c r="AA2078" i="20" s="1"/>
  <c r="AC2079" i="20"/>
  <c r="AA2079" i="20" s="1"/>
  <c r="AC2080" i="20"/>
  <c r="AA2080" i="20" s="1"/>
  <c r="AC2081" i="20"/>
  <c r="AA2081" i="20" s="1"/>
  <c r="AC2082" i="20"/>
  <c r="AA2082" i="20" s="1"/>
  <c r="AC2083" i="20"/>
  <c r="AA2083" i="20" s="1"/>
  <c r="AC2084" i="20"/>
  <c r="AA2084" i="20" s="1"/>
  <c r="AC2085" i="20"/>
  <c r="AA2085" i="20" s="1"/>
  <c r="AC2086" i="20"/>
  <c r="AA2086" i="20" s="1"/>
  <c r="AC2087" i="20"/>
  <c r="AA2087" i="20" s="1"/>
  <c r="AC2088" i="20"/>
  <c r="AA2088" i="20" s="1"/>
  <c r="AC2089" i="20"/>
  <c r="AA2089" i="20" s="1"/>
  <c r="AC2090" i="20"/>
  <c r="AA2090" i="20" s="1"/>
  <c r="AC2091" i="20"/>
  <c r="AA2091" i="20" s="1"/>
  <c r="AC2092" i="20"/>
  <c r="AA2092" i="20" s="1"/>
  <c r="AC2093" i="20"/>
  <c r="AC2094" i="20"/>
  <c r="AA2094" i="20" s="1"/>
  <c r="AC2095" i="20"/>
  <c r="AC2096" i="20"/>
  <c r="AA2096" i="20" s="1"/>
  <c r="AC2097" i="20"/>
  <c r="AA2097" i="20" s="1"/>
  <c r="AC2098" i="20"/>
  <c r="AA2098" i="20" s="1"/>
  <c r="AC2099" i="20"/>
  <c r="AA2099" i="20" s="1"/>
  <c r="AC2100" i="20"/>
  <c r="AA2100" i="20" s="1"/>
  <c r="AC2101" i="20"/>
  <c r="AA2101" i="20" s="1"/>
  <c r="AC2102" i="20"/>
  <c r="AA2102" i="20" s="1"/>
  <c r="AC2103" i="20"/>
  <c r="AA2103" i="20" s="1"/>
  <c r="AC2104" i="20"/>
  <c r="AA2104" i="20" s="1"/>
  <c r="AC2105" i="20"/>
  <c r="AC2106" i="20"/>
  <c r="AA2106" i="20" s="1"/>
  <c r="AC2107" i="20"/>
  <c r="AC2108" i="20"/>
  <c r="AA2108" i="20" s="1"/>
  <c r="AC2109" i="20"/>
  <c r="AA2109" i="20" s="1"/>
  <c r="AC2110" i="20"/>
  <c r="AA2110" i="20" s="1"/>
  <c r="AC2111" i="20"/>
  <c r="AA2111" i="20" s="1"/>
  <c r="AC2112" i="20"/>
  <c r="AA2112" i="20" s="1"/>
  <c r="AC2113" i="20"/>
  <c r="AA2113" i="20" s="1"/>
  <c r="AC2114" i="20"/>
  <c r="AA2114" i="20" s="1"/>
  <c r="AC2115" i="20"/>
  <c r="AA2115" i="20" s="1"/>
  <c r="AC2116" i="20"/>
  <c r="AA2116" i="20" s="1"/>
  <c r="AC2117" i="20"/>
  <c r="AA2117" i="20" s="1"/>
  <c r="AC2118" i="20"/>
  <c r="AA2118" i="20" s="1"/>
  <c r="AC2119" i="20"/>
  <c r="AC2120" i="20"/>
  <c r="AA2120" i="20" s="1"/>
  <c r="AC2121" i="20"/>
  <c r="AC2122" i="20"/>
  <c r="AA2122" i="20" s="1"/>
  <c r="AC2123" i="20"/>
  <c r="AC2124" i="20"/>
  <c r="AC2125" i="20"/>
  <c r="AA2125" i="20" s="1"/>
  <c r="AC2126" i="20"/>
  <c r="AC2127" i="20"/>
  <c r="AA2127" i="20" s="1"/>
  <c r="AC2128" i="20"/>
  <c r="AA2128" i="20" s="1"/>
  <c r="AC2129" i="20"/>
  <c r="AA2129" i="20" s="1"/>
  <c r="AC2130" i="20"/>
  <c r="AA2130" i="20" s="1"/>
  <c r="AC2131" i="20"/>
  <c r="AA2131" i="20" s="1"/>
  <c r="AC2132" i="20"/>
  <c r="AA2132" i="20" s="1"/>
  <c r="AC2133" i="20"/>
  <c r="AA2133" i="20" s="1"/>
  <c r="AC2134" i="20"/>
  <c r="AA2134" i="20" s="1"/>
  <c r="AC2135" i="20"/>
  <c r="AA2135" i="20" s="1"/>
  <c r="AC2136" i="20"/>
  <c r="AA2136" i="20" s="1"/>
  <c r="AC2137" i="20"/>
  <c r="AA2137" i="20" s="1"/>
  <c r="AC2138" i="20"/>
  <c r="AC2139" i="20"/>
  <c r="AA2139" i="20" s="1"/>
  <c r="AC2140" i="20"/>
  <c r="AA2140" i="20" s="1"/>
  <c r="AC2141" i="20"/>
  <c r="AA2141" i="20" s="1"/>
  <c r="AC2142" i="20"/>
  <c r="AA2142" i="20" s="1"/>
  <c r="AC2143" i="20"/>
  <c r="AA2143" i="20" s="1"/>
  <c r="AC2144" i="20"/>
  <c r="AA2144" i="20" s="1"/>
  <c r="AC2145" i="20"/>
  <c r="AA2145" i="20" s="1"/>
  <c r="AC2146" i="20"/>
  <c r="AA2146" i="20" s="1"/>
  <c r="AC2147" i="20"/>
  <c r="AA2147" i="20" s="1"/>
  <c r="AC2148" i="20"/>
  <c r="AA2148" i="20" s="1"/>
  <c r="AC2149" i="20"/>
  <c r="AC2150" i="20"/>
  <c r="AA2150" i="20" s="1"/>
  <c r="AC2151" i="20"/>
  <c r="AA2151" i="20" s="1"/>
  <c r="AC2152" i="20"/>
  <c r="AA2152" i="20" s="1"/>
  <c r="AC2153" i="20"/>
  <c r="AA2153" i="20" s="1"/>
  <c r="AC2154" i="20"/>
  <c r="AC2155" i="20"/>
  <c r="AA2155" i="20" s="1"/>
  <c r="AC2156" i="20"/>
  <c r="AA2156" i="20" s="1"/>
  <c r="AC2157" i="20"/>
  <c r="AA2157" i="20" s="1"/>
  <c r="AC2158" i="20"/>
  <c r="AC2159" i="20"/>
  <c r="AA2159" i="20" s="1"/>
  <c r="AC2160" i="20"/>
  <c r="AA2160" i="20" s="1"/>
  <c r="AC2161" i="20"/>
  <c r="AC2162" i="20"/>
  <c r="AA2162" i="20" s="1"/>
  <c r="AC2163" i="20"/>
  <c r="AC2164" i="20"/>
  <c r="AA2164" i="20" s="1"/>
  <c r="AC2165" i="20"/>
  <c r="AA2165" i="20" s="1"/>
  <c r="AC2166" i="20"/>
  <c r="AA2166" i="20" s="1"/>
  <c r="AC2167" i="20"/>
  <c r="AA2167" i="20" s="1"/>
  <c r="AC2168" i="20"/>
  <c r="AA2168" i="20" s="1"/>
  <c r="AC2169" i="20"/>
  <c r="AA2169" i="20" s="1"/>
  <c r="AC2170" i="20"/>
  <c r="AA2170" i="20" s="1"/>
  <c r="AC2171" i="20"/>
  <c r="AA2171" i="20" s="1"/>
  <c r="AC2172" i="20"/>
  <c r="AA2172" i="20" s="1"/>
  <c r="AC2173" i="20"/>
  <c r="AA2173" i="20" s="1"/>
  <c r="AC2174" i="20"/>
  <c r="AA2174" i="20" s="1"/>
  <c r="AC2175" i="20"/>
  <c r="AA2175" i="20" s="1"/>
  <c r="AC2176" i="20"/>
  <c r="AA2176" i="20" s="1"/>
  <c r="AC2177" i="20"/>
  <c r="AA2177" i="20" s="1"/>
  <c r="AC2178" i="20"/>
  <c r="AA2178" i="20" s="1"/>
  <c r="AC2179" i="20"/>
  <c r="AA2179" i="20" s="1"/>
  <c r="AC2180" i="20"/>
  <c r="AC2181" i="20"/>
  <c r="AA2181" i="20" s="1"/>
  <c r="AC2182" i="20"/>
  <c r="AC2183" i="20"/>
  <c r="AA2183" i="20" s="1"/>
  <c r="AC2184" i="20"/>
  <c r="AA2184" i="20" s="1"/>
  <c r="AC2185" i="20"/>
  <c r="AA2185" i="20" s="1"/>
  <c r="AC2186" i="20"/>
  <c r="AA2186" i="20" s="1"/>
  <c r="AC2187" i="20"/>
  <c r="AA2187" i="20" s="1"/>
  <c r="AC2188" i="20"/>
  <c r="AA2188" i="20" s="1"/>
  <c r="AC2189" i="20"/>
  <c r="AC2190" i="20"/>
  <c r="AA2190" i="20" s="1"/>
  <c r="AC2191" i="20"/>
  <c r="AC2192" i="20"/>
  <c r="AA2192" i="20" s="1"/>
  <c r="AC2193" i="20"/>
  <c r="AA2193" i="20" s="1"/>
  <c r="AC2194" i="20"/>
  <c r="AA2194" i="20" s="1"/>
  <c r="AC2195" i="20"/>
  <c r="AA2195" i="20" s="1"/>
  <c r="AC2196" i="20"/>
  <c r="AA2196" i="20" s="1"/>
  <c r="AC2197" i="20"/>
  <c r="AA2197" i="20" s="1"/>
  <c r="AC2198" i="20"/>
  <c r="AA2198" i="20" s="1"/>
  <c r="AC2199" i="20"/>
  <c r="AA2199" i="20" s="1"/>
  <c r="AC2200" i="20"/>
  <c r="AA2200" i="20" s="1"/>
  <c r="AC2201" i="20"/>
  <c r="AA2201" i="20" s="1"/>
  <c r="AC2202" i="20"/>
  <c r="AA2202" i="20" s="1"/>
  <c r="AC2203" i="20"/>
  <c r="AA2203" i="20" s="1"/>
  <c r="AC2204" i="20"/>
  <c r="AA2204" i="20" s="1"/>
  <c r="AC2205" i="20"/>
  <c r="AA2205" i="20" s="1"/>
  <c r="AC2206" i="20"/>
  <c r="AA2206" i="20" s="1"/>
  <c r="AC2207" i="20"/>
  <c r="AA2207" i="20" s="1"/>
  <c r="AC2208" i="20"/>
  <c r="AC2209" i="20"/>
  <c r="AA2209" i="20" s="1"/>
  <c r="AC2210" i="20"/>
  <c r="AC2211" i="20"/>
  <c r="AA2211" i="20" s="1"/>
  <c r="AC2212" i="20"/>
  <c r="AA2212" i="20" s="1"/>
  <c r="AC2213" i="20"/>
  <c r="AA2213" i="20" s="1"/>
  <c r="AC2214" i="20"/>
  <c r="AA2214" i="20" s="1"/>
  <c r="AC2215" i="20"/>
  <c r="AA2215" i="20" s="1"/>
  <c r="AC2216" i="20"/>
  <c r="AA2216" i="20" s="1"/>
  <c r="AC2217" i="20"/>
  <c r="AC2218" i="20"/>
  <c r="AA2218" i="20" s="1"/>
  <c r="AC2219" i="20"/>
  <c r="AA2219" i="20" s="1"/>
  <c r="AC2220" i="20"/>
  <c r="AA2220" i="20" s="1"/>
  <c r="AC2221" i="20"/>
  <c r="AA2221" i="20" s="1"/>
  <c r="AD2" i="20"/>
  <c r="AD3" i="20"/>
  <c r="AD4" i="20"/>
  <c r="AD5" i="20"/>
  <c r="AD6" i="20"/>
  <c r="AD7" i="20"/>
  <c r="AD8" i="20"/>
  <c r="AD9" i="20"/>
  <c r="AD10" i="20"/>
  <c r="AD11" i="20"/>
  <c r="AD12" i="20"/>
  <c r="AD13" i="20"/>
  <c r="AD14" i="20"/>
  <c r="AD15" i="20"/>
  <c r="AD16" i="20"/>
  <c r="AD17" i="20"/>
  <c r="AD18" i="20"/>
  <c r="AD19" i="20"/>
  <c r="AD20" i="20"/>
  <c r="AD21" i="20"/>
  <c r="AD22" i="20"/>
  <c r="AD23" i="20"/>
  <c r="AD24" i="20"/>
  <c r="AD25" i="20"/>
  <c r="AD26" i="20"/>
  <c r="AD27" i="20"/>
  <c r="AD28" i="20"/>
  <c r="AD29" i="20"/>
  <c r="AD30" i="20"/>
  <c r="AD31" i="20"/>
  <c r="AD32" i="20"/>
  <c r="AD33" i="20"/>
  <c r="AD34" i="20"/>
  <c r="AD35" i="20"/>
  <c r="AD36" i="20"/>
  <c r="AD37" i="20"/>
  <c r="AD38" i="20"/>
  <c r="AD39" i="20"/>
  <c r="AD40" i="20"/>
  <c r="AD41" i="20"/>
  <c r="AD42" i="20"/>
  <c r="AD43" i="20"/>
  <c r="AD44" i="20"/>
  <c r="AD45" i="20"/>
  <c r="AD46" i="20"/>
  <c r="AD47" i="20"/>
  <c r="AD48" i="20"/>
  <c r="AD49" i="20"/>
  <c r="AD50" i="20"/>
  <c r="AD51" i="20"/>
  <c r="AD52" i="20"/>
  <c r="AD53" i="20"/>
  <c r="AD54" i="20"/>
  <c r="AD55" i="20"/>
  <c r="AD56" i="20"/>
  <c r="AD57" i="20"/>
  <c r="AD58" i="20"/>
  <c r="AD59" i="20"/>
  <c r="AD60" i="20"/>
  <c r="AD61" i="20"/>
  <c r="AD62" i="20"/>
  <c r="AD63" i="20"/>
  <c r="AD64" i="20"/>
  <c r="AD65" i="20"/>
  <c r="AD66" i="20"/>
  <c r="AD67" i="20"/>
  <c r="AD68" i="20"/>
  <c r="AD69" i="20"/>
  <c r="AD70" i="20"/>
  <c r="AD71" i="20"/>
  <c r="AD72" i="20"/>
  <c r="AD73" i="20"/>
  <c r="AD74" i="20"/>
  <c r="AD75" i="20"/>
  <c r="AD76" i="20"/>
  <c r="AD77" i="20"/>
  <c r="AD78" i="20"/>
  <c r="AD79" i="20"/>
  <c r="AD80" i="20"/>
  <c r="AD81" i="20"/>
  <c r="AD82" i="20"/>
  <c r="AD83" i="20"/>
  <c r="AD84" i="20"/>
  <c r="AD85" i="20"/>
  <c r="AD86" i="20"/>
  <c r="AD87" i="20"/>
  <c r="AD88" i="20"/>
  <c r="AD89" i="20"/>
  <c r="AD90" i="20"/>
  <c r="AD91" i="20"/>
  <c r="AD92" i="20"/>
  <c r="AD93" i="20"/>
  <c r="AD94" i="20"/>
  <c r="AD95" i="20"/>
  <c r="AD96" i="20"/>
  <c r="AD97" i="20"/>
  <c r="AD98" i="20"/>
  <c r="AD99" i="20"/>
  <c r="AD100" i="20"/>
  <c r="AD101" i="20"/>
  <c r="AD102" i="20"/>
  <c r="AD103" i="20"/>
  <c r="AD104" i="20"/>
  <c r="AD105" i="20"/>
  <c r="AD106" i="20"/>
  <c r="AD107" i="20"/>
  <c r="AD108" i="20"/>
  <c r="AD109" i="20"/>
  <c r="AD110" i="20"/>
  <c r="AD111" i="20"/>
  <c r="AD112" i="20"/>
  <c r="AD113" i="20"/>
  <c r="AD114" i="20"/>
  <c r="AD115" i="20"/>
  <c r="AD116" i="20"/>
  <c r="AD117" i="20"/>
  <c r="AD118" i="20"/>
  <c r="AD119" i="20"/>
  <c r="AD120" i="20"/>
  <c r="AD121" i="20"/>
  <c r="AD122" i="20"/>
  <c r="AD123" i="20"/>
  <c r="AD124" i="20"/>
  <c r="AD125" i="20"/>
  <c r="AD126" i="20"/>
  <c r="AD127" i="20"/>
  <c r="AD128" i="20"/>
  <c r="AD129" i="20"/>
  <c r="AD130" i="20"/>
  <c r="AD131" i="20"/>
  <c r="AD132" i="20"/>
  <c r="AD133" i="20"/>
  <c r="AD134" i="20"/>
  <c r="AD135" i="20"/>
  <c r="AD136" i="20"/>
  <c r="AD137" i="20"/>
  <c r="AD138" i="20"/>
  <c r="AD139" i="20"/>
  <c r="AD140" i="20"/>
  <c r="AD141" i="20"/>
  <c r="AD142" i="20"/>
  <c r="AD143" i="20"/>
  <c r="AD144" i="20"/>
  <c r="AD145" i="20"/>
  <c r="AD146" i="20"/>
  <c r="AD147" i="20"/>
  <c r="AD148" i="20"/>
  <c r="AD149" i="20"/>
  <c r="AD150" i="20"/>
  <c r="AD151" i="20"/>
  <c r="AD152" i="20"/>
  <c r="AD153" i="20"/>
  <c r="AD154" i="20"/>
  <c r="AD155" i="20"/>
  <c r="AD156" i="20"/>
  <c r="AD157" i="20"/>
  <c r="AD158" i="20"/>
  <c r="AD159" i="20"/>
  <c r="AD160" i="20"/>
  <c r="AD161" i="20"/>
  <c r="AD162" i="20"/>
  <c r="AD163" i="20"/>
  <c r="AD164" i="20"/>
  <c r="AD165" i="20"/>
  <c r="AD166" i="20"/>
  <c r="AD167" i="20"/>
  <c r="AD168" i="20"/>
  <c r="AD169" i="20"/>
  <c r="AD170" i="20"/>
  <c r="AD171" i="20"/>
  <c r="AD172" i="20"/>
  <c r="AD173" i="20"/>
  <c r="AD174" i="20"/>
  <c r="AD175" i="20"/>
  <c r="AD176" i="20"/>
  <c r="AD177" i="20"/>
  <c r="AD178" i="20"/>
  <c r="AD179" i="20"/>
  <c r="AD180" i="20"/>
  <c r="AD181" i="20"/>
  <c r="AD182" i="20"/>
  <c r="AD183" i="20"/>
  <c r="AD184" i="20"/>
  <c r="AD185" i="20"/>
  <c r="AD186" i="20"/>
  <c r="AD187" i="20"/>
  <c r="AD188" i="20"/>
  <c r="AD189" i="20"/>
  <c r="AD190" i="20"/>
  <c r="AD191" i="20"/>
  <c r="AD192" i="20"/>
  <c r="AD193" i="20"/>
  <c r="AD194" i="20"/>
  <c r="AD195" i="20"/>
  <c r="AD196" i="20"/>
  <c r="AD197" i="20"/>
  <c r="AD198" i="20"/>
  <c r="AD199" i="20"/>
  <c r="AD200" i="20"/>
  <c r="AD201" i="20"/>
  <c r="AD202" i="20"/>
  <c r="AD203" i="20"/>
  <c r="AD204" i="20"/>
  <c r="AD205" i="20"/>
  <c r="AD206" i="20"/>
  <c r="AD207" i="20"/>
  <c r="AD208" i="20"/>
  <c r="AD209" i="20"/>
  <c r="AD210" i="20"/>
  <c r="AD211" i="20"/>
  <c r="AD212" i="20"/>
  <c r="AD213" i="20"/>
  <c r="AD214" i="20"/>
  <c r="AD215" i="20"/>
  <c r="AD216" i="20"/>
  <c r="AD217" i="20"/>
  <c r="AD218" i="20"/>
  <c r="AD219" i="20"/>
  <c r="AD220" i="20"/>
  <c r="AD221" i="20"/>
  <c r="AD222" i="20"/>
  <c r="AD223" i="20"/>
  <c r="AD224" i="20"/>
  <c r="AD225" i="20"/>
  <c r="AD226" i="20"/>
  <c r="AD227" i="20"/>
  <c r="AD228" i="20"/>
  <c r="AD229" i="20"/>
  <c r="AD230" i="20"/>
  <c r="AD231" i="20"/>
  <c r="AD232" i="20"/>
  <c r="AD233" i="20"/>
  <c r="AD234" i="20"/>
  <c r="AD235" i="20"/>
  <c r="AD236" i="20"/>
  <c r="AD237" i="20"/>
  <c r="AD238" i="20"/>
  <c r="AD239" i="20"/>
  <c r="AD240" i="20"/>
  <c r="AD241" i="20"/>
  <c r="AD242" i="20"/>
  <c r="AD243" i="20"/>
  <c r="AD244" i="20"/>
  <c r="AD245" i="20"/>
  <c r="AD246" i="20"/>
  <c r="AD247" i="20"/>
  <c r="AD248" i="20"/>
  <c r="AD249" i="20"/>
  <c r="AD250" i="20"/>
  <c r="AD251" i="20"/>
  <c r="AD252" i="20"/>
  <c r="AD253" i="20"/>
  <c r="AD254" i="20"/>
  <c r="AD255" i="20"/>
  <c r="AD256" i="20"/>
  <c r="AD257" i="20"/>
  <c r="AD258" i="20"/>
  <c r="AD259" i="20"/>
  <c r="AD260" i="20"/>
  <c r="AD261" i="20"/>
  <c r="AD262" i="20"/>
  <c r="AD263" i="20"/>
  <c r="AD264" i="20"/>
  <c r="AD265" i="20"/>
  <c r="AD266" i="20"/>
  <c r="AD267" i="20"/>
  <c r="AD268" i="20"/>
  <c r="AD269" i="20"/>
  <c r="AD270" i="20"/>
  <c r="AD271" i="20"/>
  <c r="AD272" i="20"/>
  <c r="AD273" i="20"/>
  <c r="AD274" i="20"/>
  <c r="AD275" i="20"/>
  <c r="AD276" i="20"/>
  <c r="AD277" i="20"/>
  <c r="AD278" i="20"/>
  <c r="AD279" i="20"/>
  <c r="AD280" i="20"/>
  <c r="AD281" i="20"/>
  <c r="AD282" i="20"/>
  <c r="AD283" i="20"/>
  <c r="AD284" i="20"/>
  <c r="AD285" i="20"/>
  <c r="AD286" i="20"/>
  <c r="AD287" i="20"/>
  <c r="AD288" i="20"/>
  <c r="AD289" i="20"/>
  <c r="AD290" i="20"/>
  <c r="AD291" i="20"/>
  <c r="AD292" i="20"/>
  <c r="AD293" i="20"/>
  <c r="AD294" i="20"/>
  <c r="AD295" i="20"/>
  <c r="AD296" i="20"/>
  <c r="AD297" i="20"/>
  <c r="AD298" i="20"/>
  <c r="AD299" i="20"/>
  <c r="AD300" i="20"/>
  <c r="AD301" i="20"/>
  <c r="AD302" i="20"/>
  <c r="AD303" i="20"/>
  <c r="AD304" i="20"/>
  <c r="AD305" i="20"/>
  <c r="AD306" i="20"/>
  <c r="AD307" i="20"/>
  <c r="AD308" i="20"/>
  <c r="AD309" i="20"/>
  <c r="AD310" i="20"/>
  <c r="AD311" i="20"/>
  <c r="AD312" i="20"/>
  <c r="AD313" i="20"/>
  <c r="AD314" i="20"/>
  <c r="AD315" i="20"/>
  <c r="AD316" i="20"/>
  <c r="AD317" i="20"/>
  <c r="AD318" i="20"/>
  <c r="AD319" i="20"/>
  <c r="AD320" i="20"/>
  <c r="AD321" i="20"/>
  <c r="AD322" i="20"/>
  <c r="AD323" i="20"/>
  <c r="AD324" i="20"/>
  <c r="AD325" i="20"/>
  <c r="AD326" i="20"/>
  <c r="AD327" i="20"/>
  <c r="AD328" i="20"/>
  <c r="AD329" i="20"/>
  <c r="AD330" i="20"/>
  <c r="AD331" i="20"/>
  <c r="AD332" i="20"/>
  <c r="AD333" i="20"/>
  <c r="AD334" i="20"/>
  <c r="AD335" i="20"/>
  <c r="AD336" i="20"/>
  <c r="AD337" i="20"/>
  <c r="AD338" i="20"/>
  <c r="AD339" i="20"/>
  <c r="AD340" i="20"/>
  <c r="AD341" i="20"/>
  <c r="AD342" i="20"/>
  <c r="AD343" i="20"/>
  <c r="AD344" i="20"/>
  <c r="AD345" i="20"/>
  <c r="AD346" i="20"/>
  <c r="AD347" i="20"/>
  <c r="AD348" i="20"/>
  <c r="AD349" i="20"/>
  <c r="AD350" i="20"/>
  <c r="AD351" i="20"/>
  <c r="AD352" i="20"/>
  <c r="AD353" i="20"/>
  <c r="AD354" i="20"/>
  <c r="AD355" i="20"/>
  <c r="AD356" i="20"/>
  <c r="AD357" i="20"/>
  <c r="AD358" i="20"/>
  <c r="AD359" i="20"/>
  <c r="AD360" i="20"/>
  <c r="AD361" i="20"/>
  <c r="AD362" i="20"/>
  <c r="AD363" i="20"/>
  <c r="AD364" i="20"/>
  <c r="AD365" i="20"/>
  <c r="AD366" i="20"/>
  <c r="AD367" i="20"/>
  <c r="AD368" i="20"/>
  <c r="AD369" i="20"/>
  <c r="AD370" i="20"/>
  <c r="AD371" i="20"/>
  <c r="AD372" i="20"/>
  <c r="AD373" i="20"/>
  <c r="AD374" i="20"/>
  <c r="AD375" i="20"/>
  <c r="AD376" i="20"/>
  <c r="AD377" i="20"/>
  <c r="AD378" i="20"/>
  <c r="AD379" i="20"/>
  <c r="AD380" i="20"/>
  <c r="AD381" i="20"/>
  <c r="AD382" i="20"/>
  <c r="AD383" i="20"/>
  <c r="AD384" i="20"/>
  <c r="AD385" i="20"/>
  <c r="AD386" i="20"/>
  <c r="AD387" i="20"/>
  <c r="AD388" i="20"/>
  <c r="AD389" i="20"/>
  <c r="AD390" i="20"/>
  <c r="AD391" i="20"/>
  <c r="AD392" i="20"/>
  <c r="AD393" i="20"/>
  <c r="AD394" i="20"/>
  <c r="AD395" i="20"/>
  <c r="AD396" i="20"/>
  <c r="AD397" i="20"/>
  <c r="AD398" i="20"/>
  <c r="AD399" i="20"/>
  <c r="AD400" i="20"/>
  <c r="AD401" i="20"/>
  <c r="AD402" i="20"/>
  <c r="AD403" i="20"/>
  <c r="AD404" i="20"/>
  <c r="AD405" i="20"/>
  <c r="AD406" i="20"/>
  <c r="AD407" i="20"/>
  <c r="AD408" i="20"/>
  <c r="AD409" i="20"/>
  <c r="AD410" i="20"/>
  <c r="AD411" i="20"/>
  <c r="AD412" i="20"/>
  <c r="AD413" i="20"/>
  <c r="AD414" i="20"/>
  <c r="AD415" i="20"/>
  <c r="AD416" i="20"/>
  <c r="AD417" i="20"/>
  <c r="AD418" i="20"/>
  <c r="AD419" i="20"/>
  <c r="AD420" i="20"/>
  <c r="AD421" i="20"/>
  <c r="AD422" i="20"/>
  <c r="AD423" i="20"/>
  <c r="AD424" i="20"/>
  <c r="AD425" i="20"/>
  <c r="AD426" i="20"/>
  <c r="AD427" i="20"/>
  <c r="AD428" i="20"/>
  <c r="AD429" i="20"/>
  <c r="AD430" i="20"/>
  <c r="AD431" i="20"/>
  <c r="AD432" i="20"/>
  <c r="AD433" i="20"/>
  <c r="AD434" i="20"/>
  <c r="AD435" i="20"/>
  <c r="AD436" i="20"/>
  <c r="AD437" i="20"/>
  <c r="AD438" i="20"/>
  <c r="AD439" i="20"/>
  <c r="AD440" i="20"/>
  <c r="AD441" i="20"/>
  <c r="AD442" i="20"/>
  <c r="AD443" i="20"/>
  <c r="AD444" i="20"/>
  <c r="AD445" i="20"/>
  <c r="AD446" i="20"/>
  <c r="AD447" i="20"/>
  <c r="AD448" i="20"/>
  <c r="AD449" i="20"/>
  <c r="AD450" i="20"/>
  <c r="AD451" i="20"/>
  <c r="AD452" i="20"/>
  <c r="AD453" i="20"/>
  <c r="AD454" i="20"/>
  <c r="AD455" i="20"/>
  <c r="AD456" i="20"/>
  <c r="AD457" i="20"/>
  <c r="AD458" i="20"/>
  <c r="AD459" i="20"/>
  <c r="AD460" i="20"/>
  <c r="AD461" i="20"/>
  <c r="AD462" i="20"/>
  <c r="AD463" i="20"/>
  <c r="AD464" i="20"/>
  <c r="AD465" i="20"/>
  <c r="AD466" i="20"/>
  <c r="AD467" i="20"/>
  <c r="AD468" i="20"/>
  <c r="AD469" i="20"/>
  <c r="AD470" i="20"/>
  <c r="AD471" i="20"/>
  <c r="AD472" i="20"/>
  <c r="AD473" i="20"/>
  <c r="AD474" i="20"/>
  <c r="AD475" i="20"/>
  <c r="AD476" i="20"/>
  <c r="AD477" i="20"/>
  <c r="AD478" i="20"/>
  <c r="AD479" i="20"/>
  <c r="AD480" i="20"/>
  <c r="AD481" i="20"/>
  <c r="AD482" i="20"/>
  <c r="AD483" i="20"/>
  <c r="AD484" i="20"/>
  <c r="AD485" i="20"/>
  <c r="AD486" i="20"/>
  <c r="AD487" i="20"/>
  <c r="AD488" i="20"/>
  <c r="AD489" i="20"/>
  <c r="AD490" i="20"/>
  <c r="AD491" i="20"/>
  <c r="AD492" i="20"/>
  <c r="AD493" i="20"/>
  <c r="AD494" i="20"/>
  <c r="AD495" i="20"/>
  <c r="AD496" i="20"/>
  <c r="AD497" i="20"/>
  <c r="AD498" i="20"/>
  <c r="AD499" i="20"/>
  <c r="AD500" i="20"/>
  <c r="AD501" i="20"/>
  <c r="AD502" i="20"/>
  <c r="AD503" i="20"/>
  <c r="AD504" i="20"/>
  <c r="AD505" i="20"/>
  <c r="AD506" i="20"/>
  <c r="AD507" i="20"/>
  <c r="AD508" i="20"/>
  <c r="AD509" i="20"/>
  <c r="AD510" i="20"/>
  <c r="AD511" i="20"/>
  <c r="AD512" i="20"/>
  <c r="AD513" i="20"/>
  <c r="AD514" i="20"/>
  <c r="AD515" i="20"/>
  <c r="AD516" i="20"/>
  <c r="AD517" i="20"/>
  <c r="AD518" i="20"/>
  <c r="AD519" i="20"/>
  <c r="AD520" i="20"/>
  <c r="AD521" i="20"/>
  <c r="AD522" i="20"/>
  <c r="AD523" i="20"/>
  <c r="AD524" i="20"/>
  <c r="AD525" i="20"/>
  <c r="AD526" i="20"/>
  <c r="AD527" i="20"/>
  <c r="AD528" i="20"/>
  <c r="AD529" i="20"/>
  <c r="AD530" i="20"/>
  <c r="AD531" i="20"/>
  <c r="AD532" i="20"/>
  <c r="AD533" i="20"/>
  <c r="AD534" i="20"/>
  <c r="AD535" i="20"/>
  <c r="AD536" i="20"/>
  <c r="AD537" i="20"/>
  <c r="AD538" i="20"/>
  <c r="AD539" i="20"/>
  <c r="AD540" i="20"/>
  <c r="AD541" i="20"/>
  <c r="AD542" i="20"/>
  <c r="AD543" i="20"/>
  <c r="AD544" i="20"/>
  <c r="AD545" i="20"/>
  <c r="AD546" i="20"/>
  <c r="AD547" i="20"/>
  <c r="AD548" i="20"/>
  <c r="AD549" i="20"/>
  <c r="AD550" i="20"/>
  <c r="AD551" i="20"/>
  <c r="AD552" i="20"/>
  <c r="AD553" i="20"/>
  <c r="AD554" i="20"/>
  <c r="AD555" i="20"/>
  <c r="AD556" i="20"/>
  <c r="AD557" i="20"/>
  <c r="AD558" i="20"/>
  <c r="AD559" i="20"/>
  <c r="AD560" i="20"/>
  <c r="AD561" i="20"/>
  <c r="AD562" i="20"/>
  <c r="AD563" i="20"/>
  <c r="AD564" i="20"/>
  <c r="AD565" i="20"/>
  <c r="AD566" i="20"/>
  <c r="AD567" i="20"/>
  <c r="AD568" i="20"/>
  <c r="AD569" i="20"/>
  <c r="AD570" i="20"/>
  <c r="AD571" i="20"/>
  <c r="AD572" i="20"/>
  <c r="AD573" i="20"/>
  <c r="AD574" i="20"/>
  <c r="AD575" i="20"/>
  <c r="AD576" i="20"/>
  <c r="AD577" i="20"/>
  <c r="AD578" i="20"/>
  <c r="AD579" i="20"/>
  <c r="AD580" i="20"/>
  <c r="AD581" i="20"/>
  <c r="AD582" i="20"/>
  <c r="AD583" i="20"/>
  <c r="AD584" i="20"/>
  <c r="AD585" i="20"/>
  <c r="AD586" i="20"/>
  <c r="AD587" i="20"/>
  <c r="AD588" i="20"/>
  <c r="AD589" i="20"/>
  <c r="AD590" i="20"/>
  <c r="AD591" i="20"/>
  <c r="AD592" i="20"/>
  <c r="AD593" i="20"/>
  <c r="AD594" i="20"/>
  <c r="AD595" i="20"/>
  <c r="AD596" i="20"/>
  <c r="AD597" i="20"/>
  <c r="AD598" i="20"/>
  <c r="AD599" i="20"/>
  <c r="AD600" i="20"/>
  <c r="AD601" i="20"/>
  <c r="AD602" i="20"/>
  <c r="AD603" i="20"/>
  <c r="AD604" i="20"/>
  <c r="AD605" i="20"/>
  <c r="AD606" i="20"/>
  <c r="AD607" i="20"/>
  <c r="AD608" i="20"/>
  <c r="AD609" i="20"/>
  <c r="AD610" i="20"/>
  <c r="AD611" i="20"/>
  <c r="AD612" i="20"/>
  <c r="AD613" i="20"/>
  <c r="AD614" i="20"/>
  <c r="AD615" i="20"/>
  <c r="AD616" i="20"/>
  <c r="AD617" i="20"/>
  <c r="AD618" i="20"/>
  <c r="AD619" i="20"/>
  <c r="AD620" i="20"/>
  <c r="AD621" i="20"/>
  <c r="AD622" i="20"/>
  <c r="AD623" i="20"/>
  <c r="AD624" i="20"/>
  <c r="AD625" i="20"/>
  <c r="AD626" i="20"/>
  <c r="AD627" i="20"/>
  <c r="AD628" i="20"/>
  <c r="AD629" i="20"/>
  <c r="AD630" i="20"/>
  <c r="AD631" i="20"/>
  <c r="AD632" i="20"/>
  <c r="AD633" i="20"/>
  <c r="AD634" i="20"/>
  <c r="AD635" i="20"/>
  <c r="AD636" i="20"/>
  <c r="AD637" i="20"/>
  <c r="AD638" i="20"/>
  <c r="AD639" i="20"/>
  <c r="AD640" i="20"/>
  <c r="AD641" i="20"/>
  <c r="AD642" i="20"/>
  <c r="AD643" i="20"/>
  <c r="AD644" i="20"/>
  <c r="AD645" i="20"/>
  <c r="AD646" i="20"/>
  <c r="AD647" i="20"/>
  <c r="AD648" i="20"/>
  <c r="AD649" i="20"/>
  <c r="AD650" i="20"/>
  <c r="AD651" i="20"/>
  <c r="AD652" i="20"/>
  <c r="AD653" i="20"/>
  <c r="AD654" i="20"/>
  <c r="AD655" i="20"/>
  <c r="AD656" i="20"/>
  <c r="AD657" i="20"/>
  <c r="AD658" i="20"/>
  <c r="AD659" i="20"/>
  <c r="AD660" i="20"/>
  <c r="AD661" i="20"/>
  <c r="AD662" i="20"/>
  <c r="AD663" i="20"/>
  <c r="AD664" i="20"/>
  <c r="AD665" i="20"/>
  <c r="AD666" i="20"/>
  <c r="AD667" i="20"/>
  <c r="AD668" i="20"/>
  <c r="AD669" i="20"/>
  <c r="AD670" i="20"/>
  <c r="AD671" i="20"/>
  <c r="AD672" i="20"/>
  <c r="AD673" i="20"/>
  <c r="AD674" i="20"/>
  <c r="AD675" i="20"/>
  <c r="AD676" i="20"/>
  <c r="AD677" i="20"/>
  <c r="AD678" i="20"/>
  <c r="AD679" i="20"/>
  <c r="AD680" i="20"/>
  <c r="AD681" i="20"/>
  <c r="AD682" i="20"/>
  <c r="AD683" i="20"/>
  <c r="AD684" i="20"/>
  <c r="AD685" i="20"/>
  <c r="AD686" i="20"/>
  <c r="AD687" i="20"/>
  <c r="AD688" i="20"/>
  <c r="AD689" i="20"/>
  <c r="AD690" i="20"/>
  <c r="AD691" i="20"/>
  <c r="AD692" i="20"/>
  <c r="AD693" i="20"/>
  <c r="AD694" i="20"/>
  <c r="AD695" i="20"/>
  <c r="AD696" i="20"/>
  <c r="AD697" i="20"/>
  <c r="AD698" i="20"/>
  <c r="AD699" i="20"/>
  <c r="AD700" i="20"/>
  <c r="AD701" i="20"/>
  <c r="AD702" i="20"/>
  <c r="AD703" i="20"/>
  <c r="AD704" i="20"/>
  <c r="AD705" i="20"/>
  <c r="AD706" i="20"/>
  <c r="AD707" i="20"/>
  <c r="AD708" i="20"/>
  <c r="AD709" i="20"/>
  <c r="AD710" i="20"/>
  <c r="AD711" i="20"/>
  <c r="AD712" i="20"/>
  <c r="AD713" i="20"/>
  <c r="AD714" i="20"/>
  <c r="AD715" i="20"/>
  <c r="AD716" i="20"/>
  <c r="AD717" i="20"/>
  <c r="AD718" i="20"/>
  <c r="AD719" i="20"/>
  <c r="AD720" i="20"/>
  <c r="AD721" i="20"/>
  <c r="AD722" i="20"/>
  <c r="AD723" i="20"/>
  <c r="AD724" i="20"/>
  <c r="AD725" i="20"/>
  <c r="AD726" i="20"/>
  <c r="AD727" i="20"/>
  <c r="AD728" i="20"/>
  <c r="AD729" i="20"/>
  <c r="AD730" i="20"/>
  <c r="AD731" i="20"/>
  <c r="AD732" i="20"/>
  <c r="AD733" i="20"/>
  <c r="AD734" i="20"/>
  <c r="AD735" i="20"/>
  <c r="AD736" i="20"/>
  <c r="AD737" i="20"/>
  <c r="AD738" i="20"/>
  <c r="AD739" i="20"/>
  <c r="AD740" i="20"/>
  <c r="AD741" i="20"/>
  <c r="AD742" i="20"/>
  <c r="AD743" i="20"/>
  <c r="AD744" i="20"/>
  <c r="AD745" i="20"/>
  <c r="AD746" i="20"/>
  <c r="AD747" i="20"/>
  <c r="AD748" i="20"/>
  <c r="AD749" i="20"/>
  <c r="AD750" i="20"/>
  <c r="AD751" i="20"/>
  <c r="AD752" i="20"/>
  <c r="AD753" i="20"/>
  <c r="AD754" i="20"/>
  <c r="AD755" i="20"/>
  <c r="AD756" i="20"/>
  <c r="AD757" i="20"/>
  <c r="AD758" i="20"/>
  <c r="AD759" i="20"/>
  <c r="AD760" i="20"/>
  <c r="AD761" i="20"/>
  <c r="AD762" i="20"/>
  <c r="AD763" i="20"/>
  <c r="AD764" i="20"/>
  <c r="AD765" i="20"/>
  <c r="AD766" i="20"/>
  <c r="AD767" i="20"/>
  <c r="AD768" i="20"/>
  <c r="AD769" i="20"/>
  <c r="AD770" i="20"/>
  <c r="AD771" i="20"/>
  <c r="AD772" i="20"/>
  <c r="AD773" i="20"/>
  <c r="AD774" i="20"/>
  <c r="AD775" i="20"/>
  <c r="AD776" i="20"/>
  <c r="AD777" i="20"/>
  <c r="AD778" i="20"/>
  <c r="AD779" i="20"/>
  <c r="AD780" i="20"/>
  <c r="AD781" i="20"/>
  <c r="AD782" i="20"/>
  <c r="AD783" i="20"/>
  <c r="AD784" i="20"/>
  <c r="AD785" i="20"/>
  <c r="AD786" i="20"/>
  <c r="AD787" i="20"/>
  <c r="AD788" i="20"/>
  <c r="AD789" i="20"/>
  <c r="AD790" i="20"/>
  <c r="AD791" i="20"/>
  <c r="AD792" i="20"/>
  <c r="AD793" i="20"/>
  <c r="AD794" i="20"/>
  <c r="AD795" i="20"/>
  <c r="AD796" i="20"/>
  <c r="AD797" i="20"/>
  <c r="AD798" i="20"/>
  <c r="AD799" i="20"/>
  <c r="AD800" i="20"/>
  <c r="AD801" i="20"/>
  <c r="AD802" i="20"/>
  <c r="AD803" i="20"/>
  <c r="AD804" i="20"/>
  <c r="AD805" i="20"/>
  <c r="AD806" i="20"/>
  <c r="AD807" i="20"/>
  <c r="AD808" i="20"/>
  <c r="AD809" i="20"/>
  <c r="AD810" i="20"/>
  <c r="AD811" i="20"/>
  <c r="AD812" i="20"/>
  <c r="AD813" i="20"/>
  <c r="AD814" i="20"/>
  <c r="AD815" i="20"/>
  <c r="AD816" i="20"/>
  <c r="AD817" i="20"/>
  <c r="AD818" i="20"/>
  <c r="AD819" i="20"/>
  <c r="AD820" i="20"/>
  <c r="AD821" i="20"/>
  <c r="AD822" i="20"/>
  <c r="AD823" i="20"/>
  <c r="AD824" i="20"/>
  <c r="AD825" i="20"/>
  <c r="AD826" i="20"/>
  <c r="AD827" i="20"/>
  <c r="AD828" i="20"/>
  <c r="AD829" i="20"/>
  <c r="AD830" i="20"/>
  <c r="AD831" i="20"/>
  <c r="AD832" i="20"/>
  <c r="AD833" i="20"/>
  <c r="AD834" i="20"/>
  <c r="AD835" i="20"/>
  <c r="AD836" i="20"/>
  <c r="AD837" i="20"/>
  <c r="AD838" i="20"/>
  <c r="AD839" i="20"/>
  <c r="AD840" i="20"/>
  <c r="AD841" i="20"/>
  <c r="AD842" i="20"/>
  <c r="AD843" i="20"/>
  <c r="AD844" i="20"/>
  <c r="AD845" i="20"/>
  <c r="AD846" i="20"/>
  <c r="AD847" i="20"/>
  <c r="AD848" i="20"/>
  <c r="AD849" i="20"/>
  <c r="AD850" i="20"/>
  <c r="AD851" i="20"/>
  <c r="AD852" i="20"/>
  <c r="AD853" i="20"/>
  <c r="AD854" i="20"/>
  <c r="AD855" i="20"/>
  <c r="AD856" i="20"/>
  <c r="AD857" i="20"/>
  <c r="AD858" i="20"/>
  <c r="AD859" i="20"/>
  <c r="AD860" i="20"/>
  <c r="AD861" i="20"/>
  <c r="AD862" i="20"/>
  <c r="AD863" i="20"/>
  <c r="AD864" i="20"/>
  <c r="AD865" i="20"/>
  <c r="AD866" i="20"/>
  <c r="AD867" i="20"/>
  <c r="AD868" i="20"/>
  <c r="AD869" i="20"/>
  <c r="AD870" i="20"/>
  <c r="AD871" i="20"/>
  <c r="AD872" i="20"/>
  <c r="AD873" i="20"/>
  <c r="AD874" i="20"/>
  <c r="AD875" i="20"/>
  <c r="AD876" i="20"/>
  <c r="AD877" i="20"/>
  <c r="AD878" i="20"/>
  <c r="AD879" i="20"/>
  <c r="AD880" i="20"/>
  <c r="AD881" i="20"/>
  <c r="AD882" i="20"/>
  <c r="AD883" i="20"/>
  <c r="AD884" i="20"/>
  <c r="AD885" i="20"/>
  <c r="AD886" i="20"/>
  <c r="AD887" i="20"/>
  <c r="AD888" i="20"/>
  <c r="AD889" i="20"/>
  <c r="AD890" i="20"/>
  <c r="AD891" i="20"/>
  <c r="AD892" i="20"/>
  <c r="AD893" i="20"/>
  <c r="AD894" i="20"/>
  <c r="AD895" i="20"/>
  <c r="AD896" i="20"/>
  <c r="AD897" i="20"/>
  <c r="AD898" i="20"/>
  <c r="AD899" i="20"/>
  <c r="AD900" i="20"/>
  <c r="AD901" i="20"/>
  <c r="AD902" i="20"/>
  <c r="AD903" i="20"/>
  <c r="AD904" i="20"/>
  <c r="AD905" i="20"/>
  <c r="AD906" i="20"/>
  <c r="AD907" i="20"/>
  <c r="AD908" i="20"/>
  <c r="AD909" i="20"/>
  <c r="AD910" i="20"/>
  <c r="AD911" i="20"/>
  <c r="AD912" i="20"/>
  <c r="AD913" i="20"/>
  <c r="AD914" i="20"/>
  <c r="AD915" i="20"/>
  <c r="AD916" i="20"/>
  <c r="AD917" i="20"/>
  <c r="AD918" i="20"/>
  <c r="AD919" i="20"/>
  <c r="AD920" i="20"/>
  <c r="AD921" i="20"/>
  <c r="AD922" i="20"/>
  <c r="AD923" i="20"/>
  <c r="AD924" i="20"/>
  <c r="AD925" i="20"/>
  <c r="AD926" i="20"/>
  <c r="AD927" i="20"/>
  <c r="AD928" i="20"/>
  <c r="AD929" i="20"/>
  <c r="AD930" i="20"/>
  <c r="AD931" i="20"/>
  <c r="AD932" i="20"/>
  <c r="AD933" i="20"/>
  <c r="AD934" i="20"/>
  <c r="AD935" i="20"/>
  <c r="AD936" i="20"/>
  <c r="AD937" i="20"/>
  <c r="AD938" i="20"/>
  <c r="AD939" i="20"/>
  <c r="AD940" i="20"/>
  <c r="AD941" i="20"/>
  <c r="AD942" i="20"/>
  <c r="AD943" i="20"/>
  <c r="AD944" i="20"/>
  <c r="AD945" i="20"/>
  <c r="AD946" i="20"/>
  <c r="AD947" i="20"/>
  <c r="AD948" i="20"/>
  <c r="AD949" i="20"/>
  <c r="AD950" i="20"/>
  <c r="AD951" i="20"/>
  <c r="AD952" i="20"/>
  <c r="AD953" i="20"/>
  <c r="AD954" i="20"/>
  <c r="AD955" i="20"/>
  <c r="AD956" i="20"/>
  <c r="AD957" i="20"/>
  <c r="AD958" i="20"/>
  <c r="AD959" i="20"/>
  <c r="AD960" i="20"/>
  <c r="AD961" i="20"/>
  <c r="AD962" i="20"/>
  <c r="AD963" i="20"/>
  <c r="AD964" i="20"/>
  <c r="AD965" i="20"/>
  <c r="AD966" i="20"/>
  <c r="AD967" i="20"/>
  <c r="AD968" i="20"/>
  <c r="AD969" i="20"/>
  <c r="AD970" i="20"/>
  <c r="AD971" i="20"/>
  <c r="AD972" i="20"/>
  <c r="AD973" i="20"/>
  <c r="AD974" i="20"/>
  <c r="AD975" i="20"/>
  <c r="AD976" i="20"/>
  <c r="AD977" i="20"/>
  <c r="AD978" i="20"/>
  <c r="AD979" i="20"/>
  <c r="AD980" i="20"/>
  <c r="AD981" i="20"/>
  <c r="AD982" i="20"/>
  <c r="AD983" i="20"/>
  <c r="AD984" i="20"/>
  <c r="AD985" i="20"/>
  <c r="AD986" i="20"/>
  <c r="AD987" i="20"/>
  <c r="AD988" i="20"/>
  <c r="AD989" i="20"/>
  <c r="AD990" i="20"/>
  <c r="AD991" i="20"/>
  <c r="AD992" i="20"/>
  <c r="AD993" i="20"/>
  <c r="AD994" i="20"/>
  <c r="AD995" i="20"/>
  <c r="AD996" i="20"/>
  <c r="AD997" i="20"/>
  <c r="AD998" i="20"/>
  <c r="AD999" i="20"/>
  <c r="AD1000" i="20"/>
  <c r="AD1001" i="20"/>
  <c r="AD1002" i="20"/>
  <c r="AD1003" i="20"/>
  <c r="AD1004" i="20"/>
  <c r="AD1005" i="20"/>
  <c r="AD1006" i="20"/>
  <c r="AD1007" i="20"/>
  <c r="AD1008" i="20"/>
  <c r="AD1009" i="20"/>
  <c r="AD1010" i="20"/>
  <c r="AD1011" i="20"/>
  <c r="AD1012" i="20"/>
  <c r="AD1013" i="20"/>
  <c r="AD1014" i="20"/>
  <c r="AD1015" i="20"/>
  <c r="AD1016" i="20"/>
  <c r="AD1017" i="20"/>
  <c r="AD1018" i="20"/>
  <c r="AD1019" i="20"/>
  <c r="AD1020" i="20"/>
  <c r="AD1021" i="20"/>
  <c r="AD1022" i="20"/>
  <c r="AD1023" i="20"/>
  <c r="AD1024" i="20"/>
  <c r="AD1025" i="20"/>
  <c r="AD1026" i="20"/>
  <c r="AD1027" i="20"/>
  <c r="AD1028" i="20"/>
  <c r="AD1029" i="20"/>
  <c r="AD1030" i="20"/>
  <c r="AD1031" i="20"/>
  <c r="AD1032" i="20"/>
  <c r="AD1033" i="20"/>
  <c r="AD1034" i="20"/>
  <c r="AD1035" i="20"/>
  <c r="AD1036" i="20"/>
  <c r="AD1037" i="20"/>
  <c r="AD1038" i="20"/>
  <c r="AD1039" i="20"/>
  <c r="AD1040" i="20"/>
  <c r="AD1041" i="20"/>
  <c r="AD1042" i="20"/>
  <c r="AD1043" i="20"/>
  <c r="AD1044" i="20"/>
  <c r="AD1045" i="20"/>
  <c r="AD1046" i="20"/>
  <c r="AD1047" i="20"/>
  <c r="AD1048" i="20"/>
  <c r="AD1049" i="20"/>
  <c r="AD1050" i="20"/>
  <c r="AD1051" i="20"/>
  <c r="AD1052" i="20"/>
  <c r="AD1053" i="20"/>
  <c r="AD1054" i="20"/>
  <c r="AD1055" i="20"/>
  <c r="AD1056" i="20"/>
  <c r="AD1057" i="20"/>
  <c r="AD1058" i="20"/>
  <c r="AD1059" i="20"/>
  <c r="AD1060" i="20"/>
  <c r="AD1061" i="20"/>
  <c r="AD1062" i="20"/>
  <c r="AD1063" i="20"/>
  <c r="AD1064" i="20"/>
  <c r="AD1065" i="20"/>
  <c r="AD1066" i="20"/>
  <c r="AD1067" i="20"/>
  <c r="AD1068" i="20"/>
  <c r="AD1069" i="20"/>
  <c r="AD1070" i="20"/>
  <c r="AD1071" i="20"/>
  <c r="AD1072" i="20"/>
  <c r="AD1073" i="20"/>
  <c r="AD1074" i="20"/>
  <c r="AD1075" i="20"/>
  <c r="AD1076" i="20"/>
  <c r="AD1077" i="20"/>
  <c r="AD1078" i="20"/>
  <c r="AD1079" i="20"/>
  <c r="AD1080" i="20"/>
  <c r="AD1081" i="20"/>
  <c r="AD1082" i="20"/>
  <c r="AD1083" i="20"/>
  <c r="AD1084" i="20"/>
  <c r="AD1085" i="20"/>
  <c r="AD1086" i="20"/>
  <c r="AD1087" i="20"/>
  <c r="AD1088" i="20"/>
  <c r="AD1089" i="20"/>
  <c r="AD1090" i="20"/>
  <c r="AD1091" i="20"/>
  <c r="AD1092" i="20"/>
  <c r="AD1093" i="20"/>
  <c r="AD1094" i="20"/>
  <c r="AD1095" i="20"/>
  <c r="AD1096" i="20"/>
  <c r="AD1097" i="20"/>
  <c r="AD1098" i="20"/>
  <c r="AD1099" i="20"/>
  <c r="AD1100" i="20"/>
  <c r="AD1101" i="20"/>
  <c r="AD1102" i="20"/>
  <c r="AD1103" i="20"/>
  <c r="AD1104" i="20"/>
  <c r="AD1105" i="20"/>
  <c r="AD1106" i="20"/>
  <c r="AD1107" i="20"/>
  <c r="AD1108" i="20"/>
  <c r="AD1109" i="20"/>
  <c r="AD1110" i="20"/>
  <c r="AD1111" i="20"/>
  <c r="AD1112" i="20"/>
  <c r="AD1113" i="20"/>
  <c r="AD1114" i="20"/>
  <c r="AD1115" i="20"/>
  <c r="AD1116" i="20"/>
  <c r="AD1117" i="20"/>
  <c r="AD1118" i="20"/>
  <c r="AD1119" i="20"/>
  <c r="AD1120" i="20"/>
  <c r="AD1121" i="20"/>
  <c r="AD1122" i="20"/>
  <c r="AD1123" i="20"/>
  <c r="AD1124" i="20"/>
  <c r="AD1125" i="20"/>
  <c r="AD1126" i="20"/>
  <c r="AD1127" i="20"/>
  <c r="AD1128" i="20"/>
  <c r="AD1129" i="20"/>
  <c r="AD1130" i="20"/>
  <c r="AD1131" i="20"/>
  <c r="AD1132" i="20"/>
  <c r="AD1133" i="20"/>
  <c r="AD1134" i="20"/>
  <c r="AD1135" i="20"/>
  <c r="AD1136" i="20"/>
  <c r="AD1137" i="20"/>
  <c r="AD1138" i="20"/>
  <c r="AD1139" i="20"/>
  <c r="AD1140" i="20"/>
  <c r="AD1141" i="20"/>
  <c r="AD1142" i="20"/>
  <c r="AD1143" i="20"/>
  <c r="AD1144" i="20"/>
  <c r="AD1145" i="20"/>
  <c r="AD1146" i="20"/>
  <c r="AD1147" i="20"/>
  <c r="AD1148" i="20"/>
  <c r="AD1149" i="20"/>
  <c r="AD1150" i="20"/>
  <c r="AD1151" i="20"/>
  <c r="AD1152" i="20"/>
  <c r="AD1153" i="20"/>
  <c r="AD1154" i="20"/>
  <c r="AD1155" i="20"/>
  <c r="AD1156" i="20"/>
  <c r="AD1157" i="20"/>
  <c r="AD1158" i="20"/>
  <c r="AD1159" i="20"/>
  <c r="AD1160" i="20"/>
  <c r="AD1161" i="20"/>
  <c r="AD1162" i="20"/>
  <c r="AD1163" i="20"/>
  <c r="AD1164" i="20"/>
  <c r="AD1165" i="20"/>
  <c r="AD1166" i="20"/>
  <c r="AD1167" i="20"/>
  <c r="AD1168" i="20"/>
  <c r="AD1169" i="20"/>
  <c r="AD1170" i="20"/>
  <c r="AD1171" i="20"/>
  <c r="AD1172" i="20"/>
  <c r="AD1173" i="20"/>
  <c r="AD1174" i="20"/>
  <c r="AD1175" i="20"/>
  <c r="AD1176" i="20"/>
  <c r="AD1177" i="20"/>
  <c r="AD1178" i="20"/>
  <c r="AD1179" i="20"/>
  <c r="AD1180" i="20"/>
  <c r="AD1181" i="20"/>
  <c r="AD1182" i="20"/>
  <c r="AD1183" i="20"/>
  <c r="AD1184" i="20"/>
  <c r="AD1185" i="20"/>
  <c r="AD1186" i="20"/>
  <c r="AD1187" i="20"/>
  <c r="AD1188" i="20"/>
  <c r="AD1189" i="20"/>
  <c r="AD1190" i="20"/>
  <c r="AD1191" i="20"/>
  <c r="AD1192" i="20"/>
  <c r="AD1193" i="20"/>
  <c r="AD1194" i="20"/>
  <c r="AD1195" i="20"/>
  <c r="AD1196" i="20"/>
  <c r="AD1197" i="20"/>
  <c r="AD1198" i="20"/>
  <c r="AD1199" i="20"/>
  <c r="AD1200" i="20"/>
  <c r="AD1201" i="20"/>
  <c r="AD1202" i="20"/>
  <c r="AD1203" i="20"/>
  <c r="AD1204" i="20"/>
  <c r="AD1205" i="20"/>
  <c r="AD1206" i="20"/>
  <c r="AD1207" i="20"/>
  <c r="AD1208" i="20"/>
  <c r="AD1209" i="20"/>
  <c r="AD1210" i="20"/>
  <c r="AD1211" i="20"/>
  <c r="AD1212" i="20"/>
  <c r="AD1213" i="20"/>
  <c r="AD1214" i="20"/>
  <c r="AD1215" i="20"/>
  <c r="AD1216" i="20"/>
  <c r="AD1217" i="20"/>
  <c r="AD1218" i="20"/>
  <c r="AD1219" i="20"/>
  <c r="AD1220" i="20"/>
  <c r="AD1221" i="20"/>
  <c r="AD1222" i="20"/>
  <c r="AD1223" i="20"/>
  <c r="AD1224" i="20"/>
  <c r="AD1225" i="20"/>
  <c r="AD1226" i="20"/>
  <c r="AD1227" i="20"/>
  <c r="AD1228" i="20"/>
  <c r="AD1229" i="20"/>
  <c r="AD1230" i="20"/>
  <c r="AD1231" i="20"/>
  <c r="AD1232" i="20"/>
  <c r="AD1233" i="20"/>
  <c r="AD1234" i="20"/>
  <c r="AD1235" i="20"/>
  <c r="AD1236" i="20"/>
  <c r="AD1237" i="20"/>
  <c r="AD1238" i="20"/>
  <c r="AD1239" i="20"/>
  <c r="AD1240" i="20"/>
  <c r="AD1241" i="20"/>
  <c r="AD1242" i="20"/>
  <c r="AD1243" i="20"/>
  <c r="AD1244" i="20"/>
  <c r="AD1245" i="20"/>
  <c r="AD1246" i="20"/>
  <c r="AD1247" i="20"/>
  <c r="AD1248" i="20"/>
  <c r="AD1249" i="20"/>
  <c r="AD1250" i="20"/>
  <c r="AD1251" i="20"/>
  <c r="AD1252" i="20"/>
  <c r="AD1253" i="20"/>
  <c r="AD1254" i="20"/>
  <c r="AD1255" i="20"/>
  <c r="AD1256" i="20"/>
  <c r="AD1257" i="20"/>
  <c r="AD1258" i="20"/>
  <c r="AD1259" i="20"/>
  <c r="AD1260" i="20"/>
  <c r="AD1261" i="20"/>
  <c r="AD1262" i="20"/>
  <c r="AD1263" i="20"/>
  <c r="AD1264" i="20"/>
  <c r="AD1265" i="20"/>
  <c r="AD1266" i="20"/>
  <c r="AD1267" i="20"/>
  <c r="AD1268" i="20"/>
  <c r="AD1269" i="20"/>
  <c r="AD1270" i="20"/>
  <c r="AD1271" i="20"/>
  <c r="AD1272" i="20"/>
  <c r="AD1273" i="20"/>
  <c r="AD1274" i="20"/>
  <c r="AD1275" i="20"/>
  <c r="AD1276" i="20"/>
  <c r="AD1277" i="20"/>
  <c r="AD1278" i="20"/>
  <c r="AD1279" i="20"/>
  <c r="AD1280" i="20"/>
  <c r="AD1281" i="20"/>
  <c r="AD1282" i="20"/>
  <c r="AD1283" i="20"/>
  <c r="AD1284" i="20"/>
  <c r="AD1285" i="20"/>
  <c r="AD1286" i="20"/>
  <c r="AD1287" i="20"/>
  <c r="AD1288" i="20"/>
  <c r="AD1289" i="20"/>
  <c r="AD1290" i="20"/>
  <c r="AD1291" i="20"/>
  <c r="AD1292" i="20"/>
  <c r="AD1293" i="20"/>
  <c r="AD1294" i="20"/>
  <c r="AD1295" i="20"/>
  <c r="AD1296" i="20"/>
  <c r="AD1297" i="20"/>
  <c r="AD1298" i="20"/>
  <c r="AD1299" i="20"/>
  <c r="AD1300" i="20"/>
  <c r="AD1301" i="20"/>
  <c r="AD1302" i="20"/>
  <c r="AD1303" i="20"/>
  <c r="AD1304" i="20"/>
  <c r="AD1305" i="20"/>
  <c r="AD1306" i="20"/>
  <c r="AD1307" i="20"/>
  <c r="AD1308" i="20"/>
  <c r="AD1309" i="20"/>
  <c r="AD1310" i="20"/>
  <c r="AD1311" i="20"/>
  <c r="AD1312" i="20"/>
  <c r="AD1313" i="20"/>
  <c r="AD1314" i="20"/>
  <c r="AD1315" i="20"/>
  <c r="AD1316" i="20"/>
  <c r="AD1317" i="20"/>
  <c r="AD1318" i="20"/>
  <c r="AD1319" i="20"/>
  <c r="AD1320" i="20"/>
  <c r="AD1321" i="20"/>
  <c r="AD1322" i="20"/>
  <c r="AD1323" i="20"/>
  <c r="AD1324" i="20"/>
  <c r="AD1325" i="20"/>
  <c r="AD1326" i="20"/>
  <c r="AD1327" i="20"/>
  <c r="AD1328" i="20"/>
  <c r="AD1329" i="20"/>
  <c r="AD1330" i="20"/>
  <c r="AD1331" i="20"/>
  <c r="AD1332" i="20"/>
  <c r="AD1333" i="20"/>
  <c r="AD1334" i="20"/>
  <c r="AD1335" i="20"/>
  <c r="AD1336" i="20"/>
  <c r="AD1337" i="20"/>
  <c r="AD1338" i="20"/>
  <c r="AD1339" i="20"/>
  <c r="AD1340" i="20"/>
  <c r="AD1341" i="20"/>
  <c r="AD1342" i="20"/>
  <c r="AD1343" i="20"/>
  <c r="AD1344" i="20"/>
  <c r="AD1345" i="20"/>
  <c r="AD1346" i="20"/>
  <c r="AD1347" i="20"/>
  <c r="AD1348" i="20"/>
  <c r="AD1349" i="20"/>
  <c r="AD1350" i="20"/>
  <c r="AD1351" i="20"/>
  <c r="AD1352" i="20"/>
  <c r="AD1353" i="20"/>
  <c r="AD1354" i="20"/>
  <c r="AD1355" i="20"/>
  <c r="AD1356" i="20"/>
  <c r="AD1357" i="20"/>
  <c r="AD1358" i="20"/>
  <c r="AD1359" i="20"/>
  <c r="AD1360" i="20"/>
  <c r="AD1361" i="20"/>
  <c r="AD1362" i="20"/>
  <c r="AD1363" i="20"/>
  <c r="AD1364" i="20"/>
  <c r="AD1365" i="20"/>
  <c r="AD1366" i="20"/>
  <c r="AD1367" i="20"/>
  <c r="AD1368" i="20"/>
  <c r="AD1369" i="20"/>
  <c r="AD1370" i="20"/>
  <c r="AD1371" i="20"/>
  <c r="AD1372" i="20"/>
  <c r="AD1373" i="20"/>
  <c r="AD1374" i="20"/>
  <c r="AD1375" i="20"/>
  <c r="AD1376" i="20"/>
  <c r="AD1377" i="20"/>
  <c r="AD1378" i="20"/>
  <c r="AD1379" i="20"/>
  <c r="AD1380" i="20"/>
  <c r="AD1381" i="20"/>
  <c r="AD1382" i="20"/>
  <c r="AD1383" i="20"/>
  <c r="AD1384" i="20"/>
  <c r="AD1385" i="20"/>
  <c r="AD1386" i="20"/>
  <c r="AD1387" i="20"/>
  <c r="AD1388" i="20"/>
  <c r="AD1389" i="20"/>
  <c r="AD1390" i="20"/>
  <c r="AD1391" i="20"/>
  <c r="AD1392" i="20"/>
  <c r="AD1393" i="20"/>
  <c r="AD1394" i="20"/>
  <c r="AD1395" i="20"/>
  <c r="AD1396" i="20"/>
  <c r="AD1397" i="20"/>
  <c r="AD1398" i="20"/>
  <c r="AD1399" i="20"/>
  <c r="AD1400" i="20"/>
  <c r="AD1401" i="20"/>
  <c r="AD1402" i="20"/>
  <c r="AD1403" i="20"/>
  <c r="AD1404" i="20"/>
  <c r="AD1405" i="20"/>
  <c r="AD1406" i="20"/>
  <c r="AD1407" i="20"/>
  <c r="AD1408" i="20"/>
  <c r="AD1409" i="20"/>
  <c r="AD1410" i="20"/>
  <c r="AD1411" i="20"/>
  <c r="AD1412" i="20"/>
  <c r="AD1413" i="20"/>
  <c r="AD1414" i="20"/>
  <c r="AD1415" i="20"/>
  <c r="AD1416" i="20"/>
  <c r="AD1417" i="20"/>
  <c r="AD1418" i="20"/>
  <c r="AD1419" i="20"/>
  <c r="AD1420" i="20"/>
  <c r="AD1421" i="20"/>
  <c r="AD1422" i="20"/>
  <c r="AD1423" i="20"/>
  <c r="AD1424" i="20"/>
  <c r="AD1425" i="20"/>
  <c r="AD1426" i="20"/>
  <c r="AD1427" i="20"/>
  <c r="AD1428" i="20"/>
  <c r="AD1429" i="20"/>
  <c r="AD1430" i="20"/>
  <c r="AD1431" i="20"/>
  <c r="AD1432" i="20"/>
  <c r="AD1433" i="20"/>
  <c r="AD1434" i="20"/>
  <c r="AD1435" i="20"/>
  <c r="AD1436" i="20"/>
  <c r="AD1437" i="20"/>
  <c r="AD1438" i="20"/>
  <c r="AD1439" i="20"/>
  <c r="AD1440" i="20"/>
  <c r="AD1441" i="20"/>
  <c r="AD1442" i="20"/>
  <c r="AD1443" i="20"/>
  <c r="AD1444" i="20"/>
  <c r="AD1445" i="20"/>
  <c r="AD1446" i="20"/>
  <c r="AD1447" i="20"/>
  <c r="AD1448" i="20"/>
  <c r="AD1449" i="20"/>
  <c r="AD1450" i="20"/>
  <c r="AD1451" i="20"/>
  <c r="AD1452" i="20"/>
  <c r="AD1453" i="20"/>
  <c r="AD1454" i="20"/>
  <c r="AD1455" i="20"/>
  <c r="AD1456" i="20"/>
  <c r="AD1457" i="20"/>
  <c r="AD1458" i="20"/>
  <c r="AD1459" i="20"/>
  <c r="AD1460" i="20"/>
  <c r="AD1461" i="20"/>
  <c r="AD1462" i="20"/>
  <c r="AD1463" i="20"/>
  <c r="AD1464" i="20"/>
  <c r="AD1465" i="20"/>
  <c r="AD1466" i="20"/>
  <c r="AD1467" i="20"/>
  <c r="AD1468" i="20"/>
  <c r="AD1469" i="20"/>
  <c r="AD1470" i="20"/>
  <c r="AD1471" i="20"/>
  <c r="AD1472" i="20"/>
  <c r="AD1473" i="20"/>
  <c r="AD1474" i="20"/>
  <c r="AD1475" i="20"/>
  <c r="AD1476" i="20"/>
  <c r="AD1477" i="20"/>
  <c r="AD1478" i="20"/>
  <c r="AD1479" i="20"/>
  <c r="AD1480" i="20"/>
  <c r="AD1481" i="20"/>
  <c r="AD1482" i="20"/>
  <c r="AD1483" i="20"/>
  <c r="AD1484" i="20"/>
  <c r="AD1485" i="20"/>
  <c r="AD1486" i="20"/>
  <c r="AD1487" i="20"/>
  <c r="AD1488" i="20"/>
  <c r="AD1489" i="20"/>
  <c r="AD1490" i="20"/>
  <c r="AD1491" i="20"/>
  <c r="AD1492" i="20"/>
  <c r="AD1493" i="20"/>
  <c r="AD1494" i="20"/>
  <c r="AD1495" i="20"/>
  <c r="AD1496" i="20"/>
  <c r="AD1497" i="20"/>
  <c r="AD1498" i="20"/>
  <c r="AD1499" i="20"/>
  <c r="AD1500" i="20"/>
  <c r="AD1501" i="20"/>
  <c r="AD1502" i="20"/>
  <c r="AD1503" i="20"/>
  <c r="AD1504" i="20"/>
  <c r="AD1505" i="20"/>
  <c r="AD1506" i="20"/>
  <c r="AD1507" i="20"/>
  <c r="AD1508" i="20"/>
  <c r="AD1509" i="20"/>
  <c r="AD1510" i="20"/>
  <c r="AD1511" i="20"/>
  <c r="AD1512" i="20"/>
  <c r="AD1513" i="20"/>
  <c r="AD1514" i="20"/>
  <c r="AD1515" i="20"/>
  <c r="AD1516" i="20"/>
  <c r="AD1517" i="20"/>
  <c r="AD1518" i="20"/>
  <c r="AD1519" i="20"/>
  <c r="AD1520" i="20"/>
  <c r="AD1521" i="20"/>
  <c r="AD1522" i="20"/>
  <c r="AD1523" i="20"/>
  <c r="AD1524" i="20"/>
  <c r="AD1525" i="20"/>
  <c r="AD1526" i="20"/>
  <c r="AD1527" i="20"/>
  <c r="AD1528" i="20"/>
  <c r="AD1529" i="20"/>
  <c r="AD1530" i="20"/>
  <c r="AD1531" i="20"/>
  <c r="AD1532" i="20"/>
  <c r="AD1533" i="20"/>
  <c r="AD1534" i="20"/>
  <c r="AD1535" i="20"/>
  <c r="AD1536" i="20"/>
  <c r="AD1537" i="20"/>
  <c r="AD1538" i="20"/>
  <c r="AD1539" i="20"/>
  <c r="AD1540" i="20"/>
  <c r="AD1541" i="20"/>
  <c r="AD1542" i="20"/>
  <c r="AD1543" i="20"/>
  <c r="AD1544" i="20"/>
  <c r="AD1545" i="20"/>
  <c r="AD1546" i="20"/>
  <c r="AD1547" i="20"/>
  <c r="AD1548" i="20"/>
  <c r="AD1549" i="20"/>
  <c r="AD1550" i="20"/>
  <c r="AD1551" i="20"/>
  <c r="AD1552" i="20"/>
  <c r="AD1553" i="20"/>
  <c r="AD1554" i="20"/>
  <c r="AD1555" i="20"/>
  <c r="AD1556" i="20"/>
  <c r="AD1557" i="20"/>
  <c r="AD1558" i="20"/>
  <c r="AD1559" i="20"/>
  <c r="AD1560" i="20"/>
  <c r="AD1561" i="20"/>
  <c r="AD1562" i="20"/>
  <c r="AD1563" i="20"/>
  <c r="AD1564" i="20"/>
  <c r="AD1565" i="20"/>
  <c r="AD1566" i="20"/>
  <c r="AD1567" i="20"/>
  <c r="AD1568" i="20"/>
  <c r="AD1569" i="20"/>
  <c r="AD1570" i="20"/>
  <c r="AD1571" i="20"/>
  <c r="AD1572" i="20"/>
  <c r="AD1573" i="20"/>
  <c r="AD1574" i="20"/>
  <c r="AD1575" i="20"/>
  <c r="AD1576" i="20"/>
  <c r="AD1577" i="20"/>
  <c r="AD1578" i="20"/>
  <c r="AD1579" i="20"/>
  <c r="AD1580" i="20"/>
  <c r="AD1581" i="20"/>
  <c r="AD1582" i="20"/>
  <c r="AD1583" i="20"/>
  <c r="AD1584" i="20"/>
  <c r="AD1585" i="20"/>
  <c r="AD1586" i="20"/>
  <c r="AD1587" i="20"/>
  <c r="AD1588" i="20"/>
  <c r="AD1589" i="20"/>
  <c r="AD1590" i="20"/>
  <c r="AD1591" i="20"/>
  <c r="AD1592" i="20"/>
  <c r="AD1593" i="20"/>
  <c r="AD1594" i="20"/>
  <c r="AD1595" i="20"/>
  <c r="AD1596" i="20"/>
  <c r="AD1597" i="20"/>
  <c r="AD1598" i="20"/>
  <c r="AD1599" i="20"/>
  <c r="AD1600" i="20"/>
  <c r="AD1601" i="20"/>
  <c r="AD1602" i="20"/>
  <c r="AD1603" i="20"/>
  <c r="AD1604" i="20"/>
  <c r="AD1605" i="20"/>
  <c r="AD1606" i="20"/>
  <c r="AD1607" i="20"/>
  <c r="AD1608" i="20"/>
  <c r="AD1609" i="20"/>
  <c r="AD1610" i="20"/>
  <c r="AD1611" i="20"/>
  <c r="AD1612" i="20"/>
  <c r="AD1613" i="20"/>
  <c r="AD1614" i="20"/>
  <c r="AD1615" i="20"/>
  <c r="AD1616" i="20"/>
  <c r="AD1617" i="20"/>
  <c r="AD1618" i="20"/>
  <c r="AD1619" i="20"/>
  <c r="AD1620" i="20"/>
  <c r="AD1621" i="20"/>
  <c r="AD1622" i="20"/>
  <c r="AD1623" i="20"/>
  <c r="AD1624" i="20"/>
  <c r="AD1625" i="20"/>
  <c r="AD1626" i="20"/>
  <c r="AD1627" i="20"/>
  <c r="AD1628" i="20"/>
  <c r="AD1629" i="20"/>
  <c r="AD1630" i="20"/>
  <c r="AD1631" i="20"/>
  <c r="AD1632" i="20"/>
  <c r="AD1633" i="20"/>
  <c r="AD1634" i="20"/>
  <c r="AD1635" i="20"/>
  <c r="AD1636" i="20"/>
  <c r="AD1637" i="20"/>
  <c r="AD1638" i="20"/>
  <c r="AD1639" i="20"/>
  <c r="AD1640" i="20"/>
  <c r="AD1641" i="20"/>
  <c r="AD1642" i="20"/>
  <c r="AD1643" i="20"/>
  <c r="AD1644" i="20"/>
  <c r="AD1645" i="20"/>
  <c r="AD1646" i="20"/>
  <c r="AD1647" i="20"/>
  <c r="AD1648" i="20"/>
  <c r="AD1649" i="20"/>
  <c r="AD1650" i="20"/>
  <c r="AD1651" i="20"/>
  <c r="AD1652" i="20"/>
  <c r="AD1653" i="20"/>
  <c r="AD1654" i="20"/>
  <c r="AD1655" i="20"/>
  <c r="AD1656" i="20"/>
  <c r="AD1657" i="20"/>
  <c r="AD1658" i="20"/>
  <c r="AD1659" i="20"/>
  <c r="AD1660" i="20"/>
  <c r="AD1661" i="20"/>
  <c r="AD1662" i="20"/>
  <c r="AD1663" i="20"/>
  <c r="AD1664" i="20"/>
  <c r="AD1665" i="20"/>
  <c r="AD1666" i="20"/>
  <c r="AD1667" i="20"/>
  <c r="AD1668" i="20"/>
  <c r="AD1669" i="20"/>
  <c r="AD1670" i="20"/>
  <c r="AD1671" i="20"/>
  <c r="AD1672" i="20"/>
  <c r="AD1673" i="20"/>
  <c r="AD1674" i="20"/>
  <c r="AD1675" i="20"/>
  <c r="AD1676" i="20"/>
  <c r="AD1677" i="20"/>
  <c r="AD1678" i="20"/>
  <c r="AD1679" i="20"/>
  <c r="AD1680" i="20"/>
  <c r="AD1681" i="20"/>
  <c r="AD1682" i="20"/>
  <c r="AD1683" i="20"/>
  <c r="AD1684" i="20"/>
  <c r="AD1685" i="20"/>
  <c r="AD1686" i="20"/>
  <c r="AD1687" i="20"/>
  <c r="AD1688" i="20"/>
  <c r="AD1689" i="20"/>
  <c r="AD1690" i="20"/>
  <c r="AD1691" i="20"/>
  <c r="AD1692" i="20"/>
  <c r="AD1693" i="20"/>
  <c r="AD1694" i="20"/>
  <c r="AD1695" i="20"/>
  <c r="AD1696" i="20"/>
  <c r="AD1697" i="20"/>
  <c r="AD1698" i="20"/>
  <c r="AD1699" i="20"/>
  <c r="AD1700" i="20"/>
  <c r="AD1701" i="20"/>
  <c r="AD1702" i="20"/>
  <c r="AD1703" i="20"/>
  <c r="AD1704" i="20"/>
  <c r="AD1705" i="20"/>
  <c r="AD1706" i="20"/>
  <c r="AD1707" i="20"/>
  <c r="AD1708" i="20"/>
  <c r="AD1709" i="20"/>
  <c r="AD1710" i="20"/>
  <c r="AD1711" i="20"/>
  <c r="AD1712" i="20"/>
  <c r="AD1713" i="20"/>
  <c r="AD1714" i="20"/>
  <c r="AD1715" i="20"/>
  <c r="AD1716" i="20"/>
  <c r="AD1717" i="20"/>
  <c r="AD1718" i="20"/>
  <c r="AD1719" i="20"/>
  <c r="AD1720" i="20"/>
  <c r="AD1721" i="20"/>
  <c r="AD1722" i="20"/>
  <c r="AD1723" i="20"/>
  <c r="AD1724" i="20"/>
  <c r="AD1725" i="20"/>
  <c r="AD1726" i="20"/>
  <c r="AD1727" i="20"/>
  <c r="AD1728" i="20"/>
  <c r="AD1729" i="20"/>
  <c r="AD1730" i="20"/>
  <c r="AD1731" i="20"/>
  <c r="AD1732" i="20"/>
  <c r="AD1733" i="20"/>
  <c r="AD1734" i="20"/>
  <c r="AD1735" i="20"/>
  <c r="AD1736" i="20"/>
  <c r="AD1737" i="20"/>
  <c r="AD1738" i="20"/>
  <c r="AD1739" i="20"/>
  <c r="AD1740" i="20"/>
  <c r="AD1741" i="20"/>
  <c r="AD1742" i="20"/>
  <c r="AD1743" i="20"/>
  <c r="AD1744" i="20"/>
  <c r="AD1745" i="20"/>
  <c r="AD1746" i="20"/>
  <c r="AD1747" i="20"/>
  <c r="AD1748" i="20"/>
  <c r="AD1749" i="20"/>
  <c r="AD1750" i="20"/>
  <c r="AD1751" i="20"/>
  <c r="AD1752" i="20"/>
  <c r="AD1753" i="20"/>
  <c r="AD1754" i="20"/>
  <c r="AD1755" i="20"/>
  <c r="AD1756" i="20"/>
  <c r="AD1757" i="20"/>
  <c r="AD1758" i="20"/>
  <c r="AD1759" i="20"/>
  <c r="AD1760" i="20"/>
  <c r="AD1761" i="20"/>
  <c r="AD1762" i="20"/>
  <c r="AD1763" i="20"/>
  <c r="AD1764" i="20"/>
  <c r="AD1765" i="20"/>
  <c r="AD1766" i="20"/>
  <c r="AD1767" i="20"/>
  <c r="AD1768" i="20"/>
  <c r="AD1769" i="20"/>
  <c r="AD1770" i="20"/>
  <c r="AD1771" i="20"/>
  <c r="AD1772" i="20"/>
  <c r="AD1773" i="20"/>
  <c r="AD1774" i="20"/>
  <c r="AD1775" i="20"/>
  <c r="AD1776" i="20"/>
  <c r="AD1777" i="20"/>
  <c r="AD1778" i="20"/>
  <c r="AD1779" i="20"/>
  <c r="AD1780" i="20"/>
  <c r="AD1781" i="20"/>
  <c r="AD1782" i="20"/>
  <c r="AD1783" i="20"/>
  <c r="AD1784" i="20"/>
  <c r="AD1785" i="20"/>
  <c r="AD1786" i="20"/>
  <c r="AD1787" i="20"/>
  <c r="AD1788" i="20"/>
  <c r="AD1789" i="20"/>
  <c r="AD1790" i="20"/>
  <c r="AD1791" i="20"/>
  <c r="AD1792" i="20"/>
  <c r="AD1793" i="20"/>
  <c r="AD1794" i="20"/>
  <c r="AD1795" i="20"/>
  <c r="AD1796" i="20"/>
  <c r="AD1797" i="20"/>
  <c r="AD1798" i="20"/>
  <c r="AD1799" i="20"/>
  <c r="AD1800" i="20"/>
  <c r="AD1801" i="20"/>
  <c r="AD1802" i="20"/>
  <c r="AD1803" i="20"/>
  <c r="AD1804" i="20"/>
  <c r="AD1805" i="20"/>
  <c r="AD1806" i="20"/>
  <c r="AD1807" i="20"/>
  <c r="AD1808" i="20"/>
  <c r="AD1809" i="20"/>
  <c r="AD1810" i="20"/>
  <c r="AD1811" i="20"/>
  <c r="AD1812" i="20"/>
  <c r="AD1813" i="20"/>
  <c r="AD1814" i="20"/>
  <c r="AD1815" i="20"/>
  <c r="AD1816" i="20"/>
  <c r="AD1817" i="20"/>
  <c r="AD1818" i="20"/>
  <c r="AD1819" i="20"/>
  <c r="AD1820" i="20"/>
  <c r="AD1821" i="20"/>
  <c r="AD1822" i="20"/>
  <c r="AD1823" i="20"/>
  <c r="AD1824" i="20"/>
  <c r="AD1825" i="20"/>
  <c r="AD1826" i="20"/>
  <c r="AD1827" i="20"/>
  <c r="AD1828" i="20"/>
  <c r="AD1829" i="20"/>
  <c r="AD1830" i="20"/>
  <c r="AD1831" i="20"/>
  <c r="AD1832" i="20"/>
  <c r="AD1833" i="20"/>
  <c r="AD1834" i="20"/>
  <c r="AD1835" i="20"/>
  <c r="AD1836" i="20"/>
  <c r="AD1837" i="20"/>
  <c r="AD1838" i="20"/>
  <c r="AD1839" i="20"/>
  <c r="AD1840" i="20"/>
  <c r="AD1841" i="20"/>
  <c r="AD1842" i="20"/>
  <c r="AD1843" i="20"/>
  <c r="AD1844" i="20"/>
  <c r="AD1845" i="20"/>
  <c r="AD1846" i="20"/>
  <c r="AD1847" i="20"/>
  <c r="AD1848" i="20"/>
  <c r="AD1849" i="20"/>
  <c r="AD1850" i="20"/>
  <c r="AD1851" i="20"/>
  <c r="AD1852" i="20"/>
  <c r="AD1853" i="20"/>
  <c r="AD1854" i="20"/>
  <c r="AD1855" i="20"/>
  <c r="AD1856" i="20"/>
  <c r="AD1857" i="20"/>
  <c r="AD1858" i="20"/>
  <c r="AD1859" i="20"/>
  <c r="AD1860" i="20"/>
  <c r="AD1861" i="20"/>
  <c r="AD1862" i="20"/>
  <c r="AD1863" i="20"/>
  <c r="AD1864" i="20"/>
  <c r="AD1865" i="20"/>
  <c r="AD1866" i="20"/>
  <c r="AD1867" i="20"/>
  <c r="AD1868" i="20"/>
  <c r="AD1869" i="20"/>
  <c r="AD1870" i="20"/>
  <c r="AD1871" i="20"/>
  <c r="AD1872" i="20"/>
  <c r="AD1873" i="20"/>
  <c r="AD1874" i="20"/>
  <c r="AD1875" i="20"/>
  <c r="AD1876" i="20"/>
  <c r="AD1877" i="20"/>
  <c r="AD1878" i="20"/>
  <c r="AD1879" i="20"/>
  <c r="AD1880" i="20"/>
  <c r="AD1881" i="20"/>
  <c r="AD1882" i="20"/>
  <c r="AD1883" i="20"/>
  <c r="AD1884" i="20"/>
  <c r="AD1885" i="20"/>
  <c r="AD1886" i="20"/>
  <c r="AD1887" i="20"/>
  <c r="AD1888" i="20"/>
  <c r="AD1889" i="20"/>
  <c r="AD1890" i="20"/>
  <c r="AD1891" i="20"/>
  <c r="AD1892" i="20"/>
  <c r="AD1893" i="20"/>
  <c r="AD1894" i="20"/>
  <c r="AD1895" i="20"/>
  <c r="AD1896" i="20"/>
  <c r="AD1897" i="20"/>
  <c r="AD1898" i="20"/>
  <c r="AD1899" i="20"/>
  <c r="AD1900" i="20"/>
  <c r="AD1901" i="20"/>
  <c r="AD1902" i="20"/>
  <c r="AD1903" i="20"/>
  <c r="AD1904" i="20"/>
  <c r="AD1905" i="20"/>
  <c r="AD1906" i="20"/>
  <c r="AD1907" i="20"/>
  <c r="AD1908" i="20"/>
  <c r="AD1909" i="20"/>
  <c r="AD1910" i="20"/>
  <c r="AD1911" i="20"/>
  <c r="AD1912" i="20"/>
  <c r="AD1913" i="20"/>
  <c r="AD1914" i="20"/>
  <c r="AD1915" i="20"/>
  <c r="AD1916" i="20"/>
  <c r="AD1917" i="20"/>
  <c r="AD1918" i="20"/>
  <c r="AD1919" i="20"/>
  <c r="AD1920" i="20"/>
  <c r="AD1921" i="20"/>
  <c r="AD1922" i="20"/>
  <c r="AD1923" i="20"/>
  <c r="AD1924" i="20"/>
  <c r="AD1925" i="20"/>
  <c r="AD1926" i="20"/>
  <c r="AD1927" i="20"/>
  <c r="AD1928" i="20"/>
  <c r="AD1929" i="20"/>
  <c r="AD1930" i="20"/>
  <c r="AD1931" i="20"/>
  <c r="AD1932" i="20"/>
  <c r="AD1933" i="20"/>
  <c r="AD1934" i="20"/>
  <c r="AD1935" i="20"/>
  <c r="AD1936" i="20"/>
  <c r="AD1937" i="20"/>
  <c r="AD1938" i="20"/>
  <c r="AD1939" i="20"/>
  <c r="AD1940" i="20"/>
  <c r="AD1941" i="20"/>
  <c r="AD1942" i="20"/>
  <c r="AD1943" i="20"/>
  <c r="AD1944" i="20"/>
  <c r="AD1945" i="20"/>
  <c r="AD1946" i="20"/>
  <c r="AD1947" i="20"/>
  <c r="AD1948" i="20"/>
  <c r="AD1949" i="20"/>
  <c r="AD1950" i="20"/>
  <c r="AD1951" i="20"/>
  <c r="AD1952" i="20"/>
  <c r="AD1953" i="20"/>
  <c r="AD1954" i="20"/>
  <c r="AD1955" i="20"/>
  <c r="AD1956" i="20"/>
  <c r="AD1957" i="20"/>
  <c r="AD1958" i="20"/>
  <c r="AD1959" i="20"/>
  <c r="AD1960" i="20"/>
  <c r="AD1961" i="20"/>
  <c r="AD1962" i="20"/>
  <c r="AD1963" i="20"/>
  <c r="AD1964" i="20"/>
  <c r="AD1965" i="20"/>
  <c r="AD1966" i="20"/>
  <c r="AD1967" i="20"/>
  <c r="AD1968" i="20"/>
  <c r="AD1969" i="20"/>
  <c r="AD1970" i="20"/>
  <c r="AD1971" i="20"/>
  <c r="AD1972" i="20"/>
  <c r="AD1973" i="20"/>
  <c r="AD1974" i="20"/>
  <c r="AD1975" i="20"/>
  <c r="AD1976" i="20"/>
  <c r="AD1977" i="20"/>
  <c r="AD1978" i="20"/>
  <c r="AD1979" i="20"/>
  <c r="AD1980" i="20"/>
  <c r="AD1981" i="20"/>
  <c r="AD1982" i="20"/>
  <c r="AD1983" i="20"/>
  <c r="AD1984" i="20"/>
  <c r="AD1985" i="20"/>
  <c r="AD1986" i="20"/>
  <c r="AD1987" i="20"/>
  <c r="AD1988" i="20"/>
  <c r="AD1989" i="20"/>
  <c r="AD1990" i="20"/>
  <c r="AD1991" i="20"/>
  <c r="AD1992" i="20"/>
  <c r="AD1993" i="20"/>
  <c r="AD1994" i="20"/>
  <c r="AD1995" i="20"/>
  <c r="AD1996" i="20"/>
  <c r="AD1997" i="20"/>
  <c r="AD1998" i="20"/>
  <c r="AD1999" i="20"/>
  <c r="AD2000" i="20"/>
  <c r="AD2001" i="20"/>
  <c r="AD2002" i="20"/>
  <c r="AD2003" i="20"/>
  <c r="AD2004" i="20"/>
  <c r="AD2005" i="20"/>
  <c r="AD2006" i="20"/>
  <c r="AD2007" i="20"/>
  <c r="AD2008" i="20"/>
  <c r="AD2009" i="20"/>
  <c r="AD2010" i="20"/>
  <c r="AD2011" i="20"/>
  <c r="AD2012" i="20"/>
  <c r="AD2013" i="20"/>
  <c r="AD2014" i="20"/>
  <c r="AD2015" i="20"/>
  <c r="AD2016" i="20"/>
  <c r="AD2017" i="20"/>
  <c r="AD2018" i="20"/>
  <c r="AD2019" i="20"/>
  <c r="AD2020" i="20"/>
  <c r="AD2021" i="20"/>
  <c r="AD2022" i="20"/>
  <c r="AD2023" i="20"/>
  <c r="AD2024" i="20"/>
  <c r="AD2025" i="20"/>
  <c r="AD2026" i="20"/>
  <c r="AD2027" i="20"/>
  <c r="AD2028" i="20"/>
  <c r="AD2029" i="20"/>
  <c r="AD2030" i="20"/>
  <c r="AD2031" i="20"/>
  <c r="AD2032" i="20"/>
  <c r="AD2033" i="20"/>
  <c r="AD2034" i="20"/>
  <c r="AD2035" i="20"/>
  <c r="AD2036" i="20"/>
  <c r="AD2037" i="20"/>
  <c r="AD2038" i="20"/>
  <c r="AD2039" i="20"/>
  <c r="AD2040" i="20"/>
  <c r="AD2041" i="20"/>
  <c r="AD2042" i="20"/>
  <c r="AD2043" i="20"/>
  <c r="AD2044" i="20"/>
  <c r="AD2045" i="20"/>
  <c r="AD2046" i="20"/>
  <c r="AD2047" i="20"/>
  <c r="AD2048" i="20"/>
  <c r="AD2049" i="20"/>
  <c r="AD2050" i="20"/>
  <c r="AD2051" i="20"/>
  <c r="AD2052" i="20"/>
  <c r="AD2053" i="20"/>
  <c r="AD2054" i="20"/>
  <c r="AD2055" i="20"/>
  <c r="AD2056" i="20"/>
  <c r="AD2057" i="20"/>
  <c r="AD2058" i="20"/>
  <c r="AD2059" i="20"/>
  <c r="AD2060" i="20"/>
  <c r="AD2061" i="20"/>
  <c r="AD2062" i="20"/>
  <c r="AD2063" i="20"/>
  <c r="AD2064" i="20"/>
  <c r="AD2065" i="20"/>
  <c r="AD2066" i="20"/>
  <c r="AD2067" i="20"/>
  <c r="AD2068" i="20"/>
  <c r="AD2069" i="20"/>
  <c r="AD2070" i="20"/>
  <c r="AD2071" i="20"/>
  <c r="AD2072" i="20"/>
  <c r="AD2073" i="20"/>
  <c r="AD2074" i="20"/>
  <c r="AD2075" i="20"/>
  <c r="AD2076" i="20"/>
  <c r="AD2077" i="20"/>
  <c r="AD2078" i="20"/>
  <c r="AD2079" i="20"/>
  <c r="AD2080" i="20"/>
  <c r="AD2081" i="20"/>
  <c r="AD2082" i="20"/>
  <c r="AD2083" i="20"/>
  <c r="AD2084" i="20"/>
  <c r="AD2085" i="20"/>
  <c r="AD2086" i="20"/>
  <c r="AD2087" i="20"/>
  <c r="AD2088" i="20"/>
  <c r="AD2089" i="20"/>
  <c r="AD2090" i="20"/>
  <c r="AD2091" i="20"/>
  <c r="AD2092" i="20"/>
  <c r="AD2093" i="20"/>
  <c r="AD2094" i="20"/>
  <c r="AD2095" i="20"/>
  <c r="AD2096" i="20"/>
  <c r="AD2097" i="20"/>
  <c r="AD2098" i="20"/>
  <c r="AD2099" i="20"/>
  <c r="AD2100" i="20"/>
  <c r="AD2101" i="20"/>
  <c r="AD2102" i="20"/>
  <c r="AD2103" i="20"/>
  <c r="AD2104" i="20"/>
  <c r="AD2105" i="20"/>
  <c r="AD2106" i="20"/>
  <c r="AD2107" i="20"/>
  <c r="AD2108" i="20"/>
  <c r="AD2109" i="20"/>
  <c r="AD2110" i="20"/>
  <c r="AD2111" i="20"/>
  <c r="AD2112" i="20"/>
  <c r="AD2113" i="20"/>
  <c r="AD2114" i="20"/>
  <c r="AD2115" i="20"/>
  <c r="AD2116" i="20"/>
  <c r="AD2117" i="20"/>
  <c r="AD2118" i="20"/>
  <c r="AD2119" i="20"/>
  <c r="AD2120" i="20"/>
  <c r="AD2121" i="20"/>
  <c r="AD2122" i="20"/>
  <c r="AD2123" i="20"/>
  <c r="AD2124" i="20"/>
  <c r="AD2125" i="20"/>
  <c r="AD2126" i="20"/>
  <c r="AD2127" i="20"/>
  <c r="AD2128" i="20"/>
  <c r="AD2129" i="20"/>
  <c r="AD2130" i="20"/>
  <c r="AD2131" i="20"/>
  <c r="AD2132" i="20"/>
  <c r="AD2133" i="20"/>
  <c r="AD2134" i="20"/>
  <c r="AD2135" i="20"/>
  <c r="AD2136" i="20"/>
  <c r="AD2137" i="20"/>
  <c r="AD2138" i="20"/>
  <c r="AD2139" i="20"/>
  <c r="AD2140" i="20"/>
  <c r="AD2141" i="20"/>
  <c r="AD2142" i="20"/>
  <c r="AD2143" i="20"/>
  <c r="AD2144" i="20"/>
  <c r="AD2145" i="20"/>
  <c r="AD2146" i="20"/>
  <c r="AD2147" i="20"/>
  <c r="AD2148" i="20"/>
  <c r="AD2149" i="20"/>
  <c r="AD2150" i="20"/>
  <c r="AD2151" i="20"/>
  <c r="AD2152" i="20"/>
  <c r="AD2153" i="20"/>
  <c r="AD2154" i="20"/>
  <c r="AD2155" i="20"/>
  <c r="AD2156" i="20"/>
  <c r="AD2157" i="20"/>
  <c r="AD2158" i="20"/>
  <c r="AD2159" i="20"/>
  <c r="AD2160" i="20"/>
  <c r="AD2161" i="20"/>
  <c r="AD2162" i="20"/>
  <c r="AD2163" i="20"/>
  <c r="AD2164" i="20"/>
  <c r="AD2165" i="20"/>
  <c r="AD2166" i="20"/>
  <c r="AD2167" i="20"/>
  <c r="AD2168" i="20"/>
  <c r="AD2169" i="20"/>
  <c r="AD2170" i="20"/>
  <c r="AD2171" i="20"/>
  <c r="AD2172" i="20"/>
  <c r="AD2173" i="20"/>
  <c r="AD2174" i="20"/>
  <c r="AD2175" i="20"/>
  <c r="AD2176" i="20"/>
  <c r="AD2177" i="20"/>
  <c r="AD2178" i="20"/>
  <c r="AD2179" i="20"/>
  <c r="AD2180" i="20"/>
  <c r="AD2181" i="20"/>
  <c r="AD2182" i="20"/>
  <c r="AD2183" i="20"/>
  <c r="AD2184" i="20"/>
  <c r="AD2185" i="20"/>
  <c r="AD2186" i="20"/>
  <c r="AD2187" i="20"/>
  <c r="AD2188" i="20"/>
  <c r="AD2189" i="20"/>
  <c r="AD2190" i="20"/>
  <c r="AD2191" i="20"/>
  <c r="AD2192" i="20"/>
  <c r="AD2193" i="20"/>
  <c r="AD2194" i="20"/>
  <c r="AD2195" i="20"/>
  <c r="AD2196" i="20"/>
  <c r="AD2197" i="20"/>
  <c r="AD2198" i="20"/>
  <c r="AD2199" i="20"/>
  <c r="AD2200" i="20"/>
  <c r="AD2201" i="20"/>
  <c r="AD2202" i="20"/>
  <c r="AD2203" i="20"/>
  <c r="AD2204" i="20"/>
  <c r="AD2205" i="20"/>
  <c r="AD2206" i="20"/>
  <c r="AD2207" i="20"/>
  <c r="AD2208" i="20"/>
  <c r="AD2209" i="20"/>
  <c r="AD2210" i="20"/>
  <c r="AD2211" i="20"/>
  <c r="AD2212" i="20"/>
  <c r="AD2213" i="20"/>
  <c r="AD2214" i="20"/>
  <c r="AD2215" i="20"/>
  <c r="AD2216" i="20"/>
  <c r="AD2217" i="20"/>
  <c r="AD2218" i="20"/>
  <c r="AD2219" i="20"/>
  <c r="AD2220" i="20"/>
  <c r="AD2221" i="20"/>
  <c r="H2" i="34"/>
  <c r="H3" i="34"/>
  <c r="H4" i="34"/>
  <c r="H5" i="34"/>
  <c r="H6" i="34"/>
  <c r="H7" i="34"/>
  <c r="H8" i="34"/>
  <c r="H9" i="34"/>
  <c r="H10" i="34"/>
  <c r="H11" i="34"/>
  <c r="H12" i="34"/>
  <c r="H13" i="34"/>
  <c r="H14" i="34"/>
  <c r="H15" i="34"/>
  <c r="H16" i="34"/>
  <c r="H17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H47" i="34"/>
  <c r="H48" i="34"/>
  <c r="H49" i="34"/>
  <c r="H50" i="34"/>
  <c r="H51" i="34"/>
  <c r="H52" i="34"/>
  <c r="H53" i="34"/>
  <c r="H54" i="34"/>
  <c r="H55" i="34"/>
  <c r="H56" i="34"/>
  <c r="H57" i="34"/>
  <c r="H58" i="34"/>
  <c r="H59" i="34"/>
  <c r="H60" i="34"/>
  <c r="H61" i="34"/>
  <c r="H62" i="34"/>
  <c r="H63" i="34"/>
  <c r="H64" i="34"/>
  <c r="H65" i="34"/>
  <c r="H66" i="34"/>
  <c r="H67" i="34"/>
  <c r="H68" i="34"/>
  <c r="H69" i="34"/>
  <c r="H70" i="34"/>
  <c r="H71" i="34"/>
  <c r="H72" i="34"/>
  <c r="H73" i="34"/>
  <c r="H74" i="34"/>
  <c r="H75" i="34"/>
  <c r="H76" i="34"/>
  <c r="H77" i="34"/>
  <c r="H78" i="34"/>
  <c r="H79" i="34"/>
  <c r="H80" i="34"/>
  <c r="H81" i="34"/>
  <c r="H82" i="34"/>
  <c r="H83" i="34"/>
  <c r="H84" i="34"/>
  <c r="H85" i="34"/>
  <c r="H86" i="34"/>
  <c r="H87" i="34"/>
  <c r="H88" i="34"/>
  <c r="H89" i="34"/>
  <c r="H90" i="34"/>
  <c r="H91" i="34"/>
  <c r="H92" i="34"/>
  <c r="H93" i="34"/>
  <c r="H94" i="34"/>
  <c r="H95" i="34"/>
  <c r="H96" i="34"/>
  <c r="H97" i="34"/>
  <c r="H98" i="34"/>
  <c r="H99" i="34"/>
  <c r="H100" i="34"/>
  <c r="H101" i="34"/>
  <c r="H102" i="34"/>
  <c r="H103" i="34"/>
  <c r="H104" i="34"/>
  <c r="H105" i="34"/>
  <c r="H106" i="34"/>
  <c r="H107" i="34"/>
  <c r="H108" i="34"/>
  <c r="H109" i="34"/>
  <c r="H110" i="34"/>
  <c r="H111" i="34"/>
  <c r="H112" i="34"/>
  <c r="H113" i="34"/>
  <c r="H114" i="34"/>
  <c r="H115" i="34"/>
  <c r="H116" i="34"/>
  <c r="H117" i="34"/>
  <c r="H118" i="34"/>
  <c r="H119" i="34"/>
  <c r="H120" i="34"/>
  <c r="H121" i="34"/>
  <c r="H122" i="34"/>
  <c r="H123" i="34"/>
  <c r="H124" i="34"/>
  <c r="H125" i="34"/>
  <c r="H126" i="34"/>
  <c r="H127" i="34"/>
  <c r="H128" i="34"/>
  <c r="H129" i="34"/>
  <c r="H130" i="34"/>
  <c r="H131" i="34"/>
  <c r="H132" i="34"/>
  <c r="H133" i="34"/>
  <c r="H134" i="34"/>
  <c r="H135" i="34"/>
  <c r="H136" i="34"/>
  <c r="H137" i="34"/>
  <c r="I2" i="34"/>
  <c r="I3" i="34"/>
  <c r="I4" i="34"/>
  <c r="J4" i="34" s="1"/>
  <c r="I5" i="34"/>
  <c r="J5" i="34" s="1"/>
  <c r="L5" i="34" s="1"/>
  <c r="I6" i="34"/>
  <c r="J6" i="34" s="1"/>
  <c r="L6" i="34" s="1"/>
  <c r="I7" i="34"/>
  <c r="N7" i="34" s="1"/>
  <c r="O7" i="34" s="1"/>
  <c r="I8" i="34"/>
  <c r="J8" i="34" s="1"/>
  <c r="I9" i="34"/>
  <c r="I10" i="34"/>
  <c r="J10" i="34" s="1"/>
  <c r="L10" i="34" s="1"/>
  <c r="I11" i="34"/>
  <c r="J11" i="34" s="1"/>
  <c r="L11" i="34" s="1"/>
  <c r="I12" i="34"/>
  <c r="I13" i="34"/>
  <c r="J13" i="34" s="1"/>
  <c r="L13" i="34" s="1"/>
  <c r="I14" i="34"/>
  <c r="I15" i="34"/>
  <c r="I16" i="34"/>
  <c r="J16" i="34" s="1"/>
  <c r="I17" i="34"/>
  <c r="J17" i="34" s="1"/>
  <c r="I18" i="34"/>
  <c r="I19" i="34"/>
  <c r="J19" i="34" s="1"/>
  <c r="I20" i="34"/>
  <c r="J20" i="34" s="1"/>
  <c r="I21" i="34"/>
  <c r="J21" i="34" s="1"/>
  <c r="I22" i="34"/>
  <c r="J22" i="34" s="1"/>
  <c r="I23" i="34"/>
  <c r="I24" i="34"/>
  <c r="J24" i="34" s="1"/>
  <c r="L24" i="34" s="1"/>
  <c r="I25" i="34"/>
  <c r="J25" i="34" s="1"/>
  <c r="L25" i="34" s="1"/>
  <c r="I26" i="34"/>
  <c r="J26" i="34" s="1"/>
  <c r="L26" i="34" s="1"/>
  <c r="I27" i="34"/>
  <c r="J27" i="34" s="1"/>
  <c r="L27" i="34" s="1"/>
  <c r="I28" i="34"/>
  <c r="I29" i="34"/>
  <c r="J29" i="34" s="1"/>
  <c r="L29" i="34" s="1"/>
  <c r="I30" i="34"/>
  <c r="J30" i="34" s="1"/>
  <c r="I31" i="34"/>
  <c r="J31" i="34" s="1"/>
  <c r="I32" i="34"/>
  <c r="J32" i="34" s="1"/>
  <c r="I33" i="34"/>
  <c r="N33" i="34" s="1"/>
  <c r="O33" i="34" s="1"/>
  <c r="I34" i="34"/>
  <c r="J34" i="34" s="1"/>
  <c r="L34" i="34" s="1"/>
  <c r="I35" i="34"/>
  <c r="J35" i="34" s="1"/>
  <c r="L35" i="34" s="1"/>
  <c r="I36" i="34"/>
  <c r="N36" i="34" s="1"/>
  <c r="O36" i="34" s="1"/>
  <c r="I37" i="34"/>
  <c r="I38" i="34"/>
  <c r="J38" i="34" s="1"/>
  <c r="I39" i="34"/>
  <c r="J39" i="34" s="1"/>
  <c r="I40" i="34"/>
  <c r="I41" i="34"/>
  <c r="J41" i="34" s="1"/>
  <c r="L41" i="34" s="1"/>
  <c r="I42" i="34"/>
  <c r="N42" i="34" s="1"/>
  <c r="O42" i="34" s="1"/>
  <c r="I43" i="34"/>
  <c r="I44" i="34"/>
  <c r="J44" i="34" s="1"/>
  <c r="I45" i="34"/>
  <c r="J45" i="34" s="1"/>
  <c r="I46" i="34"/>
  <c r="J46" i="34" s="1"/>
  <c r="I47" i="34"/>
  <c r="J47" i="34" s="1"/>
  <c r="I48" i="34"/>
  <c r="N48" i="34" s="1"/>
  <c r="O48" i="34" s="1"/>
  <c r="I49" i="34"/>
  <c r="N49" i="34" s="1"/>
  <c r="O49" i="34" s="1"/>
  <c r="I50" i="34"/>
  <c r="J50" i="34" s="1"/>
  <c r="L50" i="34" s="1"/>
  <c r="I51" i="34"/>
  <c r="I52" i="34"/>
  <c r="J52" i="34" s="1"/>
  <c r="I53" i="34"/>
  <c r="J53" i="34" s="1"/>
  <c r="L53" i="34" s="1"/>
  <c r="I54" i="34"/>
  <c r="J54" i="34" s="1"/>
  <c r="L54" i="34" s="1"/>
  <c r="I55" i="34"/>
  <c r="J55" i="34" s="1"/>
  <c r="L55" i="34" s="1"/>
  <c r="I56" i="34"/>
  <c r="I57" i="34"/>
  <c r="I58" i="34"/>
  <c r="J58" i="34" s="1"/>
  <c r="L58" i="34" s="1"/>
  <c r="I59" i="34"/>
  <c r="I60" i="34"/>
  <c r="J60" i="34" s="1"/>
  <c r="I61" i="34"/>
  <c r="J61" i="34" s="1"/>
  <c r="L61" i="34" s="1"/>
  <c r="I62" i="34"/>
  <c r="I63" i="34"/>
  <c r="J63" i="34" s="1"/>
  <c r="L63" i="34" s="1"/>
  <c r="I64" i="34"/>
  <c r="J64" i="34" s="1"/>
  <c r="I65" i="34"/>
  <c r="I66" i="34"/>
  <c r="J66" i="34" s="1"/>
  <c r="I67" i="34"/>
  <c r="J67" i="34" s="1"/>
  <c r="L67" i="34" s="1"/>
  <c r="I68" i="34"/>
  <c r="J68" i="34" s="1"/>
  <c r="L68" i="34" s="1"/>
  <c r="I69" i="34"/>
  <c r="N69" i="34" s="1"/>
  <c r="O69" i="34" s="1"/>
  <c r="I70" i="34"/>
  <c r="I71" i="34"/>
  <c r="I72" i="34"/>
  <c r="I73" i="34"/>
  <c r="I74" i="34"/>
  <c r="I75" i="34"/>
  <c r="J75" i="34" s="1"/>
  <c r="L75" i="34" s="1"/>
  <c r="I76" i="34"/>
  <c r="J76" i="34" s="1"/>
  <c r="L76" i="34" s="1"/>
  <c r="I77" i="34"/>
  <c r="J77" i="34" s="1"/>
  <c r="L77" i="34" s="1"/>
  <c r="I78" i="34"/>
  <c r="J78" i="34" s="1"/>
  <c r="L78" i="34" s="1"/>
  <c r="I79" i="34"/>
  <c r="I80" i="34"/>
  <c r="J80" i="34" s="1"/>
  <c r="I81" i="34"/>
  <c r="J81" i="34" s="1"/>
  <c r="I82" i="34"/>
  <c r="N82" i="34" s="1"/>
  <c r="O82" i="34" s="1"/>
  <c r="I83" i="34"/>
  <c r="J83" i="34" s="1"/>
  <c r="L83" i="34" s="1"/>
  <c r="I84" i="34"/>
  <c r="I85" i="34"/>
  <c r="I86" i="34"/>
  <c r="J86" i="34" s="1"/>
  <c r="L86" i="34" s="1"/>
  <c r="I87" i="34"/>
  <c r="J87" i="34" s="1"/>
  <c r="I88" i="34"/>
  <c r="J88" i="34" s="1"/>
  <c r="L88" i="34" s="1"/>
  <c r="I89" i="34"/>
  <c r="N89" i="34" s="1"/>
  <c r="O89" i="34" s="1"/>
  <c r="I90" i="34"/>
  <c r="J90" i="34" s="1"/>
  <c r="L90" i="34" s="1"/>
  <c r="I91" i="34"/>
  <c r="N91" i="34" s="1"/>
  <c r="O91" i="34" s="1"/>
  <c r="I92" i="34"/>
  <c r="J92" i="34" s="1"/>
  <c r="I93" i="34"/>
  <c r="I94" i="34"/>
  <c r="J94" i="34" s="1"/>
  <c r="I95" i="34"/>
  <c r="J95" i="34" s="1"/>
  <c r="I96" i="34"/>
  <c r="I97" i="34"/>
  <c r="N97" i="34" s="1"/>
  <c r="O97" i="34" s="1"/>
  <c r="I98" i="34"/>
  <c r="I99" i="34"/>
  <c r="I100" i="34"/>
  <c r="I101" i="34"/>
  <c r="I102" i="34"/>
  <c r="I103" i="34"/>
  <c r="N103" i="34" s="1"/>
  <c r="O103" i="34" s="1"/>
  <c r="I104" i="34"/>
  <c r="N104" i="34" s="1"/>
  <c r="O104" i="34" s="1"/>
  <c r="I105" i="34"/>
  <c r="N105" i="34" s="1"/>
  <c r="O105" i="34" s="1"/>
  <c r="I106" i="34"/>
  <c r="J106" i="34" s="1"/>
  <c r="L106" i="34" s="1"/>
  <c r="I107" i="34"/>
  <c r="N107" i="34" s="1"/>
  <c r="O107" i="34" s="1"/>
  <c r="I108" i="34"/>
  <c r="J108" i="34" s="1"/>
  <c r="I109" i="34"/>
  <c r="J109" i="34" s="1"/>
  <c r="I110" i="34"/>
  <c r="I111" i="34"/>
  <c r="J111" i="34" s="1"/>
  <c r="L111" i="34" s="1"/>
  <c r="I112" i="34"/>
  <c r="I113" i="34"/>
  <c r="I114" i="34"/>
  <c r="I115" i="34"/>
  <c r="I116" i="34"/>
  <c r="I117" i="34"/>
  <c r="I118" i="34"/>
  <c r="J118" i="34" s="1"/>
  <c r="I119" i="34"/>
  <c r="N119" i="34" s="1"/>
  <c r="O119" i="34" s="1"/>
  <c r="I120" i="34"/>
  <c r="J120" i="34" s="1"/>
  <c r="L120" i="34" s="1"/>
  <c r="I121" i="34"/>
  <c r="N121" i="34" s="1"/>
  <c r="O121" i="34" s="1"/>
  <c r="I122" i="34"/>
  <c r="J122" i="34" s="1"/>
  <c r="L122" i="34" s="1"/>
  <c r="I123" i="34"/>
  <c r="J123" i="34" s="1"/>
  <c r="L123" i="34" s="1"/>
  <c r="I124" i="34"/>
  <c r="J124" i="34" s="1"/>
  <c r="L124" i="34" s="1"/>
  <c r="I125" i="34"/>
  <c r="J125" i="34" s="1"/>
  <c r="L125" i="34" s="1"/>
  <c r="I126" i="34"/>
  <c r="J126" i="34" s="1"/>
  <c r="I127" i="34"/>
  <c r="I128" i="34"/>
  <c r="I129" i="34"/>
  <c r="I130" i="34"/>
  <c r="I131" i="34"/>
  <c r="I132" i="34"/>
  <c r="J132" i="34" s="1"/>
  <c r="I133" i="34"/>
  <c r="J133" i="34" s="1"/>
  <c r="L133" i="34" s="1"/>
  <c r="I134" i="34"/>
  <c r="N134" i="34" s="1"/>
  <c r="O134" i="34" s="1"/>
  <c r="I135" i="34"/>
  <c r="N135" i="34" s="1"/>
  <c r="O135" i="34" s="1"/>
  <c r="I136" i="34"/>
  <c r="J136" i="34" s="1"/>
  <c r="I137" i="34"/>
  <c r="J137" i="34" s="1"/>
  <c r="J9" i="34"/>
  <c r="L9" i="34" s="1"/>
  <c r="J14" i="34"/>
  <c r="L14" i="34" s="1"/>
  <c r="J15" i="34"/>
  <c r="L15" i="34" s="1"/>
  <c r="J23" i="34"/>
  <c r="J28" i="34"/>
  <c r="L28" i="34" s="1"/>
  <c r="J37" i="34"/>
  <c r="J40" i="34"/>
  <c r="L40" i="34" s="1"/>
  <c r="J43" i="34"/>
  <c r="J51" i="34"/>
  <c r="L51" i="34" s="1"/>
  <c r="J56" i="34"/>
  <c r="J57" i="34"/>
  <c r="J62" i="34"/>
  <c r="L62" i="34" s="1"/>
  <c r="J65" i="34"/>
  <c r="J70" i="34"/>
  <c r="J79" i="34"/>
  <c r="J93" i="34"/>
  <c r="L93" i="34" s="1"/>
  <c r="J107" i="34"/>
  <c r="L107" i="34" s="1"/>
  <c r="J119" i="34"/>
  <c r="J121" i="34"/>
  <c r="L121" i="34" s="1"/>
  <c r="J135" i="34"/>
  <c r="L135" i="34" s="1"/>
  <c r="K2" i="34"/>
  <c r="M2" i="34" s="1"/>
  <c r="K3" i="34"/>
  <c r="M3" i="34" s="1"/>
  <c r="K4" i="34"/>
  <c r="M4" i="34" s="1"/>
  <c r="K5" i="34"/>
  <c r="K6" i="34"/>
  <c r="K7" i="34"/>
  <c r="K8" i="34"/>
  <c r="M8" i="34" s="1"/>
  <c r="K9" i="34"/>
  <c r="M9" i="34" s="1"/>
  <c r="K10" i="34"/>
  <c r="M10" i="34" s="1"/>
  <c r="K11" i="34"/>
  <c r="M11" i="34" s="1"/>
  <c r="K12" i="34"/>
  <c r="M12" i="34" s="1"/>
  <c r="K13" i="34"/>
  <c r="M13" i="34" s="1"/>
  <c r="K14" i="34"/>
  <c r="N14" i="34" s="1"/>
  <c r="O14" i="34" s="1"/>
  <c r="K15" i="34"/>
  <c r="M15" i="34" s="1"/>
  <c r="K16" i="34"/>
  <c r="M16" i="34" s="1"/>
  <c r="K17" i="34"/>
  <c r="M17" i="34" s="1"/>
  <c r="K18" i="34"/>
  <c r="M18" i="34" s="1"/>
  <c r="K19" i="34"/>
  <c r="K20" i="34"/>
  <c r="K21" i="34"/>
  <c r="K22" i="34"/>
  <c r="M22" i="34" s="1"/>
  <c r="K23" i="34"/>
  <c r="M23" i="34" s="1"/>
  <c r="K24" i="34"/>
  <c r="M24" i="34" s="1"/>
  <c r="K25" i="34"/>
  <c r="M25" i="34" s="1"/>
  <c r="K26" i="34"/>
  <c r="M26" i="34" s="1"/>
  <c r="K27" i="34"/>
  <c r="M27" i="34" s="1"/>
  <c r="K28" i="34"/>
  <c r="M28" i="34" s="1"/>
  <c r="K29" i="34"/>
  <c r="M29" i="34" s="1"/>
  <c r="K30" i="34"/>
  <c r="M30" i="34" s="1"/>
  <c r="K31" i="34"/>
  <c r="M31" i="34" s="1"/>
  <c r="K32" i="34"/>
  <c r="M32" i="34" s="1"/>
  <c r="K33" i="34"/>
  <c r="K34" i="34"/>
  <c r="K35" i="34"/>
  <c r="K36" i="34"/>
  <c r="M36" i="34" s="1"/>
  <c r="K37" i="34"/>
  <c r="M37" i="34" s="1"/>
  <c r="K38" i="34"/>
  <c r="L38" i="34" s="1"/>
  <c r="K39" i="34"/>
  <c r="L39" i="34" s="1"/>
  <c r="K40" i="34"/>
  <c r="M40" i="34" s="1"/>
  <c r="K41" i="34"/>
  <c r="M41" i="34" s="1"/>
  <c r="K42" i="34"/>
  <c r="K43" i="34"/>
  <c r="K44" i="34"/>
  <c r="M44" i="34" s="1"/>
  <c r="K45" i="34"/>
  <c r="M45" i="34" s="1"/>
  <c r="K46" i="34"/>
  <c r="M46" i="34" s="1"/>
  <c r="K47" i="34"/>
  <c r="M47" i="34" s="1"/>
  <c r="K48" i="34"/>
  <c r="K49" i="34"/>
  <c r="M49" i="34" s="1"/>
  <c r="K50" i="34"/>
  <c r="M50" i="34" s="1"/>
  <c r="K51" i="34"/>
  <c r="M51" i="34" s="1"/>
  <c r="K52" i="34"/>
  <c r="M52" i="34" s="1"/>
  <c r="K53" i="34"/>
  <c r="M53" i="34" s="1"/>
  <c r="K54" i="34"/>
  <c r="M54" i="34" s="1"/>
  <c r="K55" i="34"/>
  <c r="K56" i="34"/>
  <c r="M56" i="34" s="1"/>
  <c r="K57" i="34"/>
  <c r="M57" i="34" s="1"/>
  <c r="K58" i="34"/>
  <c r="M58" i="34" s="1"/>
  <c r="K59" i="34"/>
  <c r="M59" i="34" s="1"/>
  <c r="K60" i="34"/>
  <c r="M60" i="34" s="1"/>
  <c r="K61" i="34"/>
  <c r="M61" i="34" s="1"/>
  <c r="K62" i="34"/>
  <c r="K63" i="34"/>
  <c r="K64" i="34"/>
  <c r="M64" i="34" s="1"/>
  <c r="K65" i="34"/>
  <c r="M65" i="34" s="1"/>
  <c r="K66" i="34"/>
  <c r="M66" i="34" s="1"/>
  <c r="K67" i="34"/>
  <c r="M67" i="34" s="1"/>
  <c r="K68" i="34"/>
  <c r="K69" i="34"/>
  <c r="K70" i="34"/>
  <c r="N70" i="34" s="1"/>
  <c r="O70" i="34" s="1"/>
  <c r="K71" i="34"/>
  <c r="M71" i="34" s="1"/>
  <c r="K72" i="34"/>
  <c r="M72" i="34" s="1"/>
  <c r="K73" i="34"/>
  <c r="M73" i="34" s="1"/>
  <c r="K74" i="34"/>
  <c r="M74" i="34" s="1"/>
  <c r="K75" i="34"/>
  <c r="M75" i="34" s="1"/>
  <c r="K76" i="34"/>
  <c r="K77" i="34"/>
  <c r="K78" i="34"/>
  <c r="M78" i="34" s="1"/>
  <c r="K79" i="34"/>
  <c r="M79" i="34" s="1"/>
  <c r="K80" i="34"/>
  <c r="L80" i="34" s="1"/>
  <c r="K81" i="34"/>
  <c r="M81" i="34" s="1"/>
  <c r="K82" i="34"/>
  <c r="K83" i="34"/>
  <c r="K84" i="34"/>
  <c r="K85" i="34"/>
  <c r="M85" i="34" s="1"/>
  <c r="K86" i="34"/>
  <c r="M86" i="34" s="1"/>
  <c r="K87" i="34"/>
  <c r="M87" i="34" s="1"/>
  <c r="K88" i="34"/>
  <c r="M88" i="34" s="1"/>
  <c r="K89" i="34"/>
  <c r="M89" i="34" s="1"/>
  <c r="K90" i="34"/>
  <c r="K91" i="34"/>
  <c r="K92" i="34"/>
  <c r="M92" i="34" s="1"/>
  <c r="K93" i="34"/>
  <c r="M93" i="34" s="1"/>
  <c r="K94" i="34"/>
  <c r="N94" i="34" s="1"/>
  <c r="O94" i="34" s="1"/>
  <c r="K95" i="34"/>
  <c r="N95" i="34" s="1"/>
  <c r="O95" i="34" s="1"/>
  <c r="K96" i="34"/>
  <c r="K97" i="34"/>
  <c r="M97" i="34" s="1"/>
  <c r="K98" i="34"/>
  <c r="M98" i="34" s="1"/>
  <c r="K99" i="34"/>
  <c r="M99" i="34" s="1"/>
  <c r="K100" i="34"/>
  <c r="M100" i="34" s="1"/>
  <c r="K101" i="34"/>
  <c r="M101" i="34" s="1"/>
  <c r="K102" i="34"/>
  <c r="M102" i="34" s="1"/>
  <c r="K103" i="34"/>
  <c r="K104" i="34"/>
  <c r="K105" i="34"/>
  <c r="K106" i="34"/>
  <c r="M106" i="34" s="1"/>
  <c r="K107" i="34"/>
  <c r="M107" i="34" s="1"/>
  <c r="K108" i="34"/>
  <c r="L108" i="34" s="1"/>
  <c r="K109" i="34"/>
  <c r="M109" i="34" s="1"/>
  <c r="K110" i="34"/>
  <c r="M110" i="34" s="1"/>
  <c r="K111" i="34"/>
  <c r="M111" i="34" s="1"/>
  <c r="K112" i="34"/>
  <c r="K113" i="34"/>
  <c r="M113" i="34" s="1"/>
  <c r="K114" i="34"/>
  <c r="M114" i="34" s="1"/>
  <c r="K115" i="34"/>
  <c r="M115" i="34" s="1"/>
  <c r="K116" i="34"/>
  <c r="K117" i="34"/>
  <c r="K118" i="34"/>
  <c r="K119" i="34"/>
  <c r="K120" i="34"/>
  <c r="M120" i="34" s="1"/>
  <c r="K121" i="34"/>
  <c r="M121" i="34" s="1"/>
  <c r="K122" i="34"/>
  <c r="M122" i="34" s="1"/>
  <c r="K123" i="34"/>
  <c r="M123" i="34" s="1"/>
  <c r="K124" i="34"/>
  <c r="M124" i="34" s="1"/>
  <c r="K125" i="34"/>
  <c r="M125" i="34" s="1"/>
  <c r="K126" i="34"/>
  <c r="K127" i="34"/>
  <c r="M127" i="34" s="1"/>
  <c r="K128" i="34"/>
  <c r="M128" i="34" s="1"/>
  <c r="K129" i="34"/>
  <c r="M129" i="34" s="1"/>
  <c r="K130" i="34"/>
  <c r="M130" i="34" s="1"/>
  <c r="K131" i="34"/>
  <c r="K132" i="34"/>
  <c r="M132" i="34" s="1"/>
  <c r="K133" i="34"/>
  <c r="K134" i="34"/>
  <c r="M134" i="34" s="1"/>
  <c r="K135" i="34"/>
  <c r="M135" i="34" s="1"/>
  <c r="K136" i="34"/>
  <c r="L136" i="34" s="1"/>
  <c r="K137" i="34"/>
  <c r="M137" i="34" s="1"/>
  <c r="L52" i="34"/>
  <c r="L66" i="34"/>
  <c r="L109" i="34"/>
  <c r="M5" i="34"/>
  <c r="M6" i="34"/>
  <c r="M7" i="34"/>
  <c r="M14" i="34"/>
  <c r="M19" i="34"/>
  <c r="M20" i="34"/>
  <c r="M21" i="34"/>
  <c r="M33" i="34"/>
  <c r="M34" i="34"/>
  <c r="M35" i="34"/>
  <c r="M42" i="34"/>
  <c r="M48" i="34"/>
  <c r="M55" i="34"/>
  <c r="M62" i="34"/>
  <c r="M63" i="34"/>
  <c r="M68" i="34"/>
  <c r="M69" i="34"/>
  <c r="M70" i="34"/>
  <c r="M77" i="34"/>
  <c r="M82" i="34"/>
  <c r="M83" i="34"/>
  <c r="M84" i="34"/>
  <c r="M90" i="34"/>
  <c r="M91" i="34"/>
  <c r="M94" i="34"/>
  <c r="M96" i="34"/>
  <c r="M103" i="34"/>
  <c r="M104" i="34"/>
  <c r="M105" i="34"/>
  <c r="M108" i="34"/>
  <c r="M112" i="34"/>
  <c r="M116" i="34"/>
  <c r="M117" i="34"/>
  <c r="M118" i="34"/>
  <c r="M119" i="34"/>
  <c r="M126" i="34"/>
  <c r="M131" i="34"/>
  <c r="M133" i="34"/>
  <c r="N10" i="34"/>
  <c r="O10" i="34" s="1"/>
  <c r="N11" i="34"/>
  <c r="O11" i="34" s="1"/>
  <c r="N15" i="34"/>
  <c r="O15" i="34" s="1"/>
  <c r="N37" i="34"/>
  <c r="O37" i="34" s="1"/>
  <c r="N39" i="34"/>
  <c r="O39" i="34" s="1"/>
  <c r="N52" i="34"/>
  <c r="O52" i="34" s="1"/>
  <c r="N56" i="34"/>
  <c r="O56" i="34" s="1"/>
  <c r="N65" i="34"/>
  <c r="O65" i="34" s="1"/>
  <c r="N118" i="34"/>
  <c r="O118" i="34" s="1"/>
  <c r="N126" i="34"/>
  <c r="O126" i="34" s="1"/>
  <c r="P25" i="34"/>
  <c r="P52" i="34"/>
  <c r="R52" i="34" s="1"/>
  <c r="P68" i="34"/>
  <c r="R68" i="34" s="1"/>
  <c r="P84" i="34"/>
  <c r="R84" i="34" s="1"/>
  <c r="P100" i="34"/>
  <c r="R93" i="34"/>
  <c r="J138" i="10"/>
  <c r="J106" i="10"/>
  <c r="J224" i="10"/>
  <c r="J122" i="10"/>
  <c r="J139" i="10"/>
  <c r="J113" i="10"/>
  <c r="J140" i="10"/>
  <c r="J99" i="10"/>
  <c r="J148" i="10"/>
  <c r="J2" i="10"/>
  <c r="J217" i="10"/>
  <c r="J3" i="10"/>
  <c r="J146" i="10"/>
  <c r="J120" i="10"/>
  <c r="J208" i="10"/>
  <c r="J137" i="10"/>
  <c r="J154" i="10"/>
  <c r="J118" i="10"/>
  <c r="J4" i="10"/>
  <c r="J233" i="10"/>
  <c r="J180" i="10"/>
  <c r="J5" i="10"/>
  <c r="J6" i="10"/>
  <c r="J181" i="10"/>
  <c r="J101" i="10"/>
  <c r="J7" i="10"/>
  <c r="J8" i="10"/>
  <c r="J182" i="10"/>
  <c r="J198" i="10"/>
  <c r="J222" i="10"/>
  <c r="J9" i="10"/>
  <c r="J10" i="10"/>
  <c r="J11" i="10"/>
  <c r="J12" i="10"/>
  <c r="J13" i="10"/>
  <c r="J204" i="10"/>
  <c r="J213" i="10"/>
  <c r="J14" i="10"/>
  <c r="J235" i="10"/>
  <c r="J15" i="10"/>
  <c r="J16" i="10"/>
  <c r="J17" i="10"/>
  <c r="J133" i="10"/>
  <c r="J115" i="10"/>
  <c r="J97" i="10"/>
  <c r="J18" i="10"/>
  <c r="J172" i="10"/>
  <c r="J19" i="10"/>
  <c r="J20" i="10"/>
  <c r="J125" i="10"/>
  <c r="J21" i="10"/>
  <c r="J228" i="10"/>
  <c r="J22" i="10"/>
  <c r="J23" i="10"/>
  <c r="J24" i="10"/>
  <c r="J25" i="10"/>
  <c r="J26" i="10"/>
  <c r="J27" i="10"/>
  <c r="J28" i="10"/>
  <c r="J214" i="10"/>
  <c r="J127" i="10"/>
  <c r="J130" i="10"/>
  <c r="J29" i="10"/>
  <c r="J30" i="10"/>
  <c r="J31" i="10"/>
  <c r="J32" i="10"/>
  <c r="J33" i="10"/>
  <c r="J34" i="10"/>
  <c r="J35" i="10"/>
  <c r="J36" i="10"/>
  <c r="J94" i="10"/>
  <c r="J211" i="10"/>
  <c r="J197" i="10"/>
  <c r="J207" i="10"/>
  <c r="J134" i="10"/>
  <c r="J107" i="10"/>
  <c r="J123" i="10"/>
  <c r="J149" i="10"/>
  <c r="J121" i="10"/>
  <c r="J37" i="10"/>
  <c r="J38" i="10"/>
  <c r="J39" i="10"/>
  <c r="J40" i="10"/>
  <c r="J41" i="10"/>
  <c r="J42" i="10"/>
  <c r="J43" i="10"/>
  <c r="J44" i="10"/>
  <c r="J45" i="10"/>
  <c r="J46" i="10"/>
  <c r="J47" i="10"/>
  <c r="J48" i="10"/>
  <c r="J49" i="10"/>
  <c r="J50" i="10"/>
  <c r="J51" i="10"/>
  <c r="J52" i="10"/>
  <c r="J53" i="10"/>
  <c r="J54" i="10"/>
  <c r="J55" i="10"/>
  <c r="J201" i="10"/>
  <c r="J161" i="10"/>
  <c r="J56" i="10"/>
  <c r="J110" i="10"/>
  <c r="J236" i="10"/>
  <c r="J57" i="10"/>
  <c r="J58" i="10"/>
  <c r="J109" i="10"/>
  <c r="J202" i="10"/>
  <c r="J59" i="10"/>
  <c r="J141" i="10"/>
  <c r="J60" i="10"/>
  <c r="J61" i="10"/>
  <c r="J62" i="10"/>
  <c r="J63" i="10"/>
  <c r="J135" i="10"/>
  <c r="J156" i="10"/>
  <c r="J131" i="10"/>
  <c r="J128" i="10"/>
  <c r="J136" i="10"/>
  <c r="J64" i="10"/>
  <c r="J65" i="10"/>
  <c r="J66" i="10"/>
  <c r="J178" i="10"/>
  <c r="J67" i="10"/>
  <c r="J68" i="10"/>
  <c r="J173" i="10"/>
  <c r="J69" i="10"/>
  <c r="J70" i="10"/>
  <c r="J164" i="10"/>
  <c r="J71" i="10"/>
  <c r="J183" i="10"/>
  <c r="J153" i="10"/>
  <c r="J184" i="10"/>
  <c r="J119" i="10"/>
  <c r="J129" i="10"/>
  <c r="J142" i="10"/>
  <c r="J155" i="10"/>
  <c r="J150" i="10"/>
  <c r="J72" i="10"/>
  <c r="J73" i="10"/>
  <c r="J74" i="10"/>
  <c r="J96" i="10"/>
  <c r="J100" i="10"/>
  <c r="J152" i="10"/>
  <c r="J75" i="10"/>
  <c r="J234" i="10"/>
  <c r="J111" i="10"/>
  <c r="J95" i="10"/>
  <c r="J162" i="10"/>
  <c r="J159" i="10"/>
  <c r="J163" i="10"/>
  <c r="J126" i="10"/>
  <c r="J117" i="10"/>
  <c r="J76" i="10"/>
  <c r="J77" i="10"/>
  <c r="J229" i="10"/>
  <c r="J147" i="10"/>
  <c r="J116" i="10"/>
  <c r="J227" i="10"/>
  <c r="J157" i="10"/>
  <c r="J218" i="10"/>
  <c r="J219" i="10"/>
  <c r="J78" i="10"/>
  <c r="J143" i="10"/>
  <c r="J114" i="10"/>
  <c r="J174" i="10"/>
  <c r="J98" i="10"/>
  <c r="J167" i="10"/>
  <c r="J212" i="10"/>
  <c r="J237" i="10"/>
  <c r="J79" i="10"/>
  <c r="J80" i="10"/>
  <c r="J81" i="10"/>
  <c r="J82" i="10"/>
  <c r="J238" i="10"/>
  <c r="J239" i="10"/>
  <c r="J104" i="10"/>
  <c r="J240" i="10"/>
  <c r="J83" i="10"/>
  <c r="J84" i="10"/>
  <c r="J168" i="10"/>
  <c r="J175" i="10"/>
  <c r="J160" i="10"/>
  <c r="J241" i="10"/>
  <c r="J85" i="10"/>
  <c r="J108" i="10"/>
  <c r="J86" i="10"/>
  <c r="J87" i="10"/>
  <c r="J242" i="10"/>
  <c r="J215" i="10"/>
  <c r="J112" i="10"/>
  <c r="J230" i="10"/>
  <c r="J216" i="10"/>
  <c r="J209" i="10"/>
  <c r="J185" i="10"/>
  <c r="J188" i="10"/>
  <c r="J189" i="10"/>
  <c r="J190" i="10"/>
  <c r="J231" i="10"/>
  <c r="J191" i="10"/>
  <c r="J192" i="10"/>
  <c r="J193" i="10"/>
  <c r="J205" i="10"/>
  <c r="J169" i="10"/>
  <c r="J194" i="10"/>
  <c r="J170" i="10"/>
  <c r="J199" i="10"/>
  <c r="J171" i="10"/>
  <c r="J165" i="10"/>
  <c r="J195" i="10"/>
  <c r="J196" i="10"/>
  <c r="J243" i="10"/>
  <c r="J186" i="10"/>
  <c r="J88" i="10"/>
  <c r="J244" i="10"/>
  <c r="J103" i="10"/>
  <c r="J102" i="10"/>
  <c r="J187" i="10"/>
  <c r="J203" i="10"/>
  <c r="J132" i="10"/>
  <c r="J232" i="10"/>
  <c r="J245" i="10"/>
  <c r="J225" i="10"/>
  <c r="J220" i="10"/>
  <c r="J105" i="10"/>
  <c r="J124" i="10"/>
  <c r="J89" i="10"/>
  <c r="J90" i="10"/>
  <c r="J91" i="10"/>
  <c r="J92" i="10"/>
  <c r="J93" i="10"/>
  <c r="J246" i="10"/>
  <c r="J221" i="10"/>
  <c r="J179" i="10"/>
  <c r="J176" i="10"/>
  <c r="J158" i="10"/>
  <c r="J177" i="10"/>
  <c r="J166" i="10"/>
  <c r="J144" i="10"/>
  <c r="J145" i="10"/>
  <c r="J210" i="10"/>
  <c r="J247" i="10"/>
  <c r="J248" i="10"/>
  <c r="J151" i="10"/>
  <c r="J226" i="10"/>
  <c r="J206" i="10"/>
  <c r="J200" i="10"/>
  <c r="J249" i="10"/>
  <c r="J250" i="10"/>
  <c r="J223" i="10"/>
  <c r="J251" i="10"/>
  <c r="J252" i="10"/>
  <c r="J253" i="10"/>
  <c r="J254" i="10"/>
  <c r="K138" i="10"/>
  <c r="K106" i="10"/>
  <c r="K224" i="10"/>
  <c r="AB165" i="20" s="1"/>
  <c r="K122" i="10"/>
  <c r="AB1885" i="20" s="1"/>
  <c r="K139" i="10"/>
  <c r="K113" i="10"/>
  <c r="K140" i="10"/>
  <c r="AB16" i="20" s="1"/>
  <c r="K99" i="10"/>
  <c r="K148" i="10"/>
  <c r="K2" i="10"/>
  <c r="K217" i="10"/>
  <c r="AB1962" i="20" s="1"/>
  <c r="K3" i="10"/>
  <c r="AB239" i="20" s="1"/>
  <c r="K146" i="10"/>
  <c r="K120" i="10"/>
  <c r="AB1651" i="20" s="1"/>
  <c r="K208" i="10"/>
  <c r="AB1762" i="20" s="1"/>
  <c r="K137" i="10"/>
  <c r="K154" i="10"/>
  <c r="AB1129" i="20" s="1"/>
  <c r="K118" i="10"/>
  <c r="K4" i="10"/>
  <c r="AB23" i="20" s="1"/>
  <c r="K233" i="10"/>
  <c r="K180" i="10"/>
  <c r="AB1686" i="20" s="1"/>
  <c r="K5" i="10"/>
  <c r="AB26" i="20" s="1"/>
  <c r="K6" i="10"/>
  <c r="AB27" i="20" s="1"/>
  <c r="K181" i="10"/>
  <c r="K101" i="10"/>
  <c r="K7" i="10"/>
  <c r="AB30" i="20" s="1"/>
  <c r="K8" i="10"/>
  <c r="K182" i="10"/>
  <c r="K198" i="10"/>
  <c r="K222" i="10"/>
  <c r="K9" i="10"/>
  <c r="K10" i="10"/>
  <c r="AB956" i="20" s="1"/>
  <c r="K11" i="10"/>
  <c r="AB37" i="20" s="1"/>
  <c r="K12" i="10"/>
  <c r="AB38" i="20" s="1"/>
  <c r="K13" i="10"/>
  <c r="AB39" i="20" s="1"/>
  <c r="K204" i="10"/>
  <c r="K213" i="10"/>
  <c r="AB1981" i="20" s="1"/>
  <c r="K14" i="10"/>
  <c r="AB387" i="20" s="1"/>
  <c r="K235" i="10"/>
  <c r="AB43" i="20" s="1"/>
  <c r="K15" i="10"/>
  <c r="AB44" i="20" s="1"/>
  <c r="K16" i="10"/>
  <c r="AB45" i="20" s="1"/>
  <c r="K17" i="10"/>
  <c r="AB46" i="20" s="1"/>
  <c r="K133" i="10"/>
  <c r="AB1818" i="20" s="1"/>
  <c r="K115" i="10"/>
  <c r="K97" i="10"/>
  <c r="AB560" i="20" s="1"/>
  <c r="K18" i="10"/>
  <c r="AB50" i="20" s="1"/>
  <c r="K172" i="10"/>
  <c r="K19" i="10"/>
  <c r="K20" i="10"/>
  <c r="K125" i="10"/>
  <c r="K21" i="10"/>
  <c r="AB55" i="20" s="1"/>
  <c r="K228" i="10"/>
  <c r="K22" i="10"/>
  <c r="K23" i="10"/>
  <c r="AB60" i="20" s="1"/>
  <c r="K24" i="10"/>
  <c r="K25" i="10"/>
  <c r="AB65" i="20" s="1"/>
  <c r="K26" i="10"/>
  <c r="AB66" i="20" s="1"/>
  <c r="K27" i="10"/>
  <c r="K28" i="10"/>
  <c r="AB68" i="20" s="1"/>
  <c r="K214" i="10"/>
  <c r="K127" i="10"/>
  <c r="K130" i="10"/>
  <c r="K29" i="10"/>
  <c r="AB72" i="20" s="1"/>
  <c r="K30" i="10"/>
  <c r="AB73" i="20" s="1"/>
  <c r="K31" i="10"/>
  <c r="AB74" i="20" s="1"/>
  <c r="K32" i="10"/>
  <c r="AB75" i="20" s="1"/>
  <c r="K33" i="10"/>
  <c r="AB76" i="20" s="1"/>
  <c r="K34" i="10"/>
  <c r="AB77" i="20" s="1"/>
  <c r="K35" i="10"/>
  <c r="AB78" i="20" s="1"/>
  <c r="K36" i="10"/>
  <c r="AB79" i="20" s="1"/>
  <c r="K94" i="10"/>
  <c r="AB2118" i="20" s="1"/>
  <c r="K211" i="10"/>
  <c r="K197" i="10"/>
  <c r="AB294" i="20" s="1"/>
  <c r="K207" i="10"/>
  <c r="K134" i="10"/>
  <c r="AB426" i="20" s="1"/>
  <c r="K107" i="10"/>
  <c r="K123" i="10"/>
  <c r="K149" i="10"/>
  <c r="K121" i="10"/>
  <c r="K37" i="10"/>
  <c r="K38" i="10"/>
  <c r="AB111" i="20" s="1"/>
  <c r="K39" i="10"/>
  <c r="AB112" i="20" s="1"/>
  <c r="K40" i="10"/>
  <c r="AB113" i="20" s="1"/>
  <c r="K41" i="10"/>
  <c r="AB114" i="20" s="1"/>
  <c r="K42" i="10"/>
  <c r="AB115" i="20" s="1"/>
  <c r="K43" i="10"/>
  <c r="K44" i="10"/>
  <c r="K45" i="10"/>
  <c r="K46" i="10"/>
  <c r="AB122" i="20" s="1"/>
  <c r="K47" i="10"/>
  <c r="AB2205" i="20" s="1"/>
  <c r="K48" i="10"/>
  <c r="AB124" i="20" s="1"/>
  <c r="K49" i="10"/>
  <c r="AB125" i="20" s="1"/>
  <c r="K50" i="10"/>
  <c r="AB1076" i="20" s="1"/>
  <c r="K51" i="10"/>
  <c r="AB1802" i="20" s="1"/>
  <c r="K52" i="10"/>
  <c r="AB442" i="20" s="1"/>
  <c r="K53" i="10"/>
  <c r="AB132" i="20" s="1"/>
  <c r="K54" i="10"/>
  <c r="K55" i="10"/>
  <c r="AB136" i="20" s="1"/>
  <c r="K201" i="10"/>
  <c r="K161" i="10"/>
  <c r="K56" i="10"/>
  <c r="AB139" i="20" s="1"/>
  <c r="K110" i="10"/>
  <c r="AB1172" i="20" s="1"/>
  <c r="K236" i="10"/>
  <c r="K57" i="10"/>
  <c r="AB163" i="20" s="1"/>
  <c r="K58" i="10"/>
  <c r="AB158" i="20" s="1"/>
  <c r="K109" i="10"/>
  <c r="AB468" i="20" s="1"/>
  <c r="K202" i="10"/>
  <c r="AB1682" i="20" s="1"/>
  <c r="K59" i="10"/>
  <c r="AB171" i="20" s="1"/>
  <c r="K141" i="10"/>
  <c r="K60" i="10"/>
  <c r="AB1308" i="20" s="1"/>
  <c r="K61" i="10"/>
  <c r="AB187" i="20" s="1"/>
  <c r="K62" i="10"/>
  <c r="AB877" i="20" s="1"/>
  <c r="K63" i="10"/>
  <c r="AB190" i="20" s="1"/>
  <c r="K135" i="10"/>
  <c r="K156" i="10"/>
  <c r="K131" i="10"/>
  <c r="K128" i="10"/>
  <c r="K136" i="10"/>
  <c r="K64" i="10"/>
  <c r="AB1704" i="20" s="1"/>
  <c r="K65" i="10"/>
  <c r="K66" i="10"/>
  <c r="AB259" i="20" s="1"/>
  <c r="K178" i="10"/>
  <c r="AB1355" i="20" s="1"/>
  <c r="K67" i="10"/>
  <c r="K68" i="10"/>
  <c r="K173" i="10"/>
  <c r="AB1930" i="20" s="1"/>
  <c r="K69" i="10"/>
  <c r="AB267" i="20" s="1"/>
  <c r="K70" i="10"/>
  <c r="AB268" i="20" s="1"/>
  <c r="K164" i="10"/>
  <c r="K71" i="10"/>
  <c r="AB270" i="20" s="1"/>
  <c r="K183" i="10"/>
  <c r="K153" i="10"/>
  <c r="K184" i="10"/>
  <c r="K119" i="10"/>
  <c r="AB888" i="20" s="1"/>
  <c r="K129" i="10"/>
  <c r="K142" i="10"/>
  <c r="K155" i="10"/>
  <c r="AB1892" i="20" s="1"/>
  <c r="K150" i="10"/>
  <c r="AB1716" i="20" s="1"/>
  <c r="K72" i="10"/>
  <c r="AB295" i="20" s="1"/>
  <c r="K73" i="10"/>
  <c r="AB2179" i="20" s="1"/>
  <c r="K74" i="10"/>
  <c r="K96" i="10"/>
  <c r="K100" i="10"/>
  <c r="K152" i="10"/>
  <c r="K75" i="10"/>
  <c r="K234" i="10"/>
  <c r="AB1984" i="20" s="1"/>
  <c r="K111" i="10"/>
  <c r="AB492" i="20" s="1"/>
  <c r="K95" i="10"/>
  <c r="K162" i="10"/>
  <c r="K159" i="10"/>
  <c r="K163" i="10"/>
  <c r="AB1629" i="20" s="1"/>
  <c r="K126" i="10"/>
  <c r="AB391" i="20" s="1"/>
  <c r="K117" i="10"/>
  <c r="K76" i="10"/>
  <c r="AB398" i="20" s="1"/>
  <c r="K77" i="10"/>
  <c r="AB1141" i="20" s="1"/>
  <c r="K229" i="10"/>
  <c r="AB406" i="20" s="1"/>
  <c r="K147" i="10"/>
  <c r="K116" i="10"/>
  <c r="AB582" i="20" s="1"/>
  <c r="K227" i="10"/>
  <c r="AB1406" i="20" s="1"/>
  <c r="K157" i="10"/>
  <c r="AB784" i="20" s="1"/>
  <c r="K218" i="10"/>
  <c r="AB441" i="20" s="1"/>
  <c r="K219" i="10"/>
  <c r="K78" i="10"/>
  <c r="K143" i="10"/>
  <c r="K114" i="10"/>
  <c r="K174" i="10"/>
  <c r="AB1824" i="20" s="1"/>
  <c r="K98" i="10"/>
  <c r="K167" i="10"/>
  <c r="AB1347" i="20" s="1"/>
  <c r="K212" i="10"/>
  <c r="K237" i="10"/>
  <c r="K79" i="10"/>
  <c r="K80" i="10"/>
  <c r="K81" i="10"/>
  <c r="K82" i="10"/>
  <c r="K238" i="10"/>
  <c r="K239" i="10"/>
  <c r="K104" i="10"/>
  <c r="K240" i="10"/>
  <c r="K83" i="10"/>
  <c r="K84" i="10"/>
  <c r="K168" i="10"/>
  <c r="K175" i="10"/>
  <c r="K160" i="10"/>
  <c r="K241" i="10"/>
  <c r="K85" i="10"/>
  <c r="K108" i="10"/>
  <c r="AB1093" i="20" s="1"/>
  <c r="K86" i="10"/>
  <c r="K87" i="10"/>
  <c r="K242" i="10"/>
  <c r="K215" i="10"/>
  <c r="AB1491" i="20" s="1"/>
  <c r="K112" i="10"/>
  <c r="K230" i="10"/>
  <c r="K216" i="10"/>
  <c r="AB1237" i="20" s="1"/>
  <c r="K209" i="10"/>
  <c r="AB2006" i="20" s="1"/>
  <c r="K185" i="10"/>
  <c r="AB2050" i="20" s="1"/>
  <c r="K188" i="10"/>
  <c r="AB1206" i="20" s="1"/>
  <c r="K189" i="10"/>
  <c r="K190" i="10"/>
  <c r="K231" i="10"/>
  <c r="K191" i="10"/>
  <c r="K192" i="10"/>
  <c r="AB847" i="20" s="1"/>
  <c r="K193" i="10"/>
  <c r="K205" i="10"/>
  <c r="K169" i="10"/>
  <c r="K194" i="10"/>
  <c r="K170" i="10"/>
  <c r="AB715" i="20" s="1"/>
  <c r="K199" i="10"/>
  <c r="K171" i="10"/>
  <c r="AB1047" i="20" s="1"/>
  <c r="K165" i="10"/>
  <c r="K195" i="10"/>
  <c r="AB716" i="20" s="1"/>
  <c r="K196" i="10"/>
  <c r="AB717" i="20" s="1"/>
  <c r="K243" i="10"/>
  <c r="K186" i="10"/>
  <c r="K88" i="10"/>
  <c r="K244" i="10"/>
  <c r="K103" i="10"/>
  <c r="K102" i="10"/>
  <c r="AB703" i="20" s="1"/>
  <c r="K187" i="10"/>
  <c r="AB569" i="20" s="1"/>
  <c r="K203" i="10"/>
  <c r="AB2144" i="20" s="1"/>
  <c r="K132" i="10"/>
  <c r="K232" i="10"/>
  <c r="AB1961" i="20" s="1"/>
  <c r="K245" i="10"/>
  <c r="K225" i="10"/>
  <c r="AB823" i="20" s="1"/>
  <c r="K220" i="10"/>
  <c r="K105" i="10"/>
  <c r="AB2147" i="20" s="1"/>
  <c r="K124" i="10"/>
  <c r="AB1510" i="20" s="1"/>
  <c r="K89" i="10"/>
  <c r="K90" i="10"/>
  <c r="K91" i="10"/>
  <c r="K92" i="10"/>
  <c r="K93" i="10"/>
  <c r="AB1169" i="20" s="1"/>
  <c r="K246" i="10"/>
  <c r="K221" i="10"/>
  <c r="K179" i="10"/>
  <c r="AB1404" i="20" s="1"/>
  <c r="K176" i="10"/>
  <c r="AB1403" i="20" s="1"/>
  <c r="K158" i="10"/>
  <c r="K177" i="10"/>
  <c r="AB1926" i="20" s="1"/>
  <c r="K166" i="10"/>
  <c r="AB2078" i="20" s="1"/>
  <c r="K144" i="10"/>
  <c r="K145" i="10"/>
  <c r="K210" i="10"/>
  <c r="K247" i="10"/>
  <c r="K248" i="10"/>
  <c r="K151" i="10"/>
  <c r="AB772" i="20" s="1"/>
  <c r="K226" i="10"/>
  <c r="AB771" i="20" s="1"/>
  <c r="K206" i="10"/>
  <c r="AB770" i="20" s="1"/>
  <c r="K200" i="10"/>
  <c r="K249" i="10"/>
  <c r="K250" i="10"/>
  <c r="K223" i="10"/>
  <c r="AB1964" i="20" s="1"/>
  <c r="K251" i="10"/>
  <c r="K252" i="10"/>
  <c r="K253" i="10"/>
  <c r="K254" i="10"/>
  <c r="L138" i="10"/>
  <c r="L106" i="10"/>
  <c r="L224" i="10"/>
  <c r="L122" i="10"/>
  <c r="L139" i="10"/>
  <c r="Y139" i="10" s="1"/>
  <c r="Z139" i="10" s="1"/>
  <c r="L113" i="10"/>
  <c r="P113" i="10" s="1"/>
  <c r="L140" i="10"/>
  <c r="P140" i="10" s="1"/>
  <c r="L99" i="10"/>
  <c r="L148" i="10"/>
  <c r="L2" i="10"/>
  <c r="L217" i="10"/>
  <c r="M217" i="10" s="1"/>
  <c r="N217" i="10" s="1"/>
  <c r="O217" i="10" s="1"/>
  <c r="L3" i="10"/>
  <c r="L146" i="10"/>
  <c r="L120" i="10"/>
  <c r="P120" i="10" s="1"/>
  <c r="L208" i="10"/>
  <c r="L137" i="10"/>
  <c r="L154" i="10"/>
  <c r="L118" i="10"/>
  <c r="L4" i="10"/>
  <c r="M4" i="10" s="1"/>
  <c r="N4" i="10" s="1"/>
  <c r="O4" i="10" s="1"/>
  <c r="L233" i="10"/>
  <c r="L180" i="10"/>
  <c r="L5" i="10"/>
  <c r="L6" i="10"/>
  <c r="L181" i="10"/>
  <c r="L101" i="10"/>
  <c r="L7" i="10"/>
  <c r="Y7" i="10" s="1"/>
  <c r="Z7" i="10" s="1"/>
  <c r="L8" i="10"/>
  <c r="L182" i="10"/>
  <c r="L198" i="10"/>
  <c r="L222" i="10"/>
  <c r="M222" i="10" s="1"/>
  <c r="N222" i="10" s="1"/>
  <c r="O222" i="10" s="1"/>
  <c r="L9" i="10"/>
  <c r="M9" i="10" s="1"/>
  <c r="N9" i="10" s="1"/>
  <c r="O9" i="10" s="1"/>
  <c r="L10" i="10"/>
  <c r="L11" i="10"/>
  <c r="L12" i="10"/>
  <c r="L13" i="10"/>
  <c r="P13" i="10" s="1"/>
  <c r="L204" i="10"/>
  <c r="L213" i="10"/>
  <c r="L14" i="10"/>
  <c r="L235" i="10"/>
  <c r="M235" i="10" s="1"/>
  <c r="N235" i="10" s="1"/>
  <c r="O235" i="10" s="1"/>
  <c r="L15" i="10"/>
  <c r="Y15" i="10" s="1"/>
  <c r="Z15" i="10" s="1"/>
  <c r="L16" i="10"/>
  <c r="L17" i="10"/>
  <c r="P17" i="10" s="1"/>
  <c r="L133" i="10"/>
  <c r="L115" i="10"/>
  <c r="M115" i="10" s="1"/>
  <c r="N115" i="10" s="1"/>
  <c r="O115" i="10" s="1"/>
  <c r="L97" i="10"/>
  <c r="L18" i="10"/>
  <c r="L172" i="10"/>
  <c r="P172" i="10" s="1"/>
  <c r="L19" i="10"/>
  <c r="L20" i="10"/>
  <c r="L125" i="10"/>
  <c r="L21" i="10"/>
  <c r="L228" i="10"/>
  <c r="L22" i="10"/>
  <c r="P22" i="10" s="1"/>
  <c r="L23" i="10"/>
  <c r="L24" i="10"/>
  <c r="L25" i="10"/>
  <c r="M25" i="10" s="1"/>
  <c r="N25" i="10" s="1"/>
  <c r="O25" i="10" s="1"/>
  <c r="L26" i="10"/>
  <c r="L27" i="10"/>
  <c r="L28" i="10"/>
  <c r="L214" i="10"/>
  <c r="L127" i="10"/>
  <c r="P127" i="10" s="1"/>
  <c r="L130" i="10"/>
  <c r="L29" i="10"/>
  <c r="L30" i="10"/>
  <c r="M30" i="10" s="1"/>
  <c r="N30" i="10" s="1"/>
  <c r="O30" i="10" s="1"/>
  <c r="L31" i="10"/>
  <c r="L32" i="10"/>
  <c r="L33" i="10"/>
  <c r="L34" i="10"/>
  <c r="Y34" i="10" s="1"/>
  <c r="Z34" i="10" s="1"/>
  <c r="L35" i="10"/>
  <c r="L36" i="10"/>
  <c r="P36" i="10" s="1"/>
  <c r="L94" i="10"/>
  <c r="L211" i="10"/>
  <c r="L197" i="10"/>
  <c r="L207" i="10"/>
  <c r="L134" i="10"/>
  <c r="M134" i="10" s="1"/>
  <c r="N134" i="10" s="1"/>
  <c r="O134" i="10" s="1"/>
  <c r="L107" i="10"/>
  <c r="L123" i="10"/>
  <c r="M123" i="10" s="1"/>
  <c r="N123" i="10" s="1"/>
  <c r="O123" i="10" s="1"/>
  <c r="L149" i="10"/>
  <c r="L121" i="10"/>
  <c r="L37" i="10"/>
  <c r="L38" i="10"/>
  <c r="L39" i="10"/>
  <c r="Y39" i="10" s="1"/>
  <c r="Z39" i="10" s="1"/>
  <c r="L40" i="10"/>
  <c r="L41" i="10"/>
  <c r="L42" i="10"/>
  <c r="L43" i="10"/>
  <c r="M43" i="10" s="1"/>
  <c r="N43" i="10" s="1"/>
  <c r="O43" i="10" s="1"/>
  <c r="L44" i="10"/>
  <c r="M44" i="10" s="1"/>
  <c r="N44" i="10" s="1"/>
  <c r="O44" i="10" s="1"/>
  <c r="L45" i="10"/>
  <c r="L46" i="10"/>
  <c r="Y46" i="10" s="1"/>
  <c r="Z46" i="10" s="1"/>
  <c r="L47" i="10"/>
  <c r="L48" i="10"/>
  <c r="M48" i="10" s="1"/>
  <c r="N48" i="10" s="1"/>
  <c r="O48" i="10" s="1"/>
  <c r="L49" i="10"/>
  <c r="L50" i="10"/>
  <c r="L51" i="10"/>
  <c r="L52" i="10"/>
  <c r="L53" i="10"/>
  <c r="L54" i="10"/>
  <c r="L55" i="10"/>
  <c r="P55" i="10" s="1"/>
  <c r="L201" i="10"/>
  <c r="L161" i="10"/>
  <c r="M161" i="10" s="1"/>
  <c r="L56" i="10"/>
  <c r="L110" i="10"/>
  <c r="L236" i="10"/>
  <c r="L57" i="10"/>
  <c r="L58" i="10"/>
  <c r="L109" i="10"/>
  <c r="L202" i="10"/>
  <c r="L59" i="10"/>
  <c r="L141" i="10"/>
  <c r="L60" i="10"/>
  <c r="Y60" i="10" s="1"/>
  <c r="Z60" i="10" s="1"/>
  <c r="L61" i="10"/>
  <c r="L62" i="10"/>
  <c r="L63" i="10"/>
  <c r="L135" i="10"/>
  <c r="L156" i="10"/>
  <c r="L131" i="10"/>
  <c r="L128" i="10"/>
  <c r="P128" i="10" s="1"/>
  <c r="L136" i="10"/>
  <c r="L64" i="10"/>
  <c r="L65" i="10"/>
  <c r="L66" i="10"/>
  <c r="L178" i="10"/>
  <c r="L67" i="10"/>
  <c r="L68" i="10"/>
  <c r="L173" i="10"/>
  <c r="L69" i="10"/>
  <c r="L70" i="10"/>
  <c r="L164" i="10"/>
  <c r="L71" i="10"/>
  <c r="L183" i="10"/>
  <c r="M183" i="10" s="1"/>
  <c r="N183" i="10" s="1"/>
  <c r="O183" i="10" s="1"/>
  <c r="L153" i="10"/>
  <c r="P153" i="10" s="1"/>
  <c r="L184" i="10"/>
  <c r="L119" i="10"/>
  <c r="P119" i="10" s="1"/>
  <c r="L129" i="10"/>
  <c r="L142" i="10"/>
  <c r="L155" i="10"/>
  <c r="L150" i="10"/>
  <c r="L72" i="10"/>
  <c r="Y72" i="10" s="1"/>
  <c r="Z72" i="10" s="1"/>
  <c r="L73" i="10"/>
  <c r="L74" i="10"/>
  <c r="M74" i="10" s="1"/>
  <c r="N74" i="10" s="1"/>
  <c r="O74" i="10" s="1"/>
  <c r="L96" i="10"/>
  <c r="L100" i="10"/>
  <c r="M100" i="10" s="1"/>
  <c r="L152" i="10"/>
  <c r="M152" i="10" s="1"/>
  <c r="N152" i="10" s="1"/>
  <c r="O152" i="10" s="1"/>
  <c r="L75" i="10"/>
  <c r="L234" i="10"/>
  <c r="Y234" i="10" s="1"/>
  <c r="Z234" i="10" s="1"/>
  <c r="L111" i="10"/>
  <c r="L95" i="10"/>
  <c r="M95" i="10" s="1"/>
  <c r="N95" i="10" s="1"/>
  <c r="O95" i="10" s="1"/>
  <c r="L162" i="10"/>
  <c r="L159" i="10"/>
  <c r="Y159" i="10" s="1"/>
  <c r="Z159" i="10" s="1"/>
  <c r="L163" i="10"/>
  <c r="L126" i="10"/>
  <c r="L117" i="10"/>
  <c r="Y117" i="10" s="1"/>
  <c r="L76" i="10"/>
  <c r="L77" i="10"/>
  <c r="P77" i="10" s="1"/>
  <c r="L229" i="10"/>
  <c r="L147" i="10"/>
  <c r="P147" i="10" s="1"/>
  <c r="L116" i="10"/>
  <c r="L227" i="10"/>
  <c r="L157" i="10"/>
  <c r="P157" i="10" s="1"/>
  <c r="L218" i="10"/>
  <c r="M218" i="10" s="1"/>
  <c r="N218" i="10" s="1"/>
  <c r="O218" i="10" s="1"/>
  <c r="L219" i="10"/>
  <c r="M219" i="10" s="1"/>
  <c r="N219" i="10" s="1"/>
  <c r="O219" i="10" s="1"/>
  <c r="L78" i="10"/>
  <c r="L143" i="10"/>
  <c r="L114" i="10"/>
  <c r="L174" i="10"/>
  <c r="L98" i="10"/>
  <c r="Y98" i="10" s="1"/>
  <c r="Z98" i="10" s="1"/>
  <c r="L167" i="10"/>
  <c r="L212" i="10"/>
  <c r="L237" i="10"/>
  <c r="L79" i="10"/>
  <c r="L80" i="10"/>
  <c r="L81" i="10"/>
  <c r="L82" i="10"/>
  <c r="L238" i="10"/>
  <c r="M238" i="10" s="1"/>
  <c r="N238" i="10" s="1"/>
  <c r="O238" i="10" s="1"/>
  <c r="L239" i="10"/>
  <c r="M239" i="10" s="1"/>
  <c r="N239" i="10" s="1"/>
  <c r="O239" i="10" s="1"/>
  <c r="L104" i="10"/>
  <c r="L240" i="10"/>
  <c r="L83" i="10"/>
  <c r="L84" i="10"/>
  <c r="L168" i="10"/>
  <c r="L175" i="10"/>
  <c r="L160" i="10"/>
  <c r="P160" i="10" s="1"/>
  <c r="L241" i="10"/>
  <c r="L85" i="10"/>
  <c r="P85" i="10" s="1"/>
  <c r="L108" i="10"/>
  <c r="M108" i="10" s="1"/>
  <c r="N108" i="10" s="1"/>
  <c r="O108" i="10" s="1"/>
  <c r="L86" i="10"/>
  <c r="L87" i="10"/>
  <c r="M87" i="10" s="1"/>
  <c r="N87" i="10" s="1"/>
  <c r="O87" i="10" s="1"/>
  <c r="L242" i="10"/>
  <c r="L215" i="10"/>
  <c r="L112" i="10"/>
  <c r="L230" i="10"/>
  <c r="L216" i="10"/>
  <c r="L209" i="10"/>
  <c r="L185" i="10"/>
  <c r="Y185" i="10" s="1"/>
  <c r="L188" i="10"/>
  <c r="L189" i="10"/>
  <c r="L190" i="10"/>
  <c r="L231" i="10"/>
  <c r="P231" i="10" s="1"/>
  <c r="L191" i="10"/>
  <c r="L192" i="10"/>
  <c r="L193" i="10"/>
  <c r="Y193" i="10" s="1"/>
  <c r="Z193" i="10" s="1"/>
  <c r="L205" i="10"/>
  <c r="L169" i="10"/>
  <c r="L194" i="10"/>
  <c r="L170" i="10"/>
  <c r="L199" i="10"/>
  <c r="L171" i="10"/>
  <c r="L165" i="10"/>
  <c r="L195" i="10"/>
  <c r="L196" i="10"/>
  <c r="L243" i="10"/>
  <c r="L186" i="10"/>
  <c r="L88" i="10"/>
  <c r="L244" i="10"/>
  <c r="L103" i="10"/>
  <c r="L102" i="10"/>
  <c r="L187" i="10"/>
  <c r="L203" i="10"/>
  <c r="L132" i="10"/>
  <c r="L232" i="10"/>
  <c r="L245" i="10"/>
  <c r="L225" i="10"/>
  <c r="L220" i="10"/>
  <c r="P220" i="10" s="1"/>
  <c r="L105" i="10"/>
  <c r="M105" i="10" s="1"/>
  <c r="N105" i="10" s="1"/>
  <c r="O105" i="10" s="1"/>
  <c r="L124" i="10"/>
  <c r="L89" i="10"/>
  <c r="L90" i="10"/>
  <c r="L91" i="10"/>
  <c r="L92" i="10"/>
  <c r="L93" i="10"/>
  <c r="Y93" i="10" s="1"/>
  <c r="Z93" i="10" s="1"/>
  <c r="L246" i="10"/>
  <c r="L221" i="10"/>
  <c r="L179" i="10"/>
  <c r="L176" i="10"/>
  <c r="L158" i="10"/>
  <c r="L177" i="10"/>
  <c r="Y177" i="10" s="1"/>
  <c r="L166" i="10"/>
  <c r="L144" i="10"/>
  <c r="L145" i="10"/>
  <c r="L210" i="10"/>
  <c r="M210" i="10" s="1"/>
  <c r="N210" i="10" s="1"/>
  <c r="O210" i="10" s="1"/>
  <c r="L247" i="10"/>
  <c r="M247" i="10" s="1"/>
  <c r="N247" i="10" s="1"/>
  <c r="O247" i="10" s="1"/>
  <c r="L248" i="10"/>
  <c r="L151" i="10"/>
  <c r="Y151" i="10" s="1"/>
  <c r="Z151" i="10" s="1"/>
  <c r="L226" i="10"/>
  <c r="L206" i="10"/>
  <c r="P206" i="10" s="1"/>
  <c r="L200" i="10"/>
  <c r="L249" i="10"/>
  <c r="L250" i="10"/>
  <c r="L223" i="10"/>
  <c r="P223" i="10" s="1"/>
  <c r="L251" i="10"/>
  <c r="Y251" i="10" s="1"/>
  <c r="L252" i="10"/>
  <c r="L253" i="10"/>
  <c r="L254" i="10"/>
  <c r="M106" i="10"/>
  <c r="M224" i="10"/>
  <c r="N224" i="10" s="1"/>
  <c r="O224" i="10" s="1"/>
  <c r="M140" i="10"/>
  <c r="N140" i="10" s="1"/>
  <c r="O140" i="10" s="1"/>
  <c r="M146" i="10"/>
  <c r="N146" i="10" s="1"/>
  <c r="O146" i="10" s="1"/>
  <c r="M120" i="10"/>
  <c r="N120" i="10" s="1"/>
  <c r="O120" i="10" s="1"/>
  <c r="M137" i="10"/>
  <c r="N137" i="10" s="1"/>
  <c r="O137" i="10" s="1"/>
  <c r="M154" i="10"/>
  <c r="N154" i="10" s="1"/>
  <c r="O154" i="10" s="1"/>
  <c r="M8" i="10"/>
  <c r="N8" i="10" s="1"/>
  <c r="O8" i="10" s="1"/>
  <c r="M182" i="10"/>
  <c r="N182" i="10" s="1"/>
  <c r="O182" i="10" s="1"/>
  <c r="M16" i="10"/>
  <c r="N16" i="10" s="1"/>
  <c r="O16" i="10" s="1"/>
  <c r="M17" i="10"/>
  <c r="N17" i="10" s="1"/>
  <c r="O17" i="10" s="1"/>
  <c r="M97" i="10"/>
  <c r="N97" i="10" s="1"/>
  <c r="O97" i="10" s="1"/>
  <c r="M24" i="10"/>
  <c r="N24" i="10" s="1"/>
  <c r="O24" i="10" s="1"/>
  <c r="M27" i="10"/>
  <c r="N27" i="10" s="1"/>
  <c r="O27" i="10" s="1"/>
  <c r="M28" i="10"/>
  <c r="N28" i="10" s="1"/>
  <c r="O28" i="10" s="1"/>
  <c r="M35" i="10"/>
  <c r="N35" i="10" s="1"/>
  <c r="O35" i="10" s="1"/>
  <c r="M211" i="10"/>
  <c r="N211" i="10" s="1"/>
  <c r="O211" i="10" s="1"/>
  <c r="M197" i="10"/>
  <c r="N197" i="10" s="1"/>
  <c r="O197" i="10" s="1"/>
  <c r="M40" i="10"/>
  <c r="N40" i="10" s="1"/>
  <c r="O40" i="10" s="1"/>
  <c r="M41" i="10"/>
  <c r="N41" i="10" s="1"/>
  <c r="O41" i="10" s="1"/>
  <c r="M54" i="10"/>
  <c r="N54" i="10" s="1"/>
  <c r="O54" i="10" s="1"/>
  <c r="M55" i="10"/>
  <c r="N55" i="10" s="1"/>
  <c r="O55" i="10" s="1"/>
  <c r="M56" i="10"/>
  <c r="N56" i="10" s="1"/>
  <c r="O56" i="10" s="1"/>
  <c r="M61" i="10"/>
  <c r="N61" i="10" s="1"/>
  <c r="O61" i="10" s="1"/>
  <c r="M135" i="10"/>
  <c r="N135" i="10" s="1"/>
  <c r="O135" i="10" s="1"/>
  <c r="M156" i="10"/>
  <c r="N156" i="10" s="1"/>
  <c r="O156" i="10" s="1"/>
  <c r="M173" i="10"/>
  <c r="M164" i="10"/>
  <c r="M71" i="10"/>
  <c r="N71" i="10" s="1"/>
  <c r="O71" i="10" s="1"/>
  <c r="M153" i="10"/>
  <c r="N153" i="10" s="1"/>
  <c r="O153" i="10" s="1"/>
  <c r="M73" i="10"/>
  <c r="N73" i="10" s="1"/>
  <c r="O73" i="10" s="1"/>
  <c r="M76" i="10"/>
  <c r="N76" i="10" s="1"/>
  <c r="O76" i="10" s="1"/>
  <c r="M77" i="10"/>
  <c r="N77" i="10" s="1"/>
  <c r="O77" i="10" s="1"/>
  <c r="M147" i="10"/>
  <c r="N147" i="10" s="1"/>
  <c r="O147" i="10" s="1"/>
  <c r="M116" i="10"/>
  <c r="N116" i="10" s="1"/>
  <c r="O116" i="10" s="1"/>
  <c r="M167" i="10"/>
  <c r="N167" i="10" s="1"/>
  <c r="O167" i="10" s="1"/>
  <c r="M212" i="10"/>
  <c r="N212" i="10" s="1"/>
  <c r="O212" i="10" s="1"/>
  <c r="M79" i="10"/>
  <c r="N79" i="10" s="1"/>
  <c r="O79" i="10" s="1"/>
  <c r="M80" i="10"/>
  <c r="N80" i="10" s="1"/>
  <c r="O80" i="10" s="1"/>
  <c r="M175" i="10"/>
  <c r="N175" i="10" s="1"/>
  <c r="O175" i="10" s="1"/>
  <c r="M85" i="10"/>
  <c r="M188" i="10"/>
  <c r="N188" i="10" s="1"/>
  <c r="O188" i="10" s="1"/>
  <c r="M231" i="10"/>
  <c r="N231" i="10" s="1"/>
  <c r="O231" i="10" s="1"/>
  <c r="M191" i="10"/>
  <c r="N191" i="10" s="1"/>
  <c r="O191" i="10" s="1"/>
  <c r="M195" i="10"/>
  <c r="N195" i="10" s="1"/>
  <c r="O195" i="10" s="1"/>
  <c r="M186" i="10"/>
  <c r="M88" i="10"/>
  <c r="N88" i="10" s="1"/>
  <c r="O88" i="10" s="1"/>
  <c r="M220" i="10"/>
  <c r="N220" i="10" s="1"/>
  <c r="O220" i="10" s="1"/>
  <c r="M89" i="10"/>
  <c r="N89" i="10" s="1"/>
  <c r="O89" i="10" s="1"/>
  <c r="M90" i="10"/>
  <c r="N90" i="10" s="1"/>
  <c r="O90" i="10" s="1"/>
  <c r="M166" i="10"/>
  <c r="N166" i="10" s="1"/>
  <c r="O166" i="10" s="1"/>
  <c r="M144" i="10"/>
  <c r="N144" i="10" s="1"/>
  <c r="O144" i="10" s="1"/>
  <c r="M252" i="10"/>
  <c r="N252" i="10" s="1"/>
  <c r="O252" i="10" s="1"/>
  <c r="N106" i="10"/>
  <c r="O106" i="10" s="1"/>
  <c r="N161" i="10"/>
  <c r="O161" i="10" s="1"/>
  <c r="N173" i="10"/>
  <c r="O173" i="10" s="1"/>
  <c r="N164" i="10"/>
  <c r="O164" i="10" s="1"/>
  <c r="N100" i="10"/>
  <c r="O100" i="10" s="1"/>
  <c r="N85" i="10"/>
  <c r="O85" i="10" s="1"/>
  <c r="N186" i="10"/>
  <c r="O186" i="10" s="1"/>
  <c r="P106" i="10"/>
  <c r="P224" i="10"/>
  <c r="P146" i="10"/>
  <c r="P137" i="10"/>
  <c r="P154" i="10"/>
  <c r="P8" i="10"/>
  <c r="P182" i="10"/>
  <c r="P222" i="10"/>
  <c r="P9" i="10"/>
  <c r="P16" i="10"/>
  <c r="P115" i="10"/>
  <c r="P97" i="10"/>
  <c r="P24" i="10"/>
  <c r="P25" i="10"/>
  <c r="P27" i="10"/>
  <c r="P28" i="10"/>
  <c r="P35" i="10"/>
  <c r="P211" i="10"/>
  <c r="P197" i="10"/>
  <c r="P40" i="10"/>
  <c r="P54" i="10"/>
  <c r="P56" i="10"/>
  <c r="P61" i="10"/>
  <c r="P135" i="10"/>
  <c r="P156" i="10"/>
  <c r="P173" i="10"/>
  <c r="P69" i="10"/>
  <c r="P164" i="10"/>
  <c r="P71" i="10"/>
  <c r="P73" i="10"/>
  <c r="P76" i="10"/>
  <c r="P116" i="10"/>
  <c r="P219" i="10"/>
  <c r="P167" i="10"/>
  <c r="P212" i="10"/>
  <c r="P79" i="10"/>
  <c r="P80" i="10"/>
  <c r="P175" i="10"/>
  <c r="P188" i="10"/>
  <c r="P189" i="10"/>
  <c r="P191" i="10"/>
  <c r="P195" i="10"/>
  <c r="P186" i="10"/>
  <c r="P88" i="10"/>
  <c r="P105" i="10"/>
  <c r="P89" i="10"/>
  <c r="P90" i="10"/>
  <c r="P166" i="10"/>
  <c r="P252" i="10"/>
  <c r="Q138" i="10"/>
  <c r="V138" i="10" s="1"/>
  <c r="Q106" i="10"/>
  <c r="Q224" i="10"/>
  <c r="Q122" i="10"/>
  <c r="Q139" i="10"/>
  <c r="Q113" i="10"/>
  <c r="Q140" i="10"/>
  <c r="Y140" i="10" s="1"/>
  <c r="Z140" i="10" s="1"/>
  <c r="Q99" i="10"/>
  <c r="S99" i="10" s="1"/>
  <c r="Q148" i="10"/>
  <c r="Q2" i="10"/>
  <c r="Q217" i="10"/>
  <c r="Q3" i="10"/>
  <c r="Y3" i="10" s="1"/>
  <c r="Z3" i="10" s="1"/>
  <c r="Q146" i="10"/>
  <c r="S146" i="10" s="1"/>
  <c r="T146" i="10" s="1"/>
  <c r="Q120" i="10"/>
  <c r="Y120" i="10" s="1"/>
  <c r="Z120" i="10" s="1"/>
  <c r="Q208" i="10"/>
  <c r="Y208" i="10" s="1"/>
  <c r="Q137" i="10"/>
  <c r="Q154" i="10"/>
  <c r="Y154" i="10" s="1"/>
  <c r="Z154" i="10" s="1"/>
  <c r="Q118" i="10"/>
  <c r="Q4" i="10"/>
  <c r="Q233" i="10"/>
  <c r="Q180" i="10"/>
  <c r="Q5" i="10"/>
  <c r="Q6" i="10"/>
  <c r="Q181" i="10"/>
  <c r="Q101" i="10"/>
  <c r="S101" i="10" s="1"/>
  <c r="Q7" i="10"/>
  <c r="Q8" i="10"/>
  <c r="Q182" i="10"/>
  <c r="Y182" i="10" s="1"/>
  <c r="Z182" i="10" s="1"/>
  <c r="Q198" i="10"/>
  <c r="Y198" i="10" s="1"/>
  <c r="Q222" i="10"/>
  <c r="Q9" i="10"/>
  <c r="Q10" i="10"/>
  <c r="Y10" i="10" s="1"/>
  <c r="Q11" i="10"/>
  <c r="Q12" i="10"/>
  <c r="Q13" i="10"/>
  <c r="Q204" i="10"/>
  <c r="Q213" i="10"/>
  <c r="Q14" i="10"/>
  <c r="Q235" i="10"/>
  <c r="Q15" i="10"/>
  <c r="Q16" i="10"/>
  <c r="Q17" i="10"/>
  <c r="Y17" i="10" s="1"/>
  <c r="Z17" i="10" s="1"/>
  <c r="Q133" i="10"/>
  <c r="Y133" i="10" s="1"/>
  <c r="Q115" i="10"/>
  <c r="Y115" i="10" s="1"/>
  <c r="Q97" i="10"/>
  <c r="Q18" i="10"/>
  <c r="Q172" i="10"/>
  <c r="Q19" i="10"/>
  <c r="Q20" i="10"/>
  <c r="Q125" i="10"/>
  <c r="Q21" i="10"/>
  <c r="Q228" i="10"/>
  <c r="Q22" i="10"/>
  <c r="Q23" i="10"/>
  <c r="Q24" i="10"/>
  <c r="Q25" i="10"/>
  <c r="Q26" i="10"/>
  <c r="Y26" i="10" s="1"/>
  <c r="Q27" i="10"/>
  <c r="Q28" i="10"/>
  <c r="Y28" i="10" s="1"/>
  <c r="Q214" i="10"/>
  <c r="Q127" i="10"/>
  <c r="Q130" i="10"/>
  <c r="Q29" i="10"/>
  <c r="Q30" i="10"/>
  <c r="Q31" i="10"/>
  <c r="Q32" i="10"/>
  <c r="Q33" i="10"/>
  <c r="Q34" i="10"/>
  <c r="Q35" i="10"/>
  <c r="Y35" i="10" s="1"/>
  <c r="Q36" i="10"/>
  <c r="Y36" i="10" s="1"/>
  <c r="Q94" i="10"/>
  <c r="Y94" i="10" s="1"/>
  <c r="Q211" i="10"/>
  <c r="Q197" i="10"/>
  <c r="Y197" i="10" s="1"/>
  <c r="Z197" i="10" s="1"/>
  <c r="Q207" i="10"/>
  <c r="Q134" i="10"/>
  <c r="Q107" i="10"/>
  <c r="Q123" i="10"/>
  <c r="Q149" i="10"/>
  <c r="V149" i="10" s="1"/>
  <c r="P132" i="34" s="1"/>
  <c r="R132" i="34" s="1"/>
  <c r="Q121" i="10"/>
  <c r="V121" i="10" s="1"/>
  <c r="Q37" i="10"/>
  <c r="Q38" i="10"/>
  <c r="Q39" i="10"/>
  <c r="Q40" i="10"/>
  <c r="Y40" i="10" s="1"/>
  <c r="Q41" i="10"/>
  <c r="S41" i="10" s="1"/>
  <c r="T41" i="10" s="1"/>
  <c r="Q42" i="10"/>
  <c r="Q43" i="10"/>
  <c r="Q44" i="10"/>
  <c r="Q45" i="10"/>
  <c r="Y45" i="10" s="1"/>
  <c r="Q46" i="10"/>
  <c r="S46" i="10" s="1"/>
  <c r="Q47" i="10"/>
  <c r="Q48" i="10"/>
  <c r="Q49" i="10"/>
  <c r="Q50" i="10"/>
  <c r="Q51" i="10"/>
  <c r="Q52" i="10"/>
  <c r="Q53" i="10"/>
  <c r="Y53" i="10" s="1"/>
  <c r="Z53" i="10" s="1"/>
  <c r="Q54" i="10"/>
  <c r="Q55" i="10"/>
  <c r="Y55" i="10" s="1"/>
  <c r="Z55" i="10" s="1"/>
  <c r="Q201" i="10"/>
  <c r="Q161" i="10"/>
  <c r="Q56" i="10"/>
  <c r="Y56" i="10" s="1"/>
  <c r="Q110" i="10"/>
  <c r="Y110" i="10" s="1"/>
  <c r="Z110" i="10" s="1"/>
  <c r="Q236" i="10"/>
  <c r="Q57" i="10"/>
  <c r="Q58" i="10"/>
  <c r="Q109" i="10"/>
  <c r="Q202" i="10"/>
  <c r="Q59" i="10"/>
  <c r="Q141" i="10"/>
  <c r="Q60" i="10"/>
  <c r="Q61" i="10"/>
  <c r="Q62" i="10"/>
  <c r="Y62" i="10" s="1"/>
  <c r="Z62" i="10" s="1"/>
  <c r="Q63" i="10"/>
  <c r="Q135" i="10"/>
  <c r="Q156" i="10"/>
  <c r="Q131" i="10"/>
  <c r="Y131" i="10" s="1"/>
  <c r="Z131" i="10" s="1"/>
  <c r="Q128" i="10"/>
  <c r="S128" i="10" s="1"/>
  <c r="Q136" i="10"/>
  <c r="Q64" i="10"/>
  <c r="Q65" i="10"/>
  <c r="Q66" i="10"/>
  <c r="Q178" i="10"/>
  <c r="Q67" i="10"/>
  <c r="Q68" i="10"/>
  <c r="Q173" i="10"/>
  <c r="Q69" i="10"/>
  <c r="Q70" i="10"/>
  <c r="Q164" i="10"/>
  <c r="Q71" i="10"/>
  <c r="Q183" i="10"/>
  <c r="Y183" i="10" s="1"/>
  <c r="Z183" i="10" s="1"/>
  <c r="Q153" i="10"/>
  <c r="Q184" i="10"/>
  <c r="Q119" i="10"/>
  <c r="Q129" i="10"/>
  <c r="Q142" i="10"/>
  <c r="Q155" i="10"/>
  <c r="Q150" i="10"/>
  <c r="Q72" i="10"/>
  <c r="S72" i="10" s="1"/>
  <c r="Q73" i="10"/>
  <c r="Q74" i="10"/>
  <c r="Q96" i="10"/>
  <c r="Q100" i="10"/>
  <c r="Q152" i="10"/>
  <c r="Y152" i="10" s="1"/>
  <c r="Q75" i="10"/>
  <c r="Q234" i="10"/>
  <c r="Q111" i="10"/>
  <c r="Q95" i="10"/>
  <c r="Q162" i="10"/>
  <c r="Q159" i="10"/>
  <c r="Q163" i="10"/>
  <c r="Q126" i="10"/>
  <c r="Q117" i="10"/>
  <c r="Q76" i="10"/>
  <c r="Y76" i="10" s="1"/>
  <c r="Q77" i="10"/>
  <c r="Y77" i="10" s="1"/>
  <c r="Z77" i="10" s="1"/>
  <c r="Q229" i="10"/>
  <c r="Q147" i="10"/>
  <c r="Q116" i="10"/>
  <c r="Q227" i="10"/>
  <c r="Q157" i="10"/>
  <c r="Q218" i="10"/>
  <c r="Q219" i="10"/>
  <c r="Y219" i="10" s="1"/>
  <c r="Z219" i="10" s="1"/>
  <c r="Q78" i="10"/>
  <c r="Q143" i="10"/>
  <c r="Q114" i="10"/>
  <c r="Q174" i="10"/>
  <c r="Q98" i="10"/>
  <c r="S98" i="10" s="1"/>
  <c r="T98" i="10" s="1"/>
  <c r="Q167" i="10"/>
  <c r="Y167" i="10" s="1"/>
  <c r="Q212" i="10"/>
  <c r="S212" i="10" s="1"/>
  <c r="T212" i="10" s="1"/>
  <c r="Q237" i="10"/>
  <c r="Q79" i="10"/>
  <c r="Q80" i="10"/>
  <c r="Y80" i="10" s="1"/>
  <c r="Q81" i="10"/>
  <c r="Q82" i="10"/>
  <c r="Q238" i="10"/>
  <c r="Q239" i="10"/>
  <c r="V239" i="10" s="1"/>
  <c r="Q104" i="10"/>
  <c r="Q240" i="10"/>
  <c r="Q83" i="10"/>
  <c r="Q84" i="10"/>
  <c r="Q168" i="10"/>
  <c r="Y168" i="10" s="1"/>
  <c r="Q175" i="10"/>
  <c r="Y175" i="10" s="1"/>
  <c r="Q160" i="10"/>
  <c r="Y160" i="10" s="1"/>
  <c r="Z160" i="10" s="1"/>
  <c r="Q241" i="10"/>
  <c r="Y241" i="10" s="1"/>
  <c r="Q85" i="10"/>
  <c r="Q108" i="10"/>
  <c r="Q86" i="10"/>
  <c r="Q87" i="10"/>
  <c r="Q242" i="10"/>
  <c r="Q215" i="10"/>
  <c r="Q112" i="10"/>
  <c r="Q230" i="10"/>
  <c r="Q216" i="10"/>
  <c r="Q209" i="10"/>
  <c r="Q185" i="10"/>
  <c r="Q188" i="10"/>
  <c r="V188" i="10" s="1"/>
  <c r="Q189" i="10"/>
  <c r="Q190" i="10"/>
  <c r="Y190" i="10" s="1"/>
  <c r="Q231" i="10"/>
  <c r="Q191" i="10"/>
  <c r="Y191" i="10" s="1"/>
  <c r="Z191" i="10" s="1"/>
  <c r="Q192" i="10"/>
  <c r="Q193" i="10"/>
  <c r="Q205" i="10"/>
  <c r="Q169" i="10"/>
  <c r="Q194" i="10"/>
  <c r="Q170" i="10"/>
  <c r="Q199" i="10"/>
  <c r="Q171" i="10"/>
  <c r="Q165" i="10"/>
  <c r="Q195" i="10"/>
  <c r="Q196" i="10"/>
  <c r="Q243" i="10"/>
  <c r="Q186" i="10"/>
  <c r="Q88" i="10"/>
  <c r="Y88" i="10" s="1"/>
  <c r="Z88" i="10" s="1"/>
  <c r="Q244" i="10"/>
  <c r="Q103" i="10"/>
  <c r="Q102" i="10"/>
  <c r="Q187" i="10"/>
  <c r="Q203" i="10"/>
  <c r="Q132" i="10"/>
  <c r="Q232" i="10"/>
  <c r="Q245" i="10"/>
  <c r="Q225" i="10"/>
  <c r="Y225" i="10" s="1"/>
  <c r="Z225" i="10" s="1"/>
  <c r="Q220" i="10"/>
  <c r="Q105" i="10"/>
  <c r="Q124" i="10"/>
  <c r="Y124" i="10" s="1"/>
  <c r="Q89" i="10"/>
  <c r="Q90" i="10"/>
  <c r="Q91" i="10"/>
  <c r="Q92" i="10"/>
  <c r="Q93" i="10"/>
  <c r="Q246" i="10"/>
  <c r="Q221" i="10"/>
  <c r="Q179" i="10"/>
  <c r="Q176" i="10"/>
  <c r="Q158" i="10"/>
  <c r="S158" i="10" s="1"/>
  <c r="Q177" i="10"/>
  <c r="Q166" i="10"/>
  <c r="Q144" i="10"/>
  <c r="Q145" i="10"/>
  <c r="Q210" i="10"/>
  <c r="Q247" i="10"/>
  <c r="Y247" i="10" s="1"/>
  <c r="Q248" i="10"/>
  <c r="Q151" i="10"/>
  <c r="Q226" i="10"/>
  <c r="Q206" i="10"/>
  <c r="Q200" i="10"/>
  <c r="Q249" i="10"/>
  <c r="Q250" i="10"/>
  <c r="Q223" i="10"/>
  <c r="Q251" i="10"/>
  <c r="Q252" i="10"/>
  <c r="Q253" i="10"/>
  <c r="Y253" i="10" s="1"/>
  <c r="Z253" i="10" s="1"/>
  <c r="Q254" i="10"/>
  <c r="R138" i="10"/>
  <c r="S138" i="10" s="1"/>
  <c r="T138" i="10" s="1"/>
  <c r="R106" i="10"/>
  <c r="R224" i="10"/>
  <c r="R122" i="10"/>
  <c r="R139" i="10"/>
  <c r="R113" i="10"/>
  <c r="R140" i="10"/>
  <c r="S140" i="10" s="1"/>
  <c r="T140" i="10" s="1"/>
  <c r="R99" i="10"/>
  <c r="R148" i="10"/>
  <c r="S148" i="10" s="1"/>
  <c r="R2" i="10"/>
  <c r="R217" i="10"/>
  <c r="R3" i="10"/>
  <c r="S3" i="10" s="1"/>
  <c r="R146" i="10"/>
  <c r="R120" i="10"/>
  <c r="R208" i="10"/>
  <c r="S208" i="10" s="1"/>
  <c r="T208" i="10" s="1"/>
  <c r="R137" i="10"/>
  <c r="R154" i="10"/>
  <c r="R118" i="10"/>
  <c r="R4" i="10"/>
  <c r="R233" i="10"/>
  <c r="R180" i="10"/>
  <c r="R5" i="10"/>
  <c r="R6" i="10"/>
  <c r="S6" i="10" s="1"/>
  <c r="R181" i="10"/>
  <c r="R101" i="10"/>
  <c r="R7" i="10"/>
  <c r="S7" i="10" s="1"/>
  <c r="R8" i="10"/>
  <c r="R182" i="10"/>
  <c r="R198" i="10"/>
  <c r="S198" i="10" s="1"/>
  <c r="T198" i="10" s="1"/>
  <c r="R222" i="10"/>
  <c r="R9" i="10"/>
  <c r="R10" i="10"/>
  <c r="R11" i="10"/>
  <c r="R12" i="10"/>
  <c r="R13" i="10"/>
  <c r="R204" i="10"/>
  <c r="R213" i="10"/>
  <c r="S213" i="10" s="1"/>
  <c r="R14" i="10"/>
  <c r="R235" i="10"/>
  <c r="R15" i="10"/>
  <c r="S15" i="10" s="1"/>
  <c r="R16" i="10"/>
  <c r="S16" i="10" s="1"/>
  <c r="T16" i="10" s="1"/>
  <c r="R17" i="10"/>
  <c r="R133" i="10"/>
  <c r="S133" i="10" s="1"/>
  <c r="T133" i="10" s="1"/>
  <c r="R115" i="10"/>
  <c r="R97" i="10"/>
  <c r="R18" i="10"/>
  <c r="R172" i="10"/>
  <c r="R19" i="10"/>
  <c r="R20" i="10"/>
  <c r="R125" i="10"/>
  <c r="R21" i="10"/>
  <c r="S21" i="10" s="1"/>
  <c r="R228" i="10"/>
  <c r="R22" i="10"/>
  <c r="R23" i="10"/>
  <c r="S23" i="10" s="1"/>
  <c r="R24" i="10"/>
  <c r="R25" i="10"/>
  <c r="R26" i="10"/>
  <c r="S26" i="10" s="1"/>
  <c r="T26" i="10" s="1"/>
  <c r="R27" i="10"/>
  <c r="R28" i="10"/>
  <c r="R214" i="10"/>
  <c r="R127" i="10"/>
  <c r="R130" i="10"/>
  <c r="R29" i="10"/>
  <c r="S29" i="10" s="1"/>
  <c r="T29" i="10" s="1"/>
  <c r="R30" i="10"/>
  <c r="S30" i="10" s="1"/>
  <c r="R31" i="10"/>
  <c r="S31" i="10" s="1"/>
  <c r="R32" i="10"/>
  <c r="R33" i="10"/>
  <c r="R34" i="10"/>
  <c r="S34" i="10" s="1"/>
  <c r="R35" i="10"/>
  <c r="R36" i="10"/>
  <c r="R94" i="10"/>
  <c r="S94" i="10" s="1"/>
  <c r="T94" i="10" s="1"/>
  <c r="R211" i="10"/>
  <c r="R197" i="10"/>
  <c r="R207" i="10"/>
  <c r="R134" i="10"/>
  <c r="R107" i="10"/>
  <c r="R123" i="10"/>
  <c r="R149" i="10"/>
  <c r="R121" i="10"/>
  <c r="S121" i="10" s="1"/>
  <c r="R37" i="10"/>
  <c r="R38" i="10"/>
  <c r="R39" i="10"/>
  <c r="S39" i="10" s="1"/>
  <c r="R40" i="10"/>
  <c r="R41" i="10"/>
  <c r="R42" i="10"/>
  <c r="S42" i="10" s="1"/>
  <c r="T42" i="10" s="1"/>
  <c r="R43" i="10"/>
  <c r="R44" i="10"/>
  <c r="R45" i="10"/>
  <c r="R46" i="10"/>
  <c r="R47" i="10"/>
  <c r="R48" i="10"/>
  <c r="R49" i="10"/>
  <c r="R50" i="10"/>
  <c r="S50" i="10" s="1"/>
  <c r="R51" i="10"/>
  <c r="R52" i="10"/>
  <c r="R53" i="10"/>
  <c r="S53" i="10" s="1"/>
  <c r="R54" i="10"/>
  <c r="R55" i="10"/>
  <c r="R201" i="10"/>
  <c r="S201" i="10" s="1"/>
  <c r="T201" i="10" s="1"/>
  <c r="R161" i="10"/>
  <c r="R56" i="10"/>
  <c r="R110" i="10"/>
  <c r="R236" i="10"/>
  <c r="R57" i="10"/>
  <c r="R58" i="10"/>
  <c r="R109" i="10"/>
  <c r="R202" i="10"/>
  <c r="S202" i="10" s="1"/>
  <c r="R59" i="10"/>
  <c r="R141" i="10"/>
  <c r="S141" i="10" s="1"/>
  <c r="R60" i="10"/>
  <c r="S60" i="10" s="1"/>
  <c r="R61" i="10"/>
  <c r="S61" i="10" s="1"/>
  <c r="T61" i="10" s="1"/>
  <c r="R62" i="10"/>
  <c r="R63" i="10"/>
  <c r="S63" i="10" s="1"/>
  <c r="T63" i="10" s="1"/>
  <c r="R135" i="10"/>
  <c r="R156" i="10"/>
  <c r="R131" i="10"/>
  <c r="R128" i="10"/>
  <c r="R136" i="10"/>
  <c r="R64" i="10"/>
  <c r="R65" i="10"/>
  <c r="R66" i="10"/>
  <c r="S66" i="10" s="1"/>
  <c r="R178" i="10"/>
  <c r="R67" i="10"/>
  <c r="R68" i="10"/>
  <c r="S68" i="10" s="1"/>
  <c r="R173" i="10"/>
  <c r="R69" i="10"/>
  <c r="R70" i="10"/>
  <c r="S70" i="10" s="1"/>
  <c r="T70" i="10" s="1"/>
  <c r="R164" i="10"/>
  <c r="R71" i="10"/>
  <c r="R183" i="10"/>
  <c r="R153" i="10"/>
  <c r="R184" i="10"/>
  <c r="S184" i="10" s="1"/>
  <c r="T184" i="10" s="1"/>
  <c r="R119" i="10"/>
  <c r="R129" i="10"/>
  <c r="R142" i="10"/>
  <c r="S142" i="10" s="1"/>
  <c r="R155" i="10"/>
  <c r="R150" i="10"/>
  <c r="R72" i="10"/>
  <c r="R73" i="10"/>
  <c r="R74" i="10"/>
  <c r="R96" i="10"/>
  <c r="S96" i="10" s="1"/>
  <c r="T96" i="10" s="1"/>
  <c r="R100" i="10"/>
  <c r="R152" i="10"/>
  <c r="R75" i="10"/>
  <c r="R234" i="10"/>
  <c r="R111" i="10"/>
  <c r="R95" i="10"/>
  <c r="R162" i="10"/>
  <c r="R159" i="10"/>
  <c r="S159" i="10" s="1"/>
  <c r="R163" i="10"/>
  <c r="R126" i="10"/>
  <c r="R117" i="10"/>
  <c r="S117" i="10" s="1"/>
  <c r="R76" i="10"/>
  <c r="R77" i="10"/>
  <c r="R229" i="10"/>
  <c r="S229" i="10" s="1"/>
  <c r="T229" i="10" s="1"/>
  <c r="R147" i="10"/>
  <c r="R116" i="10"/>
  <c r="R227" i="10"/>
  <c r="R157" i="10"/>
  <c r="R218" i="10"/>
  <c r="R219" i="10"/>
  <c r="R78" i="10"/>
  <c r="R143" i="10"/>
  <c r="S143" i="10" s="1"/>
  <c r="R114" i="10"/>
  <c r="R174" i="10"/>
  <c r="R98" i="10"/>
  <c r="R167" i="10"/>
  <c r="R212" i="10"/>
  <c r="R237" i="10"/>
  <c r="S237" i="10" s="1"/>
  <c r="T237" i="10" s="1"/>
  <c r="R79" i="10"/>
  <c r="R80" i="10"/>
  <c r="R81" i="10"/>
  <c r="R82" i="10"/>
  <c r="R238" i="10"/>
  <c r="R239" i="10"/>
  <c r="R104" i="10"/>
  <c r="R240" i="10"/>
  <c r="S240" i="10" s="1"/>
  <c r="R83" i="10"/>
  <c r="R84" i="10"/>
  <c r="R168" i="10"/>
  <c r="S168" i="10" s="1"/>
  <c r="R175" i="10"/>
  <c r="R160" i="10"/>
  <c r="R241" i="10"/>
  <c r="S241" i="10" s="1"/>
  <c r="T241" i="10" s="1"/>
  <c r="R85" i="10"/>
  <c r="R108" i="10"/>
  <c r="R86" i="10"/>
  <c r="R87" i="10"/>
  <c r="R242" i="10"/>
  <c r="R215" i="10"/>
  <c r="R112" i="10"/>
  <c r="R230" i="10"/>
  <c r="S230" i="10" s="1"/>
  <c r="R216" i="10"/>
  <c r="R209" i="10"/>
  <c r="R185" i="10"/>
  <c r="S185" i="10" s="1"/>
  <c r="R188" i="10"/>
  <c r="R189" i="10"/>
  <c r="R190" i="10"/>
  <c r="S190" i="10" s="1"/>
  <c r="T190" i="10" s="1"/>
  <c r="R231" i="10"/>
  <c r="R191" i="10"/>
  <c r="R192" i="10"/>
  <c r="R193" i="10"/>
  <c r="R205" i="10"/>
  <c r="R169" i="10"/>
  <c r="R194" i="10"/>
  <c r="R170" i="10"/>
  <c r="R199" i="10"/>
  <c r="R171" i="10"/>
  <c r="R165" i="10"/>
  <c r="S165" i="10" s="1"/>
  <c r="R195" i="10"/>
  <c r="R196" i="10"/>
  <c r="R243" i="10"/>
  <c r="S243" i="10" s="1"/>
  <c r="T243" i="10" s="1"/>
  <c r="R186" i="10"/>
  <c r="R88" i="10"/>
  <c r="R244" i="10"/>
  <c r="R103" i="10"/>
  <c r="R102" i="10"/>
  <c r="R187" i="10"/>
  <c r="R203" i="10"/>
  <c r="R132" i="10"/>
  <c r="S132" i="10" s="1"/>
  <c r="R232" i="10"/>
  <c r="R245" i="10"/>
  <c r="R225" i="10"/>
  <c r="S225" i="10" s="1"/>
  <c r="R220" i="10"/>
  <c r="R105" i="10"/>
  <c r="R124" i="10"/>
  <c r="S124" i="10" s="1"/>
  <c r="T124" i="10" s="1"/>
  <c r="R89" i="10"/>
  <c r="R90" i="10"/>
  <c r="R91" i="10"/>
  <c r="R92" i="10"/>
  <c r="R93" i="10"/>
  <c r="R246" i="10"/>
  <c r="R221" i="10"/>
  <c r="R179" i="10"/>
  <c r="S179" i="10" s="1"/>
  <c r="R176" i="10"/>
  <c r="R158" i="10"/>
  <c r="R177" i="10"/>
  <c r="S177" i="10" s="1"/>
  <c r="R166" i="10"/>
  <c r="R144" i="10"/>
  <c r="R145" i="10"/>
  <c r="S145" i="10" s="1"/>
  <c r="T145" i="10" s="1"/>
  <c r="R210" i="10"/>
  <c r="R247" i="10"/>
  <c r="R248" i="10"/>
  <c r="R151" i="10"/>
  <c r="R226" i="10"/>
  <c r="R206" i="10"/>
  <c r="R200" i="10"/>
  <c r="R249" i="10"/>
  <c r="R250" i="10"/>
  <c r="R223" i="10"/>
  <c r="R251" i="10"/>
  <c r="S251" i="10" s="1"/>
  <c r="R252" i="10"/>
  <c r="R253" i="10"/>
  <c r="R254" i="10"/>
  <c r="S254" i="10" s="1"/>
  <c r="T254" i="10" s="1"/>
  <c r="S130" i="10"/>
  <c r="S44" i="10"/>
  <c r="T44" i="10" s="1"/>
  <c r="S64" i="10"/>
  <c r="T64" i="10" s="1"/>
  <c r="S65" i="10"/>
  <c r="S153" i="10"/>
  <c r="T153" i="10" s="1"/>
  <c r="S103" i="10"/>
  <c r="S200" i="10"/>
  <c r="U138" i="10"/>
  <c r="U106" i="10"/>
  <c r="U224" i="10"/>
  <c r="U122" i="10"/>
  <c r="U139" i="10"/>
  <c r="U113" i="10"/>
  <c r="U140" i="10"/>
  <c r="U99" i="10"/>
  <c r="U148" i="10"/>
  <c r="U2" i="10"/>
  <c r="U217" i="10"/>
  <c r="U3" i="10"/>
  <c r="U146" i="10"/>
  <c r="U120" i="10"/>
  <c r="U208" i="10"/>
  <c r="U137" i="10"/>
  <c r="U154" i="10"/>
  <c r="V154" i="10" s="1"/>
  <c r="U118" i="10"/>
  <c r="U4" i="10"/>
  <c r="U233" i="10"/>
  <c r="U180" i="10"/>
  <c r="U5" i="10"/>
  <c r="U6" i="10"/>
  <c r="U181" i="10"/>
  <c r="U101" i="10"/>
  <c r="U7" i="10"/>
  <c r="U8" i="10"/>
  <c r="U182" i="10"/>
  <c r="U198" i="10"/>
  <c r="U222" i="10"/>
  <c r="U9" i="10"/>
  <c r="V9" i="10" s="1"/>
  <c r="W9" i="10" s="1"/>
  <c r="U10" i="10"/>
  <c r="U11" i="10"/>
  <c r="U12" i="10"/>
  <c r="U13" i="10"/>
  <c r="U204" i="10"/>
  <c r="U213" i="10"/>
  <c r="U14" i="10"/>
  <c r="U235" i="10"/>
  <c r="U15" i="10"/>
  <c r="U16" i="10"/>
  <c r="U17" i="10"/>
  <c r="U133" i="10"/>
  <c r="U115" i="10"/>
  <c r="U97" i="10"/>
  <c r="V97" i="10" s="1"/>
  <c r="U18" i="10"/>
  <c r="U172" i="10"/>
  <c r="U19" i="10"/>
  <c r="U20" i="10"/>
  <c r="U125" i="10"/>
  <c r="U21" i="10"/>
  <c r="U228" i="10"/>
  <c r="U22" i="10"/>
  <c r="U23" i="10"/>
  <c r="U24" i="10"/>
  <c r="U25" i="10"/>
  <c r="U26" i="10"/>
  <c r="U27" i="10"/>
  <c r="U28" i="10"/>
  <c r="V28" i="10" s="1"/>
  <c r="U214" i="10"/>
  <c r="U127" i="10"/>
  <c r="U130" i="10"/>
  <c r="U29" i="10"/>
  <c r="U30" i="10"/>
  <c r="U31" i="10"/>
  <c r="U32" i="10"/>
  <c r="U33" i="10"/>
  <c r="U34" i="10"/>
  <c r="U35" i="10"/>
  <c r="U36" i="10"/>
  <c r="U94" i="10"/>
  <c r="U211" i="10"/>
  <c r="U197" i="10"/>
  <c r="V197" i="10" s="1"/>
  <c r="P93" i="34" s="1"/>
  <c r="U207" i="10"/>
  <c r="U134" i="10"/>
  <c r="U107" i="10"/>
  <c r="U123" i="10"/>
  <c r="U149" i="10"/>
  <c r="U121" i="10"/>
  <c r="U37" i="10"/>
  <c r="U38" i="10"/>
  <c r="U39" i="10"/>
  <c r="U40" i="10"/>
  <c r="V40" i="10" s="1"/>
  <c r="U41" i="10"/>
  <c r="V41" i="10" s="1"/>
  <c r="U42" i="10"/>
  <c r="U43" i="10"/>
  <c r="U44" i="10"/>
  <c r="V44" i="10" s="1"/>
  <c r="U45" i="10"/>
  <c r="U46" i="10"/>
  <c r="U47" i="10"/>
  <c r="U48" i="10"/>
  <c r="U49" i="10"/>
  <c r="U50" i="10"/>
  <c r="U51" i="10"/>
  <c r="U52" i="10"/>
  <c r="U53" i="10"/>
  <c r="U54" i="10"/>
  <c r="U55" i="10"/>
  <c r="U201" i="10"/>
  <c r="U161" i="10"/>
  <c r="U56" i="10"/>
  <c r="V56" i="10" s="1"/>
  <c r="U110" i="10"/>
  <c r="V110" i="10" s="1"/>
  <c r="U236" i="10"/>
  <c r="U57" i="10"/>
  <c r="U58" i="10"/>
  <c r="U109" i="10"/>
  <c r="U202" i="10"/>
  <c r="U59" i="10"/>
  <c r="U141" i="10"/>
  <c r="U60" i="10"/>
  <c r="U61" i="10"/>
  <c r="U62" i="10"/>
  <c r="U63" i="10"/>
  <c r="U135" i="10"/>
  <c r="U156" i="10"/>
  <c r="V156" i="10" s="1"/>
  <c r="U131" i="10"/>
  <c r="U128" i="10"/>
  <c r="U136" i="10"/>
  <c r="U64" i="10"/>
  <c r="U65" i="10"/>
  <c r="U66" i="10"/>
  <c r="U178" i="10"/>
  <c r="U67" i="10"/>
  <c r="U68" i="10"/>
  <c r="V68" i="10" s="1"/>
  <c r="U173" i="10"/>
  <c r="U69" i="10"/>
  <c r="U70" i="10"/>
  <c r="U164" i="10"/>
  <c r="U71" i="10"/>
  <c r="V71" i="10" s="1"/>
  <c r="U183" i="10"/>
  <c r="U153" i="10"/>
  <c r="U184" i="10"/>
  <c r="U119" i="10"/>
  <c r="U129" i="10"/>
  <c r="U142" i="10"/>
  <c r="U155" i="10"/>
  <c r="U150" i="10"/>
  <c r="U72" i="10"/>
  <c r="U73" i="10"/>
  <c r="U74" i="10"/>
  <c r="U96" i="10"/>
  <c r="V96" i="10" s="1"/>
  <c r="U100" i="10"/>
  <c r="U152" i="10"/>
  <c r="V152" i="10" s="1"/>
  <c r="U75" i="10"/>
  <c r="U234" i="10"/>
  <c r="U111" i="10"/>
  <c r="U95" i="10"/>
  <c r="U162" i="10"/>
  <c r="U159" i="10"/>
  <c r="U163" i="10"/>
  <c r="U126" i="10"/>
  <c r="U117" i="10"/>
  <c r="U76" i="10"/>
  <c r="U77" i="10"/>
  <c r="V77" i="10" s="1"/>
  <c r="U229" i="10"/>
  <c r="U147" i="10"/>
  <c r="U116" i="10"/>
  <c r="V116" i="10" s="1"/>
  <c r="W116" i="10" s="1"/>
  <c r="U227" i="10"/>
  <c r="U157" i="10"/>
  <c r="U218" i="10"/>
  <c r="U219" i="10"/>
  <c r="U78" i="10"/>
  <c r="U143" i="10"/>
  <c r="U114" i="10"/>
  <c r="U174" i="10"/>
  <c r="U98" i="10"/>
  <c r="U167" i="10"/>
  <c r="U212" i="10"/>
  <c r="U237" i="10"/>
  <c r="V237" i="10" s="1"/>
  <c r="U79" i="10"/>
  <c r="U80" i="10"/>
  <c r="V80" i="10" s="1"/>
  <c r="W80" i="10" s="1"/>
  <c r="X80" i="10" s="1"/>
  <c r="U81" i="10"/>
  <c r="U82" i="10"/>
  <c r="U238" i="10"/>
  <c r="U239" i="10"/>
  <c r="U104" i="10"/>
  <c r="U240" i="10"/>
  <c r="U83" i="10"/>
  <c r="U84" i="10"/>
  <c r="U168" i="10"/>
  <c r="U175" i="10"/>
  <c r="U160" i="10"/>
  <c r="U241" i="10"/>
  <c r="U85" i="10"/>
  <c r="U108" i="10"/>
  <c r="V108" i="10" s="1"/>
  <c r="U86" i="10"/>
  <c r="U87" i="10"/>
  <c r="U242" i="10"/>
  <c r="U215" i="10"/>
  <c r="U112" i="10"/>
  <c r="U230" i="10"/>
  <c r="U216" i="10"/>
  <c r="U209" i="10"/>
  <c r="U185" i="10"/>
  <c r="U188" i="10"/>
  <c r="U189" i="10"/>
  <c r="U190" i="10"/>
  <c r="U231" i="10"/>
  <c r="U191" i="10"/>
  <c r="V191" i="10" s="1"/>
  <c r="U192" i="10"/>
  <c r="U193" i="10"/>
  <c r="U205" i="10"/>
  <c r="U169" i="10"/>
  <c r="U194" i="10"/>
  <c r="U170" i="10"/>
  <c r="U199" i="10"/>
  <c r="U171" i="10"/>
  <c r="U165" i="10"/>
  <c r="U195" i="10"/>
  <c r="U196" i="10"/>
  <c r="U243" i="10"/>
  <c r="U186" i="10"/>
  <c r="U88" i="10"/>
  <c r="V88" i="10" s="1"/>
  <c r="U244" i="10"/>
  <c r="U103" i="10"/>
  <c r="U102" i="10"/>
  <c r="U187" i="10"/>
  <c r="U203" i="10"/>
  <c r="U132" i="10"/>
  <c r="U232" i="10"/>
  <c r="U245" i="10"/>
  <c r="U225" i="10"/>
  <c r="U220" i="10"/>
  <c r="U105" i="10"/>
  <c r="U124" i="10"/>
  <c r="U89" i="10"/>
  <c r="U90" i="10"/>
  <c r="V90" i="10" s="1"/>
  <c r="W90" i="10" s="1"/>
  <c r="U91" i="10"/>
  <c r="U92" i="10"/>
  <c r="U93" i="10"/>
  <c r="U246" i="10"/>
  <c r="U221" i="10"/>
  <c r="U179" i="10"/>
  <c r="U176" i="10"/>
  <c r="U158" i="10"/>
  <c r="U177" i="10"/>
  <c r="U166" i="10"/>
  <c r="U144" i="10"/>
  <c r="U145" i="10"/>
  <c r="U210" i="10"/>
  <c r="U247" i="10"/>
  <c r="V247" i="10" s="1"/>
  <c r="W247" i="10" s="1"/>
  <c r="U248" i="10"/>
  <c r="U151" i="10"/>
  <c r="U226" i="10"/>
  <c r="U206" i="10"/>
  <c r="U200" i="10"/>
  <c r="U249" i="10"/>
  <c r="U250" i="10"/>
  <c r="U223" i="10"/>
  <c r="U251" i="10"/>
  <c r="U252" i="10"/>
  <c r="U253" i="10"/>
  <c r="U254" i="10"/>
  <c r="V224" i="10"/>
  <c r="P4" i="34" s="1"/>
  <c r="R4" i="34" s="1"/>
  <c r="V198" i="10"/>
  <c r="V23" i="10"/>
  <c r="V31" i="10"/>
  <c r="V165" i="10"/>
  <c r="V252" i="10"/>
  <c r="V253" i="10"/>
  <c r="Y224" i="10"/>
  <c r="Z224" i="10" s="1"/>
  <c r="Y9" i="10"/>
  <c r="Y97" i="10"/>
  <c r="Y20" i="10"/>
  <c r="Y23" i="10"/>
  <c r="Z23" i="10" s="1"/>
  <c r="Y24" i="10"/>
  <c r="Y123" i="10"/>
  <c r="Y44" i="10"/>
  <c r="Z44" i="10" s="1"/>
  <c r="Y48" i="10"/>
  <c r="Y156" i="10"/>
  <c r="Y64" i="10"/>
  <c r="Y68" i="10"/>
  <c r="Z68" i="10" s="1"/>
  <c r="Y71" i="10"/>
  <c r="Y119" i="10"/>
  <c r="Z119" i="10" s="1"/>
  <c r="Y116" i="10"/>
  <c r="Z116" i="10" s="1"/>
  <c r="Y239" i="10"/>
  <c r="Y169" i="10"/>
  <c r="Z169" i="10" s="1"/>
  <c r="Y165" i="10"/>
  <c r="Z165" i="10" s="1"/>
  <c r="Y243" i="10"/>
  <c r="Y187" i="10"/>
  <c r="Z187" i="10" s="1"/>
  <c r="Y90" i="10"/>
  <c r="Z90" i="10" s="1"/>
  <c r="Y226" i="10"/>
  <c r="Z226" i="10" s="1"/>
  <c r="Y206" i="10"/>
  <c r="Z9" i="10"/>
  <c r="Z64" i="10"/>
  <c r="Z152" i="10"/>
  <c r="Z167" i="10"/>
  <c r="Z80" i="10"/>
  <c r="AB138" i="10"/>
  <c r="AB106" i="10"/>
  <c r="AB224" i="10"/>
  <c r="AB122" i="10"/>
  <c r="AB139" i="10"/>
  <c r="AC139" i="10" s="1"/>
  <c r="AB113" i="10"/>
  <c r="AC113" i="10" s="1"/>
  <c r="AB140" i="10"/>
  <c r="AC140" i="10" s="1"/>
  <c r="AB99" i="10"/>
  <c r="AC99" i="10" s="1"/>
  <c r="AB148" i="10"/>
  <c r="AC148" i="10" s="1"/>
  <c r="AB2" i="10"/>
  <c r="AC2" i="10" s="1"/>
  <c r="AB217" i="10"/>
  <c r="AC217" i="10" s="1"/>
  <c r="AB3" i="10"/>
  <c r="AC3" i="10" s="1"/>
  <c r="AB146" i="10"/>
  <c r="AB120" i="10"/>
  <c r="AC120" i="10" s="1"/>
  <c r="AB208" i="10"/>
  <c r="AB137" i="10"/>
  <c r="AC137" i="10" s="1"/>
  <c r="AB154" i="10"/>
  <c r="AC154" i="10" s="1"/>
  <c r="AB118" i="10"/>
  <c r="AC118" i="10" s="1"/>
  <c r="AB4" i="10"/>
  <c r="AC4" i="10" s="1"/>
  <c r="AB233" i="10"/>
  <c r="AC233" i="10" s="1"/>
  <c r="AB180" i="10"/>
  <c r="AB5" i="10"/>
  <c r="AC5" i="10" s="1"/>
  <c r="AB6" i="10"/>
  <c r="AC6" i="10" s="1"/>
  <c r="AB181" i="10"/>
  <c r="AC181" i="10" s="1"/>
  <c r="AB101" i="10"/>
  <c r="AC101" i="10" s="1"/>
  <c r="AB7" i="10"/>
  <c r="AC7" i="10" s="1"/>
  <c r="AB8" i="10"/>
  <c r="AC8" i="10" s="1"/>
  <c r="AB182" i="10"/>
  <c r="AC182" i="10" s="1"/>
  <c r="AB198" i="10"/>
  <c r="AC198" i="10" s="1"/>
  <c r="AB222" i="10"/>
  <c r="AC222" i="10" s="1"/>
  <c r="AB9" i="10"/>
  <c r="AB10" i="10"/>
  <c r="AC10" i="10" s="1"/>
  <c r="AB11" i="10"/>
  <c r="AC11" i="10" s="1"/>
  <c r="AB12" i="10"/>
  <c r="AC12" i="10" s="1"/>
  <c r="AB13" i="10"/>
  <c r="AC13" i="10" s="1"/>
  <c r="AB204" i="10"/>
  <c r="AC204" i="10" s="1"/>
  <c r="AB213" i="10"/>
  <c r="AC213" i="10" s="1"/>
  <c r="AB14" i="10"/>
  <c r="AC14" i="10" s="1"/>
  <c r="AB235" i="10"/>
  <c r="AC235" i="10" s="1"/>
  <c r="AB15" i="10"/>
  <c r="AC15" i="10" s="1"/>
  <c r="AB16" i="10"/>
  <c r="AB17" i="10"/>
  <c r="AC17" i="10" s="1"/>
  <c r="AB133" i="10"/>
  <c r="AB115" i="10"/>
  <c r="AC115" i="10" s="1"/>
  <c r="AB97" i="10"/>
  <c r="AC97" i="10" s="1"/>
  <c r="AB18" i="10"/>
  <c r="AC18" i="10" s="1"/>
  <c r="AB172" i="10"/>
  <c r="AC172" i="10" s="1"/>
  <c r="AB19" i="10"/>
  <c r="AC19" i="10" s="1"/>
  <c r="AB20" i="10"/>
  <c r="AC20" i="10" s="1"/>
  <c r="AB125" i="10"/>
  <c r="AB21" i="10"/>
  <c r="AB228" i="10"/>
  <c r="AC228" i="10" s="1"/>
  <c r="AB22" i="10"/>
  <c r="AC22" i="10" s="1"/>
  <c r="AB23" i="10"/>
  <c r="AC23" i="10" s="1"/>
  <c r="AB24" i="10"/>
  <c r="AB25" i="10"/>
  <c r="AC25" i="10" s="1"/>
  <c r="AB26" i="10"/>
  <c r="AB27" i="10"/>
  <c r="AB28" i="10"/>
  <c r="AC28" i="10" s="1"/>
  <c r="AB214" i="10"/>
  <c r="AC214" i="10" s="1"/>
  <c r="AB127" i="10"/>
  <c r="AC127" i="10" s="1"/>
  <c r="AB130" i="10"/>
  <c r="AC130" i="10" s="1"/>
  <c r="AB29" i="10"/>
  <c r="AC29" i="10" s="1"/>
  <c r="AB30" i="10"/>
  <c r="AC30" i="10" s="1"/>
  <c r="AB31" i="10"/>
  <c r="AC31" i="10" s="1"/>
  <c r="AB32" i="10"/>
  <c r="AC32" i="10" s="1"/>
  <c r="AB33" i="10"/>
  <c r="AC33" i="10" s="1"/>
  <c r="AB34" i="10"/>
  <c r="AC34" i="10" s="1"/>
  <c r="AB35" i="10"/>
  <c r="AC35" i="10" s="1"/>
  <c r="AB36" i="10"/>
  <c r="AB94" i="10"/>
  <c r="AB211" i="10"/>
  <c r="AB197" i="10"/>
  <c r="AB207" i="10"/>
  <c r="AC207" i="10" s="1"/>
  <c r="AB134" i="10"/>
  <c r="AC134" i="10" s="1"/>
  <c r="AB107" i="10"/>
  <c r="AC107" i="10" s="1"/>
  <c r="AB123" i="10"/>
  <c r="AB149" i="10"/>
  <c r="AC149" i="10" s="1"/>
  <c r="AB121" i="10"/>
  <c r="AB37" i="10"/>
  <c r="AC37" i="10" s="1"/>
  <c r="AB38" i="10"/>
  <c r="AB39" i="10"/>
  <c r="AB40" i="10"/>
  <c r="AC40" i="10" s="1"/>
  <c r="AB41" i="10"/>
  <c r="AC41" i="10" s="1"/>
  <c r="AB42" i="10"/>
  <c r="AB43" i="10"/>
  <c r="AC43" i="10" s="1"/>
  <c r="AB44" i="10"/>
  <c r="AC44" i="10" s="1"/>
  <c r="AB45" i="10"/>
  <c r="AC45" i="10" s="1"/>
  <c r="AB46" i="10"/>
  <c r="AC46" i="10" s="1"/>
  <c r="AB47" i="10"/>
  <c r="AC47" i="10" s="1"/>
  <c r="AB48" i="10"/>
  <c r="AC48" i="10" s="1"/>
  <c r="AB49" i="10"/>
  <c r="AC49" i="10" s="1"/>
  <c r="AB50" i="10"/>
  <c r="AC50" i="10" s="1"/>
  <c r="AB51" i="10"/>
  <c r="AC51" i="10" s="1"/>
  <c r="AB52" i="10"/>
  <c r="AC52" i="10" s="1"/>
  <c r="AB53" i="10"/>
  <c r="AC53" i="10" s="1"/>
  <c r="AB54" i="10"/>
  <c r="AC54" i="10" s="1"/>
  <c r="AB55" i="10"/>
  <c r="AC55" i="10" s="1"/>
  <c r="AB201" i="10"/>
  <c r="AB161" i="10"/>
  <c r="AC161" i="10" s="1"/>
  <c r="AB56" i="10"/>
  <c r="AB110" i="10"/>
  <c r="AC110" i="10" s="1"/>
  <c r="AB236" i="10"/>
  <c r="AC236" i="10" s="1"/>
  <c r="AB57" i="10"/>
  <c r="AC57" i="10" s="1"/>
  <c r="AB58" i="10"/>
  <c r="AC58" i="10" s="1"/>
  <c r="AB109" i="10"/>
  <c r="AC109" i="10" s="1"/>
  <c r="AB202" i="10"/>
  <c r="AC202" i="10" s="1"/>
  <c r="AB59" i="10"/>
  <c r="AC59" i="10" s="1"/>
  <c r="AB141" i="10"/>
  <c r="AC141" i="10" s="1"/>
  <c r="AB60" i="10"/>
  <c r="AC60" i="10" s="1"/>
  <c r="AB61" i="10"/>
  <c r="AC61" i="10" s="1"/>
  <c r="AB62" i="10"/>
  <c r="AC62" i="10" s="1"/>
  <c r="AB63" i="10"/>
  <c r="AB135" i="10"/>
  <c r="AC135" i="10" s="1"/>
  <c r="AB156" i="10"/>
  <c r="AC156" i="10" s="1"/>
  <c r="AB131" i="10"/>
  <c r="AC131" i="10" s="1"/>
  <c r="AB128" i="10"/>
  <c r="AC128" i="10" s="1"/>
  <c r="AB136" i="10"/>
  <c r="AC136" i="10" s="1"/>
  <c r="AB64" i="10"/>
  <c r="AC64" i="10" s="1"/>
  <c r="AB65" i="10"/>
  <c r="AC65" i="10" s="1"/>
  <c r="AB66" i="10"/>
  <c r="AC66" i="10" s="1"/>
  <c r="AB178" i="10"/>
  <c r="AC178" i="10" s="1"/>
  <c r="AB67" i="10"/>
  <c r="AC67" i="10" s="1"/>
  <c r="AB68" i="10"/>
  <c r="AC68" i="10" s="1"/>
  <c r="AB173" i="10"/>
  <c r="AC173" i="10" s="1"/>
  <c r="AB69" i="10"/>
  <c r="AC69" i="10" s="1"/>
  <c r="AB70" i="10"/>
  <c r="AC70" i="10" s="1"/>
  <c r="AB164" i="10"/>
  <c r="AB71" i="10"/>
  <c r="AB183" i="10"/>
  <c r="AC183" i="10" s="1"/>
  <c r="AB153" i="10"/>
  <c r="AC153" i="10" s="1"/>
  <c r="AB184" i="10"/>
  <c r="AC184" i="10" s="1"/>
  <c r="AB119" i="10"/>
  <c r="AB129" i="10"/>
  <c r="AB142" i="10"/>
  <c r="AC142" i="10" s="1"/>
  <c r="AB155" i="10"/>
  <c r="AC155" i="10" s="1"/>
  <c r="AB150" i="10"/>
  <c r="AC150" i="10" s="1"/>
  <c r="AB72" i="10"/>
  <c r="AC72" i="10" s="1"/>
  <c r="AB73" i="10"/>
  <c r="AC73" i="10" s="1"/>
  <c r="AB74" i="10"/>
  <c r="AB96" i="10"/>
  <c r="AC96" i="10" s="1"/>
  <c r="AB100" i="10"/>
  <c r="AC100" i="10" s="1"/>
  <c r="AB152" i="10"/>
  <c r="AC152" i="10" s="1"/>
  <c r="AB75" i="10"/>
  <c r="AC75" i="10" s="1"/>
  <c r="AB234" i="10"/>
  <c r="AC234" i="10" s="1"/>
  <c r="AB111" i="10"/>
  <c r="AC111" i="10" s="1"/>
  <c r="AB95" i="10"/>
  <c r="AC95" i="10" s="1"/>
  <c r="AB162" i="10"/>
  <c r="AC162" i="10" s="1"/>
  <c r="AB159" i="10"/>
  <c r="AC159" i="10" s="1"/>
  <c r="AB163" i="10"/>
  <c r="AC163" i="10" s="1"/>
  <c r="AB126" i="10"/>
  <c r="AC126" i="10" s="1"/>
  <c r="AB117" i="10"/>
  <c r="AC117" i="10" s="1"/>
  <c r="AB76" i="10"/>
  <c r="AC76" i="10" s="1"/>
  <c r="AB77" i="10"/>
  <c r="AC77" i="10" s="1"/>
  <c r="AB229" i="10"/>
  <c r="AB147" i="10"/>
  <c r="AC147" i="10" s="1"/>
  <c r="AB116" i="10"/>
  <c r="AC116" i="10" s="1"/>
  <c r="AB227" i="10"/>
  <c r="AC227" i="10" s="1"/>
  <c r="AB157" i="10"/>
  <c r="AC157" i="10" s="1"/>
  <c r="AB218" i="10"/>
  <c r="AC218" i="10" s="1"/>
  <c r="AB219" i="10"/>
  <c r="AC219" i="10" s="1"/>
  <c r="AB78" i="10"/>
  <c r="AC78" i="10" s="1"/>
  <c r="AB143" i="10"/>
  <c r="AC143" i="10" s="1"/>
  <c r="AB114" i="10"/>
  <c r="AC114" i="10" s="1"/>
  <c r="AB174" i="10"/>
  <c r="AC174" i="10" s="1"/>
  <c r="AB98" i="10"/>
  <c r="AC98" i="10" s="1"/>
  <c r="AB167" i="10"/>
  <c r="AC167" i="10" s="1"/>
  <c r="AB212" i="10"/>
  <c r="AC212" i="10" s="1"/>
  <c r="AB237" i="10"/>
  <c r="AB79" i="10"/>
  <c r="AB80" i="10"/>
  <c r="AC80" i="10" s="1"/>
  <c r="AB81" i="10"/>
  <c r="AC81" i="10" s="1"/>
  <c r="AB82" i="10"/>
  <c r="AC82" i="10" s="1"/>
  <c r="AB238" i="10"/>
  <c r="AC238" i="10" s="1"/>
  <c r="AB239" i="10"/>
  <c r="AC239" i="10" s="1"/>
  <c r="AB104" i="10"/>
  <c r="AC104" i="10" s="1"/>
  <c r="AB240" i="10"/>
  <c r="AB83" i="10"/>
  <c r="AC83" i="10" s="1"/>
  <c r="AB84" i="10"/>
  <c r="AC84" i="10" s="1"/>
  <c r="AB168" i="10"/>
  <c r="AC168" i="10" s="1"/>
  <c r="AB175" i="10"/>
  <c r="AC175" i="10" s="1"/>
  <c r="AB160" i="10"/>
  <c r="AC160" i="10" s="1"/>
  <c r="AB241" i="10"/>
  <c r="AB85" i="10"/>
  <c r="AC85" i="10" s="1"/>
  <c r="AB108" i="10"/>
  <c r="AB86" i="10"/>
  <c r="AC86" i="10" s="1"/>
  <c r="AB87" i="10"/>
  <c r="AC87" i="10" s="1"/>
  <c r="AB242" i="10"/>
  <c r="AC242" i="10" s="1"/>
  <c r="AB215" i="10"/>
  <c r="AC215" i="10" s="1"/>
  <c r="AB112" i="10"/>
  <c r="AC112" i="10" s="1"/>
  <c r="AB230" i="10"/>
  <c r="AC230" i="10" s="1"/>
  <c r="AB216" i="10"/>
  <c r="AC216" i="10" s="1"/>
  <c r="AB209" i="10"/>
  <c r="AC209" i="10" s="1"/>
  <c r="AB185" i="10"/>
  <c r="AC185" i="10" s="1"/>
  <c r="AB188" i="10"/>
  <c r="AC188" i="10" s="1"/>
  <c r="AB189" i="10"/>
  <c r="AC189" i="10" s="1"/>
  <c r="AB190" i="10"/>
  <c r="AC190" i="10" s="1"/>
  <c r="AB231" i="10"/>
  <c r="AB191" i="10"/>
  <c r="AC191" i="10" s="1"/>
  <c r="AB192" i="10"/>
  <c r="AC192" i="10" s="1"/>
  <c r="AB193" i="10"/>
  <c r="AB205" i="10"/>
  <c r="AC205" i="10" s="1"/>
  <c r="AB169" i="10"/>
  <c r="AC169" i="10" s="1"/>
  <c r="AB194" i="10"/>
  <c r="AC194" i="10" s="1"/>
  <c r="AB170" i="10"/>
  <c r="AC170" i="10" s="1"/>
  <c r="AB199" i="10"/>
  <c r="AC199" i="10" s="1"/>
  <c r="AB171" i="10"/>
  <c r="AC171" i="10" s="1"/>
  <c r="AB165" i="10"/>
  <c r="AC165" i="10" s="1"/>
  <c r="AB195" i="10"/>
  <c r="AB196" i="10"/>
  <c r="AC196" i="10" s="1"/>
  <c r="AB243" i="10"/>
  <c r="AB186" i="10"/>
  <c r="AB88" i="10"/>
  <c r="AC88" i="10" s="1"/>
  <c r="AB244" i="10"/>
  <c r="AC244" i="10" s="1"/>
  <c r="AB103" i="10"/>
  <c r="AC103" i="10" s="1"/>
  <c r="AB102" i="10"/>
  <c r="AC102" i="10" s="1"/>
  <c r="AB187" i="10"/>
  <c r="AC187" i="10" s="1"/>
  <c r="AB203" i="10"/>
  <c r="AC203" i="10" s="1"/>
  <c r="AB132" i="10"/>
  <c r="AC132" i="10" s="1"/>
  <c r="AB232" i="10"/>
  <c r="AC232" i="10" s="1"/>
  <c r="AB245" i="10"/>
  <c r="AC245" i="10" s="1"/>
  <c r="AB225" i="10"/>
  <c r="AC225" i="10" s="1"/>
  <c r="AB220" i="10"/>
  <c r="AB105" i="10"/>
  <c r="AB124" i="10"/>
  <c r="AB89" i="10"/>
  <c r="AC89" i="10" s="1"/>
  <c r="AB90" i="10"/>
  <c r="AC90" i="10" s="1"/>
  <c r="AB91" i="10"/>
  <c r="AC91" i="10" s="1"/>
  <c r="AB92" i="10"/>
  <c r="AC92" i="10" s="1"/>
  <c r="AB93" i="10"/>
  <c r="AC93" i="10" s="1"/>
  <c r="AB246" i="10"/>
  <c r="AC246" i="10" s="1"/>
  <c r="AB221" i="10"/>
  <c r="AC221" i="10" s="1"/>
  <c r="AB179" i="10"/>
  <c r="AC179" i="10" s="1"/>
  <c r="AB176" i="10"/>
  <c r="AC176" i="10" s="1"/>
  <c r="AB158" i="10"/>
  <c r="AC158" i="10" s="1"/>
  <c r="AB177" i="10"/>
  <c r="AC177" i="10" s="1"/>
  <c r="AB166" i="10"/>
  <c r="AC166" i="10" s="1"/>
  <c r="AB144" i="10"/>
  <c r="AC144" i="10" s="1"/>
  <c r="AB145" i="10"/>
  <c r="AB210" i="10"/>
  <c r="AC210" i="10" s="1"/>
  <c r="AB247" i="10"/>
  <c r="AC247" i="10" s="1"/>
  <c r="AB248" i="10"/>
  <c r="AC248" i="10" s="1"/>
  <c r="AB151" i="10"/>
  <c r="AC151" i="10" s="1"/>
  <c r="AB226" i="10"/>
  <c r="AC226" i="10" s="1"/>
  <c r="AB206" i="10"/>
  <c r="AC206" i="10" s="1"/>
  <c r="AB200" i="10"/>
  <c r="AC200" i="10" s="1"/>
  <c r="AB249" i="10"/>
  <c r="AC249" i="10" s="1"/>
  <c r="AB250" i="10"/>
  <c r="AC250" i="10" s="1"/>
  <c r="AB223" i="10"/>
  <c r="AC223" i="10" s="1"/>
  <c r="AB251" i="10"/>
  <c r="AC251" i="10" s="1"/>
  <c r="AB252" i="10"/>
  <c r="AC252" i="10" s="1"/>
  <c r="AB253" i="10"/>
  <c r="AC253" i="10" s="1"/>
  <c r="AB254" i="10"/>
  <c r="AC254" i="10" s="1"/>
  <c r="AC138" i="10"/>
  <c r="AC106" i="10"/>
  <c r="AC224" i="10"/>
  <c r="AC122" i="10"/>
  <c r="AC146" i="10"/>
  <c r="AC208" i="10"/>
  <c r="AC180" i="10"/>
  <c r="AC9" i="10"/>
  <c r="AC16" i="10"/>
  <c r="AC133" i="10"/>
  <c r="AC125" i="10"/>
  <c r="AC21" i="10"/>
  <c r="AC24" i="10"/>
  <c r="AC26" i="10"/>
  <c r="AC27" i="10"/>
  <c r="AC36" i="10"/>
  <c r="AC94" i="10"/>
  <c r="AC211" i="10"/>
  <c r="AC197" i="10"/>
  <c r="AC123" i="10"/>
  <c r="AC121" i="10"/>
  <c r="AC38" i="10"/>
  <c r="AC39" i="10"/>
  <c r="AC42" i="10"/>
  <c r="AC201" i="10"/>
  <c r="AC56" i="10"/>
  <c r="AC63" i="10"/>
  <c r="AC164" i="10"/>
  <c r="AC71" i="10"/>
  <c r="AC119" i="10"/>
  <c r="AC129" i="10"/>
  <c r="AC74" i="10"/>
  <c r="AC229" i="10"/>
  <c r="AC237" i="10"/>
  <c r="AC79" i="10"/>
  <c r="AC240" i="10"/>
  <c r="AC241" i="10"/>
  <c r="AC108" i="10"/>
  <c r="AC231" i="10"/>
  <c r="AC193" i="10"/>
  <c r="AC195" i="10"/>
  <c r="AC243" i="10"/>
  <c r="AC186" i="10"/>
  <c r="AC220" i="10"/>
  <c r="AC105" i="10"/>
  <c r="AC124" i="10"/>
  <c r="AC145" i="10"/>
  <c r="N119" i="42" l="1"/>
  <c r="N109" i="42"/>
  <c r="N95" i="42"/>
  <c r="N81" i="42"/>
  <c r="N67" i="42"/>
  <c r="N53" i="42"/>
  <c r="N39" i="42"/>
  <c r="N25" i="42"/>
  <c r="N11" i="42"/>
  <c r="N77" i="42"/>
  <c r="N91" i="42"/>
  <c r="N21" i="42"/>
  <c r="N7" i="42"/>
  <c r="N63" i="42"/>
  <c r="N49" i="42"/>
  <c r="N105" i="42"/>
  <c r="N35" i="42"/>
  <c r="U463" i="39"/>
  <c r="U421" i="39"/>
  <c r="U393" i="39"/>
  <c r="U365" i="39"/>
  <c r="U337" i="39"/>
  <c r="U323" i="39"/>
  <c r="U309" i="39"/>
  <c r="U281" i="39"/>
  <c r="U267" i="39"/>
  <c r="U225" i="39"/>
  <c r="U211" i="39"/>
  <c r="U183" i="39"/>
  <c r="U169" i="39"/>
  <c r="U155" i="39"/>
  <c r="U127" i="39"/>
  <c r="U71" i="39"/>
  <c r="U57" i="39"/>
  <c r="U29" i="39"/>
  <c r="U462" i="39"/>
  <c r="U448" i="39"/>
  <c r="U434" i="39"/>
  <c r="U420" i="39"/>
  <c r="U406" i="39"/>
  <c r="U392" i="39"/>
  <c r="U364" i="39"/>
  <c r="U350" i="39"/>
  <c r="U336" i="39"/>
  <c r="U322" i="39"/>
  <c r="U308" i="39"/>
  <c r="U294" i="39"/>
  <c r="U280" i="39"/>
  <c r="U266" i="39"/>
  <c r="U252" i="39"/>
  <c r="U238" i="39"/>
  <c r="U224" i="39"/>
  <c r="U210" i="39"/>
  <c r="U196" i="39"/>
  <c r="U182" i="39"/>
  <c r="U168" i="39"/>
  <c r="U154" i="39"/>
  <c r="U126" i="39"/>
  <c r="U112" i="39"/>
  <c r="U84" i="39"/>
  <c r="U70" i="39"/>
  <c r="U56" i="39"/>
  <c r="U42" i="39"/>
  <c r="U28" i="39"/>
  <c r="U14" i="39"/>
  <c r="P390" i="39"/>
  <c r="P278" i="39"/>
  <c r="P152" i="39"/>
  <c r="P124" i="39"/>
  <c r="P148" i="39"/>
  <c r="U461" i="39"/>
  <c r="U363" i="39"/>
  <c r="U265" i="39"/>
  <c r="U167" i="39"/>
  <c r="U69" i="39"/>
  <c r="P459" i="39"/>
  <c r="P403" i="39"/>
  <c r="P277" i="39"/>
  <c r="P67" i="39"/>
  <c r="P39" i="39"/>
  <c r="P25" i="39"/>
  <c r="P99" i="39"/>
  <c r="P434" i="39"/>
  <c r="P180" i="39"/>
  <c r="P27" i="39"/>
  <c r="P252" i="39"/>
  <c r="P238" i="39"/>
  <c r="P210" i="39"/>
  <c r="P154" i="39"/>
  <c r="P126" i="39"/>
  <c r="P461" i="39"/>
  <c r="P433" i="39"/>
  <c r="P377" i="39"/>
  <c r="P321" i="39"/>
  <c r="P153" i="39"/>
  <c r="P125" i="39"/>
  <c r="P87" i="39"/>
  <c r="U471" i="39"/>
  <c r="U443" i="39"/>
  <c r="U429" i="39"/>
  <c r="U415" i="39"/>
  <c r="U401" i="39"/>
  <c r="U359" i="39"/>
  <c r="U345" i="39"/>
  <c r="U303" i="39"/>
  <c r="U289" i="39"/>
  <c r="U261" i="39"/>
  <c r="U247" i="39"/>
  <c r="U233" i="39"/>
  <c r="U219" i="39"/>
  <c r="U205" i="39"/>
  <c r="U191" i="39"/>
  <c r="U149" i="39"/>
  <c r="U135" i="39"/>
  <c r="U107" i="39"/>
  <c r="U79" i="39"/>
  <c r="U51" i="39"/>
  <c r="U23" i="39"/>
  <c r="U9" i="39"/>
  <c r="U75" i="39"/>
  <c r="P353" i="39"/>
  <c r="P276" i="39"/>
  <c r="P189" i="39"/>
  <c r="P449" i="39"/>
  <c r="P421" i="39"/>
  <c r="P393" i="39"/>
  <c r="P337" i="39"/>
  <c r="P281" i="39"/>
  <c r="P197" i="39"/>
  <c r="P169" i="39"/>
  <c r="P182" i="39"/>
  <c r="P68" i="39"/>
  <c r="P85" i="39"/>
  <c r="P445" i="39"/>
  <c r="P305" i="39"/>
  <c r="P291" i="39"/>
  <c r="P263" i="39"/>
  <c r="P235" i="39"/>
  <c r="P221" i="39"/>
  <c r="P207" i="39"/>
  <c r="P193" i="39"/>
  <c r="P179" i="39"/>
  <c r="P165" i="39"/>
  <c r="P151" i="39"/>
  <c r="P137" i="39"/>
  <c r="P123" i="39"/>
  <c r="P109" i="39"/>
  <c r="P95" i="39"/>
  <c r="P81" i="39"/>
  <c r="P53" i="39"/>
  <c r="P11" i="39"/>
  <c r="P323" i="39"/>
  <c r="P241" i="39"/>
  <c r="P379" i="39"/>
  <c r="P301" i="39"/>
  <c r="P217" i="39"/>
  <c r="P127" i="39"/>
  <c r="P57" i="39"/>
  <c r="P250" i="39"/>
  <c r="P441" i="39"/>
  <c r="P297" i="39"/>
  <c r="P213" i="39"/>
  <c r="P351" i="39"/>
  <c r="P2" i="39"/>
  <c r="P462" i="39"/>
  <c r="P406" i="39"/>
  <c r="P28" i="39"/>
  <c r="P334" i="39"/>
  <c r="P413" i="39"/>
  <c r="P26" i="39"/>
  <c r="P436" i="39"/>
  <c r="P358" i="39"/>
  <c r="P35" i="39"/>
  <c r="P416" i="39"/>
  <c r="P274" i="39"/>
  <c r="P185" i="39"/>
  <c r="P92" i="39"/>
  <c r="P448" i="39"/>
  <c r="P420" i="39"/>
  <c r="P392" i="39"/>
  <c r="P378" i="39"/>
  <c r="P364" i="39"/>
  <c r="P350" i="39"/>
  <c r="P336" i="39"/>
  <c r="P322" i="39"/>
  <c r="P308" i="39"/>
  <c r="P294" i="39"/>
  <c r="P280" i="39"/>
  <c r="P266" i="39"/>
  <c r="P224" i="39"/>
  <c r="P196" i="39"/>
  <c r="P168" i="39"/>
  <c r="P140" i="39"/>
  <c r="P112" i="39"/>
  <c r="P98" i="39"/>
  <c r="P84" i="39"/>
  <c r="P70" i="39"/>
  <c r="P56" i="39"/>
  <c r="P42" i="39"/>
  <c r="P14" i="39"/>
  <c r="P414" i="39"/>
  <c r="P265" i="39"/>
  <c r="P91" i="39"/>
  <c r="P447" i="39"/>
  <c r="P419" i="39"/>
  <c r="P405" i="39"/>
  <c r="P391" i="39"/>
  <c r="P363" i="39"/>
  <c r="P349" i="39"/>
  <c r="P335" i="39"/>
  <c r="P307" i="39"/>
  <c r="P293" i="39"/>
  <c r="P279" i="39"/>
  <c r="P251" i="39"/>
  <c r="P237" i="39"/>
  <c r="P223" i="39"/>
  <c r="P209" i="39"/>
  <c r="P195" i="39"/>
  <c r="P181" i="39"/>
  <c r="P167" i="39"/>
  <c r="P139" i="39"/>
  <c r="P111" i="39"/>
  <c r="P97" i="39"/>
  <c r="P83" i="39"/>
  <c r="P69" i="39"/>
  <c r="P55" i="39"/>
  <c r="P41" i="39"/>
  <c r="P13" i="39"/>
  <c r="P333" i="39"/>
  <c r="P176" i="39"/>
  <c r="P460" i="39"/>
  <c r="P446" i="39"/>
  <c r="P432" i="39"/>
  <c r="P418" i="39"/>
  <c r="P404" i="39"/>
  <c r="P376" i="39"/>
  <c r="P362" i="39"/>
  <c r="P348" i="39"/>
  <c r="P320" i="39"/>
  <c r="P306" i="39"/>
  <c r="P292" i="39"/>
  <c r="P264" i="39"/>
  <c r="P236" i="39"/>
  <c r="P222" i="39"/>
  <c r="P208" i="39"/>
  <c r="P194" i="39"/>
  <c r="P166" i="39"/>
  <c r="P138" i="39"/>
  <c r="P110" i="39"/>
  <c r="P96" i="39"/>
  <c r="P82" i="39"/>
  <c r="P54" i="39"/>
  <c r="P40" i="39"/>
  <c r="P12" i="39"/>
  <c r="P409" i="39"/>
  <c r="P332" i="39"/>
  <c r="P245" i="39"/>
  <c r="P155" i="39"/>
  <c r="P431" i="39"/>
  <c r="P417" i="39"/>
  <c r="P389" i="39"/>
  <c r="P375" i="39"/>
  <c r="P361" i="39"/>
  <c r="P347" i="39"/>
  <c r="P319" i="39"/>
  <c r="P249" i="39"/>
  <c r="P470" i="39"/>
  <c r="P240" i="39"/>
  <c r="P64" i="39"/>
  <c r="P107" i="39"/>
  <c r="P51" i="39"/>
  <c r="P105" i="39"/>
  <c r="P469" i="39"/>
  <c r="P381" i="39"/>
  <c r="P304" i="39"/>
  <c r="P63" i="39"/>
  <c r="P380" i="39"/>
  <c r="P302" i="39"/>
  <c r="P218" i="39"/>
  <c r="P59" i="39"/>
  <c r="P437" i="39"/>
  <c r="P360" i="39"/>
  <c r="P295" i="39"/>
  <c r="P212" i="39"/>
  <c r="P36" i="39"/>
  <c r="P435" i="39"/>
  <c r="P357" i="39"/>
  <c r="P190" i="39"/>
  <c r="P113" i="39"/>
  <c r="P442" i="39"/>
  <c r="P253" i="39"/>
  <c r="P156" i="39"/>
  <c r="P128" i="39"/>
  <c r="P100" i="39"/>
  <c r="P3" i="39"/>
  <c r="P463" i="39"/>
  <c r="P407" i="39"/>
  <c r="P365" i="39"/>
  <c r="P309" i="39"/>
  <c r="P267" i="39"/>
  <c r="P225" i="39"/>
  <c r="P183" i="39"/>
  <c r="P141" i="39"/>
  <c r="P71" i="39"/>
  <c r="P29" i="39"/>
  <c r="P408" i="39"/>
  <c r="P352" i="39"/>
  <c r="P296" i="39"/>
  <c r="P273" i="39"/>
  <c r="P239" i="39"/>
  <c r="P211" i="39"/>
  <c r="P86" i="39"/>
  <c r="P58" i="39"/>
  <c r="P444" i="39"/>
  <c r="P388" i="39"/>
  <c r="P346" i="39"/>
  <c r="P290" i="39"/>
  <c r="P248" i="39"/>
  <c r="P234" i="39"/>
  <c r="P220" i="39"/>
  <c r="P206" i="39"/>
  <c r="P192" i="39"/>
  <c r="P178" i="39"/>
  <c r="P164" i="39"/>
  <c r="P150" i="39"/>
  <c r="P136" i="39"/>
  <c r="P122" i="39"/>
  <c r="P108" i="39"/>
  <c r="P94" i="39"/>
  <c r="P80" i="39"/>
  <c r="P66" i="39"/>
  <c r="P52" i="39"/>
  <c r="P38" i="39"/>
  <c r="P24" i="39"/>
  <c r="P10" i="39"/>
  <c r="P455" i="39"/>
  <c r="P430" i="39"/>
  <c r="P399" i="39"/>
  <c r="P374" i="39"/>
  <c r="P343" i="39"/>
  <c r="P318" i="39"/>
  <c r="P262" i="39"/>
  <c r="P198" i="39"/>
  <c r="P170" i="39"/>
  <c r="P142" i="39"/>
  <c r="P45" i="39"/>
  <c r="P17" i="39"/>
  <c r="P468" i="39"/>
  <c r="P454" i="39"/>
  <c r="P440" i="39"/>
  <c r="P426" i="39"/>
  <c r="P412" i="39"/>
  <c r="P398" i="39"/>
  <c r="P384" i="39"/>
  <c r="P370" i="39"/>
  <c r="P356" i="39"/>
  <c r="P104" i="39"/>
  <c r="P34" i="39"/>
  <c r="P20" i="39"/>
  <c r="P161" i="39"/>
  <c r="U469" i="39"/>
  <c r="U455" i="39"/>
  <c r="U441" i="39"/>
  <c r="U427" i="39"/>
  <c r="U413" i="39"/>
  <c r="U399" i="39"/>
  <c r="U385" i="39"/>
  <c r="U371" i="39"/>
  <c r="U357" i="39"/>
  <c r="U343" i="39"/>
  <c r="U329" i="39"/>
  <c r="U315" i="39"/>
  <c r="U301" i="39"/>
  <c r="U287" i="39"/>
  <c r="U273" i="39"/>
  <c r="U259" i="39"/>
  <c r="U245" i="39"/>
  <c r="U231" i="39"/>
  <c r="U217" i="39"/>
  <c r="U203" i="39"/>
  <c r="U189" i="39"/>
  <c r="U175" i="39"/>
  <c r="U161" i="39"/>
  <c r="U147" i="39"/>
  <c r="U133" i="39"/>
  <c r="U119" i="39"/>
  <c r="U105" i="39"/>
  <c r="U91" i="39"/>
  <c r="U77" i="39"/>
  <c r="U63" i="39"/>
  <c r="U49" i="39"/>
  <c r="U35" i="39"/>
  <c r="U21" i="39"/>
  <c r="U7" i="39"/>
  <c r="P451" i="39"/>
  <c r="P395" i="39"/>
  <c r="P372" i="39"/>
  <c r="P339" i="39"/>
  <c r="P316" i="39"/>
  <c r="P283" i="39"/>
  <c r="P260" i="39"/>
  <c r="P232" i="39"/>
  <c r="P44" i="39"/>
  <c r="P16" i="39"/>
  <c r="P429" i="39"/>
  <c r="P373" i="39"/>
  <c r="P23" i="39"/>
  <c r="U439" i="39"/>
  <c r="U383" i="39"/>
  <c r="U341" i="39"/>
  <c r="U285" i="39"/>
  <c r="U243" i="39"/>
  <c r="U187" i="39"/>
  <c r="U145" i="39"/>
  <c r="U89" i="39"/>
  <c r="U47" i="39"/>
  <c r="P311" i="39"/>
  <c r="P255" i="39"/>
  <c r="P133" i="39"/>
  <c r="P471" i="39"/>
  <c r="P457" i="39"/>
  <c r="P443" i="39"/>
  <c r="P415" i="39"/>
  <c r="P401" i="39"/>
  <c r="P387" i="39"/>
  <c r="P359" i="39"/>
  <c r="P345" i="39"/>
  <c r="P331" i="39"/>
  <c r="P317" i="39"/>
  <c r="P303" i="39"/>
  <c r="P289" i="39"/>
  <c r="P275" i="39"/>
  <c r="P261" i="39"/>
  <c r="P247" i="39"/>
  <c r="P233" i="39"/>
  <c r="P219" i="39"/>
  <c r="P205" i="39"/>
  <c r="P191" i="39"/>
  <c r="P177" i="39"/>
  <c r="P163" i="39"/>
  <c r="P149" i="39"/>
  <c r="P135" i="39"/>
  <c r="P121" i="39"/>
  <c r="P93" i="39"/>
  <c r="P79" i="39"/>
  <c r="P65" i="39"/>
  <c r="P37" i="39"/>
  <c r="P9" i="39"/>
  <c r="P458" i="39"/>
  <c r="P402" i="39"/>
  <c r="P175" i="39"/>
  <c r="P147" i="39"/>
  <c r="P22" i="39"/>
  <c r="P456" i="39"/>
  <c r="P400" i="39"/>
  <c r="P344" i="39"/>
  <c r="P199" i="39"/>
  <c r="P171" i="39"/>
  <c r="P143" i="39"/>
  <c r="P49" i="39"/>
  <c r="P21" i="39"/>
  <c r="U468" i="39"/>
  <c r="U454" i="39"/>
  <c r="U440" i="39"/>
  <c r="U426" i="39"/>
  <c r="U412" i="39"/>
  <c r="U398" i="39"/>
  <c r="U384" i="39"/>
  <c r="U370" i="39"/>
  <c r="U356" i="39"/>
  <c r="U342" i="39"/>
  <c r="U328" i="39"/>
  <c r="U314" i="39"/>
  <c r="U300" i="39"/>
  <c r="U286" i="39"/>
  <c r="U272" i="39"/>
  <c r="U258" i="39"/>
  <c r="U244" i="39"/>
  <c r="U230" i="39"/>
  <c r="U216" i="39"/>
  <c r="U202" i="39"/>
  <c r="U188" i="39"/>
  <c r="U174" i="39"/>
  <c r="U160" i="39"/>
  <c r="U146" i="39"/>
  <c r="U132" i="39"/>
  <c r="U118" i="39"/>
  <c r="U104" i="39"/>
  <c r="U90" i="39"/>
  <c r="U76" i="39"/>
  <c r="U62" i="39"/>
  <c r="U48" i="39"/>
  <c r="U34" i="39"/>
  <c r="U20" i="39"/>
  <c r="U6" i="39"/>
  <c r="P450" i="39"/>
  <c r="P394" i="39"/>
  <c r="P371" i="39"/>
  <c r="P338" i="39"/>
  <c r="P315" i="39"/>
  <c r="P282" i="39"/>
  <c r="P259" i="39"/>
  <c r="P231" i="39"/>
  <c r="P134" i="39"/>
  <c r="P106" i="39"/>
  <c r="P78" i="39"/>
  <c r="P43" i="39"/>
  <c r="P15" i="39"/>
  <c r="U438" i="39"/>
  <c r="U382" i="39"/>
  <c r="U340" i="39"/>
  <c r="U284" i="39"/>
  <c r="U242" i="39"/>
  <c r="U186" i="39"/>
  <c r="U144" i="39"/>
  <c r="U88" i="39"/>
  <c r="U46" i="39"/>
  <c r="P310" i="39"/>
  <c r="P254" i="39"/>
  <c r="P129" i="39"/>
  <c r="P101" i="39"/>
  <c r="P428" i="39"/>
  <c r="P367" i="39"/>
  <c r="P330" i="39"/>
  <c r="P269" i="39"/>
  <c r="P227" i="39"/>
  <c r="P184" i="39"/>
  <c r="P120" i="39"/>
  <c r="P77" i="39"/>
  <c r="P31" i="39"/>
  <c r="P467" i="39"/>
  <c r="P453" i="39"/>
  <c r="P439" i="39"/>
  <c r="P425" i="39"/>
  <c r="P411" i="39"/>
  <c r="P397" i="39"/>
  <c r="P383" i="39"/>
  <c r="P369" i="39"/>
  <c r="P355" i="39"/>
  <c r="P341" i="39"/>
  <c r="P327" i="39"/>
  <c r="P313" i="39"/>
  <c r="P299" i="39"/>
  <c r="P285" i="39"/>
  <c r="P271" i="39"/>
  <c r="P257" i="39"/>
  <c r="P243" i="39"/>
  <c r="P229" i="39"/>
  <c r="P215" i="39"/>
  <c r="P201" i="39"/>
  <c r="P187" i="39"/>
  <c r="P173" i="39"/>
  <c r="P159" i="39"/>
  <c r="P145" i="39"/>
  <c r="P131" i="39"/>
  <c r="P117" i="39"/>
  <c r="P103" i="39"/>
  <c r="P89" i="39"/>
  <c r="P75" i="39"/>
  <c r="P61" i="39"/>
  <c r="P47" i="39"/>
  <c r="P33" i="39"/>
  <c r="P19" i="39"/>
  <c r="P4" i="39"/>
  <c r="P18" i="39"/>
  <c r="P32" i="39"/>
  <c r="P46" i="39"/>
  <c r="P60" i="39"/>
  <c r="P74" i="39"/>
  <c r="P88" i="39"/>
  <c r="P102" i="39"/>
  <c r="P116" i="39"/>
  <c r="P130" i="39"/>
  <c r="P144" i="39"/>
  <c r="P158" i="39"/>
  <c r="P172" i="39"/>
  <c r="P186" i="39"/>
  <c r="P200" i="39"/>
  <c r="P214" i="39"/>
  <c r="P228" i="39"/>
  <c r="P242" i="39"/>
  <c r="P256" i="39"/>
  <c r="P270" i="39"/>
  <c r="P284" i="39"/>
  <c r="P298" i="39"/>
  <c r="P312" i="39"/>
  <c r="P326" i="39"/>
  <c r="P340" i="39"/>
  <c r="P354" i="39"/>
  <c r="P368" i="39"/>
  <c r="P382" i="39"/>
  <c r="P396" i="39"/>
  <c r="P410" i="39"/>
  <c r="P424" i="39"/>
  <c r="P438" i="39"/>
  <c r="P452" i="39"/>
  <c r="P466" i="39"/>
  <c r="P5" i="39"/>
  <c r="P464" i="39"/>
  <c r="P427" i="39"/>
  <c r="P366" i="39"/>
  <c r="P329" i="39"/>
  <c r="P268" i="39"/>
  <c r="P226" i="39"/>
  <c r="P162" i="39"/>
  <c r="P119" i="39"/>
  <c r="P73" i="39"/>
  <c r="P30" i="39"/>
  <c r="U459" i="39"/>
  <c r="U445" i="39"/>
  <c r="U431" i="39"/>
  <c r="U417" i="39"/>
  <c r="U403" i="39"/>
  <c r="U389" i="39"/>
  <c r="U375" i="39"/>
  <c r="U361" i="39"/>
  <c r="U347" i="39"/>
  <c r="U333" i="39"/>
  <c r="U319" i="39"/>
  <c r="U305" i="39"/>
  <c r="U291" i="39"/>
  <c r="U277" i="39"/>
  <c r="U263" i="39"/>
  <c r="U249" i="39"/>
  <c r="U235" i="39"/>
  <c r="U221" i="39"/>
  <c r="U207" i="39"/>
  <c r="U193" i="39"/>
  <c r="U179" i="39"/>
  <c r="U165" i="39"/>
  <c r="U151" i="39"/>
  <c r="U137" i="39"/>
  <c r="U123" i="39"/>
  <c r="U109" i="39"/>
  <c r="U95" i="39"/>
  <c r="U81" i="39"/>
  <c r="U67" i="39"/>
  <c r="U53" i="39"/>
  <c r="U39" i="39"/>
  <c r="U25" i="39"/>
  <c r="U11" i="39"/>
  <c r="P423" i="39"/>
  <c r="P386" i="39"/>
  <c r="P325" i="39"/>
  <c r="P288" i="39"/>
  <c r="P204" i="39"/>
  <c r="P115" i="39"/>
  <c r="P72" i="39"/>
  <c r="P8" i="39"/>
  <c r="P342" i="39"/>
  <c r="P328" i="39"/>
  <c r="P314" i="39"/>
  <c r="P300" i="39"/>
  <c r="P286" i="39"/>
  <c r="P272" i="39"/>
  <c r="P258" i="39"/>
  <c r="P244" i="39"/>
  <c r="P230" i="39"/>
  <c r="P216" i="39"/>
  <c r="P202" i="39"/>
  <c r="P188" i="39"/>
  <c r="P174" i="39"/>
  <c r="P160" i="39"/>
  <c r="P146" i="39"/>
  <c r="P132" i="39"/>
  <c r="P118" i="39"/>
  <c r="P90" i="39"/>
  <c r="P76" i="39"/>
  <c r="P62" i="39"/>
  <c r="P48" i="39"/>
  <c r="P6" i="39"/>
  <c r="P465" i="39"/>
  <c r="P422" i="39"/>
  <c r="P385" i="39"/>
  <c r="P324" i="39"/>
  <c r="P287" i="39"/>
  <c r="P246" i="39"/>
  <c r="P203" i="39"/>
  <c r="P157" i="39"/>
  <c r="P114" i="39"/>
  <c r="P50" i="39"/>
  <c r="P7" i="39"/>
  <c r="P60" i="34"/>
  <c r="P124" i="34"/>
  <c r="R124" i="34" s="1"/>
  <c r="P24" i="34"/>
  <c r="P44" i="34"/>
  <c r="P76" i="34"/>
  <c r="R76" i="34" s="1"/>
  <c r="P3" i="34"/>
  <c r="R3" i="34" s="1"/>
  <c r="P92" i="34"/>
  <c r="R92" i="34" s="1"/>
  <c r="P108" i="34"/>
  <c r="R108" i="34" s="1"/>
  <c r="P34" i="34"/>
  <c r="R34" i="34" s="1"/>
  <c r="Q104" i="34"/>
  <c r="P72" i="34"/>
  <c r="P10" i="34"/>
  <c r="P40" i="34"/>
  <c r="R40" i="34" s="1"/>
  <c r="P88" i="34"/>
  <c r="P120" i="34"/>
  <c r="R120" i="34" s="1"/>
  <c r="P20" i="34"/>
  <c r="R20" i="34" s="1"/>
  <c r="P104" i="34"/>
  <c r="R104" i="34" s="1"/>
  <c r="P30" i="34"/>
  <c r="P17" i="34"/>
  <c r="R17" i="34" s="1"/>
  <c r="P56" i="34"/>
  <c r="R56" i="34" s="1"/>
  <c r="AB712" i="20"/>
  <c r="AB938" i="20"/>
  <c r="AB1163" i="20"/>
  <c r="AB137" i="20"/>
  <c r="AB686" i="20"/>
  <c r="AB1710" i="20"/>
  <c r="AB1814" i="20"/>
  <c r="AB1556" i="20"/>
  <c r="AB1642" i="20"/>
  <c r="AB1585" i="20"/>
  <c r="AB2220" i="20"/>
  <c r="AB1441" i="20"/>
  <c r="AB855" i="20"/>
  <c r="AB1197" i="20"/>
  <c r="AB2037" i="20"/>
  <c r="AB1053" i="20"/>
  <c r="AB676" i="20"/>
  <c r="AB517" i="20"/>
  <c r="AB690" i="20"/>
  <c r="AB721" i="20"/>
  <c r="AB1286" i="20"/>
  <c r="AB757" i="20"/>
  <c r="AB423" i="20"/>
  <c r="AB609" i="20"/>
  <c r="AB720" i="20"/>
  <c r="AB1304" i="20"/>
  <c r="AB490" i="20"/>
  <c r="AB2089" i="20"/>
  <c r="AB474" i="20"/>
  <c r="AB742" i="20"/>
  <c r="AB1413" i="20"/>
  <c r="AB1919" i="20"/>
  <c r="AB1015" i="20"/>
  <c r="AB1497" i="20"/>
  <c r="AB595" i="20"/>
  <c r="AB2173" i="20"/>
  <c r="AB1323" i="20"/>
  <c r="AB1590" i="20"/>
  <c r="AB1623" i="20"/>
  <c r="AB898" i="20"/>
  <c r="AB1480" i="20"/>
  <c r="AB1736" i="20"/>
  <c r="AB943" i="20"/>
  <c r="AB1327" i="20"/>
  <c r="AB1700" i="20"/>
  <c r="AB269" i="20"/>
  <c r="AB1051" i="20"/>
  <c r="AB1166" i="20"/>
  <c r="AB1559" i="20"/>
  <c r="AB709" i="20"/>
  <c r="AB1915" i="20"/>
  <c r="AB273" i="20"/>
  <c r="AB1274" i="20"/>
  <c r="AB1817" i="20"/>
  <c r="AB1713" i="20"/>
  <c r="AB1223" i="20"/>
  <c r="AB1645" i="20"/>
  <c r="AB1724" i="20"/>
  <c r="AB194" i="20"/>
  <c r="AB561" i="20"/>
  <c r="AB1485" i="20"/>
  <c r="AB1828" i="20"/>
  <c r="AB1607" i="20"/>
  <c r="AB2153" i="20"/>
  <c r="AB138" i="20"/>
  <c r="AB419" i="20"/>
  <c r="AB185" i="20"/>
  <c r="AB894" i="20"/>
  <c r="AB497" i="20"/>
  <c r="AB1452" i="20"/>
  <c r="AB1848" i="20"/>
  <c r="AB1674" i="20"/>
  <c r="AB1257" i="20"/>
  <c r="AB1616" i="20"/>
  <c r="AB2136" i="20"/>
  <c r="AB116" i="20"/>
  <c r="AB463" i="20"/>
  <c r="AB793" i="20"/>
  <c r="AB418" i="20"/>
  <c r="AB149" i="20"/>
  <c r="AB107" i="20"/>
  <c r="AB81" i="20"/>
  <c r="AB1587" i="20"/>
  <c r="AB540" i="20"/>
  <c r="AB1859" i="20"/>
  <c r="AB968" i="20"/>
  <c r="AB338" i="20"/>
  <c r="AB277" i="20"/>
  <c r="AB67" i="20"/>
  <c r="AB305" i="20"/>
  <c r="AB48" i="20"/>
  <c r="AB705" i="20"/>
  <c r="AB2075" i="20"/>
  <c r="AB1637" i="20"/>
  <c r="AB634" i="20"/>
  <c r="AB1443" i="20"/>
  <c r="AB34" i="20"/>
  <c r="AB840" i="20"/>
  <c r="AB673" i="20"/>
  <c r="AB19" i="20"/>
  <c r="AB565" i="20"/>
  <c r="AB454" i="20"/>
  <c r="AB835" i="20"/>
  <c r="AB611" i="20"/>
  <c r="AB372" i="20"/>
  <c r="AB1168" i="20"/>
  <c r="AB1302" i="20"/>
  <c r="AB1130" i="20"/>
  <c r="AB319" i="20"/>
  <c r="AB1338" i="20"/>
  <c r="AB2066" i="20"/>
  <c r="AB3" i="20"/>
  <c r="AB18" i="20"/>
  <c r="AB147" i="20"/>
  <c r="AB313" i="20"/>
  <c r="AB84" i="20"/>
  <c r="AB1315" i="20"/>
  <c r="AB1569" i="20"/>
  <c r="AB555" i="20"/>
  <c r="AB1034" i="20"/>
  <c r="AB927" i="20"/>
  <c r="AB400" i="20"/>
  <c r="AB217" i="20"/>
  <c r="AB183" i="20"/>
  <c r="AB1893" i="20"/>
  <c r="P116" i="34"/>
  <c r="N120" i="34"/>
  <c r="O120" i="34" s="1"/>
  <c r="Q120" i="34" s="1"/>
  <c r="AB2200" i="20"/>
  <c r="AB1943" i="20"/>
  <c r="AB1909" i="20"/>
  <c r="AB1596" i="20"/>
  <c r="AB1547" i="20"/>
  <c r="AB1472" i="20"/>
  <c r="AB1430" i="20"/>
  <c r="AB1400" i="20"/>
  <c r="AB689" i="20"/>
  <c r="AB550" i="20"/>
  <c r="AB381" i="20"/>
  <c r="AB256" i="20"/>
  <c r="AB156" i="20"/>
  <c r="AB13" i="20"/>
  <c r="AB33" i="20"/>
  <c r="AB841" i="20"/>
  <c r="AB675" i="20"/>
  <c r="S105" i="10"/>
  <c r="T105" i="10" s="1"/>
  <c r="AB1619" i="20"/>
  <c r="AB2203" i="20"/>
  <c r="AB616" i="20"/>
  <c r="AB945" i="20"/>
  <c r="AB701" i="20"/>
  <c r="AB598" i="20"/>
  <c r="AB1108" i="20"/>
  <c r="AB1277" i="20"/>
  <c r="AB1801" i="20"/>
  <c r="AB918" i="20"/>
  <c r="AB1564" i="20"/>
  <c r="W44" i="10"/>
  <c r="X44" i="10" s="1"/>
  <c r="P135" i="34"/>
  <c r="R135" i="34" s="1"/>
  <c r="AB2096" i="20"/>
  <c r="J104" i="34"/>
  <c r="L104" i="34" s="1"/>
  <c r="V60" i="10"/>
  <c r="AB1247" i="20"/>
  <c r="AB1471" i="20"/>
  <c r="AB2017" i="20"/>
  <c r="AB499" i="20"/>
  <c r="AB664" i="20"/>
  <c r="AB553" i="20"/>
  <c r="AB1807" i="20"/>
  <c r="AB1973" i="20"/>
  <c r="AB818" i="20"/>
  <c r="AB2142" i="20"/>
  <c r="AB597" i="20"/>
  <c r="AB615" i="20"/>
  <c r="AB702" i="20"/>
  <c r="AB1346" i="20"/>
  <c r="AB1528" i="20"/>
  <c r="AB727" i="20"/>
  <c r="AB1213" i="20"/>
  <c r="AB1432" i="20"/>
  <c r="AB1794" i="20"/>
  <c r="AB2055" i="20"/>
  <c r="AB1070" i="20"/>
  <c r="AB607" i="20"/>
  <c r="AB635" i="20"/>
  <c r="AB863" i="20"/>
  <c r="AB1396" i="20"/>
  <c r="AB1537" i="20"/>
  <c r="AB1660" i="20"/>
  <c r="AB1408" i="20"/>
  <c r="AB529" i="20"/>
  <c r="AB1653" i="20"/>
  <c r="AB2143" i="20"/>
  <c r="AB1000" i="20"/>
  <c r="AB1634" i="20"/>
  <c r="AB2024" i="20"/>
  <c r="AB617" i="20"/>
  <c r="AB1451" i="20"/>
  <c r="AB1728" i="20"/>
  <c r="AB2191" i="20"/>
  <c r="AB700" i="20"/>
  <c r="AB1393" i="20"/>
  <c r="AB1449" i="20"/>
  <c r="AB1869" i="20"/>
  <c r="AB773" i="20"/>
  <c r="AB837" i="20"/>
  <c r="AB1265" i="20"/>
  <c r="AB462" i="20"/>
  <c r="AB1031" i="20"/>
  <c r="AB1477" i="20"/>
  <c r="AB491" i="20"/>
  <c r="AB902" i="20"/>
  <c r="AB984" i="20"/>
  <c r="AB921" i="20"/>
  <c r="AB1613" i="20"/>
  <c r="AB1867" i="20"/>
  <c r="AB1389" i="20"/>
  <c r="AB542" i="20"/>
  <c r="AB792" i="20"/>
  <c r="AB1831" i="20"/>
  <c r="AB726" i="20"/>
  <c r="AB278" i="20"/>
  <c r="AB337" i="20"/>
  <c r="AB791" i="20"/>
  <c r="AB2154" i="20"/>
  <c r="AB803" i="20"/>
  <c r="AB384" i="20"/>
  <c r="AB421" i="20"/>
  <c r="AB532" i="20"/>
  <c r="AB394" i="20"/>
  <c r="AB1768" i="20"/>
  <c r="AB2097" i="20"/>
  <c r="AB2112" i="20"/>
  <c r="AB2201" i="20"/>
  <c r="AB641" i="20"/>
  <c r="AB1044" i="20"/>
  <c r="AB1876" i="20"/>
  <c r="AB1460" i="20"/>
  <c r="AB739" i="20"/>
  <c r="AB1743" i="20"/>
  <c r="AB1475" i="20"/>
  <c r="AB733" i="20"/>
  <c r="AB244" i="20"/>
  <c r="AB486" i="20"/>
  <c r="AB159" i="20"/>
  <c r="AB1296" i="20"/>
  <c r="AB1484" i="20"/>
  <c r="AB1994" i="20"/>
  <c r="AB216" i="20"/>
  <c r="AB1967" i="20"/>
  <c r="AB457" i="20"/>
  <c r="AB642" i="20"/>
  <c r="AB525" i="20"/>
  <c r="AB448" i="20"/>
  <c r="AB1388" i="20"/>
  <c r="AB958" i="20"/>
  <c r="AB1593" i="20"/>
  <c r="AB751" i="20"/>
  <c r="AB881" i="20"/>
  <c r="AB1835" i="20"/>
  <c r="AB646" i="20"/>
  <c r="AB962" i="20"/>
  <c r="AB459" i="20"/>
  <c r="AB838" i="20"/>
  <c r="AB288" i="20"/>
  <c r="AB97" i="20"/>
  <c r="AB934" i="20"/>
  <c r="AB361" i="20"/>
  <c r="AB1295" i="20"/>
  <c r="AB1476" i="20"/>
  <c r="AB198" i="20"/>
  <c r="AB545" i="20"/>
  <c r="AB85" i="20"/>
  <c r="AB145" i="20"/>
  <c r="AB1317" i="20"/>
  <c r="AB479" i="20"/>
  <c r="AB260" i="20"/>
  <c r="AB327" i="20"/>
  <c r="AB1266" i="20"/>
  <c r="AB1284" i="20"/>
  <c r="AB103" i="20"/>
  <c r="AB409" i="20"/>
  <c r="AB935" i="20"/>
  <c r="AB1986" i="20"/>
  <c r="AB2062" i="20"/>
  <c r="AB54" i="20"/>
  <c r="AB280" i="20"/>
  <c r="AB819" i="20"/>
  <c r="AB304" i="20"/>
  <c r="AB2114" i="20"/>
  <c r="AB40" i="20"/>
  <c r="AB1560" i="20"/>
  <c r="AB1109" i="20"/>
  <c r="AB1351" i="20"/>
  <c r="AB1620" i="20"/>
  <c r="AB348" i="20"/>
  <c r="AB83" i="20"/>
  <c r="AB148" i="20"/>
  <c r="AB106" i="20"/>
  <c r="AB1133" i="20"/>
  <c r="AB168" i="20"/>
  <c r="AB1037" i="20"/>
  <c r="AB9" i="20"/>
  <c r="AB1870" i="20"/>
  <c r="P77" i="34"/>
  <c r="R77" i="34" s="1"/>
  <c r="N6" i="34"/>
  <c r="O6" i="34" s="1"/>
  <c r="J91" i="34"/>
  <c r="L91" i="34" s="1"/>
  <c r="AB2161" i="20"/>
  <c r="AB2121" i="20"/>
  <c r="AB2086" i="20"/>
  <c r="AB2021" i="20"/>
  <c r="AB1890" i="20"/>
  <c r="AB1850" i="20"/>
  <c r="AB1760" i="20"/>
  <c r="AB1570" i="20"/>
  <c r="AB1533" i="20"/>
  <c r="AB1494" i="20"/>
  <c r="AB1454" i="20"/>
  <c r="AB1269" i="20"/>
  <c r="AB1187" i="20"/>
  <c r="AB1095" i="20"/>
  <c r="AB655" i="20"/>
  <c r="AB507" i="20"/>
  <c r="AB310" i="20"/>
  <c r="AB966" i="20"/>
  <c r="AB1849" i="20"/>
  <c r="AB946" i="20"/>
  <c r="AB1920" i="20"/>
  <c r="AB303" i="20"/>
  <c r="AB1414" i="20"/>
  <c r="AB430" i="20"/>
  <c r="AB1106" i="20"/>
  <c r="AB1435" i="20"/>
  <c r="AB1498" i="20"/>
  <c r="AB1654" i="20"/>
  <c r="AB1734" i="20"/>
  <c r="AB1014" i="20"/>
  <c r="AB1481" i="20"/>
  <c r="AB680" i="20"/>
  <c r="AB785" i="20"/>
  <c r="AB192" i="20"/>
  <c r="AB246" i="20"/>
  <c r="AB363" i="20"/>
  <c r="AB341" i="20"/>
  <c r="AB2" i="20"/>
  <c r="AB328" i="20"/>
  <c r="AB374" i="20"/>
  <c r="AB480" i="20"/>
  <c r="AB789" i="20"/>
  <c r="AB102" i="20"/>
  <c r="AB86" i="20"/>
  <c r="AB167" i="20"/>
  <c r="AB623" i="20"/>
  <c r="AB834" i="20"/>
  <c r="AB436" i="20"/>
  <c r="AB1692" i="20"/>
  <c r="AB964" i="20"/>
  <c r="AB1759" i="20"/>
  <c r="AB1571" i="20"/>
  <c r="AB922" i="20"/>
  <c r="AB1854" i="20"/>
  <c r="AB144" i="20"/>
  <c r="AB1300" i="20"/>
  <c r="AB2016" i="20"/>
  <c r="AB408" i="20"/>
  <c r="AB734" i="20"/>
  <c r="AB2061" i="20"/>
  <c r="AB1316" i="20"/>
  <c r="AB1987" i="20"/>
  <c r="AB1690" i="20"/>
  <c r="AB779" i="20"/>
  <c r="AB850" i="20"/>
  <c r="AB1205" i="20"/>
  <c r="AB515" i="20"/>
  <c r="AB1061" i="20"/>
  <c r="AB1944" i="20"/>
  <c r="AB744" i="20"/>
  <c r="AB1107" i="20"/>
  <c r="AB2115" i="20"/>
  <c r="AB1278" i="20"/>
  <c r="AB1917" i="20"/>
  <c r="AB651" i="20"/>
  <c r="AB1045" i="20"/>
  <c r="AB1503" i="20"/>
  <c r="AB1918" i="20"/>
  <c r="AB890" i="20"/>
  <c r="AB806" i="20"/>
  <c r="AB868" i="20"/>
  <c r="AB1739" i="20"/>
  <c r="AB944" i="20"/>
  <c r="AB2010" i="20"/>
  <c r="AB1354" i="20"/>
  <c r="AB1901" i="20"/>
  <c r="AB923" i="20"/>
  <c r="AB1602" i="20"/>
  <c r="AB32" i="20"/>
  <c r="AB672" i="20"/>
  <c r="AB2000" i="20"/>
  <c r="AB1183" i="20"/>
  <c r="AB974" i="20"/>
  <c r="V124" i="10"/>
  <c r="AB1395" i="20"/>
  <c r="AB530" i="20"/>
  <c r="AB636" i="20"/>
  <c r="AB997" i="20"/>
  <c r="AB1749" i="20"/>
  <c r="AB541" i="20"/>
  <c r="AB693" i="20"/>
  <c r="AB1062" i="20"/>
  <c r="AB1945" i="20"/>
  <c r="AB908" i="20"/>
  <c r="AB1275" i="20"/>
  <c r="AB630" i="20"/>
  <c r="AB1376" i="20"/>
  <c r="AB1466" i="20"/>
  <c r="AB1005" i="20"/>
  <c r="AB1225" i="20"/>
  <c r="AB1320" i="20"/>
  <c r="AB1599" i="20"/>
  <c r="AB64" i="20"/>
  <c r="AB61" i="20"/>
  <c r="AB649" i="20"/>
  <c r="AB146" i="20"/>
  <c r="AB226" i="20"/>
  <c r="AB402" i="20"/>
  <c r="AB227" i="20"/>
  <c r="AB317" i="20"/>
  <c r="AB548" i="20"/>
  <c r="AB745" i="20"/>
  <c r="AB161" i="20"/>
  <c r="AB782" i="20"/>
  <c r="AB839" i="20"/>
  <c r="AB1752" i="20"/>
  <c r="AB1774" i="20"/>
  <c r="AB1922" i="20"/>
  <c r="AB1224" i="20"/>
  <c r="AB1592" i="20"/>
  <c r="N35" i="34"/>
  <c r="O35" i="34" s="1"/>
  <c r="AB1729" i="20"/>
  <c r="AB1200" i="20"/>
  <c r="Z133" i="10"/>
  <c r="V147" i="10"/>
  <c r="AB915" i="20"/>
  <c r="AB978" i="20"/>
  <c r="AB1678" i="20"/>
  <c r="AB870" i="20"/>
  <c r="AB991" i="20"/>
  <c r="AB2215" i="20"/>
  <c r="AB1881" i="20"/>
  <c r="AB928" i="20"/>
  <c r="AB1579" i="20"/>
  <c r="AB1090" i="20"/>
  <c r="AB1122" i="20"/>
  <c r="AB1866" i="20"/>
  <c r="AB1365" i="20"/>
  <c r="AB1536" i="20"/>
  <c r="AB393" i="20"/>
  <c r="AB959" i="20"/>
  <c r="AB1094" i="20"/>
  <c r="AB1624" i="20"/>
  <c r="V254" i="10"/>
  <c r="AB1667" i="20"/>
  <c r="AB2216" i="20"/>
  <c r="AB914" i="20"/>
  <c r="AB1679" i="20"/>
  <c r="AB814" i="20"/>
  <c r="AB2192" i="20"/>
  <c r="AB871" i="20"/>
  <c r="AB1521" i="20"/>
  <c r="AB1540" i="20"/>
  <c r="AB1098" i="20"/>
  <c r="AB1549" i="20"/>
  <c r="AB992" i="20"/>
  <c r="AB1927" i="20"/>
  <c r="AB2160" i="20"/>
  <c r="AB1557" i="20"/>
  <c r="AB1722" i="20"/>
  <c r="AB687" i="20"/>
  <c r="AB1815" i="20"/>
  <c r="AB1711" i="20"/>
  <c r="AB1272" i="20"/>
  <c r="AB1913" i="20"/>
  <c r="AB1221" i="20"/>
  <c r="AB1643" i="20"/>
  <c r="AB2108" i="20"/>
  <c r="AB924" i="20"/>
  <c r="AB1514" i="20"/>
  <c r="AB1576" i="20"/>
  <c r="AB568" i="20"/>
  <c r="AB654" i="20"/>
  <c r="AB822" i="20"/>
  <c r="AB1529" i="20"/>
  <c r="AB2145" i="20"/>
  <c r="AB1896" i="20"/>
  <c r="AB1349" i="20"/>
  <c r="AB1175" i="20"/>
  <c r="AB1345" i="20"/>
  <c r="AB1933" i="20"/>
  <c r="AB2073" i="20"/>
  <c r="AB2009" i="20"/>
  <c r="AB170" i="20"/>
  <c r="AB483" i="20"/>
  <c r="AB1010" i="20"/>
  <c r="AB47" i="20"/>
  <c r="AB464" i="20"/>
  <c r="AB1747" i="20"/>
  <c r="AB1628" i="20"/>
  <c r="AB189" i="20"/>
  <c r="AB191" i="20"/>
  <c r="AB505" i="20"/>
  <c r="AB247" i="20"/>
  <c r="AB290" i="20"/>
  <c r="AB340" i="20"/>
  <c r="AB403" i="20"/>
  <c r="AB437" i="20"/>
  <c r="AB325" i="20"/>
  <c r="AB1215" i="20"/>
  <c r="AB1755" i="20"/>
  <c r="AB1488" i="20"/>
  <c r="AB1253" i="20"/>
  <c r="AB2033" i="20"/>
  <c r="AB495" i="20"/>
  <c r="AB1391" i="20"/>
  <c r="AB287" i="20"/>
  <c r="AB293" i="20"/>
  <c r="AB1312" i="20"/>
  <c r="AB489" i="20"/>
  <c r="AB1216" i="20"/>
  <c r="AB29" i="20"/>
  <c r="AB200" i="20"/>
  <c r="P35" i="34"/>
  <c r="N20" i="34"/>
  <c r="O20" i="34" s="1"/>
  <c r="Q20" i="34" s="1"/>
  <c r="V144" i="10"/>
  <c r="V62" i="10"/>
  <c r="P125" i="34"/>
  <c r="J49" i="34"/>
  <c r="L49" i="34" s="1"/>
  <c r="S176" i="10"/>
  <c r="S228" i="10"/>
  <c r="AB539" i="20"/>
  <c r="AB586" i="20"/>
  <c r="AB947" i="20"/>
  <c r="AB1026" i="20"/>
  <c r="AB380" i="20"/>
  <c r="AB1186" i="20"/>
  <c r="AB1853" i="20"/>
  <c r="AB2064" i="20"/>
  <c r="V168" i="10"/>
  <c r="W168" i="10" s="1"/>
  <c r="AA168" i="10" s="1"/>
  <c r="Y212" i="10"/>
  <c r="S167" i="10"/>
  <c r="T167" i="10" s="1"/>
  <c r="AB509" i="20"/>
  <c r="AB1301" i="20"/>
  <c r="AB1339" i="20"/>
  <c r="AB1157" i="20"/>
  <c r="AB707" i="20"/>
  <c r="AB696" i="20"/>
  <c r="AB691" i="20"/>
  <c r="AB516" i="20"/>
  <c r="AB849" i="20"/>
  <c r="AB2045" i="20"/>
  <c r="AB274" i="20"/>
  <c r="AB1202" i="20"/>
  <c r="AB1941" i="20"/>
  <c r="AB1058" i="20"/>
  <c r="AB24" i="20"/>
  <c r="AB697" i="20"/>
  <c r="P45" i="34"/>
  <c r="N133" i="34"/>
  <c r="O133" i="34" s="1"/>
  <c r="N63" i="34"/>
  <c r="O63" i="34" s="1"/>
  <c r="N43" i="34"/>
  <c r="O43" i="34" s="1"/>
  <c r="J7" i="34"/>
  <c r="L7" i="34" s="1"/>
  <c r="AB2177" i="20"/>
  <c r="AB2149" i="20"/>
  <c r="AB2080" i="20"/>
  <c r="AB2048" i="20"/>
  <c r="AB1886" i="20"/>
  <c r="AB1843" i="20"/>
  <c r="AB1790" i="20"/>
  <c r="AB1748" i="20"/>
  <c r="AB1524" i="20"/>
  <c r="AB1446" i="20"/>
  <c r="AB1363" i="20"/>
  <c r="AB1311" i="20"/>
  <c r="AB1218" i="20"/>
  <c r="AB1134" i="20"/>
  <c r="AB889" i="20"/>
  <c r="AB504" i="20"/>
  <c r="AB2126" i="20"/>
  <c r="AB2026" i="20"/>
  <c r="AB1622" i="20"/>
  <c r="AB853" i="20"/>
  <c r="V196" i="10"/>
  <c r="V160" i="10"/>
  <c r="W160" i="10" s="1"/>
  <c r="V74" i="10"/>
  <c r="V55" i="10"/>
  <c r="V25" i="10"/>
  <c r="V120" i="10"/>
  <c r="AB2125" i="20"/>
  <c r="AB1097" i="20"/>
  <c r="AB219" i="20"/>
  <c r="S178" i="10"/>
  <c r="S51" i="10"/>
  <c r="S181" i="10"/>
  <c r="AB126" i="20"/>
  <c r="AB897" i="20"/>
  <c r="AB404" i="20"/>
  <c r="AB100" i="20"/>
  <c r="AB282" i="20"/>
  <c r="AB1753" i="20"/>
  <c r="AB174" i="20"/>
  <c r="AB206" i="20"/>
  <c r="AB1285" i="20"/>
  <c r="AB181" i="20"/>
  <c r="AB493" i="20"/>
  <c r="AB1633" i="20"/>
  <c r="AB2012" i="20"/>
  <c r="AB2093" i="20"/>
  <c r="AB322" i="20"/>
  <c r="AB1252" i="20"/>
  <c r="AB2187" i="20"/>
  <c r="AB574" i="20"/>
  <c r="AB1737" i="20"/>
  <c r="AB998" i="20"/>
  <c r="AB2127" i="20"/>
  <c r="AB1621" i="20"/>
  <c r="AB752" i="20"/>
  <c r="AB867" i="20"/>
  <c r="AB41" i="20"/>
  <c r="AB1353" i="20"/>
  <c r="AB21" i="20"/>
  <c r="AB195" i="20"/>
  <c r="AB210" i="20"/>
  <c r="AB469" i="20"/>
  <c r="AB485" i="20"/>
  <c r="AB1245" i="20"/>
  <c r="AB204" i="20"/>
  <c r="AB438" i="20"/>
  <c r="AB608" i="20"/>
  <c r="AB788" i="20"/>
  <c r="AB624" i="20"/>
  <c r="AB554" i="20"/>
  <c r="AB1572" i="20"/>
  <c r="AB1857" i="20"/>
  <c r="AB904" i="20"/>
  <c r="AB1605" i="20"/>
  <c r="AB969" i="20"/>
  <c r="AB339" i="20"/>
  <c r="AB1030" i="20"/>
  <c r="AB229" i="20"/>
  <c r="AB321" i="20"/>
  <c r="AB1995" i="20"/>
  <c r="AB289" i="20"/>
  <c r="AB1758" i="20"/>
  <c r="AB2150" i="20"/>
  <c r="AB412" i="20"/>
  <c r="AB1290" i="20"/>
  <c r="AB1383" i="20"/>
  <c r="AB1648" i="20"/>
  <c r="AB2091" i="20"/>
  <c r="AB1928" i="20"/>
  <c r="AB851" i="20"/>
  <c r="V251" i="10"/>
  <c r="W251" i="10" s="1"/>
  <c r="V117" i="10"/>
  <c r="W117" i="10" s="1"/>
  <c r="AA117" i="10" s="1"/>
  <c r="V39" i="10"/>
  <c r="V3" i="10"/>
  <c r="W3" i="10" s="1"/>
  <c r="AA3" i="10" s="1"/>
  <c r="S36" i="10"/>
  <c r="T36" i="10" s="1"/>
  <c r="S78" i="10"/>
  <c r="S49" i="10"/>
  <c r="S125" i="10"/>
  <c r="T125" i="10" s="1"/>
  <c r="AB1638" i="20"/>
  <c r="AB2088" i="20"/>
  <c r="AB513" i="20"/>
  <c r="AB1068" i="20"/>
  <c r="AB2141" i="20"/>
  <c r="AB1820" i="20"/>
  <c r="AB1126" i="20"/>
  <c r="AB1916" i="20"/>
  <c r="AB367" i="20"/>
  <c r="AB1361" i="20"/>
  <c r="AB1838" i="20"/>
  <c r="AB1028" i="20"/>
  <c r="AB427" i="20"/>
  <c r="AB2049" i="20"/>
  <c r="AB1525" i="20"/>
  <c r="AB1313" i="20"/>
  <c r="AB1268" i="20"/>
  <c r="AB506" i="20"/>
  <c r="AB301" i="20"/>
  <c r="V50" i="10"/>
  <c r="V148" i="10"/>
  <c r="V113" i="10"/>
  <c r="AB647" i="20"/>
  <c r="AB1356" i="20"/>
  <c r="AB514" i="20"/>
  <c r="AB2094" i="20"/>
  <c r="AB953" i="20"/>
  <c r="AB1009" i="20"/>
  <c r="AB704" i="20"/>
  <c r="AB1116" i="20"/>
  <c r="AB1228" i="20"/>
  <c r="AB1932" i="20"/>
  <c r="AB612" i="20"/>
  <c r="AB2139" i="20"/>
  <c r="AB1778" i="20"/>
  <c r="AB1750" i="20"/>
  <c r="AB1584" i="20"/>
  <c r="AB2132" i="20"/>
  <c r="AB1562" i="20"/>
  <c r="AB845" i="20"/>
  <c r="AB1437" i="20"/>
  <c r="AB746" i="20"/>
  <c r="AB1936" i="20"/>
  <c r="AB2040" i="20"/>
  <c r="AB1075" i="20"/>
  <c r="AB446" i="20"/>
  <c r="AB698" i="20"/>
  <c r="AB471" i="20"/>
  <c r="AB1156" i="20"/>
  <c r="AB2074" i="20"/>
  <c r="AB954" i="20"/>
  <c r="AB596" i="20"/>
  <c r="AB628" i="20"/>
  <c r="AB1022" i="20"/>
  <c r="AB352" i="20"/>
  <c r="AB1387" i="20"/>
  <c r="AB498" i="20"/>
  <c r="AB1829" i="20"/>
  <c r="AB2188" i="20"/>
  <c r="AB575" i="20"/>
  <c r="AB643" i="20"/>
  <c r="AB970" i="20"/>
  <c r="AB413" i="20"/>
  <c r="AB472" i="20"/>
  <c r="AB1251" i="20"/>
  <c r="AB2036" i="20"/>
  <c r="AB1293" i="20"/>
  <c r="AB1049" i="20"/>
  <c r="AB713" i="20"/>
  <c r="AB1555" i="20"/>
  <c r="AB1709" i="20"/>
  <c r="AB1813" i="20"/>
  <c r="AB272" i="20"/>
  <c r="AB1641" i="20"/>
  <c r="AB2107" i="20"/>
  <c r="AB1162" i="20"/>
  <c r="AB1271" i="20"/>
  <c r="AB1220" i="20"/>
  <c r="AB685" i="20"/>
  <c r="AB763" i="20"/>
  <c r="AB1631" i="20"/>
  <c r="AB93" i="20"/>
  <c r="AB1035" i="20"/>
  <c r="AB1649" i="20"/>
  <c r="AB588" i="20"/>
  <c r="AB719" i="20"/>
  <c r="AB1064" i="20"/>
  <c r="AB1779" i="20"/>
  <c r="AB1947" i="20"/>
  <c r="AB70" i="20"/>
  <c r="AB2051" i="20"/>
  <c r="AB842" i="20"/>
  <c r="AB1208" i="20"/>
  <c r="AB1780" i="20"/>
  <c r="AB678" i="20"/>
  <c r="AB51" i="20"/>
  <c r="AB315" i="20"/>
  <c r="AB401" i="20"/>
  <c r="AB109" i="20"/>
  <c r="AB345" i="20"/>
  <c r="AB790" i="20"/>
  <c r="AB925" i="20"/>
  <c r="AB1891" i="20"/>
  <c r="AB1244" i="20"/>
  <c r="AB1294" i="20"/>
  <c r="AB2067" i="20"/>
  <c r="AB440" i="20"/>
  <c r="AB524" i="20"/>
  <c r="AB2189" i="20"/>
  <c r="AB567" i="20"/>
  <c r="AB1140" i="20"/>
  <c r="AB735" i="20"/>
  <c r="AB620" i="20"/>
  <c r="AB988" i="20"/>
  <c r="AB1381" i="20"/>
  <c r="AB580" i="20"/>
  <c r="N132" i="34"/>
  <c r="O132" i="34" s="1"/>
  <c r="Q132" i="34" s="1"/>
  <c r="J134" i="34"/>
  <c r="L134" i="34" s="1"/>
  <c r="J36" i="34"/>
  <c r="L36" i="34" s="1"/>
  <c r="AB2148" i="20"/>
  <c r="AB2079" i="20"/>
  <c r="AB1980" i="20"/>
  <c r="AB1912" i="20"/>
  <c r="AB1830" i="20"/>
  <c r="AB1789" i="20"/>
  <c r="AB1741" i="20"/>
  <c r="AB1683" i="20"/>
  <c r="AB1646" i="20"/>
  <c r="AB1603" i="20"/>
  <c r="AB1565" i="20"/>
  <c r="AB1523" i="20"/>
  <c r="AB1056" i="20"/>
  <c r="AB1001" i="20"/>
  <c r="AB942" i="20"/>
  <c r="AB711" i="20"/>
  <c r="AB780" i="20"/>
  <c r="AB2071" i="20"/>
  <c r="AB1689" i="20"/>
  <c r="AB1203" i="20"/>
  <c r="AB856" i="20"/>
  <c r="AB695" i="20"/>
  <c r="AB1059" i="20"/>
  <c r="AB1795" i="20"/>
  <c r="AB708" i="20"/>
  <c r="AB1447" i="20"/>
  <c r="AB108" i="20"/>
  <c r="AB208" i="20"/>
  <c r="AB362" i="20"/>
  <c r="AB373" i="20"/>
  <c r="AB621" i="20"/>
  <c r="AB747" i="20"/>
  <c r="AB203" i="20"/>
  <c r="AB385" i="20"/>
  <c r="AB150" i="20"/>
  <c r="AB335" i="20"/>
  <c r="AB439" i="20"/>
  <c r="AB967" i="20"/>
  <c r="AB1121" i="20"/>
  <c r="AB1135" i="20"/>
  <c r="AB1989" i="20"/>
  <c r="AB2003" i="20"/>
  <c r="AB212" i="20"/>
  <c r="AB414" i="20"/>
  <c r="AB538" i="20"/>
  <c r="AB188" i="20"/>
  <c r="AB285" i="20"/>
  <c r="AB724" i="20"/>
  <c r="AB1152" i="20"/>
  <c r="AB1469" i="20"/>
  <c r="AB1004" i="20"/>
  <c r="AB2035" i="20"/>
  <c r="AB587" i="20"/>
  <c r="AB1397" i="20"/>
  <c r="AB1416" i="20"/>
  <c r="AB766" i="20"/>
  <c r="AB1180" i="20"/>
  <c r="AB80" i="20"/>
  <c r="AB1458" i="20"/>
  <c r="AB232" i="20"/>
  <c r="AB1860" i="20"/>
  <c r="AB903" i="20"/>
  <c r="AB2169" i="20"/>
  <c r="AB2193" i="20"/>
  <c r="AB1806" i="20"/>
  <c r="AB995" i="20"/>
  <c r="AB874" i="20"/>
  <c r="AB1405" i="20"/>
  <c r="AB1664" i="20"/>
  <c r="AB1101" i="20"/>
  <c r="AB1552" i="20"/>
  <c r="AB265" i="20"/>
  <c r="AB2083" i="20"/>
  <c r="AB911" i="20"/>
  <c r="AB828" i="20"/>
  <c r="AB1292" i="20"/>
  <c r="AB101" i="20"/>
  <c r="AB89" i="20"/>
  <c r="AB58" i="20"/>
  <c r="N76" i="34"/>
  <c r="O76" i="34" s="1"/>
  <c r="Q76" i="34" s="1"/>
  <c r="J105" i="34"/>
  <c r="L105" i="34" s="1"/>
  <c r="V17" i="10"/>
  <c r="AB283" i="20"/>
  <c r="AB344" i="20"/>
  <c r="AB2185" i="20"/>
  <c r="AB1032" i="20"/>
  <c r="AB556" i="20"/>
  <c r="AB573" i="20"/>
  <c r="AB1568" i="20"/>
  <c r="AB399" i="20"/>
  <c r="AB1362" i="20"/>
  <c r="AB1985" i="20"/>
  <c r="AB1143" i="20"/>
  <c r="AB830" i="20"/>
  <c r="AB926" i="20"/>
  <c r="AB1254" i="20"/>
  <c r="AB377" i="20"/>
  <c r="AB1998" i="20"/>
  <c r="AB1314" i="20"/>
  <c r="AB2151" i="20"/>
  <c r="AB482" i="20"/>
  <c r="AB110" i="20"/>
  <c r="AB827" i="20"/>
  <c r="AB1069" i="20"/>
  <c r="AB857" i="20"/>
  <c r="AB266" i="20"/>
  <c r="AB1952" i="20"/>
  <c r="AB1433" i="20"/>
  <c r="AB28" i="20"/>
  <c r="AB1796" i="20"/>
  <c r="AB2056" i="20"/>
  <c r="AB732" i="20"/>
  <c r="S32" i="10"/>
  <c r="AB683" i="20"/>
  <c r="AB1639" i="20"/>
  <c r="AB1706" i="20"/>
  <c r="AB1811" i="20"/>
  <c r="AB2105" i="20"/>
  <c r="AB1553" i="20"/>
  <c r="AB1160" i="20"/>
  <c r="AB1719" i="20"/>
  <c r="P109" i="34"/>
  <c r="R109" i="34" s="1"/>
  <c r="V225" i="10"/>
  <c r="S129" i="10"/>
  <c r="V82" i="10"/>
  <c r="V139" i="10"/>
  <c r="AB762" i="20"/>
  <c r="AB1358" i="20"/>
  <c r="AB527" i="20"/>
  <c r="AB1840" i="20"/>
  <c r="AB666" i="20"/>
  <c r="AB521" i="20"/>
  <c r="AB1193" i="20"/>
  <c r="AB1937" i="20"/>
  <c r="AB1072" i="20"/>
  <c r="AB2041" i="20"/>
  <c r="AB1786" i="20"/>
  <c r="AB2101" i="20"/>
  <c r="AB2122" i="20"/>
  <c r="AB429" i="20"/>
  <c r="AB749" i="20"/>
  <c r="AB1379" i="20"/>
  <c r="AB1675" i="20"/>
  <c r="AB625" i="20"/>
  <c r="AB2211" i="20"/>
  <c r="AB1879" i="20"/>
  <c r="AB1732" i="20"/>
  <c r="AB1024" i="20"/>
  <c r="AB329" i="20"/>
  <c r="AB886" i="20"/>
  <c r="AB982" i="20"/>
  <c r="AB1833" i="20"/>
  <c r="AB1161" i="20"/>
  <c r="AB1050" i="20"/>
  <c r="AB684" i="20"/>
  <c r="AB714" i="20"/>
  <c r="AB1219" i="20"/>
  <c r="AB1554" i="20"/>
  <c r="AB1640" i="20"/>
  <c r="AB271" i="20"/>
  <c r="AB1812" i="20"/>
  <c r="AB2106" i="20"/>
  <c r="AB1720" i="20"/>
  <c r="AB225" i="20"/>
  <c r="AB1827" i="20"/>
  <c r="AB228" i="20"/>
  <c r="AB1188" i="20"/>
  <c r="AB1479" i="20"/>
  <c r="AB831" i="20"/>
  <c r="AB622" i="20"/>
  <c r="AB787" i="20"/>
  <c r="AB368" i="20"/>
  <c r="AB980" i="20"/>
  <c r="AB571" i="20"/>
  <c r="AB2022" i="20"/>
  <c r="AB234" i="20"/>
  <c r="AB140" i="20"/>
  <c r="AB286" i="20"/>
  <c r="AB396" i="20"/>
  <c r="AB461" i="20"/>
  <c r="AB456" i="20"/>
  <c r="AB1283" i="20"/>
  <c r="AB1726" i="20"/>
  <c r="AB1864" i="20"/>
  <c r="AB748" i="20"/>
  <c r="AB342" i="20"/>
  <c r="AB973" i="20"/>
  <c r="AB990" i="20"/>
  <c r="AB410" i="20"/>
  <c r="AB1614" i="20"/>
  <c r="AB989" i="20"/>
  <c r="AB1837" i="20"/>
  <c r="AB176" i="20"/>
  <c r="AB120" i="20"/>
  <c r="AB199" i="20"/>
  <c r="AB154" i="20"/>
  <c r="AB1036" i="20"/>
  <c r="AB503" i="20"/>
  <c r="AB92" i="20"/>
  <c r="AB366" i="20"/>
  <c r="AB570" i="20"/>
  <c r="AB1836" i="20"/>
  <c r="AB1382" i="20"/>
  <c r="AB581" i="20"/>
  <c r="AB69" i="20"/>
  <c r="AB279" i="20"/>
  <c r="AB258" i="20"/>
  <c r="AB1407" i="20"/>
  <c r="AB1518" i="20"/>
  <c r="AB862" i="20"/>
  <c r="AB1839" i="20"/>
  <c r="AB2155" i="20"/>
  <c r="AB36" i="20"/>
  <c r="AB450" i="20"/>
  <c r="AB761" i="20"/>
  <c r="AB591" i="20"/>
  <c r="AB1119" i="20"/>
  <c r="AB1357" i="20"/>
  <c r="AB1877" i="20"/>
  <c r="AB1182" i="20"/>
  <c r="AB1310" i="20"/>
  <c r="AB2007" i="20"/>
  <c r="AB800" i="20"/>
  <c r="AB2099" i="20"/>
  <c r="AB866" i="20"/>
  <c r="AB2124" i="20"/>
  <c r="AB1235" i="20"/>
  <c r="AB1478" i="20"/>
  <c r="AB1324" i="20"/>
  <c r="AB1598" i="20"/>
  <c r="AB526" i="20"/>
  <c r="AB1691" i="20"/>
  <c r="AB2212" i="20"/>
  <c r="AB1420" i="20"/>
  <c r="AB1841" i="20"/>
  <c r="AB314" i="20"/>
  <c r="AB551" i="20"/>
  <c r="AB240" i="20"/>
  <c r="AB1259" i="20"/>
  <c r="AB1329" i="20"/>
  <c r="AB629" i="20"/>
  <c r="AB723" i="20"/>
  <c r="AB798" i="20"/>
  <c r="AB1342" i="20"/>
  <c r="AB443" i="20"/>
  <c r="AB564" i="20"/>
  <c r="AB740" i="20"/>
  <c r="AB599" i="20"/>
  <c r="AB1153" i="20"/>
  <c r="AB1635" i="20"/>
  <c r="AB196" i="20"/>
  <c r="AB1417" i="20"/>
  <c r="AB1858" i="20"/>
  <c r="AB1699" i="20"/>
  <c r="AB22" i="20"/>
  <c r="AB765" i="20"/>
  <c r="AB1652" i="20"/>
  <c r="AB2034" i="20"/>
  <c r="AB1805" i="20"/>
  <c r="AB1988" i="20"/>
  <c r="AB2194" i="20"/>
  <c r="AB783" i="20"/>
  <c r="AB59" i="20"/>
  <c r="AB87" i="20"/>
  <c r="AB166" i="20"/>
  <c r="AB178" i="20"/>
  <c r="AB221" i="20"/>
  <c r="AB5" i="20"/>
  <c r="AB728" i="20"/>
  <c r="AB589" i="20"/>
  <c r="AB1482" i="20"/>
  <c r="AB1632" i="20"/>
  <c r="AB2186" i="20"/>
  <c r="AB326" i="20"/>
  <c r="AB983" i="20"/>
  <c r="AB776" i="20"/>
  <c r="AB121" i="20"/>
  <c r="AB1291" i="20"/>
  <c r="AB2204" i="20"/>
  <c r="AB2175" i="20"/>
  <c r="AB2117" i="20"/>
  <c r="AB2046" i="20"/>
  <c r="AB1976" i="20"/>
  <c r="AB1955" i="20"/>
  <c r="AB1911" i="20"/>
  <c r="AB1884" i="20"/>
  <c r="AB1826" i="20"/>
  <c r="AB1788" i="20"/>
  <c r="AB1636" i="20"/>
  <c r="AB1601" i="20"/>
  <c r="AB1563" i="20"/>
  <c r="AB1519" i="20"/>
  <c r="AB1489" i="20"/>
  <c r="AB1444" i="20"/>
  <c r="AB1214" i="20"/>
  <c r="AB1171" i="20"/>
  <c r="AB999" i="20"/>
  <c r="AB941" i="20"/>
  <c r="AB383" i="20"/>
  <c r="AB291" i="20"/>
  <c r="AB17" i="20"/>
  <c r="AB500" i="20"/>
  <c r="AB879" i="20"/>
  <c r="AB1872" i="20"/>
  <c r="AB160" i="20"/>
  <c r="AB375" i="20"/>
  <c r="AB768" i="20"/>
  <c r="AB1249" i="20"/>
  <c r="AB1340" i="20"/>
  <c r="AB1341" i="20"/>
  <c r="AB557" i="20"/>
  <c r="AB661" i="20"/>
  <c r="AB452" i="20"/>
  <c r="AB1039" i="20"/>
  <c r="AB425" i="20"/>
  <c r="AB2019" i="20"/>
  <c r="AB1942" i="20"/>
  <c r="W198" i="10"/>
  <c r="AA198" i="10" s="1"/>
  <c r="AB653" i="20"/>
  <c r="AB820" i="20"/>
  <c r="AB2129" i="20"/>
  <c r="AB1977" i="20"/>
  <c r="AB796" i="20"/>
  <c r="AB1114" i="20"/>
  <c r="AB1352" i="20"/>
  <c r="AB1531" i="20"/>
  <c r="AB1897" i="20"/>
  <c r="AB1332" i="20"/>
  <c r="AB1066" i="20"/>
  <c r="AB2053" i="20"/>
  <c r="AB1210" i="20"/>
  <c r="AB1792" i="20"/>
  <c r="AB1949" i="20"/>
  <c r="AB930" i="20"/>
  <c r="AB1883" i="20"/>
  <c r="AB405" i="20"/>
  <c r="AB563" i="20"/>
  <c r="AB1289" i="20"/>
  <c r="AB764" i="20"/>
  <c r="AB730" i="20"/>
  <c r="AB1029" i="20"/>
  <c r="AB1384" i="20"/>
  <c r="AB1371" i="20"/>
  <c r="AB1421" i="20"/>
  <c r="AB1453" i="20"/>
  <c r="AB302" i="20"/>
  <c r="AB1325" i="20"/>
  <c r="AB1448" i="20"/>
  <c r="AB15" i="20"/>
  <c r="AB134" i="20"/>
  <c r="AB585" i="20"/>
  <c r="AB825" i="20"/>
  <c r="AB2063" i="20"/>
  <c r="N106" i="34"/>
  <c r="O106" i="34" s="1"/>
  <c r="AB2100" i="20"/>
  <c r="AB1464" i="20"/>
  <c r="AB1337" i="20"/>
  <c r="S74" i="10"/>
  <c r="T74" i="10" s="1"/>
  <c r="AB1021" i="20"/>
  <c r="AB1401" i="20"/>
  <c r="AB816" i="20"/>
  <c r="AB1677" i="20"/>
  <c r="AB1520" i="20"/>
  <c r="AB869" i="20"/>
  <c r="AB1539" i="20"/>
  <c r="AB2214" i="20"/>
  <c r="AB916" i="20"/>
  <c r="AB1925" i="20"/>
  <c r="AB682" i="20"/>
  <c r="AB1793" i="20"/>
  <c r="AB1950" i="20"/>
  <c r="AB2054" i="20"/>
  <c r="AB1067" i="20"/>
  <c r="AB1211" i="20"/>
  <c r="AB1431" i="20"/>
  <c r="AB1091" i="20"/>
  <c r="AB929" i="20"/>
  <c r="AB1580" i="20"/>
  <c r="AB388" i="20"/>
  <c r="AB706" i="20"/>
  <c r="AB135" i="20"/>
  <c r="AB627" i="20"/>
  <c r="AB31" i="20"/>
  <c r="AB201" i="20"/>
  <c r="AB2137" i="20"/>
  <c r="AB2028" i="20"/>
  <c r="AB1425" i="20"/>
  <c r="AB1336" i="20"/>
  <c r="AB754" i="20"/>
  <c r="AB1511" i="20"/>
  <c r="AB948" i="20"/>
  <c r="AB1898" i="20"/>
  <c r="AB1530" i="20"/>
  <c r="AB1273" i="20"/>
  <c r="AB1723" i="20"/>
  <c r="AB688" i="20"/>
  <c r="AB1046" i="20"/>
  <c r="AB1816" i="20"/>
  <c r="AB1914" i="20"/>
  <c r="AB710" i="20"/>
  <c r="AB950" i="20"/>
  <c r="AB1222" i="20"/>
  <c r="AB1558" i="20"/>
  <c r="AB1644" i="20"/>
  <c r="AB2109" i="20"/>
  <c r="AB1165" i="20"/>
  <c r="AB1063" i="20"/>
  <c r="AB1427" i="20"/>
  <c r="AB518" i="20"/>
  <c r="AB694" i="20"/>
  <c r="AB1207" i="20"/>
  <c r="AB1791" i="20"/>
  <c r="AB1946" i="20"/>
  <c r="AB117" i="20"/>
  <c r="AB224" i="20"/>
  <c r="AB299" i="20"/>
  <c r="AB296" i="20"/>
  <c r="AB316" i="20"/>
  <c r="AB6" i="20"/>
  <c r="AB169" i="20"/>
  <c r="AB184" i="20"/>
  <c r="AB82" i="20"/>
  <c r="AB349" i="20"/>
  <c r="AB241" i="20"/>
  <c r="AB151" i="20"/>
  <c r="AB264" i="20"/>
  <c r="AB909" i="20"/>
  <c r="AB186" i="20"/>
  <c r="AB1023" i="20"/>
  <c r="AB1374" i="20"/>
  <c r="AB1589" i="20"/>
  <c r="AB2008" i="20"/>
  <c r="P6" i="34"/>
  <c r="N77" i="34"/>
  <c r="O77" i="34" s="1"/>
  <c r="Q77" i="34" s="1"/>
  <c r="N21" i="34"/>
  <c r="O21" i="34" s="1"/>
  <c r="AB1861" i="20"/>
  <c r="AB1665" i="20"/>
  <c r="AB919" i="20"/>
  <c r="AB604" i="20"/>
  <c r="AB444" i="20"/>
  <c r="AB578" i="20"/>
  <c r="AB590" i="20"/>
  <c r="AB1255" i="20"/>
  <c r="AB1588" i="20"/>
  <c r="AB1810" i="20"/>
  <c r="AB389" i="20"/>
  <c r="AB699" i="20"/>
  <c r="AB618" i="20"/>
  <c r="AB1773" i="20"/>
  <c r="AB1366" i="20"/>
  <c r="AB907" i="20"/>
  <c r="AB1148" i="20"/>
  <c r="AB306" i="20"/>
  <c r="AB262" i="20"/>
  <c r="AB179" i="20"/>
  <c r="AB1863" i="20"/>
  <c r="AB331" i="20"/>
  <c r="AB885" i="20"/>
  <c r="AB987" i="20"/>
  <c r="AB411" i="20"/>
  <c r="AB197" i="20"/>
  <c r="AB253" i="20"/>
  <c r="AB298" i="20"/>
  <c r="AB133" i="20"/>
  <c r="AB531" i="20"/>
  <c r="AB802" i="20"/>
  <c r="AB351" i="20"/>
  <c r="AB422" i="20"/>
  <c r="AB128" i="20"/>
  <c r="AB594" i="20"/>
  <c r="AB865" i="20"/>
  <c r="AB1261" i="20"/>
  <c r="AB1467" i="20"/>
  <c r="AB213" i="20"/>
  <c r="AB1377" i="20"/>
  <c r="AB1412" i="20"/>
  <c r="AB1742" i="20"/>
  <c r="AB242" i="20"/>
  <c r="AB365" i="20"/>
  <c r="AB308" i="20"/>
  <c r="AB1875" i="20"/>
  <c r="AB738" i="20"/>
  <c r="AB1279" i="20"/>
  <c r="AB1151" i="20"/>
  <c r="AB1364" i="20"/>
  <c r="AB1474" i="20"/>
  <c r="AB1804" i="20"/>
  <c r="AB475" i="20"/>
  <c r="AB1990" i="20"/>
  <c r="AB1232" i="20"/>
  <c r="AB2111" i="20"/>
  <c r="N92" i="34"/>
  <c r="O92" i="34" s="1"/>
  <c r="Q92" i="34" s="1"/>
  <c r="N62" i="34"/>
  <c r="O62" i="34" s="1"/>
  <c r="N34" i="34"/>
  <c r="O34" i="34" s="1"/>
  <c r="Q34" i="34" s="1"/>
  <c r="AB1996" i="20"/>
  <c r="AB1764" i="20"/>
  <c r="AB1581" i="20"/>
  <c r="AB1538" i="20"/>
  <c r="V105" i="10"/>
  <c r="V189" i="10"/>
  <c r="V212" i="10"/>
  <c r="V69" i="10"/>
  <c r="V36" i="10"/>
  <c r="V182" i="10"/>
  <c r="W182" i="10" s="1"/>
  <c r="AB993" i="20"/>
  <c r="AB1541" i="20"/>
  <c r="AB1905" i="20"/>
  <c r="AB2130" i="20"/>
  <c r="AB2159" i="20"/>
  <c r="AB1099" i="20"/>
  <c r="AB813" i="20"/>
  <c r="AB913" i="20"/>
  <c r="AB872" i="20"/>
  <c r="AB1522" i="20"/>
  <c r="AB1680" i="20"/>
  <c r="AB1668" i="20"/>
  <c r="AB2081" i="20"/>
  <c r="AB1550" i="20"/>
  <c r="AB2217" i="20"/>
  <c r="AB669" i="20"/>
  <c r="AB1707" i="20"/>
  <c r="AB1785" i="20"/>
  <c r="AB1934" i="20"/>
  <c r="AB1434" i="20"/>
  <c r="AB2038" i="20"/>
  <c r="AB937" i="20"/>
  <c r="AB1662" i="20"/>
  <c r="AB1455" i="20"/>
  <c r="AB2156" i="20"/>
  <c r="AB671" i="20"/>
  <c r="AB1714" i="20"/>
  <c r="AB1103" i="20"/>
  <c r="AB2085" i="20"/>
  <c r="AB502" i="20"/>
  <c r="AB1604" i="20"/>
  <c r="AB602" i="20"/>
  <c r="AB2152" i="20"/>
  <c r="AB878" i="20"/>
  <c r="AB386" i="20"/>
  <c r="AB1248" i="20"/>
  <c r="AB767" i="20"/>
  <c r="AB2018" i="20"/>
  <c r="AB1470" i="20"/>
  <c r="AB1761" i="20"/>
  <c r="AB559" i="20"/>
  <c r="AB662" i="20"/>
  <c r="AB1131" i="20"/>
  <c r="AB1318" i="20"/>
  <c r="AB826" i="20"/>
  <c r="AB817" i="20"/>
  <c r="AB261" i="20"/>
  <c r="AB1331" i="20"/>
  <c r="AB1738" i="20"/>
  <c r="AB1902" i="20"/>
  <c r="AB1979" i="20"/>
  <c r="AB1174" i="20"/>
  <c r="AB650" i="20"/>
  <c r="AB275" i="20"/>
  <c r="AB2116" i="20"/>
  <c r="AB976" i="20"/>
  <c r="AB1504" i="20"/>
  <c r="AB320" i="20"/>
  <c r="AB254" i="20"/>
  <c r="AB593" i="20"/>
  <c r="AB1231" i="20"/>
  <c r="AB127" i="20"/>
  <c r="AB864" i="20"/>
  <c r="AB533" i="20"/>
  <c r="AB1597" i="20"/>
  <c r="AB2199" i="20"/>
  <c r="AB1150" i="20"/>
  <c r="AB1992" i="20"/>
  <c r="AB307" i="20"/>
  <c r="AB1280" i="20"/>
  <c r="AB1378" i="20"/>
  <c r="AB1468" i="20"/>
  <c r="AB1744" i="20"/>
  <c r="AB801" i="20"/>
  <c r="AB2113" i="20"/>
  <c r="AB131" i="20"/>
  <c r="AB1855" i="20"/>
  <c r="AB1496" i="20"/>
  <c r="AB1515" i="20"/>
  <c r="AB1575" i="20"/>
  <c r="AB1411" i="20"/>
  <c r="AB473" i="20"/>
  <c r="AB737" i="20"/>
  <c r="AB663" i="20"/>
  <c r="AB255" i="20"/>
  <c r="AB332" i="20"/>
  <c r="AB576" i="20"/>
  <c r="AB965" i="20"/>
  <c r="AB1385" i="20"/>
  <c r="AB2059" i="20"/>
  <c r="AB478" i="20"/>
  <c r="AB416" i="20"/>
  <c r="AB237" i="20"/>
  <c r="AB397" i="20"/>
  <c r="AB985" i="20"/>
  <c r="AB1139" i="20"/>
  <c r="AB249" i="20"/>
  <c r="AB1834" i="20"/>
  <c r="AB1298" i="20"/>
  <c r="AB496" i="20"/>
  <c r="AB1612" i="20"/>
  <c r="AB56" i="20"/>
  <c r="AB1006" i="20"/>
  <c r="AB1178" i="20"/>
  <c r="AB2090" i="20"/>
  <c r="AB2134" i="20"/>
  <c r="AB42" i="20"/>
  <c r="AB1745" i="20"/>
  <c r="AB1123" i="20"/>
  <c r="AB193" i="20"/>
  <c r="AB11" i="20"/>
  <c r="AB1018" i="20"/>
  <c r="AB852" i="20"/>
  <c r="AB510" i="20"/>
  <c r="V167" i="10"/>
  <c r="W167" i="10" s="1"/>
  <c r="S155" i="10"/>
  <c r="S37" i="10"/>
  <c r="T37" i="10" s="1"/>
  <c r="AB873" i="20"/>
  <c r="AB994" i="20"/>
  <c r="AB1681" i="20"/>
  <c r="AB912" i="20"/>
  <c r="AB1100" i="20"/>
  <c r="AB1542" i="20"/>
  <c r="AB2082" i="20"/>
  <c r="AB2218" i="20"/>
  <c r="AB812" i="20"/>
  <c r="AB1551" i="20"/>
  <c r="AB2158" i="20"/>
  <c r="AB977" i="20"/>
  <c r="AB1669" i="20"/>
  <c r="AB652" i="20"/>
  <c r="AB1077" i="20"/>
  <c r="AB821" i="20"/>
  <c r="AB1889" i="20"/>
  <c r="AB1899" i="20"/>
  <c r="AB1978" i="20"/>
  <c r="AB797" i="20"/>
  <c r="AB1113" i="20"/>
  <c r="AB2128" i="20"/>
  <c r="AB1868" i="20"/>
  <c r="AB1532" i="20"/>
  <c r="AB1105" i="20"/>
  <c r="AB876" i="20"/>
  <c r="AB1020" i="20"/>
  <c r="AB1954" i="20"/>
  <c r="AB824" i="20"/>
  <c r="AB1243" i="20"/>
  <c r="AB606" i="20"/>
  <c r="AB281" i="20"/>
  <c r="AB892" i="20"/>
  <c r="AB1526" i="20"/>
  <c r="AB631" i="20"/>
  <c r="AB1770" i="20"/>
  <c r="AB1846" i="20"/>
  <c r="AB2206" i="20"/>
  <c r="AB1176" i="20"/>
  <c r="AB534" i="20"/>
  <c r="AB809" i="20"/>
  <c r="AB1506" i="20"/>
  <c r="AB1968" i="20"/>
  <c r="AB432" i="20"/>
  <c r="AB162" i="20"/>
  <c r="AB470" i="20"/>
  <c r="AB1149" i="20"/>
  <c r="AB1513" i="20"/>
  <c r="AB633" i="20"/>
  <c r="AB1120" i="20"/>
  <c r="AB2208" i="20"/>
  <c r="AB955" i="20"/>
  <c r="AB484" i="20"/>
  <c r="AB1845" i="20"/>
  <c r="N90" i="34"/>
  <c r="O90" i="34" s="1"/>
  <c r="J48" i="34"/>
  <c r="L48" i="34" s="1"/>
  <c r="AB2219" i="20"/>
  <c r="AB2162" i="20"/>
  <c r="AB1330" i="20"/>
  <c r="AB1096" i="20"/>
  <c r="AB899" i="20"/>
  <c r="AB584" i="20"/>
  <c r="AB508" i="20"/>
  <c r="V177" i="10"/>
  <c r="V185" i="10"/>
  <c r="W185" i="10" s="1"/>
  <c r="AA185" i="10" s="1"/>
  <c r="V98" i="10"/>
  <c r="V72" i="10"/>
  <c r="W72" i="10" s="1"/>
  <c r="AA72" i="10" s="1"/>
  <c r="V53" i="10"/>
  <c r="V34" i="10"/>
  <c r="W34" i="10" s="1"/>
  <c r="AA34" i="10" s="1"/>
  <c r="V15" i="10"/>
  <c r="W15" i="10" s="1"/>
  <c r="V7" i="10"/>
  <c r="W7" i="10" s="1"/>
  <c r="AA7" i="10" s="1"/>
  <c r="S203" i="10"/>
  <c r="S194" i="10"/>
  <c r="S104" i="10"/>
  <c r="T104" i="10" s="1"/>
  <c r="S162" i="10"/>
  <c r="S109" i="10"/>
  <c r="T109" i="10" s="1"/>
  <c r="S5" i="10"/>
  <c r="T5" i="10" s="1"/>
  <c r="AB1359" i="20"/>
  <c r="AB1322" i="20"/>
  <c r="AB637" i="20"/>
  <c r="AB487" i="20"/>
  <c r="AB1233" i="20"/>
  <c r="AB1800" i="20"/>
  <c r="AB1658" i="20"/>
  <c r="AB467" i="20"/>
  <c r="AB1002" i="20"/>
  <c r="AB1456" i="20"/>
  <c r="AB1670" i="20"/>
  <c r="AB2172" i="20"/>
  <c r="AB1398" i="20"/>
  <c r="AB460" i="20"/>
  <c r="AB1971" i="20"/>
  <c r="AB343" i="20"/>
  <c r="AB300" i="20"/>
  <c r="AB759" i="20"/>
  <c r="AB481" i="20"/>
  <c r="AB378" i="20"/>
  <c r="AB364" i="20"/>
  <c r="AB544" i="20"/>
  <c r="AB276" i="20"/>
  <c r="AB1033" i="20"/>
  <c r="AB1894" i="20"/>
  <c r="AB805" i="20"/>
  <c r="AB910" i="20"/>
  <c r="AB2087" i="20"/>
  <c r="AB741" i="20"/>
  <c r="AB1326" i="20"/>
  <c r="AB1348" i="20"/>
  <c r="AB1819" i="20"/>
  <c r="AB1921" i="20"/>
  <c r="AB2131" i="20"/>
  <c r="AB1746" i="20"/>
  <c r="AB1509" i="20"/>
  <c r="AB222" i="20"/>
  <c r="AB209" i="20"/>
  <c r="AB333" i="20"/>
  <c r="AB233" i="20"/>
  <c r="AB395" i="20"/>
  <c r="AB355" i="20"/>
  <c r="AB98" i="20"/>
  <c r="AB182" i="20"/>
  <c r="AB356" i="20"/>
  <c r="AB53" i="20"/>
  <c r="AB88" i="20"/>
  <c r="AB153" i="20"/>
  <c r="AB677" i="20"/>
  <c r="AB859" i="20"/>
  <c r="AB25" i="20"/>
  <c r="AB981" i="20"/>
  <c r="AB1054" i="20"/>
  <c r="AB1198" i="20"/>
  <c r="AB1442" i="20"/>
  <c r="AB152" i="20"/>
  <c r="AB376" i="20"/>
  <c r="AB238" i="20"/>
  <c r="AB284" i="20"/>
  <c r="AB523" i="20"/>
  <c r="AB297" i="20"/>
  <c r="AB501" i="20"/>
  <c r="AB245" i="20"/>
  <c r="AB880" i="20"/>
  <c r="AB8" i="20"/>
  <c r="AB424" i="20"/>
  <c r="AB558" i="20"/>
  <c r="AB1983" i="20"/>
  <c r="AB769" i="20"/>
  <c r="AB1250" i="20"/>
  <c r="AB2020" i="20"/>
  <c r="AB1319" i="20"/>
  <c r="AB1386" i="20"/>
  <c r="AB230" i="20"/>
  <c r="AB933" i="20"/>
  <c r="AB1040" i="20"/>
  <c r="AB1618" i="20"/>
  <c r="AB447" i="20"/>
  <c r="AB660" i="20"/>
  <c r="AB1873" i="20"/>
  <c r="AB218" i="20"/>
  <c r="AB1490" i="20"/>
  <c r="P61" i="34"/>
  <c r="R61" i="34" s="1"/>
  <c r="N64" i="34"/>
  <c r="O64" i="34" s="1"/>
  <c r="AB2120" i="20"/>
  <c r="AB2015" i="20"/>
  <c r="AB1982" i="20"/>
  <c r="AB1712" i="20"/>
  <c r="AB1567" i="20"/>
  <c r="AB1092" i="20"/>
  <c r="AB891" i="20"/>
  <c r="AB846" i="20"/>
  <c r="AB645" i="20"/>
  <c r="S119" i="10"/>
  <c r="T119" i="10" s="1"/>
  <c r="S123" i="10"/>
  <c r="AB952" i="20"/>
  <c r="AB1008" i="20"/>
  <c r="AB1583" i="20"/>
  <c r="AB1751" i="20"/>
  <c r="AB613" i="20"/>
  <c r="AB1344" i="20"/>
  <c r="AB1227" i="20"/>
  <c r="AB1125" i="20"/>
  <c r="AB1777" i="20"/>
  <c r="AB1561" i="20"/>
  <c r="AB1115" i="20"/>
  <c r="AB1155" i="20"/>
  <c r="AB2133" i="20"/>
  <c r="AB519" i="20"/>
  <c r="AB665" i="20"/>
  <c r="AB1783" i="20"/>
  <c r="AB1071" i="20"/>
  <c r="AB1935" i="20"/>
  <c r="AB2039" i="20"/>
  <c r="AB1192" i="20"/>
  <c r="AB1436" i="20"/>
  <c r="AB2031" i="20"/>
  <c r="AB360" i="20"/>
  <c r="AB420" i="20"/>
  <c r="AB243" i="20"/>
  <c r="AB1287" i="20"/>
  <c r="AB577" i="20"/>
  <c r="AB729" i="20"/>
  <c r="AB1647" i="20"/>
  <c r="AB353" i="20"/>
  <c r="AB512" i="20"/>
  <c r="AB1246" i="20"/>
  <c r="AB1027" i="20"/>
  <c r="AB379" i="20"/>
  <c r="AB346" i="20"/>
  <c r="AB2197" i="20"/>
  <c r="AB123" i="20"/>
  <c r="AB804" i="20"/>
  <c r="AB263" i="20"/>
  <c r="AB1230" i="20"/>
  <c r="AB1656" i="20"/>
  <c r="AB1013" i="20"/>
  <c r="AB1772" i="20"/>
  <c r="AB1505" i="20"/>
  <c r="AB887" i="20"/>
  <c r="AB415" i="20"/>
  <c r="AB172" i="20"/>
  <c r="AB1138" i="20"/>
  <c r="AB543" i="20"/>
  <c r="AB986" i="20"/>
  <c r="AB141" i="20"/>
  <c r="AB1297" i="20"/>
  <c r="AB94" i="20"/>
  <c r="AB330" i="20"/>
  <c r="AB1610" i="20"/>
  <c r="AB583" i="20"/>
  <c r="AB1065" i="20"/>
  <c r="AB1429" i="20"/>
  <c r="AB1948" i="20"/>
  <c r="AB2052" i="20"/>
  <c r="AB718" i="20"/>
  <c r="AB1209" i="20"/>
  <c r="AB71" i="20"/>
  <c r="AB843" i="20"/>
  <c r="AB679" i="20"/>
  <c r="AB1781" i="20"/>
  <c r="AB52" i="20"/>
  <c r="AB62" i="20"/>
  <c r="AB334" i="20"/>
  <c r="AB390" i="20"/>
  <c r="AB579" i="20"/>
  <c r="AB164" i="20"/>
  <c r="AB350" i="20"/>
  <c r="AB1147" i="20"/>
  <c r="AB7" i="20"/>
  <c r="AB458" i="20"/>
  <c r="AB214" i="20"/>
  <c r="AB1136" i="20"/>
  <c r="AB1423" i="20"/>
  <c r="AB1844" i="20"/>
  <c r="AB2069" i="20"/>
  <c r="AB905" i="20"/>
  <c r="AB736" i="20"/>
  <c r="AB95" i="20"/>
  <c r="AB1832" i="20"/>
  <c r="AB1288" i="20"/>
  <c r="AB1483" i="20"/>
  <c r="AB1041" i="20"/>
  <c r="Y105" i="10"/>
  <c r="Z105" i="10" s="1"/>
  <c r="V49" i="10"/>
  <c r="Z239" i="10"/>
  <c r="S80" i="10"/>
  <c r="T80" i="10" s="1"/>
  <c r="S28" i="10"/>
  <c r="T28" i="10" s="1"/>
  <c r="S9" i="10"/>
  <c r="T9" i="10" s="1"/>
  <c r="S154" i="10"/>
  <c r="T154" i="10" s="1"/>
  <c r="S248" i="10"/>
  <c r="V91" i="10"/>
  <c r="S192" i="10"/>
  <c r="S86" i="10"/>
  <c r="T86" i="10" s="1"/>
  <c r="S75" i="10"/>
  <c r="T75" i="10" s="1"/>
  <c r="V207" i="10"/>
  <c r="S214" i="10"/>
  <c r="S18" i="10"/>
  <c r="T18" i="10" s="1"/>
  <c r="V122" i="10"/>
  <c r="AB668" i="20"/>
  <c r="AB1798" i="20"/>
  <c r="AB520" i="20"/>
  <c r="AB861" i="20"/>
  <c r="AB1440" i="20"/>
  <c r="AB1074" i="20"/>
  <c r="AB1195" i="20"/>
  <c r="AB667" i="20"/>
  <c r="AB848" i="20"/>
  <c r="AB1439" i="20"/>
  <c r="AB1194" i="20"/>
  <c r="AB1073" i="20"/>
  <c r="AB1938" i="20"/>
  <c r="AB522" i="20"/>
  <c r="AB2042" i="20"/>
  <c r="AB639" i="20"/>
  <c r="AB725" i="20"/>
  <c r="AB428" i="20"/>
  <c r="AB434" i="20"/>
  <c r="AB1953" i="20"/>
  <c r="AB893" i="20"/>
  <c r="AB1177" i="20"/>
  <c r="AB1527" i="20"/>
  <c r="AB1969" i="20"/>
  <c r="AB632" i="20"/>
  <c r="AB808" i="20"/>
  <c r="AB1771" i="20"/>
  <c r="AB535" i="20"/>
  <c r="AB1507" i="20"/>
  <c r="AB537" i="20"/>
  <c r="AB1725" i="20"/>
  <c r="AB1776" i="20"/>
  <c r="AB906" i="20"/>
  <c r="AB1012" i="20"/>
  <c r="AB2190" i="20"/>
  <c r="AB1577" i="20"/>
  <c r="AB2013" i="20"/>
  <c r="AB1368" i="20"/>
  <c r="AB211" i="20"/>
  <c r="AB775" i="20"/>
  <c r="AB118" i="20"/>
  <c r="AB1189" i="20"/>
  <c r="AB1303" i="20"/>
  <c r="AB1887" i="20"/>
  <c r="AB235" i="20"/>
  <c r="AB648" i="20"/>
  <c r="AB932" i="20"/>
  <c r="AB1486" i="20"/>
  <c r="AB1715" i="20"/>
  <c r="AB1754" i="20"/>
  <c r="AB2195" i="20"/>
  <c r="AB180" i="20"/>
  <c r="AB99" i="20"/>
  <c r="AB207" i="20"/>
  <c r="AB359" i="20"/>
  <c r="AB435" i="20"/>
  <c r="AB465" i="20"/>
  <c r="AB494" i="20"/>
  <c r="AB901" i="20"/>
  <c r="AB205" i="20"/>
  <c r="AB369" i="20"/>
  <c r="AB774" i="20"/>
  <c r="AB1765" i="20"/>
  <c r="AB1390" i="20"/>
  <c r="AB90" i="20"/>
  <c r="AB1264" i="20"/>
  <c r="AB142" i="20"/>
  <c r="AB173" i="20"/>
  <c r="AB202" i="20"/>
  <c r="AB1487" i="20"/>
  <c r="AB312" i="20"/>
  <c r="AB2032" i="20"/>
  <c r="AB324" i="20"/>
  <c r="AB601" i="20"/>
  <c r="AB407" i="20"/>
  <c r="AB129" i="20"/>
  <c r="AB453" i="20"/>
  <c r="AB1007" i="20"/>
  <c r="AB743" i="20"/>
  <c r="AB1415" i="20"/>
  <c r="AB1625" i="20"/>
  <c r="AB1695" i="20"/>
  <c r="AB347" i="20"/>
  <c r="AB896" i="20"/>
  <c r="AB1328" i="20"/>
  <c r="AB1392" i="20"/>
  <c r="AB1874" i="20"/>
  <c r="AB1904" i="20"/>
  <c r="AB884" i="20"/>
  <c r="AB1117" i="20"/>
  <c r="AB1158" i="20"/>
  <c r="AB2174" i="20"/>
  <c r="AB1154" i="20"/>
  <c r="AB1655" i="20"/>
  <c r="AB1185" i="20"/>
  <c r="AB1256" i="20"/>
  <c r="AB417" i="20"/>
  <c r="AB1179" i="20"/>
  <c r="AB2104" i="20"/>
  <c r="AB49" i="20"/>
  <c r="AB1775" i="20"/>
  <c r="AB476" i="20"/>
  <c r="AB35" i="20"/>
  <c r="AB592" i="20"/>
  <c r="AB2213" i="20"/>
  <c r="AB1052" i="20"/>
  <c r="AB1842" i="20"/>
  <c r="AB799" i="20"/>
  <c r="AB1118" i="20"/>
  <c r="AB1574" i="20"/>
  <c r="AB309" i="20"/>
  <c r="AB1229" i="20"/>
  <c r="AB1693" i="20"/>
  <c r="AB1181" i="20"/>
  <c r="AB130" i="20"/>
  <c r="AB449" i="20"/>
  <c r="AB528" i="20"/>
  <c r="AB1595" i="20"/>
  <c r="AB957" i="20"/>
  <c r="AB1502" i="20"/>
  <c r="AB1808" i="20"/>
  <c r="AB1878" i="20"/>
  <c r="AB358" i="20"/>
  <c r="AB20" i="20"/>
  <c r="AB455" i="20"/>
  <c r="AB1611" i="20"/>
  <c r="AB371" i="20"/>
  <c r="AB836" i="20"/>
  <c r="AB566" i="20"/>
  <c r="AB1757" i="20"/>
  <c r="AB63" i="20"/>
  <c r="AB236" i="20"/>
  <c r="AB250" i="20"/>
  <c r="AB292" i="20"/>
  <c r="AB177" i="20"/>
  <c r="AB223" i="20"/>
  <c r="AB4" i="20"/>
  <c r="AB57" i="20"/>
  <c r="AB1132" i="20"/>
  <c r="AB119" i="20"/>
  <c r="AB2202" i="20"/>
  <c r="AB2146" i="20"/>
  <c r="AB2110" i="20"/>
  <c r="AB2077" i="20"/>
  <c r="AB2005" i="20"/>
  <c r="AB1951" i="20"/>
  <c r="AB1910" i="20"/>
  <c r="AB1882" i="20"/>
  <c r="AB1825" i="20"/>
  <c r="AB1787" i="20"/>
  <c r="AB1703" i="20"/>
  <c r="AB1676" i="20"/>
  <c r="AB1630" i="20"/>
  <c r="AB1600" i="20"/>
  <c r="AB1548" i="20"/>
  <c r="AB1473" i="20"/>
  <c r="AB1438" i="20"/>
  <c r="AB1402" i="20"/>
  <c r="AB1350" i="20"/>
  <c r="AB1307" i="20"/>
  <c r="AB1260" i="20"/>
  <c r="AB1212" i="20"/>
  <c r="AB1170" i="20"/>
  <c r="AB1048" i="20"/>
  <c r="AB996" i="20"/>
  <c r="AB940" i="20"/>
  <c r="AB882" i="20"/>
  <c r="AB760" i="20"/>
  <c r="AB692" i="20"/>
  <c r="AB552" i="20"/>
  <c r="AB477" i="20"/>
  <c r="AB382" i="20"/>
  <c r="AB257" i="20"/>
  <c r="AB157" i="20"/>
  <c r="AB14" i="20"/>
  <c r="N38" i="34"/>
  <c r="O38" i="34" s="1"/>
  <c r="M95" i="34"/>
  <c r="M43" i="34"/>
  <c r="L23" i="34"/>
  <c r="L37" i="34"/>
  <c r="L4" i="34"/>
  <c r="L8" i="34"/>
  <c r="N71" i="34"/>
  <c r="O71" i="34" s="1"/>
  <c r="N57" i="34"/>
  <c r="O57" i="34" s="1"/>
  <c r="N125" i="34"/>
  <c r="O125" i="34" s="1"/>
  <c r="Q125" i="34" s="1"/>
  <c r="M39" i="34"/>
  <c r="L56" i="34"/>
  <c r="N123" i="34"/>
  <c r="O123" i="34" s="1"/>
  <c r="N9" i="34"/>
  <c r="O9" i="34" s="1"/>
  <c r="M38" i="34"/>
  <c r="N122" i="34"/>
  <c r="O122" i="34" s="1"/>
  <c r="N93" i="34"/>
  <c r="O93" i="34" s="1"/>
  <c r="Q93" i="34" s="1"/>
  <c r="N8" i="34"/>
  <c r="O8" i="34" s="1"/>
  <c r="L92" i="34"/>
  <c r="L132" i="34"/>
  <c r="L79" i="34"/>
  <c r="J33" i="34"/>
  <c r="L33" i="34" s="1"/>
  <c r="L126" i="34"/>
  <c r="N28" i="34"/>
  <c r="O28" i="34" s="1"/>
  <c r="N25" i="34"/>
  <c r="O25" i="34" s="1"/>
  <c r="L94" i="34"/>
  <c r="N137" i="34"/>
  <c r="O137" i="34" s="1"/>
  <c r="N111" i="34"/>
  <c r="O111" i="34" s="1"/>
  <c r="N79" i="34"/>
  <c r="O79" i="34" s="1"/>
  <c r="N45" i="34"/>
  <c r="O45" i="34" s="1"/>
  <c r="Q45" i="34" s="1"/>
  <c r="N24" i="34"/>
  <c r="O24" i="34" s="1"/>
  <c r="Q24" i="34" s="1"/>
  <c r="M80" i="34"/>
  <c r="L119" i="34"/>
  <c r="J69" i="34"/>
  <c r="L69" i="34" s="1"/>
  <c r="N75" i="34"/>
  <c r="O75" i="34" s="1"/>
  <c r="L137" i="34"/>
  <c r="L95" i="34"/>
  <c r="N80" i="34"/>
  <c r="O80" i="34" s="1"/>
  <c r="M136" i="34"/>
  <c r="N136" i="34"/>
  <c r="O136" i="34" s="1"/>
  <c r="N109" i="34"/>
  <c r="O109" i="34" s="1"/>
  <c r="Q109" i="34" s="1"/>
  <c r="N78" i="34"/>
  <c r="O78" i="34" s="1"/>
  <c r="N44" i="34"/>
  <c r="O44" i="34" s="1"/>
  <c r="Q44" i="34" s="1"/>
  <c r="N23" i="34"/>
  <c r="O23" i="34" s="1"/>
  <c r="L118" i="34"/>
  <c r="L43" i="34"/>
  <c r="L22" i="34"/>
  <c r="L64" i="34"/>
  <c r="L57" i="34"/>
  <c r="L87" i="34"/>
  <c r="N29" i="34"/>
  <c r="O29" i="34" s="1"/>
  <c r="L81" i="34"/>
  <c r="L70" i="34"/>
  <c r="N50" i="34"/>
  <c r="O50" i="34" s="1"/>
  <c r="N108" i="34"/>
  <c r="O108" i="34" s="1"/>
  <c r="Q108" i="34" s="1"/>
  <c r="M76" i="34"/>
  <c r="N19" i="34"/>
  <c r="O19" i="34" s="1"/>
  <c r="N5" i="34"/>
  <c r="O5" i="34" s="1"/>
  <c r="L65" i="34"/>
  <c r="J42" i="34"/>
  <c r="L42" i="34" s="1"/>
  <c r="L21" i="34"/>
  <c r="L20" i="34"/>
  <c r="J128" i="34"/>
  <c r="L128" i="34" s="1"/>
  <c r="N128" i="34"/>
  <c r="O128" i="34" s="1"/>
  <c r="J131" i="34"/>
  <c r="L131" i="34" s="1"/>
  <c r="N131" i="34"/>
  <c r="O131" i="34" s="1"/>
  <c r="N102" i="34"/>
  <c r="O102" i="34" s="1"/>
  <c r="N74" i="34"/>
  <c r="O74" i="34" s="1"/>
  <c r="L46" i="34"/>
  <c r="N18" i="34"/>
  <c r="O18" i="34" s="1"/>
  <c r="J18" i="34"/>
  <c r="L18" i="34" s="1"/>
  <c r="J101" i="34"/>
  <c r="L101" i="34" s="1"/>
  <c r="N101" i="34"/>
  <c r="O101" i="34" s="1"/>
  <c r="N73" i="34"/>
  <c r="O73" i="34" s="1"/>
  <c r="L45" i="34"/>
  <c r="L17" i="34"/>
  <c r="N114" i="34"/>
  <c r="O114" i="34" s="1"/>
  <c r="J114" i="34"/>
  <c r="L114" i="34" s="1"/>
  <c r="N72" i="34"/>
  <c r="O72" i="34" s="1"/>
  <c r="Q72" i="34" s="1"/>
  <c r="L44" i="34"/>
  <c r="N2" i="34"/>
  <c r="O2" i="34" s="1"/>
  <c r="J2" i="34"/>
  <c r="L2" i="34" s="1"/>
  <c r="R125" i="34"/>
  <c r="N127" i="34"/>
  <c r="O127" i="34" s="1"/>
  <c r="J127" i="34"/>
  <c r="L127" i="34" s="1"/>
  <c r="N99" i="34"/>
  <c r="O99" i="34" s="1"/>
  <c r="J99" i="34"/>
  <c r="L99" i="34" s="1"/>
  <c r="N98" i="34"/>
  <c r="O98" i="34" s="1"/>
  <c r="J98" i="34"/>
  <c r="L98" i="34" s="1"/>
  <c r="N61" i="34"/>
  <c r="O61" i="34" s="1"/>
  <c r="J71" i="34"/>
  <c r="L71" i="34" s="1"/>
  <c r="N60" i="34"/>
  <c r="O60" i="34" s="1"/>
  <c r="Q60" i="34" s="1"/>
  <c r="N17" i="34"/>
  <c r="O17" i="34" s="1"/>
  <c r="Q17" i="34" s="1"/>
  <c r="N16" i="34"/>
  <c r="O16" i="34" s="1"/>
  <c r="J89" i="34"/>
  <c r="L89" i="34" s="1"/>
  <c r="N130" i="34"/>
  <c r="O130" i="34" s="1"/>
  <c r="J130" i="34"/>
  <c r="L130" i="34" s="1"/>
  <c r="N115" i="34"/>
  <c r="O115" i="34" s="1"/>
  <c r="J115" i="34"/>
  <c r="L115" i="34" s="1"/>
  <c r="Q84" i="34"/>
  <c r="N32" i="34"/>
  <c r="O32" i="34" s="1"/>
  <c r="R100" i="34"/>
  <c r="R30" i="34"/>
  <c r="J116" i="34"/>
  <c r="L116" i="34" s="1"/>
  <c r="N116" i="34"/>
  <c r="O116" i="34" s="1"/>
  <c r="Q116" i="34" s="1"/>
  <c r="N129" i="34"/>
  <c r="O129" i="34" s="1"/>
  <c r="J129" i="34"/>
  <c r="L129" i="34" s="1"/>
  <c r="J100" i="34"/>
  <c r="L100" i="34" s="1"/>
  <c r="N100" i="34"/>
  <c r="O100" i="34" s="1"/>
  <c r="Q100" i="34" s="1"/>
  <c r="R116" i="34"/>
  <c r="R88" i="34"/>
  <c r="R60" i="34"/>
  <c r="N47" i="34"/>
  <c r="O47" i="34" s="1"/>
  <c r="N31" i="34"/>
  <c r="O31" i="34" s="1"/>
  <c r="R72" i="34"/>
  <c r="R44" i="34"/>
  <c r="N117" i="34"/>
  <c r="O117" i="34" s="1"/>
  <c r="J117" i="34"/>
  <c r="L117" i="34" s="1"/>
  <c r="N88" i="34"/>
  <c r="O88" i="34" s="1"/>
  <c r="Q88" i="34" s="1"/>
  <c r="L60" i="34"/>
  <c r="L32" i="34"/>
  <c r="N4" i="34"/>
  <c r="O4" i="34" s="1"/>
  <c r="Q4" i="34" s="1"/>
  <c r="N87" i="34"/>
  <c r="O87" i="34" s="1"/>
  <c r="N59" i="34"/>
  <c r="O59" i="34" s="1"/>
  <c r="L31" i="34"/>
  <c r="J3" i="34"/>
  <c r="L3" i="34" s="1"/>
  <c r="N3" i="34"/>
  <c r="O3" i="34" s="1"/>
  <c r="Q3" i="34" s="1"/>
  <c r="J103" i="34"/>
  <c r="L103" i="34" s="1"/>
  <c r="J74" i="34"/>
  <c r="L74" i="34" s="1"/>
  <c r="N86" i="34"/>
  <c r="O86" i="34" s="1"/>
  <c r="N58" i="34"/>
  <c r="O58" i="34" s="1"/>
  <c r="L30" i="34"/>
  <c r="L16" i="34"/>
  <c r="J102" i="34"/>
  <c r="L102" i="34" s="1"/>
  <c r="J73" i="34"/>
  <c r="L73" i="34" s="1"/>
  <c r="N113" i="34"/>
  <c r="O113" i="34" s="1"/>
  <c r="J113" i="34"/>
  <c r="L113" i="34" s="1"/>
  <c r="J85" i="34"/>
  <c r="L85" i="34" s="1"/>
  <c r="N85" i="34"/>
  <c r="O85" i="34" s="1"/>
  <c r="Q25" i="34"/>
  <c r="J72" i="34"/>
  <c r="L72" i="34" s="1"/>
  <c r="N112" i="34"/>
  <c r="O112" i="34" s="1"/>
  <c r="J112" i="34"/>
  <c r="L112" i="34" s="1"/>
  <c r="J84" i="34"/>
  <c r="L84" i="34" s="1"/>
  <c r="N84" i="34"/>
  <c r="O84" i="34" s="1"/>
  <c r="R45" i="34"/>
  <c r="N46" i="34"/>
  <c r="O46" i="34" s="1"/>
  <c r="N30" i="34"/>
  <c r="O30" i="34" s="1"/>
  <c r="Q30" i="34" s="1"/>
  <c r="J59" i="34"/>
  <c r="L59" i="34" s="1"/>
  <c r="N55" i="34"/>
  <c r="O55" i="34" s="1"/>
  <c r="N27" i="34"/>
  <c r="O27" i="34" s="1"/>
  <c r="N96" i="34"/>
  <c r="O96" i="34" s="1"/>
  <c r="N54" i="34"/>
  <c r="O54" i="34" s="1"/>
  <c r="N40" i="34"/>
  <c r="O40" i="34" s="1"/>
  <c r="N26" i="34"/>
  <c r="O26" i="34" s="1"/>
  <c r="Q52" i="34"/>
  <c r="Q10" i="34"/>
  <c r="N22" i="34"/>
  <c r="O22" i="34" s="1"/>
  <c r="J82" i="34"/>
  <c r="L82" i="34" s="1"/>
  <c r="N53" i="34"/>
  <c r="O53" i="34" s="1"/>
  <c r="J97" i="34"/>
  <c r="L97" i="34" s="1"/>
  <c r="L47" i="34"/>
  <c r="L19" i="34"/>
  <c r="N124" i="34"/>
  <c r="O124" i="34" s="1"/>
  <c r="Q124" i="34" s="1"/>
  <c r="J96" i="34"/>
  <c r="L96" i="34" s="1"/>
  <c r="R25" i="34"/>
  <c r="R10" i="34"/>
  <c r="N83" i="34"/>
  <c r="O83" i="34" s="1"/>
  <c r="N67" i="34"/>
  <c r="O67" i="34" s="1"/>
  <c r="N51" i="34"/>
  <c r="O51" i="34" s="1"/>
  <c r="N41" i="34"/>
  <c r="O41" i="34" s="1"/>
  <c r="N13" i="34"/>
  <c r="O13" i="34" s="1"/>
  <c r="N110" i="34"/>
  <c r="O110" i="34" s="1"/>
  <c r="N68" i="34"/>
  <c r="O68" i="34" s="1"/>
  <c r="Q68" i="34" s="1"/>
  <c r="N12" i="34"/>
  <c r="O12" i="34" s="1"/>
  <c r="R24" i="34"/>
  <c r="N81" i="34"/>
  <c r="O81" i="34" s="1"/>
  <c r="N66" i="34"/>
  <c r="O66" i="34" s="1"/>
  <c r="J110" i="34"/>
  <c r="L110" i="34" s="1"/>
  <c r="J12" i="34"/>
  <c r="L12" i="34" s="1"/>
  <c r="V131" i="10"/>
  <c r="W131" i="10" s="1"/>
  <c r="X247" i="10"/>
  <c r="AA247" i="10"/>
  <c r="S45" i="10"/>
  <c r="T45" i="10" s="1"/>
  <c r="S110" i="10"/>
  <c r="T110" i="10" s="1"/>
  <c r="W147" i="10"/>
  <c r="X147" i="10" s="1"/>
  <c r="S122" i="10"/>
  <c r="T122" i="10" s="1"/>
  <c r="S90" i="10"/>
  <c r="T90" i="10" s="1"/>
  <c r="S108" i="10"/>
  <c r="T108" i="10" s="1"/>
  <c r="Y108" i="10"/>
  <c r="Z108" i="10" s="1"/>
  <c r="S97" i="10"/>
  <c r="T97" i="10" s="1"/>
  <c r="Y128" i="10"/>
  <c r="Z128" i="10" s="1"/>
  <c r="W165" i="10"/>
  <c r="AA165" i="10" s="1"/>
  <c r="W120" i="10"/>
  <c r="S149" i="10"/>
  <c r="T149" i="10" s="1"/>
  <c r="P238" i="10"/>
  <c r="W124" i="10"/>
  <c r="AA124" i="10" s="1"/>
  <c r="T72" i="10"/>
  <c r="Y5" i="10"/>
  <c r="Z5" i="10" s="1"/>
  <c r="Y122" i="10"/>
  <c r="Z122" i="10" s="1"/>
  <c r="W225" i="10"/>
  <c r="AA225" i="10" s="1"/>
  <c r="W60" i="10"/>
  <c r="AA60" i="10" s="1"/>
  <c r="W53" i="10"/>
  <c r="AA53" i="10" s="1"/>
  <c r="W39" i="10"/>
  <c r="M246" i="10"/>
  <c r="N246" i="10" s="1"/>
  <c r="O246" i="10" s="1"/>
  <c r="Y246" i="10"/>
  <c r="Z246" i="10" s="1"/>
  <c r="P169" i="10"/>
  <c r="M169" i="10"/>
  <c r="N169" i="10" s="1"/>
  <c r="O169" i="10" s="1"/>
  <c r="Y58" i="10"/>
  <c r="P29" i="10"/>
  <c r="Y29" i="10"/>
  <c r="Z29" i="10" s="1"/>
  <c r="Y180" i="10"/>
  <c r="V18" i="10"/>
  <c r="S10" i="10"/>
  <c r="T10" i="10" s="1"/>
  <c r="V216" i="10"/>
  <c r="W216" i="10" s="1"/>
  <c r="P218" i="10"/>
  <c r="V10" i="10"/>
  <c r="W10" i="10" s="1"/>
  <c r="AA10" i="10" s="1"/>
  <c r="Y113" i="10"/>
  <c r="Z113" i="10" s="1"/>
  <c r="M113" i="10"/>
  <c r="N113" i="10" s="1"/>
  <c r="O113" i="10" s="1"/>
  <c r="T130" i="10"/>
  <c r="Y91" i="10"/>
  <c r="Z91" i="10" s="1"/>
  <c r="M128" i="10"/>
  <c r="N128" i="10" s="1"/>
  <c r="O128" i="10" s="1"/>
  <c r="Y192" i="10"/>
  <c r="Z192" i="10" s="1"/>
  <c r="Y153" i="10"/>
  <c r="Z153" i="10" s="1"/>
  <c r="V151" i="10"/>
  <c r="W151" i="10" s="1"/>
  <c r="V92" i="10"/>
  <c r="V103" i="10"/>
  <c r="V193" i="10"/>
  <c r="W193" i="10" s="1"/>
  <c r="V87" i="10"/>
  <c r="T60" i="10"/>
  <c r="S206" i="10"/>
  <c r="T206" i="10" s="1"/>
  <c r="W239" i="10"/>
  <c r="AA239" i="10" s="1"/>
  <c r="S95" i="10"/>
  <c r="T95" i="10" s="1"/>
  <c r="S58" i="10"/>
  <c r="T58" i="10" s="1"/>
  <c r="S48" i="10"/>
  <c r="T48" i="10" s="1"/>
  <c r="Z48" i="10"/>
  <c r="Z123" i="10"/>
  <c r="S13" i="10"/>
  <c r="T13" i="10" s="1"/>
  <c r="Y218" i="10"/>
  <c r="Z218" i="10" s="1"/>
  <c r="M139" i="10"/>
  <c r="N139" i="10" s="1"/>
  <c r="O139" i="10" s="1"/>
  <c r="P139" i="10"/>
  <c r="Z10" i="10"/>
  <c r="V75" i="10"/>
  <c r="V183" i="10"/>
  <c r="W183" i="10" s="1"/>
  <c r="W68" i="10"/>
  <c r="AA68" i="10" s="1"/>
  <c r="V248" i="10"/>
  <c r="V244" i="10"/>
  <c r="V192" i="10"/>
  <c r="V86" i="10"/>
  <c r="V81" i="10"/>
  <c r="V227" i="10"/>
  <c r="V45" i="10"/>
  <c r="W45" i="10" s="1"/>
  <c r="V214" i="10"/>
  <c r="V118" i="10"/>
  <c r="W118" i="10" s="1"/>
  <c r="AA118" i="10" s="1"/>
  <c r="S151" i="10"/>
  <c r="T151" i="10" s="1"/>
  <c r="S92" i="10"/>
  <c r="T92" i="10" s="1"/>
  <c r="S193" i="10"/>
  <c r="T193" i="10" s="1"/>
  <c r="S87" i="10"/>
  <c r="T87" i="10" s="1"/>
  <c r="S82" i="10"/>
  <c r="S157" i="10"/>
  <c r="T157" i="10" s="1"/>
  <c r="S236" i="10"/>
  <c r="T236" i="10" s="1"/>
  <c r="S134" i="10"/>
  <c r="T134" i="10" s="1"/>
  <c r="S127" i="10"/>
  <c r="S11" i="10"/>
  <c r="T11" i="10" s="1"/>
  <c r="S139" i="10"/>
  <c r="S226" i="10"/>
  <c r="S93" i="10"/>
  <c r="T93" i="10" s="1"/>
  <c r="S102" i="10"/>
  <c r="T102" i="10" s="1"/>
  <c r="S111" i="10"/>
  <c r="T111" i="10" s="1"/>
  <c r="S136" i="10"/>
  <c r="T136" i="10" s="1"/>
  <c r="S47" i="10"/>
  <c r="T47" i="10" s="1"/>
  <c r="S233" i="10"/>
  <c r="T233" i="10" s="1"/>
  <c r="V210" i="10"/>
  <c r="Y89" i="10"/>
  <c r="Z89" i="10" s="1"/>
  <c r="Y186" i="10"/>
  <c r="Z186" i="10" s="1"/>
  <c r="Y231" i="10"/>
  <c r="Z231" i="10" s="1"/>
  <c r="Y85" i="10"/>
  <c r="Y147" i="10"/>
  <c r="Y161" i="10"/>
  <c r="Z161" i="10" s="1"/>
  <c r="S211" i="10"/>
  <c r="T211" i="10" s="1"/>
  <c r="Y27" i="10"/>
  <c r="Z27" i="10" s="1"/>
  <c r="Y106" i="10"/>
  <c r="Z106" i="10" s="1"/>
  <c r="V249" i="10"/>
  <c r="V179" i="10"/>
  <c r="V132" i="10"/>
  <c r="V170" i="10"/>
  <c r="V230" i="10"/>
  <c r="V240" i="10"/>
  <c r="V143" i="10"/>
  <c r="V159" i="10"/>
  <c r="W159" i="10" s="1"/>
  <c r="V142" i="10"/>
  <c r="V66" i="10"/>
  <c r="W66" i="10" s="1"/>
  <c r="V202" i="10"/>
  <c r="V21" i="10"/>
  <c r="V213" i="10"/>
  <c r="V6" i="10"/>
  <c r="S253" i="10"/>
  <c r="T253" i="10" s="1"/>
  <c r="S144" i="10"/>
  <c r="T144" i="10" s="1"/>
  <c r="S196" i="10"/>
  <c r="T196" i="10" s="1"/>
  <c r="S189" i="10"/>
  <c r="T189" i="10" s="1"/>
  <c r="S160" i="10"/>
  <c r="T160" i="10" s="1"/>
  <c r="S77" i="10"/>
  <c r="T77" i="10" s="1"/>
  <c r="S69" i="10"/>
  <c r="T69" i="10" s="1"/>
  <c r="S62" i="10"/>
  <c r="T62" i="10" s="1"/>
  <c r="S55" i="10"/>
  <c r="T55" i="10" s="1"/>
  <c r="S25" i="10"/>
  <c r="T25" i="10" s="1"/>
  <c r="S17" i="10"/>
  <c r="T17" i="10" s="1"/>
  <c r="S182" i="10"/>
  <c r="T182" i="10" s="1"/>
  <c r="S120" i="10"/>
  <c r="T120" i="10" s="1"/>
  <c r="V145" i="10"/>
  <c r="Z124" i="10"/>
  <c r="V243" i="10"/>
  <c r="W243" i="10" s="1"/>
  <c r="AA243" i="10" s="1"/>
  <c r="V241" i="10"/>
  <c r="W241" i="10" s="1"/>
  <c r="AA241" i="10" s="1"/>
  <c r="V229" i="10"/>
  <c r="V63" i="10"/>
  <c r="Z94" i="10"/>
  <c r="V133" i="10"/>
  <c r="Z198" i="10"/>
  <c r="P161" i="10"/>
  <c r="V200" i="10"/>
  <c r="V221" i="10"/>
  <c r="V203" i="10"/>
  <c r="V194" i="10"/>
  <c r="V112" i="10"/>
  <c r="V104" i="10"/>
  <c r="V78" i="10"/>
  <c r="P134" i="34" s="1"/>
  <c r="R134" i="34" s="1"/>
  <c r="V162" i="10"/>
  <c r="V129" i="10"/>
  <c r="V65" i="10"/>
  <c r="V109" i="10"/>
  <c r="V30" i="10"/>
  <c r="V125" i="10"/>
  <c r="V204" i="10"/>
  <c r="V5" i="10"/>
  <c r="V99" i="10"/>
  <c r="Y74" i="10"/>
  <c r="Z74" i="10" s="1"/>
  <c r="V206" i="10"/>
  <c r="W206" i="10" s="1"/>
  <c r="AA206" i="10" s="1"/>
  <c r="V246" i="10"/>
  <c r="V187" i="10"/>
  <c r="W187" i="10" s="1"/>
  <c r="AA187" i="10" s="1"/>
  <c r="V169" i="10"/>
  <c r="W169" i="10" s="1"/>
  <c r="X169" i="10" s="1"/>
  <c r="V215" i="10"/>
  <c r="V219" i="10"/>
  <c r="W219" i="10" s="1"/>
  <c r="AA219" i="10" s="1"/>
  <c r="V95" i="10"/>
  <c r="V119" i="10"/>
  <c r="V64" i="10"/>
  <c r="W64" i="10" s="1"/>
  <c r="AA64" i="10" s="1"/>
  <c r="V58" i="10"/>
  <c r="V48" i="10"/>
  <c r="W48" i="10" s="1"/>
  <c r="X48" i="10" s="1"/>
  <c r="V123" i="10"/>
  <c r="W123" i="10" s="1"/>
  <c r="V29" i="10"/>
  <c r="W29" i="10" s="1"/>
  <c r="AA29" i="10" s="1"/>
  <c r="V20" i="10"/>
  <c r="W20" i="10" s="1"/>
  <c r="X20" i="10" s="1"/>
  <c r="V13" i="10"/>
  <c r="V180" i="10"/>
  <c r="W180" i="10" s="1"/>
  <c r="AA180" i="10" s="1"/>
  <c r="V140" i="10"/>
  <c r="P247" i="10"/>
  <c r="P108" i="10"/>
  <c r="P152" i="10"/>
  <c r="P44" i="10"/>
  <c r="Y254" i="10"/>
  <c r="W254" i="10" s="1"/>
  <c r="AA254" i="10" s="1"/>
  <c r="Y145" i="10"/>
  <c r="P210" i="10"/>
  <c r="P100" i="10"/>
  <c r="P43" i="10"/>
  <c r="Y144" i="10"/>
  <c r="Z144" i="10" s="1"/>
  <c r="V157" i="10"/>
  <c r="V234" i="10"/>
  <c r="P137" i="34" s="1"/>
  <c r="R137" i="34" s="1"/>
  <c r="V153" i="10"/>
  <c r="W153" i="10" s="1"/>
  <c r="V128" i="10"/>
  <c r="V236" i="10"/>
  <c r="W236" i="10" s="1"/>
  <c r="X236" i="10" s="1"/>
  <c r="V46" i="10"/>
  <c r="W46" i="10" s="1"/>
  <c r="AA46" i="10" s="1"/>
  <c r="V134" i="10"/>
  <c r="V127" i="10"/>
  <c r="V172" i="10"/>
  <c r="V11" i="10"/>
  <c r="V4" i="10"/>
  <c r="S223" i="10"/>
  <c r="S245" i="10"/>
  <c r="S209" i="10"/>
  <c r="S84" i="10"/>
  <c r="S174" i="10"/>
  <c r="T174" i="10" s="1"/>
  <c r="S126" i="10"/>
  <c r="T126" i="10" s="1"/>
  <c r="S150" i="10"/>
  <c r="S67" i="10"/>
  <c r="T67" i="10" s="1"/>
  <c r="S52" i="10"/>
  <c r="T52" i="10" s="1"/>
  <c r="S33" i="10"/>
  <c r="T33" i="10" s="1"/>
  <c r="V101" i="10"/>
  <c r="S217" i="10"/>
  <c r="T217" i="10" s="1"/>
  <c r="P144" i="10"/>
  <c r="P74" i="10"/>
  <c r="V171" i="10"/>
  <c r="S171" i="10"/>
  <c r="T171" i="10" s="1"/>
  <c r="T209" i="10"/>
  <c r="T150" i="10"/>
  <c r="V38" i="10"/>
  <c r="S38" i="10"/>
  <c r="T38" i="10" s="1"/>
  <c r="V22" i="10"/>
  <c r="S22" i="10"/>
  <c r="T22" i="10" s="1"/>
  <c r="V235" i="10"/>
  <c r="S235" i="10"/>
  <c r="S14" i="10"/>
  <c r="T14" i="10" s="1"/>
  <c r="V14" i="10"/>
  <c r="S2" i="10"/>
  <c r="T2" i="10" s="1"/>
  <c r="V2" i="10"/>
  <c r="Y238" i="10"/>
  <c r="Z238" i="10" s="1"/>
  <c r="X182" i="10"/>
  <c r="AA182" i="10"/>
  <c r="Z243" i="10"/>
  <c r="Z85" i="10"/>
  <c r="AA169" i="10"/>
  <c r="Z242" i="10"/>
  <c r="M226" i="10"/>
  <c r="N226" i="10" s="1"/>
  <c r="O226" i="10" s="1"/>
  <c r="P226" i="10"/>
  <c r="P93" i="10"/>
  <c r="M93" i="10"/>
  <c r="N93" i="10" s="1"/>
  <c r="O93" i="10" s="1"/>
  <c r="P102" i="10"/>
  <c r="M102" i="10"/>
  <c r="N102" i="10" s="1"/>
  <c r="O102" i="10" s="1"/>
  <c r="Y102" i="10"/>
  <c r="Z102" i="10" s="1"/>
  <c r="Y205" i="10"/>
  <c r="Z205" i="10" s="1"/>
  <c r="P205" i="10"/>
  <c r="M205" i="10"/>
  <c r="N205" i="10" s="1"/>
  <c r="O205" i="10" s="1"/>
  <c r="M242" i="10"/>
  <c r="N242" i="10" s="1"/>
  <c r="O242" i="10" s="1"/>
  <c r="P242" i="10"/>
  <c r="Y242" i="10"/>
  <c r="Y111" i="10"/>
  <c r="Z111" i="10" s="1"/>
  <c r="P111" i="10"/>
  <c r="M111" i="10"/>
  <c r="N111" i="10" s="1"/>
  <c r="O111" i="10" s="1"/>
  <c r="P184" i="10"/>
  <c r="M184" i="10"/>
  <c r="N184" i="10" s="1"/>
  <c r="O184" i="10" s="1"/>
  <c r="Y184" i="10"/>
  <c r="Z184" i="10" s="1"/>
  <c r="Y136" i="10"/>
  <c r="Z136" i="10" s="1"/>
  <c r="P136" i="10"/>
  <c r="M136" i="10"/>
  <c r="N136" i="10" s="1"/>
  <c r="O136" i="10" s="1"/>
  <c r="Y57" i="10"/>
  <c r="Z57" i="10" s="1"/>
  <c r="P57" i="10"/>
  <c r="M57" i="10"/>
  <c r="N57" i="10" s="1"/>
  <c r="O57" i="10" s="1"/>
  <c r="M47" i="10"/>
  <c r="N47" i="10" s="1"/>
  <c r="O47" i="10" s="1"/>
  <c r="Y47" i="10"/>
  <c r="Z47" i="10" s="1"/>
  <c r="P47" i="10"/>
  <c r="Y107" i="10"/>
  <c r="Z107" i="10" s="1"/>
  <c r="P107" i="10"/>
  <c r="M130" i="10"/>
  <c r="N130" i="10" s="1"/>
  <c r="O130" i="10" s="1"/>
  <c r="Y130" i="10"/>
  <c r="Z130" i="10" s="1"/>
  <c r="P130" i="10"/>
  <c r="P19" i="10"/>
  <c r="Y19" i="10"/>
  <c r="Z19" i="10" s="1"/>
  <c r="M19" i="10"/>
  <c r="N19" i="10" s="1"/>
  <c r="O19" i="10" s="1"/>
  <c r="P12" i="10"/>
  <c r="M12" i="10"/>
  <c r="N12" i="10" s="1"/>
  <c r="O12" i="10" s="1"/>
  <c r="Y12" i="10"/>
  <c r="Z12" i="10" s="1"/>
  <c r="M233" i="10"/>
  <c r="N233" i="10" s="1"/>
  <c r="O233" i="10" s="1"/>
  <c r="P233" i="10"/>
  <c r="Y233" i="10"/>
  <c r="Z233" i="10" s="1"/>
  <c r="S250" i="10"/>
  <c r="T250" i="10" s="1"/>
  <c r="V250" i="10"/>
  <c r="S59" i="10"/>
  <c r="T59" i="10" s="1"/>
  <c r="V59" i="10"/>
  <c r="M151" i="10"/>
  <c r="N151" i="10" s="1"/>
  <c r="O151" i="10" s="1"/>
  <c r="P151" i="10"/>
  <c r="Y92" i="10"/>
  <c r="Z92" i="10" s="1"/>
  <c r="P92" i="10"/>
  <c r="M92" i="10"/>
  <c r="N92" i="10" s="1"/>
  <c r="O92" i="10" s="1"/>
  <c r="P103" i="10"/>
  <c r="Y103" i="10"/>
  <c r="Z103" i="10" s="1"/>
  <c r="M103" i="10"/>
  <c r="N103" i="10" s="1"/>
  <c r="O103" i="10" s="1"/>
  <c r="P193" i="10"/>
  <c r="M193" i="10"/>
  <c r="N193" i="10" s="1"/>
  <c r="O193" i="10" s="1"/>
  <c r="P87" i="10"/>
  <c r="Y87" i="10"/>
  <c r="Z87" i="10" s="1"/>
  <c r="P82" i="10"/>
  <c r="Y82" i="10"/>
  <c r="Z82" i="10" s="1"/>
  <c r="M82" i="10"/>
  <c r="N82" i="10" s="1"/>
  <c r="O82" i="10" s="1"/>
  <c r="M157" i="10"/>
  <c r="N157" i="10" s="1"/>
  <c r="O157" i="10" s="1"/>
  <c r="Y157" i="10"/>
  <c r="Z157" i="10" s="1"/>
  <c r="P234" i="10"/>
  <c r="M234" i="10"/>
  <c r="N234" i="10" s="1"/>
  <c r="O234" i="10" s="1"/>
  <c r="Y236" i="10"/>
  <c r="Z236" i="10" s="1"/>
  <c r="M236" i="10"/>
  <c r="N236" i="10" s="1"/>
  <c r="O236" i="10" s="1"/>
  <c r="P236" i="10"/>
  <c r="M46" i="10"/>
  <c r="N46" i="10" s="1"/>
  <c r="O46" i="10" s="1"/>
  <c r="P46" i="10"/>
  <c r="P134" i="10"/>
  <c r="Y134" i="10"/>
  <c r="M127" i="10"/>
  <c r="N127" i="10" s="1"/>
  <c r="O127" i="10" s="1"/>
  <c r="Y127" i="10"/>
  <c r="Z127" i="10" s="1"/>
  <c r="Y172" i="10"/>
  <c r="Z172" i="10" s="1"/>
  <c r="M172" i="10"/>
  <c r="N172" i="10" s="1"/>
  <c r="O172" i="10" s="1"/>
  <c r="M11" i="10"/>
  <c r="N11" i="10" s="1"/>
  <c r="O11" i="10" s="1"/>
  <c r="P11" i="10"/>
  <c r="Y11" i="10"/>
  <c r="Z11" i="10" s="1"/>
  <c r="P4" i="10"/>
  <c r="Y4" i="10"/>
  <c r="Z4" i="10" s="1"/>
  <c r="W156" i="10"/>
  <c r="X156" i="10" s="1"/>
  <c r="Z156" i="10"/>
  <c r="T141" i="10"/>
  <c r="Y210" i="10"/>
  <c r="Z210" i="10" s="1"/>
  <c r="Y79" i="10"/>
  <c r="Z79" i="10"/>
  <c r="Y100" i="10"/>
  <c r="Z100" i="10" s="1"/>
  <c r="Y164" i="10"/>
  <c r="Z164" i="10" s="1"/>
  <c r="Y135" i="10"/>
  <c r="Z135" i="10"/>
  <c r="S43" i="10"/>
  <c r="T43" i="10" s="1"/>
  <c r="Y43" i="10"/>
  <c r="Z43" i="10" s="1"/>
  <c r="Z115" i="10"/>
  <c r="S222" i="10"/>
  <c r="T222" i="10" s="1"/>
  <c r="Y137" i="10"/>
  <c r="Z137" i="10" s="1"/>
  <c r="Y211" i="10"/>
  <c r="Z211" i="10" s="1"/>
  <c r="V32" i="10"/>
  <c r="V89" i="10"/>
  <c r="W89" i="10" s="1"/>
  <c r="V186" i="10"/>
  <c r="W186" i="10" s="1"/>
  <c r="V231" i="10"/>
  <c r="W231" i="10" s="1"/>
  <c r="V85" i="10"/>
  <c r="W85" i="10" s="1"/>
  <c r="V79" i="10"/>
  <c r="V100" i="10"/>
  <c r="V164" i="10"/>
  <c r="W164" i="10" s="1"/>
  <c r="X164" i="10" s="1"/>
  <c r="V135" i="10"/>
  <c r="V161" i="10"/>
  <c r="V43" i="10"/>
  <c r="V211" i="10"/>
  <c r="V27" i="10"/>
  <c r="V115" i="10"/>
  <c r="W115" i="10" s="1"/>
  <c r="V222" i="10"/>
  <c r="V137" i="10"/>
  <c r="W137" i="10" s="1"/>
  <c r="V106" i="10"/>
  <c r="AA9" i="10"/>
  <c r="X9" i="10"/>
  <c r="Z147" i="10"/>
  <c r="V67" i="10"/>
  <c r="Y222" i="10"/>
  <c r="Z222" i="10" s="1"/>
  <c r="V178" i="10"/>
  <c r="T46" i="10"/>
  <c r="Z117" i="10"/>
  <c r="M107" i="10"/>
  <c r="N107" i="10" s="1"/>
  <c r="O107" i="10" s="1"/>
  <c r="W97" i="10"/>
  <c r="S210" i="10"/>
  <c r="T210" i="10" s="1"/>
  <c r="S186" i="10"/>
  <c r="T186" i="10" s="1"/>
  <c r="S231" i="10"/>
  <c r="T231" i="10" s="1"/>
  <c r="S79" i="10"/>
  <c r="T79" i="10" s="1"/>
  <c r="S27" i="10"/>
  <c r="T27" i="10" s="1"/>
  <c r="S115" i="10"/>
  <c r="T115" i="10" s="1"/>
  <c r="S137" i="10"/>
  <c r="T137" i="10" s="1"/>
  <c r="S106" i="10"/>
  <c r="T106" i="10" s="1"/>
  <c r="Z247" i="10"/>
  <c r="Z71" i="10"/>
  <c r="S71" i="10"/>
  <c r="T71" i="10" s="1"/>
  <c r="S56" i="10"/>
  <c r="T56" i="10" s="1"/>
  <c r="S197" i="10"/>
  <c r="T197" i="10" s="1"/>
  <c r="W28" i="10"/>
  <c r="W177" i="10"/>
  <c r="AA177" i="10" s="1"/>
  <c r="Z185" i="10"/>
  <c r="W98" i="10"/>
  <c r="AA98" i="10" s="1"/>
  <c r="Z190" i="10"/>
  <c r="V70" i="10"/>
  <c r="Y70" i="10"/>
  <c r="Z70" i="10" s="1"/>
  <c r="Y201" i="10"/>
  <c r="Z201" i="10" s="1"/>
  <c r="Y42" i="10"/>
  <c r="Z42" i="10" s="1"/>
  <c r="Z26" i="10"/>
  <c r="V208" i="10"/>
  <c r="W208" i="10" s="1"/>
  <c r="AA208" i="10" s="1"/>
  <c r="Z208" i="10"/>
  <c r="W253" i="10"/>
  <c r="V226" i="10"/>
  <c r="W226" i="10" s="1"/>
  <c r="X226" i="10" s="1"/>
  <c r="V93" i="10"/>
  <c r="W93" i="10" s="1"/>
  <c r="X93" i="10" s="1"/>
  <c r="V102" i="10"/>
  <c r="V205" i="10"/>
  <c r="V242" i="10"/>
  <c r="W242" i="10" s="1"/>
  <c r="AA242" i="10" s="1"/>
  <c r="V238" i="10"/>
  <c r="V218" i="10"/>
  <c r="V111" i="10"/>
  <c r="V184" i="10"/>
  <c r="V136" i="10"/>
  <c r="V57" i="10"/>
  <c r="V47" i="10"/>
  <c r="V107" i="10"/>
  <c r="V130" i="10"/>
  <c r="V19" i="10"/>
  <c r="V12" i="10"/>
  <c r="V233" i="10"/>
  <c r="W140" i="10"/>
  <c r="AA140" i="10" s="1"/>
  <c r="V201" i="10"/>
  <c r="W127" i="10"/>
  <c r="Z97" i="10"/>
  <c r="Y229" i="10"/>
  <c r="Z229" i="10" s="1"/>
  <c r="V190" i="10"/>
  <c r="W190" i="10" s="1"/>
  <c r="AA190" i="10" s="1"/>
  <c r="W55" i="10"/>
  <c r="V94" i="10"/>
  <c r="W94" i="10" s="1"/>
  <c r="AA94" i="10" s="1"/>
  <c r="S247" i="10"/>
  <c r="T247" i="10" s="1"/>
  <c r="Y215" i="10"/>
  <c r="Z215" i="10" s="1"/>
  <c r="P95" i="10"/>
  <c r="Y95" i="10"/>
  <c r="Z95" i="10" s="1"/>
  <c r="P20" i="10"/>
  <c r="M20" i="10"/>
  <c r="N20" i="10" s="1"/>
  <c r="O20" i="10" s="1"/>
  <c r="M13" i="10"/>
  <c r="N13" i="10" s="1"/>
  <c r="O13" i="10" s="1"/>
  <c r="Y13" i="10"/>
  <c r="Z241" i="10"/>
  <c r="W77" i="10"/>
  <c r="V42" i="10"/>
  <c r="P123" i="10"/>
  <c r="Z145" i="10"/>
  <c r="Y96" i="10"/>
  <c r="W96" i="10" s="1"/>
  <c r="AA96" i="10" s="1"/>
  <c r="Y63" i="10"/>
  <c r="Z63" i="10" s="1"/>
  <c r="Y138" i="10"/>
  <c r="Z138" i="10" s="1"/>
  <c r="V26" i="10"/>
  <c r="W26" i="10" s="1"/>
  <c r="AA26" i="10" s="1"/>
  <c r="S238" i="10"/>
  <c r="T238" i="10" s="1"/>
  <c r="S57" i="10"/>
  <c r="T57" i="10" s="1"/>
  <c r="S107" i="10"/>
  <c r="T107" i="10" s="1"/>
  <c r="S19" i="10"/>
  <c r="T19" i="10" s="1"/>
  <c r="S12" i="10"/>
  <c r="T12" i="10" s="1"/>
  <c r="Z206" i="10"/>
  <c r="S246" i="10"/>
  <c r="T246" i="10" s="1"/>
  <c r="S187" i="10"/>
  <c r="S169" i="10"/>
  <c r="T169" i="10" s="1"/>
  <c r="S215" i="10"/>
  <c r="T215" i="10" s="1"/>
  <c r="S239" i="10"/>
  <c r="T239" i="10" s="1"/>
  <c r="S219" i="10"/>
  <c r="T219" i="10" s="1"/>
  <c r="Z58" i="10"/>
  <c r="S20" i="10"/>
  <c r="T20" i="10" s="1"/>
  <c r="Z20" i="10"/>
  <c r="S180" i="10"/>
  <c r="T180" i="10" s="1"/>
  <c r="Z180" i="10"/>
  <c r="M160" i="10"/>
  <c r="N160" i="10" s="1"/>
  <c r="O160" i="10" s="1"/>
  <c r="M36" i="10"/>
  <c r="N36" i="10" s="1"/>
  <c r="O36" i="10" s="1"/>
  <c r="T103" i="10"/>
  <c r="T128" i="10"/>
  <c r="T82" i="10"/>
  <c r="T139" i="10"/>
  <c r="Y237" i="10"/>
  <c r="W237" i="10" s="1"/>
  <c r="W105" i="10"/>
  <c r="X105" i="10" s="1"/>
  <c r="V223" i="10"/>
  <c r="V158" i="10"/>
  <c r="V245" i="10"/>
  <c r="V209" i="10"/>
  <c r="V84" i="10"/>
  <c r="V174" i="10"/>
  <c r="V126" i="10"/>
  <c r="V150" i="10"/>
  <c r="V141" i="10"/>
  <c r="V52" i="10"/>
  <c r="V33" i="10"/>
  <c r="V217" i="10"/>
  <c r="S88" i="10"/>
  <c r="T88" i="10" s="1"/>
  <c r="S172" i="10"/>
  <c r="T172" i="10" s="1"/>
  <c r="S4" i="10"/>
  <c r="T4" i="10" s="1"/>
  <c r="M206" i="10"/>
  <c r="N206" i="10" s="1"/>
  <c r="O206" i="10" s="1"/>
  <c r="M253" i="10"/>
  <c r="N253" i="10" s="1"/>
  <c r="O253" i="10" s="1"/>
  <c r="P253" i="10"/>
  <c r="P196" i="10"/>
  <c r="Y196" i="10"/>
  <c r="Z196" i="10" s="1"/>
  <c r="M189" i="10"/>
  <c r="N189" i="10" s="1"/>
  <c r="O189" i="10" s="1"/>
  <c r="Y189" i="10"/>
  <c r="Z189" i="10" s="1"/>
  <c r="M69" i="10"/>
  <c r="N69" i="10" s="1"/>
  <c r="O69" i="10" s="1"/>
  <c r="Y69" i="10"/>
  <c r="Z69" i="10" s="1"/>
  <c r="M62" i="10"/>
  <c r="N62" i="10" s="1"/>
  <c r="O62" i="10" s="1"/>
  <c r="P62" i="10"/>
  <c r="P41" i="10"/>
  <c r="Y41" i="10"/>
  <c r="Z41" i="10" s="1"/>
  <c r="T127" i="10"/>
  <c r="T226" i="10"/>
  <c r="W212" i="10"/>
  <c r="X212" i="10" s="1"/>
  <c r="Z212" i="10"/>
  <c r="S91" i="10"/>
  <c r="T91" i="10" s="1"/>
  <c r="S244" i="10"/>
  <c r="T244" i="10" s="1"/>
  <c r="Y244" i="10"/>
  <c r="Y86" i="10"/>
  <c r="S81" i="10"/>
  <c r="T81" i="10" s="1"/>
  <c r="S227" i="10"/>
  <c r="T227" i="10" s="1"/>
  <c r="S183" i="10"/>
  <c r="T183" i="10" s="1"/>
  <c r="S131" i="10"/>
  <c r="T131" i="10" s="1"/>
  <c r="S207" i="10"/>
  <c r="T207" i="10" s="1"/>
  <c r="S118" i="10"/>
  <c r="T118" i="10" s="1"/>
  <c r="Y118" i="10"/>
  <c r="Z118" i="10" s="1"/>
  <c r="M196" i="10"/>
  <c r="N196" i="10" s="1"/>
  <c r="O196" i="10" s="1"/>
  <c r="M29" i="10"/>
  <c r="N29" i="10" s="1"/>
  <c r="O29" i="10" s="1"/>
  <c r="T192" i="10"/>
  <c r="Y81" i="10"/>
  <c r="Z81" i="10" s="1"/>
  <c r="Y207" i="10"/>
  <c r="Z207" i="10" s="1"/>
  <c r="W62" i="10"/>
  <c r="T251" i="10"/>
  <c r="T177" i="10"/>
  <c r="T225" i="10"/>
  <c r="T165" i="10"/>
  <c r="T185" i="10"/>
  <c r="T168" i="10"/>
  <c r="T117" i="10"/>
  <c r="T68" i="10"/>
  <c r="T53" i="10"/>
  <c r="T39" i="10"/>
  <c r="T34" i="10"/>
  <c r="T23" i="10"/>
  <c r="T15" i="10"/>
  <c r="T7" i="10"/>
  <c r="T3" i="10"/>
  <c r="S252" i="10"/>
  <c r="T252" i="10" s="1"/>
  <c r="S188" i="10"/>
  <c r="T188" i="10" s="1"/>
  <c r="V73" i="10"/>
  <c r="S40" i="10"/>
  <c r="T40" i="10" s="1"/>
  <c r="Y25" i="10"/>
  <c r="Z25" i="10" s="1"/>
  <c r="W40" i="10"/>
  <c r="V176" i="10"/>
  <c r="V181" i="10"/>
  <c r="W181" i="10" s="1"/>
  <c r="S221" i="10"/>
  <c r="S112" i="10"/>
  <c r="T112" i="10" s="1"/>
  <c r="S204" i="10"/>
  <c r="T204" i="10" s="1"/>
  <c r="P199" i="10"/>
  <c r="M199" i="10"/>
  <c r="N199" i="10" s="1"/>
  <c r="O199" i="10" s="1"/>
  <c r="Y199" i="10"/>
  <c r="Z199" i="10" s="1"/>
  <c r="P216" i="10"/>
  <c r="M216" i="10"/>
  <c r="N216" i="10" s="1"/>
  <c r="O216" i="10" s="1"/>
  <c r="Y216" i="10"/>
  <c r="Z216" i="10" s="1"/>
  <c r="M83" i="10"/>
  <c r="N83" i="10" s="1"/>
  <c r="O83" i="10" s="1"/>
  <c r="P83" i="10"/>
  <c r="Y83" i="10"/>
  <c r="P114" i="10"/>
  <c r="M114" i="10"/>
  <c r="N114" i="10" s="1"/>
  <c r="O114" i="10" s="1"/>
  <c r="Y114" i="10"/>
  <c r="Z114" i="10" s="1"/>
  <c r="P163" i="10"/>
  <c r="M163" i="10"/>
  <c r="N163" i="10" s="1"/>
  <c r="O163" i="10" s="1"/>
  <c r="Y163" i="10"/>
  <c r="Z163" i="10" s="1"/>
  <c r="P155" i="10"/>
  <c r="Y155" i="10"/>
  <c r="Z155" i="10" s="1"/>
  <c r="M155" i="10"/>
  <c r="N155" i="10" s="1"/>
  <c r="O155" i="10" s="1"/>
  <c r="M178" i="10"/>
  <c r="N178" i="10" s="1"/>
  <c r="O178" i="10" s="1"/>
  <c r="P178" i="10"/>
  <c r="Y178" i="10"/>
  <c r="Z178" i="10" s="1"/>
  <c r="M59" i="10"/>
  <c r="N59" i="10" s="1"/>
  <c r="O59" i="10" s="1"/>
  <c r="Y59" i="10"/>
  <c r="P59" i="10"/>
  <c r="M51" i="10"/>
  <c r="N51" i="10" s="1"/>
  <c r="O51" i="10" s="1"/>
  <c r="P51" i="10"/>
  <c r="Y51" i="10"/>
  <c r="Z51" i="10" s="1"/>
  <c r="T51" i="10"/>
  <c r="P37" i="10"/>
  <c r="Y37" i="10"/>
  <c r="Z37" i="10" s="1"/>
  <c r="M37" i="10"/>
  <c r="N37" i="10" s="1"/>
  <c r="O37" i="10" s="1"/>
  <c r="P32" i="10"/>
  <c r="M32" i="10"/>
  <c r="N32" i="10" s="1"/>
  <c r="O32" i="10" s="1"/>
  <c r="Y32" i="10"/>
  <c r="Z32" i="10" s="1"/>
  <c r="M228" i="10"/>
  <c r="N228" i="10" s="1"/>
  <c r="O228" i="10" s="1"/>
  <c r="P228" i="10"/>
  <c r="Y228" i="10"/>
  <c r="Z228" i="10" s="1"/>
  <c r="M14" i="10"/>
  <c r="N14" i="10" s="1"/>
  <c r="O14" i="10" s="1"/>
  <c r="P14" i="10"/>
  <c r="Y14" i="10"/>
  <c r="Z14" i="10" s="1"/>
  <c r="P181" i="10"/>
  <c r="M181" i="10"/>
  <c r="N181" i="10" s="1"/>
  <c r="O181" i="10" s="1"/>
  <c r="Y181" i="10"/>
  <c r="Z181" i="10" s="1"/>
  <c r="P2" i="10"/>
  <c r="Y2" i="10"/>
  <c r="Z2" i="10" s="1"/>
  <c r="P249" i="10"/>
  <c r="M249" i="10"/>
  <c r="N249" i="10" s="1"/>
  <c r="O249" i="10" s="1"/>
  <c r="Y249" i="10"/>
  <c r="P179" i="10"/>
  <c r="M179" i="10"/>
  <c r="N179" i="10" s="1"/>
  <c r="O179" i="10" s="1"/>
  <c r="Y179" i="10"/>
  <c r="Z179" i="10" s="1"/>
  <c r="P132" i="10"/>
  <c r="M132" i="10"/>
  <c r="N132" i="10" s="1"/>
  <c r="O132" i="10" s="1"/>
  <c r="Y132" i="10"/>
  <c r="Z132" i="10" s="1"/>
  <c r="P170" i="10"/>
  <c r="M170" i="10"/>
  <c r="N170" i="10" s="1"/>
  <c r="O170" i="10" s="1"/>
  <c r="Y170" i="10"/>
  <c r="Z170" i="10" s="1"/>
  <c r="P230" i="10"/>
  <c r="M230" i="10"/>
  <c r="N230" i="10" s="1"/>
  <c r="O230" i="10" s="1"/>
  <c r="Y230" i="10"/>
  <c r="Z230" i="10" s="1"/>
  <c r="P240" i="10"/>
  <c r="M240" i="10"/>
  <c r="N240" i="10" s="1"/>
  <c r="O240" i="10" s="1"/>
  <c r="Y240" i="10"/>
  <c r="Z240" i="10" s="1"/>
  <c r="P143" i="10"/>
  <c r="M143" i="10"/>
  <c r="N143" i="10" s="1"/>
  <c r="O143" i="10" s="1"/>
  <c r="Y143" i="10"/>
  <c r="Z143" i="10" s="1"/>
  <c r="P159" i="10"/>
  <c r="M159" i="10"/>
  <c r="N159" i="10" s="1"/>
  <c r="O159" i="10" s="1"/>
  <c r="P142" i="10"/>
  <c r="M142" i="10"/>
  <c r="N142" i="10" s="1"/>
  <c r="O142" i="10" s="1"/>
  <c r="Y142" i="10"/>
  <c r="P66" i="10"/>
  <c r="M66" i="10"/>
  <c r="N66" i="10" s="1"/>
  <c r="O66" i="10" s="1"/>
  <c r="Y66" i="10"/>
  <c r="Z66" i="10" s="1"/>
  <c r="P202" i="10"/>
  <c r="M202" i="10"/>
  <c r="N202" i="10" s="1"/>
  <c r="O202" i="10" s="1"/>
  <c r="Y202" i="10"/>
  <c r="P50" i="10"/>
  <c r="M50" i="10"/>
  <c r="N50" i="10" s="1"/>
  <c r="O50" i="10" s="1"/>
  <c r="Y50" i="10"/>
  <c r="Z50" i="10" s="1"/>
  <c r="P121" i="10"/>
  <c r="M121" i="10"/>
  <c r="N121" i="10" s="1"/>
  <c r="O121" i="10" s="1"/>
  <c r="Y121" i="10"/>
  <c r="Z121" i="10" s="1"/>
  <c r="P31" i="10"/>
  <c r="M31" i="10"/>
  <c r="N31" i="10" s="1"/>
  <c r="O31" i="10" s="1"/>
  <c r="Y31" i="10"/>
  <c r="Z31" i="10" s="1"/>
  <c r="P21" i="10"/>
  <c r="M21" i="10"/>
  <c r="N21" i="10" s="1"/>
  <c r="O21" i="10" s="1"/>
  <c r="Y21" i="10"/>
  <c r="P213" i="10"/>
  <c r="M213" i="10"/>
  <c r="N213" i="10" s="1"/>
  <c r="O213" i="10" s="1"/>
  <c r="P6" i="10"/>
  <c r="M6" i="10"/>
  <c r="N6" i="10" s="1"/>
  <c r="O6" i="10" s="1"/>
  <c r="Y6" i="10"/>
  <c r="Z6" i="10" s="1"/>
  <c r="P148" i="10"/>
  <c r="Y148" i="10"/>
  <c r="M2" i="10"/>
  <c r="N2" i="10" s="1"/>
  <c r="O2" i="10" s="1"/>
  <c r="M200" i="10"/>
  <c r="N200" i="10" s="1"/>
  <c r="O200" i="10" s="1"/>
  <c r="P200" i="10"/>
  <c r="Y200" i="10"/>
  <c r="M221" i="10"/>
  <c r="N221" i="10" s="1"/>
  <c r="O221" i="10" s="1"/>
  <c r="P221" i="10"/>
  <c r="Y221" i="10"/>
  <c r="Z221" i="10" s="1"/>
  <c r="P203" i="10"/>
  <c r="T203" i="10"/>
  <c r="M203" i="10"/>
  <c r="N203" i="10" s="1"/>
  <c r="O203" i="10" s="1"/>
  <c r="P194" i="10"/>
  <c r="M194" i="10"/>
  <c r="N194" i="10" s="1"/>
  <c r="O194" i="10" s="1"/>
  <c r="T194" i="10"/>
  <c r="Y194" i="10"/>
  <c r="P112" i="10"/>
  <c r="M112" i="10"/>
  <c r="N112" i="10" s="1"/>
  <c r="O112" i="10" s="1"/>
  <c r="Y112" i="10"/>
  <c r="M104" i="10"/>
  <c r="N104" i="10" s="1"/>
  <c r="O104" i="10" s="1"/>
  <c r="P104" i="10"/>
  <c r="Y104" i="10"/>
  <c r="Z104" i="10" s="1"/>
  <c r="M78" i="10"/>
  <c r="N78" i="10" s="1"/>
  <c r="O78" i="10" s="1"/>
  <c r="P78" i="10"/>
  <c r="Y78" i="10"/>
  <c r="Z78" i="10" s="1"/>
  <c r="M162" i="10"/>
  <c r="N162" i="10" s="1"/>
  <c r="O162" i="10" s="1"/>
  <c r="P162" i="10"/>
  <c r="Y162" i="10"/>
  <c r="P129" i="10"/>
  <c r="M129" i="10"/>
  <c r="N129" i="10" s="1"/>
  <c r="O129" i="10" s="1"/>
  <c r="T129" i="10"/>
  <c r="Y129" i="10"/>
  <c r="P65" i="10"/>
  <c r="M65" i="10"/>
  <c r="N65" i="10" s="1"/>
  <c r="O65" i="10" s="1"/>
  <c r="T65" i="10"/>
  <c r="M109" i="10"/>
  <c r="N109" i="10" s="1"/>
  <c r="O109" i="10" s="1"/>
  <c r="P109" i="10"/>
  <c r="Y109" i="10"/>
  <c r="M49" i="10"/>
  <c r="N49" i="10" s="1"/>
  <c r="O49" i="10" s="1"/>
  <c r="P49" i="10"/>
  <c r="Y49" i="10"/>
  <c r="P149" i="10"/>
  <c r="M149" i="10"/>
  <c r="N149" i="10" s="1"/>
  <c r="O149" i="10" s="1"/>
  <c r="Y149" i="10"/>
  <c r="P30" i="10"/>
  <c r="Y30" i="10"/>
  <c r="M125" i="10"/>
  <c r="N125" i="10" s="1"/>
  <c r="O125" i="10" s="1"/>
  <c r="P125" i="10"/>
  <c r="M204" i="10"/>
  <c r="N204" i="10" s="1"/>
  <c r="O204" i="10" s="1"/>
  <c r="P204" i="10"/>
  <c r="Y204" i="10"/>
  <c r="P5" i="10"/>
  <c r="M5" i="10"/>
  <c r="N5" i="10" s="1"/>
  <c r="O5" i="10" s="1"/>
  <c r="P99" i="10"/>
  <c r="M99" i="10"/>
  <c r="N99" i="10" s="1"/>
  <c r="O99" i="10" s="1"/>
  <c r="T99" i="10"/>
  <c r="Y99" i="10"/>
  <c r="Z99" i="10" s="1"/>
  <c r="Y65" i="10"/>
  <c r="Z65" i="10" s="1"/>
  <c r="Z56" i="10"/>
  <c r="W56" i="10"/>
  <c r="Y213" i="10"/>
  <c r="X167" i="10"/>
  <c r="AA167" i="10"/>
  <c r="M148" i="10"/>
  <c r="N148" i="10" s="1"/>
  <c r="O148" i="10" s="1"/>
  <c r="Y232" i="10"/>
  <c r="Z232" i="10" s="1"/>
  <c r="P232" i="10"/>
  <c r="M232" i="10"/>
  <c r="N232" i="10" s="1"/>
  <c r="O232" i="10" s="1"/>
  <c r="Z251" i="10"/>
  <c r="X77" i="10"/>
  <c r="AA77" i="10"/>
  <c r="W110" i="10"/>
  <c r="AA39" i="10"/>
  <c r="T132" i="10"/>
  <c r="M176" i="10"/>
  <c r="N176" i="10" s="1"/>
  <c r="O176" i="10" s="1"/>
  <c r="P176" i="10"/>
  <c r="Y176" i="10"/>
  <c r="Z176" i="10" s="1"/>
  <c r="Y125" i="10"/>
  <c r="X239" i="10"/>
  <c r="T31" i="10"/>
  <c r="M250" i="10"/>
  <c r="N250" i="10" s="1"/>
  <c r="O250" i="10" s="1"/>
  <c r="P250" i="10"/>
  <c r="Y250" i="10"/>
  <c r="X90" i="10"/>
  <c r="AA90" i="10"/>
  <c r="T30" i="10"/>
  <c r="Y203" i="10"/>
  <c r="W36" i="10"/>
  <c r="Z36" i="10"/>
  <c r="AA226" i="10"/>
  <c r="T176" i="10"/>
  <c r="Z177" i="10"/>
  <c r="AA44" i="10"/>
  <c r="W161" i="10"/>
  <c r="W128" i="10"/>
  <c r="Z40" i="10"/>
  <c r="T78" i="10"/>
  <c r="Y252" i="10"/>
  <c r="Z252" i="10" s="1"/>
  <c r="V166" i="10"/>
  <c r="S166" i="10"/>
  <c r="T166" i="10" s="1"/>
  <c r="Y166" i="10"/>
  <c r="Z166" i="10" s="1"/>
  <c r="S220" i="10"/>
  <c r="T220" i="10" s="1"/>
  <c r="Y220" i="10"/>
  <c r="Z220" i="10" s="1"/>
  <c r="V220" i="10"/>
  <c r="S195" i="10"/>
  <c r="T195" i="10" s="1"/>
  <c r="Y195" i="10"/>
  <c r="Z195" i="10" s="1"/>
  <c r="Y188" i="10"/>
  <c r="W188" i="10" s="1"/>
  <c r="S175" i="10"/>
  <c r="T175" i="10" s="1"/>
  <c r="Z175" i="10"/>
  <c r="V175" i="10"/>
  <c r="W175" i="10" s="1"/>
  <c r="S76" i="10"/>
  <c r="T76" i="10" s="1"/>
  <c r="V76" i="10"/>
  <c r="W76" i="10" s="1"/>
  <c r="S73" i="10"/>
  <c r="T73" i="10" s="1"/>
  <c r="Y73" i="10"/>
  <c r="S173" i="10"/>
  <c r="T173" i="10" s="1"/>
  <c r="Y173" i="10"/>
  <c r="Z173" i="10" s="1"/>
  <c r="V173" i="10"/>
  <c r="V61" i="10"/>
  <c r="Y61" i="10"/>
  <c r="Z61" i="10"/>
  <c r="S54" i="10"/>
  <c r="T54" i="10" s="1"/>
  <c r="Y54" i="10"/>
  <c r="Z54" i="10" s="1"/>
  <c r="V54" i="10"/>
  <c r="S35" i="10"/>
  <c r="T35" i="10" s="1"/>
  <c r="Z35" i="10"/>
  <c r="V35" i="10"/>
  <c r="W35" i="10" s="1"/>
  <c r="S24" i="10"/>
  <c r="T24" i="10" s="1"/>
  <c r="Z24" i="10"/>
  <c r="V24" i="10"/>
  <c r="W24" i="10" s="1"/>
  <c r="V16" i="10"/>
  <c r="Y16" i="10"/>
  <c r="Z16" i="10" s="1"/>
  <c r="Y8" i="10"/>
  <c r="S8" i="10"/>
  <c r="T8" i="10" s="1"/>
  <c r="Z8" i="10"/>
  <c r="V8" i="10"/>
  <c r="V146" i="10"/>
  <c r="Y146" i="10"/>
  <c r="Z146" i="10" s="1"/>
  <c r="Z45" i="10"/>
  <c r="Z76" i="10"/>
  <c r="X55" i="10"/>
  <c r="AA55" i="10"/>
  <c r="W154" i="10"/>
  <c r="W192" i="10"/>
  <c r="AA116" i="10"/>
  <c r="X116" i="10"/>
  <c r="W5" i="10"/>
  <c r="W224" i="10"/>
  <c r="T179" i="10"/>
  <c r="T230" i="10"/>
  <c r="T240" i="10"/>
  <c r="T143" i="10"/>
  <c r="T159" i="10"/>
  <c r="T142" i="10"/>
  <c r="T66" i="10"/>
  <c r="T202" i="10"/>
  <c r="T50" i="10"/>
  <c r="T121" i="10"/>
  <c r="T21" i="10"/>
  <c r="T213" i="10"/>
  <c r="T6" i="10"/>
  <c r="T148" i="10"/>
  <c r="S232" i="10"/>
  <c r="T232" i="10" s="1"/>
  <c r="V232" i="10"/>
  <c r="S199" i="10"/>
  <c r="T199" i="10" s="1"/>
  <c r="V199" i="10"/>
  <c r="S216" i="10"/>
  <c r="T216" i="10" s="1"/>
  <c r="S83" i="10"/>
  <c r="T83" i="10" s="1"/>
  <c r="V83" i="10"/>
  <c r="Z83" i="10"/>
  <c r="S114" i="10"/>
  <c r="T114" i="10" s="1"/>
  <c r="V114" i="10"/>
  <c r="S163" i="10"/>
  <c r="T163" i="10" s="1"/>
  <c r="V163" i="10"/>
  <c r="T155" i="10"/>
  <c r="T178" i="10"/>
  <c r="P183" i="10"/>
  <c r="T49" i="10"/>
  <c r="M223" i="10"/>
  <c r="N223" i="10" s="1"/>
  <c r="O223" i="10" s="1"/>
  <c r="Y223" i="10"/>
  <c r="P158" i="10"/>
  <c r="M158" i="10"/>
  <c r="N158" i="10" s="1"/>
  <c r="O158" i="10" s="1"/>
  <c r="Y158" i="10"/>
  <c r="Z158" i="10" s="1"/>
  <c r="T245" i="10"/>
  <c r="P245" i="10"/>
  <c r="M245" i="10"/>
  <c r="N245" i="10" s="1"/>
  <c r="O245" i="10" s="1"/>
  <c r="Y245" i="10"/>
  <c r="Z245" i="10" s="1"/>
  <c r="P171" i="10"/>
  <c r="M171" i="10"/>
  <c r="N171" i="10" s="1"/>
  <c r="O171" i="10" s="1"/>
  <c r="Y171" i="10"/>
  <c r="M209" i="10"/>
  <c r="N209" i="10" s="1"/>
  <c r="O209" i="10" s="1"/>
  <c r="P209" i="10"/>
  <c r="Y209" i="10"/>
  <c r="Z209" i="10" s="1"/>
  <c r="M84" i="10"/>
  <c r="N84" i="10" s="1"/>
  <c r="O84" i="10" s="1"/>
  <c r="P84" i="10"/>
  <c r="Y84" i="10"/>
  <c r="Z84" i="10" s="1"/>
  <c r="M174" i="10"/>
  <c r="N174" i="10" s="1"/>
  <c r="O174" i="10" s="1"/>
  <c r="P174" i="10"/>
  <c r="Y174" i="10"/>
  <c r="Z174" i="10" s="1"/>
  <c r="P126" i="10"/>
  <c r="M126" i="10"/>
  <c r="N126" i="10" s="1"/>
  <c r="O126" i="10" s="1"/>
  <c r="Y126" i="10"/>
  <c r="P150" i="10"/>
  <c r="M150" i="10"/>
  <c r="N150" i="10" s="1"/>
  <c r="O150" i="10" s="1"/>
  <c r="Y150" i="10"/>
  <c r="Z150" i="10" s="1"/>
  <c r="M67" i="10"/>
  <c r="N67" i="10" s="1"/>
  <c r="O67" i="10" s="1"/>
  <c r="P67" i="10"/>
  <c r="Y67" i="10"/>
  <c r="Z67" i="10" s="1"/>
  <c r="M141" i="10"/>
  <c r="N141" i="10" s="1"/>
  <c r="O141" i="10" s="1"/>
  <c r="Y141" i="10"/>
  <c r="Z141" i="10" s="1"/>
  <c r="P52" i="10"/>
  <c r="M52" i="10"/>
  <c r="N52" i="10" s="1"/>
  <c r="O52" i="10" s="1"/>
  <c r="Y52" i="10"/>
  <c r="Z52" i="10" s="1"/>
  <c r="P38" i="10"/>
  <c r="M38" i="10"/>
  <c r="N38" i="10" s="1"/>
  <c r="O38" i="10" s="1"/>
  <c r="Y38" i="10"/>
  <c r="Z38" i="10" s="1"/>
  <c r="P33" i="10"/>
  <c r="M33" i="10"/>
  <c r="N33" i="10" s="1"/>
  <c r="O33" i="10" s="1"/>
  <c r="Y33" i="10"/>
  <c r="Z33" i="10" s="1"/>
  <c r="M22" i="10"/>
  <c r="N22" i="10" s="1"/>
  <c r="O22" i="10" s="1"/>
  <c r="Y22" i="10"/>
  <c r="Z22" i="10" s="1"/>
  <c r="P235" i="10"/>
  <c r="T235" i="10"/>
  <c r="Y235" i="10"/>
  <c r="Z235" i="10" s="1"/>
  <c r="T101" i="10"/>
  <c r="P101" i="10"/>
  <c r="Y101" i="10"/>
  <c r="Z101" i="10" s="1"/>
  <c r="M101" i="10"/>
  <c r="N101" i="10" s="1"/>
  <c r="O101" i="10" s="1"/>
  <c r="P217" i="10"/>
  <c r="Y217" i="10"/>
  <c r="Z217" i="10" s="1"/>
  <c r="M248" i="10"/>
  <c r="N248" i="10" s="1"/>
  <c r="O248" i="10" s="1"/>
  <c r="P248" i="10"/>
  <c r="T248" i="10"/>
  <c r="M91" i="10"/>
  <c r="N91" i="10" s="1"/>
  <c r="O91" i="10" s="1"/>
  <c r="P91" i="10"/>
  <c r="M244" i="10"/>
  <c r="N244" i="10" s="1"/>
  <c r="O244" i="10" s="1"/>
  <c r="P244" i="10"/>
  <c r="M192" i="10"/>
  <c r="N192" i="10" s="1"/>
  <c r="O192" i="10" s="1"/>
  <c r="P192" i="10"/>
  <c r="M86" i="10"/>
  <c r="N86" i="10" s="1"/>
  <c r="O86" i="10" s="1"/>
  <c r="P86" i="10"/>
  <c r="M81" i="10"/>
  <c r="N81" i="10" s="1"/>
  <c r="O81" i="10" s="1"/>
  <c r="P81" i="10"/>
  <c r="M227" i="10"/>
  <c r="N227" i="10" s="1"/>
  <c r="O227" i="10" s="1"/>
  <c r="P227" i="10"/>
  <c r="M75" i="10"/>
  <c r="N75" i="10" s="1"/>
  <c r="O75" i="10" s="1"/>
  <c r="P75" i="10"/>
  <c r="M131" i="10"/>
  <c r="N131" i="10" s="1"/>
  <c r="O131" i="10" s="1"/>
  <c r="P131" i="10"/>
  <c r="M110" i="10"/>
  <c r="N110" i="10" s="1"/>
  <c r="O110" i="10" s="1"/>
  <c r="P110" i="10"/>
  <c r="M45" i="10"/>
  <c r="N45" i="10" s="1"/>
  <c r="O45" i="10" s="1"/>
  <c r="P45" i="10"/>
  <c r="M207" i="10"/>
  <c r="N207" i="10" s="1"/>
  <c r="O207" i="10" s="1"/>
  <c r="P207" i="10"/>
  <c r="M214" i="10"/>
  <c r="N214" i="10" s="1"/>
  <c r="O214" i="10" s="1"/>
  <c r="P214" i="10"/>
  <c r="M18" i="10"/>
  <c r="N18" i="10" s="1"/>
  <c r="O18" i="10" s="1"/>
  <c r="P18" i="10"/>
  <c r="M10" i="10"/>
  <c r="N10" i="10" s="1"/>
  <c r="O10" i="10" s="1"/>
  <c r="X10" i="10" s="1"/>
  <c r="P10" i="10"/>
  <c r="M118" i="10"/>
  <c r="N118" i="10" s="1"/>
  <c r="O118" i="10" s="1"/>
  <c r="P118" i="10"/>
  <c r="M122" i="10"/>
  <c r="N122" i="10" s="1"/>
  <c r="O122" i="10" s="1"/>
  <c r="P122" i="10"/>
  <c r="Z168" i="10"/>
  <c r="Z28" i="10"/>
  <c r="Y248" i="10"/>
  <c r="Z248" i="10" s="1"/>
  <c r="Y75" i="10"/>
  <c r="Y18" i="10"/>
  <c r="Z18" i="10" s="1"/>
  <c r="W197" i="10"/>
  <c r="T214" i="10"/>
  <c r="W71" i="10"/>
  <c r="W17" i="10"/>
  <c r="P141" i="10"/>
  <c r="AA80" i="10"/>
  <c r="Y227" i="10"/>
  <c r="Z227" i="10" s="1"/>
  <c r="Y214" i="10"/>
  <c r="W23" i="10"/>
  <c r="V195" i="10"/>
  <c r="T158" i="10"/>
  <c r="W191" i="10"/>
  <c r="T223" i="10"/>
  <c r="S89" i="10"/>
  <c r="T89" i="10" s="1"/>
  <c r="S147" i="10"/>
  <c r="T147" i="10" s="1"/>
  <c r="S135" i="10"/>
  <c r="T135" i="10" s="1"/>
  <c r="V155" i="10"/>
  <c r="V37" i="10"/>
  <c r="V228" i="10"/>
  <c r="T84" i="10"/>
  <c r="T32" i="10"/>
  <c r="T228" i="10"/>
  <c r="T181" i="10"/>
  <c r="T221" i="10"/>
  <c r="S249" i="10"/>
  <c r="T249" i="10" s="1"/>
  <c r="S170" i="10"/>
  <c r="T170" i="10" s="1"/>
  <c r="V51" i="10"/>
  <c r="W99" i="10"/>
  <c r="T200" i="10"/>
  <c r="T162" i="10"/>
  <c r="M187" i="10"/>
  <c r="N187" i="10" s="1"/>
  <c r="O187" i="10" s="1"/>
  <c r="X187" i="10" s="1"/>
  <c r="P187" i="10"/>
  <c r="P215" i="10"/>
  <c r="M215" i="10"/>
  <c r="N215" i="10" s="1"/>
  <c r="O215" i="10" s="1"/>
  <c r="P64" i="10"/>
  <c r="M64" i="10"/>
  <c r="N64" i="10" s="1"/>
  <c r="O64" i="10" s="1"/>
  <c r="M58" i="10"/>
  <c r="N58" i="10" s="1"/>
  <c r="O58" i="10" s="1"/>
  <c r="P58" i="10"/>
  <c r="M180" i="10"/>
  <c r="N180" i="10" s="1"/>
  <c r="O180" i="10" s="1"/>
  <c r="P180" i="10"/>
  <c r="M119" i="10"/>
  <c r="N119" i="10" s="1"/>
  <c r="O119" i="10" s="1"/>
  <c r="S191" i="10"/>
  <c r="T191" i="10" s="1"/>
  <c r="S116" i="10"/>
  <c r="T116" i="10" s="1"/>
  <c r="S152" i="10"/>
  <c r="T152" i="10" s="1"/>
  <c r="S156" i="10"/>
  <c r="T156" i="10" s="1"/>
  <c r="P246" i="10"/>
  <c r="P239" i="10"/>
  <c r="S85" i="10"/>
  <c r="T85" i="10" s="1"/>
  <c r="S100" i="10"/>
  <c r="T100" i="10" s="1"/>
  <c r="S164" i="10"/>
  <c r="T164" i="10" s="1"/>
  <c r="S161" i="10"/>
  <c r="T161" i="10" s="1"/>
  <c r="P48" i="10"/>
  <c r="W88" i="10"/>
  <c r="W152" i="10"/>
  <c r="T123" i="10"/>
  <c r="T187" i="10"/>
  <c r="S205" i="10"/>
  <c r="T205" i="10" s="1"/>
  <c r="S242" i="10"/>
  <c r="T242" i="10" s="1"/>
  <c r="S218" i="10"/>
  <c r="T218" i="10" s="1"/>
  <c r="S113" i="10"/>
  <c r="T113" i="10" s="1"/>
  <c r="S234" i="10"/>
  <c r="T234" i="10" s="1"/>
  <c r="S224" i="10"/>
  <c r="T224" i="10" s="1"/>
  <c r="M251" i="10"/>
  <c r="N251" i="10" s="1"/>
  <c r="O251" i="10" s="1"/>
  <c r="P251" i="10"/>
  <c r="M177" i="10"/>
  <c r="N177" i="10" s="1"/>
  <c r="O177" i="10" s="1"/>
  <c r="P177" i="10"/>
  <c r="M225" i="10"/>
  <c r="N225" i="10" s="1"/>
  <c r="O225" i="10" s="1"/>
  <c r="P225" i="10"/>
  <c r="M165" i="10"/>
  <c r="N165" i="10" s="1"/>
  <c r="O165" i="10" s="1"/>
  <c r="P165" i="10"/>
  <c r="M185" i="10"/>
  <c r="N185" i="10" s="1"/>
  <c r="O185" i="10" s="1"/>
  <c r="P185" i="10"/>
  <c r="M168" i="10"/>
  <c r="N168" i="10" s="1"/>
  <c r="O168" i="10" s="1"/>
  <c r="P168" i="10"/>
  <c r="M98" i="10"/>
  <c r="N98" i="10" s="1"/>
  <c r="O98" i="10" s="1"/>
  <c r="X98" i="10" s="1"/>
  <c r="P98" i="10"/>
  <c r="M117" i="10"/>
  <c r="N117" i="10" s="1"/>
  <c r="O117" i="10" s="1"/>
  <c r="P117" i="10"/>
  <c r="M72" i="10"/>
  <c r="N72" i="10" s="1"/>
  <c r="O72" i="10" s="1"/>
  <c r="P72" i="10"/>
  <c r="M68" i="10"/>
  <c r="N68" i="10" s="1"/>
  <c r="O68" i="10" s="1"/>
  <c r="P68" i="10"/>
  <c r="M60" i="10"/>
  <c r="N60" i="10" s="1"/>
  <c r="O60" i="10" s="1"/>
  <c r="P60" i="10"/>
  <c r="M53" i="10"/>
  <c r="N53" i="10" s="1"/>
  <c r="O53" i="10" s="1"/>
  <c r="P53" i="10"/>
  <c r="M39" i="10"/>
  <c r="N39" i="10" s="1"/>
  <c r="O39" i="10" s="1"/>
  <c r="X39" i="10" s="1"/>
  <c r="P39" i="10"/>
  <c r="M34" i="10"/>
  <c r="N34" i="10" s="1"/>
  <c r="O34" i="10" s="1"/>
  <c r="P34" i="10"/>
  <c r="M23" i="10"/>
  <c r="N23" i="10" s="1"/>
  <c r="O23" i="10" s="1"/>
  <c r="P23" i="10"/>
  <c r="M15" i="10"/>
  <c r="N15" i="10" s="1"/>
  <c r="O15" i="10" s="1"/>
  <c r="P15" i="10"/>
  <c r="M7" i="10"/>
  <c r="N7" i="10" s="1"/>
  <c r="O7" i="10" s="1"/>
  <c r="P7" i="10"/>
  <c r="M3" i="10"/>
  <c r="N3" i="10" s="1"/>
  <c r="O3" i="10" s="1"/>
  <c r="P3" i="10"/>
  <c r="M254" i="10"/>
  <c r="N254" i="10" s="1"/>
  <c r="O254" i="10" s="1"/>
  <c r="P254" i="10"/>
  <c r="M145" i="10"/>
  <c r="N145" i="10" s="1"/>
  <c r="O145" i="10" s="1"/>
  <c r="P145" i="10"/>
  <c r="M124" i="10"/>
  <c r="N124" i="10" s="1"/>
  <c r="O124" i="10" s="1"/>
  <c r="X124" i="10" s="1"/>
  <c r="P124" i="10"/>
  <c r="M243" i="10"/>
  <c r="N243" i="10" s="1"/>
  <c r="O243" i="10" s="1"/>
  <c r="P243" i="10"/>
  <c r="M190" i="10"/>
  <c r="N190" i="10" s="1"/>
  <c r="O190" i="10" s="1"/>
  <c r="P190" i="10"/>
  <c r="M241" i="10"/>
  <c r="N241" i="10" s="1"/>
  <c r="O241" i="10" s="1"/>
  <c r="P241" i="10"/>
  <c r="M237" i="10"/>
  <c r="N237" i="10" s="1"/>
  <c r="O237" i="10" s="1"/>
  <c r="P237" i="10"/>
  <c r="M229" i="10"/>
  <c r="N229" i="10" s="1"/>
  <c r="O229" i="10" s="1"/>
  <c r="P229" i="10"/>
  <c r="M96" i="10"/>
  <c r="N96" i="10" s="1"/>
  <c r="O96" i="10" s="1"/>
  <c r="P96" i="10"/>
  <c r="M70" i="10"/>
  <c r="N70" i="10" s="1"/>
  <c r="O70" i="10" s="1"/>
  <c r="P70" i="10"/>
  <c r="M63" i="10"/>
  <c r="N63" i="10" s="1"/>
  <c r="O63" i="10" s="1"/>
  <c r="P63" i="10"/>
  <c r="M201" i="10"/>
  <c r="N201" i="10" s="1"/>
  <c r="O201" i="10" s="1"/>
  <c r="P201" i="10"/>
  <c r="M42" i="10"/>
  <c r="N42" i="10" s="1"/>
  <c r="O42" i="10" s="1"/>
  <c r="P42" i="10"/>
  <c r="M94" i="10"/>
  <c r="N94" i="10" s="1"/>
  <c r="O94" i="10" s="1"/>
  <c r="P94" i="10"/>
  <c r="M26" i="10"/>
  <c r="N26" i="10" s="1"/>
  <c r="O26" i="10" s="1"/>
  <c r="P26" i="10"/>
  <c r="M133" i="10"/>
  <c r="N133" i="10" s="1"/>
  <c r="O133" i="10" s="1"/>
  <c r="P133" i="10"/>
  <c r="M198" i="10"/>
  <c r="N198" i="10" s="1"/>
  <c r="O198" i="10" s="1"/>
  <c r="X198" i="10" s="1"/>
  <c r="P198" i="10"/>
  <c r="M208" i="10"/>
  <c r="N208" i="10" s="1"/>
  <c r="O208" i="10" s="1"/>
  <c r="P208" i="10"/>
  <c r="M138" i="10"/>
  <c r="N138" i="10" s="1"/>
  <c r="O138" i="10" s="1"/>
  <c r="P138" i="10"/>
  <c r="W8" i="10" l="1"/>
  <c r="X219" i="10"/>
  <c r="P42" i="34"/>
  <c r="P122" i="34"/>
  <c r="P22" i="34"/>
  <c r="R22" i="34" s="1"/>
  <c r="P13" i="34"/>
  <c r="R13" i="34" s="1"/>
  <c r="P58" i="34"/>
  <c r="R58" i="34" s="1"/>
  <c r="P74" i="34"/>
  <c r="R74" i="34" s="1"/>
  <c r="P106" i="34"/>
  <c r="R106" i="34" s="1"/>
  <c r="P90" i="34"/>
  <c r="R90" i="34" s="1"/>
  <c r="P32" i="34"/>
  <c r="R32" i="34" s="1"/>
  <c r="W18" i="10"/>
  <c r="X18" i="10" s="1"/>
  <c r="Q16" i="34"/>
  <c r="Q62" i="34"/>
  <c r="P51" i="34"/>
  <c r="R51" i="34" s="1"/>
  <c r="P67" i="34"/>
  <c r="R67" i="34" s="1"/>
  <c r="P83" i="34"/>
  <c r="R83" i="34" s="1"/>
  <c r="P99" i="34"/>
  <c r="R99" i="34" s="1"/>
  <c r="P115" i="34"/>
  <c r="P131" i="34"/>
  <c r="R131" i="34" s="1"/>
  <c r="P117" i="34"/>
  <c r="R117" i="34" s="1"/>
  <c r="P53" i="34"/>
  <c r="R53" i="34" s="1"/>
  <c r="P133" i="34"/>
  <c r="P69" i="34"/>
  <c r="P85" i="34"/>
  <c r="R85" i="34" s="1"/>
  <c r="P101" i="34"/>
  <c r="R101" i="34" s="1"/>
  <c r="W32" i="10"/>
  <c r="W205" i="10"/>
  <c r="Q21" i="34"/>
  <c r="W173" i="10"/>
  <c r="W138" i="10"/>
  <c r="Q40" i="34"/>
  <c r="Q117" i="34"/>
  <c r="Q61" i="34"/>
  <c r="Q102" i="34"/>
  <c r="P48" i="34"/>
  <c r="P64" i="34"/>
  <c r="R64" i="34" s="1"/>
  <c r="P128" i="34"/>
  <c r="R128" i="34" s="1"/>
  <c r="P80" i="34"/>
  <c r="P96" i="34"/>
  <c r="R96" i="34" s="1"/>
  <c r="P112" i="34"/>
  <c r="R112" i="34" s="1"/>
  <c r="W157" i="10"/>
  <c r="AA157" i="10" s="1"/>
  <c r="Q111" i="34"/>
  <c r="Q86" i="34"/>
  <c r="X53" i="10"/>
  <c r="P46" i="34"/>
  <c r="R46" i="34" s="1"/>
  <c r="P78" i="34"/>
  <c r="R78" i="34" s="1"/>
  <c r="P126" i="34"/>
  <c r="P36" i="34"/>
  <c r="P94" i="34"/>
  <c r="P7" i="34"/>
  <c r="P62" i="34"/>
  <c r="R62" i="34" s="1"/>
  <c r="P110" i="34"/>
  <c r="R110" i="34" s="1"/>
  <c r="P26" i="34"/>
  <c r="R26" i="34" s="1"/>
  <c r="W130" i="10"/>
  <c r="AA130" i="10" s="1"/>
  <c r="W73" i="10"/>
  <c r="AA93" i="10"/>
  <c r="R6" i="34"/>
  <c r="Q6" i="34"/>
  <c r="Q134" i="34"/>
  <c r="P23" i="34"/>
  <c r="R23" i="34" s="1"/>
  <c r="P107" i="34"/>
  <c r="P91" i="34"/>
  <c r="P43" i="34"/>
  <c r="P14" i="34"/>
  <c r="P59" i="34"/>
  <c r="R59" i="34" s="1"/>
  <c r="P33" i="34"/>
  <c r="P75" i="34"/>
  <c r="R75" i="34" s="1"/>
  <c r="P123" i="34"/>
  <c r="R123" i="34" s="1"/>
  <c r="P9" i="34"/>
  <c r="P37" i="34"/>
  <c r="P79" i="34"/>
  <c r="R79" i="34" s="1"/>
  <c r="P27" i="34"/>
  <c r="R27" i="34" s="1"/>
  <c r="P95" i="34"/>
  <c r="P111" i="34"/>
  <c r="R111" i="34" s="1"/>
  <c r="P63" i="34"/>
  <c r="R63" i="34" s="1"/>
  <c r="P127" i="34"/>
  <c r="R127" i="34" s="1"/>
  <c r="P47" i="34"/>
  <c r="R47" i="34" s="1"/>
  <c r="P12" i="34"/>
  <c r="R12" i="34" s="1"/>
  <c r="P50" i="34"/>
  <c r="R50" i="34" s="1"/>
  <c r="P130" i="34"/>
  <c r="P66" i="34"/>
  <c r="R66" i="34" s="1"/>
  <c r="P82" i="34"/>
  <c r="P98" i="34"/>
  <c r="R98" i="34" s="1"/>
  <c r="P2" i="34"/>
  <c r="R2" i="34" s="1"/>
  <c r="P114" i="34"/>
  <c r="R114" i="34" s="1"/>
  <c r="X26" i="10"/>
  <c r="Q114" i="34"/>
  <c r="Q13" i="34"/>
  <c r="Q64" i="34"/>
  <c r="Q41" i="34"/>
  <c r="Q53" i="34"/>
  <c r="Q96" i="34"/>
  <c r="Q113" i="34"/>
  <c r="X241" i="10"/>
  <c r="X180" i="10"/>
  <c r="W86" i="10"/>
  <c r="AA86" i="10" s="1"/>
  <c r="X46" i="10"/>
  <c r="W58" i="10"/>
  <c r="AA58" i="10" s="1"/>
  <c r="P102" i="34"/>
  <c r="R102" i="34" s="1"/>
  <c r="P18" i="34"/>
  <c r="R18" i="34" s="1"/>
  <c r="P8" i="34"/>
  <c r="R8" i="34" s="1"/>
  <c r="P54" i="34"/>
  <c r="R54" i="34" s="1"/>
  <c r="P70" i="34"/>
  <c r="P28" i="34"/>
  <c r="R28" i="34" s="1"/>
  <c r="P118" i="34"/>
  <c r="P15" i="34"/>
  <c r="P38" i="34"/>
  <c r="P86" i="34"/>
  <c r="R86" i="34" s="1"/>
  <c r="Q51" i="34"/>
  <c r="Q123" i="34"/>
  <c r="W139" i="10"/>
  <c r="X139" i="10" s="1"/>
  <c r="P121" i="34"/>
  <c r="P57" i="34"/>
  <c r="R57" i="34" s="1"/>
  <c r="P105" i="34"/>
  <c r="P5" i="34"/>
  <c r="P73" i="34"/>
  <c r="P89" i="34"/>
  <c r="P31" i="34"/>
  <c r="P21" i="34"/>
  <c r="R21" i="34" s="1"/>
  <c r="P41" i="34"/>
  <c r="R41" i="34" s="1"/>
  <c r="W133" i="10"/>
  <c r="AA133" i="10" s="1"/>
  <c r="P136" i="34"/>
  <c r="Q67" i="34"/>
  <c r="Q129" i="34"/>
  <c r="Q56" i="34"/>
  <c r="Q99" i="34"/>
  <c r="W108" i="10"/>
  <c r="AA48" i="10"/>
  <c r="P65" i="34"/>
  <c r="P49" i="34"/>
  <c r="P81" i="34"/>
  <c r="R81" i="34" s="1"/>
  <c r="P97" i="34"/>
  <c r="P113" i="34"/>
  <c r="R113" i="34" s="1"/>
  <c r="P129" i="34"/>
  <c r="R129" i="34" s="1"/>
  <c r="W240" i="10"/>
  <c r="X240" i="10" s="1"/>
  <c r="Q83" i="34"/>
  <c r="W119" i="10"/>
  <c r="AA119" i="10" s="1"/>
  <c r="P87" i="34"/>
  <c r="P16" i="34"/>
  <c r="R16" i="34" s="1"/>
  <c r="P103" i="34"/>
  <c r="P19" i="34"/>
  <c r="R19" i="34" s="1"/>
  <c r="P29" i="34"/>
  <c r="P119" i="34"/>
  <c r="P39" i="34"/>
  <c r="P55" i="34"/>
  <c r="P11" i="34"/>
  <c r="P71" i="34"/>
  <c r="R71" i="34" s="1"/>
  <c r="W248" i="10"/>
  <c r="W122" i="10"/>
  <c r="AA122" i="10" s="1"/>
  <c r="W135" i="10"/>
  <c r="W230" i="10"/>
  <c r="AA230" i="10" s="1"/>
  <c r="Q66" i="34"/>
  <c r="Q127" i="34"/>
  <c r="Q75" i="34"/>
  <c r="Q35" i="34"/>
  <c r="R35" i="34"/>
  <c r="Q137" i="34"/>
  <c r="X60" i="10"/>
  <c r="X117" i="10"/>
  <c r="AA212" i="10"/>
  <c r="W84" i="10"/>
  <c r="X84" i="10" s="1"/>
  <c r="Q22" i="34"/>
  <c r="Q46" i="34"/>
  <c r="Q58" i="34"/>
  <c r="Q19" i="34"/>
  <c r="Q135" i="34"/>
  <c r="X151" i="10"/>
  <c r="AA151" i="10"/>
  <c r="AA20" i="10"/>
  <c r="W246" i="10"/>
  <c r="W145" i="10"/>
  <c r="AA145" i="10" s="1"/>
  <c r="X72" i="10"/>
  <c r="W106" i="10"/>
  <c r="X106" i="10" s="1"/>
  <c r="X58" i="10"/>
  <c r="W100" i="10"/>
  <c r="X243" i="10"/>
  <c r="X64" i="10"/>
  <c r="X62" i="10"/>
  <c r="W245" i="10"/>
  <c r="X245" i="10" s="1"/>
  <c r="W233" i="10"/>
  <c r="X233" i="10" s="1"/>
  <c r="W102" i="10"/>
  <c r="X102" i="10" s="1"/>
  <c r="Z254" i="10"/>
  <c r="W79" i="10"/>
  <c r="X242" i="10"/>
  <c r="X160" i="10"/>
  <c r="X206" i="10"/>
  <c r="W158" i="10"/>
  <c r="X158" i="10" s="1"/>
  <c r="X123" i="10"/>
  <c r="AA123" i="10"/>
  <c r="X34" i="10"/>
  <c r="X118" i="10"/>
  <c r="W196" i="10"/>
  <c r="X196" i="10" s="1"/>
  <c r="Z86" i="10"/>
  <c r="W19" i="10"/>
  <c r="AA19" i="10" s="1"/>
  <c r="W14" i="10"/>
  <c r="X14" i="10" s="1"/>
  <c r="W83" i="10"/>
  <c r="X83" i="10" s="1"/>
  <c r="X185" i="10"/>
  <c r="W176" i="10"/>
  <c r="X176" i="10" s="1"/>
  <c r="AA120" i="10"/>
  <c r="X120" i="10"/>
  <c r="AA147" i="10"/>
  <c r="X29" i="10"/>
  <c r="W136" i="10"/>
  <c r="X136" i="10" s="1"/>
  <c r="W27" i="10"/>
  <c r="W210" i="10"/>
  <c r="X210" i="10" s="1"/>
  <c r="W22" i="10"/>
  <c r="X22" i="10" s="1"/>
  <c r="W113" i="10"/>
  <c r="W91" i="10"/>
  <c r="X3" i="10"/>
  <c r="W184" i="10"/>
  <c r="W82" i="10"/>
  <c r="W211" i="10"/>
  <c r="X211" i="10" s="1"/>
  <c r="W189" i="10"/>
  <c r="AA189" i="10" s="1"/>
  <c r="X130" i="10"/>
  <c r="X94" i="10"/>
  <c r="W234" i="10"/>
  <c r="W111" i="10"/>
  <c r="AA111" i="10" s="1"/>
  <c r="X7" i="10"/>
  <c r="X68" i="10"/>
  <c r="X225" i="10"/>
  <c r="W144" i="10"/>
  <c r="X144" i="10" s="1"/>
  <c r="AA105" i="10"/>
  <c r="AA156" i="10"/>
  <c r="X165" i="10"/>
  <c r="W218" i="10"/>
  <c r="W74" i="10"/>
  <c r="X237" i="10"/>
  <c r="AA237" i="10"/>
  <c r="X85" i="10"/>
  <c r="AA85" i="10"/>
  <c r="AA234" i="10"/>
  <c r="X234" i="10"/>
  <c r="W215" i="10"/>
  <c r="AA215" i="10" s="1"/>
  <c r="W252" i="10"/>
  <c r="X252" i="10" s="1"/>
  <c r="W195" i="10"/>
  <c r="AA195" i="10" s="1"/>
  <c r="W50" i="10"/>
  <c r="AA50" i="10" s="1"/>
  <c r="W166" i="10"/>
  <c r="AA166" i="10" s="1"/>
  <c r="W170" i="10"/>
  <c r="AA170" i="10" s="1"/>
  <c r="W87" i="10"/>
  <c r="W103" i="10"/>
  <c r="AA103" i="10" s="1"/>
  <c r="Z134" i="10"/>
  <c r="W134" i="10"/>
  <c r="X201" i="10"/>
  <c r="X190" i="10"/>
  <c r="X177" i="10"/>
  <c r="X168" i="10"/>
  <c r="AA62" i="10"/>
  <c r="X208" i="10"/>
  <c r="W6" i="10"/>
  <c r="W179" i="10"/>
  <c r="AA179" i="10" s="1"/>
  <c r="W31" i="10"/>
  <c r="W42" i="10"/>
  <c r="AA42" i="10" s="1"/>
  <c r="W238" i="10"/>
  <c r="W51" i="10"/>
  <c r="X51" i="10" s="1"/>
  <c r="W228" i="10"/>
  <c r="AA228" i="10" s="1"/>
  <c r="X140" i="10"/>
  <c r="Z244" i="10"/>
  <c r="W244" i="10"/>
  <c r="W69" i="10"/>
  <c r="W201" i="10"/>
  <c r="AA201" i="10" s="1"/>
  <c r="X186" i="10"/>
  <c r="AA186" i="10"/>
  <c r="W63" i="10"/>
  <c r="AA63" i="10" s="1"/>
  <c r="W52" i="10"/>
  <c r="X52" i="10" s="1"/>
  <c r="W174" i="10"/>
  <c r="AA174" i="10" s="1"/>
  <c r="X97" i="10"/>
  <c r="AA97" i="10"/>
  <c r="W101" i="10"/>
  <c r="AA101" i="10" s="1"/>
  <c r="X254" i="10"/>
  <c r="W4" i="10"/>
  <c r="AA4" i="10" s="1"/>
  <c r="W11" i="10"/>
  <c r="W81" i="10"/>
  <c r="AA81" i="10" s="1"/>
  <c r="Z96" i="10"/>
  <c r="AA40" i="10"/>
  <c r="X40" i="10"/>
  <c r="X137" i="10"/>
  <c r="AA137" i="10"/>
  <c r="W222" i="10"/>
  <c r="Z188" i="10"/>
  <c r="Z13" i="10"/>
  <c r="W13" i="10"/>
  <c r="W12" i="10"/>
  <c r="W232" i="10"/>
  <c r="AA232" i="10" s="1"/>
  <c r="W61" i="10"/>
  <c r="AA61" i="10" s="1"/>
  <c r="W70" i="10"/>
  <c r="AA70" i="10" s="1"/>
  <c r="W163" i="10"/>
  <c r="AA163" i="10" s="1"/>
  <c r="W220" i="10"/>
  <c r="W172" i="10"/>
  <c r="W107" i="10"/>
  <c r="X253" i="10"/>
  <c r="AA253" i="10"/>
  <c r="W229" i="10"/>
  <c r="AA229" i="10" s="1"/>
  <c r="W95" i="10"/>
  <c r="W207" i="10"/>
  <c r="W33" i="10"/>
  <c r="AA33" i="10" s="1"/>
  <c r="X133" i="10"/>
  <c r="X96" i="10"/>
  <c r="W43" i="10"/>
  <c r="X43" i="10" s="1"/>
  <c r="X157" i="10"/>
  <c r="AA236" i="10"/>
  <c r="W41" i="10"/>
  <c r="X127" i="10"/>
  <c r="AA127" i="10"/>
  <c r="W47" i="10"/>
  <c r="Z237" i="10"/>
  <c r="X89" i="10"/>
  <c r="AA89" i="10"/>
  <c r="AA28" i="10"/>
  <c r="X28" i="10"/>
  <c r="X115" i="10"/>
  <c r="AA115" i="10"/>
  <c r="AA164" i="10"/>
  <c r="W92" i="10"/>
  <c r="AA92" i="10" s="1"/>
  <c r="W178" i="10"/>
  <c r="AA178" i="10" s="1"/>
  <c r="AA160" i="10"/>
  <c r="W25" i="10"/>
  <c r="W57" i="10"/>
  <c r="AA188" i="10"/>
  <c r="X188" i="10"/>
  <c r="AA73" i="10"/>
  <c r="X73" i="10"/>
  <c r="X131" i="10"/>
  <c r="AA131" i="10"/>
  <c r="AA152" i="10"/>
  <c r="X152" i="10"/>
  <c r="X135" i="10"/>
  <c r="AA135" i="10"/>
  <c r="X128" i="10"/>
  <c r="AA128" i="10"/>
  <c r="AA35" i="10"/>
  <c r="X35" i="10"/>
  <c r="X88" i="10"/>
  <c r="AA88" i="10"/>
  <c r="AA99" i="10"/>
  <c r="X99" i="10"/>
  <c r="AA248" i="10"/>
  <c r="X248" i="10"/>
  <c r="AA76" i="10"/>
  <c r="X76" i="10"/>
  <c r="X31" i="10"/>
  <c r="AA31" i="10"/>
  <c r="Z250" i="10"/>
  <c r="W250" i="10"/>
  <c r="X15" i="10"/>
  <c r="AA15" i="10"/>
  <c r="Z204" i="10"/>
  <c r="W204" i="10"/>
  <c r="W148" i="10"/>
  <c r="Z148" i="10"/>
  <c r="X6" i="10"/>
  <c r="AA6" i="10"/>
  <c r="AA197" i="10"/>
  <c r="X197" i="10"/>
  <c r="W146" i="10"/>
  <c r="W54" i="10"/>
  <c r="X66" i="10"/>
  <c r="AA66" i="10"/>
  <c r="X36" i="10"/>
  <c r="AA36" i="10"/>
  <c r="W221" i="10"/>
  <c r="AA32" i="10"/>
  <c r="X32" i="10"/>
  <c r="Z109" i="10"/>
  <c r="W109" i="10"/>
  <c r="X23" i="10"/>
  <c r="AA23" i="10"/>
  <c r="X50" i="10"/>
  <c r="Z171" i="10"/>
  <c r="W171" i="10"/>
  <c r="X181" i="10"/>
  <c r="AA181" i="10"/>
  <c r="X224" i="10"/>
  <c r="AA224" i="10"/>
  <c r="AA8" i="10"/>
  <c r="X8" i="10"/>
  <c r="AA175" i="10"/>
  <c r="X175" i="10"/>
  <c r="X166" i="10"/>
  <c r="X159" i="10"/>
  <c r="AA159" i="10"/>
  <c r="X216" i="10"/>
  <c r="AA216" i="10"/>
  <c r="W213" i="10"/>
  <c r="Z213" i="10"/>
  <c r="W37" i="10"/>
  <c r="W214" i="10"/>
  <c r="Z214" i="10"/>
  <c r="AA183" i="10"/>
  <c r="X183" i="10"/>
  <c r="W217" i="10"/>
  <c r="W114" i="10"/>
  <c r="X5" i="10"/>
  <c r="AA5" i="10"/>
  <c r="W143" i="10"/>
  <c r="W121" i="10"/>
  <c r="Z203" i="10"/>
  <c r="W203" i="10"/>
  <c r="X56" i="10"/>
  <c r="AA56" i="10"/>
  <c r="Z49" i="10"/>
  <c r="W49" i="10"/>
  <c r="W155" i="10"/>
  <c r="X108" i="10"/>
  <c r="AA108" i="10"/>
  <c r="W126" i="10"/>
  <c r="Z126" i="10"/>
  <c r="W150" i="10"/>
  <c r="X161" i="10"/>
  <c r="AA161" i="10"/>
  <c r="W67" i="10"/>
  <c r="W38" i="10"/>
  <c r="X251" i="10"/>
  <c r="AA251" i="10"/>
  <c r="X153" i="10"/>
  <c r="AA153" i="10"/>
  <c r="W132" i="10"/>
  <c r="AA158" i="10"/>
  <c r="W104" i="10"/>
  <c r="Z30" i="10"/>
  <c r="W30" i="10"/>
  <c r="Z200" i="10"/>
  <c r="W200" i="10"/>
  <c r="Z202" i="10"/>
  <c r="W202" i="10"/>
  <c r="AA83" i="10"/>
  <c r="Z112" i="10"/>
  <c r="W112" i="10"/>
  <c r="Z249" i="10"/>
  <c r="W249" i="10"/>
  <c r="W235" i="10"/>
  <c r="X173" i="10"/>
  <c r="AA173" i="10"/>
  <c r="W2" i="10"/>
  <c r="AA233" i="10"/>
  <c r="Z149" i="10"/>
  <c r="W149" i="10"/>
  <c r="Z129" i="10"/>
  <c r="W129" i="10"/>
  <c r="Z21" i="10"/>
  <c r="W21" i="10"/>
  <c r="Z59" i="10"/>
  <c r="W59" i="10"/>
  <c r="Z223" i="10"/>
  <c r="W223" i="10"/>
  <c r="W75" i="10"/>
  <c r="Z75" i="10"/>
  <c r="X193" i="10"/>
  <c r="AA193" i="10"/>
  <c r="W16" i="10"/>
  <c r="W141" i="10"/>
  <c r="X192" i="10"/>
  <c r="AA192" i="10"/>
  <c r="X24" i="10"/>
  <c r="AA24" i="10"/>
  <c r="Z194" i="10"/>
  <c r="W194" i="10"/>
  <c r="AA191" i="10"/>
  <c r="X191" i="10"/>
  <c r="X17" i="10"/>
  <c r="AA17" i="10"/>
  <c r="W209" i="10"/>
  <c r="W227" i="10"/>
  <c r="AA220" i="10"/>
  <c r="X220" i="10"/>
  <c r="AA71" i="10"/>
  <c r="X71" i="10"/>
  <c r="W78" i="10"/>
  <c r="W199" i="10"/>
  <c r="AA154" i="10"/>
  <c r="X154" i="10"/>
  <c r="X45" i="10"/>
  <c r="AA45" i="10"/>
  <c r="Z73" i="10"/>
  <c r="W65" i="10"/>
  <c r="X231" i="10"/>
  <c r="AA231" i="10"/>
  <c r="Z125" i="10"/>
  <c r="W125" i="10"/>
  <c r="X110" i="10"/>
  <c r="AA110" i="10"/>
  <c r="Z162" i="10"/>
  <c r="W162" i="10"/>
  <c r="Z142" i="10"/>
  <c r="W142" i="10"/>
  <c r="R39" i="34" l="1"/>
  <c r="Q39" i="34"/>
  <c r="R65" i="34"/>
  <c r="Q65" i="34"/>
  <c r="Q70" i="34"/>
  <c r="R70" i="34"/>
  <c r="R69" i="34"/>
  <c r="Q69" i="34"/>
  <c r="R105" i="34"/>
  <c r="Q105" i="34"/>
  <c r="R91" i="34"/>
  <c r="Q91" i="34"/>
  <c r="R7" i="34"/>
  <c r="Q7" i="34"/>
  <c r="Q50" i="34"/>
  <c r="Q133" i="34"/>
  <c r="R133" i="34"/>
  <c r="R118" i="34"/>
  <c r="Q118" i="34"/>
  <c r="Q43" i="34"/>
  <c r="R43" i="34"/>
  <c r="AA245" i="10"/>
  <c r="R94" i="34"/>
  <c r="Q94" i="34"/>
  <c r="Q81" i="34"/>
  <c r="R121" i="34"/>
  <c r="Q121" i="34"/>
  <c r="R36" i="34"/>
  <c r="Q36" i="34"/>
  <c r="X138" i="10"/>
  <c r="AA138" i="10"/>
  <c r="R14" i="34"/>
  <c r="Q14" i="34"/>
  <c r="R95" i="34"/>
  <c r="Q95" i="34"/>
  <c r="Q128" i="34"/>
  <c r="Q115" i="34"/>
  <c r="R115" i="34"/>
  <c r="R49" i="34"/>
  <c r="Q49" i="34"/>
  <c r="R107" i="34"/>
  <c r="Q107" i="34"/>
  <c r="R9" i="34"/>
  <c r="Q9" i="34"/>
  <c r="Q2" i="34"/>
  <c r="Q8" i="34"/>
  <c r="R48" i="34"/>
  <c r="Q48" i="34"/>
  <c r="X205" i="10"/>
  <c r="AA205" i="10"/>
  <c r="R122" i="34"/>
  <c r="Q122" i="34"/>
  <c r="Q29" i="34"/>
  <c r="R29" i="34"/>
  <c r="AA139" i="10"/>
  <c r="X103" i="10"/>
  <c r="X230" i="10"/>
  <c r="Q54" i="34"/>
  <c r="X61" i="10"/>
  <c r="AA18" i="10"/>
  <c r="AA84" i="10"/>
  <c r="AA240" i="10"/>
  <c r="X111" i="10"/>
  <c r="X119" i="10"/>
  <c r="Q79" i="34"/>
  <c r="R82" i="34"/>
  <c r="Q82" i="34"/>
  <c r="Q78" i="34"/>
  <c r="Q90" i="34"/>
  <c r="R42" i="34"/>
  <c r="Q42" i="34"/>
  <c r="R89" i="34"/>
  <c r="Q89" i="34"/>
  <c r="R73" i="34"/>
  <c r="Q73" i="34"/>
  <c r="Q110" i="34"/>
  <c r="Q87" i="34"/>
  <c r="R87" i="34"/>
  <c r="R80" i="34"/>
  <c r="Q80" i="34"/>
  <c r="Q47" i="34"/>
  <c r="Q85" i="34"/>
  <c r="X179" i="10"/>
  <c r="AA196" i="10"/>
  <c r="X86" i="10"/>
  <c r="Q32" i="34"/>
  <c r="Q26" i="34"/>
  <c r="R119" i="34"/>
  <c r="Q119" i="34"/>
  <c r="Q5" i="34"/>
  <c r="R5" i="34"/>
  <c r="R103" i="34"/>
  <c r="Q103" i="34"/>
  <c r="Q12" i="34"/>
  <c r="R126" i="34"/>
  <c r="Q126" i="34"/>
  <c r="Q63" i="34"/>
  <c r="AA136" i="10"/>
  <c r="Q131" i="34"/>
  <c r="Q28" i="34"/>
  <c r="Q101" i="34"/>
  <c r="X4" i="10"/>
  <c r="R136" i="34"/>
  <c r="Q136" i="34"/>
  <c r="Q27" i="34"/>
  <c r="Q37" i="34"/>
  <c r="R37" i="34"/>
  <c r="Q18" i="34"/>
  <c r="Q74" i="34"/>
  <c r="AA22" i="10"/>
  <c r="X122" i="10"/>
  <c r="X145" i="10"/>
  <c r="R11" i="34"/>
  <c r="Q11" i="34"/>
  <c r="R38" i="34"/>
  <c r="Q38" i="34"/>
  <c r="Q98" i="34"/>
  <c r="Q71" i="34"/>
  <c r="Q55" i="34"/>
  <c r="R55" i="34"/>
  <c r="Q97" i="34"/>
  <c r="R97" i="34"/>
  <c r="R31" i="34"/>
  <c r="Q31" i="34"/>
  <c r="R15" i="34"/>
  <c r="Q15" i="34"/>
  <c r="Q59" i="34"/>
  <c r="R130" i="34"/>
  <c r="Q130" i="34"/>
  <c r="R33" i="34"/>
  <c r="Q33" i="34"/>
  <c r="Q57" i="34"/>
  <c r="Q23" i="34"/>
  <c r="Q112" i="34"/>
  <c r="Q106" i="34"/>
  <c r="AA100" i="10"/>
  <c r="X100" i="10"/>
  <c r="X228" i="10"/>
  <c r="X27" i="10"/>
  <c r="AA27" i="10"/>
  <c r="X82" i="10"/>
  <c r="AA82" i="10"/>
  <c r="AA218" i="10"/>
  <c r="X218" i="10"/>
  <c r="X170" i="10"/>
  <c r="X232" i="10"/>
  <c r="AA79" i="10"/>
  <c r="X79" i="10"/>
  <c r="X189" i="10"/>
  <c r="X101" i="10"/>
  <c r="AA14" i="10"/>
  <c r="X70" i="10"/>
  <c r="AA106" i="10"/>
  <c r="AA176" i="10"/>
  <c r="AA144" i="10"/>
  <c r="X19" i="10"/>
  <c r="AA210" i="10"/>
  <c r="X91" i="10"/>
  <c r="AA91" i="10"/>
  <c r="X74" i="10"/>
  <c r="AA74" i="10"/>
  <c r="X246" i="10"/>
  <c r="AA246" i="10"/>
  <c r="AA113" i="10"/>
  <c r="X113" i="10"/>
  <c r="X184" i="10"/>
  <c r="AA184" i="10"/>
  <c r="X163" i="10"/>
  <c r="AA211" i="10"/>
  <c r="AA102" i="10"/>
  <c r="AA11" i="10"/>
  <c r="X11" i="10"/>
  <c r="AA51" i="10"/>
  <c r="AA252" i="10"/>
  <c r="X174" i="10"/>
  <c r="X13" i="10"/>
  <c r="AA13" i="10"/>
  <c r="X47" i="10"/>
  <c r="AA47" i="10"/>
  <c r="AA207" i="10"/>
  <c r="X207" i="10"/>
  <c r="X178" i="10"/>
  <c r="X92" i="10"/>
  <c r="AA43" i="10"/>
  <c r="AA41" i="10"/>
  <c r="X41" i="10"/>
  <c r="X229" i="10"/>
  <c r="X244" i="10"/>
  <c r="AA244" i="10"/>
  <c r="AA52" i="10"/>
  <c r="X33" i="10"/>
  <c r="X107" i="10"/>
  <c r="AA107" i="10"/>
  <c r="X63" i="10"/>
  <c r="AA87" i="10"/>
  <c r="X87" i="10"/>
  <c r="X25" i="10"/>
  <c r="AA25" i="10"/>
  <c r="AA12" i="10"/>
  <c r="X12" i="10"/>
  <c r="X42" i="10"/>
  <c r="X81" i="10"/>
  <c r="X238" i="10"/>
  <c r="AA238" i="10"/>
  <c r="X195" i="10"/>
  <c r="X95" i="10"/>
  <c r="AA95" i="10"/>
  <c r="X215" i="10"/>
  <c r="X134" i="10"/>
  <c r="AA134" i="10"/>
  <c r="X222" i="10"/>
  <c r="AA222" i="10"/>
  <c r="AA69" i="10"/>
  <c r="X69" i="10"/>
  <c r="AA172" i="10"/>
  <c r="X172" i="10"/>
  <c r="X57" i="10"/>
  <c r="AA57" i="10"/>
  <c r="X249" i="10"/>
  <c r="AA249" i="10"/>
  <c r="X214" i="10"/>
  <c r="AA214" i="10"/>
  <c r="AA204" i="10"/>
  <c r="X204" i="10"/>
  <c r="X104" i="10"/>
  <c r="AA104" i="10"/>
  <c r="AA54" i="10"/>
  <c r="X54" i="10"/>
  <c r="X199" i="10"/>
  <c r="AA199" i="10"/>
  <c r="AA2" i="10"/>
  <c r="X2" i="10"/>
  <c r="AA227" i="10"/>
  <c r="X227" i="10"/>
  <c r="X125" i="10"/>
  <c r="AA125" i="10"/>
  <c r="X209" i="10"/>
  <c r="AA209" i="10"/>
  <c r="AA16" i="10"/>
  <c r="X16" i="10"/>
  <c r="X37" i="10"/>
  <c r="AA37" i="10"/>
  <c r="X223" i="10"/>
  <c r="AA223" i="10"/>
  <c r="AA59" i="10"/>
  <c r="X59" i="10"/>
  <c r="X65" i="10"/>
  <c r="AA65" i="10"/>
  <c r="X129" i="10"/>
  <c r="AA129" i="10"/>
  <c r="AA114" i="10"/>
  <c r="X114" i="10"/>
  <c r="X109" i="10"/>
  <c r="AA109" i="10"/>
  <c r="AA30" i="10"/>
  <c r="X30" i="10"/>
  <c r="AA194" i="10"/>
  <c r="X194" i="10"/>
  <c r="AA121" i="10"/>
  <c r="X121" i="10"/>
  <c r="X235" i="10"/>
  <c r="AA235" i="10"/>
  <c r="AA78" i="10"/>
  <c r="X78" i="10"/>
  <c r="X150" i="10"/>
  <c r="AA150" i="10"/>
  <c r="AA132" i="10"/>
  <c r="X132" i="10"/>
  <c r="X126" i="10"/>
  <c r="AA126" i="10"/>
  <c r="X149" i="10"/>
  <c r="AA149" i="10"/>
  <c r="AA202" i="10"/>
  <c r="X202" i="10"/>
  <c r="AA67" i="10"/>
  <c r="X67" i="10"/>
  <c r="X162" i="10"/>
  <c r="AA162" i="10"/>
  <c r="AA143" i="10"/>
  <c r="X143" i="10"/>
  <c r="X49" i="10"/>
  <c r="AA49" i="10"/>
  <c r="AA146" i="10"/>
  <c r="X146" i="10"/>
  <c r="AA21" i="10"/>
  <c r="X21" i="10"/>
  <c r="X171" i="10"/>
  <c r="AA171" i="10"/>
  <c r="X112" i="10"/>
  <c r="AA112" i="10"/>
  <c r="X213" i="10"/>
  <c r="AA213" i="10"/>
  <c r="X250" i="10"/>
  <c r="AA250" i="10"/>
  <c r="AA38" i="10"/>
  <c r="X38" i="10"/>
  <c r="X217" i="10"/>
  <c r="AA217" i="10"/>
  <c r="X142" i="10"/>
  <c r="AA142" i="10"/>
  <c r="AA141" i="10"/>
  <c r="X141" i="10"/>
  <c r="AA75" i="10"/>
  <c r="X75" i="10"/>
  <c r="X200" i="10"/>
  <c r="AA200" i="10"/>
  <c r="X155" i="10"/>
  <c r="AA155" i="10"/>
  <c r="X203" i="10"/>
  <c r="AA203" i="10"/>
  <c r="AA221" i="10"/>
  <c r="X221" i="10"/>
  <c r="AA148" i="10"/>
  <c r="X148" i="10"/>
  <c r="K469" i="23" l="1"/>
  <c r="AH139" i="41"/>
  <c r="J456" i="23"/>
  <c r="J470" i="23" l="1"/>
  <c r="H67" i="41"/>
  <c r="AH142" i="41"/>
  <c r="C86" i="41" l="1"/>
  <c r="G86" i="41" s="1"/>
  <c r="L465" i="23" l="1"/>
  <c r="C85" i="41"/>
  <c r="M457" i="23" l="1"/>
  <c r="J81" i="41" l="1"/>
  <c r="J82" i="41" s="1"/>
  <c r="J83" i="41" s="1"/>
  <c r="J84" i="41" s="1"/>
  <c r="J85" i="41" s="1"/>
  <c r="J86" i="41" s="1"/>
  <c r="J87" i="41" s="1"/>
  <c r="AI142" i="41" l="1"/>
  <c r="M92" i="41"/>
  <c r="M91" i="41"/>
  <c r="M90" i="41"/>
  <c r="M89" i="41"/>
  <c r="M88" i="41"/>
  <c r="M87" i="41"/>
  <c r="M86" i="41"/>
  <c r="J88" i="41"/>
  <c r="J89" i="41" s="1"/>
  <c r="J90" i="41" s="1"/>
  <c r="J91" i="41" s="1"/>
  <c r="J92" i="41" s="1"/>
  <c r="F81" i="41"/>
  <c r="F82" i="41" s="1"/>
  <c r="F83" i="41" s="1"/>
  <c r="F84" i="41" s="1"/>
  <c r="F85" i="41" s="1"/>
  <c r="F86" i="41" s="1"/>
  <c r="F87" i="41" s="1"/>
  <c r="F88" i="41" s="1"/>
  <c r="F89" i="41" s="1"/>
  <c r="F90" i="41" s="1"/>
  <c r="F91" i="41" s="1"/>
  <c r="F92" i="41" s="1"/>
  <c r="H77" i="41"/>
  <c r="I77" i="41"/>
  <c r="J77" i="41"/>
  <c r="K77" i="41"/>
  <c r="L77" i="41"/>
  <c r="M77" i="41"/>
  <c r="N77" i="41"/>
  <c r="C70" i="41"/>
  <c r="D70" i="41" s="1"/>
  <c r="E70" i="41" s="1"/>
  <c r="F70" i="41" s="1"/>
  <c r="G70" i="41" s="1"/>
  <c r="H70" i="41" s="1"/>
  <c r="I70" i="41" s="1"/>
  <c r="J70" i="41" s="1"/>
  <c r="K70" i="41" s="1"/>
  <c r="L70" i="41" s="1"/>
  <c r="M70" i="41" s="1"/>
  <c r="N70" i="41" s="1"/>
  <c r="F74" i="41"/>
  <c r="G74" i="41"/>
  <c r="H74" i="41" s="1"/>
  <c r="I74" i="41" s="1"/>
  <c r="J74" i="41" s="1"/>
  <c r="K74" i="41" s="1"/>
  <c r="L74" i="41" s="1"/>
  <c r="M74" i="41" s="1"/>
  <c r="N74" i="41" s="1"/>
  <c r="Y10" i="38"/>
  <c r="Y8" i="38"/>
  <c r="Y9" i="38" s="1"/>
  <c r="C84" i="41"/>
  <c r="K83" i="41"/>
  <c r="F67" i="41"/>
  <c r="K85" i="41"/>
  <c r="C67" i="41"/>
  <c r="K84" i="41"/>
  <c r="F75" i="41"/>
  <c r="E67" i="41"/>
  <c r="C75" i="41"/>
  <c r="K90" i="41"/>
  <c r="G67" i="41"/>
  <c r="K92" i="41"/>
  <c r="K87" i="41"/>
  <c r="D75" i="41"/>
  <c r="D67" i="41"/>
  <c r="K82" i="41"/>
  <c r="K91" i="41"/>
  <c r="C82" i="41"/>
  <c r="H75" i="41"/>
  <c r="G75" i="41"/>
  <c r="K89" i="41"/>
  <c r="AG516" i="38"/>
  <c r="C83" i="41"/>
  <c r="E75" i="41"/>
  <c r="K86" i="41"/>
  <c r="K81" i="41"/>
  <c r="C81" i="41"/>
  <c r="K88" i="41"/>
  <c r="C61" i="41" l="1"/>
  <c r="AI139" i="41" s="1"/>
  <c r="AH140" i="41"/>
  <c r="AI140" i="41" s="1"/>
  <c r="C68" i="41"/>
  <c r="D68" i="41" s="1"/>
  <c r="E68" i="41" s="1"/>
  <c r="F68" i="41" s="1"/>
  <c r="G68" i="41" s="1"/>
  <c r="H68" i="41" s="1"/>
  <c r="I68" i="41" s="1"/>
  <c r="J68" i="41" s="1"/>
  <c r="K68" i="41" s="1"/>
  <c r="L68" i="41" s="1"/>
  <c r="M68" i="41" s="1"/>
  <c r="N68" i="41" s="1"/>
  <c r="G81" i="41"/>
  <c r="H81" i="41" s="1"/>
  <c r="D81" i="41"/>
  <c r="D82" i="41" s="1"/>
  <c r="D83" i="41" s="1"/>
  <c r="D84" i="41" s="1"/>
  <c r="D85" i="41" s="1"/>
  <c r="D86" i="41" s="1"/>
  <c r="D87" i="41" s="1"/>
  <c r="D88" i="41" s="1"/>
  <c r="D89" i="41" s="1"/>
  <c r="D90" i="41" s="1"/>
  <c r="D91" i="41" s="1"/>
  <c r="D92" i="41" s="1"/>
  <c r="G83" i="41"/>
  <c r="M83" i="41" s="1"/>
  <c r="G85" i="41"/>
  <c r="M85" i="41" s="1"/>
  <c r="G82" i="41"/>
  <c r="M82" i="41" s="1"/>
  <c r="L82" i="41"/>
  <c r="L83" i="41" s="1"/>
  <c r="L84" i="41" s="1"/>
  <c r="L85" i="41" s="1"/>
  <c r="L86" i="41" s="1"/>
  <c r="G84" i="41"/>
  <c r="M84" i="41" s="1"/>
  <c r="D76" i="41"/>
  <c r="AH516" i="38"/>
  <c r="C71" i="41"/>
  <c r="C77" i="41" s="1"/>
  <c r="D71" i="41"/>
  <c r="D77" i="41" s="1"/>
  <c r="E71" i="41"/>
  <c r="E77" i="41" s="1"/>
  <c r="F71" i="41"/>
  <c r="F77" i="41" s="1"/>
  <c r="G71" i="41"/>
  <c r="G77" i="41" s="1"/>
  <c r="Y11" i="38"/>
  <c r="X2" i="38"/>
  <c r="Y3" i="38" s="1"/>
  <c r="H82" i="41" l="1"/>
  <c r="H83" i="41" s="1"/>
  <c r="H84" i="41" s="1"/>
  <c r="H85" i="41" s="1"/>
  <c r="H86" i="41" s="1"/>
  <c r="H87" i="41" s="1"/>
  <c r="H88" i="41" s="1"/>
  <c r="H89" i="41" s="1"/>
  <c r="H90" i="41" s="1"/>
  <c r="H91" i="41" s="1"/>
  <c r="H92" i="41" s="1"/>
  <c r="M81" i="41"/>
  <c r="E76" i="41"/>
  <c r="D72" i="41"/>
  <c r="Y4" i="38"/>
  <c r="E72" i="41" l="1"/>
  <c r="F76" i="41"/>
  <c r="G76" i="41" l="1"/>
  <c r="F72" i="41"/>
  <c r="G72" i="41" l="1"/>
  <c r="H76" i="41"/>
  <c r="K142" i="34" l="1"/>
  <c r="J462" i="23" l="1"/>
  <c r="C3" i="35"/>
  <c r="G96" i="35" l="1"/>
  <c r="G101" i="35"/>
  <c r="G115" i="35"/>
  <c r="G116" i="35"/>
  <c r="G117" i="35"/>
  <c r="G120" i="35"/>
  <c r="G132" i="35"/>
  <c r="G134" i="35"/>
  <c r="G148" i="35"/>
  <c r="G149" i="35"/>
  <c r="G150" i="35"/>
  <c r="G158" i="35"/>
  <c r="G159" i="35"/>
  <c r="G160" i="35"/>
  <c r="G161" i="35"/>
  <c r="F2" i="35"/>
  <c r="F3" i="35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E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J120" i="35" l="1"/>
  <c r="J117" i="35"/>
  <c r="J116" i="35"/>
  <c r="J161" i="35"/>
  <c r="J115" i="35"/>
  <c r="J160" i="35"/>
  <c r="J101" i="35"/>
  <c r="J159" i="35"/>
  <c r="J96" i="35"/>
  <c r="H149" i="35"/>
  <c r="J149" i="35"/>
  <c r="H148" i="35"/>
  <c r="J148" i="35"/>
  <c r="H134" i="35"/>
  <c r="J134" i="35"/>
  <c r="H132" i="35"/>
  <c r="J132" i="35"/>
  <c r="H158" i="35"/>
  <c r="J158" i="35"/>
  <c r="H150" i="35"/>
  <c r="J150" i="35"/>
  <c r="H120" i="35"/>
  <c r="H117" i="35"/>
  <c r="H116" i="35"/>
  <c r="H161" i="35"/>
  <c r="H115" i="35"/>
  <c r="H160" i="35"/>
  <c r="H101" i="35"/>
  <c r="H159" i="35"/>
  <c r="H96" i="35"/>
  <c r="F166" i="35"/>
  <c r="D29" i="35" l="1"/>
  <c r="I29" i="35" s="1"/>
  <c r="D96" i="35"/>
  <c r="I96" i="35" s="1"/>
  <c r="D101" i="35"/>
  <c r="I101" i="35" s="1"/>
  <c r="D115" i="35"/>
  <c r="I115" i="35" s="1"/>
  <c r="D116" i="35"/>
  <c r="I116" i="35" s="1"/>
  <c r="D117" i="35"/>
  <c r="I117" i="35" s="1"/>
  <c r="D120" i="35"/>
  <c r="I120" i="35" s="1"/>
  <c r="D130" i="35"/>
  <c r="I130" i="35" s="1"/>
  <c r="D132" i="35"/>
  <c r="I132" i="35" s="1"/>
  <c r="D134" i="35"/>
  <c r="I134" i="35" s="1"/>
  <c r="D148" i="35"/>
  <c r="I148" i="35" s="1"/>
  <c r="D149" i="35"/>
  <c r="I149" i="35" s="1"/>
  <c r="D150" i="35"/>
  <c r="I150" i="35" s="1"/>
  <c r="D158" i="35"/>
  <c r="I158" i="35" s="1"/>
  <c r="D159" i="35"/>
  <c r="I159" i="35" s="1"/>
  <c r="D160" i="35"/>
  <c r="I160" i="35" s="1"/>
  <c r="D161" i="35"/>
  <c r="I161" i="35" s="1"/>
  <c r="C2" i="35"/>
  <c r="C4" i="35"/>
  <c r="C5" i="35"/>
  <c r="C6" i="35"/>
  <c r="C7" i="35"/>
  <c r="C8" i="35"/>
  <c r="C9" i="35"/>
  <c r="C10" i="35"/>
  <c r="C11" i="35"/>
  <c r="C12" i="35"/>
  <c r="C13" i="35"/>
  <c r="C14" i="35"/>
  <c r="C15" i="35"/>
  <c r="C16" i="35"/>
  <c r="C17" i="35"/>
  <c r="C18" i="35"/>
  <c r="C19" i="35"/>
  <c r="C20" i="35"/>
  <c r="C21" i="35"/>
  <c r="C22" i="35"/>
  <c r="C23" i="35"/>
  <c r="C24" i="35"/>
  <c r="C25" i="35"/>
  <c r="C26" i="35"/>
  <c r="C27" i="35"/>
  <c r="C28" i="35"/>
  <c r="C29" i="35"/>
  <c r="C30" i="35"/>
  <c r="C31" i="35"/>
  <c r="C32" i="35"/>
  <c r="C33" i="35"/>
  <c r="C34" i="35"/>
  <c r="C35" i="35"/>
  <c r="C36" i="35"/>
  <c r="C37" i="35"/>
  <c r="C38" i="35"/>
  <c r="C39" i="35"/>
  <c r="C40" i="35"/>
  <c r="C41" i="35"/>
  <c r="C42" i="35"/>
  <c r="C43" i="35"/>
  <c r="C44" i="35"/>
  <c r="C45" i="35"/>
  <c r="C46" i="35"/>
  <c r="C47" i="35"/>
  <c r="C48" i="35"/>
  <c r="C49" i="35"/>
  <c r="C50" i="35"/>
  <c r="C51" i="35"/>
  <c r="C52" i="35"/>
  <c r="C53" i="35"/>
  <c r="C54" i="35"/>
  <c r="C55" i="35"/>
  <c r="C56" i="35"/>
  <c r="C57" i="35"/>
  <c r="C58" i="35"/>
  <c r="C59" i="35"/>
  <c r="C60" i="35"/>
  <c r="C61" i="35"/>
  <c r="C62" i="35"/>
  <c r="C63" i="35"/>
  <c r="C64" i="35"/>
  <c r="C65" i="35"/>
  <c r="C66" i="35"/>
  <c r="C67" i="35"/>
  <c r="C68" i="35"/>
  <c r="C69" i="35"/>
  <c r="C70" i="35"/>
  <c r="C71" i="35"/>
  <c r="C72" i="35"/>
  <c r="C73" i="35"/>
  <c r="C74" i="35"/>
  <c r="C75" i="35"/>
  <c r="C76" i="35"/>
  <c r="C77" i="35"/>
  <c r="C78" i="35"/>
  <c r="C79" i="35"/>
  <c r="C80" i="35"/>
  <c r="C81" i="35"/>
  <c r="C82" i="35"/>
  <c r="C83" i="35"/>
  <c r="C84" i="35"/>
  <c r="C85" i="35"/>
  <c r="C86" i="35"/>
  <c r="C87" i="35"/>
  <c r="C88" i="35"/>
  <c r="C89" i="35"/>
  <c r="C90" i="35"/>
  <c r="C91" i="35"/>
  <c r="C92" i="35"/>
  <c r="C93" i="35"/>
  <c r="C94" i="35"/>
  <c r="C95" i="35"/>
  <c r="C96" i="35"/>
  <c r="C97" i="35"/>
  <c r="C98" i="35"/>
  <c r="C99" i="35"/>
  <c r="C100" i="35"/>
  <c r="C101" i="35"/>
  <c r="C102" i="35"/>
  <c r="C103" i="35"/>
  <c r="C104" i="35"/>
  <c r="C105" i="35"/>
  <c r="C106" i="35"/>
  <c r="C107" i="35"/>
  <c r="C108" i="35"/>
  <c r="C109" i="35"/>
  <c r="C110" i="35"/>
  <c r="C111" i="35"/>
  <c r="C112" i="35"/>
  <c r="C113" i="35"/>
  <c r="C114" i="35"/>
  <c r="C115" i="35"/>
  <c r="C116" i="35"/>
  <c r="C117" i="35"/>
  <c r="C118" i="35"/>
  <c r="C119" i="35"/>
  <c r="C120" i="35"/>
  <c r="C121" i="35"/>
  <c r="C122" i="35"/>
  <c r="C123" i="35"/>
  <c r="C124" i="35"/>
  <c r="C125" i="35"/>
  <c r="C126" i="35"/>
  <c r="C127" i="35"/>
  <c r="C128" i="35"/>
  <c r="C129" i="35"/>
  <c r="C130" i="35"/>
  <c r="C131" i="35"/>
  <c r="C132" i="35"/>
  <c r="C133" i="35"/>
  <c r="C134" i="35"/>
  <c r="C135" i="35"/>
  <c r="C136" i="35"/>
  <c r="C137" i="35"/>
  <c r="C138" i="35"/>
  <c r="C139" i="35"/>
  <c r="C140" i="35"/>
  <c r="C141" i="35"/>
  <c r="C142" i="35"/>
  <c r="C143" i="35"/>
  <c r="C144" i="35"/>
  <c r="C145" i="35"/>
  <c r="C146" i="35"/>
  <c r="C147" i="35"/>
  <c r="C148" i="35"/>
  <c r="C149" i="35"/>
  <c r="C150" i="35"/>
  <c r="C151" i="35"/>
  <c r="C152" i="35"/>
  <c r="C153" i="35"/>
  <c r="C154" i="35"/>
  <c r="C155" i="35"/>
  <c r="C156" i="35"/>
  <c r="C157" i="35"/>
  <c r="C158" i="35"/>
  <c r="C159" i="35"/>
  <c r="C160" i="35"/>
  <c r="C161" i="35"/>
  <c r="C162" i="35"/>
  <c r="D3" i="35"/>
  <c r="I3" i="35" s="1"/>
  <c r="D6" i="35"/>
  <c r="I6" i="35" s="1"/>
  <c r="D9" i="35"/>
  <c r="I9" i="35" s="1"/>
  <c r="D13" i="35"/>
  <c r="I13" i="35" s="1"/>
  <c r="D14" i="35"/>
  <c r="I14" i="35" s="1"/>
  <c r="D15" i="35"/>
  <c r="I15" i="35" s="1"/>
  <c r="D16" i="35"/>
  <c r="I16" i="35" s="1"/>
  <c r="D19" i="35"/>
  <c r="I19" i="35" s="1"/>
  <c r="D20" i="35"/>
  <c r="I20" i="35" s="1"/>
  <c r="D21" i="35"/>
  <c r="I21" i="35" s="1"/>
  <c r="D23" i="35"/>
  <c r="I23" i="35" s="1"/>
  <c r="D24" i="35"/>
  <c r="I24" i="35" s="1"/>
  <c r="D25" i="35"/>
  <c r="I25" i="35" s="1"/>
  <c r="D27" i="35"/>
  <c r="I27" i="35" s="1"/>
  <c r="D28" i="35"/>
  <c r="I28" i="35" s="1"/>
  <c r="D34" i="35"/>
  <c r="I34" i="35" s="1"/>
  <c r="D35" i="35"/>
  <c r="I35" i="35" s="1"/>
  <c r="D38" i="35"/>
  <c r="I38" i="35" s="1"/>
  <c r="D40" i="35"/>
  <c r="I40" i="35" s="1"/>
  <c r="D41" i="35"/>
  <c r="I41" i="35" s="1"/>
  <c r="D42" i="35"/>
  <c r="I42" i="35" s="1"/>
  <c r="D45" i="35"/>
  <c r="I45" i="35" s="1"/>
  <c r="D46" i="35"/>
  <c r="I46" i="35" s="1"/>
  <c r="D50" i="35"/>
  <c r="I50" i="35" s="1"/>
  <c r="D51" i="35"/>
  <c r="I51" i="35" s="1"/>
  <c r="D52" i="35"/>
  <c r="I52" i="35" s="1"/>
  <c r="D55" i="35"/>
  <c r="I55" i="35" s="1"/>
  <c r="D56" i="35"/>
  <c r="I56" i="35" s="1"/>
  <c r="D58" i="35"/>
  <c r="I58" i="35" s="1"/>
  <c r="D60" i="35"/>
  <c r="I60" i="35" s="1"/>
  <c r="D61" i="35"/>
  <c r="I61" i="35" s="1"/>
  <c r="D63" i="35"/>
  <c r="I63" i="35" s="1"/>
  <c r="D64" i="35"/>
  <c r="I64" i="35" s="1"/>
  <c r="D66" i="35"/>
  <c r="I66" i="35" s="1"/>
  <c r="D75" i="35"/>
  <c r="I75" i="35" s="1"/>
  <c r="D79" i="35"/>
  <c r="I79" i="35" s="1"/>
  <c r="D80" i="35"/>
  <c r="I80" i="35" s="1"/>
  <c r="D82" i="35"/>
  <c r="I82" i="35" s="1"/>
  <c r="D83" i="35"/>
  <c r="I83" i="35" s="1"/>
  <c r="D84" i="35"/>
  <c r="I84" i="35" s="1"/>
  <c r="D86" i="35"/>
  <c r="I86" i="35" s="1"/>
  <c r="D89" i="35"/>
  <c r="I89" i="35" s="1"/>
  <c r="D90" i="35"/>
  <c r="I90" i="35" s="1"/>
  <c r="D94" i="35"/>
  <c r="I94" i="35" s="1"/>
  <c r="D95" i="35"/>
  <c r="I95" i="35" s="1"/>
  <c r="D157" i="35"/>
  <c r="I157" i="35" s="1"/>
  <c r="D99" i="35"/>
  <c r="I99" i="35" s="1"/>
  <c r="D118" i="35"/>
  <c r="I118" i="35" s="1"/>
  <c r="D126" i="35"/>
  <c r="I126" i="35" s="1"/>
  <c r="D97" i="35"/>
  <c r="I97" i="35" s="1"/>
  <c r="D140" i="35"/>
  <c r="I140" i="35" s="1"/>
  <c r="D105" i="35"/>
  <c r="I105" i="35" s="1"/>
  <c r="D110" i="35"/>
  <c r="I110" i="35" s="1"/>
  <c r="D109" i="35"/>
  <c r="I109" i="35" s="1"/>
  <c r="D142" i="35"/>
  <c r="I142" i="35" s="1"/>
  <c r="D141" i="35"/>
  <c r="I141" i="35" s="1"/>
  <c r="D137" i="35"/>
  <c r="I137" i="35" s="1"/>
  <c r="D131" i="35"/>
  <c r="I131" i="35" s="1"/>
  <c r="D139" i="35"/>
  <c r="I139" i="35" s="1"/>
  <c r="D136" i="35"/>
  <c r="I136" i="35" s="1"/>
  <c r="D135" i="35"/>
  <c r="I135" i="35" s="1"/>
  <c r="D119" i="35"/>
  <c r="I119" i="35" s="1"/>
  <c r="D156" i="35"/>
  <c r="I156" i="35" s="1"/>
  <c r="D129" i="35"/>
  <c r="I129" i="35" s="1"/>
  <c r="D111" i="35"/>
  <c r="I111" i="35" s="1"/>
  <c r="D103" i="35"/>
  <c r="I103" i="35" s="1"/>
  <c r="D100" i="35"/>
  <c r="I100" i="35" s="1"/>
  <c r="D151" i="35"/>
  <c r="I151" i="35" s="1"/>
  <c r="D152" i="35"/>
  <c r="I152" i="35" s="1"/>
  <c r="D154" i="35"/>
  <c r="I154" i="35" s="1"/>
  <c r="D155" i="35"/>
  <c r="I155" i="35" s="1"/>
  <c r="D143" i="35"/>
  <c r="I143" i="35" s="1"/>
  <c r="D98" i="35"/>
  <c r="I98" i="35" s="1"/>
  <c r="D121" i="35" l="1"/>
  <c r="I121" i="35" s="1"/>
  <c r="D74" i="35"/>
  <c r="I74" i="35" s="1"/>
  <c r="D65" i="35"/>
  <c r="I65" i="35" s="1"/>
  <c r="D104" i="35"/>
  <c r="I104" i="35" s="1"/>
  <c r="D93" i="35"/>
  <c r="I93" i="35" s="1"/>
  <c r="D73" i="35"/>
  <c r="I73" i="35" s="1"/>
  <c r="D57" i="35"/>
  <c r="I57" i="35" s="1"/>
  <c r="D32" i="35"/>
  <c r="I32" i="35" s="1"/>
  <c r="D5" i="35"/>
  <c r="I5" i="35" s="1"/>
  <c r="D145" i="35"/>
  <c r="I145" i="35" s="1"/>
  <c r="D92" i="35"/>
  <c r="I92" i="35" s="1"/>
  <c r="D81" i="35"/>
  <c r="I81" i="35" s="1"/>
  <c r="D72" i="35"/>
  <c r="I72" i="35" s="1"/>
  <c r="D49" i="35"/>
  <c r="I49" i="35" s="1"/>
  <c r="D44" i="35"/>
  <c r="I44" i="35" s="1"/>
  <c r="D26" i="35"/>
  <c r="I26" i="35" s="1"/>
  <c r="D12" i="35"/>
  <c r="I12" i="35" s="1"/>
  <c r="D4" i="35"/>
  <c r="I4" i="35" s="1"/>
  <c r="D144" i="35"/>
  <c r="I144" i="35" s="1"/>
  <c r="D125" i="35"/>
  <c r="I125" i="35" s="1"/>
  <c r="D114" i="35"/>
  <c r="I114" i="35" s="1"/>
  <c r="D102" i="35"/>
  <c r="I102" i="35" s="1"/>
  <c r="D91" i="35"/>
  <c r="I91" i="35" s="1"/>
  <c r="D71" i="35"/>
  <c r="I71" i="35" s="1"/>
  <c r="D39" i="35"/>
  <c r="I39" i="35" s="1"/>
  <c r="D31" i="35"/>
  <c r="I31" i="35" s="1"/>
  <c r="D11" i="35"/>
  <c r="I11" i="35" s="1"/>
  <c r="D153" i="35"/>
  <c r="I153" i="35" s="1"/>
  <c r="D124" i="35"/>
  <c r="I124" i="35" s="1"/>
  <c r="D113" i="35"/>
  <c r="I113" i="35" s="1"/>
  <c r="D70" i="35"/>
  <c r="I70" i="35" s="1"/>
  <c r="D18" i="35"/>
  <c r="I18" i="35" s="1"/>
  <c r="D10" i="35"/>
  <c r="I10" i="35" s="1"/>
  <c r="D2" i="35"/>
  <c r="I2" i="35" s="1"/>
  <c r="D133" i="35"/>
  <c r="I133" i="35" s="1"/>
  <c r="D112" i="35"/>
  <c r="I112" i="35" s="1"/>
  <c r="D78" i="35"/>
  <c r="I78" i="35" s="1"/>
  <c r="D69" i="35"/>
  <c r="I69" i="35" s="1"/>
  <c r="D37" i="35"/>
  <c r="I37" i="35" s="1"/>
  <c r="D33" i="35"/>
  <c r="I33" i="35" s="1"/>
  <c r="D17" i="35"/>
  <c r="I17" i="35" s="1"/>
  <c r="D123" i="35"/>
  <c r="I123" i="35" s="1"/>
  <c r="D88" i="35"/>
  <c r="I88" i="35" s="1"/>
  <c r="D77" i="35"/>
  <c r="I77" i="35" s="1"/>
  <c r="D68" i="35"/>
  <c r="I68" i="35" s="1"/>
  <c r="D54" i="35"/>
  <c r="I54" i="35" s="1"/>
  <c r="D48" i="35"/>
  <c r="I48" i="35" s="1"/>
  <c r="D36" i="35"/>
  <c r="I36" i="35" s="1"/>
  <c r="D30" i="35"/>
  <c r="I30" i="35" s="1"/>
  <c r="D162" i="35"/>
  <c r="I162" i="35" s="1"/>
  <c r="D122" i="35"/>
  <c r="I122" i="35" s="1"/>
  <c r="D87" i="35"/>
  <c r="I87" i="35" s="1"/>
  <c r="D76" i="35"/>
  <c r="I76" i="35" s="1"/>
  <c r="D67" i="35"/>
  <c r="I67" i="35" s="1"/>
  <c r="D62" i="35"/>
  <c r="I62" i="35" s="1"/>
  <c r="D53" i="35"/>
  <c r="I53" i="35" s="1"/>
  <c r="D47" i="35"/>
  <c r="I47" i="35" s="1"/>
  <c r="D108" i="35"/>
  <c r="I108" i="35" s="1"/>
  <c r="D8" i="35"/>
  <c r="I8" i="35" s="1"/>
  <c r="D147" i="35"/>
  <c r="I147" i="35" s="1"/>
  <c r="D128" i="35"/>
  <c r="I128" i="35" s="1"/>
  <c r="D107" i="35"/>
  <c r="I107" i="35" s="1"/>
  <c r="D85" i="35"/>
  <c r="I85" i="35" s="1"/>
  <c r="D59" i="35"/>
  <c r="I59" i="35" s="1"/>
  <c r="D43" i="35"/>
  <c r="I43" i="35" s="1"/>
  <c r="D22" i="35"/>
  <c r="I22" i="35" s="1"/>
  <c r="D7" i="35"/>
  <c r="I7" i="35" s="1"/>
  <c r="D146" i="35"/>
  <c r="I146" i="35" s="1"/>
  <c r="D138" i="35"/>
  <c r="I138" i="35" s="1"/>
  <c r="D127" i="35"/>
  <c r="I127" i="35" s="1"/>
  <c r="D106" i="35"/>
  <c r="I106" i="35" s="1"/>
  <c r="G65" i="35"/>
  <c r="G41" i="35"/>
  <c r="G90" i="35"/>
  <c r="G133" i="35"/>
  <c r="G146" i="35"/>
  <c r="G107" i="35"/>
  <c r="G112" i="35"/>
  <c r="G87" i="35"/>
  <c r="G76" i="35"/>
  <c r="G67" i="35"/>
  <c r="G62" i="35"/>
  <c r="G47" i="35"/>
  <c r="G91" i="35"/>
  <c r="G128" i="35"/>
  <c r="G138" i="35"/>
  <c r="G114" i="35"/>
  <c r="G92" i="35"/>
  <c r="G81" i="35"/>
  <c r="G72" i="35"/>
  <c r="G49" i="35"/>
  <c r="G44" i="35"/>
  <c r="G26" i="35"/>
  <c r="G12" i="35"/>
  <c r="G60" i="35"/>
  <c r="G122" i="35"/>
  <c r="G145" i="35"/>
  <c r="G121" i="35"/>
  <c r="G79" i="35"/>
  <c r="G70" i="35"/>
  <c r="G25" i="35"/>
  <c r="G18" i="35"/>
  <c r="G156" i="35"/>
  <c r="G42" i="35"/>
  <c r="G147" i="35"/>
  <c r="G108" i="35"/>
  <c r="G124" i="35"/>
  <c r="G102" i="35"/>
  <c r="G162" i="35"/>
  <c r="G123" i="35"/>
  <c r="G88" i="35"/>
  <c r="G77" i="35"/>
  <c r="G68" i="35"/>
  <c r="G54" i="35"/>
  <c r="G48" i="35"/>
  <c r="G36" i="35"/>
  <c r="G30" i="35"/>
  <c r="G136" i="35"/>
  <c r="G95" i="35"/>
  <c r="G83" i="35"/>
  <c r="G20" i="35"/>
  <c r="G14" i="35"/>
  <c r="G59" i="35"/>
  <c r="G143" i="35"/>
  <c r="G151" i="35"/>
  <c r="G111" i="35"/>
  <c r="G125" i="35"/>
  <c r="G141" i="35"/>
  <c r="G127" i="35"/>
  <c r="G89" i="35"/>
  <c r="G69" i="35"/>
  <c r="G63" i="35"/>
  <c r="G37" i="35"/>
  <c r="G33" i="35"/>
  <c r="G24" i="35"/>
  <c r="G17" i="35"/>
  <c r="G113" i="35"/>
  <c r="G21" i="35"/>
  <c r="G97" i="35"/>
  <c r="G29" i="35"/>
  <c r="G129" i="35"/>
  <c r="G118" i="35"/>
  <c r="G135" i="35"/>
  <c r="G110" i="35"/>
  <c r="G154" i="35"/>
  <c r="G66" i="35"/>
  <c r="G6" i="35"/>
  <c r="G155" i="35"/>
  <c r="G61" i="35"/>
  <c r="G46" i="35"/>
  <c r="G16" i="35"/>
  <c r="G99" i="35"/>
  <c r="G140" i="35"/>
  <c r="G130" i="35"/>
  <c r="G142" i="35"/>
  <c r="G75" i="35"/>
  <c r="G9" i="35"/>
  <c r="G109" i="35"/>
  <c r="G126" i="35"/>
  <c r="G86" i="35"/>
  <c r="G153" i="35"/>
  <c r="G98" i="35"/>
  <c r="G105" i="35"/>
  <c r="G84" i="35"/>
  <c r="G51" i="35"/>
  <c r="G28" i="35"/>
  <c r="G23" i="35"/>
  <c r="G8" i="35"/>
  <c r="G157" i="35"/>
  <c r="G85" i="35"/>
  <c r="G52" i="35"/>
  <c r="G43" i="35"/>
  <c r="G27" i="35"/>
  <c r="G22" i="35"/>
  <c r="G7" i="35"/>
  <c r="G10" i="35"/>
  <c r="G152" i="35"/>
  <c r="G58" i="35"/>
  <c r="G45" i="35"/>
  <c r="G15" i="35"/>
  <c r="G144" i="35"/>
  <c r="G139" i="35"/>
  <c r="G104" i="35"/>
  <c r="G94" i="35"/>
  <c r="G82" i="35"/>
  <c r="G57" i="35"/>
  <c r="G50" i="35"/>
  <c r="G40" i="35"/>
  <c r="G32" i="35"/>
  <c r="G119" i="35"/>
  <c r="G137" i="35"/>
  <c r="G3" i="35"/>
  <c r="G100" i="35"/>
  <c r="G131" i="35"/>
  <c r="G80" i="35"/>
  <c r="G71" i="35"/>
  <c r="G64" i="35"/>
  <c r="G56" i="35"/>
  <c r="G39" i="35"/>
  <c r="G35" i="35"/>
  <c r="G11" i="35"/>
  <c r="G103" i="35"/>
  <c r="G34" i="35"/>
  <c r="G19" i="35"/>
  <c r="G13" i="35"/>
  <c r="G55" i="35"/>
  <c r="I166" i="35" l="1"/>
  <c r="H135" i="35"/>
  <c r="J135" i="35"/>
  <c r="H51" i="35"/>
  <c r="J51" i="35"/>
  <c r="H84" i="35"/>
  <c r="J84" i="35"/>
  <c r="H44" i="35"/>
  <c r="J44" i="35"/>
  <c r="H50" i="35"/>
  <c r="J50" i="35"/>
  <c r="H7" i="35"/>
  <c r="J7" i="35"/>
  <c r="H48" i="35"/>
  <c r="J48" i="35"/>
  <c r="H81" i="35"/>
  <c r="J81" i="35"/>
  <c r="H107" i="35"/>
  <c r="J107" i="35"/>
  <c r="H110" i="35"/>
  <c r="J110" i="35"/>
  <c r="H83" i="35"/>
  <c r="J83" i="35"/>
  <c r="H91" i="35"/>
  <c r="J91" i="35"/>
  <c r="H142" i="35"/>
  <c r="J142" i="35"/>
  <c r="H95" i="35"/>
  <c r="J95" i="35"/>
  <c r="H47" i="35"/>
  <c r="J47" i="35"/>
  <c r="H130" i="35"/>
  <c r="J130" i="35"/>
  <c r="H136" i="35"/>
  <c r="J136" i="35"/>
  <c r="H152" i="35"/>
  <c r="J152" i="35"/>
  <c r="H127" i="35"/>
  <c r="J127" i="35"/>
  <c r="H30" i="35"/>
  <c r="J30" i="35"/>
  <c r="H26" i="35"/>
  <c r="J26" i="35"/>
  <c r="H35" i="35"/>
  <c r="J35" i="35"/>
  <c r="H10" i="35"/>
  <c r="J10" i="35"/>
  <c r="H29" i="35"/>
  <c r="J29" i="35"/>
  <c r="H42" i="35"/>
  <c r="J42" i="35"/>
  <c r="H39" i="35"/>
  <c r="J39" i="35"/>
  <c r="H97" i="35"/>
  <c r="J97" i="35"/>
  <c r="H49" i="35"/>
  <c r="J49" i="35"/>
  <c r="H56" i="35"/>
  <c r="J56" i="35"/>
  <c r="H22" i="35"/>
  <c r="J22" i="35"/>
  <c r="H46" i="35"/>
  <c r="J46" i="35"/>
  <c r="H21" i="35"/>
  <c r="J21" i="35"/>
  <c r="H72" i="35"/>
  <c r="J72" i="35"/>
  <c r="H82" i="35"/>
  <c r="J82" i="35"/>
  <c r="H27" i="35"/>
  <c r="J27" i="35"/>
  <c r="H151" i="35"/>
  <c r="J151" i="35"/>
  <c r="H94" i="35"/>
  <c r="J94" i="35"/>
  <c r="H143" i="35"/>
  <c r="J143" i="35"/>
  <c r="H92" i="35"/>
  <c r="J92" i="35"/>
  <c r="H80" i="35"/>
  <c r="J80" i="35"/>
  <c r="H52" i="35"/>
  <c r="J52" i="35"/>
  <c r="H24" i="35"/>
  <c r="J24" i="35"/>
  <c r="H114" i="35"/>
  <c r="J114" i="35"/>
  <c r="H55" i="35"/>
  <c r="J55" i="35"/>
  <c r="H85" i="35"/>
  <c r="J85" i="35"/>
  <c r="H66" i="35"/>
  <c r="J66" i="35"/>
  <c r="H121" i="35"/>
  <c r="J121" i="35"/>
  <c r="H138" i="35"/>
  <c r="J138" i="35"/>
  <c r="H90" i="35"/>
  <c r="J90" i="35"/>
  <c r="H19" i="35"/>
  <c r="J19" i="35"/>
  <c r="H3" i="35"/>
  <c r="J3" i="35"/>
  <c r="H15" i="35"/>
  <c r="J15" i="35"/>
  <c r="H8" i="35"/>
  <c r="J8" i="35"/>
  <c r="H75" i="35"/>
  <c r="J75" i="35"/>
  <c r="H63" i="35"/>
  <c r="J63" i="35"/>
  <c r="H102" i="35"/>
  <c r="J102" i="35"/>
  <c r="H122" i="35"/>
  <c r="J122" i="35"/>
  <c r="H65" i="35"/>
  <c r="J65" i="35"/>
  <c r="H34" i="35"/>
  <c r="J34" i="35"/>
  <c r="H137" i="35"/>
  <c r="J137" i="35"/>
  <c r="H45" i="35"/>
  <c r="J45" i="35"/>
  <c r="H23" i="35"/>
  <c r="J23" i="35"/>
  <c r="H69" i="35"/>
  <c r="J69" i="35"/>
  <c r="H124" i="35"/>
  <c r="J124" i="35"/>
  <c r="H60" i="35"/>
  <c r="J60" i="35"/>
  <c r="H103" i="35"/>
  <c r="J103" i="35"/>
  <c r="H119" i="35"/>
  <c r="J119" i="35"/>
  <c r="H58" i="35"/>
  <c r="J58" i="35"/>
  <c r="H28" i="35"/>
  <c r="J28" i="35"/>
  <c r="H118" i="35"/>
  <c r="J118" i="35"/>
  <c r="H89" i="35"/>
  <c r="J89" i="35"/>
  <c r="H108" i="35"/>
  <c r="J108" i="35"/>
  <c r="H12" i="35"/>
  <c r="J12" i="35"/>
  <c r="H62" i="35"/>
  <c r="J62" i="35"/>
  <c r="H11" i="35"/>
  <c r="J11" i="35"/>
  <c r="H32" i="35"/>
  <c r="J32" i="35"/>
  <c r="H140" i="35"/>
  <c r="J140" i="35"/>
  <c r="H129" i="35"/>
  <c r="J129" i="35"/>
  <c r="H147" i="35"/>
  <c r="J147" i="35"/>
  <c r="H67" i="35"/>
  <c r="J67" i="35"/>
  <c r="H40" i="35"/>
  <c r="J40" i="35"/>
  <c r="H99" i="35"/>
  <c r="J99" i="35"/>
  <c r="H141" i="35"/>
  <c r="J141" i="35"/>
  <c r="H36" i="35"/>
  <c r="J36" i="35"/>
  <c r="H76" i="35"/>
  <c r="J76" i="35"/>
  <c r="H105" i="35"/>
  <c r="J105" i="35"/>
  <c r="H16" i="35"/>
  <c r="J16" i="35"/>
  <c r="H125" i="35"/>
  <c r="J125" i="35"/>
  <c r="H156" i="35"/>
  <c r="J156" i="35"/>
  <c r="H87" i="35"/>
  <c r="J87" i="35"/>
  <c r="H57" i="35"/>
  <c r="J57" i="35"/>
  <c r="H98" i="35"/>
  <c r="J98" i="35"/>
  <c r="H111" i="35"/>
  <c r="J111" i="35"/>
  <c r="H54" i="35"/>
  <c r="J54" i="35"/>
  <c r="H18" i="35"/>
  <c r="J18" i="35"/>
  <c r="H112" i="35"/>
  <c r="J112" i="35"/>
  <c r="H64" i="35"/>
  <c r="J64" i="35"/>
  <c r="H153" i="35"/>
  <c r="J153" i="35"/>
  <c r="H61" i="35"/>
  <c r="J61" i="35"/>
  <c r="H113" i="35"/>
  <c r="J113" i="35"/>
  <c r="H68" i="35"/>
  <c r="J68" i="35"/>
  <c r="H25" i="35"/>
  <c r="J25" i="35"/>
  <c r="H71" i="35"/>
  <c r="J71" i="35"/>
  <c r="H43" i="35"/>
  <c r="J43" i="35"/>
  <c r="H86" i="35"/>
  <c r="J86" i="35"/>
  <c r="H155" i="35"/>
  <c r="J155" i="35"/>
  <c r="H17" i="35"/>
  <c r="J17" i="35"/>
  <c r="H77" i="35"/>
  <c r="J77" i="35"/>
  <c r="H70" i="35"/>
  <c r="J70" i="35"/>
  <c r="H146" i="35"/>
  <c r="J146" i="35"/>
  <c r="H104" i="35"/>
  <c r="J104" i="35"/>
  <c r="H126" i="35"/>
  <c r="J126" i="35"/>
  <c r="H6" i="35"/>
  <c r="J6" i="35"/>
  <c r="H59" i="35"/>
  <c r="J59" i="35"/>
  <c r="H88" i="35"/>
  <c r="J88" i="35"/>
  <c r="H79" i="35"/>
  <c r="J79" i="35"/>
  <c r="H133" i="35"/>
  <c r="J133" i="35"/>
  <c r="H131" i="35"/>
  <c r="J131" i="35"/>
  <c r="H139" i="35"/>
  <c r="J139" i="35"/>
  <c r="H109" i="35"/>
  <c r="J109" i="35"/>
  <c r="H33" i="35"/>
  <c r="J33" i="35"/>
  <c r="H14" i="35"/>
  <c r="J14" i="35"/>
  <c r="H123" i="35"/>
  <c r="J123" i="35"/>
  <c r="H13" i="35"/>
  <c r="J13" i="35"/>
  <c r="H100" i="35"/>
  <c r="J100" i="35"/>
  <c r="H144" i="35"/>
  <c r="J144" i="35"/>
  <c r="H157" i="35"/>
  <c r="J157" i="35"/>
  <c r="H9" i="35"/>
  <c r="J9" i="35"/>
  <c r="H154" i="35"/>
  <c r="J154" i="35"/>
  <c r="H37" i="35"/>
  <c r="J37" i="35"/>
  <c r="H20" i="35"/>
  <c r="J20" i="35"/>
  <c r="H162" i="35"/>
  <c r="J162" i="35"/>
  <c r="H145" i="35"/>
  <c r="J145" i="35"/>
  <c r="H128" i="35"/>
  <c r="J128" i="35"/>
  <c r="H41" i="35"/>
  <c r="J41" i="35"/>
  <c r="G53" i="35"/>
  <c r="G93" i="35"/>
  <c r="G38" i="35"/>
  <c r="G5" i="35"/>
  <c r="G73" i="35"/>
  <c r="G74" i="35"/>
  <c r="G31" i="35"/>
  <c r="G78" i="35"/>
  <c r="G106" i="35"/>
  <c r="G4" i="35"/>
  <c r="G2" i="35"/>
  <c r="H74" i="35" l="1"/>
  <c r="J74" i="35"/>
  <c r="H5" i="35"/>
  <c r="J5" i="35"/>
  <c r="H53" i="35"/>
  <c r="J53" i="35"/>
  <c r="H38" i="35"/>
  <c r="J38" i="35"/>
  <c r="H93" i="35"/>
  <c r="J93" i="35"/>
  <c r="H2" i="35"/>
  <c r="J2" i="35"/>
  <c r="H4" i="35"/>
  <c r="J4" i="35"/>
  <c r="H73" i="35"/>
  <c r="J73" i="35"/>
  <c r="H106" i="35"/>
  <c r="J106" i="35"/>
  <c r="H78" i="35"/>
  <c r="J78" i="35"/>
  <c r="H31" i="35"/>
  <c r="J31" i="35"/>
  <c r="G166" i="35"/>
  <c r="G168" i="35" s="1"/>
  <c r="K458" i="23"/>
  <c r="J166" i="35" l="1"/>
  <c r="J168" i="35" s="1"/>
  <c r="AH14" i="29"/>
  <c r="AI14" i="29" l="1"/>
  <c r="L456" i="23"/>
  <c r="BB181" i="29" l="1"/>
  <c r="BC181" i="29"/>
  <c r="BB182" i="29"/>
  <c r="BC182" i="29"/>
  <c r="BB183" i="29"/>
  <c r="BC183" i="29"/>
  <c r="BB184" i="29"/>
  <c r="BC184" i="29"/>
  <c r="BB185" i="29"/>
  <c r="BC185" i="29"/>
  <c r="BB186" i="29"/>
  <c r="BC186" i="29"/>
  <c r="BB187" i="29"/>
  <c r="BC187" i="29"/>
  <c r="BB188" i="29"/>
  <c r="BC188" i="29"/>
  <c r="BB189" i="29"/>
  <c r="BC189" i="29"/>
  <c r="BA182" i="29"/>
  <c r="BA183" i="29"/>
  <c r="BA184" i="29"/>
  <c r="BA185" i="29"/>
  <c r="BA186" i="29"/>
  <c r="BA187" i="29"/>
  <c r="BA188" i="29"/>
  <c r="BA189" i="29"/>
  <c r="BA181" i="29"/>
  <c r="BA16" i="29"/>
  <c r="BB16" i="29"/>
  <c r="BC16" i="29"/>
  <c r="BA17" i="29"/>
  <c r="BB17" i="29"/>
  <c r="BC17" i="29"/>
  <c r="BA18" i="29"/>
  <c r="BB18" i="29"/>
  <c r="BC18" i="29"/>
  <c r="BA19" i="29"/>
  <c r="BB19" i="29"/>
  <c r="BC19" i="29"/>
  <c r="BA20" i="29"/>
  <c r="BB20" i="29"/>
  <c r="BC20" i="29"/>
  <c r="BA21" i="29"/>
  <c r="BB21" i="29"/>
  <c r="BC21" i="29"/>
  <c r="BA22" i="29"/>
  <c r="BB22" i="29"/>
  <c r="BC22" i="29"/>
  <c r="BA23" i="29"/>
  <c r="BB23" i="29"/>
  <c r="BC23" i="29"/>
  <c r="BA24" i="29"/>
  <c r="BB24" i="29"/>
  <c r="BC24" i="29"/>
  <c r="BA25" i="29"/>
  <c r="BB25" i="29"/>
  <c r="BC25" i="29"/>
  <c r="BA26" i="29"/>
  <c r="BB26" i="29"/>
  <c r="BC26" i="29"/>
  <c r="BA27" i="29"/>
  <c r="BB27" i="29"/>
  <c r="BC27" i="29"/>
  <c r="BA28" i="29"/>
  <c r="BB28" i="29"/>
  <c r="BC28" i="29"/>
  <c r="BA29" i="29"/>
  <c r="BB29" i="29"/>
  <c r="BC29" i="29"/>
  <c r="BA30" i="29"/>
  <c r="BB30" i="29"/>
  <c r="BC30" i="29"/>
  <c r="BA31" i="29"/>
  <c r="BB31" i="29"/>
  <c r="BC31" i="29"/>
  <c r="BA32" i="29"/>
  <c r="BB32" i="29"/>
  <c r="BC32" i="29"/>
  <c r="BA33" i="29"/>
  <c r="BB33" i="29"/>
  <c r="BC33" i="29"/>
  <c r="BA34" i="29"/>
  <c r="BB34" i="29"/>
  <c r="BC34" i="29"/>
  <c r="BB15" i="29"/>
  <c r="BC15" i="29"/>
  <c r="BA15" i="29"/>
  <c r="AP545" i="23" l="1"/>
  <c r="E586" i="23"/>
  <c r="D587" i="23"/>
  <c r="C588" i="23"/>
  <c r="D588" i="23"/>
  <c r="AI472" i="23" l="1"/>
  <c r="J454" i="23"/>
  <c r="E587" i="23"/>
  <c r="J455" i="23"/>
  <c r="K456" i="23" l="1"/>
  <c r="AG472" i="23" l="1"/>
  <c r="AH472" i="23" s="1"/>
  <c r="AN545" i="23"/>
  <c r="AO545" i="23" s="1"/>
  <c r="G3" i="12" l="1"/>
  <c r="G7" i="12"/>
  <c r="G11" i="12"/>
  <c r="G22" i="12"/>
  <c r="E23" i="12"/>
  <c r="E5" i="12"/>
  <c r="E6" i="12"/>
  <c r="E10" i="12"/>
  <c r="E11" i="12"/>
  <c r="E33" i="12"/>
  <c r="E13" i="12"/>
  <c r="E14" i="12"/>
  <c r="E28" i="12"/>
  <c r="E19" i="12"/>
  <c r="E20" i="12"/>
  <c r="E21" i="12"/>
  <c r="E22" i="12"/>
  <c r="E24" i="12"/>
  <c r="E25" i="12"/>
  <c r="E26" i="12"/>
  <c r="E27" i="12"/>
  <c r="E29" i="12"/>
  <c r="E30" i="12"/>
  <c r="E31" i="12"/>
  <c r="E32" i="12"/>
  <c r="G6" i="12"/>
  <c r="G14" i="12"/>
  <c r="G21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I2" i="12"/>
  <c r="I3" i="12"/>
  <c r="I4" i="12"/>
  <c r="I5" i="12"/>
  <c r="I6" i="12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J24" i="12"/>
  <c r="G19" i="12" l="1"/>
  <c r="H19" i="12" s="1"/>
  <c r="G16" i="12"/>
  <c r="G13" i="12"/>
  <c r="H13" i="12" s="1"/>
  <c r="G15" i="12"/>
  <c r="E34" i="12"/>
  <c r="H34" i="12" s="1"/>
  <c r="E7" i="12"/>
  <c r="H7" i="12" s="1"/>
  <c r="G9" i="12"/>
  <c r="G20" i="12"/>
  <c r="H20" i="12" s="1"/>
  <c r="G18" i="12"/>
  <c r="E4" i="12"/>
  <c r="E15" i="12"/>
  <c r="G17" i="12"/>
  <c r="G12" i="12"/>
  <c r="G10" i="12"/>
  <c r="H10" i="12" s="1"/>
  <c r="G2" i="12"/>
  <c r="G5" i="12"/>
  <c r="H5" i="12" s="1"/>
  <c r="E3" i="12"/>
  <c r="G4" i="12"/>
  <c r="E17" i="12"/>
  <c r="E18" i="12"/>
  <c r="E2" i="12"/>
  <c r="E12" i="12"/>
  <c r="E8" i="12"/>
  <c r="H26" i="12"/>
  <c r="H33" i="12"/>
  <c r="J20" i="12"/>
  <c r="J26" i="12"/>
  <c r="J31" i="12"/>
  <c r="J29" i="12"/>
  <c r="H14" i="12"/>
  <c r="J30" i="12"/>
  <c r="J23" i="12"/>
  <c r="H6" i="12"/>
  <c r="J34" i="12"/>
  <c r="J32" i="12"/>
  <c r="H22" i="12"/>
  <c r="E9" i="12"/>
  <c r="H32" i="12"/>
  <c r="H28" i="12"/>
  <c r="E16" i="12"/>
  <c r="H30" i="12"/>
  <c r="J27" i="12"/>
  <c r="G8" i="12"/>
  <c r="H21" i="12"/>
  <c r="J25" i="12"/>
  <c r="H31" i="12"/>
  <c r="H29" i="12"/>
  <c r="H23" i="12"/>
  <c r="H11" i="12"/>
  <c r="H27" i="12"/>
  <c r="H25" i="12"/>
  <c r="H24" i="12"/>
  <c r="H16" i="12" l="1"/>
  <c r="H17" i="12"/>
  <c r="H18" i="12"/>
  <c r="J5" i="12"/>
  <c r="J8" i="12"/>
  <c r="J14" i="12"/>
  <c r="J22" i="12"/>
  <c r="H3" i="12"/>
  <c r="J19" i="12"/>
  <c r="J21" i="12"/>
  <c r="H4" i="12"/>
  <c r="H12" i="12"/>
  <c r="J3" i="12"/>
  <c r="H2" i="12"/>
  <c r="J6" i="12"/>
  <c r="J18" i="12"/>
  <c r="J16" i="12"/>
  <c r="H8" i="12"/>
  <c r="H15" i="12"/>
  <c r="J12" i="12"/>
  <c r="J7" i="12"/>
  <c r="J9" i="12"/>
  <c r="J4" i="12"/>
  <c r="J11" i="12"/>
  <c r="J2" i="12"/>
  <c r="J13" i="12"/>
  <c r="H9" i="12"/>
  <c r="J15" i="12"/>
  <c r="J10" i="12"/>
  <c r="J33" i="12"/>
  <c r="J28" i="12"/>
  <c r="J17" i="12"/>
  <c r="E36" i="12" l="1"/>
  <c r="E84" i="23"/>
  <c r="E85" i="23"/>
  <c r="K11" i="12" l="1"/>
  <c r="K23" i="12"/>
  <c r="K6" i="12"/>
  <c r="K18" i="12"/>
  <c r="K30" i="12"/>
  <c r="K7" i="12"/>
  <c r="K19" i="12"/>
  <c r="K31" i="12"/>
  <c r="K9" i="12"/>
  <c r="K21" i="12"/>
  <c r="K33" i="12"/>
  <c r="K10" i="12"/>
  <c r="K22" i="12"/>
  <c r="K34" i="12"/>
  <c r="K12" i="12"/>
  <c r="K24" i="12"/>
  <c r="K13" i="12"/>
  <c r="K25" i="12"/>
  <c r="K2" i="12"/>
  <c r="K14" i="12"/>
  <c r="K26" i="12"/>
  <c r="K3" i="12"/>
  <c r="K15" i="12"/>
  <c r="K27" i="12"/>
  <c r="K4" i="12"/>
  <c r="K16" i="12"/>
  <c r="K28" i="12"/>
  <c r="K5" i="12"/>
  <c r="K17" i="12"/>
  <c r="K29" i="12"/>
  <c r="K8" i="12"/>
  <c r="K20" i="12"/>
  <c r="K32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4524C76-2C3E-426F-8059-8087357BD94C}" keepAlive="1" name="Consulta - AV_PLAN" description="Conexión a la consulta 'AV_PLAN' en el libro." type="5" refreshedVersion="8" background="1" saveData="1">
    <dbPr connection="Provider=Microsoft.Mashup.OleDb.1;Data Source=$Workbook$;Location=AV_PLAN;Extended Properties=&quot;&quot;" command="SELECT * FROM [AV_PLAN]"/>
  </connection>
  <connection id="2" xr16:uid="{CB8C8352-17C4-4BC0-AA41-30354299F26E}" keepAlive="1" name="Consulta - AVANCE" description="Conexión a la consulta 'AVANCE' en el libro." type="5" refreshedVersion="8" background="1" saveData="1">
    <dbPr connection="Provider=Microsoft.Mashup.OleDb.1;Data Source=$Workbook$;Location=AVANCE;Extended Properties=&quot;&quot;" command="SELECT * FROM [AVANCE]"/>
  </connection>
  <connection id="3" xr16:uid="{816EA556-46D9-451D-9EC4-E1ED20F42346}" keepAlive="1" name="Consulta - BD_MODULO" description="Conexión a la consulta 'BD_MODULO' en el libro." type="5" refreshedVersion="8" background="1" saveData="1">
    <dbPr connection="Provider=Microsoft.Mashup.OleDb.1;Data Source=$Workbook$;Location=BD_MODULO;Extended Properties=&quot;&quot;" command="SELECT * FROM [BD_MODULO]"/>
  </connection>
  <connection id="4" xr16:uid="{3A0DFA5E-4450-4F1A-B618-52EF21B4AF47}" keepAlive="1" name="Consulta - CURVA" description="Conexión a la consulta 'CURVA' en el libro." type="5" refreshedVersion="8" background="1" saveData="1">
    <dbPr connection="Provider=Microsoft.Mashup.OleDb.1;Data Source=$Workbook$;Location=CURVA;Extended Properties=&quot;&quot;" command="SELECT * FROM [CURVA]"/>
  </connection>
  <connection id="5" xr16:uid="{8272AF3E-FBB4-4196-95D4-9B4B381F8165}" keepAlive="1" name="Consulta - DETALLE GD" description="Conexión a la consulta 'DETALLE GD' en el libro." type="5" refreshedVersion="8" background="1" saveData="1">
    <dbPr connection="Provider=Microsoft.Mashup.OleDb.1;Data Source=$Workbook$;Location=&quot;DETALLE GD&quot;;Extended Properties=&quot;&quot;" command="SELECT * FROM [DETALLE GD]"/>
  </connection>
  <connection id="6" xr16:uid="{B76EB78D-7727-4FA7-AADD-E561C003C36B}" keepAlive="1" name="Consulta - GD_MODULOS" description="Conexión a la consulta 'GD_MODULOS' en el libro." type="5" refreshedVersion="8" background="1" saveData="1">
    <dbPr connection="Provider=Microsoft.Mashup.OleDb.1;Data Source=$Workbook$;Location=GD_MODULOS;Extended Properties=&quot;&quot;" command="SELECT * FROM [GD_MODULOS]"/>
  </connection>
  <connection id="7" xr16:uid="{8A292E6A-F365-408E-8EC5-2E17597757CC}" keepAlive="1" name="Consulta - PRODUCTOS" description="Conexión a la consulta 'PRODUCTOS' en el libro." type="5" refreshedVersion="8" background="1" saveData="1">
    <dbPr connection="Provider=Microsoft.Mashup.OleDb.1;Data Source=$Workbook$;Location=PRODUCTOS;Extended Properties=&quot;&quot;" command="SELECT * FROM [PRODUCTOS]"/>
  </connection>
  <connection id="8" xr16:uid="{E929C461-4C02-4122-9736-ECE464A294B9}" keepAlive="1" name="Consulta - REG STOCK" description="Conexión a la consulta 'REG STOCK' en el libro." type="5" refreshedVersion="8" background="1" saveData="1">
    <dbPr connection="Provider=Microsoft.Mashup.OleDb.1;Data Source=$Workbook$;Location=&quot;REG STOCK&quot;;Extended Properties=&quot;&quot;" command="SELECT * FROM [REG STOCK]"/>
  </connection>
  <connection id="9" xr16:uid="{B4DDA44C-9A01-432E-9AFF-4E676F726A1D}" keepAlive="1" name="Consulta - REG STOCK 13-04-2026" description="Conexión a la consulta 'REG STOCK 13-04-2026' en el libro." type="5" refreshedVersion="8" background="1" saveData="1">
    <dbPr connection="Provider=Microsoft.Mashup.OleDb.1;Data Source=$Workbook$;Location=&quot;REG STOCK 13-04-2026&quot;;Extended Properties=&quot;&quot;" command="SELECT * FROM [REG STOCK 13-04-2026]"/>
  </connection>
</connections>
</file>

<file path=xl/sharedStrings.xml><?xml version="1.0" encoding="utf-8"?>
<sst xmlns="http://schemas.openxmlformats.org/spreadsheetml/2006/main" count="15938" uniqueCount="2010">
  <si>
    <t>FECHA SOLICITUD</t>
  </si>
  <si>
    <t>OBS TRABAJO MODULO</t>
  </si>
  <si>
    <t>CODIGO</t>
  </si>
  <si>
    <t>DESCRIPCION MATERIALES</t>
  </si>
  <si>
    <t>UNIDAD DE MEDIDA</t>
  </si>
  <si>
    <t>CANTIDAD SOLICITADA</t>
  </si>
  <si>
    <t>VALOR X UN (GD)</t>
  </si>
  <si>
    <t>VALOR TOTAL POR ITEM GD</t>
  </si>
  <si>
    <t>VALOR PPTO</t>
  </si>
  <si>
    <t>DIF VALOR TOTAL PAGADO</t>
  </si>
  <si>
    <t>DIF %</t>
  </si>
  <si>
    <t>COMETARIO DIF $</t>
  </si>
  <si>
    <t>GD</t>
  </si>
  <si>
    <t>MONTO GD</t>
  </si>
  <si>
    <t>OC</t>
  </si>
  <si>
    <t>PILOTO</t>
  </si>
  <si>
    <t>VENTA DIRECTA</t>
  </si>
  <si>
    <t>PLACA LP OSB STANDAR 1.22 x2.44 x 9.5 MM APA PT-OECA095  (84 PL.xPAQ)</t>
  </si>
  <si>
    <t>PL</t>
  </si>
  <si>
    <t>PLANCHA YESO CARTON RF 1.22x2.44x15 BORDE CUADRADO S/PAPEL ( 2,9768 M2 X PL=70 PLX PQTE) SKU 5001097</t>
  </si>
  <si>
    <t>PZA</t>
  </si>
  <si>
    <t>030253X</t>
  </si>
  <si>
    <t>PINO SYP GRADO 2 PRIME IMPREGNADO DE  3" x 8" x 10' (63x184 mm)</t>
  </si>
  <si>
    <t>TERCIADO FENOLICO BC MOLDAJE DE 1,22 X 2,44 X 15 mm (65 PL X PQTE)</t>
  </si>
  <si>
    <t>COLA FRIA ARTICOL MADERA BALDE 20 KG.</t>
  </si>
  <si>
    <t>TIN</t>
  </si>
  <si>
    <t>M2</t>
  </si>
  <si>
    <t>POLIETILENO ALTA DENSIDAD DE 2.50 X 110 MICRAS FOIL ( 3.83 METROS LINEALES X KILO )</t>
  </si>
  <si>
    <t>KG</t>
  </si>
  <si>
    <t>FIJACIONES PARA PILOTO</t>
  </si>
  <si>
    <t>TORNILLO SIMPSON ESTRUCTURAL SDWS22600DB DE 6" (500 TORN.XPQTE.)</t>
  </si>
  <si>
    <t>UND</t>
  </si>
  <si>
    <t>TORNILLO CABEZA PLANA 7MM X 125MM (200 X CAJA) (SDW22500MB)</t>
  </si>
  <si>
    <t>TORNILLO DOBLE ROSCA 8MM X 330 MM (50 UNID X CAJA) SWD</t>
  </si>
  <si>
    <t>40814X</t>
  </si>
  <si>
    <t>CLAVO TORNILLO TC28/32X65 NK JUMBO SCRAIL (SCRAIL-SCREW - 3.600 UND X CAJA)</t>
  </si>
  <si>
    <t>CJA</t>
  </si>
  <si>
    <t>PLACA SMART SIDE R-4 SPC-M111 DE 1.220X2.440X11.1 MM (72 PL.POR PALLET )</t>
  </si>
  <si>
    <t>FIBROCEMENTO LISO 1.2 x 2.40 x 22 MM (VOLCAN)</t>
  </si>
  <si>
    <t>AISLAN ROCA 90 MM D: 32 KG/M3 DE 0.375x1.200 MM (5.4 M2) SKU 3000481</t>
  </si>
  <si>
    <t>HOLDOWN ALTA CARGA HDQ8 CON TORNILLOS SDS 3"-DHQ8</t>
  </si>
  <si>
    <t>HOLDOWN SUJECIÓN DE SERVICIO PESADO, 14" ALTO INCLUYE 30 TORNILLOS SDS25212 -HHDQ14</t>
  </si>
  <si>
    <t>TORNILLOS PARA FABRICAR PILARES COMPUESTOS Y FIJACION DE MUROS EN ESTRUCTURA</t>
  </si>
  <si>
    <t>TORNILLO ZINCADO 8 x 3" CRS.</t>
  </si>
  <si>
    <t>PISO VINILICO TARKETT PLUS STANDARD E: 2 MM  GRIS CODIGO 494 (46 M2 X ROLLO)</t>
  </si>
  <si>
    <t>080460x</t>
  </si>
  <si>
    <t>MONOFILAMENTO POLYFLOR GRIS COD:3700</t>
  </si>
  <si>
    <t>RLL</t>
  </si>
  <si>
    <t>SIFON PARA LAVAPLATO DE 1 1/2" VINILIT SALIDA RECTA DE 50</t>
  </si>
  <si>
    <t>DESAGUE METALICO TINA, RECEPTACULO Y LAVAPLATOS 1 1/2"</t>
  </si>
  <si>
    <t>LAVAMANOS VALENCIA PREMIUM COD:CS0055671301CF BLANCO</t>
  </si>
  <si>
    <t>SOPORTE DE TINA STANDARD D25 H13 ( SB004819130100)</t>
  </si>
  <si>
    <t>MONOMANDO LAVAPLATOS ASÍS MCPAS</t>
  </si>
  <si>
    <t>TINA ESMALTADA BLANCA C/ANTIDESLIZANTE DE 1.30X0.70X0.385 MARCA GALA</t>
  </si>
  <si>
    <t>BARANDA METALICA  3140X1050 MM- SOLUCION BALCON</t>
  </si>
  <si>
    <t>MUEBLE BASE LAVAPLATOS 80X50X86,5 CM EN MELAMINA BLANCA 15 MM</t>
  </si>
  <si>
    <t>LAVAPLATOS DE SOBREPONER 80X50 CM PARA MONOMANDO C/SECADOR DERECHO</t>
  </si>
  <si>
    <t>DILUYENTE DUCO BOTELLA 1 LT</t>
  </si>
  <si>
    <t>LTS</t>
  </si>
  <si>
    <t>TRAPOS DE ASEO</t>
  </si>
  <si>
    <t>ATRIL METALICO PARA LAVADERO -2 PATAS</t>
  </si>
  <si>
    <t>LAVADERO DE PLASTICO  MODELO TQO-15 LTS</t>
  </si>
  <si>
    <t>SIFON DE LAVADERO  CORRUGADO  1 1/2"  BLANCO</t>
  </si>
  <si>
    <t>TERMINACION PILOTO</t>
  </si>
  <si>
    <t>GUARDAPOLVO MDF FOLIO COLOR BLANCO DE 12 x 57 x 3.660</t>
  </si>
  <si>
    <t>CORNIZA MDF FOLIO COLOR BLANCO MC-8 DE LARGO 3.660</t>
  </si>
  <si>
    <t>ANGULO PVC 32 x 32 x 2.2 x 3.000 MM. BLANCO</t>
  </si>
  <si>
    <t>PINTURA EPOXICA POLIPOX 675 GRIS COD:6757040T33</t>
  </si>
  <si>
    <t>GAL</t>
  </si>
  <si>
    <t>CATALIZADOR ESMALTE EPOXICO COD:9610007T22</t>
  </si>
  <si>
    <t>DILUYENTE EPOXICO COD: 8000015T30</t>
  </si>
  <si>
    <t>OLEO SEMIBRILLO RAL-9010 BCO.PURO ( TINETA )</t>
  </si>
  <si>
    <t>PLACA FIBROCEMENTO SIMPLISIMA CENIA BEIGE 2400 MM x 1200 MM x 6 MM</t>
  </si>
  <si>
    <t>BURLETE DE TERMINACION PARA PLATO DUCHA Y BAÑERAS TIRA DE 3 MTS. PVC</t>
  </si>
  <si>
    <t>SELLADOR ADHESIVO FIX-ALL HIGH TACK (REEMPLAZO MIR-O-BOND)</t>
  </si>
  <si>
    <t>M-00003</t>
  </si>
  <si>
    <t>PLANCHA YESO CARTON RF S/PAPEL DE 1.22 x 3.40 x 15 MM BORDE CUADRADO 40 PLXPALLET (SKU 5002153)</t>
  </si>
  <si>
    <t>TUBO FLEXIBLE L/HALOG S/GUIA 20mm 1/2 GR ROLLO 100 MTS</t>
  </si>
  <si>
    <t>PINO NACIONAL SECO  CEPILLADO DE 1 x 4 x 3.20 MTS (264 PZA X PQTE)</t>
  </si>
  <si>
    <t>VENTA DIRECTA , REVESTIMIENTO CULATA</t>
  </si>
  <si>
    <t>PLACA OSB STANDARD DE 1.22 x 2.44 x 11.1 MM ( 72 X PAQUETE )</t>
  </si>
  <si>
    <t>BROCAS PARA MURO VISLIDER SQR27114 (7-1/4" Sq Drive #2 Bit)</t>
  </si>
  <si>
    <t>040815X</t>
  </si>
  <si>
    <t>CLAVO R20 34X100 BK BEA (NAILS - 1.500 UND X CAJA N°BEA 10400470)</t>
  </si>
  <si>
    <t>PINO NACIONAL GRADO C-16/C-24 IMPREGNADO DE 2" X 6" X 4,00 m</t>
  </si>
  <si>
    <t>PINO IPV CALIBRADO G2 45x45x2400mm</t>
  </si>
  <si>
    <t>PINO NACIONAL GRADO G1 CEPILLADO SECO 2X12X320 (41X280)</t>
  </si>
  <si>
    <t>030210X</t>
  </si>
  <si>
    <t>PINO SYP GRADO 2 PRIME DE 2" x 10" x 12´ ( 38 x 230 MM )</t>
  </si>
  <si>
    <t>KIT CERRADURA ACCESO ML/816 SS 2 MANILLAS (SKU: 023037A)</t>
  </si>
  <si>
    <t>KIT</t>
  </si>
  <si>
    <t>KIT CERRADURA ACCESO ML/816 SS 1 MANILLA (SKU:023037)</t>
  </si>
  <si>
    <t>140207X</t>
  </si>
  <si>
    <t>CERRADURA BAÑO G-3 AC.INOX.MODELO RL100281 LT3576CTL 26D ADJ T LT3500</t>
  </si>
  <si>
    <t>140209X</t>
  </si>
  <si>
    <t>TOPE DE PUERTA IMPORTADO MODELO 26D</t>
  </si>
  <si>
    <t>LLAVE DE BOLA JARDIN/LAVAD 1/2" MANGO ROJO</t>
  </si>
  <si>
    <t>LLAVE DE BOLA JARDIN/LAVAD 1/2" MANGO AZUL</t>
  </si>
  <si>
    <t>ESTANQUE LUGANO DUAL FLUSH BLANCO COD: CS0443301301B0</t>
  </si>
  <si>
    <t>WC LUGANO DESCARGA MURO COD:CS0010241301CF + SET ANCLAJE</t>
  </si>
  <si>
    <t>KIT PUERTA AMPARO 750 MM PRECOLGADA SIN PERFORAR DERECHA</t>
  </si>
  <si>
    <t>ASIENTO WC MODELO UNIVERSAL REDONDO COD:SP0095111301BO (CAPRICE)</t>
  </si>
  <si>
    <t>LLAVE ANGULAR HE 1/2 X HE 1/2 CON FILTRO (WASSER)</t>
  </si>
  <si>
    <t>MONOMANDO LAVAMANOS ANDES CROMADO  (SGLV55693061CF)</t>
  </si>
  <si>
    <t>MONOMANDO TINA DUCHA ANDES CROMADO (SGTD55693061CF)</t>
  </si>
  <si>
    <t>PEDESTAL VALENCIA PREMIUM COD:SS0066011301CG  BLANCO</t>
  </si>
  <si>
    <t>TORNILLO VOLCANITA CRS 6 x 1 5/8" ZINCADO</t>
  </si>
  <si>
    <t>TORNILLO PARA VOLCANITA CRS 6 x2 1/4 NEGRO DRYWALL</t>
  </si>
  <si>
    <t>GRAPA 145X35 T-40 (10.000 X CAJA)</t>
  </si>
  <si>
    <t>GRAPA 14X35 T-50 (10.000 X CAJA)</t>
  </si>
  <si>
    <t>CONECTOR DENTADO SIMPSON DE 3" X 6" (AS36B / CAJA 232 UND)</t>
  </si>
  <si>
    <t>CLAVO HELICOIDAL 31/4 x 80 N-80 (CAJA 4.500 UNIDADES)</t>
  </si>
  <si>
    <t>CINTA POLIESTER DE 2" COLOR VERDE (ROLLO= 100 mt=15 kg)</t>
  </si>
  <si>
    <t>MTS</t>
  </si>
  <si>
    <t>M-00001</t>
  </si>
  <si>
    <t>PINO NACIONAL GRADO C-16/C-24 IMPREGNADO DE 2" X 6" X 4,00 m (VIVIENDAS SOCIALES)</t>
  </si>
  <si>
    <t>ESQUINERO GUARDAPOLVO PVC INTERIOR HAYA</t>
  </si>
  <si>
    <t>KIT HDF AMPARO IMPERIAL IZQUIERDA DE 750X2050MM HOJA 700X2000MM MARCO PINO FINGER 30X70 C/3 BISAGRAS</t>
  </si>
  <si>
    <t>CERRADURA YALE Y815 OFICINA DORMITORIO  MANILLA/LLAVE/SEGURO</t>
  </si>
  <si>
    <t>KIT PRECOLGADO PTA.CARA ACERO GALV.6 PANELES BLANCA 45X1000X2050+M.P.FINGER 30X120-DERECHA</t>
  </si>
  <si>
    <t>KIT PREC.PTA.CARA ACERO GALV.LISA 1/2 C.BLANCA 45X850X2050 V.TERMOPANEL,M.P.FINGER 30X120-DERECHA</t>
  </si>
  <si>
    <t>ENTREGA 3 KIT DE MARCO</t>
  </si>
  <si>
    <t>MARCO PUERTA HOME 30X120mm PINO FINGER (2 PIERNAS DE 2.400 MM - 1 CABEZAL DE 1.000 MM)</t>
  </si>
  <si>
    <t>M-00004</t>
  </si>
  <si>
    <t>PISO</t>
  </si>
  <si>
    <t>POLIETILENO ALTA DENSIDAD DE 1.80 X 110 MICRAS FOIL ( 2.66 METROS LINEALES X KILO )</t>
  </si>
  <si>
    <t>PINO NACIONAL ESTRUCTURAL CEPILLADO 4/CARAS  IMPREGNADO DE  2 X 8 X 4.00 (41 x 185 MM ) (VVSS)</t>
  </si>
  <si>
    <t>"PINO NACIONAL BRUTO IMPREGNADO 1 "" X 4"" X 3,2MT "</t>
  </si>
  <si>
    <t>PUNTA PARA PUNTILLERA ZN 5000 DE F-50 MM CAJA 5.000 UND</t>
  </si>
  <si>
    <t>ESMALTE AL AGUA BLANCO SATINADO PLUS UNIVERSAL (TINETA 5 GALONES)</t>
  </si>
  <si>
    <t>ESQUINERO CORNIZA INTERIOR  PVC HAYA</t>
  </si>
  <si>
    <t>ESQUINERO CORNIZA PVC EXTERIOR   HAYA</t>
  </si>
  <si>
    <t>SILICONA ACETICA C/FUNGICIDA COLOR TRANSPARENTE 300 ml</t>
  </si>
  <si>
    <t>RODILLO CHIPORRO LIZCAL DE 7" PATAGON 18 CMS</t>
  </si>
  <si>
    <t>BROCHA EXCELSIOR PROFESIONAL 5/8" x 4"</t>
  </si>
  <si>
    <t>BROCHA EXCELSIOR PROFESIONAL DE  5/8" x 3"</t>
  </si>
  <si>
    <t>MOLDURA PVC ESQUINERA INTERIOR 2.44 P/KEMLITE</t>
  </si>
  <si>
    <t>TRA</t>
  </si>
  <si>
    <t>080470X</t>
  </si>
  <si>
    <t>MONOFILAMENTO PISO VINILICO GRIS COD: 494 ( ROLLO 50 MTS  )</t>
  </si>
  <si>
    <t>ML</t>
  </si>
  <si>
    <t>CELOSIA ALUMINIO MATE 25 x 25 CMS</t>
  </si>
  <si>
    <t>EXTRACTOR VENTILACION PASIVA JONAS 4 VERSION CUADRADA F C/CELOSIA #150 BLANCO 100MM (COD: 250729)</t>
  </si>
  <si>
    <t>EXTRACTOR DE VENTILACION INTELLIVENT + KIT UTA</t>
  </si>
  <si>
    <t>CLAVO HELICOIDAL PROFIX GALV 3.1X65MMX217X18R</t>
  </si>
  <si>
    <t>MUROS Y REVESTIMIENTOS</t>
  </si>
  <si>
    <t>PISO 3</t>
  </si>
  <si>
    <t>ENTALLADURA</t>
  </si>
  <si>
    <t>FORRO PARA REVESTIMIENTO</t>
  </si>
  <si>
    <t>FORRO INICIO F-1 GRIS CENIZA RAL-7040 D:110  L:3.000 (V.SOCIALES)</t>
  </si>
  <si>
    <t>M-00002</t>
  </si>
  <si>
    <t>REVESTIMIENTO Y CUBIERTA</t>
  </si>
  <si>
    <t>MOLDURA ALUMINIO NATURAL  5355 TEMBAR LARGO 6.0 METROS</t>
  </si>
  <si>
    <t>090721x</t>
  </si>
  <si>
    <t>MEMBRANA PVC  DE 1.2 MM DE 4,10 MT x  25 MT (102,50 M2/ROLLO)</t>
  </si>
  <si>
    <t>TYPAR VOLCANWRAP ROLLO DE 2,743 x 45,72 MTS ( 125 M2 x ROLLO ) SKU 7000031</t>
  </si>
  <si>
    <t>ADHESIVO VINILICO GEXAFLEX TINETA 20 KG</t>
  </si>
  <si>
    <t>REVESTIMIENTO INTERIOR</t>
  </si>
  <si>
    <t>PLACA LP SMARTSIDE LAP 30 APA X 4,88 MTS X 9,5 MM.</t>
  </si>
  <si>
    <t>CONECTOR DENTADO SIMPSON DE  6" X 8"  (AS68B / 88 UND POR CAJA)</t>
  </si>
  <si>
    <t>MATERIAL FORRADO DE PISO</t>
  </si>
  <si>
    <t>CELOSIA BEAGLE 35.5 X 13CM BCO COD:2011100010050</t>
  </si>
  <si>
    <t>CELOSIA ALUMINIO MATE 30x30 CMS.</t>
  </si>
  <si>
    <t>TIRAFONDO HEXAGONO CORRIENTE DE 3/8" x 4-1/2"</t>
  </si>
  <si>
    <t>GOLILLA PLANA CORRIENTE 3/8" (CODIGO:03-GPFU ENVASE DE 100 UND)</t>
  </si>
  <si>
    <t>ESCUADRA REFORZADA 105 X 150 X 90 E:3MM (COD: ABR105)</t>
  </si>
  <si>
    <t>081009X</t>
  </si>
  <si>
    <t>PISO VINILICO SAFETRED UNIVERSAL 2M VENUS (2 x 20 M)</t>
  </si>
  <si>
    <t>M-00007 -M-00008</t>
  </si>
  <si>
    <t>STOCK</t>
  </si>
  <si>
    <t>PISO M-00008-M00009</t>
  </si>
  <si>
    <t>STOCK TERRAZA  N° 1  A LA °25</t>
  </si>
  <si>
    <t>TORNILLO PARA CONECTORES 5MM X 50MM (CAJA 250 UN) (CODIGO SIMPSON: CSA5.0X50)</t>
  </si>
  <si>
    <t>PRUEBA DE REVESTIMIENTO</t>
  </si>
  <si>
    <t>PISO 8</t>
  </si>
  <si>
    <t>FIJACION PARA TERRAZAS Y AISLACION</t>
  </si>
  <si>
    <t>M-00009</t>
  </si>
  <si>
    <t>PISO MOD 9 Y 10</t>
  </si>
  <si>
    <t>PINO NACIONAL SECO  CEPILLADO DE 1 x 4 x 3.20 MTS (264 PZA X PQTE) IMPREGNADO</t>
  </si>
  <si>
    <t>040748X</t>
  </si>
  <si>
    <t>TORNILLO BASTON MURO TRA. 8 X 13/4</t>
  </si>
  <si>
    <t>ANGULO PVC 25x25x3.0 MTS BLANCO</t>
  </si>
  <si>
    <t>BROCHA EXCELSIOR PROFESIONAL DE 5/8 x 2"</t>
  </si>
  <si>
    <t>180150x</t>
  </si>
  <si>
    <t>CORTINA DE BAÑO 1.30 x 2.00 MTS. COLOR GRIS INCLUYE ARGOLLAS</t>
  </si>
  <si>
    <t>JGO</t>
  </si>
  <si>
    <t>CUBREJUNTA MDF WHITE  DE 5.5 x 40 x 3.600 MM  (VOLCAN) SKU: 1500015</t>
  </si>
  <si>
    <t>ESQUINERO PILASTRA PVC HAYA</t>
  </si>
  <si>
    <t>LIJA PARA MADERA GRANO 120 (PLIEGO)</t>
  </si>
  <si>
    <t>MANILLON C SPAGNA 19X200X300 MM (SKU: 041420)</t>
  </si>
  <si>
    <t>PORTARROLLO ACERO INOX FONTANA S/TAPA (SAPR80083101CB)</t>
  </si>
  <si>
    <t>TOALLERO REDONDO FONTANA ACERO INOX (SATR80083101CB)</t>
  </si>
  <si>
    <t>ESPEJO RECTO AL. BLANCO DE 50x70 CMS</t>
  </si>
  <si>
    <t>GANCHO INDIVIDUAL FONTANA ACERO INOX (SAGI80083101CB)</t>
  </si>
  <si>
    <t>BARRA CORTINA BAÑO ALUMINIO/PVC  BLANCO L: 1.5 MTS. COD:2014100010050</t>
  </si>
  <si>
    <t>SOPORTE BARRA CORTINA ECONOMICO BLANCO COD:1511110022050</t>
  </si>
  <si>
    <t>"DESAGUE LAVAMANOS UNIVERSAL PP 1 1/4"" CON REJILLA Y TAPON (20ST3058100)"</t>
  </si>
  <si>
    <t>PLANCHA YESO CARTON VOLCAN RF 1.22 x 3.40 x 15MM WHITE BORDE CUADRADO (40PLXPQ) SKU 5002142</t>
  </si>
  <si>
    <t>M-00005</t>
  </si>
  <si>
    <t>GOLILLA PVC BLANCA PARA TECHO 27 MM C/TAPA</t>
  </si>
  <si>
    <t>M-00006</t>
  </si>
  <si>
    <t>MUESTRA DE REVESTIMIENTO</t>
  </si>
  <si>
    <t>MUESTRA</t>
  </si>
  <si>
    <t>ESMALTE AL AGUA RAL 8011</t>
  </si>
  <si>
    <t>PLANCHA YESO CARTON VOLCAN RF 122 x 2.44 x 15 LINEN GREY BORDE CUADRADO 70 PLXPALLET SKU 5002205</t>
  </si>
  <si>
    <t>CIELO, PARA 10 MOD</t>
  </si>
  <si>
    <t>040813x</t>
  </si>
  <si>
    <t>CLAVO BDC 22X50 BK RING JUMBO COIL (NAIL - 9.000 UND X CAJA)</t>
  </si>
  <si>
    <t>PISO M-00009-M00010</t>
  </si>
  <si>
    <t>CINTA ENMASCARAR PERMACEL DE 2" 40 X 48 mm</t>
  </si>
  <si>
    <t>DILUYENTE SINTETICO BIDON 5 LTS (6 BID/CAJA)</t>
  </si>
  <si>
    <t>BID</t>
  </si>
  <si>
    <t>SILICONA ACETICA C/FUNGICIDA COLOR BLANCO 300 ml</t>
  </si>
  <si>
    <t>SILICONA SELLADOR ACRILICO PINTABLE COLOR BLANCA 300 ml</t>
  </si>
  <si>
    <t>ESMALTE AL AGUA RAL 8001</t>
  </si>
  <si>
    <t>M-00010-11-14-15</t>
  </si>
  <si>
    <t>PANELES DE DIVISIONES INTERIORES</t>
  </si>
  <si>
    <t>M-00010-11</t>
  </si>
  <si>
    <t>PILARES COMPUESTOS</t>
  </si>
  <si>
    <t>M-00009-12-13-14-15-16-17-18-19-20-21-23</t>
  </si>
  <si>
    <t>M-00024</t>
  </si>
  <si>
    <t>M-00011-12-13-14-15-16</t>
  </si>
  <si>
    <t>PANELES DE PISO,  PISO 2</t>
  </si>
  <si>
    <t>M-00012-13-16-17</t>
  </si>
  <si>
    <t>M-00011</t>
  </si>
  <si>
    <t>040801X</t>
  </si>
  <si>
    <t>GRAPAS 180/40 NK HZ (10.000 UND X CAJA)</t>
  </si>
  <si>
    <t>M-00012</t>
  </si>
  <si>
    <t>CAVE POLFLEX IMPERMEABILIZANTE , COPD: LCPIMM10020601 BALDE 20 KG</t>
  </si>
  <si>
    <t>MOD-12-13-14</t>
  </si>
  <si>
    <t>FABRICACION  PILARES</t>
  </si>
  <si>
    <t>040748x</t>
  </si>
  <si>
    <t>TORNILLO PARA FIBROCEMENTO PUNTA ESPEDA DE 10 x 13/4"  COD: K20TFCW (CAJA 1.000 UND )</t>
  </si>
  <si>
    <t>BALCONES</t>
  </si>
  <si>
    <t>ADHESIVO GEXAFLEX 60 ENVASE GALON ( 3.75 LTS)</t>
  </si>
  <si>
    <t>GUARDAPOLVO PARA RETORNO PISO VINILICO PVC 50 x 3.000 COLOR BLANCO</t>
  </si>
  <si>
    <t>VENTANA BAÑO</t>
  </si>
  <si>
    <t>ANGULO PVC 40 x 40 x 2 x 3.000 MM BLANCO</t>
  </si>
  <si>
    <t>MOD-10-11-12-13</t>
  </si>
  <si>
    <t>GRUPO</t>
  </si>
  <si>
    <t>OBRA GRUESA</t>
  </si>
  <si>
    <t>040814X</t>
  </si>
  <si>
    <t>080459x</t>
  </si>
  <si>
    <t>PISO VINILICO POLYFLOR 2 MM GRIS  COD:3700 (2 X 20  mt = 40 m2 x Rollo)</t>
  </si>
  <si>
    <t>TERMINACION</t>
  </si>
  <si>
    <t>ESPUMA POLIURETANO EXPANSIVA 750 ml</t>
  </si>
  <si>
    <t>PINO NACIONAL GRADO C-16/C-24 IMPREGNADO DE 2" x 4" x x 3,20 m (41x90mm)</t>
  </si>
  <si>
    <t>PINO NACIONAL ESTRUCTURAL CEPILLADO 4/CARAS  IMPREGNADO DE  2 X 8 X 4.00 (41 x 185 MM ) (60XPAQUETE)</t>
  </si>
  <si>
    <t>PILASTRA MDF FOLIO COLOR BLANCO DE 12 x 57 x 2,440  mm</t>
  </si>
  <si>
    <t>CUBREJUNTA MDF DE  5.5 x 40 x 2.440 MM.LINEN GREY (VOLCAN SKU 213041)</t>
  </si>
  <si>
    <t>PUNTA PARA PUNTILLERA DE 30 MM CAJA DE 5.000 UNIDADES</t>
  </si>
  <si>
    <t>NARIZ DE GRADA ALUMINIO 53x28.5x6 5367</t>
  </si>
  <si>
    <t>CONECTOR DENTADO SANDE DE 4" X 8" (AS48B)</t>
  </si>
  <si>
    <t>CLAVO HELICOIDAL 3.1X80MM</t>
  </si>
  <si>
    <t>PLANCHA YESO CARTON RH DE 1.20 x 2.40 x 12.5 MM BORDE REBAJADO (70PLXPQT)</t>
  </si>
  <si>
    <t>BUTILLO ROLLO DE 3.2 x 19 x 15.25  MTS</t>
  </si>
  <si>
    <t>MEMBRANA PVC NEGRA DE 0.8 MM ESPESOR TERMOFUSIONADA (4,1 ANCHO X 13 MT LARGO) MOD TIPO QB</t>
  </si>
  <si>
    <t>LLAVE DE PASO CAMPANA 1/2 LC17 6001 FAS</t>
  </si>
  <si>
    <t>GRIFERIA</t>
  </si>
  <si>
    <t>KIT DESAGÜE Y SIFÓN C/REBALSE PARA TINAS (SC1015690001BS)</t>
  </si>
  <si>
    <t>TINA DE ACERO ESMALTADA BLANCA ANTIDESLIZANTE 130x70</t>
  </si>
  <si>
    <t>NEW PRIMA MEZCLADOR PARA LAVABO APERTURA EN FRIO 8LPM ESTIU (TS2024019)</t>
  </si>
  <si>
    <t>NEW PRIMA MEZCLADOR EXTERIOR TINA/DUCHA INCL. DUCHA SIMPLE, SOPORTE Y FLEXIBLE 1.5M 8LPM, ESTIU (TS2024020)</t>
  </si>
  <si>
    <t>LAVARROPA PLATICO DS THEOS 15L (19ST8073500)</t>
  </si>
  <si>
    <t>"SIFON PLASTICO UNIVERSAL 1 1/4"" Y 1 1/2"" (19ST8073500)"</t>
  </si>
  <si>
    <t>PORTA ROLLO BENTON CROMO (21BE0000100)</t>
  </si>
  <si>
    <t>ARGOLLA TOALLA BENTON CROMO (21BE0000101)</t>
  </si>
  <si>
    <t>LAVAMANOS DS THEOS (60TH2001000)</t>
  </si>
  <si>
    <t>PEDESTAL DS THEOS (60TH2002000)</t>
  </si>
  <si>
    <t>UÑETAS INSTLACION LAVAMANOS MURAL C/TORNILLO Y TARUGO (21PB6002032)</t>
  </si>
  <si>
    <t>SIFON LAVAMANOS PP 1 1/4'' CON SALIDA RECTA (19ST3082500)</t>
  </si>
  <si>
    <t>MANGUITO RECTO 110MM MOD. TUBE WASSER</t>
  </si>
  <si>
    <t>TAZA WC AURA HORIZONTAL CON FIJACIONES Y SELLO</t>
  </si>
  <si>
    <t>ESTANQUE WC AURA CON MECANISMO</t>
  </si>
  <si>
    <t>NUEVO ASIENTO Y TAPA WC AURA P.P. CIERRE ESTÁNDAR</t>
  </si>
  <si>
    <t>LLAVE ANGULAR 1/2X1/2 Y FLEXIBLE TECHNOFLEX 1/2X15/16 DE 35CM</t>
  </si>
  <si>
    <t>SELLO INSTALACION WC AURA HORIZONTAL</t>
  </si>
  <si>
    <t>PERCHA SIMPLE YORK 21PL0000104</t>
  </si>
  <si>
    <t>AISLAN  GLASS 90 MM 0.375x12 MTS . DENSIDAD 11 KG/M3 (13.5 M2 X BOLSA) SKU 4000147</t>
  </si>
  <si>
    <t>AISLAN GLASS 140 MM R100/349 0.375x7.20 MTS DENSIDAD 13 KG/M3 (8.1 M2) COD:4000724</t>
  </si>
  <si>
    <t>MUEBLERIA</t>
  </si>
  <si>
    <t>PINO NACIONAL CEPILLADO 4/CARAS SECO DE 2" X 2" X 3.20 MT (41 X 41 mm) IMPREGNADO</t>
  </si>
  <si>
    <t>TORNILLOS SDS PARA CONECTORES ¼ X 4 1/2" - VASTAGO LARGO (100 UN X CAJA) (SDS25412MB)</t>
  </si>
  <si>
    <t>NEW PRIMA MEZCLADOR PARA LAVAPLATOS CUELLO CISNE APERTURA EN FRIO 8LPM, ESTIU (TS2024022)</t>
  </si>
  <si>
    <t>CELOSÍA ALUMINIO BLANCO 805X2446 QUIEBRAVISTA GRANDE Y ANGULO PERIMETRAL</t>
  </si>
  <si>
    <t>CINTA SELLADORA FLASHING TAPE 1" X 75 ft (SKU: 7000751905-4)</t>
  </si>
  <si>
    <t>V05</t>
  </si>
  <si>
    <t>V05-VENTANA LIVING-COMEDOR CORREDERA BALCONERA (2050 mm X 1600 mm)</t>
  </si>
  <si>
    <t>V03</t>
  </si>
  <si>
    <t>V03- VENTANA BAÑO PROYECTANTE (550X550 MM)</t>
  </si>
  <si>
    <t>FORRO FRENTE BALCON DS49 80/100  D: 220 MM L: 4000 MM</t>
  </si>
  <si>
    <t>FORRO LATERAL BALCON DS49 100/100 D: 220 MM L: 3000 MM</t>
  </si>
  <si>
    <t xml:space="preserve">PINTURA </t>
  </si>
  <si>
    <t xml:space="preserve">PINTURA IMPERMEABILIZANTE DE POLIURETANO COLOR GRIS </t>
  </si>
  <si>
    <t>CAPA</t>
  </si>
  <si>
    <t>CAPA DE TERMINACION AUTONIVELANTE PACE COTE 8 MILS DE ESPESOR + ARIDO EFEC. ANTIDESLIZANTE</t>
  </si>
  <si>
    <t>V01</t>
  </si>
  <si>
    <t>V01-VENTANA DORMITORIOS 2 PAÑOS.INFERIOR FIJO Y SUPERIOR PROYECTANTE (2050mm X 700 mm)</t>
  </si>
  <si>
    <t>EXTRACTOR DVP4 12W 4 C/SENDOR DE HUMEDAD – HST 220VOLT</t>
  </si>
  <si>
    <t>VOLCO</t>
  </si>
  <si>
    <t>VOLCOGLASS</t>
  </si>
  <si>
    <t>KRAFT</t>
  </si>
  <si>
    <t>VOLCANWRAP BARRERA DE VAPOR (60 M2/ROLLO)</t>
  </si>
  <si>
    <t>CEERRADURA BAÑO 815 TUBULAR DAP DUCASSE US32D 45MM ACERO INOX 304</t>
  </si>
  <si>
    <t>KIT PRECOLGADO PTA.CARA ACERO GALV.6 PANELES BLANCA 45X1000X2050+M.P.FINGER 38X120-DERECHA (ACCESO)</t>
  </si>
  <si>
    <t>KIT PREC.PTA.CARA ACERO GALV.LISA 1/2 C.BLANCA 45X850X2050 V.TERMOPANEL,M.P.FINGER 38X120-DERECHA (LOGIA)</t>
  </si>
  <si>
    <t>CALEFON 10 LITROS GAS LICUADO TIRO FORZADO</t>
  </si>
  <si>
    <t>KIT DUCTO 60/100MM TIF CAM ABIER-5961599 (5961599)</t>
  </si>
  <si>
    <t>NICHO PARA 2 CILINDROS DE GAS DE 15 KGS</t>
  </si>
  <si>
    <t>BURLETE DE GOMA BLANCO VIV IND (PUERTA)</t>
  </si>
  <si>
    <t>PERFIL ESQUINERO ENCUENTRO PVC 8MM BLANCO</t>
  </si>
  <si>
    <t>PERFIL ESQUINERO INTERIOR PVC 8MM BLANCO</t>
  </si>
  <si>
    <t>COMPRIBAND</t>
  </si>
  <si>
    <t>COMPRIBAND 50X10mm L:1m</t>
  </si>
  <si>
    <t>CERRADURA ACCESO 815 TUBULAR CILINDRO 3 LLAVES DAP DUCASSE US32D 45MM ACERO INOX 304</t>
  </si>
  <si>
    <t>MODULO NO CONFIRMADO</t>
  </si>
  <si>
    <t>VOLCOGLASS X RH 1,20 x 2,40 x 15MM BORDE</t>
  </si>
  <si>
    <t>FECHA GUIA</t>
  </si>
  <si>
    <t>TERCIADO FENOLICO CD DE 1,22 X 2,44 X 15 mm (65 PL X PQTE)</t>
  </si>
  <si>
    <t>PRODUCTO CRITICO</t>
  </si>
  <si>
    <t>*</t>
  </si>
  <si>
    <t>CANT. COMPRADA</t>
  </si>
  <si>
    <t>MATERIAL</t>
  </si>
  <si>
    <t>PINO NACIONAL GRADO C-16/C-24 IMPREGNADO DE 2" X 6" X 3,20 m (41x138mm)</t>
  </si>
  <si>
    <t>CONECTOR DENTADO 2X4 (4C2)</t>
  </si>
  <si>
    <t>SET DE ANCLAJE WC COD:CC0017370001B0 (FANALOZA)</t>
  </si>
  <si>
    <t>HOLDOWN TENSIONADOR VARILLA 1/2" INCLUYE TORNILLOS (20 UN X CAJA)-DTT2Z UND</t>
  </si>
  <si>
    <t>TORNILLO CABEZA PLANA 7,7MM X 85MM (250 X CAJA) (SDW22338MB)</t>
  </si>
  <si>
    <t>PASTA RETAPE NEUTRA WET-PROOF</t>
  </si>
  <si>
    <t>ESQUINERO PILASTRA PVC COLOR BLANCO</t>
  </si>
  <si>
    <t>ESQUINERO CORNIZA INTERIOR PVC COLOR BLANCO</t>
  </si>
  <si>
    <t>ESQUINERO GUARDAPOLVO INTERIOR PVC COLOR BLANCO</t>
  </si>
  <si>
    <t>ESQUINERO CORNIZA EXTERIOR PVC COLOR BLANCO</t>
  </si>
  <si>
    <t>ESQUINERO GUARDAPOLVO EXTERIOR PVC COLOR BLANCO</t>
  </si>
  <si>
    <t>HUAIPE BLANCO BOLSA DE 1 KILO</t>
  </si>
  <si>
    <t>DESAGUE LAVAMANOS UNIVERSAL PP 1 1/4" CON REJILLA Y TAPON (20ST3058100)</t>
  </si>
  <si>
    <t>KIT PRECOLGADO PTA PREPINTADA 750X2040+M.P.FINGER 38X120 C/CELOSÍA PVC-IZQUIERDA</t>
  </si>
  <si>
    <t>KIT PRECOLGADO PTA PREPINTADA 750X2040+M.P.FINGER 38X120 C/CELOSÍA PVC-DERECHA</t>
  </si>
  <si>
    <t>VOLCAN WRAP BARRERA DE VAPOR (PAPEL KRAFT LAM C/ POLIETILENO) 1,2X0,5M E: 0,123 MM (6KG 60M2 X RLL)</t>
  </si>
  <si>
    <t>KIT DUCTO 60/100MM TIF CAM ABIER-5961599 (CALEFONT)</t>
  </si>
  <si>
    <t>KIT PRECOLGADO PTA.CARA ACERO GALV.6 PANELES BLANCA 45X1000X2050+M.P.FINGER 38X120-DERECHA</t>
  </si>
  <si>
    <t>KIT PREC.PTA.CARA ACERO GALV.LISA 1/2 C.BLANCA 45X850X2050 V.TERMOPANEL,M.P.FINGER 38X120-DERECHA</t>
  </si>
  <si>
    <t>CINTA EMBALAJE TRANSPARENTE</t>
  </si>
  <si>
    <t>040802X</t>
  </si>
  <si>
    <t>CLAVO BDC 22X50 BK RING (NAIL - 10.500 UND X CAJA)</t>
  </si>
  <si>
    <t>081009x</t>
  </si>
  <si>
    <t>080460X</t>
  </si>
  <si>
    <t>POLIESTIRENO EXPANDIDO 1220 X 2440 X 30 MM D:20 Kg/m3</t>
  </si>
  <si>
    <t>geotextil</t>
  </si>
  <si>
    <t>DEVOLUCIÓN</t>
  </si>
  <si>
    <t>VALOR TOTAL GD POR ITEM</t>
  </si>
  <si>
    <t>TRAPOS DE ASEO JERSINA BLANCA (BOLSA 1 KILO)</t>
  </si>
  <si>
    <t>Artículo</t>
  </si>
  <si>
    <t>XXX</t>
  </si>
  <si>
    <t>DESCRIPCION</t>
  </si>
  <si>
    <t/>
  </si>
  <si>
    <t xml:space="preserve">PINO NACIONAL GRADO C-16/C-24 DE 2" x 4" x 2,44 m (41x90mm) (VIVIENDAS SOCIALES) </t>
  </si>
  <si>
    <t>PPTO</t>
  </si>
  <si>
    <t>cave polflex</t>
  </si>
  <si>
    <t>SUBGRUPO</t>
  </si>
  <si>
    <t>MONOFILAMENTO POLYFLOR GRIS COD:3700 50MT</t>
  </si>
  <si>
    <t>CONECTOR DENTADO SIMPSON DE 4" X 8" (AS48B /CAJA 129 UND)</t>
  </si>
  <si>
    <t>Cave Polflex F Tineta 20Kgs</t>
  </si>
  <si>
    <t>Geotextil No Tejido 0,20x500Mts 40Grs Altec</t>
  </si>
  <si>
    <t>TIRAFONDO HEXAGONO GALVANIZADO 1/2 x 3 1/2"</t>
  </si>
  <si>
    <t>TIRAFONDO HEXAGONO GALVANIZADO DE 1/2 X 4 1/2'</t>
  </si>
  <si>
    <t>CANTIDAD POR MODULO</t>
  </si>
  <si>
    <t>KEY</t>
  </si>
  <si>
    <t>PPTO X MODULO</t>
  </si>
  <si>
    <t>PPTO X TORRE</t>
  </si>
  <si>
    <t>PPTO TOTAL</t>
  </si>
  <si>
    <t>CANT X MODULO</t>
  </si>
  <si>
    <t>CANT COMPRADA</t>
  </si>
  <si>
    <t>CANTIDAD X MODULOS</t>
  </si>
  <si>
    <t>CANT MODULOS</t>
  </si>
  <si>
    <t>M-00001-M00002</t>
  </si>
  <si>
    <t>OBS. MODULO</t>
  </si>
  <si>
    <t>DIF. VALOR UND.</t>
  </si>
  <si>
    <t xml:space="preserve">TERMINACIONES </t>
  </si>
  <si>
    <t xml:space="preserve">VENTA DIRECTA </t>
  </si>
  <si>
    <t xml:space="preserve">FABRICACION DE TABIQUES MUROS Y CIELOS </t>
  </si>
  <si>
    <t xml:space="preserve">STOCK </t>
  </si>
  <si>
    <t xml:space="preserve">MODULO HUMEDO </t>
  </si>
  <si>
    <t xml:space="preserve">STOCK  </t>
  </si>
  <si>
    <t xml:space="preserve">MATERIAL EN STOCK </t>
  </si>
  <si>
    <t xml:space="preserve">PANELES DE DIVISIONES INTERIORES// STOCK </t>
  </si>
  <si>
    <t>040815x</t>
  </si>
  <si>
    <t>MATERIAL DIRECTO DESDE SODIMAC</t>
  </si>
  <si>
    <t xml:space="preserve">PISO </t>
  </si>
  <si>
    <t xml:space="preserve">FABRICACION </t>
  </si>
  <si>
    <t xml:space="preserve"> </t>
  </si>
  <si>
    <t xml:space="preserve">PISO MODULOS </t>
  </si>
  <si>
    <t xml:space="preserve">RECUBRIMIENTO EXTERIOR </t>
  </si>
  <si>
    <t xml:space="preserve">PILOTO </t>
  </si>
  <si>
    <t xml:space="preserve">MUESTRA   </t>
  </si>
  <si>
    <t xml:space="preserve">PANELES DIVISIONES INTERIORES </t>
  </si>
  <si>
    <t xml:space="preserve">COTIZADO CON VOLCAN </t>
  </si>
  <si>
    <t>% DESVIACION PRECIO</t>
  </si>
  <si>
    <t>AISLAN GALSS 50 MM R100/212 0.375x12 MTS (13.5 M2 X BOLSA)</t>
  </si>
  <si>
    <t>FIJACION</t>
  </si>
  <si>
    <t>UNIDAD DE MEDIDAD</t>
  </si>
  <si>
    <t>TABLERO</t>
  </si>
  <si>
    <t>TABIQUERIA</t>
  </si>
  <si>
    <t>MADERA</t>
  </si>
  <si>
    <t>AISLANTE</t>
  </si>
  <si>
    <t>COCINA</t>
  </si>
  <si>
    <t>BAÑO</t>
  </si>
  <si>
    <t>PINTURA</t>
  </si>
  <si>
    <t>PUERTA Y VENTANA</t>
  </si>
  <si>
    <t>INTERIOR</t>
  </si>
  <si>
    <t>VENTILACIÓN</t>
  </si>
  <si>
    <t>TECHUMBRE</t>
  </si>
  <si>
    <t>SELLADO</t>
  </si>
  <si>
    <t>PRESUPUESTO TOTAL PRODUCTO</t>
  </si>
  <si>
    <t>COMPRAS</t>
  </si>
  <si>
    <t>PRESUPUESTO</t>
  </si>
  <si>
    <t>TIPO PRODUCTO</t>
  </si>
  <si>
    <t>SELLO POLIURETANO SOUDAFLEX 40FC TUBO BLANCO</t>
  </si>
  <si>
    <t>Suma de VALOR TOTAL POR ITEM GD</t>
  </si>
  <si>
    <t>Etiquetas de fila</t>
  </si>
  <si>
    <t>Total general</t>
  </si>
  <si>
    <t>2025</t>
  </si>
  <si>
    <t>2026</t>
  </si>
  <si>
    <t>ene</t>
  </si>
  <si>
    <t>feb</t>
  </si>
  <si>
    <t>mar</t>
  </si>
  <si>
    <t>oct</t>
  </si>
  <si>
    <t>nov</t>
  </si>
  <si>
    <t>dic</t>
  </si>
  <si>
    <t xml:space="preserve">PRESUPUESTO </t>
  </si>
  <si>
    <t>NO CRITICO</t>
  </si>
  <si>
    <t>%</t>
  </si>
  <si>
    <t>Etiquetas de columna</t>
  </si>
  <si>
    <t xml:space="preserve">% DESVIACION PRECIO </t>
  </si>
  <si>
    <t>PRECIO DE COMPRA</t>
  </si>
  <si>
    <t>PRECIO COMPRA UNITARIO</t>
  </si>
  <si>
    <t xml:space="preserve"> DIF VALOR TOTAL PAGADO</t>
  </si>
  <si>
    <t>DIFERENCIA COMPRAS</t>
  </si>
  <si>
    <t>PRECIO PRESUPUESTO</t>
  </si>
  <si>
    <t>PRECIO COMPRA</t>
  </si>
  <si>
    <t>VOLUMEN COMPRA</t>
  </si>
  <si>
    <t>GEXACO PLASTO CEM SACO 20 KILO - RETAPE RAPIDO</t>
  </si>
  <si>
    <t>SAC</t>
  </si>
  <si>
    <t>GEXACO IMPRIMADOR UNIVERSAL BALDE 10 KG</t>
  </si>
  <si>
    <t>GARGOLA ESPECIAL LATA LARGO 350MM CON REMACHES</t>
  </si>
  <si>
    <t>CLAVO HELICOIDAL EN ROLLO  2.5 x 50 MM ( CAJA DE 9.000 UNIDADES )</t>
  </si>
  <si>
    <t>COMPRAS_VALOR</t>
  </si>
  <si>
    <t>PROYECCION COMPRA</t>
  </si>
  <si>
    <t>%VARIACION</t>
  </si>
  <si>
    <t>(Todas)</t>
  </si>
  <si>
    <t xml:space="preserve">IMPORTACION VIA AREA </t>
  </si>
  <si>
    <t>CERRADURA BAÑO 815 TUBULAR DAP DUCASSE US32D 45MM ACERO INOX 304</t>
  </si>
  <si>
    <t>70508X</t>
  </si>
  <si>
    <t>PLANCHA PVC CON PROTECCION UV DE 1.22 X 2.44 X 2.3  mm ALTO IMPACTO</t>
  </si>
  <si>
    <t>%AVANCE PEDIDOS</t>
  </si>
  <si>
    <t>abr</t>
  </si>
  <si>
    <t>CUB GP</t>
  </si>
  <si>
    <t>CUBICACION REAL</t>
  </si>
  <si>
    <t>Columna1</t>
  </si>
  <si>
    <t>SIFON PLASTICO UNIVERSAL 1 1/4" Y 1 1/2" (19ST8073500)</t>
  </si>
  <si>
    <t>#N/D</t>
  </si>
  <si>
    <t xml:space="preserve">%AVANCE PEDIDOS </t>
  </si>
  <si>
    <t xml:space="preserve"> %VARIACION</t>
  </si>
  <si>
    <t>70508x</t>
  </si>
  <si>
    <t>SELLADOR POLIURETANO RHENALASTIC COLOR GRIS 310 ML (12X CJ)</t>
  </si>
  <si>
    <t>GOLILLA PRESION DE 1/2 (12MM) PAVONADA NEGRA</t>
  </si>
  <si>
    <t xml:space="preserve">VARIACIÓN </t>
  </si>
  <si>
    <t xml:space="preserve">DESVIACIÓN </t>
  </si>
  <si>
    <t>VALOR COMPRA</t>
  </si>
  <si>
    <t>KIT PREC.PTA.CARA ACERO GALV.LISA 1/2 C.BLANCA 45X850X2050 V.TERMOPANEL,M.P.FINGER 38X120-IZQUIERDA</t>
  </si>
  <si>
    <t>LAVAPLATOS DE SOBREPONER 80X50 CM PARA MONOMANDO C/SECADOR IZQUIERDO</t>
  </si>
  <si>
    <t>SALDO DE COMPRA</t>
  </si>
  <si>
    <t xml:space="preserve"> PROYECCION COMPRA</t>
  </si>
  <si>
    <t xml:space="preserve"> PPTO TOTAL</t>
  </si>
  <si>
    <t>PPTO FALTANTE</t>
  </si>
  <si>
    <t>PINO NACIONAL CEPILLADO 4/CARAS SECO DE 2" X 2" X 3.20 MT (41 X 41 mm)</t>
  </si>
  <si>
    <t>SIFON BOTELLA 1 ¼ SALIDA 30CM TUBE WASSER (COD: HJ2010001)</t>
  </si>
  <si>
    <t>SELLO CERA ANTIFUGA WC CODIGO:SC0015550001CF (FANALOZA )</t>
  </si>
  <si>
    <t>CUB_ACTUALIZADA</t>
  </si>
  <si>
    <t>Columna2</t>
  </si>
  <si>
    <t>PPTO_ACTUALIZADO</t>
  </si>
  <si>
    <t>VENTANAS</t>
  </si>
  <si>
    <t xml:space="preserve">VENTANAS CAMBIO DE PERFILES Y MANILLAS </t>
  </si>
  <si>
    <t>NARIZ GRADA ALUMINIO 5367 DE 53 x 28 x 924 MM (casas Chacra)</t>
  </si>
  <si>
    <t>CERRADURA DE EMB 85000 MULTIPLE C/REC</t>
  </si>
  <si>
    <t>CILINDRO 03 LLAVE/LLAVE 70MM (35X35) AI</t>
  </si>
  <si>
    <t>MANILLA JUEGO 2816-C 19MM REVERSIBLE SIN BOC.</t>
  </si>
  <si>
    <t>BOCALLAVE B1 800 ACCESO SATINADO (PAR)</t>
  </si>
  <si>
    <t>CUADRADILLO EXPANSION 8X8X70MM</t>
  </si>
  <si>
    <t>FORRO FRENTE E:05mm L:3140mm ALUZINC</t>
  </si>
  <si>
    <t>FORRO LATERAL E:05mm L:3140mm ALUZINC</t>
  </si>
  <si>
    <t>FORRO LATERAL E:05mm L:1000mm ALUZINC</t>
  </si>
  <si>
    <t>GARGOLA</t>
  </si>
  <si>
    <t>CANALETA</t>
  </si>
  <si>
    <t>CANALETA BALCON</t>
  </si>
  <si>
    <t>IMPRIMANTE 4G</t>
  </si>
  <si>
    <t>RECUBRIMIENTO INTERMEDIO TEXTURADA 4G</t>
  </si>
  <si>
    <t>TERMINACION TOP COAT 4G</t>
  </si>
  <si>
    <t>AISLAN  GLASS 50 MM 0.375x12 MTS . DENSIDAD 14 KG/M3 (13.5 M2 X BOLSA) SKU 4000147</t>
  </si>
  <si>
    <t>Varilla de anclaje ASTM F1554 Gr36 1" 0,7 m (PB1)</t>
  </si>
  <si>
    <t>Varilla de anclaje ASTM F1554 Gr36 3/4" 0,7 m (PB2)</t>
  </si>
  <si>
    <t>Varilla de anclaje ASTM F1554 Gr36 1/2" 0,7 m (PB3)</t>
  </si>
  <si>
    <t>Hilo 1/2x8"</t>
  </si>
  <si>
    <t>Hilo continuo de 1/2"x8" ( VARILLA DE ANCLAJE</t>
  </si>
  <si>
    <t>PB3</t>
  </si>
  <si>
    <t>Holdown Simpson DTT2Z (PB3)</t>
  </si>
  <si>
    <t>PB4</t>
  </si>
  <si>
    <t>Placa PB4 L 400x150x150 e=5mm</t>
  </si>
  <si>
    <t>Tirafondo 12x3"</t>
  </si>
  <si>
    <t>Tirafondos 12"x3"</t>
  </si>
  <si>
    <t>PINO IMPREGNADO SECO CEPILLADO G2 3 x 8" x 3,20 (65 x 138 )</t>
  </si>
  <si>
    <t>KIT PRECOLGADO PTA PREPINTADA 750X2040+M.P.FINGER 38X120 C/CELOSÍA PVC-DERECHA (DORMITORIO Y BAÑO)</t>
  </si>
  <si>
    <t>VOLCOGLASS 1.2X2.4X15</t>
  </si>
  <si>
    <t>PINO IMPREGNADO SECO CEPILLADO G2 2 x 8" x 4,00 (41 x 185 )</t>
  </si>
  <si>
    <t>PINO IMPREGNADO SECO CEPILLADO G2 2 x 6" x 3,20 (41 x 138 )</t>
  </si>
  <si>
    <t>PINO IMPREGNADO SECO CEPILLADO G2 2 x 4" x 3,20 (41 x 90 )</t>
  </si>
  <si>
    <t>AISLAN  GLASS 90 MM 0.375x12 MTS . DENSIDAD 14 KG/M3 (13.5 M2 X BOLSA) SKU 4000147</t>
  </si>
  <si>
    <t>AISLAN ROCA 90 MM D: 40 KG/M3 DE 0.375x1.200 MM (5.4 M2) SKU 3000481</t>
  </si>
  <si>
    <t>MEMBRANA PVC NEGRA DE 0.8 MM ESPESOR TERMOFUSIONADA (4,1 X 13 MT)</t>
  </si>
  <si>
    <t>PINO IMPREGNADO SECO CEPILLADO G2 2 x 6" x 4,00 (41 x 138 )</t>
  </si>
  <si>
    <t>AISLAN GLASS 140 MM R100/349 0.375x7.20 MTS DENSIDAD 14 KG/M3 (8.1 M2) COD:4000724</t>
  </si>
  <si>
    <t>HOLDOWN SUJECIÓN DE SERVICIO PESADO, 14" ALTO INCLUYE 30 TORNILLOS SDS25212 -HHDQ14 (PB1)</t>
  </si>
  <si>
    <t>HOLDOWN ALTA CARGA HDQ8 CON TORNILLOS SDS 3"-DHQ8 (PB2)</t>
  </si>
  <si>
    <t xml:space="preserve"> %AVANCE PEDIDOS</t>
  </si>
  <si>
    <t>DESCRIPCIÓN</t>
  </si>
  <si>
    <t>AVANCE TEORICO MODULO</t>
  </si>
  <si>
    <t xml:space="preserve"> AVANCE TEORICO MODULO</t>
  </si>
  <si>
    <t>DESC CORTA</t>
  </si>
  <si>
    <t>PINO 3X8X320</t>
  </si>
  <si>
    <t>VENTANA V-01</t>
  </si>
  <si>
    <t>VENTANA V.05</t>
  </si>
  <si>
    <t>ESPUMA EXPANSIVA</t>
  </si>
  <si>
    <t>PUERTA INTERIOR</t>
  </si>
  <si>
    <t>CLAVO R20</t>
  </si>
  <si>
    <t>PISO TARKET</t>
  </si>
  <si>
    <t>OSB 9.5</t>
  </si>
  <si>
    <t>PINO 2X8X4</t>
  </si>
  <si>
    <t>PINO 2X6X320</t>
  </si>
  <si>
    <t>PINO 2X4X320</t>
  </si>
  <si>
    <t>TERCIADO FENOLICO</t>
  </si>
  <si>
    <t>AISLAN GLASS 90MM</t>
  </si>
  <si>
    <t>OSB 11MM</t>
  </si>
  <si>
    <t>VOCANITA EMPAPELADA MURO</t>
  </si>
  <si>
    <t>CUBREJUNTA</t>
  </si>
  <si>
    <t>AISLAN ROCA 90MM</t>
  </si>
  <si>
    <t>SMARTPANEL</t>
  </si>
  <si>
    <t>MEMBRANA PVC</t>
  </si>
  <si>
    <t>PINO 2X6X400</t>
  </si>
  <si>
    <t>VOLCANITA EMPAPELADA CIELO</t>
  </si>
  <si>
    <t>TORNILLO SIMPSON 6"</t>
  </si>
  <si>
    <t>AISLAN GLASS 140MM</t>
  </si>
  <si>
    <t>PB1</t>
  </si>
  <si>
    <t>PB2</t>
  </si>
  <si>
    <t>DESCRIPCION CORTA</t>
  </si>
  <si>
    <t xml:space="preserve"> CANT. COMPRADA</t>
  </si>
  <si>
    <t>CANTIDAD TOTAL</t>
  </si>
  <si>
    <t xml:space="preserve"> CANTIDAD TOTAL</t>
  </si>
  <si>
    <t xml:space="preserve"> % AVANCE TOTAL</t>
  </si>
  <si>
    <t>FORRO DINTEL Y CENFA F1 RAL 8001 LA CHACRA</t>
  </si>
  <si>
    <t>FORRO DINTEL Y CENFA F1 RAL 8011 LA CHACRA</t>
  </si>
  <si>
    <t>FORRO FRENTE E: 0,5 MM L: 3140 MM ALUZINC</t>
  </si>
  <si>
    <t>FORRO LATERAL E: 0,5 MM L: 3140 MM ALUZINC</t>
  </si>
  <si>
    <t>081010x</t>
  </si>
  <si>
    <t>VOLCANITA RF</t>
  </si>
  <si>
    <t>COLA FRIA</t>
  </si>
  <si>
    <t>POLIETILENO</t>
  </si>
  <si>
    <t>CLAVO TORNILLO</t>
  </si>
  <si>
    <t>FIBROCEMENTO BALCON</t>
  </si>
  <si>
    <t>TARKETT</t>
  </si>
  <si>
    <t>MONOFILAMENTO TARKETT</t>
  </si>
  <si>
    <t>SIFON LAVAPLATO</t>
  </si>
  <si>
    <t>DESAGUE 1  1/2</t>
  </si>
  <si>
    <t>LAVAMANOS</t>
  </si>
  <si>
    <t>KIT DESAGUE TINA</t>
  </si>
  <si>
    <t>SOPORTE TINA</t>
  </si>
  <si>
    <t>MONOMANDO LAVAPLATOS</t>
  </si>
  <si>
    <t>TINA</t>
  </si>
  <si>
    <t>BARANDA BALCON</t>
  </si>
  <si>
    <t>MUEBLE LAVAPLATOS</t>
  </si>
  <si>
    <t>LAVAPLATOS</t>
  </si>
  <si>
    <t>DUCO</t>
  </si>
  <si>
    <t>LAVADERO</t>
  </si>
  <si>
    <t>SIFON LAVADERO</t>
  </si>
  <si>
    <t>GUARDAPOLVO BLANCO</t>
  </si>
  <si>
    <t>CORNIZA BLANCA</t>
  </si>
  <si>
    <t>ANGULO BLANCO</t>
  </si>
  <si>
    <t>PINTURA BALCON</t>
  </si>
  <si>
    <t>CATALIZADOR BALCON</t>
  </si>
  <si>
    <t>DILUYENTE</t>
  </si>
  <si>
    <t>OLEO SEMIBRILLO</t>
  </si>
  <si>
    <t>SIMPLISIMA</t>
  </si>
  <si>
    <t>BURLETE PVC</t>
  </si>
  <si>
    <t>SELLO</t>
  </si>
  <si>
    <t>VOLCANITA RH</t>
  </si>
  <si>
    <t>PINO 1X4X320</t>
  </si>
  <si>
    <t>BROCAS VISLIDER</t>
  </si>
  <si>
    <t>PINO 2X12X320</t>
  </si>
  <si>
    <t>PINO 2X10X12</t>
  </si>
  <si>
    <t>CERRADURA ACCESO 2 MANILLAS</t>
  </si>
  <si>
    <t>CERRADURA ACCESO 1 MANILLA</t>
  </si>
  <si>
    <t>CERRADURA BAÑO</t>
  </si>
  <si>
    <t>TOPE DE PUERTA</t>
  </si>
  <si>
    <t>LLAVE DE BOLA AC</t>
  </si>
  <si>
    <t>LLAVE DE BOLA AF</t>
  </si>
  <si>
    <t>ESTANQUE</t>
  </si>
  <si>
    <t>WC</t>
  </si>
  <si>
    <t>ASIENTO WC</t>
  </si>
  <si>
    <t>LLAVE ANGULAR</t>
  </si>
  <si>
    <t>MONOMANDO LAVAMANOS</t>
  </si>
  <si>
    <t>MONOMANDO TINA</t>
  </si>
  <si>
    <t>PEDESTAL LAVAMANOS</t>
  </si>
  <si>
    <t>TORNILLO CRS 6X1 5/8</t>
  </si>
  <si>
    <t>TORNILLO CRS 6X2 1/4</t>
  </si>
  <si>
    <t>GRAPA T40</t>
  </si>
  <si>
    <t>GRAPA T50</t>
  </si>
  <si>
    <t>CONECTOR DENTADO</t>
  </si>
  <si>
    <t>CLAVO HELICOIDAL</t>
  </si>
  <si>
    <t>ESQUINERO GUARDAPOLVO</t>
  </si>
  <si>
    <t>PUERTA INTERIOR IZQ</t>
  </si>
  <si>
    <t>CERRADURA LLAVE</t>
  </si>
  <si>
    <t>PUERTA ACCESO DERECHA</t>
  </si>
  <si>
    <t>PUERTA LOGIA DERECHA</t>
  </si>
  <si>
    <t>MARCO PUERTA</t>
  </si>
  <si>
    <t>PUNTA PUNTILLERA</t>
  </si>
  <si>
    <t>ESMALTE AL AGUA</t>
  </si>
  <si>
    <t>ESQUINERO INTERIOR</t>
  </si>
  <si>
    <t>ESQUINERO EXTERIOR</t>
  </si>
  <si>
    <t>SELLO FUNGICIDA</t>
  </si>
  <si>
    <t>RODILLO CHIPORRO</t>
  </si>
  <si>
    <t>BROCHA 5/8 X4</t>
  </si>
  <si>
    <t>BROCHA 5/8 X3</t>
  </si>
  <si>
    <t>MOLDURA PVC INTERIOR</t>
  </si>
  <si>
    <t>MONOFILAMENTO</t>
  </si>
  <si>
    <t>CELOSIA ALUMINIO 25X25</t>
  </si>
  <si>
    <t>VENTILACIÓN PASIVA</t>
  </si>
  <si>
    <t>EXTRACTOR</t>
  </si>
  <si>
    <t>CLAVO HELICOIDAL PROFIX</t>
  </si>
  <si>
    <t>FORRO DE INICIO</t>
  </si>
  <si>
    <t>MOLDURA ALUMINIO NATURAL</t>
  </si>
  <si>
    <t>VOLCANWRAP BARRERA DE</t>
  </si>
  <si>
    <t>mm</t>
  </si>
  <si>
    <t>CEERRADURA BAÑO 815 TUBULAR</t>
  </si>
  <si>
    <t>KIT PRECOLGADO</t>
  </si>
  <si>
    <t>KIT PREC</t>
  </si>
  <si>
    <t>EXTRT</t>
  </si>
  <si>
    <t>LAVAMANOS DS THEOS</t>
  </si>
  <si>
    <t>PEDESTAL DS THEOS</t>
  </si>
  <si>
    <t>UÑETAS INSTLACION LAVAMANOS</t>
  </si>
  <si>
    <t>NEW TS2024019)</t>
  </si>
  <si>
    <t>SIFOL</t>
  </si>
  <si>
    <t>TAZA WC AURA</t>
  </si>
  <si>
    <t>ESTANQUE WC AURA</t>
  </si>
  <si>
    <t>LLAVE ANGULAR 1/2X</t>
  </si>
  <si>
    <t>SELLO INSTALACION WC</t>
  </si>
  <si>
    <t>TINA DE ACERO</t>
  </si>
  <si>
    <t>NEW DUCHA SIMPLE, SOPORTE Y FLEXIBLE 1.5M 8LPM, ESTIU (TS2024020)</t>
  </si>
  <si>
    <t>PERCHA SIMPLE YORK</t>
  </si>
  <si>
    <t>NUEVA</t>
  </si>
  <si>
    <t>ARGOLLA TOALLA BENTON</t>
  </si>
  <si>
    <t>PORTA ROLLO BENTON</t>
  </si>
  <si>
    <t>LAVARROPA PLATICO DS</t>
  </si>
  <si>
    <t>NICHO PARA 2 CILINDROS</t>
  </si>
  <si>
    <t>NEW TS2024022)</t>
  </si>
  <si>
    <t>BURLETE DE GOMA</t>
  </si>
  <si>
    <t>CLAVO BDC</t>
  </si>
  <si>
    <t>PERFIL ESQUINERO ENCUENTRO</t>
  </si>
  <si>
    <t>PERFIL ESQUINERO INTERIOR</t>
  </si>
  <si>
    <t>PASTA RETAPE</t>
  </si>
  <si>
    <t>ESQUINERO PILASTRA PVC</t>
  </si>
  <si>
    <t>ESQUINERO CORNIZA INTERIOR</t>
  </si>
  <si>
    <t>TIRAN</t>
  </si>
  <si>
    <t>ESQUINERO GUARDAPOLVO INTERIOR</t>
  </si>
  <si>
    <t>CERRADURA INOX 304</t>
  </si>
  <si>
    <t>ESQUINERO CORNIZA EXTERIOR</t>
  </si>
  <si>
    <t>ESQUINERO GUARDAPOLVO EXTERIOR</t>
  </si>
  <si>
    <t>CONECTOR DENTADO 2X</t>
  </si>
  <si>
    <t>SET BALCON</t>
  </si>
  <si>
    <t>HUAIPE BLANCO BOLSA</t>
  </si>
  <si>
    <t>HOLDOWN TENSIONADOR</t>
  </si>
  <si>
    <t>VENTANAS CAMBIO DE</t>
  </si>
  <si>
    <t>NARIZ GRADA ALUMINIO</t>
  </si>
  <si>
    <t>CERRADURA DE EMB</t>
  </si>
  <si>
    <t>CILINDRO 03 LLAVE/LLAVE</t>
  </si>
  <si>
    <t>MANILLA JUEGO</t>
  </si>
  <si>
    <t>BOCALLAVE B1 800 ACCESO</t>
  </si>
  <si>
    <t>CUADRADILLO EXPANSION 8X</t>
  </si>
  <si>
    <t>E</t>
  </si>
  <si>
    <t>CANALETA BALCO</t>
  </si>
  <si>
    <t>RECUBRIMIENTO INTERMEDIO TEXTURADA</t>
  </si>
  <si>
    <t>TERMINACION TOP COAT</t>
  </si>
  <si>
    <t>AISLAN DENSIDAD 14 KG/M3 (13.5 M2 X BOLSA) SKU 4000147</t>
  </si>
  <si>
    <t>Varilla de anclaje</t>
  </si>
  <si>
    <t>Hilo continuo de</t>
  </si>
  <si>
    <t>DTT</t>
  </si>
  <si>
    <t>Placa PB4 L</t>
  </si>
  <si>
    <t>x3</t>
  </si>
  <si>
    <t xml:space="preserve">FECHA STOCK </t>
  </si>
  <si>
    <t>U.M</t>
  </si>
  <si>
    <t>PLACA LP OSB STANDAR 1.22 x2.44 x 9.5 MM APA PT-OECA095   (84 PL.xPAQ)</t>
  </si>
  <si>
    <t xml:space="preserve">PL </t>
  </si>
  <si>
    <t>TOTAL SOLICITADO</t>
  </si>
  <si>
    <t>CANTIDAD RECIBIDA</t>
  </si>
  <si>
    <t>VALOR UNITARIO</t>
  </si>
  <si>
    <t>VALOR PERDIDA</t>
  </si>
  <si>
    <t>MODULOS CONSTRUIDOS</t>
  </si>
  <si>
    <t>STOCK FISICO</t>
  </si>
  <si>
    <t>SOLICITADO A TF</t>
  </si>
  <si>
    <t>SILICONA ALMENDRA NEUTRA COLOR ALMENDRA 300 ML</t>
  </si>
  <si>
    <t>MONOFILAMENTO PISO VINILICO SAFETRED UNIVERSAL 2M VENUS (ROLLO 50 MTS)</t>
  </si>
  <si>
    <t>KIT PRECOLGADO PTA.CARA ACERO GALV.6 PANELES BLANCA 45X1000X2050+M.P.FINGER 38X120-IZQUIERDA</t>
  </si>
  <si>
    <t>CHOLGUAN LISO PLANCHA DE 1.520 X 2.440 X 2.4 MM</t>
  </si>
  <si>
    <t>SIFON BOTELLA 1 1/4 SALIDA 30 CM TUBE WASSER (COD: HJ2010001)</t>
  </si>
  <si>
    <t>MANGUITO WC DISCAPACITADO RECTO 110 MM</t>
  </si>
  <si>
    <t xml:space="preserve">GOMA ADAPTADORA PARA SIFON 40 x 32 mm MUEBLE SUNSET </t>
  </si>
  <si>
    <t>PERDIDA O EN PROCESO</t>
  </si>
  <si>
    <t>CUBICACION PPTO.</t>
  </si>
  <si>
    <t>DESCRIPCION 2</t>
  </si>
  <si>
    <t>COSTO MODULO</t>
  </si>
  <si>
    <t>VALOR STOCK</t>
  </si>
  <si>
    <t>CUB. PPTO</t>
  </si>
  <si>
    <t>CHOLGUAN LISO PLANCHA DE 1.520 x 2.440 x 2.4 MM</t>
  </si>
  <si>
    <t>CLAVO HELICOIDAL EN ROLLO  2.5 x 50 MM ( CAJA DE 9.000 UNIDADES ).</t>
  </si>
  <si>
    <t>CELOSIA ALUMINIO MATE 40X40 CMS</t>
  </si>
  <si>
    <t>CELOSIA ALUMINIO MATE 20 x 20 CMS</t>
  </si>
  <si>
    <t>ESQUEMA ACRILICO PARA PISOS/TERRAZAS - IMPRIMANTE 4G</t>
  </si>
  <si>
    <t>ESQUEMA ACRILICO PARA PISOS/TERRAZAS - RECUBRIMIENTO INTERMEDIO TEXTURADA 4G</t>
  </si>
  <si>
    <t>ESQUEMA ACRILICO PARA PISOS/TERRAZAS - TERMINACION TOP COAT 4G</t>
  </si>
  <si>
    <t>CINTA CONSTRUCCION VOLCANWRAP (47,8 MM X 50,29 M) (24 X CAJA)</t>
  </si>
  <si>
    <t>081010X</t>
  </si>
  <si>
    <t>MONOFILAMENTO PISO VINILICO SAFETRED UNIVERSAL 2M VENUS ( ROLLO 50 MTS)</t>
  </si>
  <si>
    <t>GOMA ADAPTADORA PARA SIFON 40 x 32mm MUEBLE SUNSET</t>
  </si>
  <si>
    <t>MANGUITO WC DISCAPACITADO RECTO 110MM</t>
  </si>
  <si>
    <t>AISLAN GLASS 50 MM R100/212 0.375x12 MTS (13.5 M2 X BOLSA)</t>
  </si>
  <si>
    <t>SILICONA ALMENDRA NEUTRA COLOR ALMENDRA 300ML</t>
  </si>
  <si>
    <t>PINO NACIONAL GRADO C-16/C-24 IMPREGNADO DE 2" x 4" x 2,44 m (41x90mm) (VIVIENDAS SOCIALES)</t>
  </si>
  <si>
    <t>CUBREJUNTA MDF SIN PAPEL 5.5 x 40 x 2.40 MTS</t>
  </si>
  <si>
    <t>040813X</t>
  </si>
  <si>
    <t>CUBICACION PROM / MODULO (PRESUPUESTO)</t>
  </si>
  <si>
    <t>CUB. GP</t>
  </si>
  <si>
    <t>PRECIO PPTO</t>
  </si>
  <si>
    <t>PRECIO PROMEDIO</t>
  </si>
  <si>
    <t>CELOSIA ALUMINIO MATE 20X20CMS</t>
  </si>
  <si>
    <t>DIF. PRECIO</t>
  </si>
  <si>
    <t>PROYECCION PPTO</t>
  </si>
  <si>
    <t>PROYECCIÓN PRECIO ACTUALIZADO</t>
  </si>
  <si>
    <t>Promedio de VALOR X UN (GD)</t>
  </si>
  <si>
    <t>0</t>
  </si>
  <si>
    <t>HOLDOWN PB1</t>
  </si>
  <si>
    <t>HOLDOWN PB2</t>
  </si>
  <si>
    <t>DEVOLUCIONES</t>
  </si>
  <si>
    <t>AISLAN  GLASS 90 MM 0.375x12 MTS . DENSIDAD 14 KG/M3 (13.5 M2 X BOLSA) SKU 4000147</t>
  </si>
  <si>
    <t>ok</t>
  </si>
  <si>
    <t>PRECIO OFF</t>
  </si>
  <si>
    <t>DIF PRECIO</t>
  </si>
  <si>
    <t>TOTAL SEGÚN PPTO</t>
  </si>
  <si>
    <t>CANTIDAD RECEPCIONADA</t>
  </si>
  <si>
    <t>OK</t>
  </si>
  <si>
    <t>LIJA PARA MADERA GRANO 100 (PLIEGO)</t>
  </si>
  <si>
    <t>TAREA WIP</t>
  </si>
  <si>
    <t>BUTILLO SIKALASTOMER 95 DE 13 X 2.0 MM X 15 METROS (CAJA 20 ROLLOS)</t>
  </si>
  <si>
    <t>040801x</t>
  </si>
  <si>
    <t>L01003B000R35</t>
  </si>
  <si>
    <t>EAA RL KP CONSTRUC SATIN BASE R GL</t>
  </si>
  <si>
    <t>IGOL FLEX 3 KG CUN 12C N/A</t>
  </si>
  <si>
    <t xml:space="preserve">SPRAY MTN WEPRO BLANCO IGLU MA N/A </t>
  </si>
  <si>
    <t>ESMALTE AL AGUA PROFESIONAL BASE R GALON</t>
  </si>
  <si>
    <t xml:space="preserve">BANDEJA PLASTICA HELA </t>
  </si>
  <si>
    <t xml:space="preserve">RODILLO CORTA GOTA 18 CM </t>
  </si>
  <si>
    <t xml:space="preserve">SPRAY ESMALTE BLANCO OPACO </t>
  </si>
  <si>
    <t>OLEO MATE KP 2000 BLANCO LT (20.00% DESCTO. INDUSTRIAL)(10,00% DESCTO. POR VOLUMEN)</t>
  </si>
  <si>
    <t>G25</t>
  </si>
  <si>
    <t>PLOTEO LA CHACRA</t>
  </si>
  <si>
    <t>PLOTEO ICG</t>
  </si>
  <si>
    <t>PLANCHA METALIC E: 0,5 3000 X 1219 RAL 8011</t>
  </si>
  <si>
    <t>PLANCHA METALIC E: 0,5 3000 X 1219 RAL 8001</t>
  </si>
  <si>
    <t>-</t>
  </si>
  <si>
    <t>CONSUMO</t>
  </si>
  <si>
    <t>030253x</t>
  </si>
  <si>
    <t xml:space="preserve">LIJA BANDA 3M GRANO 40 4X24 CODIGO:XC00248609 ( COLOR NARANJA) </t>
  </si>
  <si>
    <t>MES</t>
  </si>
  <si>
    <t>ADHESIVO HOTMELT</t>
  </si>
  <si>
    <t>may</t>
  </si>
  <si>
    <t>MOD 15</t>
  </si>
  <si>
    <t xml:space="preserve">TORNILLO PARA VOLCANITA P/BROCA 6X1 5/8" (DRYWALL) </t>
  </si>
  <si>
    <t>500 PL  EPS.20 KG / M3 1210 X 2440 X 30 MM S/C</t>
  </si>
  <si>
    <t>M3</t>
  </si>
  <si>
    <t>470pl EPS 2440x1210x30mm D20, kg/m3</t>
  </si>
  <si>
    <t>140209x</t>
  </si>
  <si>
    <t>PINO SYP GRADO 2 PRIME IMPREGNADO DE  3" x 8" x 10' (63x184 mm)</t>
  </si>
  <si>
    <t>CONSUMO X MODULO</t>
  </si>
  <si>
    <t>ALCANCE (STOCK) X MODULO</t>
  </si>
  <si>
    <t>ALCANCE FISICO</t>
  </si>
  <si>
    <t>Suma de CANTIDAD RECEPCIONADA</t>
  </si>
  <si>
    <t>Suma de CONSUMO2</t>
  </si>
  <si>
    <t>Total Suma de CONSUMO2</t>
  </si>
  <si>
    <t>Total Suma de ALCANCE FISICO</t>
  </si>
  <si>
    <t>Suma de ALCANCE FISICO</t>
  </si>
  <si>
    <t>CINTA CONSTRUCCIÓN VOLCANWRAP (47,8 MM X 50,29 M) (24 X CAJA)</t>
  </si>
  <si>
    <t>BISAGRA DE  31/2x31/2 CANTO REDONDEADO CR.SATIN</t>
  </si>
  <si>
    <t>PUERTA LAMINA METALICA MODELO SINFONIA RELLENO POLIURETANO PRECOLGADA PERFORACION POMO 45 x 950 x 2000</t>
  </si>
  <si>
    <t>PLACA ANCLAJE PL-1 ANGULO GALVANIZADA 150X150X400X5 MM PERFORACION DE 14MMX4-25MMX2</t>
  </si>
  <si>
    <t>Días</t>
  </si>
  <si>
    <t>INICIO PLANIFICADO</t>
  </si>
  <si>
    <t>PLAN ACUMULADO</t>
  </si>
  <si>
    <t>INICIO REAL</t>
  </si>
  <si>
    <t>INICIO REAL ACUMULADO</t>
  </si>
  <si>
    <t>FECHA TERMINO PLANIFICADO</t>
  </si>
  <si>
    <t>TERMINO PLAN ACUMULADO</t>
  </si>
  <si>
    <t>FECHA TERMINO REAL</t>
  </si>
  <si>
    <t>TERMINO REAL ACUMULADO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</si>
  <si>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</si>
  <si>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</si>
  <si>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</si>
  <si>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</si>
  <si>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</si>
  <si>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</si>
  <si>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</si>
  <si>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</si>
  <si>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</si>
  <si>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</si>
  <si>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</si>
  <si>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</si>
  <si>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TORRE</t>
  </si>
  <si>
    <t>N° MÓDULO</t>
  </si>
  <si>
    <t>N° SERIE</t>
  </si>
  <si>
    <t>TIPO</t>
  </si>
  <si>
    <t>% AVANCE</t>
  </si>
  <si>
    <t>FECHA INICIO TEORICO</t>
  </si>
  <si>
    <t>FECHA INICIO REAL</t>
  </si>
  <si>
    <t>FECHA ULTIMO REGISTRO</t>
  </si>
  <si>
    <t>FECHA TERMINO  PLANIFICADO</t>
  </si>
  <si>
    <t>FECHA TERMINO</t>
  </si>
  <si>
    <t>TORRE 01</t>
  </si>
  <si>
    <t>SECO</t>
  </si>
  <si>
    <t>HUMEDO</t>
  </si>
  <si>
    <t>M-00007</t>
  </si>
  <si>
    <t>M-00008</t>
  </si>
  <si>
    <t>M-00010</t>
  </si>
  <si>
    <t>M-00013</t>
  </si>
  <si>
    <t>M-00014</t>
  </si>
  <si>
    <t>M-00015</t>
  </si>
  <si>
    <t>M-00016</t>
  </si>
  <si>
    <t>M-00017</t>
  </si>
  <si>
    <t>M-00018</t>
  </si>
  <si>
    <t>M-00019</t>
  </si>
  <si>
    <t>M-00020</t>
  </si>
  <si>
    <t>M-00021</t>
  </si>
  <si>
    <t>M-00022</t>
  </si>
  <si>
    <t>M-00023</t>
  </si>
  <si>
    <t>M-00025</t>
  </si>
  <si>
    <t>M-00026</t>
  </si>
  <si>
    <t>M-00027</t>
  </si>
  <si>
    <t>M-00028</t>
  </si>
  <si>
    <t>M-00029</t>
  </si>
  <si>
    <t>M-00030</t>
  </si>
  <si>
    <t>M-00031</t>
  </si>
  <si>
    <t>M-00032</t>
  </si>
  <si>
    <t>TORRE 02</t>
  </si>
  <si>
    <t>M-00033</t>
  </si>
  <si>
    <t>M-00034</t>
  </si>
  <si>
    <t>M-00035</t>
  </si>
  <si>
    <t>M-00036</t>
  </si>
  <si>
    <t>M-00037</t>
  </si>
  <si>
    <t>M-00038</t>
  </si>
  <si>
    <t>M-00039</t>
  </si>
  <si>
    <t>M-00040</t>
  </si>
  <si>
    <t>M-00041</t>
  </si>
  <si>
    <t>M-00042</t>
  </si>
  <si>
    <t>M-00043</t>
  </si>
  <si>
    <t>M-00044</t>
  </si>
  <si>
    <t>M-00045</t>
  </si>
  <si>
    <t>M-00046</t>
  </si>
  <si>
    <t>M-00047</t>
  </si>
  <si>
    <t>M-00048</t>
  </si>
  <si>
    <t>M-00049</t>
  </si>
  <si>
    <t>M-00050</t>
  </si>
  <si>
    <t>M-00051</t>
  </si>
  <si>
    <t>M-00052</t>
  </si>
  <si>
    <t>M-00053</t>
  </si>
  <si>
    <t>M-00054</t>
  </si>
  <si>
    <t>M-00055</t>
  </si>
  <si>
    <t>M-00056</t>
  </si>
  <si>
    <t>M-00057</t>
  </si>
  <si>
    <t>M-00058</t>
  </si>
  <si>
    <t>M-00059</t>
  </si>
  <si>
    <t>M-00060</t>
  </si>
  <si>
    <t>M-00061</t>
  </si>
  <si>
    <t>M-00062</t>
  </si>
  <si>
    <t>M-00063</t>
  </si>
  <si>
    <t>M-00064</t>
  </si>
  <si>
    <t>TORRE 03</t>
  </si>
  <si>
    <t>M-00065</t>
  </si>
  <si>
    <t>M-00066</t>
  </si>
  <si>
    <t>M-00067</t>
  </si>
  <si>
    <t>M-00068</t>
  </si>
  <si>
    <t>M-00069</t>
  </si>
  <si>
    <t>M-00070</t>
  </si>
  <si>
    <t>M-00071</t>
  </si>
  <si>
    <t>M-00072</t>
  </si>
  <si>
    <t>M-00073</t>
  </si>
  <si>
    <t>M-00074</t>
  </si>
  <si>
    <t>M-00075</t>
  </si>
  <si>
    <t>M-00076</t>
  </si>
  <si>
    <t>M-00077</t>
  </si>
  <si>
    <t>M-00078</t>
  </si>
  <si>
    <t>M-00079</t>
  </si>
  <si>
    <t>M-00080</t>
  </si>
  <si>
    <t>M-00081</t>
  </si>
  <si>
    <t>M-00082</t>
  </si>
  <si>
    <t>M-00083</t>
  </si>
  <si>
    <t>M-00084</t>
  </si>
  <si>
    <t>M-00085</t>
  </si>
  <si>
    <t>M-00086</t>
  </si>
  <si>
    <t>M-00087</t>
  </si>
  <si>
    <t>M-00088</t>
  </si>
  <si>
    <t>M-00089</t>
  </si>
  <si>
    <t>M-00090</t>
  </si>
  <si>
    <t>M-00091</t>
  </si>
  <si>
    <t>M-00092</t>
  </si>
  <si>
    <t>M-00093</t>
  </si>
  <si>
    <t>M-00094</t>
  </si>
  <si>
    <t>M-00095</t>
  </si>
  <si>
    <t>M-00096</t>
  </si>
  <si>
    <t>TORRE 04</t>
  </si>
  <si>
    <t>M-00097</t>
  </si>
  <si>
    <t>M-00098</t>
  </si>
  <si>
    <t>M-00099</t>
  </si>
  <si>
    <t>M-00100</t>
  </si>
  <si>
    <t>M-00101</t>
  </si>
  <si>
    <t>M-00102</t>
  </si>
  <si>
    <t>M-00103</t>
  </si>
  <si>
    <t>M-00104</t>
  </si>
  <si>
    <t>M-00105</t>
  </si>
  <si>
    <t>M-00106</t>
  </si>
  <si>
    <t>M-00107</t>
  </si>
  <si>
    <t>M-00108</t>
  </si>
  <si>
    <t>M-00109</t>
  </si>
  <si>
    <t>M-00110</t>
  </si>
  <si>
    <t>M-00111</t>
  </si>
  <si>
    <t>M-00112</t>
  </si>
  <si>
    <t>M-00113</t>
  </si>
  <si>
    <t>M-00114</t>
  </si>
  <si>
    <t>M-00115</t>
  </si>
  <si>
    <t>M-00116</t>
  </si>
  <si>
    <t>M-00117</t>
  </si>
  <si>
    <t>M-00118</t>
  </si>
  <si>
    <t>M-00119</t>
  </si>
  <si>
    <t>M-00120</t>
  </si>
  <si>
    <t>M-00121</t>
  </si>
  <si>
    <t>M-00122</t>
  </si>
  <si>
    <t>M-00123</t>
  </si>
  <si>
    <t>M-00124</t>
  </si>
  <si>
    <t>M-00125</t>
  </si>
  <si>
    <t>M-00126</t>
  </si>
  <si>
    <t>M-00127</t>
  </si>
  <si>
    <t>M-00128</t>
  </si>
  <si>
    <t>TORRE 05</t>
  </si>
  <si>
    <t>M-00129</t>
  </si>
  <si>
    <t>M-00130</t>
  </si>
  <si>
    <t>M-00131</t>
  </si>
  <si>
    <t>M-00132</t>
  </si>
  <si>
    <t>M-00133</t>
  </si>
  <si>
    <t>M-00134</t>
  </si>
  <si>
    <t>M-00135</t>
  </si>
  <si>
    <t>M-00136</t>
  </si>
  <si>
    <t>M-00137</t>
  </si>
  <si>
    <t>M-00138</t>
  </si>
  <si>
    <t>M-00139</t>
  </si>
  <si>
    <t>M-00140</t>
  </si>
  <si>
    <t>M-00141</t>
  </si>
  <si>
    <t>M-00142</t>
  </si>
  <si>
    <t>M-00143</t>
  </si>
  <si>
    <t>M-00144</t>
  </si>
  <si>
    <t>M-00145</t>
  </si>
  <si>
    <t>M-00146</t>
  </si>
  <si>
    <t>M-00147</t>
  </si>
  <si>
    <t>M-00148</t>
  </si>
  <si>
    <t>M-00149</t>
  </si>
  <si>
    <t>M-00150</t>
  </si>
  <si>
    <t>M-00151</t>
  </si>
  <si>
    <t>M-00152</t>
  </si>
  <si>
    <t>M-00153</t>
  </si>
  <si>
    <t>M-00154</t>
  </si>
  <si>
    <t>M-00155</t>
  </si>
  <si>
    <t>M-00156</t>
  </si>
  <si>
    <t>M-00157</t>
  </si>
  <si>
    <t>M-00158</t>
  </si>
  <si>
    <t>M-00159</t>
  </si>
  <si>
    <t>M-00160</t>
  </si>
  <si>
    <t>TORRE 06</t>
  </si>
  <si>
    <t>M-00161</t>
  </si>
  <si>
    <t>M-00162</t>
  </si>
  <si>
    <t>M-00163</t>
  </si>
  <si>
    <t>M-00164</t>
  </si>
  <si>
    <t>M-00165</t>
  </si>
  <si>
    <t>M-00166</t>
  </si>
  <si>
    <t>M-00167</t>
  </si>
  <si>
    <t>M-00168</t>
  </si>
  <si>
    <t>M-00169</t>
  </si>
  <si>
    <t>M-00170</t>
  </si>
  <si>
    <t>M-00171</t>
  </si>
  <si>
    <t>M-00172</t>
  </si>
  <si>
    <t>M-00173</t>
  </si>
  <si>
    <t>M-00174</t>
  </si>
  <si>
    <t>M-00175</t>
  </si>
  <si>
    <t>M-00176</t>
  </si>
  <si>
    <t>M-00177</t>
  </si>
  <si>
    <t>M-00178</t>
  </si>
  <si>
    <t>M-00179</t>
  </si>
  <si>
    <t>M-00180</t>
  </si>
  <si>
    <t>M-00181</t>
  </si>
  <si>
    <t>M-00182</t>
  </si>
  <si>
    <t>M-00183</t>
  </si>
  <si>
    <t>M-00184</t>
  </si>
  <si>
    <t>M-00185</t>
  </si>
  <si>
    <t>M-00186</t>
  </si>
  <si>
    <t>M-00187</t>
  </si>
  <si>
    <t>M-00188</t>
  </si>
  <si>
    <t>M-00189</t>
  </si>
  <si>
    <t>M-00190</t>
  </si>
  <si>
    <t>M-00191</t>
  </si>
  <si>
    <t>M-00192</t>
  </si>
  <si>
    <t>TORRE 07</t>
  </si>
  <si>
    <t>M-00193</t>
  </si>
  <si>
    <t>M-00194</t>
  </si>
  <si>
    <t>M-00195</t>
  </si>
  <si>
    <t>M-00196</t>
  </si>
  <si>
    <t>M-00197</t>
  </si>
  <si>
    <t>M-00198</t>
  </si>
  <si>
    <t>M-00199</t>
  </si>
  <si>
    <t>M-00200</t>
  </si>
  <si>
    <t>M-00201</t>
  </si>
  <si>
    <t>M-00202</t>
  </si>
  <si>
    <t>M-00203</t>
  </si>
  <si>
    <t>M-00204</t>
  </si>
  <si>
    <t>M-00205</t>
  </si>
  <si>
    <t>M-00206</t>
  </si>
  <si>
    <t>M-00207</t>
  </si>
  <si>
    <t>M-00208</t>
  </si>
  <si>
    <t>M-00209</t>
  </si>
  <si>
    <t>M-00210</t>
  </si>
  <si>
    <t>M-00211</t>
  </si>
  <si>
    <t>M-00212</t>
  </si>
  <si>
    <t>M-00213</t>
  </si>
  <si>
    <t>M-00214</t>
  </si>
  <si>
    <t>M-00215</t>
  </si>
  <si>
    <t>M-00216</t>
  </si>
  <si>
    <t>M-00217</t>
  </si>
  <si>
    <t>M-00218</t>
  </si>
  <si>
    <t>M-00219</t>
  </si>
  <si>
    <t>M-00220</t>
  </si>
  <si>
    <t>M-00221</t>
  </si>
  <si>
    <t>M-00222</t>
  </si>
  <si>
    <t>M-00223</t>
  </si>
  <si>
    <t>M-00224</t>
  </si>
  <si>
    <t>TORRE 08</t>
  </si>
  <si>
    <t>M-00225</t>
  </si>
  <si>
    <t>M-00226</t>
  </si>
  <si>
    <t>M-00227</t>
  </si>
  <si>
    <t>M-00228</t>
  </si>
  <si>
    <t>M-00229</t>
  </si>
  <si>
    <t>M-00230</t>
  </si>
  <si>
    <t>M-00231</t>
  </si>
  <si>
    <t>M-00232</t>
  </si>
  <si>
    <t>M-00233</t>
  </si>
  <si>
    <t>M-00234</t>
  </si>
  <si>
    <t>M-00235</t>
  </si>
  <si>
    <t>M-00236</t>
  </si>
  <si>
    <t>M-00237</t>
  </si>
  <si>
    <t>M-00238</t>
  </si>
  <si>
    <t>M-00239</t>
  </si>
  <si>
    <t>M-00240</t>
  </si>
  <si>
    <t>M-00241</t>
  </si>
  <si>
    <t>M-00242</t>
  </si>
  <si>
    <t>M-00243</t>
  </si>
  <si>
    <t>M-00244</t>
  </si>
  <si>
    <t>M-00245</t>
  </si>
  <si>
    <t>M-00246</t>
  </si>
  <si>
    <t>M-00247</t>
  </si>
  <si>
    <t>M-00248</t>
  </si>
  <si>
    <t>M-00249</t>
  </si>
  <si>
    <t>M-00250</t>
  </si>
  <si>
    <t>M-00251</t>
  </si>
  <si>
    <t>M-00252</t>
  </si>
  <si>
    <t>M-00253</t>
  </si>
  <si>
    <t>M-00254</t>
  </si>
  <si>
    <t>M-00255</t>
  </si>
  <si>
    <t>M-00256</t>
  </si>
  <si>
    <t>TORRE 09</t>
  </si>
  <si>
    <t>M-00257</t>
  </si>
  <si>
    <t>M-00258</t>
  </si>
  <si>
    <t>M-00259</t>
  </si>
  <si>
    <t>M-00260</t>
  </si>
  <si>
    <t>M-00261</t>
  </si>
  <si>
    <t>M-00262</t>
  </si>
  <si>
    <t>M-00263</t>
  </si>
  <si>
    <t>M-00264</t>
  </si>
  <si>
    <t>M-00265</t>
  </si>
  <si>
    <t>M-00266</t>
  </si>
  <si>
    <t>M-00267</t>
  </si>
  <si>
    <t>M-00268</t>
  </si>
  <si>
    <t>M-00269</t>
  </si>
  <si>
    <t>M-00270</t>
  </si>
  <si>
    <t>M-00271</t>
  </si>
  <si>
    <t>M-00272</t>
  </si>
  <si>
    <t>M-00273</t>
  </si>
  <si>
    <t>M-00274</t>
  </si>
  <si>
    <t>M-00275</t>
  </si>
  <si>
    <t>M-00276</t>
  </si>
  <si>
    <t>M-00277</t>
  </si>
  <si>
    <t>M-00278</t>
  </si>
  <si>
    <t>M-00279</t>
  </si>
  <si>
    <t>M-00280</t>
  </si>
  <si>
    <t>M-00281</t>
  </si>
  <si>
    <t>M-00282</t>
  </si>
  <si>
    <t>M-00283</t>
  </si>
  <si>
    <t>M-00284</t>
  </si>
  <si>
    <t>M-00285</t>
  </si>
  <si>
    <t>M-00286</t>
  </si>
  <si>
    <t>M-00287</t>
  </si>
  <si>
    <t>M-00288</t>
  </si>
  <si>
    <t>TORRE 10</t>
  </si>
  <si>
    <t>M-00289</t>
  </si>
  <si>
    <t>M-00290</t>
  </si>
  <si>
    <t>M-00291</t>
  </si>
  <si>
    <t>M-00292</t>
  </si>
  <si>
    <t>M-00293</t>
  </si>
  <si>
    <t>M-00294</t>
  </si>
  <si>
    <t>M-00295</t>
  </si>
  <si>
    <t>M-00296</t>
  </si>
  <si>
    <t>M-00297</t>
  </si>
  <si>
    <t>M-00298</t>
  </si>
  <si>
    <t>M-00299</t>
  </si>
  <si>
    <t>M-00300</t>
  </si>
  <si>
    <t>M-00301</t>
  </si>
  <si>
    <t>M-00302</t>
  </si>
  <si>
    <t>M-00303</t>
  </si>
  <si>
    <t>M-00304</t>
  </si>
  <si>
    <t>M-00305</t>
  </si>
  <si>
    <t>M-00306</t>
  </si>
  <si>
    <t>M-00307</t>
  </si>
  <si>
    <t>M-00308</t>
  </si>
  <si>
    <t>M-00309</t>
  </si>
  <si>
    <t>M-00310</t>
  </si>
  <si>
    <t>M-00311</t>
  </si>
  <si>
    <t>M-00312</t>
  </si>
  <si>
    <t>M-00313</t>
  </si>
  <si>
    <t>M-00314</t>
  </si>
  <si>
    <t>M-00315</t>
  </si>
  <si>
    <t>M-00316</t>
  </si>
  <si>
    <t>M-00317</t>
  </si>
  <si>
    <t>M-00318</t>
  </si>
  <si>
    <t>M-00319</t>
  </si>
  <si>
    <t>M-00320</t>
  </si>
  <si>
    <t>TORRE 11</t>
  </si>
  <si>
    <t>M-00321</t>
  </si>
  <si>
    <t>M-00322</t>
  </si>
  <si>
    <t>M-00323</t>
  </si>
  <si>
    <t>M-00324</t>
  </si>
  <si>
    <t>M-00325</t>
  </si>
  <si>
    <t>M-00326</t>
  </si>
  <si>
    <t>M-00327</t>
  </si>
  <si>
    <t>M-00328</t>
  </si>
  <si>
    <t>M-00329</t>
  </si>
  <si>
    <t>M-00330</t>
  </si>
  <si>
    <t>M-00331</t>
  </si>
  <si>
    <t>M-00332</t>
  </si>
  <si>
    <t>M-00333</t>
  </si>
  <si>
    <t>M-00334</t>
  </si>
  <si>
    <t>M-00335</t>
  </si>
  <si>
    <t>M-00336</t>
  </si>
  <si>
    <t>M-00337</t>
  </si>
  <si>
    <t>M-00338</t>
  </si>
  <si>
    <t>M-00339</t>
  </si>
  <si>
    <t>M-00340</t>
  </si>
  <si>
    <t>M-00341</t>
  </si>
  <si>
    <t>M-00342</t>
  </si>
  <si>
    <t>M-00343</t>
  </si>
  <si>
    <t>M-00344</t>
  </si>
  <si>
    <t>M-00345</t>
  </si>
  <si>
    <t>M-00346</t>
  </si>
  <si>
    <t>M-00347</t>
  </si>
  <si>
    <t>M-00348</t>
  </si>
  <si>
    <t>M-00349</t>
  </si>
  <si>
    <t>M-00350</t>
  </si>
  <si>
    <t>M-00351</t>
  </si>
  <si>
    <t>M-00352</t>
  </si>
  <si>
    <t>TORRE 12</t>
  </si>
  <si>
    <t>M-00353</t>
  </si>
  <si>
    <t>M-00354</t>
  </si>
  <si>
    <t>M-00355</t>
  </si>
  <si>
    <t>M-00356</t>
  </si>
  <si>
    <t>M-00357</t>
  </si>
  <si>
    <t>M-00358</t>
  </si>
  <si>
    <t>M-00359</t>
  </si>
  <si>
    <t>M-00360</t>
  </si>
  <si>
    <t>M-00361</t>
  </si>
  <si>
    <t>M-00362</t>
  </si>
  <si>
    <t>M-00363</t>
  </si>
  <si>
    <t>M-00364</t>
  </si>
  <si>
    <t>M-00365</t>
  </si>
  <si>
    <t>M-00366</t>
  </si>
  <si>
    <t>M-00367</t>
  </si>
  <si>
    <t>M-00368</t>
  </si>
  <si>
    <t>M-00369</t>
  </si>
  <si>
    <t>M-00370</t>
  </si>
  <si>
    <t>M-00371</t>
  </si>
  <si>
    <t>M-00372</t>
  </si>
  <si>
    <t>M-00373</t>
  </si>
  <si>
    <t>M-00374</t>
  </si>
  <si>
    <t>M-00375</t>
  </si>
  <si>
    <t>M-00376</t>
  </si>
  <si>
    <t>M-00377</t>
  </si>
  <si>
    <t>M-00378</t>
  </si>
  <si>
    <t>M-00379</t>
  </si>
  <si>
    <t>M-00380</t>
  </si>
  <si>
    <t>M-00381</t>
  </si>
  <si>
    <t>M-00382</t>
  </si>
  <si>
    <t>M-00383</t>
  </si>
  <si>
    <t>M-00384</t>
  </si>
  <si>
    <t>TORRE 13</t>
  </si>
  <si>
    <t>M-00385</t>
  </si>
  <si>
    <t>M-00386</t>
  </si>
  <si>
    <t>M-00387</t>
  </si>
  <si>
    <t>M-00388</t>
  </si>
  <si>
    <t>M-00389</t>
  </si>
  <si>
    <t>M-00390</t>
  </si>
  <si>
    <t>M-00391</t>
  </si>
  <si>
    <t>M-00392</t>
  </si>
  <si>
    <t>M-00393</t>
  </si>
  <si>
    <t>M-00394</t>
  </si>
  <si>
    <t>M-00395</t>
  </si>
  <si>
    <t>M-00396</t>
  </si>
  <si>
    <t>M-00397</t>
  </si>
  <si>
    <t>M-00398</t>
  </si>
  <si>
    <t>M-00399</t>
  </si>
  <si>
    <t>M-00400</t>
  </si>
  <si>
    <t>M-00401</t>
  </si>
  <si>
    <t>M-00402</t>
  </si>
  <si>
    <t>M-00403</t>
  </si>
  <si>
    <t>M-00404</t>
  </si>
  <si>
    <t>M-00405</t>
  </si>
  <si>
    <t>M-00406</t>
  </si>
  <si>
    <t>M-00407</t>
  </si>
  <si>
    <t>M-00408</t>
  </si>
  <si>
    <t>M-00409</t>
  </si>
  <si>
    <t>M-00410</t>
  </si>
  <si>
    <t>M-00411</t>
  </si>
  <si>
    <t>M-00412</t>
  </si>
  <si>
    <t>M-00413</t>
  </si>
  <si>
    <t>M-00414</t>
  </si>
  <si>
    <t>M-00415</t>
  </si>
  <si>
    <t>M-00416</t>
  </si>
  <si>
    <t>TORRE 14</t>
  </si>
  <si>
    <t>M-00417</t>
  </si>
  <si>
    <t>M-00418</t>
  </si>
  <si>
    <t>M-00419</t>
  </si>
  <si>
    <t>M-00420</t>
  </si>
  <si>
    <t>M-00421</t>
  </si>
  <si>
    <t>M-00422</t>
  </si>
  <si>
    <t>M-00423</t>
  </si>
  <si>
    <t>M-00424</t>
  </si>
  <si>
    <t>M-00425</t>
  </si>
  <si>
    <t>M-00426</t>
  </si>
  <si>
    <t>M-00427</t>
  </si>
  <si>
    <t>M-00428</t>
  </si>
  <si>
    <t>M-00429</t>
  </si>
  <si>
    <t>M-00430</t>
  </si>
  <si>
    <t>M-00431</t>
  </si>
  <si>
    <t>M-00432</t>
  </si>
  <si>
    <t>M-00433</t>
  </si>
  <si>
    <t>M-00434</t>
  </si>
  <si>
    <t>M-00435</t>
  </si>
  <si>
    <t>M-00436</t>
  </si>
  <si>
    <t>M-00437</t>
  </si>
  <si>
    <t>M-00438</t>
  </si>
  <si>
    <t>M-00439</t>
  </si>
  <si>
    <t>M-00440</t>
  </si>
  <si>
    <t>M-00441</t>
  </si>
  <si>
    <t>M-00442</t>
  </si>
  <si>
    <t>M-00443</t>
  </si>
  <si>
    <t>M-00444</t>
  </si>
  <si>
    <t>M-00445</t>
  </si>
  <si>
    <t>M-00446</t>
  </si>
  <si>
    <t>M-00447</t>
  </si>
  <si>
    <t>M-00448</t>
  </si>
  <si>
    <t>TORRE 15</t>
  </si>
  <si>
    <t>M-00449</t>
  </si>
  <si>
    <t>M-00450</t>
  </si>
  <si>
    <t>M-00451</t>
  </si>
  <si>
    <t>M-00452</t>
  </si>
  <si>
    <t>M-00453</t>
  </si>
  <si>
    <t>M-00454</t>
  </si>
  <si>
    <t>M-00455</t>
  </si>
  <si>
    <t>M-00456</t>
  </si>
  <si>
    <t>M-00457</t>
  </si>
  <si>
    <t>M-00458</t>
  </si>
  <si>
    <t>M-00459</t>
  </si>
  <si>
    <t>M-00460</t>
  </si>
  <si>
    <t>M-00461</t>
  </si>
  <si>
    <t>M-00462</t>
  </si>
  <si>
    <t>M-00463</t>
  </si>
  <si>
    <t>M-00464</t>
  </si>
  <si>
    <t>M-00465</t>
  </si>
  <si>
    <t>M-00466</t>
  </si>
  <si>
    <t>M-00467</t>
  </si>
  <si>
    <t>M-00468</t>
  </si>
  <si>
    <t>M-00469</t>
  </si>
  <si>
    <t>M-00470</t>
  </si>
  <si>
    <t>M-00471</t>
  </si>
  <si>
    <t>M-00472</t>
  </si>
  <si>
    <t>M-00473</t>
  </si>
  <si>
    <t>M-00474</t>
  </si>
  <si>
    <t>M-00475</t>
  </si>
  <si>
    <t>M-00476</t>
  </si>
  <si>
    <t>M-00477</t>
  </si>
  <si>
    <t>M-00478</t>
  </si>
  <si>
    <t>M-00479</t>
  </si>
  <si>
    <t>M-00480</t>
  </si>
  <si>
    <t>TORRE 16</t>
  </si>
  <si>
    <t>M-00481</t>
  </si>
  <si>
    <t>M-00482</t>
  </si>
  <si>
    <t>M-00483</t>
  </si>
  <si>
    <t>M-00484</t>
  </si>
  <si>
    <t>M-00485</t>
  </si>
  <si>
    <t>M-00486</t>
  </si>
  <si>
    <t>M-00487</t>
  </si>
  <si>
    <t>M-00488</t>
  </si>
  <si>
    <t>M-00489</t>
  </si>
  <si>
    <t>M-00490</t>
  </si>
  <si>
    <t>M-00491</t>
  </si>
  <si>
    <t>M-00492</t>
  </si>
  <si>
    <t>M-00493</t>
  </si>
  <si>
    <t>M-00494</t>
  </si>
  <si>
    <t>M-00495</t>
  </si>
  <si>
    <t>M-00496</t>
  </si>
  <si>
    <t>M-00497</t>
  </si>
  <si>
    <t>M-00498</t>
  </si>
  <si>
    <t>M-00499</t>
  </si>
  <si>
    <t>M-00500</t>
  </si>
  <si>
    <t>M-00501</t>
  </si>
  <si>
    <t>M-00502</t>
  </si>
  <si>
    <t>M-00503</t>
  </si>
  <si>
    <t>M-00504</t>
  </si>
  <si>
    <t>M-00505</t>
  </si>
  <si>
    <t>M-00506</t>
  </si>
  <si>
    <t>M-00507</t>
  </si>
  <si>
    <t>M-00508</t>
  </si>
  <si>
    <t>M-00509</t>
  </si>
  <si>
    <t>M-00510</t>
  </si>
  <si>
    <t>M-00511</t>
  </si>
  <si>
    <t>M-00512</t>
  </si>
  <si>
    <t>TORRE 17</t>
  </si>
  <si>
    <t>M-00513</t>
  </si>
  <si>
    <t>M-00514</t>
  </si>
  <si>
    <t>M-00515</t>
  </si>
  <si>
    <t>M-00516</t>
  </si>
  <si>
    <t>M-00517</t>
  </si>
  <si>
    <t>M-00518</t>
  </si>
  <si>
    <t>M-00519</t>
  </si>
  <si>
    <t>M-00520</t>
  </si>
  <si>
    <t>M-00521</t>
  </si>
  <si>
    <t>M-00522</t>
  </si>
  <si>
    <t>M-00523</t>
  </si>
  <si>
    <t>M-00524</t>
  </si>
  <si>
    <t>M-00525</t>
  </si>
  <si>
    <t>M-00526</t>
  </si>
  <si>
    <t>M-00527</t>
  </si>
  <si>
    <t>M-00528</t>
  </si>
  <si>
    <t>M-00529</t>
  </si>
  <si>
    <t>M-00530</t>
  </si>
  <si>
    <t>M-00531</t>
  </si>
  <si>
    <t>M-00532</t>
  </si>
  <si>
    <t>M-00533</t>
  </si>
  <si>
    <t>M-00534</t>
  </si>
  <si>
    <t>M-00535</t>
  </si>
  <si>
    <t>M-00536</t>
  </si>
  <si>
    <t>M-00537</t>
  </si>
  <si>
    <t>M-00538</t>
  </si>
  <si>
    <t>M-00539</t>
  </si>
  <si>
    <t>M-00540</t>
  </si>
  <si>
    <t>M-00541</t>
  </si>
  <si>
    <t>M-00542</t>
  </si>
  <si>
    <t>M-00543</t>
  </si>
  <si>
    <t>M-00544</t>
  </si>
  <si>
    <t>TORRE 18</t>
  </si>
  <si>
    <t>M-00545</t>
  </si>
  <si>
    <t>M-00546</t>
  </si>
  <si>
    <t>M-00547</t>
  </si>
  <si>
    <t>M-00548</t>
  </si>
  <si>
    <t>M-00549</t>
  </si>
  <si>
    <t>M-00550</t>
  </si>
  <si>
    <t>M-00551</t>
  </si>
  <si>
    <t>M-00552</t>
  </si>
  <si>
    <t>M-00553</t>
  </si>
  <si>
    <t>M-00554</t>
  </si>
  <si>
    <t>M-00555</t>
  </si>
  <si>
    <t>M-00556</t>
  </si>
  <si>
    <t>M-00557</t>
  </si>
  <si>
    <t>M-00558</t>
  </si>
  <si>
    <t>M-00559</t>
  </si>
  <si>
    <t>M-00560</t>
  </si>
  <si>
    <t>M-00561</t>
  </si>
  <si>
    <t>M-00562</t>
  </si>
  <si>
    <t>M-00563</t>
  </si>
  <si>
    <t>M-00564</t>
  </si>
  <si>
    <t>M-00565</t>
  </si>
  <si>
    <t>M-00566</t>
  </si>
  <si>
    <t>M-00567</t>
  </si>
  <si>
    <t>M-00568</t>
  </si>
  <si>
    <t>M-00569</t>
  </si>
  <si>
    <t>M-00570</t>
  </si>
  <si>
    <t>M-00571</t>
  </si>
  <si>
    <t>M-00572</t>
  </si>
  <si>
    <t>M-00573</t>
  </si>
  <si>
    <t>M-00574</t>
  </si>
  <si>
    <t>M-00575</t>
  </si>
  <si>
    <t>M-00576</t>
  </si>
  <si>
    <t>TORRE 19</t>
  </si>
  <si>
    <t>M-00577</t>
  </si>
  <si>
    <t>M-00578</t>
  </si>
  <si>
    <t>M-00579</t>
  </si>
  <si>
    <t>M-00580</t>
  </si>
  <si>
    <t>M-00581</t>
  </si>
  <si>
    <t>M-00582</t>
  </si>
  <si>
    <t>M-00583</t>
  </si>
  <si>
    <t>M-00584</t>
  </si>
  <si>
    <t>M-00585</t>
  </si>
  <si>
    <t>M-00586</t>
  </si>
  <si>
    <t>M-00587</t>
  </si>
  <si>
    <t>M-00588</t>
  </si>
  <si>
    <t>M-00589</t>
  </si>
  <si>
    <t>M-00590</t>
  </si>
  <si>
    <t>M-00591</t>
  </si>
  <si>
    <t>M-00592</t>
  </si>
  <si>
    <t>M-00593</t>
  </si>
  <si>
    <t>M-00594</t>
  </si>
  <si>
    <t>M-00595</t>
  </si>
  <si>
    <t>M-00596</t>
  </si>
  <si>
    <t>M-00597</t>
  </si>
  <si>
    <t>M-00598</t>
  </si>
  <si>
    <t>M-00599</t>
  </si>
  <si>
    <t>M-00600</t>
  </si>
  <si>
    <t>M-00601</t>
  </si>
  <si>
    <t>M-00602</t>
  </si>
  <si>
    <t>M-00603</t>
  </si>
  <si>
    <t>M-00604</t>
  </si>
  <si>
    <t>M-00605</t>
  </si>
  <si>
    <t>M-00606</t>
  </si>
  <si>
    <t>M-00607</t>
  </si>
  <si>
    <t>M-00608</t>
  </si>
  <si>
    <t>TORRE 20</t>
  </si>
  <si>
    <t>M-00609</t>
  </si>
  <si>
    <t>M-00610</t>
  </si>
  <si>
    <t>M-00611</t>
  </si>
  <si>
    <t>M-00612</t>
  </si>
  <si>
    <t>M-00613</t>
  </si>
  <si>
    <t>M-00614</t>
  </si>
  <si>
    <t>M-00615</t>
  </si>
  <si>
    <t>M-00616</t>
  </si>
  <si>
    <t>M-00617</t>
  </si>
  <si>
    <t>M-00618</t>
  </si>
  <si>
    <t>M-00619</t>
  </si>
  <si>
    <t>M-00620</t>
  </si>
  <si>
    <t>M-00621</t>
  </si>
  <si>
    <t>M-00622</t>
  </si>
  <si>
    <t>M-00623</t>
  </si>
  <si>
    <t>M-00624</t>
  </si>
  <si>
    <t>M-00625</t>
  </si>
  <si>
    <t>M-00626</t>
  </si>
  <si>
    <t>M-00627</t>
  </si>
  <si>
    <t>M-00628</t>
  </si>
  <si>
    <t>M-00629</t>
  </si>
  <si>
    <t>M-00630</t>
  </si>
  <si>
    <t>M-00631</t>
  </si>
  <si>
    <t>M-00632</t>
  </si>
  <si>
    <t>M-00633</t>
  </si>
  <si>
    <t>M-00634</t>
  </si>
  <si>
    <t>M-00635</t>
  </si>
  <si>
    <t>M-00636</t>
  </si>
  <si>
    <t>M-00637</t>
  </si>
  <si>
    <t>M-00638</t>
  </si>
  <si>
    <t>M-00639</t>
  </si>
  <si>
    <t>M-00640</t>
  </si>
  <si>
    <t>TORRE 21</t>
  </si>
  <si>
    <t>M-00641</t>
  </si>
  <si>
    <t>M-00642</t>
  </si>
  <si>
    <t>M-00643</t>
  </si>
  <si>
    <t>M-00644</t>
  </si>
  <si>
    <t>M-00645</t>
  </si>
  <si>
    <t>M-00646</t>
  </si>
  <si>
    <t>M-00647</t>
  </si>
  <si>
    <t>M-00648</t>
  </si>
  <si>
    <t>M-00649</t>
  </si>
  <si>
    <t>M-00650</t>
  </si>
  <si>
    <t>M-00651</t>
  </si>
  <si>
    <t>M-00652</t>
  </si>
  <si>
    <t>M-00653</t>
  </si>
  <si>
    <t>M-00654</t>
  </si>
  <si>
    <t>M-00655</t>
  </si>
  <si>
    <t>M-00656</t>
  </si>
  <si>
    <t>M-00657</t>
  </si>
  <si>
    <t>M-00658</t>
  </si>
  <si>
    <t>M-00659</t>
  </si>
  <si>
    <t>M-00660</t>
  </si>
  <si>
    <t>M-00661</t>
  </si>
  <si>
    <t>M-00662</t>
  </si>
  <si>
    <t>M-00663</t>
  </si>
  <si>
    <t>M-00664</t>
  </si>
  <si>
    <t>M-00665</t>
  </si>
  <si>
    <t>M-00666</t>
  </si>
  <si>
    <t>M-00667</t>
  </si>
  <si>
    <t>M-00668</t>
  </si>
  <si>
    <t>M-00669</t>
  </si>
  <si>
    <t>M-00670</t>
  </si>
  <si>
    <t>M-00671</t>
  </si>
  <si>
    <t>M-00672</t>
  </si>
  <si>
    <t>TORRE 22</t>
  </si>
  <si>
    <t>M-00673</t>
  </si>
  <si>
    <t>M-00674</t>
  </si>
  <si>
    <t>M-00675</t>
  </si>
  <si>
    <t>M-00676</t>
  </si>
  <si>
    <t>M-00677</t>
  </si>
  <si>
    <t>M-00678</t>
  </si>
  <si>
    <t>M-00679</t>
  </si>
  <si>
    <t>M-00680</t>
  </si>
  <si>
    <t>M-00681</t>
  </si>
  <si>
    <t>M-00682</t>
  </si>
  <si>
    <t>M-00683</t>
  </si>
  <si>
    <t>M-00684</t>
  </si>
  <si>
    <t>M-00685</t>
  </si>
  <si>
    <t>M-00686</t>
  </si>
  <si>
    <t>M-00687</t>
  </si>
  <si>
    <t>M-00688</t>
  </si>
  <si>
    <t>M-00689</t>
  </si>
  <si>
    <t>M-00690</t>
  </si>
  <si>
    <t>M-00691</t>
  </si>
  <si>
    <t>M-00692</t>
  </si>
  <si>
    <t>M-00693</t>
  </si>
  <si>
    <t>M-00694</t>
  </si>
  <si>
    <t>M-00695</t>
  </si>
  <si>
    <t>M-00696</t>
  </si>
  <si>
    <t>M-00697</t>
  </si>
  <si>
    <t>M-00698</t>
  </si>
  <si>
    <t>M-00699</t>
  </si>
  <si>
    <t>M-00700</t>
  </si>
  <si>
    <t>M-00701</t>
  </si>
  <si>
    <t>M-00702</t>
  </si>
  <si>
    <t>M-00703</t>
  </si>
  <si>
    <t>M-00704</t>
  </si>
  <si>
    <t xml:space="preserve">INICIO PLANIFICADO </t>
  </si>
  <si>
    <t xml:space="preserve">INICIO REAL </t>
  </si>
  <si>
    <t xml:space="preserve">PLANIFICACION </t>
  </si>
  <si>
    <t xml:space="preserve">TERMINO REAL </t>
  </si>
  <si>
    <t>SEMANA</t>
  </si>
  <si>
    <t>Suma de INICIO REAL</t>
  </si>
  <si>
    <t>%AVANCE</t>
  </si>
  <si>
    <t>|</t>
  </si>
  <si>
    <t>%TERMINO</t>
  </si>
  <si>
    <t>Cuenta de N° MÓDULO</t>
  </si>
  <si>
    <t>ESTADO MODULO</t>
  </si>
  <si>
    <t>50-59%</t>
  </si>
  <si>
    <t>60-69%</t>
  </si>
  <si>
    <t>70-79%</t>
  </si>
  <si>
    <t>80-89%</t>
  </si>
  <si>
    <t>90-99%</t>
  </si>
  <si>
    <t xml:space="preserve"> %TERMINO</t>
  </si>
  <si>
    <t xml:space="preserve"> %AVANCE</t>
  </si>
  <si>
    <t>COMPLETADO</t>
  </si>
  <si>
    <t>GAP INICIO</t>
  </si>
  <si>
    <t>GAP TERMINO</t>
  </si>
  <si>
    <t>Suma de GAP INICIO</t>
  </si>
  <si>
    <t>Suma de GAP TERMINO</t>
  </si>
  <si>
    <t>GAP INICIO (DIAS)</t>
  </si>
  <si>
    <t>GAP ESTADO INICIO</t>
  </si>
  <si>
    <t>A TIEMPO</t>
  </si>
  <si>
    <t>ADELANTADO</t>
  </si>
  <si>
    <t>ATRASADO</t>
  </si>
  <si>
    <t>GAP ESTADO TERMINO</t>
  </si>
  <si>
    <t>NO TERMINADO</t>
  </si>
  <si>
    <t>(Varios elementos)</t>
  </si>
  <si>
    <t>INICIO</t>
  </si>
  <si>
    <t>TERMINO</t>
  </si>
  <si>
    <t>O</t>
  </si>
  <si>
    <t>Modulos Totales</t>
  </si>
  <si>
    <t>Modulos Terminados</t>
  </si>
  <si>
    <t>Modulos Restantes</t>
  </si>
  <si>
    <t>Promedio Semanal</t>
  </si>
  <si>
    <t>Semanas Restantes</t>
  </si>
  <si>
    <t>&lt;17-02-2026</t>
  </si>
  <si>
    <t>Promedio de % AVANCE</t>
  </si>
  <si>
    <t>CANTIDAD</t>
  </si>
  <si>
    <t>COMPRA MATERIALES</t>
  </si>
  <si>
    <t>VALOR PRESUPUESTO</t>
  </si>
  <si>
    <t>% AVANCE ECONOMICO</t>
  </si>
  <si>
    <t>COMPRAS TOTALES</t>
  </si>
  <si>
    <t>jun</t>
  </si>
  <si>
    <t>jul</t>
  </si>
  <si>
    <t>ago</t>
  </si>
  <si>
    <t>sept</t>
  </si>
  <si>
    <t>%AVANCE ECONOMICO ACUM.</t>
  </si>
  <si>
    <t>FORRO LATERAL E: 0,5 MM L: 1000 MM ALUZINC</t>
  </si>
  <si>
    <t>TORNILLO KALAT PUNTA BROCA DE 8X3/4"</t>
  </si>
  <si>
    <t>%AVANCE FISICO</t>
  </si>
  <si>
    <t>%AVANCE FISICO ACUM.</t>
  </si>
  <si>
    <t>%AVANCE FISICO MENSUAL</t>
  </si>
  <si>
    <t>INGRESO MENSUAL</t>
  </si>
  <si>
    <t>INGRESO ACUMULADO</t>
  </si>
  <si>
    <t>%AVANCE ESPERADO ECONOMICO</t>
  </si>
  <si>
    <t>%AVANCE ESPERADO ECONOMICO ACUM.</t>
  </si>
  <si>
    <t>GAP ECONOMICO</t>
  </si>
  <si>
    <t>GAP ECONOMICO MENSUAL</t>
  </si>
  <si>
    <t>COMPRAS ACUMULADAS</t>
  </si>
  <si>
    <t>ITEM</t>
  </si>
  <si>
    <t>MESES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</si>
  <si>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</si>
  <si>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</si>
  <si>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</si>
  <si>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</si>
  <si>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</si>
  <si>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</si>
  <si>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</si>
  <si>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</si>
  <si>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</si>
  <si>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</si>
  <si>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</si>
  <si>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</si>
  <si>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</si>
  <si>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</si>
  <si>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</si>
  <si>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</si>
  <si>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</si>
  <si>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</si>
  <si>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</si>
  <si>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</si>
  <si>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</si>
  <si>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</si>
  <si>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</si>
  <si>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</si>
  <si>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 xml:space="preserve"> %AVANCE ECONOMICO ACUM.</t>
  </si>
  <si>
    <t xml:space="preserve"> %AVANCE FISICO ACUM.</t>
  </si>
  <si>
    <t xml:space="preserve"> %AVANCE ESPERADO ECONOMICO ACUM.</t>
  </si>
  <si>
    <t>META SEMANAL</t>
  </si>
  <si>
    <t>Promedio de META SEMANAL</t>
  </si>
  <si>
    <t xml:space="preserve"> INICIO REAL</t>
  </si>
  <si>
    <t xml:space="preserve"> META SEMANAL</t>
  </si>
  <si>
    <t xml:space="preserve"> COMPRAS ACUMULADAS</t>
  </si>
  <si>
    <t xml:space="preserve"> INGRESO ACUMULADO</t>
  </si>
  <si>
    <t>DIAS SIN MOVIMIENTO</t>
  </si>
  <si>
    <t>%AVANCE ECONOMICO</t>
  </si>
  <si>
    <t xml:space="preserve"> % AVANCE ECONOMICO</t>
  </si>
  <si>
    <t xml:space="preserve">NARIZ GRADA ALUMINIO 5367 DE 53 x 28 x 924 MM ( casas Chacra) </t>
  </si>
  <si>
    <t>%AVANCE INICIO</t>
  </si>
  <si>
    <t>%AVANCE INICIO PLANIFICADO</t>
  </si>
  <si>
    <t>%AVANCE TERMINO PLANIFICADO</t>
  </si>
  <si>
    <t>%AVANCE TERMINO</t>
  </si>
  <si>
    <t>%plan</t>
  </si>
  <si>
    <t>Suma de DIAS SIN MOVIMIENTO</t>
  </si>
  <si>
    <t>APORTE OBRA GRUESA</t>
  </si>
  <si>
    <t>TABIQUES</t>
  </si>
  <si>
    <t>MUROS</t>
  </si>
  <si>
    <t>CIELO</t>
  </si>
  <si>
    <t>BALCÓN</t>
  </si>
  <si>
    <t>APORTE SANITARIO</t>
  </si>
  <si>
    <t>SANITARIO</t>
  </si>
  <si>
    <t>RED ALCANTARILLADO</t>
  </si>
  <si>
    <t>RED DE AGUA</t>
  </si>
  <si>
    <t>VENTILACIONES</t>
  </si>
  <si>
    <t>LAVAMANOS / LAVAPLATOS / LAVADERO</t>
  </si>
  <si>
    <t>APORTE ELÉCTRICO</t>
  </si>
  <si>
    <t>ELÉCTRICO</t>
  </si>
  <si>
    <t>CANALIZACIÓN</t>
  </si>
  <si>
    <t>CABLEADO</t>
  </si>
  <si>
    <t>ARTEFACTOS</t>
  </si>
  <si>
    <t>CAJA PAU</t>
  </si>
  <si>
    <t>APORTE TERMINACIONES</t>
  </si>
  <si>
    <t>TERMINACIONES</t>
  </si>
  <si>
    <t>INSTALACION VINILICO</t>
  </si>
  <si>
    <t>OSB CUBIERTA</t>
  </si>
  <si>
    <t>OSB EXTERIOR</t>
  </si>
  <si>
    <t>SMART PANEL</t>
  </si>
  <si>
    <t>PINTURA EXTERIOR</t>
  </si>
  <si>
    <t>ZOCALOS LOGIA</t>
  </si>
  <si>
    <t>MOLDURAS</t>
  </si>
  <si>
    <t>PILASTREO</t>
  </si>
  <si>
    <t>CELOSIAS</t>
  </si>
  <si>
    <t>PUERTAS ACCESO - LOGIA - BANO</t>
  </si>
  <si>
    <t>CERRADURAS</t>
  </si>
  <si>
    <t>REVESTIMIENTO INTERIOR ZONA SECA</t>
  </si>
  <si>
    <t>REVESTIMIENTO INTERIOR ZONAS HUMEDAS</t>
  </si>
  <si>
    <t>MEMBRANA CIELO</t>
  </si>
  <si>
    <t>LIMPIEZA FINAL</t>
  </si>
  <si>
    <t>PUERTAS DORMITORIO</t>
  </si>
  <si>
    <t>REVESTIMIENTO INTERIOR BANO</t>
  </si>
  <si>
    <t>IMPERMEABILIZACION BANO - COCINA LOGIA</t>
  </si>
  <si>
    <t>KDM</t>
  </si>
  <si>
    <t>ADHESIVO</t>
  </si>
  <si>
    <t>% FORECAST</t>
  </si>
  <si>
    <t>Fecha</t>
  </si>
  <si>
    <t>% Avance Teórico Acumulado</t>
  </si>
  <si>
    <t>% Avance Diario</t>
  </si>
  <si>
    <t>Módulos Activos</t>
  </si>
  <si>
    <t>MODULOS INICIADOS</t>
  </si>
  <si>
    <t>MODULOS TERMINADOS</t>
  </si>
  <si>
    <t>% AVANCE REAL</t>
  </si>
  <si>
    <t xml:space="preserve"> AVANCE REAL</t>
  </si>
  <si>
    <t xml:space="preserve">AVANCE PROGRAMADO </t>
  </si>
  <si>
    <t>DIA</t>
  </si>
  <si>
    <t>AÑO</t>
  </si>
  <si>
    <t>GOLILLA PLANA GALVANIZADA DE 1/2</t>
  </si>
  <si>
    <t xml:space="preserve">HILO 1/2"X8" (200mm) GALVANIZADO </t>
  </si>
  <si>
    <t>TUERCA HEXAGONAL GALVANIZADA DE 1/2</t>
  </si>
  <si>
    <t>VARILLA ROSCADA F 1554 GR36 MEDIDAS 1/2" x 27,5" (70 CM) UNC 90° ZN ( DOBLE TUERCA)</t>
  </si>
  <si>
    <t xml:space="preserve">VARILLA ROSCADA F 1554 GR36 MEDIDAS 7/8" X28" (71CM) UNC 90° 90 ZN (DOBLE TUERCA) </t>
  </si>
  <si>
    <t xml:space="preserve">VARILLA ROSCADA F 1554 GR36 MEDIDAS  1"X28"(71 cm)unc 90° ZN (DOBLE TUERCA) </t>
  </si>
  <si>
    <t>BROCHA PROFESIONAL DE 5/8" x 4"</t>
  </si>
  <si>
    <t>FECHA</t>
  </si>
  <si>
    <t xml:space="preserve">MODULO NRO SERIE </t>
  </si>
  <si>
    <t xml:space="preserve">MONTO NETO </t>
  </si>
  <si>
    <t>MODULO</t>
  </si>
  <si>
    <t>FECHA GD</t>
  </si>
  <si>
    <t xml:space="preserve">FECHA DESPACHO </t>
  </si>
  <si>
    <t>METROS CUADRADOS</t>
  </si>
  <si>
    <t>M2 Avance Programado</t>
  </si>
  <si>
    <t>M2 Avance Acumulado Real</t>
  </si>
  <si>
    <t>Máx. de M2 Avance Programado</t>
  </si>
  <si>
    <t>Máx. de M2 Avance Acumulado Real</t>
  </si>
  <si>
    <t>M2 Avance Diario Real</t>
  </si>
  <si>
    <t>M2 Avance Diario</t>
  </si>
  <si>
    <t xml:space="preserve"> M2 Avance Diario Real</t>
  </si>
  <si>
    <t xml:space="preserve"> M2 Avance Prog.</t>
  </si>
  <si>
    <t>MÓDULOS DÍA</t>
  </si>
  <si>
    <t>MÓDULOS ASIGNADOS</t>
  </si>
  <si>
    <t>MÓDULOS ACUMULADOS</t>
  </si>
  <si>
    <t>E04D11 (1/2), E04D11 (2/2)</t>
  </si>
  <si>
    <t>E04D21 (1/2), E04D21 (2/2)</t>
  </si>
  <si>
    <t>E04D31 (1/2), E04D31 (2/2)</t>
  </si>
  <si>
    <t>E04D41 (1/2), E04D41 (2/2)</t>
  </si>
  <si>
    <t>E04D12 (1/2), E04D12 (2/2)</t>
  </si>
  <si>
    <t>E04D22 (1/2), E04D22 (2/2)</t>
  </si>
  <si>
    <t>E04D32 (1/2), E04D32 (2/2)</t>
  </si>
  <si>
    <t>E04D42 (1/2), E04D42 (2/2)</t>
  </si>
  <si>
    <t>E04D14 (1/2), E04D14 (2/2)</t>
  </si>
  <si>
    <t>E04D24 (1/2), E04D24 (2/2)</t>
  </si>
  <si>
    <t>E04D34 (1/2), E04D34 (2/2)</t>
  </si>
  <si>
    <t>E04D44 (1/2), E04D44 (2/2)</t>
  </si>
  <si>
    <t>E04D13 (1/2), E04D13 (2/2)</t>
  </si>
  <si>
    <t>E04D23 (1/2)</t>
  </si>
  <si>
    <t>E04D23 (2/2)</t>
  </si>
  <si>
    <t>E04D33 (1/2)</t>
  </si>
  <si>
    <t>E04D33 (2/2)</t>
  </si>
  <si>
    <t>E04D43 (1/2)</t>
  </si>
  <si>
    <t>E04D43 (2/2)</t>
  </si>
  <si>
    <t>E05D11 (1/2), E05D11 (2/2)</t>
  </si>
  <si>
    <t>E05D12 (1/2), E05D12 (2/2)</t>
  </si>
  <si>
    <t>E05D13 (1/2), E05D13 (2/2)</t>
  </si>
  <si>
    <t>E05D14 (1/2), E05D14 (2/2)</t>
  </si>
  <si>
    <t>E05D21 (1/2), E05D21 (2/2)</t>
  </si>
  <si>
    <t>E05D22 (1/2), E05D22 (2/2)</t>
  </si>
  <si>
    <t>E05D23 (1/2), E05D23 (2/2)</t>
  </si>
  <si>
    <t>E05D24 (1/2), E05D24 (2/2)</t>
  </si>
  <si>
    <t>E05D31 (1/2), E05D31 (2/2)</t>
  </si>
  <si>
    <t>E05D32 (1/2), E05D32 (2/2)</t>
  </si>
  <si>
    <t>E05D33 (1/2), E05D33 (2/2)</t>
  </si>
  <si>
    <t>E05D34 (1/2), E05D34 (2/2)</t>
  </si>
  <si>
    <t>E05D41 (1/2), E05D41 (2/2)</t>
  </si>
  <si>
    <t>E05D42 (1/2), E05D42 (2/2)</t>
  </si>
  <si>
    <t>E05D43 (1/2), E05D43 (2/2)</t>
  </si>
  <si>
    <t>E05D44 (1/2), E05D44 (2/2)</t>
  </si>
  <si>
    <t>E02D11 (1/2), E02D11 (2/2)</t>
  </si>
  <si>
    <t>E02D12 (1/2), E02D12 (2/2)</t>
  </si>
  <si>
    <t>E02D13 (1/2), E02D13 (2/2)</t>
  </si>
  <si>
    <t>E02D14 (1/2), E02D14 (2/2)</t>
  </si>
  <si>
    <t>E02D21 (1/2), E02D21 (2/2)</t>
  </si>
  <si>
    <t>E02D22 (1/2), E02D22 (2/2)</t>
  </si>
  <si>
    <t>E02D23 (1/2), E02D23 (2/2)</t>
  </si>
  <si>
    <t>E02D24 (1/2), E02D24 (2/2)</t>
  </si>
  <si>
    <t>E02D31 (1/2), E02D31 (2/2)</t>
  </si>
  <si>
    <t>E02D32 (1/2), E02D32 (2/2)</t>
  </si>
  <si>
    <t>E02D33 (1/2), E02D33 (2/2)</t>
  </si>
  <si>
    <t>E02D34 (1/2), E02D34 (2/2)</t>
  </si>
  <si>
    <t>E02D41 (1/2), E02D41 (2/2)</t>
  </si>
  <si>
    <t>E02D42 (1/2), E02D42 (2/2)</t>
  </si>
  <si>
    <t>E02D43 (1/2), E02D43 (2/2)</t>
  </si>
  <si>
    <t>E02D44 (1/2), E02D44 (2/2)</t>
  </si>
  <si>
    <t>E03D11 (1/2), E03D11 (2/2)</t>
  </si>
  <si>
    <t>E03D12 (1/2), E03D12 (2/2)</t>
  </si>
  <si>
    <t>E03D13 (1/2), E03D13 (2/2)</t>
  </si>
  <si>
    <t>E03D14 (1/2), E03D14 (2/2)</t>
  </si>
  <si>
    <t>E03D21 (1/2), E03D21 (2/2)</t>
  </si>
  <si>
    <t>E03D22 (1/2), E03D22 (2/2)</t>
  </si>
  <si>
    <t>E03D23 (1/2), E03D23 (2/2)</t>
  </si>
  <si>
    <t>E03D24 (1/2), E03D24 (2/2)</t>
  </si>
  <si>
    <t>E03D31 (1/2), E03D31 (2/2)</t>
  </si>
  <si>
    <t>E03D32 (1/2)</t>
  </si>
  <si>
    <t>E03D32 (2/2)</t>
  </si>
  <si>
    <t>E03D33 (1/2), E03D33 (2/2), E03D34 (1/2)</t>
  </si>
  <si>
    <t>E03D34 (2/2), E03D41 (1/2), E03D41 (2/2)</t>
  </si>
  <si>
    <t>E03D42 (1/2), E03D42 (2/2), E03D43 (1/2)</t>
  </si>
  <si>
    <t>E03D43 (2/2), E03D44 (1/2), E03D44 (2/2)</t>
  </si>
  <si>
    <t>E20D11 (1/2), E20D11 (2/2), E20D12 (1/2)</t>
  </si>
  <si>
    <t>E20D12 (2/2), E20D13 (1/2), E20D13 (2/2)</t>
  </si>
  <si>
    <t>E20D14 (1/2), E20D14 (2/2), E20D21 (1/2)</t>
  </si>
  <si>
    <t>E20D21 (2/2), E20D22 (1/2), E20D22 (2/2)</t>
  </si>
  <si>
    <t>E20D23 (1/2), E20D23 (2/2), E20D24 (1/2)</t>
  </si>
  <si>
    <t>E20D24 (2/2), E20D31 (1/2), E20D31 (2/2)</t>
  </si>
  <si>
    <t>E20D32 (1/2), E20D32 (2/2), E20D33 (1/2)</t>
  </si>
  <si>
    <t>E20D33 (2/2), E20D34 (1/2), E20D34 (2/2)</t>
  </si>
  <si>
    <t>E20D41 (1/2), E20D41 (2/2), E20D42 (1/2)</t>
  </si>
  <si>
    <t>E20D42 (2/2), E20D43 (1/2), E20D43 (2/2)</t>
  </si>
  <si>
    <t>E20D44 (1/2), E20D44 (2/2)</t>
  </si>
  <si>
    <t>E21D11 (1/2), E21D11 (2/2)</t>
  </si>
  <si>
    <t>E21D12 (1/2), E21D12 (2/2)</t>
  </si>
  <si>
    <t>E21D13 (1/2), E21D13 (2/2)</t>
  </si>
  <si>
    <t>E21D14 (1/2), E21D14 (2/2)</t>
  </si>
  <si>
    <t>E21D21 (1/2), E21D21 (2/2)</t>
  </si>
  <si>
    <t>E21D22 (1/2), E21D22 (2/2), E21D23 (1/2)</t>
  </si>
  <si>
    <t>E21D23 (2/2), E21D24 (1/2), E21D24 (2/2)</t>
  </si>
  <si>
    <t>E21D31 (1/2), E21D31 (2/2), E21D32 (1/2)</t>
  </si>
  <si>
    <t>E21D32 (2/2), E21D33 (1/2), E21D33 (2/2)</t>
  </si>
  <si>
    <t>E21D34 (1/2), E21D34 (2/2), E21D41 (1/2)</t>
  </si>
  <si>
    <t>E21D41 (2/2), E21D42 (1/2), E21D42 (2/2)</t>
  </si>
  <si>
    <t>E21D43 (1/2), E21D43 (2/2), E21D44 (1/2)</t>
  </si>
  <si>
    <t>E21D44 (2/2), E22D11 (1/2), E22D11 (2/2)</t>
  </si>
  <si>
    <t>E22D12 (1/2), E22D12 (2/2), E22D13 (1/2)</t>
  </si>
  <si>
    <t>E22D13 (2/2), E22D14 (1/2), E22D14 (2/2)</t>
  </si>
  <si>
    <t>E22D21 (1/2), E22D21 (2/2), E22D22 (1/2)</t>
  </si>
  <si>
    <t>E22D22 (2/2), E22D23 (1/2), E22D23 (2/2)</t>
  </si>
  <si>
    <t>E22D24 (1/2), E22D24 (2/2), E22D31 (1/2)</t>
  </si>
  <si>
    <t>E22D31 (2/2), E22D32 (1/2), E22D32 (2/2)</t>
  </si>
  <si>
    <t>E22D33 (1/2), E22D33 (2/2)</t>
  </si>
  <si>
    <t>E22D34 (1/2), E22D34 (2/2)</t>
  </si>
  <si>
    <t>E22D41 (1/2), E22D41 (2/2)</t>
  </si>
  <si>
    <t>E22D42 (1/2), E22D42 (2/2)</t>
  </si>
  <si>
    <t>E22D43 (1/2), E22D43 (2/2)</t>
  </si>
  <si>
    <t>E22D44 (1/2), E22D44 (2/2)</t>
  </si>
  <si>
    <t>E16D11 (1/2), E16D11 (2/2), E16D12 (1/2)</t>
  </si>
  <si>
    <t>E16D12 (2/2), E16D13 (1/2), E16D13 (2/2)</t>
  </si>
  <si>
    <t>E16D14 (1/2), E16D14 (2/2), E16D21 (1/2)</t>
  </si>
  <si>
    <t>E16D21 (2/2), E16D22 (1/2), E16D22 (2/2)</t>
  </si>
  <si>
    <t>E16D23 (1/2), E16D23 (2/2), E16D24 (1/2)</t>
  </si>
  <si>
    <t>E16D24 (2/2), E16D31 (1/2), E16D31 (2/2)</t>
  </si>
  <si>
    <t>E16D32 (1/2), E16D32 (2/2), E16D33 (1/2)</t>
  </si>
  <si>
    <t>E16D33 (2/2), E16D34 (1/2), E16D34 (2/2)</t>
  </si>
  <si>
    <t>E16D41 (1/2), E16D41 (2/2), E16D42 (1/2)</t>
  </si>
  <si>
    <t>E16D42 (2/2), E16D43 (1/2), E16D43 (2/2)</t>
  </si>
  <si>
    <t>E16D44 (1/2), E16D44 (2/2), E15D11 (1/2)</t>
  </si>
  <si>
    <t>E15D11 (2/2), E15D12 (1/2), E15D12 (2/2)</t>
  </si>
  <si>
    <t>E15D13 (1/2), E15D13 (2/2), E15D14 (1/2)</t>
  </si>
  <si>
    <t>E15D14 (2/2), E15D21 (1/2), E15D21 (2/2)</t>
  </si>
  <si>
    <t>E15D22 (1/2), E15D22 (2/2), E15D23 (1/2)</t>
  </si>
  <si>
    <t>E15D23 (2/2), E15D24 (1/2), E15D24 (2/2)</t>
  </si>
  <si>
    <t>E15D31 (1/2), E15D31 (2/2)</t>
  </si>
  <si>
    <t>E15D32 (1/2), E15D32 (2/2)</t>
  </si>
  <si>
    <t>E15D33 (1/2), E15D33 (2/2)</t>
  </si>
  <si>
    <t>E15D34 (1/2), E15D34 (2/2)</t>
  </si>
  <si>
    <t>E15D41 (1/2), E15D41 (2/2)</t>
  </si>
  <si>
    <t>E15D42 (1/2), E15D42 (2/2)</t>
  </si>
  <si>
    <t>E15D43 (1/2), E15D43 (2/2), E15D44 (1/2)</t>
  </si>
  <si>
    <t>E15D44 (2/2), E14D11 (1/2), E14D11 (2/2)</t>
  </si>
  <si>
    <t>E14D12 (1/2), E14D12 (2/2), E14D13 (1/2)</t>
  </si>
  <si>
    <t>E14D13 (2/2), E14D14 (1/2), E14D14 (2/2)</t>
  </si>
  <si>
    <t>E14D21 (1/2), E14D21 (2/2), E14D22 (1/2)</t>
  </si>
  <si>
    <t>E14D22 (2/2), E14D23 (1/2), E14D23 (2/2)</t>
  </si>
  <si>
    <t>E14D24 (1/2), E14D24 (2/2), E14D31 (1/2)</t>
  </si>
  <si>
    <t>E14D31 (2/2), E14D32 (1/2), E14D32 (2/2)</t>
  </si>
  <si>
    <t>E14D33 (1/2), E14D33 (2/2), E14D34 (1/2)</t>
  </si>
  <si>
    <t>E14D34 (2/2), E14D41 (1/2), E14D41 (2/2)</t>
  </si>
  <si>
    <t>E14D42 (1/2), E14D42 (2/2), E14D43 (1/2)</t>
  </si>
  <si>
    <t>E14D43 (2/2), E14D44 (1/2), E14D44 (2/2)</t>
  </si>
  <si>
    <t>E06D11 (1/2), E06D11 (2/2), E06D12 (1/2)</t>
  </si>
  <si>
    <t>E06D12 (2/2), E06D13 (1/2), E06D13 (2/2)</t>
  </si>
  <si>
    <t>E06D14 (1/2), E06D14 (2/2), E06D21 (1/2)</t>
  </si>
  <si>
    <t>E06D21 (2/2), E06D22 (1/2), E06D22 (2/2)</t>
  </si>
  <si>
    <t>E06D23 (1/2), E06D23 (2/2), E06D24 (1/2)</t>
  </si>
  <si>
    <t>E06D24 (2/2), E06D31 (1/2), E06D31 (2/2)</t>
  </si>
  <si>
    <t>E06D32 (1/2), E06D32 (2/2), E06D33 (1/2)</t>
  </si>
  <si>
    <t>E06D33 (2/2), E06D34 (1/2), E06D34 (2/2)</t>
  </si>
  <si>
    <t>E06D41 (1/2), E06D41 (2/2), E06D42 (1/2)</t>
  </si>
  <si>
    <t>E06D42 (2/2), E06D43 (1/2), E06D43 (2/2)</t>
  </si>
  <si>
    <t>E06D44 (1/2), E06D44 (2/2), E07D11 (1/2)</t>
  </si>
  <si>
    <t>E07D11 (2/2), E07D12 (1/2), E07D12 (2/2)</t>
  </si>
  <si>
    <t>E07D13 (1/2), E07D13 (2/2), E07D14 (1/2)</t>
  </si>
  <si>
    <t>E07D14 (2/2), E07D21 (1/2), E07D21 (2/2)</t>
  </si>
  <si>
    <t>E07D22 (1/2), E07D22 (2/2), E07D23 (1/2)</t>
  </si>
  <si>
    <t>E07D23 (2/2), E07D24 (1/2), E07D24 (2/2)</t>
  </si>
  <si>
    <t>E07D31 (1/2), E07D31 (2/2), E07D32 (1/2)</t>
  </si>
  <si>
    <t>E07D32 (2/2), E07D33 (1/2), E07D33 (2/2)</t>
  </si>
  <si>
    <t>E07D34 (1/2), E07D34 (2/2), E07D41 (1/2)</t>
  </si>
  <si>
    <t>E07D41 (2/2), E07D42 (1/2), E07D42 (2/2)</t>
  </si>
  <si>
    <t>E07D43 (1/2), E07D43 (2/2), E07D44 (1/2)</t>
  </si>
  <si>
    <t>E07D44 (2/2), E08D11 (1/2), E08D11 (2/2)</t>
  </si>
  <si>
    <t>E08D12 (1/2), E08D12 (2/2), E08D13 (1/2)</t>
  </si>
  <si>
    <t>E08D13 (2/2), E08D14 (1/2), E08D14 (2/2)</t>
  </si>
  <si>
    <t>E08D21 (1/2), E08D21 (2/2), E08D22 (1/2)</t>
  </si>
  <si>
    <t>E08D22 (2/2), E08D23 (1/2), E08D23 (2/2)</t>
  </si>
  <si>
    <t>E08D24 (1/2), E08D24 (2/2)</t>
  </si>
  <si>
    <t>E08D31 (1/2), E08D31 (2/2)</t>
  </si>
  <si>
    <t>E08D32 (1/2), E08D32 (2/2)</t>
  </si>
  <si>
    <t>E08D33 (1/2), E08D33 (2/2), E08D34 (1/2)</t>
  </si>
  <si>
    <t>E08D34 (2/2), E08D41 (1/2), E08D41 (2/2)</t>
  </si>
  <si>
    <t>E08D42 (1/2), E08D42 (2/2), E08D43 (1/2)</t>
  </si>
  <si>
    <t>E08D43 (2/2), E08D44 (1/2), E08D44 (2/2)</t>
  </si>
  <si>
    <t>E01D11 (1/2), E01D11 (2/2), E01D12 (1/2)</t>
  </si>
  <si>
    <t>E01D12 (2/2), E01D13 (1/2), E01D13 (2/2)</t>
  </si>
  <si>
    <t>E01D14 (1/2), E01D14 (2/2), E01D21 (1/2)</t>
  </si>
  <si>
    <t>E01D21 (2/2), E01D22 (1/2), E01D22 (2/2)</t>
  </si>
  <si>
    <t>E01D23 (1/2), E01D23 (2/2), E01D24 (1/2)</t>
  </si>
  <si>
    <t>E01D24 (2/2), E01D31 (1/2), E01D31 (2/2)</t>
  </si>
  <si>
    <t>E01D32 (1/2), E01D32 (2/2), E01D33 (1/2)</t>
  </si>
  <si>
    <t>E01D33 (2/2), E01D34 (1/2), E01D34 (2/2)</t>
  </si>
  <si>
    <t>E01D41 (1/2), E01D41 (2/2), E01D42 (1/2)</t>
  </si>
  <si>
    <t>E01D42 (2/2), E01D43 (1/2), E01D43 (2/2)</t>
  </si>
  <si>
    <t>E01D44 (1/2), E01D44 (2/2), E09D11 (1/2)</t>
  </si>
  <si>
    <t>E09D11 (2/2), E09D12 (1/2), E09D12 (2/2)</t>
  </si>
  <si>
    <t>E09D13 (1/2), E09D13 (2/2), E09D14 (1/2)</t>
  </si>
  <si>
    <t>E09D14 (2/2), E09D21 (1/2), E09D21 (2/2)</t>
  </si>
  <si>
    <t>E09D22 (1/2), E09D22 (2/2)</t>
  </si>
  <si>
    <t>E09D23 (1/2), E09D23 (2/2)</t>
  </si>
  <si>
    <t>E09D24 (1/2), E09D24 (2/2)</t>
  </si>
  <si>
    <t>E09D31 (1/2), E09D31 (2/2), E09D32 (1/2)</t>
  </si>
  <si>
    <t>E09D32 (2/2), E09D33 (1/2), E09D33 (2/2)</t>
  </si>
  <si>
    <t>E09D34 (1/2), E09D34 (2/2), E09D41 (1/2)</t>
  </si>
  <si>
    <t>E09D41 (2/2), E09D42 (1/2), E09D42 (2/2)</t>
  </si>
  <si>
    <t>E09D43 (1/2), E09D43 (2/2), E09D44 (1/2)</t>
  </si>
  <si>
    <t>E09D44 (2/2), E10D11 (1/2), E10D11 (2/2)</t>
  </si>
  <si>
    <t>E10D12 (1/2), E10D12 (2/2), E10D13 (1/2)</t>
  </si>
  <si>
    <t>E10D13 (2/2), E10D14 (1/2), E10D14 (2/2)</t>
  </si>
  <si>
    <t>E10D21 (1/2), E10D21 (2/2), E10D22 (1/2)</t>
  </si>
  <si>
    <t>E10D22 (2/2), E10D23 (1/2), E10D23 (2/2)</t>
  </si>
  <si>
    <t>E10D24 (1/2), E10D24 (2/2), E10D31 (1/2)</t>
  </si>
  <si>
    <t>E10D31 (2/2), E10D32 (1/2), E10D32 (2/2)</t>
  </si>
  <si>
    <t>E10D33 (1/2), E10D33 (2/2), E10D34 (1/2)</t>
  </si>
  <si>
    <t>E10D34 (2/2), E10D41 (1/2), E10D41 (2/2)</t>
  </si>
  <si>
    <t>E10D42 (1/2), E10D42 (2/2), E10D43 (1/2)</t>
  </si>
  <si>
    <t>E10D43 (2/2), E10D44 (1/2), E10D44 (2/2)</t>
  </si>
  <si>
    <t>E11D11 (1/2), E11D11 (2/2), E11D12 (1/2)</t>
  </si>
  <si>
    <t>E11D12 (2/2), E11D13 (1/2), E11D13 (2/2)</t>
  </si>
  <si>
    <t>E11D14 (1/2), E11D14 (2/2), E11D21 (1/2)</t>
  </si>
  <si>
    <t>E11D21 (2/2), E11D22 (1/2), E11D22 (2/2)</t>
  </si>
  <si>
    <t>E11D23 (1/2), E11D23 (2/2), E11D24 (1/2)</t>
  </si>
  <si>
    <t>E11D24 (2/2), E11D31 (1/2), E11D31 (2/2)</t>
  </si>
  <si>
    <t>E11D32 (1/2), E11D32 (2/2), E11D33 (1/2)</t>
  </si>
  <si>
    <t>E11D33 (2/2), E11D34 (1/2), E11D34 (2/2)</t>
  </si>
  <si>
    <t>E11D41 (1/2), E11D41 (2/2), E11D42 (1/2)</t>
  </si>
  <si>
    <t>E11D42 (2/2), E11D43 (1/2), E11D43 (2/2)</t>
  </si>
  <si>
    <t>E11D44 (1/2), E11D44 (2/2), E12D11 (1/2)</t>
  </si>
  <si>
    <t>E12D11 (2/2), E12D12 (1/2), E12D12 (2/2)</t>
  </si>
  <si>
    <t>E12D13 (1/2), E12D13 (2/2), E12D14 (1/2)</t>
  </si>
  <si>
    <t>E12D14 (2/2), E12D21 (1/2), E12D21 (2/2)</t>
  </si>
  <si>
    <t>E12D22 (1/2), E12D22 (2/2), E12D23 (1/2)</t>
  </si>
  <si>
    <t>E12D23 (2/2), E12D24 (1/2), E12D24 (2/2)</t>
  </si>
  <si>
    <t>E12D31 (1/2), E12D31 (2/2), E12D32 (1/2)</t>
  </si>
  <si>
    <t>E12D32 (2/2), E12D33 (1/2), E12D33 (2/2)</t>
  </si>
  <si>
    <t>E12D34 (1/2), E12D34 (2/2), E12D41 (1/2)</t>
  </si>
  <si>
    <t>E12D41 (2/2), E12D42 (1/2), E12D42 (2/2)</t>
  </si>
  <si>
    <t>E12D43 (1/2), E12D43 (2/2)</t>
  </si>
  <si>
    <t>E12D44 (1/2), E12D44 (2/2)</t>
  </si>
  <si>
    <t>E19D11 (1/2), E19D11 (2/2)</t>
  </si>
  <si>
    <t>E19D12 (1/2), E19D12 (2/2)</t>
  </si>
  <si>
    <t>E19D13 (1/2), E19D13 (2/2)</t>
  </si>
  <si>
    <t>E19D14 (1/2), E19D14 (2/2)</t>
  </si>
  <si>
    <t>E19D21 (1/2), E19D21 (2/2), E19D22 (1/2)</t>
  </si>
  <si>
    <t>E19D22 (2/2), E19D23 (1/2), E19D23 (2/2)</t>
  </si>
  <si>
    <t>E19D24 (1/2), E19D24 (2/2), E19D31 (1/2)</t>
  </si>
  <si>
    <t>E19D31 (2/2), E19D32 (1/2), E19D32 (2/2)</t>
  </si>
  <si>
    <t>E19D33 (1/2), E19D33 (2/2), E19D34 (1/2)</t>
  </si>
  <si>
    <t>E19D34 (2/2), E19D41 (1/2), E19D41 (2/2)</t>
  </si>
  <si>
    <t>E19D42 (1/2), E19D42 (2/2), E19D43 (1/2)</t>
  </si>
  <si>
    <t>E19D43 (2/2), E19D44 (1/2), E19D44 (2/2)</t>
  </si>
  <si>
    <t>E18D11 (1/2), E18D11 (2/2), E18D12 (1/2)</t>
  </si>
  <si>
    <t>E18D12 (2/2), E18D13 (1/2), E18D13 (2/2)</t>
  </si>
  <si>
    <t>E18D14 (1/2), E18D14 (2/2), E18D21 (1/2)</t>
  </si>
  <si>
    <t>E18D21 (2/2), E18D22 (1/2), E18D22 (2/2)</t>
  </si>
  <si>
    <t>E18D23 (1/2), E18D23 (2/2), E18D24 (1/2)</t>
  </si>
  <si>
    <t>E18D24 (2/2), E18D31 (1/2), E18D31 (2/2)</t>
  </si>
  <si>
    <t>E18D32 (1/2), E18D32 (2/2), E18D33 (1/2)</t>
  </si>
  <si>
    <t>E18D33 (2/2), E18D34 (1/2), E18D34 (2/2)</t>
  </si>
  <si>
    <t>E18D41 (1/2), E18D41 (2/2), E18D42 (1/2)</t>
  </si>
  <si>
    <t>E18D42 (2/2), E18D43 (1/2), E18D43 (2/2)</t>
  </si>
  <si>
    <t>E18D44 (1/2), E18D44 (2/2)</t>
  </si>
  <si>
    <t>E17D11 (1/2), E17D11 (2/2)</t>
  </si>
  <si>
    <t>E17D12 (1/2), E17D12 (2/2)</t>
  </si>
  <si>
    <t>MAYO_2</t>
  </si>
  <si>
    <t>E17D13 (1/2), E17D13 (2/2), E17D14 (1/2)</t>
  </si>
  <si>
    <t>E17D14 (2/2), E17D21 (1/2), E17D21 (2/2)</t>
  </si>
  <si>
    <t>E17D22 (1/2), E17D22 (2/2), E17D23 (1/2)</t>
  </si>
  <si>
    <t>E17D23 (2/2), E17D24 (1/2), E17D24 (2/2)</t>
  </si>
  <si>
    <t>E17D31 (1/2), E17D31 (2/2), E17D32 (1/2)</t>
  </si>
  <si>
    <t>E17D32 (2/2), E17D33 (1/2), E17D33 (2/2)</t>
  </si>
  <si>
    <t>E17D34 (1/2), E17D34 (2/2), E17D41 (1/2)</t>
  </si>
  <si>
    <t>E17D41 (2/2), E17D42 (1/2), E17D42 (2/2)</t>
  </si>
  <si>
    <t>E17D43 (1/2), E17D43 (2/2), E17D44 (1/2)</t>
  </si>
  <si>
    <t>E17D44 (2/2), E13D11 (1/2), E13D11 (2/2)</t>
  </si>
  <si>
    <t>E13D12 (1/2), E13D12 (2/2), E13D13 (1/2)</t>
  </si>
  <si>
    <t>E13D13 (2/2), E13D14 (1/2), E13D14 (2/2)</t>
  </si>
  <si>
    <t>E13D21 (1/2), E13D21 (2/2), E13D22 (1/2)</t>
  </si>
  <si>
    <t>E13D22 (2/2), E13D23 (1/2), E13D23 (2/2)</t>
  </si>
  <si>
    <t>E13D24 (1/2), E13D24 (2/2), E13D31 (1/2)</t>
  </si>
  <si>
    <t>E13D31 (2/2), E13D32 (1/2), E13D32 (2/2)</t>
  </si>
  <si>
    <t>E13D33 (1/2), E13D33 (2/2), E13D34 (1/2)</t>
  </si>
  <si>
    <t>E13D34 (2/2), E13D41 (1/2), E13D41 (2/2)</t>
  </si>
  <si>
    <t>E13D42 (1/2), E13D42 (2/2), E13D43 (1/2)</t>
  </si>
  <si>
    <t>E13D43 (2/2), E13D44 (1/2), E13D44 (2/2)</t>
  </si>
  <si>
    <t>ACUMULADO</t>
  </si>
  <si>
    <t>PASTA RETAPE SIENA WET-PROOF</t>
  </si>
  <si>
    <t>CLAVO HELICOIDAL GALVANIZADO 3,1 X65 MM JUMBO (3900 X CAJA)</t>
  </si>
  <si>
    <t>PINO 2X4X2,44</t>
  </si>
  <si>
    <t>PAPEL KRAFT</t>
  </si>
  <si>
    <t>SELLO CERA ANTUFUGA WC CODIGO: SC0015550001CF (FANALOZA)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</si>
</sst>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5" formatCode="&quot;$&quot;#,##0;&quot;$&quot;\-#,##0"/>
    <numFmt numFmtId="42" formatCode="_ &quot;$&quot;* #,##0_ ;_ &quot;$&quot;* \-#,##0_ ;_ &quot;$&quot;* &quot;-&quot;_ ;_ @_ "/>
    <numFmt numFmtId="41" formatCode="_ * #,##0_ ;_ * \-#,##0_ ;_ * &quot;-&quot;_ ;_ @_ "/>
    <numFmt numFmtId="164" formatCode="&quot;$&quot;#,##0;\-&quot;$&quot;#,##0"/>
    <numFmt numFmtId="165" formatCode="_-&quot;$&quot;* #,##0.00_-;\-&quot;$&quot;* #,##0.00_-;_-&quot;$&quot;* &quot;-&quot;??_-;_-@_-"/>
    <numFmt numFmtId="166" formatCode="_-* #,##0.00_-;\-* #,##0.00_-;_-* &quot;-&quot;??_-;_-@_-"/>
    <numFmt numFmtId="167" formatCode="_-&quot;$&quot;* #,##0_-;\-&quot;$&quot;* #,##0_-;_-&quot;$&quot;* &quot;-&quot;??_-;_-@_-"/>
    <numFmt numFmtId="168" formatCode="_-* #,##0_-;\-* #,##0_-;_-* &quot;-&quot;??_-;_-@_-"/>
    <numFmt numFmtId="169" formatCode="_-* #,##0.000_-;\-* #,##0.000_-;_-* &quot;-&quot;??_-;_-@_-"/>
    <numFmt numFmtId="170" formatCode="&quot;$&quot;#,##0"/>
    <numFmt numFmtId="171" formatCode="#,##0_ ;\-#,##0\ "/>
    <numFmt numFmtId="172" formatCode="_-* #,##0.0_-;\-* #,##0.0_-;_-* &quot;-&quot;??_-;_-@_-"/>
    <numFmt numFmtId="173" formatCode="0.0%"/>
    <numFmt numFmtId="174" formatCode="_ * #,##0.00_ ;_ * \-#,##0.00_ ;_ * &quot;-&quot;_ ;_ @_ "/>
    <numFmt numFmtId="175" formatCode="#,##0.00_ ;\-#,##0.00\ "/>
  </numFmts>
  <fonts count="1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22"/>
      <color theme="9"/>
      <name val="Aptos Narrow"/>
      <family val="2"/>
      <scheme val="minor"/>
    </font>
    <font>
      <b/>
      <sz val="11"/>
      <color theme="2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28"/>
      <color theme="9"/>
      <name val="Aptos Narrow"/>
      <family val="2"/>
      <scheme val="minor"/>
    </font>
    <font>
      <sz val="28"/>
      <color theme="1"/>
      <name val="Aptos Narrow"/>
      <family val="2"/>
      <scheme val="minor"/>
    </font>
    <font>
      <sz val="11"/>
      <color theme="9"/>
      <name val="Aptos Narrow"/>
      <family val="2"/>
      <scheme val="minor"/>
    </font>
    <font>
      <sz val="11"/>
      <color rgb="FFC00000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2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ck">
        <color theme="1"/>
      </left>
      <right/>
      <top/>
      <bottom/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2" fontId="1" fillId="0" borderId="0" applyFont="0" applyFill="0" applyBorder="0" applyAlignment="0" applyProtection="0"/>
  </cellStyleXfs>
  <cellXfs count="87">
    <xf numFmtId="0" fontId="0" fillId="0" borderId="0" xfId="0"/>
    <xf numFmtId="14" fontId="0" fillId="0" borderId="0" xfId="0" applyNumberFormat="1"/>
    <xf numFmtId="167" fontId="0" fillId="0" borderId="0" xfId="1" applyNumberFormat="1" applyFont="1"/>
    <xf numFmtId="168" fontId="0" fillId="0" borderId="0" xfId="2" applyNumberFormat="1" applyFont="1"/>
    <xf numFmtId="9" fontId="0" fillId="0" borderId="0" xfId="3" applyFont="1"/>
    <xf numFmtId="167" fontId="0" fillId="0" borderId="0" xfId="0" applyNumberFormat="1"/>
    <xf numFmtId="165" fontId="0" fillId="0" borderId="0" xfId="1" applyFont="1"/>
    <xf numFmtId="10" fontId="0" fillId="0" borderId="0" xfId="3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4" fontId="0" fillId="0" borderId="0" xfId="0" applyNumberFormat="1"/>
    <xf numFmtId="9" fontId="0" fillId="0" borderId="0" xfId="0" applyNumberFormat="1"/>
    <xf numFmtId="10" fontId="0" fillId="0" borderId="0" xfId="0" applyNumberFormat="1"/>
    <xf numFmtId="168" fontId="0" fillId="0" borderId="0" xfId="0" applyNumberFormat="1"/>
    <xf numFmtId="169" fontId="0" fillId="0" borderId="0" xfId="2" applyNumberFormat="1" applyFont="1"/>
    <xf numFmtId="169" fontId="0" fillId="0" borderId="0" xfId="1" applyNumberFormat="1" applyFont="1"/>
    <xf numFmtId="10" fontId="0" fillId="0" borderId="0" xfId="2" applyNumberFormat="1" applyFont="1"/>
    <xf numFmtId="0" fontId="3" fillId="2" borderId="1" xfId="0" applyFont="1" applyFill="1" applyBorder="1"/>
    <xf numFmtId="0" fontId="3" fillId="2" borderId="0" xfId="0" applyFont="1" applyFill="1"/>
    <xf numFmtId="10" fontId="4" fillId="0" borderId="0" xfId="0" applyNumberFormat="1" applyFont="1"/>
    <xf numFmtId="10" fontId="4" fillId="0" borderId="0" xfId="3" applyNumberFormat="1" applyFont="1"/>
    <xf numFmtId="9" fontId="4" fillId="0" borderId="0" xfId="0" applyNumberFormat="1" applyFont="1"/>
    <xf numFmtId="0" fontId="4" fillId="0" borderId="0" xfId="0" applyFont="1"/>
    <xf numFmtId="1" fontId="0" fillId="0" borderId="0" xfId="0" applyNumberFormat="1"/>
    <xf numFmtId="170" fontId="0" fillId="0" borderId="0" xfId="0" applyNumberFormat="1"/>
    <xf numFmtId="166" fontId="0" fillId="0" borderId="0" xfId="2" applyFont="1"/>
    <xf numFmtId="0" fontId="0" fillId="3" borderId="0" xfId="0" applyFill="1"/>
    <xf numFmtId="167" fontId="0" fillId="3" borderId="0" xfId="1" applyNumberFormat="1" applyFont="1" applyFill="1"/>
    <xf numFmtId="168" fontId="0" fillId="3" borderId="0" xfId="2" applyNumberFormat="1" applyFont="1" applyFill="1"/>
    <xf numFmtId="10" fontId="0" fillId="3" borderId="0" xfId="3" applyNumberFormat="1" applyFont="1" applyFill="1"/>
    <xf numFmtId="10" fontId="0" fillId="3" borderId="0" xfId="2" applyNumberFormat="1" applyFont="1" applyFill="1"/>
    <xf numFmtId="165" fontId="0" fillId="3" borderId="0" xfId="1" applyFont="1" applyFill="1"/>
    <xf numFmtId="169" fontId="0" fillId="3" borderId="0" xfId="2" applyNumberFormat="1" applyFont="1" applyFill="1"/>
    <xf numFmtId="37" fontId="0" fillId="0" borderId="0" xfId="0" applyNumberFormat="1"/>
    <xf numFmtId="171" fontId="0" fillId="0" borderId="0" xfId="0" applyNumberFormat="1"/>
    <xf numFmtId="3" fontId="0" fillId="0" borderId="0" xfId="0" applyNumberFormat="1"/>
    <xf numFmtId="0" fontId="6" fillId="4" borderId="0" xfId="0" applyFont="1" applyFill="1"/>
    <xf numFmtId="0" fontId="0" fillId="0" borderId="0" xfId="2" applyNumberFormat="1" applyFont="1"/>
    <xf numFmtId="14" fontId="0" fillId="0" borderId="0" xfId="0" applyNumberFormat="1" applyAlignment="1">
      <alignment horizontal="left"/>
    </xf>
    <xf numFmtId="172" fontId="0" fillId="0" borderId="0" xfId="2" applyNumberFormat="1" applyFont="1"/>
    <xf numFmtId="0" fontId="7" fillId="0" borderId="0" xfId="0" applyFont="1"/>
    <xf numFmtId="41" fontId="0" fillId="0" borderId="0" xfId="4" applyFont="1"/>
    <xf numFmtId="14" fontId="8" fillId="0" borderId="0" xfId="0" applyNumberFormat="1" applyFont="1" applyAlignment="1">
      <alignment vertical="center" wrapText="1"/>
    </xf>
    <xf numFmtId="0" fontId="0" fillId="0" borderId="2" xfId="0" applyBorder="1"/>
    <xf numFmtId="0" fontId="11" fillId="0" borderId="2" xfId="0" applyFont="1" applyBorder="1"/>
    <xf numFmtId="0" fontId="11" fillId="0" borderId="0" xfId="0" applyFont="1"/>
    <xf numFmtId="5" fontId="0" fillId="0" borderId="0" xfId="0" applyNumberFormat="1"/>
    <xf numFmtId="42" fontId="0" fillId="0" borderId="0" xfId="5" applyFont="1"/>
    <xf numFmtId="42" fontId="0" fillId="0" borderId="0" xfId="0" applyNumberFormat="1"/>
    <xf numFmtId="49" fontId="0" fillId="0" borderId="0" xfId="0" applyNumberFormat="1"/>
    <xf numFmtId="173" fontId="0" fillId="0" borderId="0" xfId="0" applyNumberFormat="1"/>
    <xf numFmtId="0" fontId="1" fillId="0" borderId="0" xfId="0" applyFont="1"/>
    <xf numFmtId="0" fontId="0" fillId="5" borderId="0" xfId="0" applyFill="1"/>
    <xf numFmtId="0" fontId="4" fillId="5" borderId="0" xfId="0" applyFont="1" applyFill="1"/>
    <xf numFmtId="10" fontId="4" fillId="5" borderId="0" xfId="3" applyNumberFormat="1" applyFont="1" applyFill="1"/>
    <xf numFmtId="10" fontId="4" fillId="5" borderId="0" xfId="0" applyNumberFormat="1" applyFont="1" applyFill="1"/>
    <xf numFmtId="9" fontId="4" fillId="5" borderId="0" xfId="0" applyNumberFormat="1" applyFont="1" applyFill="1"/>
    <xf numFmtId="10" fontId="12" fillId="0" borderId="0" xfId="0" applyNumberFormat="1" applyFont="1"/>
    <xf numFmtId="10" fontId="12" fillId="0" borderId="0" xfId="3" applyNumberFormat="1" applyFont="1"/>
    <xf numFmtId="9" fontId="12" fillId="0" borderId="0" xfId="0" applyNumberFormat="1" applyFont="1"/>
    <xf numFmtId="0" fontId="12" fillId="0" borderId="0" xfId="0" applyFont="1"/>
    <xf numFmtId="0" fontId="0" fillId="0" borderId="0" xfId="0" applyAlignment="1">
      <alignment horizontal="center" vertical="center" wrapText="1"/>
    </xf>
    <xf numFmtId="10" fontId="0" fillId="0" borderId="0" xfId="3" applyNumberFormat="1" applyFont="1" applyAlignment="1">
      <alignment horizontal="center" vertical="center" wrapText="1"/>
    </xf>
    <xf numFmtId="41" fontId="0" fillId="0" borderId="0" xfId="4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174" fontId="0" fillId="0" borderId="0" xfId="4" applyNumberFormat="1" applyFont="1"/>
    <xf numFmtId="174" fontId="14" fillId="6" borderId="0" xfId="0" applyNumberFormat="1" applyFont="1" applyFill="1"/>
    <xf numFmtId="174" fontId="15" fillId="7" borderId="0" xfId="0" applyNumberFormat="1" applyFont="1" applyFill="1"/>
    <xf numFmtId="174" fontId="0" fillId="8" borderId="0" xfId="0" applyNumberFormat="1" applyFill="1"/>
    <xf numFmtId="174" fontId="0" fillId="7" borderId="0" xfId="0" applyNumberFormat="1" applyFill="1"/>
    <xf numFmtId="39" fontId="0" fillId="0" borderId="0" xfId="0" applyNumberFormat="1"/>
    <xf numFmtId="175" fontId="0" fillId="0" borderId="0" xfId="0" applyNumberFormat="1"/>
    <xf numFmtId="10" fontId="16" fillId="0" borderId="0" xfId="3" applyNumberFormat="1" applyFont="1"/>
    <xf numFmtId="174" fontId="13" fillId="6" borderId="0" xfId="0" applyNumberFormat="1" applyFont="1" applyFill="1"/>
    <xf numFmtId="4" fontId="0" fillId="0" borderId="0" xfId="0" applyNumberFormat="1"/>
    <xf numFmtId="166" fontId="0" fillId="0" borderId="0" xfId="0" applyNumberFormat="1"/>
    <xf numFmtId="0" fontId="9" fillId="0" borderId="0" xfId="0" applyFont="1" applyAlignment="1">
      <alignment horizontal="center" vertical="center" wrapText="1"/>
    </xf>
    <xf numFmtId="14" fontId="10" fillId="0" borderId="0" xfId="0" applyNumberFormat="1" applyFont="1" applyAlignment="1">
      <alignment horizontal="center" vertical="center" wrapText="1"/>
    </xf>
    <xf numFmtId="167" fontId="5" fillId="0" borderId="0" xfId="1" applyNumberFormat="1" applyFont="1" applyAlignment="1">
      <alignment horizontal="center" vertical="center" wrapText="1"/>
    </xf>
    <xf numFmtId="0" fontId="5" fillId="0" borderId="0" xfId="0" applyFont="1" applyAlignment="1">
      <alignment horizontal="right" vertical="center" wrapText="1"/>
    </xf>
    <xf numFmtId="0" fontId="0" fillId="0" borderId="0" xfId="0" applyNumberFormat="1"/>
    <xf numFmtId="0" fontId="0" fillId="0" borderId="0" xfId="0" applyFill="1"/>
    <xf numFmtId="0" fontId="0" fillId="0" borderId="0" xfId="0" applyFill="1" applyAlignment="1">
      <alignment horizontal="left"/>
    </xf>
    <xf numFmtId="9" fontId="0" fillId="0" borderId="0" xfId="0" applyNumberFormat="1" applyFill="1"/>
    <xf numFmtId="167" fontId="0" fillId="0" borderId="0" xfId="0" applyNumberFormat="1" applyFill="1"/>
    <xf numFmtId="9" fontId="0" fillId="0" borderId="0" xfId="3" applyNumberFormat="1" applyFont="1"/>
  </cellXfs>
  <cellStyles count="6">
    <cellStyle name="Millares" xfId="2" builtinId="3"/>
    <cellStyle name="Millares [0]" xfId="4" builtinId="6"/>
    <cellStyle name="Moneda" xfId="1" builtinId="4"/>
    <cellStyle name="Moneda [0]" xfId="5" builtinId="7"/>
    <cellStyle name="Normal" xfId="0" builtinId="0"/>
    <cellStyle name="Porcentaje" xfId="3" builtinId="5"/>
  </cellStyles>
  <dxfs count="251">
    <dxf>
      <numFmt numFmtId="174" formatCode="_ * #,##0.00_ ;_ * \-#,##0.00_ ;_ * &quot;-&quot;_ ;_ @_ "/>
      <fill>
        <patternFill patternType="solid">
          <fgColor indexed="64"/>
          <bgColor rgb="FFFFFFFF"/>
        </patternFill>
      </fill>
    </dxf>
    <dxf>
      <numFmt numFmtId="174" formatCode="_ * #,##0.00_ ;_ * \-#,##0.00_ ;_ * &quot;-&quot;_ ;_ @_ "/>
      <fill>
        <patternFill patternType="solid">
          <fgColor indexed="64"/>
          <bgColor rgb="FFDAF2D0"/>
        </patternFill>
      </fill>
    </dxf>
    <dxf>
      <numFmt numFmtId="14" formatCode="0.00%"/>
    </dxf>
    <dxf>
      <numFmt numFmtId="174" formatCode="_ * #,##0.00_ ;_ * \-#,##0.00_ ;_ * &quot;-&quot;_ ;_ @_ "/>
    </dxf>
    <dxf>
      <numFmt numFmtId="174" formatCode="_ * #,##0.00_ ;_ * \-#,##0.00_ ;_ * &quot;-&quot;_ ;_ @_ "/>
    </dxf>
    <dxf>
      <numFmt numFmtId="14" formatCode="0.00%"/>
    </dxf>
    <dxf>
      <numFmt numFmtId="14" formatCode="0.00%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3" formatCode="0%"/>
    </dxf>
    <dxf>
      <numFmt numFmtId="13" formatCode="0%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72" formatCode="_-* #,##0.0_-;\-* #,##0.0_-;_-* &quot;-&quot;??_-;_-@_-"/>
    </dxf>
    <dxf>
      <numFmt numFmtId="0" formatCode="General"/>
    </dxf>
    <dxf>
      <numFmt numFmtId="166" formatCode="_-* #,##0.00_-;\-* #,##0.0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9" formatCode="_-* #,##0.000_-;\-* #,##0.000_-;_-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_-&quot;$&quot;* #,##0_-;\-&quot;$&quot;* #,##0_-;_-&quot;$&quot;* &quot;-&quot;??_-;_-@_-"/>
    </dxf>
    <dxf>
      <numFmt numFmtId="14" formatCode="0.00%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B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microsoft.com/office/2007/relationships/slicerCache" Target="slicerCaches/slicerCache1.xml"/><Relationship Id="rId21" Type="http://schemas.openxmlformats.org/officeDocument/2006/relationships/pivotCacheDefinition" Target="pivotCache/pivotCacheDefinition3.xml"/><Relationship Id="rId34" Type="http://schemas.microsoft.com/office/2007/relationships/slicerCache" Target="slicerCaches/slicerCache9.xml"/><Relationship Id="rId42" Type="http://schemas.openxmlformats.org/officeDocument/2006/relationships/styles" Target="styles.xml"/><Relationship Id="rId47" Type="http://schemas.openxmlformats.org/officeDocument/2006/relationships/customXml" Target="../customXml/item3.xml"/><Relationship Id="rId50" Type="http://schemas.openxmlformats.org/officeDocument/2006/relationships/customXml" Target="../customXml/item6.xml"/><Relationship Id="rId55" Type="http://schemas.openxmlformats.org/officeDocument/2006/relationships/customXml" Target="../customXml/item11.xml"/><Relationship Id="rId63" Type="http://schemas.openxmlformats.org/officeDocument/2006/relationships/customXml" Target="../customXml/item19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microsoft.com/office/2007/relationships/slicerCache" Target="slicerCaches/slicerCache4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6.xml"/><Relationship Id="rId32" Type="http://schemas.microsoft.com/office/2007/relationships/slicerCache" Target="slicerCaches/slicerCache7.xml"/><Relationship Id="rId37" Type="http://schemas.microsoft.com/office/2007/relationships/slicerCache" Target="slicerCaches/slicerCache12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3" Type="http://schemas.openxmlformats.org/officeDocument/2006/relationships/customXml" Target="../customXml/item9.xml"/><Relationship Id="rId58" Type="http://schemas.openxmlformats.org/officeDocument/2006/relationships/customXml" Target="../customXml/item14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customXml" Target="../customXml/item17.xml"/><Relationship Id="rId19" Type="http://schemas.openxmlformats.org/officeDocument/2006/relationships/pivotCacheDefinition" Target="pivotCache/pivotCacheDefinition1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4.xml"/><Relationship Id="rId27" Type="http://schemas.microsoft.com/office/2007/relationships/slicerCache" Target="slicerCaches/slicerCache2.xml"/><Relationship Id="rId30" Type="http://schemas.microsoft.com/office/2007/relationships/slicerCache" Target="slicerCaches/slicerCache5.xml"/><Relationship Id="rId35" Type="http://schemas.microsoft.com/office/2007/relationships/slicerCache" Target="slicerCaches/slicerCache10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4.xml"/><Relationship Id="rId56" Type="http://schemas.openxmlformats.org/officeDocument/2006/relationships/customXml" Target="../customXml/item12.xml"/><Relationship Id="rId64" Type="http://schemas.openxmlformats.org/officeDocument/2006/relationships/customXml" Target="../customXml/item20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7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7.xml"/><Relationship Id="rId33" Type="http://schemas.microsoft.com/office/2007/relationships/slicerCache" Target="slicerCaches/slicerCache8.xml"/><Relationship Id="rId38" Type="http://schemas.microsoft.com/office/2007/relationships/slicerCache" Target="slicerCaches/slicerCache13.xml"/><Relationship Id="rId46" Type="http://schemas.openxmlformats.org/officeDocument/2006/relationships/customXml" Target="../customXml/item2.xml"/><Relationship Id="rId59" Type="http://schemas.openxmlformats.org/officeDocument/2006/relationships/customXml" Target="../customXml/item15.xml"/><Relationship Id="rId20" Type="http://schemas.openxmlformats.org/officeDocument/2006/relationships/pivotCacheDefinition" Target="pivotCache/pivotCacheDefinition2.xml"/><Relationship Id="rId41" Type="http://schemas.openxmlformats.org/officeDocument/2006/relationships/connections" Target="connections.xml"/><Relationship Id="rId54" Type="http://schemas.openxmlformats.org/officeDocument/2006/relationships/customXml" Target="../customXml/item10.xml"/><Relationship Id="rId62" Type="http://schemas.openxmlformats.org/officeDocument/2006/relationships/customXml" Target="../customXml/item1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5.xml"/><Relationship Id="rId28" Type="http://schemas.microsoft.com/office/2007/relationships/slicerCache" Target="slicerCaches/slicerCache3.xml"/><Relationship Id="rId36" Type="http://schemas.microsoft.com/office/2007/relationships/slicerCache" Target="slicerCaches/slicerCache11.xml"/><Relationship Id="rId49" Type="http://schemas.openxmlformats.org/officeDocument/2006/relationships/customXml" Target="../customXml/item5.xml"/><Relationship Id="rId57" Type="http://schemas.openxmlformats.org/officeDocument/2006/relationships/customXml" Target="../customXml/item13.xml"/><Relationship Id="rId10" Type="http://schemas.openxmlformats.org/officeDocument/2006/relationships/worksheet" Target="worksheets/sheet10.xml"/><Relationship Id="rId31" Type="http://schemas.microsoft.com/office/2007/relationships/slicerCache" Target="slicerCaches/slicerCache6.xml"/><Relationship Id="rId44" Type="http://schemas.openxmlformats.org/officeDocument/2006/relationships/calcChain" Target="calcChain.xml"/><Relationship Id="rId52" Type="http://schemas.openxmlformats.org/officeDocument/2006/relationships/customXml" Target="../customXml/item8.xml"/><Relationship Id="rId60" Type="http://schemas.openxmlformats.org/officeDocument/2006/relationships/customXml" Target="../customXml/item16.xml"/><Relationship Id="rId65" Type="http://schemas.openxmlformats.org/officeDocument/2006/relationships/customXml" Target="../customXml/item2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microsoft.com/office/2011/relationships/timelineCache" Target="timelineCaches/timelineCach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407-4363-904F-CDCA90E19CE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1407-4363-904F-CDCA90E19CEA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407-4363-904F-CDCA90E19CEA}"/>
              </c:ext>
            </c:extLst>
          </c:dPt>
          <c:dLbls>
            <c:dLbl>
              <c:idx val="0"/>
              <c:layout>
                <c:manualLayout>
                  <c:x val="0.31138888888888888"/>
                  <c:y val="-2.303819444444448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2326388888888888"/>
                      <c:h val="0.2124190972222222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1407-4363-904F-CDCA90E19CE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AVANCE'!$AH$139:$AJ$139</c:f>
              <c:numCache>
                <c:formatCode>0.00%</c:formatCode>
                <c:ptCount val="3"/>
                <c:pt idx="0">
                  <c:v>0.13619472488220094</c:v>
                </c:pt>
                <c:pt idx="1">
                  <c:v>0.86380527511779903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07-4363-904F-CDCA90E19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6C-4B75-B776-64C57ED2B772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066C-4B75-B776-64C57ED2B772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66C-4B75-B776-64C57ED2B772}"/>
              </c:ext>
            </c:extLst>
          </c:dPt>
          <c:dLbls>
            <c:dLbl>
              <c:idx val="0"/>
              <c:layout>
                <c:manualLayout>
                  <c:x val="0.29621296615266834"/>
                  <c:y val="-4.95389277927118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1474548611111112"/>
                      <c:h val="0.2312925147849466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066C-4B75-B776-64C57ED2B7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AVANCE'!$AH$140:$AJ$140</c:f>
              <c:numCache>
                <c:formatCode>0.00%</c:formatCode>
                <c:ptCount val="3"/>
                <c:pt idx="0">
                  <c:v>0.11805397727272728</c:v>
                </c:pt>
                <c:pt idx="1">
                  <c:v>0.88194602272727274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6C-4B75-B776-64C57ED2B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AVANCE!TablaDinámica31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81480000000001E-2"/>
              <c:y val="-8.45077628777838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</c:pivotFmt>
      <c:pivotFmt>
        <c:idx val="5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9836972433240362E-2"/>
              <c:y val="-9.313672747428318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</c:pivotFmt>
      <c:pivotFmt>
        <c:idx val="7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6.2446235316475897E-2"/>
              <c:y val="-0.1345445949691071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  <c:pivotFmt>
        <c:idx val="9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7227709550004877E-2"/>
              <c:y val="-0.1593893154660013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</c:pivotFmt>
      <c:pivotFmt>
        <c:idx val="1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9399920900298419E-2"/>
              <c:y val="-6.4151220227906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541858637533323"/>
          <c:y val="0.14026964020801749"/>
          <c:w val="0.86109804767554743"/>
          <c:h val="0.7640025431603658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'HOME AVANCE'!$K$101</c:f>
              <c:strCache>
                <c:ptCount val="1"/>
                <c:pt idx="0">
                  <c:v> %AVANCE ECONOMICO ACUM.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AVANCE'!$K$102:$K$107</c:f>
              <c:numCache>
                <c:formatCode>0.00%</c:formatCode>
                <c:ptCount val="6"/>
                <c:pt idx="0">
                  <c:v>7.2013199574403408E-3</c:v>
                </c:pt>
                <c:pt idx="1">
                  <c:v>2.0472061863505094E-2</c:v>
                </c:pt>
                <c:pt idx="2">
                  <c:v>4.2568537315701475E-2</c:v>
                </c:pt>
                <c:pt idx="3">
                  <c:v>7.7354358565131481E-2</c:v>
                </c:pt>
                <c:pt idx="4">
                  <c:v>0.12223576242590059</c:v>
                </c:pt>
                <c:pt idx="5">
                  <c:v>0.13619472488220094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F-471C-864D-35DBE4BC348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35"/>
        <c:axId val="1633270080"/>
        <c:axId val="1633263840"/>
      </c:barChart>
      <c:lineChart>
        <c:grouping val="stacked"/>
        <c:varyColors val="0"/>
        <c:ser>
          <c:idx val="1"/>
          <c:order val="1"/>
          <c:tx>
            <c:strRef>
              <c:f>'HOME AVANCE'!$L$101</c:f>
              <c:strCache>
                <c:ptCount val="1"/>
                <c:pt idx="0">
                  <c:v> %AVANCE ESPERADO ECONOMICO ACUM.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793F-471C-864D-35DBE4BC3489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793F-471C-864D-35DBE4BC3489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793F-471C-864D-35DBE4BC3489}"/>
              </c:ext>
            </c:extLst>
          </c:dPt>
          <c:dPt>
            <c:idx val="3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793F-471C-864D-35DBE4BC3489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793F-471C-864D-35DBE4BC3489}"/>
              </c:ext>
            </c:extLst>
          </c:dPt>
          <c:dLbls>
            <c:dLbl>
              <c:idx val="0"/>
              <c:layout>
                <c:manualLayout>
                  <c:x val="-5.7227709550004877E-2"/>
                  <c:y val="-0.1593893154660013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93F-471C-864D-35DBE4BC3489}"/>
                </c:ext>
              </c:extLst>
            </c:dLbl>
            <c:dLbl>
              <c:idx val="1"/>
              <c:layout>
                <c:manualLayout>
                  <c:x val="-6.2446235316475897E-2"/>
                  <c:y val="-0.1345445949691071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93F-471C-864D-35DBE4BC3489}"/>
                </c:ext>
              </c:extLst>
            </c:dLbl>
            <c:dLbl>
              <c:idx val="2"/>
              <c:layout>
                <c:manualLayout>
                  <c:x val="-5.9836972433240362E-2"/>
                  <c:y val="-9.31367274742831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93F-471C-864D-35DBE4BC3489}"/>
                </c:ext>
              </c:extLst>
            </c:dLbl>
            <c:dLbl>
              <c:idx val="3"/>
              <c:layout>
                <c:manualLayout>
                  <c:x val="-4.9399920900298419E-2"/>
                  <c:y val="-6.4151220227906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93F-471C-864D-35DBE4BC3489}"/>
                </c:ext>
              </c:extLst>
            </c:dLbl>
            <c:dLbl>
              <c:idx val="4"/>
              <c:layout>
                <c:manualLayout>
                  <c:x val="-4.81480000000001E-2"/>
                  <c:y val="-8.4507762877783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93F-471C-864D-35DBE4BC348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AVANCE'!$L$102:$L$107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4.2999999999999997E-2</c:v>
                </c:pt>
                <c:pt idx="3">
                  <c:v>7.4249999999999997E-2</c:v>
                </c:pt>
                <c:pt idx="4">
                  <c:v>0.14243181818181816</c:v>
                </c:pt>
                <c:pt idx="5">
                  <c:v>0.22765909090909087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3F-471C-864D-35DBE4BC34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3270080"/>
        <c:axId val="1633263840"/>
      </c:lineChart>
      <c:catAx>
        <c:axId val="1633270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63840"/>
        <c:crosses val="autoZero"/>
        <c:auto val="1"/>
        <c:lblAlgn val="ctr"/>
        <c:lblOffset val="100"/>
        <c:noMultiLvlLbl val="0"/>
      </c:catAx>
      <c:valAx>
        <c:axId val="163326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70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AVANCE!TablaDinámica30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AVANCE'!$G$101</c:f>
              <c:strCache>
                <c:ptCount val="1"/>
                <c:pt idx="0">
                  <c:v> COMPRAS ACUMULADAS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AVANCE'!$G$102:$G$107</c:f>
              <c:numCache>
                <c:formatCode>_("$"* #,##0_);_("$"* \(#,##0\);_("$"* "-"_);_(@_)</c:formatCode>
                <c:ptCount val="6"/>
                <c:pt idx="0">
                  <c:v>47377484</c:v>
                </c:pt>
                <c:pt idx="1">
                  <c:v>134685695</c:v>
                </c:pt>
                <c:pt idx="2">
                  <c:v>280058407</c:v>
                </c:pt>
                <c:pt idx="3">
                  <c:v>508914325</c:v>
                </c:pt>
                <c:pt idx="4">
                  <c:v>804189081</c:v>
                </c:pt>
                <c:pt idx="5">
                  <c:v>896025095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88740175"/>
        <c:axId val="188741135"/>
      </c:barChart>
      <c:lineChart>
        <c:grouping val="stacked"/>
        <c:varyColors val="0"/>
        <c:ser>
          <c:idx val="1"/>
          <c:order val="1"/>
          <c:tx>
            <c:strRef>
              <c:f>'HOME AVANCE'!$H$101</c:f>
              <c:strCache>
                <c:ptCount val="1"/>
                <c:pt idx="0">
                  <c:v> INGRESO ACUMULADO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AVANCE'!$H$102:$H$107</c:f>
              <c:numCache>
                <c:formatCode>_("$"* #,##0_);_("$"* \(#,##0\);_("$"* "-"_);_(@_)</c:formatCode>
                <c:ptCount val="6"/>
                <c:pt idx="0">
                  <c:v>204967292.05585891</c:v>
                </c:pt>
                <c:pt idx="1">
                  <c:v>374912302.83420801</c:v>
                </c:pt>
                <c:pt idx="2">
                  <c:v>569735633.83420801</c:v>
                </c:pt>
                <c:pt idx="3">
                  <c:v>1066362218.4383793</c:v>
                </c:pt>
                <c:pt idx="4">
                  <c:v>2004773040.7338338</c:v>
                </c:pt>
                <c:pt idx="5">
                  <c:v>3177786568.6031523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740175"/>
        <c:axId val="188741135"/>
      </c:lineChart>
      <c:catAx>
        <c:axId val="188740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1135"/>
        <c:crosses val="autoZero"/>
        <c:auto val="1"/>
        <c:lblAlgn val="ctr"/>
        <c:lblOffset val="100"/>
        <c:noMultiLvlLbl val="0"/>
      </c:catAx>
      <c:valAx>
        <c:axId val="188741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01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AVANCE!GAP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dLbl>
          <c:idx val="0"/>
          <c:layout>
            <c:manualLayout>
              <c:x val="-6.798385474453822E-4"/>
              <c:y val="5.839217912652359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AVANCE'!$O$101</c:f>
              <c:strCache>
                <c:ptCount val="1"/>
                <c:pt idx="0">
                  <c:v> % AVANCE ECONOMICO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FBD5-4A92-88E5-9EC93E461F94}"/>
              </c:ext>
            </c:extLst>
          </c:dPt>
          <c:dLbls>
            <c:dLbl>
              <c:idx val="5"/>
              <c:layout>
                <c:manualLayout>
                  <c:x val="-6.798385474453822E-4"/>
                  <c:y val="5.839217912652359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BD5-4A92-88E5-9EC93E461F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AVANCE'!$O$102:$O$108</c:f>
              <c:numCache>
                <c:formatCode>0.00%</c:formatCode>
                <c:ptCount val="6"/>
                <c:pt idx="0">
                  <c:v>7.2013199574403408E-3</c:v>
                </c:pt>
                <c:pt idx="1">
                  <c:v>1.3270741906064752E-2</c:v>
                </c:pt>
                <c:pt idx="2">
                  <c:v>2.2096475452196382E-2</c:v>
                </c:pt>
                <c:pt idx="3">
                  <c:v>3.4785821249430006E-2</c:v>
                </c:pt>
                <c:pt idx="4">
                  <c:v>4.4881403860769116E-2</c:v>
                </c:pt>
                <c:pt idx="5">
                  <c:v>1.395896245630035E-2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D5-4A92-88E5-9EC93E461F9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90815"/>
        <c:axId val="1300493215"/>
      </c:barChart>
      <c:lineChart>
        <c:grouping val="standard"/>
        <c:varyColors val="0"/>
        <c:ser>
          <c:idx val="1"/>
          <c:order val="1"/>
          <c:tx>
            <c:strRef>
              <c:f>'HOME AVANCE'!$P$101</c:f>
              <c:strCache>
                <c:ptCount val="1"/>
                <c:pt idx="0">
                  <c:v>% FORECAST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AVANCE'!$P$102:$P$108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2.3E-2</c:v>
                </c:pt>
                <c:pt idx="3">
                  <c:v>3.125E-2</c:v>
                </c:pt>
                <c:pt idx="4">
                  <c:v>6.8181818181818177E-2</c:v>
                </c:pt>
                <c:pt idx="5">
                  <c:v>8.5227272727272721E-2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D5-4A92-88E5-9EC93E461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90815"/>
        <c:axId val="1300493215"/>
      </c:lineChart>
      <c:catAx>
        <c:axId val="1300490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3215"/>
        <c:crosses val="autoZero"/>
        <c:auto val="1"/>
        <c:lblAlgn val="ctr"/>
        <c:lblOffset val="100"/>
        <c:noMultiLvlLbl val="0"/>
      </c:catAx>
      <c:valAx>
        <c:axId val="130049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08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895209406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15-45EE-B55C-2A6DBD1C11DA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903134179.99360216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15-45EE-B55C-2A6DBD1C11D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ax val="1230000000"/>
          <c:min val="7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0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FF0000"/>
          </a:solidFill>
          <a:ln>
            <a:noFill/>
          </a:ln>
          <a:effectLst/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rgbClr val="FF0000"/>
          </a:solidFill>
          <a:ln>
            <a:noFill/>
          </a:ln>
          <a:effectLst/>
        </c:spPr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COMPRAS'!$D$4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7D9B-4BF9-AB89-BBC8F5D18207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D9B-4BF9-AB89-BBC8F5D18207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B9E-4370-86BB-73666436E5E1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B9E-4370-86BB-73666436E5E1}"/>
              </c:ext>
            </c:extLst>
          </c:dPt>
          <c:dPt>
            <c:idx val="6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B9E-4370-86BB-73666436E5E1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D0C-4111-95AA-C189617FD86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COMPRAS'!$D$5:$D$16</c:f>
              <c:numCache>
                <c:formatCode>"$"#,##0;\-"$"#,##0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91836014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9B-4BF9-AB89-BBC8F5D18207}"/>
            </c:ext>
          </c:extLst>
        </c:ser>
        <c:ser>
          <c:idx val="1"/>
          <c:order val="1"/>
          <c:tx>
            <c:strRef>
              <c:f>'HOME COMPRAS'!$E$4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COMPRAS'!$E$5:$E$16</c:f>
              <c:numCache>
                <c:formatCode>"$"#,##0;\-"$"#,##0</c:formatCode>
                <c:ptCount val="9"/>
                <c:pt idx="0">
                  <c:v>12775335.223500002</c:v>
                </c:pt>
                <c:pt idx="1">
                  <c:v>21861855.612199996</c:v>
                </c:pt>
                <c:pt idx="2">
                  <c:v>66469.021500000003</c:v>
                </c:pt>
                <c:pt idx="3">
                  <c:v>12571801.942799998</c:v>
                </c:pt>
                <c:pt idx="4">
                  <c:v>86668427.096600026</c:v>
                </c:pt>
                <c:pt idx="5">
                  <c:v>142106921.04689994</c:v>
                </c:pt>
                <c:pt idx="6">
                  <c:v>226562100.95799994</c:v>
                </c:pt>
                <c:pt idx="7">
                  <c:v>303055470.14729989</c:v>
                </c:pt>
                <c:pt idx="8">
                  <c:v>97465798.944799989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D9B-4BF9-AB89-BBC8F5D1820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2.2836686353140574E-2"/>
              <c:y val="-5.13227767172934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7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2B3A-49F7-B6DF-DF2EA9A38555}"/>
              </c:ext>
            </c:extLst>
          </c:dPt>
          <c:dLbls>
            <c:dLbl>
              <c:idx val="7"/>
              <c:layout>
                <c:manualLayout>
                  <c:x val="-2.2836686353140574E-2"/>
                  <c:y val="-5.13227767172934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B3A-49F7-B6DF-DF2EA9A3855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COMPRAS'!$C$49:$C$60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COMPRAS'!$D$49:$D$60</c:f>
              <c:numCache>
                <c:formatCode>_-"$"* #,##0_-;\-"$"* #,##0_-;_-"$"* "-"??_-;_-@_-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91836014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98A-452D-8209-8855ED03B0A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9DB-46D9-9DA5-EF7B968D3BB9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59DB-46D9-9DA5-EF7B968D3BB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197838184</c:v>
                </c:pt>
                <c:pt idx="1">
                  <c:v>697371222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DB-46D9-9DA5-EF7B968D3BB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COMPRAS'!$C$91:$C$102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COMPRAS'!$D$91:$D$102</c:f>
              <c:numCache>
                <c:formatCode>"$"#,##0;\-"$"#,##0</c:formatCode>
                <c:ptCount val="9"/>
                <c:pt idx="0">
                  <c:v>62003.899399999907</c:v>
                </c:pt>
                <c:pt idx="1">
                  <c:v>19975.572599999996</c:v>
                </c:pt>
                <c:pt idx="2">
                  <c:v>-0.18179999999999999</c:v>
                </c:pt>
                <c:pt idx="3">
                  <c:v>-627110.94610000006</c:v>
                </c:pt>
                <c:pt idx="4">
                  <c:v>-1819459.0366</c:v>
                </c:pt>
                <c:pt idx="5">
                  <c:v>-668295.33180000004</c:v>
                </c:pt>
                <c:pt idx="6">
                  <c:v>1843403.7857000001</c:v>
                </c:pt>
                <c:pt idx="7">
                  <c:v>6024933.8523999993</c:v>
                </c:pt>
                <c:pt idx="8">
                  <c:v>1936458.4553000003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C2-458A-B015-E64009A0366D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marker>
          <c:symbol val="none"/>
        </c:marker>
      </c:pivotFmt>
      <c:pivotFmt>
        <c:idx val="106"/>
        <c:marker>
          <c:symbol val="none"/>
        </c:marker>
      </c:pivotFmt>
      <c:pivotFmt>
        <c:idx val="107"/>
        <c:marker>
          <c:symbol val="none"/>
        </c:marker>
      </c:pivotFmt>
      <c:pivotFmt>
        <c:idx val="10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3136797915196344E-2"/>
          <c:y val="3.9408862918804501E-2"/>
          <c:w val="0.92270960444696515"/>
          <c:h val="0.91036252430213216"/>
        </c:manualLayout>
      </c:layout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AISLAN GLASS 90MM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COMPRAS'!$C$275:$C$285</c:f>
              <c:multiLvlStrCache>
                <c:ptCount val="8"/>
                <c:lvl>
                  <c:pt idx="0">
                    <c:v>oct</c:v>
                  </c:pt>
                  <c:pt idx="1">
                    <c:v>nov</c:v>
                  </c:pt>
                  <c:pt idx="2">
                    <c:v>ene</c:v>
                  </c:pt>
                  <c:pt idx="3">
                    <c:v>feb</c:v>
                  </c:pt>
                  <c:pt idx="4">
                    <c:v>mar</c:v>
                  </c:pt>
                  <c:pt idx="5">
                    <c:v>abr</c:v>
                  </c:pt>
                  <c:pt idx="6">
                    <c:v>may</c:v>
                  </c:pt>
                  <c:pt idx="7">
                    <c:v>jun</c:v>
                  </c:pt>
                </c:lvl>
                <c:lvl>
                  <c:pt idx="0">
                    <c:v>2025</c:v>
                  </c:pt>
                  <c:pt idx="2">
                    <c:v>2026</c:v>
                  </c:pt>
                </c:lvl>
              </c:multiLvlStrCache>
            </c:multiLvlStrRef>
          </c:cat>
          <c:val>
            <c:numRef>
              <c:f>'HOME COMPRAS'!$D$275:$D$285</c:f>
              <c:numCache>
                <c:formatCode>"$"#,##0;\-"$"#,##0</c:formatCode>
                <c:ptCount val="8"/>
                <c:pt idx="0">
                  <c:v>2031.3581999999999</c:v>
                </c:pt>
                <c:pt idx="1">
                  <c:v>2037.0732499999999</c:v>
                </c:pt>
                <c:pt idx="2">
                  <c:v>2097.1343000000002</c:v>
                </c:pt>
                <c:pt idx="3">
                  <c:v>2087.4843333333333</c:v>
                </c:pt>
                <c:pt idx="4">
                  <c:v>2077.6863833333332</c:v>
                </c:pt>
                <c:pt idx="5">
                  <c:v>2047.3003399999998</c:v>
                </c:pt>
                <c:pt idx="6">
                  <c:v>2050.8619399999998</c:v>
                </c:pt>
                <c:pt idx="7">
                  <c:v>2057.0778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A-547B-4B8C-9149-72A3F4A1718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7C-422A-B613-C8D0210BB81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7C-422A-B613-C8D0210BB81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97C-422A-B613-C8D0210BB819}"/>
              </c:ext>
            </c:extLst>
          </c:dPt>
          <c:val>
            <c:numRef>
              <c:f>'HOME COMPRAS'!$AG$472:$AI$472</c:f>
              <c:numCache>
                <c:formatCode>0.00%</c:formatCode>
                <c:ptCount val="3"/>
                <c:pt idx="0">
                  <c:v>0.13619472488220094</c:v>
                </c:pt>
                <c:pt idx="1">
                  <c:v>0.86380527511779903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1C-408B-92E3-0F355E38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 PROYECCION COMPRA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5707445490.9546394</c:v>
              </c:pt>
            </c:numLit>
          </c:val>
          <c:extLst>
            <c:ext xmlns:c16="http://schemas.microsoft.com/office/drawing/2014/chart" uri="{C3380CC4-5D6E-409C-BE32-E72D297353CC}">
              <c16:uniqueId val="{00000002-3075-44AD-A7FE-C07B0BBB69FF}"/>
            </c:ext>
          </c:extLst>
        </c:ser>
        <c:ser>
          <c:idx val="1"/>
          <c:order val="1"/>
          <c:tx>
            <c:v> PPTO TOTAL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6695741687.2779465</c:v>
              </c:pt>
            </c:numLit>
          </c:val>
          <c:extLst>
            <c:ext xmlns:c16="http://schemas.microsoft.com/office/drawing/2014/chart" uri="{C3380CC4-5D6E-409C-BE32-E72D297353CC}">
              <c16:uniqueId val="{00000003-3075-44AD-A7FE-C07B0BBB69FF}"/>
            </c:ext>
          </c:extLst>
        </c:ser>
        <c:ser>
          <c:idx val="2"/>
          <c:order val="2"/>
          <c:tx>
            <c:v> %PROYECTADO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0.85239929458433394</c:v>
              </c:pt>
            </c:numLit>
          </c:val>
          <c:extLst>
            <c:ext xmlns:c16="http://schemas.microsoft.com/office/drawing/2014/chart" uri="{C3380CC4-5D6E-409C-BE32-E72D297353CC}">
              <c16:uniqueId val="{00000004-3075-44AD-A7FE-C07B0BBB6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2257183"/>
        <c:axId val="1692257679"/>
      </c:barChart>
      <c:catAx>
        <c:axId val="1692257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679"/>
        <c:crosses val="autoZero"/>
        <c:auto val="1"/>
        <c:lblAlgn val="ctr"/>
        <c:lblOffset val="100"/>
        <c:noMultiLvlLbl val="0"/>
      </c:catAx>
      <c:valAx>
        <c:axId val="1692257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1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AE0-4641-9EFA-B1F9CD1A617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EAE0-4641-9EFA-B1F9CD1A617A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AE0-4641-9EFA-B1F9CD1A617A}"/>
              </c:ext>
            </c:extLst>
          </c:dPt>
          <c:val>
            <c:numRef>
              <c:f>'HOME COMPRAS'!$AN$545:$AP$545</c:f>
              <c:numCache>
                <c:formatCode>0.00%</c:formatCode>
                <c:ptCount val="3"/>
                <c:pt idx="0">
                  <c:v>0.13619472488220094</c:v>
                </c:pt>
                <c:pt idx="1">
                  <c:v>0.86380527511779903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E0-4641-9EFA-B1F9CD1A61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n>
            <a:noFill/>
          </a:ln>
          <a:solidFill>
            <a:schemeClr val="tx1"/>
          </a:solidFill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C16-4DAC-926C-60BBB7F647E0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C16-4DAC-926C-60BBB7F647E0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C16-4DAC-926C-60BBB7F647E0}"/>
              </c:ext>
            </c:extLst>
          </c:dPt>
          <c:dLbls>
            <c:dLbl>
              <c:idx val="0"/>
              <c:layout>
                <c:manualLayout>
                  <c:x val="0.30708281746363947"/>
                  <c:y val="-2.6229475308642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144000" tIns="108000" rIns="144000" bIns="108000" anchor="ctr" anchorCtr="1">
                  <a:noAutofit/>
                </a:bodyPr>
                <a:lstStyle/>
                <a:p>
                  <a:pPr>
                    <a:defRPr sz="24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30275092896515382"/>
                      <c:h val="0.2284866325843578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0C16-4DAC-926C-60BBB7F647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FISICO'!$AG$516:$AI$516</c:f>
              <c:numCache>
                <c:formatCode>0.00%</c:formatCode>
                <c:ptCount val="3"/>
                <c:pt idx="0">
                  <c:v>0.11805397727272728</c:v>
                </c:pt>
                <c:pt idx="1">
                  <c:v>0.88194602272727274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C16-4DAC-926C-60BBB7F647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FISICO!SEMANA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MODULOS</a:t>
            </a:r>
            <a:r>
              <a:rPr lang="es-CL" baseline="0"/>
              <a:t> X SEMANA</a:t>
            </a:r>
            <a:endParaRPr lang="es-C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rgbClr val="FF0000"/>
            </a:solidFill>
            <a:prstDash val="sysDash"/>
            <a:round/>
          </a:ln>
          <a:effectLst/>
        </c:spPr>
        <c:marker>
          <c:spPr>
            <a:solidFill>
              <a:srgbClr val="FF000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FISICO'!$G$3</c:f>
              <c:strCache>
                <c:ptCount val="1"/>
                <c:pt idx="0">
                  <c:v> INICIO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FISICO'!$F$4:$F$7</c:f>
              <c:multiLvlStrCache>
                <c:ptCount val="3"/>
                <c:lvl>
                  <c:pt idx="0">
                    <c:v>23</c:v>
                  </c:pt>
                  <c:pt idx="1">
                    <c:v>24</c:v>
                  </c:pt>
                  <c:pt idx="2">
                    <c:v>25</c:v>
                  </c:pt>
                </c:lvl>
                <c:lvl>
                  <c:pt idx="0">
                    <c:v>junio</c:v>
                  </c:pt>
                </c:lvl>
              </c:multiLvlStrCache>
            </c:multiLvlStrRef>
          </c:cat>
          <c:val>
            <c:numRef>
              <c:f>'HOME FISICO'!$G$4:$G$7</c:f>
              <c:numCache>
                <c:formatCode>General</c:formatCode>
                <c:ptCount val="3"/>
                <c:pt idx="0">
                  <c:v>6</c:v>
                </c:pt>
                <c:pt idx="1">
                  <c:v>8</c:v>
                </c:pt>
                <c:pt idx="2">
                  <c:v>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7FB6-43DF-AB70-CB1D70A2C573}"/>
            </c:ext>
          </c:extLst>
        </c:ser>
        <c:ser>
          <c:idx val="1"/>
          <c:order val="1"/>
          <c:tx>
            <c:strRef>
              <c:f>'HOME FISICO'!$H$3</c:f>
              <c:strCache>
                <c:ptCount val="1"/>
                <c:pt idx="0">
                  <c:v> META SEMANAL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FISICO'!$F$4:$F$7</c:f>
              <c:multiLvlStrCache>
                <c:ptCount val="3"/>
                <c:lvl>
                  <c:pt idx="0">
                    <c:v>23</c:v>
                  </c:pt>
                  <c:pt idx="1">
                    <c:v>24</c:v>
                  </c:pt>
                  <c:pt idx="2">
                    <c:v>25</c:v>
                  </c:pt>
                </c:lvl>
                <c:lvl>
                  <c:pt idx="0">
                    <c:v>junio</c:v>
                  </c:pt>
                </c:lvl>
              </c:multiLvlStrCache>
            </c:multiLvlStrRef>
          </c:cat>
          <c:val>
            <c:numRef>
              <c:f>'HOME FISICO'!$H$4:$H$7</c:f>
              <c:numCache>
                <c:formatCode>General</c:formatCode>
                <c:ptCount val="3"/>
                <c:pt idx="0">
                  <c:v>10</c:v>
                </c:pt>
                <c:pt idx="1">
                  <c:v>10</c:v>
                </c:pt>
                <c:pt idx="2">
                  <c:v>10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7FB6-43DF-AB70-CB1D70A2C57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30693199"/>
        <c:axId val="830688399"/>
      </c:lineChart>
      <c:catAx>
        <c:axId val="830693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88399"/>
        <c:crosses val="autoZero"/>
        <c:auto val="1"/>
        <c:lblAlgn val="ctr"/>
        <c:lblOffset val="100"/>
        <c:noMultiLvlLbl val="0"/>
      </c:catAx>
      <c:valAx>
        <c:axId val="830688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93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6"/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FISICO'!$G$503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accent6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FISICO'!$F$504:$F$510</c:f>
              <c:strCache>
                <c:ptCount val="6"/>
                <c:pt idx="0">
                  <c:v>50-59%</c:v>
                </c:pt>
                <c:pt idx="1">
                  <c:v>60-69%</c:v>
                </c:pt>
                <c:pt idx="2">
                  <c:v>70-79%</c:v>
                </c:pt>
                <c:pt idx="3">
                  <c:v>80-89%</c:v>
                </c:pt>
                <c:pt idx="4">
                  <c:v>90-99%</c:v>
                </c:pt>
                <c:pt idx="5">
                  <c:v>COMPLETADO</c:v>
                </c:pt>
              </c:strCache>
            </c:strRef>
          </c:cat>
          <c:val>
            <c:numRef>
              <c:f>'HOME FISICO'!$G$504:$G$510</c:f>
              <c:numCache>
                <c:formatCode>General</c:formatCode>
                <c:ptCount val="6"/>
                <c:pt idx="0">
                  <c:v>3</c:v>
                </c:pt>
                <c:pt idx="1">
                  <c:v>7</c:v>
                </c:pt>
                <c:pt idx="2">
                  <c:v>7</c:v>
                </c:pt>
                <c:pt idx="3">
                  <c:v>9</c:v>
                </c:pt>
                <c:pt idx="4">
                  <c:v>21</c:v>
                </c:pt>
                <c:pt idx="5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870F-4C02-A3C0-078FB8F04AD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641054672"/>
        <c:axId val="1641071472"/>
      </c:barChart>
      <c:catAx>
        <c:axId val="164105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71472"/>
        <c:crosses val="autoZero"/>
        <c:auto val="1"/>
        <c:lblAlgn val="ctr"/>
        <c:lblOffset val="100"/>
        <c:noMultiLvlLbl val="0"/>
      </c:catAx>
      <c:valAx>
        <c:axId val="1641071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5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FISICO!INICIO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layout>
            <c:manualLayout>
              <c:x val="-1.5357388716656024E-2"/>
              <c:y val="-0.16290661346038868"/>
            </c:manualLayout>
          </c:layout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FISICO'!$C$3</c:f>
              <c:strCache>
                <c:ptCount val="1"/>
                <c:pt idx="0">
                  <c:v>INICIO PLANIFICADO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FISICO'!$B$4:$B$19</c:f>
              <c:strCache>
                <c:ptCount val="15"/>
                <c:pt idx="0">
                  <c:v>01-06-2026</c:v>
                </c:pt>
                <c:pt idx="1">
                  <c:v>02-06-2026</c:v>
                </c:pt>
                <c:pt idx="2">
                  <c:v>03-06-2026</c:v>
                </c:pt>
                <c:pt idx="3">
                  <c:v>04-06-2026</c:v>
                </c:pt>
                <c:pt idx="4">
                  <c:v>05-06-2026</c:v>
                </c:pt>
                <c:pt idx="5">
                  <c:v>06-06-2026</c:v>
                </c:pt>
                <c:pt idx="6">
                  <c:v>07-06-2026</c:v>
                </c:pt>
                <c:pt idx="7">
                  <c:v>08-06-2026</c:v>
                </c:pt>
                <c:pt idx="8">
                  <c:v>09-06-2026</c:v>
                </c:pt>
                <c:pt idx="9">
                  <c:v>10-06-2026</c:v>
                </c:pt>
                <c:pt idx="10">
                  <c:v>11-06-2026</c:v>
                </c:pt>
                <c:pt idx="11">
                  <c:v>12-06-2026</c:v>
                </c:pt>
                <c:pt idx="12">
                  <c:v>13-06-2026</c:v>
                </c:pt>
                <c:pt idx="13">
                  <c:v>14-06-2026</c:v>
                </c:pt>
                <c:pt idx="14">
                  <c:v>15-06-2026</c:v>
                </c:pt>
              </c:strCache>
            </c:strRef>
          </c:cat>
          <c:val>
            <c:numRef>
              <c:f>'HOME FISICO'!$C$4:$C$19</c:f>
              <c:numCache>
                <c:formatCode>0</c:formatCode>
                <c:ptCount val="15"/>
                <c:pt idx="0">
                  <c:v>96</c:v>
                </c:pt>
                <c:pt idx="1">
                  <c:v>98</c:v>
                </c:pt>
                <c:pt idx="2">
                  <c:v>100</c:v>
                </c:pt>
                <c:pt idx="3">
                  <c:v>102</c:v>
                </c:pt>
                <c:pt idx="4">
                  <c:v>104</c:v>
                </c:pt>
                <c:pt idx="5">
                  <c:v>104</c:v>
                </c:pt>
                <c:pt idx="6">
                  <c:v>104</c:v>
                </c:pt>
                <c:pt idx="7">
                  <c:v>106</c:v>
                </c:pt>
                <c:pt idx="8">
                  <c:v>108</c:v>
                </c:pt>
                <c:pt idx="9">
                  <c:v>110</c:v>
                </c:pt>
                <c:pt idx="10">
                  <c:v>112</c:v>
                </c:pt>
                <c:pt idx="11">
                  <c:v>114</c:v>
                </c:pt>
                <c:pt idx="12">
                  <c:v>114</c:v>
                </c:pt>
                <c:pt idx="13">
                  <c:v>114</c:v>
                </c:pt>
                <c:pt idx="14">
                  <c:v>116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6C2-430A-9326-33CBA53BF864}"/>
            </c:ext>
          </c:extLst>
        </c:ser>
        <c:ser>
          <c:idx val="1"/>
          <c:order val="1"/>
          <c:tx>
            <c:strRef>
              <c:f>'HOME FISICO'!$D$3</c:f>
              <c:strCache>
                <c:ptCount val="1"/>
                <c:pt idx="0">
                  <c:v>INICIO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FISICO'!$B$4:$B$19</c:f>
              <c:strCache>
                <c:ptCount val="15"/>
                <c:pt idx="0">
                  <c:v>01-06-2026</c:v>
                </c:pt>
                <c:pt idx="1">
                  <c:v>02-06-2026</c:v>
                </c:pt>
                <c:pt idx="2">
                  <c:v>03-06-2026</c:v>
                </c:pt>
                <c:pt idx="3">
                  <c:v>04-06-2026</c:v>
                </c:pt>
                <c:pt idx="4">
                  <c:v>05-06-2026</c:v>
                </c:pt>
                <c:pt idx="5">
                  <c:v>06-06-2026</c:v>
                </c:pt>
                <c:pt idx="6">
                  <c:v>07-06-2026</c:v>
                </c:pt>
                <c:pt idx="7">
                  <c:v>08-06-2026</c:v>
                </c:pt>
                <c:pt idx="8">
                  <c:v>09-06-2026</c:v>
                </c:pt>
                <c:pt idx="9">
                  <c:v>10-06-2026</c:v>
                </c:pt>
                <c:pt idx="10">
                  <c:v>11-06-2026</c:v>
                </c:pt>
                <c:pt idx="11">
                  <c:v>12-06-2026</c:v>
                </c:pt>
                <c:pt idx="12">
                  <c:v>13-06-2026</c:v>
                </c:pt>
                <c:pt idx="13">
                  <c:v>14-06-2026</c:v>
                </c:pt>
                <c:pt idx="14">
                  <c:v>15-06-2026</c:v>
                </c:pt>
              </c:strCache>
            </c:strRef>
          </c:cat>
          <c:val>
            <c:numRef>
              <c:f>'HOME FISICO'!$D$4:$D$19</c:f>
              <c:numCache>
                <c:formatCode>0</c:formatCode>
                <c:ptCount val="15"/>
                <c:pt idx="0">
                  <c:v>87</c:v>
                </c:pt>
                <c:pt idx="1">
                  <c:v>87</c:v>
                </c:pt>
                <c:pt idx="2">
                  <c:v>89</c:v>
                </c:pt>
                <c:pt idx="3">
                  <c:v>91</c:v>
                </c:pt>
                <c:pt idx="4">
                  <c:v>92</c:v>
                </c:pt>
                <c:pt idx="5">
                  <c:v>92</c:v>
                </c:pt>
                <c:pt idx="6">
                  <c:v>92</c:v>
                </c:pt>
                <c:pt idx="7">
                  <c:v>94</c:v>
                </c:pt>
                <c:pt idx="8">
                  <c:v>94</c:v>
                </c:pt>
                <c:pt idx="9">
                  <c:v>94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16C2-430A-9326-33CBA53BF86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19627247"/>
        <c:axId val="819627727"/>
      </c:lineChart>
      <c:catAx>
        <c:axId val="8196272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727"/>
        <c:crosses val="autoZero"/>
        <c:auto val="1"/>
        <c:lblAlgn val="ctr"/>
        <c:lblOffset val="100"/>
        <c:noMultiLvlLbl val="0"/>
      </c:catAx>
      <c:valAx>
        <c:axId val="819627727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2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FISICO!TERMINO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FISICO'!$C$503</c:f>
              <c:strCache>
                <c:ptCount val="1"/>
                <c:pt idx="0">
                  <c:v>PLANIFICACION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FISICO'!$B$504:$B$519</c:f>
              <c:strCache>
                <c:ptCount val="15"/>
                <c:pt idx="0">
                  <c:v>01-06-2026</c:v>
                </c:pt>
                <c:pt idx="1">
                  <c:v>02-06-2026</c:v>
                </c:pt>
                <c:pt idx="2">
                  <c:v>03-06-2026</c:v>
                </c:pt>
                <c:pt idx="3">
                  <c:v>04-06-2026</c:v>
                </c:pt>
                <c:pt idx="4">
                  <c:v>05-06-2026</c:v>
                </c:pt>
                <c:pt idx="5">
                  <c:v>06-06-2026</c:v>
                </c:pt>
                <c:pt idx="6">
                  <c:v>07-06-2026</c:v>
                </c:pt>
                <c:pt idx="7">
                  <c:v>08-06-2026</c:v>
                </c:pt>
                <c:pt idx="8">
                  <c:v>09-06-2026</c:v>
                </c:pt>
                <c:pt idx="9">
                  <c:v>10-06-2026</c:v>
                </c:pt>
                <c:pt idx="10">
                  <c:v>11-06-2026</c:v>
                </c:pt>
                <c:pt idx="11">
                  <c:v>12-06-2026</c:v>
                </c:pt>
                <c:pt idx="12">
                  <c:v>13-06-2026</c:v>
                </c:pt>
                <c:pt idx="13">
                  <c:v>14-06-2026</c:v>
                </c:pt>
                <c:pt idx="14">
                  <c:v>15-06-2026</c:v>
                </c:pt>
              </c:strCache>
            </c:strRef>
          </c:cat>
          <c:val>
            <c:numRef>
              <c:f>'HOME FISICO'!$C$504:$C$519</c:f>
              <c:numCache>
                <c:formatCode>General</c:formatCode>
                <c:ptCount val="15"/>
                <c:pt idx="0">
                  <c:v>56</c:v>
                </c:pt>
                <c:pt idx="1">
                  <c:v>56</c:v>
                </c:pt>
                <c:pt idx="2">
                  <c:v>57</c:v>
                </c:pt>
                <c:pt idx="3">
                  <c:v>57</c:v>
                </c:pt>
                <c:pt idx="4">
                  <c:v>57</c:v>
                </c:pt>
                <c:pt idx="5">
                  <c:v>58</c:v>
                </c:pt>
                <c:pt idx="6">
                  <c:v>59</c:v>
                </c:pt>
                <c:pt idx="7">
                  <c:v>60</c:v>
                </c:pt>
                <c:pt idx="8">
                  <c:v>61</c:v>
                </c:pt>
                <c:pt idx="9">
                  <c:v>64</c:v>
                </c:pt>
                <c:pt idx="10">
                  <c:v>66</c:v>
                </c:pt>
                <c:pt idx="11">
                  <c:v>68</c:v>
                </c:pt>
                <c:pt idx="12">
                  <c:v>72</c:v>
                </c:pt>
                <c:pt idx="13">
                  <c:v>73</c:v>
                </c:pt>
                <c:pt idx="14">
                  <c:v>74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334-42E4-B0E0-5AE682624FF9}"/>
            </c:ext>
          </c:extLst>
        </c:ser>
        <c:ser>
          <c:idx val="1"/>
          <c:order val="1"/>
          <c:tx>
            <c:strRef>
              <c:f>'HOME FISICO'!$D$503</c:f>
              <c:strCache>
                <c:ptCount val="1"/>
                <c:pt idx="0">
                  <c:v>TERMINO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FISICO'!$B$504:$B$519</c:f>
              <c:strCache>
                <c:ptCount val="15"/>
                <c:pt idx="0">
                  <c:v>01-06-2026</c:v>
                </c:pt>
                <c:pt idx="1">
                  <c:v>02-06-2026</c:v>
                </c:pt>
                <c:pt idx="2">
                  <c:v>03-06-2026</c:v>
                </c:pt>
                <c:pt idx="3">
                  <c:v>04-06-2026</c:v>
                </c:pt>
                <c:pt idx="4">
                  <c:v>05-06-2026</c:v>
                </c:pt>
                <c:pt idx="5">
                  <c:v>06-06-2026</c:v>
                </c:pt>
                <c:pt idx="6">
                  <c:v>07-06-2026</c:v>
                </c:pt>
                <c:pt idx="7">
                  <c:v>08-06-2026</c:v>
                </c:pt>
                <c:pt idx="8">
                  <c:v>09-06-2026</c:v>
                </c:pt>
                <c:pt idx="9">
                  <c:v>10-06-2026</c:v>
                </c:pt>
                <c:pt idx="10">
                  <c:v>11-06-2026</c:v>
                </c:pt>
                <c:pt idx="11">
                  <c:v>12-06-2026</c:v>
                </c:pt>
                <c:pt idx="12">
                  <c:v>13-06-2026</c:v>
                </c:pt>
                <c:pt idx="13">
                  <c:v>14-06-2026</c:v>
                </c:pt>
                <c:pt idx="14">
                  <c:v>15-06-2026</c:v>
                </c:pt>
              </c:strCache>
            </c:strRef>
          </c:cat>
          <c:val>
            <c:numRef>
              <c:f>'HOME FISICO'!$D$504:$D$519</c:f>
              <c:numCache>
                <c:formatCode>General</c:formatCode>
                <c:ptCount val="15"/>
                <c:pt idx="0">
                  <c:v>23</c:v>
                </c:pt>
                <c:pt idx="1">
                  <c:v>23</c:v>
                </c:pt>
                <c:pt idx="2">
                  <c:v>23</c:v>
                </c:pt>
                <c:pt idx="3">
                  <c:v>24</c:v>
                </c:pt>
                <c:pt idx="4">
                  <c:v>26</c:v>
                </c:pt>
                <c:pt idx="5">
                  <c:v>26</c:v>
                </c:pt>
                <c:pt idx="6">
                  <c:v>26</c:v>
                </c:pt>
                <c:pt idx="7">
                  <c:v>30</c:v>
                </c:pt>
                <c:pt idx="8">
                  <c:v>32</c:v>
                </c:pt>
                <c:pt idx="9">
                  <c:v>32</c:v>
                </c:pt>
                <c:pt idx="10">
                  <c:v>33</c:v>
                </c:pt>
                <c:pt idx="11">
                  <c:v>38</c:v>
                </c:pt>
                <c:pt idx="12">
                  <c:v>38</c:v>
                </c:pt>
                <c:pt idx="13">
                  <c:v>38</c:v>
                </c:pt>
                <c:pt idx="14">
                  <c:v>38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5334-42E4-B0E0-5AE682624FF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30672079"/>
        <c:axId val="830669679"/>
      </c:lineChart>
      <c:catAx>
        <c:axId val="830672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69679"/>
        <c:crosses val="autoZero"/>
        <c:auto val="1"/>
        <c:lblAlgn val="ctr"/>
        <c:lblOffset val="100"/>
        <c:noMultiLvlLbl val="0"/>
      </c:catAx>
      <c:valAx>
        <c:axId val="830669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720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FISICO!TablaDinámica5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solidFill>
              <a:srgbClr val="2E7D32"/>
            </a:solidFill>
            <a:prstDash val="soli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prstDash val="solid"/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rgbClr val="C00000"/>
              </a:solidFill>
              <a:prstDash val="soli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FISICO'!$T$503</c:f>
              <c:strCache>
                <c:ptCount val="1"/>
                <c:pt idx="0">
                  <c:v> AVANCE REAL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rgbClr val="2E7D32"/>
              </a:solidFill>
              <a:prstDash val="soli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FISICO'!$T$504:$T$509</c:f>
              <c:numCache>
                <c:formatCode>0.00%</c:formatCode>
                <c:ptCount val="5"/>
                <c:pt idx="0">
                  <c:v>8.4654888297492422E-4</c:v>
                </c:pt>
                <c:pt idx="1">
                  <c:v>9.3647233775872099E-3</c:v>
                </c:pt>
                <c:pt idx="2">
                  <c:v>3.4398712573989215E-2</c:v>
                </c:pt>
                <c:pt idx="3">
                  <c:v>9.2752758885822087E-2</c:v>
                </c:pt>
                <c:pt idx="4">
                  <c:v>0.11550000000000001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AC-4EE0-A000-06A3861261F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65855"/>
        <c:axId val="1300468255"/>
      </c:barChart>
      <c:lineChart>
        <c:grouping val="standard"/>
        <c:varyColors val="0"/>
        <c:ser>
          <c:idx val="1"/>
          <c:order val="1"/>
          <c:tx>
            <c:strRef>
              <c:f>'HOME FISICO'!$U$503</c:f>
              <c:strCache>
                <c:ptCount val="1"/>
                <c:pt idx="0">
                  <c:v>AVANCE PROGRAMADO 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FISICO'!$U$504:$U$509</c:f>
              <c:numCache>
                <c:formatCode>0.00%</c:formatCode>
                <c:ptCount val="5"/>
                <c:pt idx="0">
                  <c:v>1.3964559800471526E-3</c:v>
                </c:pt>
                <c:pt idx="1">
                  <c:v>1.52686946647998E-2</c:v>
                </c:pt>
                <c:pt idx="2">
                  <c:v>5.368932585398551E-2</c:v>
                </c:pt>
                <c:pt idx="3">
                  <c:v>0.10405226706624732</c:v>
                </c:pt>
                <c:pt idx="4">
                  <c:v>0.16602659701966191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AC-4EE0-A000-06A386126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65855"/>
        <c:axId val="1300468255"/>
      </c:lineChart>
      <c:catAx>
        <c:axId val="1300465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8255"/>
        <c:crosses val="autoZero"/>
        <c:auto val="1"/>
        <c:lblAlgn val="ctr"/>
        <c:lblOffset val="100"/>
        <c:noMultiLvlLbl val="0"/>
      </c:catAx>
      <c:valAx>
        <c:axId val="1300468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5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3775232888258055"/>
          <c:y val="1.6595549136742598E-2"/>
          <c:w val="0.156072494309307"/>
          <c:h val="4.13795899768691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FISICO!M2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5.8043053967555519E-2"/>
              <c:y val="-5.868866644446613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0.10759200247644418"/>
              <c:y val="-0.1344948606019016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1620104588968345E-2"/>
          <c:y val="8.2836896147439498E-2"/>
          <c:w val="0.90280736873680945"/>
          <c:h val="0.86063059123632646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'HOME FISICO'!$Y$503</c:f>
              <c:strCache>
                <c:ptCount val="1"/>
                <c:pt idx="0">
                  <c:v>Máx. de M2 Avance Acumulado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FISICO'!$Y$504:$Y$509</c:f>
              <c:numCache>
                <c:formatCode>#,##0.00_ ;\-#,##0.00\ </c:formatCode>
                <c:ptCount val="5"/>
                <c:pt idx="0">
                  <c:v>17.949608208433983</c:v>
                </c:pt>
                <c:pt idx="1">
                  <c:v>198.56279889868111</c:v>
                </c:pt>
                <c:pt idx="2">
                  <c:v>729.36533966925981</c:v>
                </c:pt>
                <c:pt idx="3">
                  <c:v>1966.6621925023151</c:v>
                </c:pt>
                <c:pt idx="4">
                  <c:v>2448.9781863376875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F8-45F9-9FA6-62466B94A89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238129296"/>
        <c:axId val="1913873728"/>
      </c:barChart>
      <c:lineChart>
        <c:grouping val="standard"/>
        <c:varyColors val="0"/>
        <c:ser>
          <c:idx val="0"/>
          <c:order val="0"/>
          <c:tx>
            <c:strRef>
              <c:f>'HOME FISICO'!$X$503</c:f>
              <c:strCache>
                <c:ptCount val="1"/>
                <c:pt idx="0">
                  <c:v>Máx. de M2 Avance Programado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3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F2F8-45F9-9FA6-62466B94A892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F2F8-45F9-9FA6-62466B94A892}"/>
              </c:ext>
            </c:extLst>
          </c:dPt>
          <c:dLbls>
            <c:dLbl>
              <c:idx val="3"/>
              <c:layout>
                <c:manualLayout>
                  <c:x val="-0.10759200247644418"/>
                  <c:y val="-0.1344948606019016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2F8-45F9-9FA6-62466B94A892}"/>
                </c:ext>
              </c:extLst>
            </c:dLbl>
            <c:dLbl>
              <c:idx val="4"/>
              <c:layout>
                <c:manualLayout>
                  <c:x val="-5.8043053967555519E-2"/>
                  <c:y val="-5.86886664444661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2F8-45F9-9FA6-62466B94A8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FISICO'!$X$504:$X$509</c:f>
              <c:numCache>
                <c:formatCode>#,##0.00_);\(#,##0.00\)</c:formatCode>
                <c:ptCount val="5"/>
                <c:pt idx="0">
                  <c:v>29.609439249491725</c:v>
                </c:pt>
                <c:pt idx="1">
                  <c:v>323.74632180039259</c:v>
                </c:pt>
                <c:pt idx="2">
                  <c:v>1138.3895052431735</c:v>
                </c:pt>
                <c:pt idx="3">
                  <c:v>2206.2487643655677</c:v>
                </c:pt>
                <c:pt idx="4">
                  <c:v>3520.3074844418165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F8-45F9-9FA6-62466B94A89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238129296"/>
        <c:axId val="1913873728"/>
      </c:lineChart>
      <c:catAx>
        <c:axId val="123812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913873728"/>
        <c:crosses val="autoZero"/>
        <c:auto val="1"/>
        <c:lblAlgn val="ctr"/>
        <c:lblOffset val="100"/>
        <c:noMultiLvlLbl val="0"/>
      </c:catAx>
      <c:valAx>
        <c:axId val="191387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 ;\-#,##0.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238129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881164900795648"/>
          <c:y val="4.8907222037055118E-3"/>
          <c:w val="0.48929786581066848"/>
          <c:h val="4.22872201885693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FISICO!TablaDinámica7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'HOME FISICO'!$AC$503</c:f>
              <c:strCache>
                <c:ptCount val="1"/>
                <c:pt idx="0">
                  <c:v> M2 Avance Diario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FISICO'!$AC$504:$AC$510</c:f>
              <c:numCache>
                <c:formatCode>#,##0.00</c:formatCode>
                <c:ptCount val="6"/>
                <c:pt idx="0">
                  <c:v>0</c:v>
                </c:pt>
                <c:pt idx="1">
                  <c:v>#N/A</c:v>
                </c:pt>
                <c:pt idx="2">
                  <c:v>180.61319069024711</c:v>
                </c:pt>
                <c:pt idx="3">
                  <c:v>530.80254077057862</c:v>
                </c:pt>
                <c:pt idx="4">
                  <c:v>1237.2968528330553</c:v>
                </c:pt>
                <c:pt idx="5">
                  <c:v>482.31599383537241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69489600"/>
        <c:axId val="69504480"/>
      </c:barChart>
      <c:lineChart>
        <c:grouping val="standard"/>
        <c:varyColors val="0"/>
        <c:ser>
          <c:idx val="0"/>
          <c:order val="0"/>
          <c:tx>
            <c:strRef>
              <c:f>'HOME FISICO'!$AB$503</c:f>
              <c:strCache>
                <c:ptCount val="1"/>
                <c:pt idx="0">
                  <c:v> M2 Avance Prog.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FISICO'!$AB$504:$AB$510</c:f>
              <c:numCache>
                <c:formatCode>#,##0.00_ ;\-#,##0.00\ </c:formatCode>
                <c:ptCount val="6"/>
                <c:pt idx="0">
                  <c:v>1679.5964948769129</c:v>
                </c:pt>
                <c:pt idx="1">
                  <c:v>1836.7066841858016</c:v>
                </c:pt>
                <c:pt idx="2">
                  <c:v>2292.4852525763017</c:v>
                </c:pt>
                <c:pt idx="3">
                  <c:v>2265.3406939611027</c:v>
                </c:pt>
                <c:pt idx="4">
                  <c:v>1133.1155485228714</c:v>
                </c:pt>
                <c:pt idx="5">
                  <c:v>1314.0587200762486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9489600"/>
        <c:axId val="69504480"/>
      </c:lineChart>
      <c:catAx>
        <c:axId val="69489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504480"/>
        <c:crosses val="autoZero"/>
        <c:auto val="1"/>
        <c:lblAlgn val="ctr"/>
        <c:lblOffset val="100"/>
        <c:noMultiLvlLbl val="0"/>
      </c:catAx>
      <c:valAx>
        <c:axId val="6950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489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710F-40B3-B5D9-7790AE68CEC4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10F-40B3-B5D9-7790AE68CEC4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10F-40B3-B5D9-7790AE68CEC4}"/>
              </c:ext>
            </c:extLst>
          </c:dPt>
          <c:val>
            <c:numRef>
              <c:f>'HOME CONSUMO'!$AH$14:$AJ$14</c:f>
              <c:numCache>
                <c:formatCode>0.00%</c:formatCode>
                <c:ptCount val="3"/>
                <c:pt idx="0">
                  <c:v>0.12661477752311481</c:v>
                </c:pt>
                <c:pt idx="1">
                  <c:v>0.87338522247688521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0F-40B3-B5D9-7790AE68CE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72.885373067966469</c:v>
                </c:pt>
                <c:pt idx="1">
                  <c:v>76.617182314614311</c:v>
                </c:pt>
                <c:pt idx="2">
                  <c:v>99.422835543065915</c:v>
                </c:pt>
                <c:pt idx="3">
                  <c:v>48.53756224967352</c:v>
                </c:pt>
                <c:pt idx="4">
                  <c:v>14.765596160945002</c:v>
                </c:pt>
                <c:pt idx="5">
                  <c:v>45.299539170506897</c:v>
                </c:pt>
                <c:pt idx="6">
                  <c:v>0</c:v>
                </c:pt>
                <c:pt idx="7">
                  <c:v>81.556522886162782</c:v>
                </c:pt>
                <c:pt idx="8">
                  <c:v>123.75180375180373</c:v>
                </c:pt>
                <c:pt idx="9">
                  <c:v>100.76872622327173</c:v>
                </c:pt>
                <c:pt idx="10">
                  <c:v>56.974960196844719</c:v>
                </c:pt>
                <c:pt idx="11">
                  <c:v>86.616541353383397</c:v>
                </c:pt>
                <c:pt idx="12">
                  <c:v>131.28427128427128</c:v>
                </c:pt>
                <c:pt idx="13">
                  <c:v>28.54299928926795</c:v>
                </c:pt>
                <c:pt idx="14">
                  <c:v>128.25396825396825</c:v>
                </c:pt>
                <c:pt idx="15">
                  <c:v>84.072249589490966</c:v>
                </c:pt>
                <c:pt idx="16">
                  <c:v>40.476190476190467</c:v>
                </c:pt>
                <c:pt idx="17">
                  <c:v>111.29251700680273</c:v>
                </c:pt>
                <c:pt idx="18">
                  <c:v>94.733735747820276</c:v>
                </c:pt>
                <c:pt idx="19">
                  <c:v>99.470422051067175</c:v>
                </c:pt>
                <c:pt idx="20">
                  <c:v>94.044217687074834</c:v>
                </c:pt>
                <c:pt idx="21">
                  <c:v>78.095238095238088</c:v>
                </c:pt>
                <c:pt idx="22">
                  <c:v>72.38095238095238</c:v>
                </c:pt>
                <c:pt idx="23">
                  <c:v>84.641856742697087</c:v>
                </c:pt>
                <c:pt idx="24">
                  <c:v>134.8853615520282</c:v>
                </c:pt>
                <c:pt idx="25">
                  <c:v>94.331065759637184</c:v>
                </c:pt>
                <c:pt idx="26">
                  <c:v>101.33333333333333</c:v>
                </c:pt>
                <c:pt idx="27">
                  <c:v>85.194805194805184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4F-44DA-8303-DBD25A3B435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4.3626760630287649E-2</c:v>
                </c:pt>
                <c:pt idx="1">
                  <c:v>3.2397546149265273E-2</c:v>
                </c:pt>
                <c:pt idx="2">
                  <c:v>1.9644849815333591E-2</c:v>
                </c:pt>
                <c:pt idx="3">
                  <c:v>5.6833264160054998E-3</c:v>
                </c:pt>
                <c:pt idx="4">
                  <c:v>1.8244181243102897E-2</c:v>
                </c:pt>
                <c:pt idx="5">
                  <c:v>4.4606045059827883E-2</c:v>
                </c:pt>
                <c:pt idx="6">
                  <c:v>3.6523948740267667E-2</c:v>
                </c:pt>
                <c:pt idx="7">
                  <c:v>1.6183098622817593E-2</c:v>
                </c:pt>
                <c:pt idx="8">
                  <c:v>3.4759805909700521E-2</c:v>
                </c:pt>
                <c:pt idx="9">
                  <c:v>1.1210383266775757E-2</c:v>
                </c:pt>
                <c:pt idx="10">
                  <c:v>0</c:v>
                </c:pt>
                <c:pt idx="11">
                  <c:v>0</c:v>
                </c:pt>
                <c:pt idx="12">
                  <c:v>2.4918521872716634E-2</c:v>
                </c:pt>
                <c:pt idx="13">
                  <c:v>4.5702760826944896E-2</c:v>
                </c:pt>
                <c:pt idx="14">
                  <c:v>6.081240073375057E-2</c:v>
                </c:pt>
                <c:pt idx="15">
                  <c:v>5.9096045349501476E-2</c:v>
                </c:pt>
                <c:pt idx="16">
                  <c:v>3.597743126317967E-2</c:v>
                </c:pt>
                <c:pt idx="17">
                  <c:v>4.9813162595142901E-2</c:v>
                </c:pt>
                <c:pt idx="18">
                  <c:v>4.4315992606619253E-2</c:v>
                </c:pt>
                <c:pt idx="19">
                  <c:v>5.6579134531435163E-2</c:v>
                </c:pt>
                <c:pt idx="20">
                  <c:v>4.1249253515256767E-2</c:v>
                </c:pt>
                <c:pt idx="21">
                  <c:v>6.2875814679365497E-2</c:v>
                </c:pt>
                <c:pt idx="22">
                  <c:v>3.6254497576189176E-2</c:v>
                </c:pt>
                <c:pt idx="23">
                  <c:v>0</c:v>
                </c:pt>
                <c:pt idx="24">
                  <c:v>4.3651077393345332E-2</c:v>
                </c:pt>
                <c:pt idx="25">
                  <c:v>4.0902731060279307E-2</c:v>
                </c:pt>
                <c:pt idx="26">
                  <c:v>3.0400983665624545E-2</c:v>
                </c:pt>
                <c:pt idx="27">
                  <c:v>2.9511959109273088E-2</c:v>
                </c:pt>
                <c:pt idx="28">
                  <c:v>3.310052323448482E-2</c:v>
                </c:pt>
                <c:pt idx="29">
                  <c:v>9.1097064267913006E-4</c:v>
                </c:pt>
                <c:pt idx="30">
                  <c:v>4.104679349082746E-2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5D-40E0-99FD-78A7A010BDC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CONSUMO'!$C$752:$C$754</c:f>
              <c:strCache>
                <c:ptCount val="1"/>
                <c:pt idx="0">
                  <c:v>AISLAN GLASS 90MM - Suma de CONSUMO2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CONSUMO'!$B$755:$B$764</c:f>
              <c:strCache>
                <c:ptCount val="9"/>
                <c:pt idx="0">
                  <c:v>20-04-2026</c:v>
                </c:pt>
                <c:pt idx="1">
                  <c:v>27-04-2026</c:v>
                </c:pt>
                <c:pt idx="2">
                  <c:v>04-05-2026</c:v>
                </c:pt>
                <c:pt idx="3">
                  <c:v>11-05-2026</c:v>
                </c:pt>
                <c:pt idx="4">
                  <c:v>18-05-2026</c:v>
                </c:pt>
                <c:pt idx="5">
                  <c:v>25-05-2026</c:v>
                </c:pt>
                <c:pt idx="6">
                  <c:v>01-06-2026</c:v>
                </c:pt>
                <c:pt idx="7">
                  <c:v>08-06-2026</c:v>
                </c:pt>
                <c:pt idx="8">
                  <c:v>15-06-2026</c:v>
                </c:pt>
              </c:strCache>
            </c:strRef>
          </c:cat>
          <c:val>
            <c:numRef>
              <c:f>'HOME CONSUMO'!$C$755:$C$764</c:f>
              <c:numCache>
                <c:formatCode>General</c:formatCode>
                <c:ptCount val="9"/>
                <c:pt idx="0">
                  <c:v>3559</c:v>
                </c:pt>
                <c:pt idx="1">
                  <c:v>3766</c:v>
                </c:pt>
                <c:pt idx="2">
                  <c:v>3787</c:v>
                </c:pt>
                <c:pt idx="3">
                  <c:v>4307</c:v>
                </c:pt>
                <c:pt idx="4">
                  <c:v>4738</c:v>
                </c:pt>
                <c:pt idx="5">
                  <c:v>5245</c:v>
                </c:pt>
                <c:pt idx="6">
                  <c:v>5984</c:v>
                </c:pt>
                <c:pt idx="7">
                  <c:v>6253</c:v>
                </c:pt>
                <c:pt idx="8">
                  <c:v>6297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5A-4F7A-A0B7-3F748EB9E4C4}"/>
            </c:ext>
          </c:extLst>
        </c:ser>
        <c:ser>
          <c:idx val="1"/>
          <c:order val="1"/>
          <c:tx>
            <c:strRef>
              <c:f>'HOME CONSUMO'!$D$752:$D$754</c:f>
              <c:strCache>
                <c:ptCount val="1"/>
                <c:pt idx="0">
                  <c:v>AISLAN GLASS 90MM - Suma de ALCANCE FISICO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CONSUMO'!$B$755:$B$764</c:f>
              <c:strCache>
                <c:ptCount val="9"/>
                <c:pt idx="0">
                  <c:v>20-04-2026</c:v>
                </c:pt>
                <c:pt idx="1">
                  <c:v>27-04-2026</c:v>
                </c:pt>
                <c:pt idx="2">
                  <c:v>04-05-2026</c:v>
                </c:pt>
                <c:pt idx="3">
                  <c:v>11-05-2026</c:v>
                </c:pt>
                <c:pt idx="4">
                  <c:v>18-05-2026</c:v>
                </c:pt>
                <c:pt idx="5">
                  <c:v>25-05-2026</c:v>
                </c:pt>
                <c:pt idx="6">
                  <c:v>01-06-2026</c:v>
                </c:pt>
                <c:pt idx="7">
                  <c:v>08-06-2026</c:v>
                </c:pt>
                <c:pt idx="8">
                  <c:v>15-06-2026</c:v>
                </c:pt>
              </c:strCache>
            </c:strRef>
          </c:cat>
          <c:val>
            <c:numRef>
              <c:f>'HOME CONSUMO'!$D$755:$D$764</c:f>
              <c:numCache>
                <c:formatCode>General</c:formatCode>
                <c:ptCount val="9"/>
                <c:pt idx="0">
                  <c:v>57.52012283472687</c:v>
                </c:pt>
                <c:pt idx="1">
                  <c:v>60.755729855783628</c:v>
                </c:pt>
                <c:pt idx="2">
                  <c:v>60.755729855783628</c:v>
                </c:pt>
                <c:pt idx="3">
                  <c:v>69.405372387321506</c:v>
                </c:pt>
                <c:pt idx="4">
                  <c:v>75.892604285974912</c:v>
                </c:pt>
                <c:pt idx="5">
                  <c:v>84.54224681751279</c:v>
                </c:pt>
                <c:pt idx="6">
                  <c:v>96.651746361665815</c:v>
                </c:pt>
                <c:pt idx="7">
                  <c:v>100.97656762743475</c:v>
                </c:pt>
                <c:pt idx="8">
                  <c:v>100.97656762743475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04-4BD0-AADD-070EEC0B36A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503889904"/>
        <c:axId val="1503899984"/>
      </c:lineChart>
      <c:catAx>
        <c:axId val="150388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99984"/>
        <c:crosses val="autoZero"/>
        <c:auto val="1"/>
        <c:lblAlgn val="ctr"/>
        <c:lblOffset val="100"/>
        <c:noMultiLvlLbl val="0"/>
      </c:catAx>
      <c:valAx>
        <c:axId val="150389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89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rgbClr val="00B050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50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895209406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8C-4D4A-885E-65F5524FD469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903134179.99360216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48C-4D4A-885E-65F5524FD46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in val="2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5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0000"/>
          </a:solidFill>
          <a:ln>
            <a:noFill/>
          </a:ln>
          <a:effectLst/>
        </c:spPr>
      </c:pivotFmt>
      <c:pivotFmt>
        <c:idx val="10"/>
        <c:spPr>
          <a:solidFill>
            <a:srgbClr val="FF0000"/>
          </a:solidFill>
          <a:ln>
            <a:noFill/>
          </a:ln>
          <a:effectLst/>
        </c:spPr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0000"/>
          </a:solidFill>
          <a:ln>
            <a:noFill/>
          </a:ln>
          <a:effectLst/>
        </c:spPr>
      </c:pivotFmt>
      <c:pivotFmt>
        <c:idx val="13"/>
        <c:spPr>
          <a:solidFill>
            <a:srgbClr val="00B050"/>
          </a:solidFill>
          <a:ln>
            <a:noFill/>
          </a:ln>
          <a:effectLst/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</c:spPr>
      </c:pivotFmt>
      <c:pivotFmt>
        <c:idx val="15"/>
        <c:spPr>
          <a:solidFill>
            <a:srgbClr val="FF0000"/>
          </a:solidFill>
          <a:ln>
            <a:noFill/>
          </a:ln>
          <a:effectLst/>
        </c:spPr>
      </c:pivotFmt>
      <c:pivotFmt>
        <c:idx val="16"/>
        <c:spPr>
          <a:solidFill>
            <a:srgbClr val="FF0000"/>
          </a:solidFill>
          <a:ln>
            <a:noFill/>
          </a:ln>
          <a:effectLst/>
        </c:spPr>
      </c:pivotFmt>
      <c:pivotFmt>
        <c:idx val="17"/>
        <c:spPr>
          <a:solidFill>
            <a:srgbClr val="FF0000"/>
          </a:solidFill>
          <a:ln>
            <a:noFill/>
          </a:ln>
          <a:effectLst/>
        </c:spPr>
      </c:pivotFmt>
      <c:pivotFmt>
        <c:idx val="18"/>
        <c:spPr>
          <a:solidFill>
            <a:srgbClr val="FF0000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COMPRAS'!$D$4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AA9-4C8B-9744-475BCAEBE13D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AA9-4C8B-9744-475BCAEBE13D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B58C-4535-ABE8-862B8B6E271E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B490-4718-BBC8-3E8556325C79}"/>
              </c:ext>
            </c:extLst>
          </c:dPt>
          <c:dPt>
            <c:idx val="6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490-4718-BBC8-3E8556325C7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COMPRAS'!$D$5:$D$16</c:f>
              <c:numCache>
                <c:formatCode>"$"#,##0;\-"$"#,##0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91836014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A9-4C8B-9744-475BCAEBE13D}"/>
            </c:ext>
          </c:extLst>
        </c:ser>
        <c:ser>
          <c:idx val="1"/>
          <c:order val="1"/>
          <c:tx>
            <c:strRef>
              <c:f>'HOME COMPRAS'!$E$4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COMPRAS'!$E$5:$E$16</c:f>
              <c:numCache>
                <c:formatCode>"$"#,##0;\-"$"#,##0</c:formatCode>
                <c:ptCount val="9"/>
                <c:pt idx="0">
                  <c:v>12775335.223500002</c:v>
                </c:pt>
                <c:pt idx="1">
                  <c:v>21861855.612199996</c:v>
                </c:pt>
                <c:pt idx="2">
                  <c:v>66469.021500000003</c:v>
                </c:pt>
                <c:pt idx="3">
                  <c:v>12571801.942799998</c:v>
                </c:pt>
                <c:pt idx="4">
                  <c:v>86668427.096600026</c:v>
                </c:pt>
                <c:pt idx="5">
                  <c:v>142106921.04689994</c:v>
                </c:pt>
                <c:pt idx="6">
                  <c:v>226562100.95799994</c:v>
                </c:pt>
                <c:pt idx="7">
                  <c:v>303055470.14729989</c:v>
                </c:pt>
                <c:pt idx="8">
                  <c:v>97465798.944799989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A9-4C8B-9744-475BCAEBE13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At val="1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COMPRAS'!$C$49:$C$60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COMPRAS'!$D$49:$D$60</c:f>
              <c:numCache>
                <c:formatCode>_-"$"* #,##0_-;\-"$"* #,##0_-;_-"$"* "-"??_-;_-@_-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91836014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297-476D-A1F1-22D86B0A215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8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579-428D-A55C-549BBF05023B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579-428D-A55C-549BBF05023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197838184</c:v>
                </c:pt>
                <c:pt idx="1">
                  <c:v>697371222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79-428D-A55C-549BBF05023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2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1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cene3d>
              <a:camera prst="orthographicFront"/>
              <a:lightRig rig="brightRoom" dir="t"/>
            </a:scene3d>
            <a:sp3d prstMaterial="flat">
              <a:bevelT w="50800" h="101600" prst="angle"/>
              <a:contourClr>
                <a:srgbClr val="000000"/>
              </a:contourClr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2A3-4DDA-8FB0-29A7EF548A40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2A3-4DDA-8FB0-29A7EF548A4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197838184</c:v>
                </c:pt>
                <c:pt idx="1">
                  <c:v>697371222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2A3-4DDA-8FB0-29A7EF548A4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850473007"/>
        <c:axId val="1850473967"/>
      </c:barChart>
      <c:catAx>
        <c:axId val="1850473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967"/>
        <c:crosses val="autoZero"/>
        <c:auto val="1"/>
        <c:lblAlgn val="ctr"/>
        <c:lblOffset val="100"/>
        <c:noMultiLvlLbl val="0"/>
      </c:catAx>
      <c:valAx>
        <c:axId val="1850473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COMPRAS'!$C$91:$C$102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COMPRAS'!$D$91:$D$102</c:f>
              <c:numCache>
                <c:formatCode>"$"#,##0;\-"$"#,##0</c:formatCode>
                <c:ptCount val="9"/>
                <c:pt idx="0">
                  <c:v>62003.899399999907</c:v>
                </c:pt>
                <c:pt idx="1">
                  <c:v>19975.572599999996</c:v>
                </c:pt>
                <c:pt idx="2">
                  <c:v>-0.18179999999999999</c:v>
                </c:pt>
                <c:pt idx="3">
                  <c:v>-627110.94610000006</c:v>
                </c:pt>
                <c:pt idx="4">
                  <c:v>-1819459.0366</c:v>
                </c:pt>
                <c:pt idx="5">
                  <c:v>-668295.33180000004</c:v>
                </c:pt>
                <c:pt idx="6">
                  <c:v>1843403.7857000001</c:v>
                </c:pt>
                <c:pt idx="7">
                  <c:v>6024933.8523999993</c:v>
                </c:pt>
                <c:pt idx="8">
                  <c:v>1936458.4553000003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A6-4405-BEFA-14E417E9042A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AISLAN GLASS 90MM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COMPRAS'!$C$275:$C$285</c:f>
              <c:multiLvlStrCache>
                <c:ptCount val="8"/>
                <c:lvl>
                  <c:pt idx="0">
                    <c:v>oct</c:v>
                  </c:pt>
                  <c:pt idx="1">
                    <c:v>nov</c:v>
                  </c:pt>
                  <c:pt idx="2">
                    <c:v>ene</c:v>
                  </c:pt>
                  <c:pt idx="3">
                    <c:v>feb</c:v>
                  </c:pt>
                  <c:pt idx="4">
                    <c:v>mar</c:v>
                  </c:pt>
                  <c:pt idx="5">
                    <c:v>abr</c:v>
                  </c:pt>
                  <c:pt idx="6">
                    <c:v>may</c:v>
                  </c:pt>
                  <c:pt idx="7">
                    <c:v>jun</c:v>
                  </c:pt>
                </c:lvl>
                <c:lvl>
                  <c:pt idx="0">
                    <c:v>2025</c:v>
                  </c:pt>
                  <c:pt idx="2">
                    <c:v>2026</c:v>
                  </c:pt>
                </c:lvl>
              </c:multiLvlStrCache>
            </c:multiLvlStrRef>
          </c:cat>
          <c:val>
            <c:numRef>
              <c:f>'HOME COMPRAS'!$D$275:$D$285</c:f>
              <c:numCache>
                <c:formatCode>"$"#,##0;\-"$"#,##0</c:formatCode>
                <c:ptCount val="8"/>
                <c:pt idx="0">
                  <c:v>2031.3581999999999</c:v>
                </c:pt>
                <c:pt idx="1">
                  <c:v>2037.0732499999999</c:v>
                </c:pt>
                <c:pt idx="2">
                  <c:v>2097.1343000000002</c:v>
                </c:pt>
                <c:pt idx="3">
                  <c:v>2087.4843333333333</c:v>
                </c:pt>
                <c:pt idx="4">
                  <c:v>2077.6863833333332</c:v>
                </c:pt>
                <c:pt idx="5">
                  <c:v>2047.3003399999998</c:v>
                </c:pt>
                <c:pt idx="6">
                  <c:v>2050.8619399999998</c:v>
                </c:pt>
                <c:pt idx="7">
                  <c:v>2057.0778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9-9A5C-48EE-A06D-AA47A6FD331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eries val="1"/>
      </c14:pivotOptions>
    </c:ext>
  </c:extLst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8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730852450783101"/>
          <c:y val="1.7522899243329351E-2"/>
          <c:w val="0.87084350694695278"/>
          <c:h val="0.9456499120405648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CONSUMO'!$B$5:$B$33</c:f>
              <c:strCache>
                <c:ptCount val="28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SIMPLISIMA</c:v>
                </c:pt>
                <c:pt idx="18">
                  <c:v>SMARTPANEL</c:v>
                </c:pt>
                <c:pt idx="19">
                  <c:v>TERCIADO FENOLICO</c:v>
                </c:pt>
                <c:pt idx="20">
                  <c:v>TORNILLO SIMPSON 6"</c:v>
                </c:pt>
                <c:pt idx="21">
                  <c:v>VENTANA V.05</c:v>
                </c:pt>
                <c:pt idx="22">
                  <c:v>VENTANA V-01</c:v>
                </c:pt>
                <c:pt idx="23">
                  <c:v>VOCANITA EMPAPELADA MURO</c:v>
                </c:pt>
                <c:pt idx="24">
                  <c:v>VOLCANITA EMPAPELADA CIELO</c:v>
                </c:pt>
                <c:pt idx="25">
                  <c:v>VOLCOGLASS</c:v>
                </c:pt>
                <c:pt idx="26">
                  <c:v>PB2</c:v>
                </c:pt>
                <c:pt idx="27">
                  <c:v>PB1</c:v>
                </c:pt>
              </c:strCache>
            </c:strRef>
          </c:cat>
          <c:val>
            <c:numRef>
              <c:f>'HOME CONSUMO'!$C$5:$C$33</c:f>
              <c:numCache>
                <c:formatCode>0</c:formatCode>
                <c:ptCount val="28"/>
                <c:pt idx="0">
                  <c:v>72.885373067966469</c:v>
                </c:pt>
                <c:pt idx="1">
                  <c:v>76.617182314614311</c:v>
                </c:pt>
                <c:pt idx="2">
                  <c:v>99.422835543065915</c:v>
                </c:pt>
                <c:pt idx="3">
                  <c:v>48.53756224967352</c:v>
                </c:pt>
                <c:pt idx="4">
                  <c:v>14.765596160945002</c:v>
                </c:pt>
                <c:pt idx="5">
                  <c:v>45.299539170506897</c:v>
                </c:pt>
                <c:pt idx="6">
                  <c:v>0</c:v>
                </c:pt>
                <c:pt idx="7">
                  <c:v>81.556522886162782</c:v>
                </c:pt>
                <c:pt idx="8">
                  <c:v>123.75180375180373</c:v>
                </c:pt>
                <c:pt idx="9">
                  <c:v>100.76872622327173</c:v>
                </c:pt>
                <c:pt idx="10">
                  <c:v>56.974960196844719</c:v>
                </c:pt>
                <c:pt idx="11">
                  <c:v>86.616541353383397</c:v>
                </c:pt>
                <c:pt idx="12">
                  <c:v>131.28427128427128</c:v>
                </c:pt>
                <c:pt idx="13">
                  <c:v>28.54299928926795</c:v>
                </c:pt>
                <c:pt idx="14">
                  <c:v>128.25396825396825</c:v>
                </c:pt>
                <c:pt idx="15">
                  <c:v>84.072249589490966</c:v>
                </c:pt>
                <c:pt idx="16">
                  <c:v>40.476190476190467</c:v>
                </c:pt>
                <c:pt idx="17">
                  <c:v>111.29251700680273</c:v>
                </c:pt>
                <c:pt idx="18">
                  <c:v>94.733735747820276</c:v>
                </c:pt>
                <c:pt idx="19">
                  <c:v>99.470422051067175</c:v>
                </c:pt>
                <c:pt idx="20">
                  <c:v>94.044217687074834</c:v>
                </c:pt>
                <c:pt idx="21">
                  <c:v>78.095238095238088</c:v>
                </c:pt>
                <c:pt idx="22">
                  <c:v>72.38095238095238</c:v>
                </c:pt>
                <c:pt idx="23">
                  <c:v>84.641856742697087</c:v>
                </c:pt>
                <c:pt idx="24">
                  <c:v>134.8853615520282</c:v>
                </c:pt>
                <c:pt idx="25">
                  <c:v>94.331065759637184</c:v>
                </c:pt>
                <c:pt idx="26">
                  <c:v>101.33333333333333</c:v>
                </c:pt>
                <c:pt idx="27">
                  <c:v>85.194805194805184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7C-4116-8B80-A9328353617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CONSUMO'!$B$174:$B$205</c:f>
              <c:strCache>
                <c:ptCount val="31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ESTRUCTURAL CEPILLADO 4/CARAS  IMPREGNADO DE  2 X 8 X 4.00 (41 x 185 MM ) (VVSS)</c:v>
                </c:pt>
                <c:pt idx="11">
                  <c:v>PINO NACIONAL GRADO C-16/C-24 DE 2" x 4" x 2,44 m (41x90mm) (VIVIENDAS SOCIALES) </c:v>
                </c:pt>
                <c:pt idx="12">
                  <c:v>PINO NACIONAL GRADO C-16/C-24 IMPREGNADO DE 2" x 4" x x 3,20 m (41x90mm)</c:v>
                </c:pt>
                <c:pt idx="13">
                  <c:v>PINO NACIONAL GRADO C-16/C-24 IMPREGNADO DE 2" X 6" X 3,20 m (41x138mm)</c:v>
                </c:pt>
                <c:pt idx="14">
                  <c:v>PINO NACIONAL GRADO C-16/C-24 IMPREGNADO DE 2" X 6" X 4,00 m (VIVIENDAS SOCIALES)</c:v>
                </c:pt>
                <c:pt idx="15">
                  <c:v>PINO SYP GRADO 2 PRIME IMPREGNADO DE  3" x 8" x 10' (63x184 mm)</c:v>
                </c:pt>
                <c:pt idx="16">
                  <c:v>PISO VINILICO SAFETRED UNIVERSAL 2M VENUS (2 x 20 M)</c:v>
                </c:pt>
                <c:pt idx="17">
                  <c:v>PLACA FIBROCEMENTO SIMPLISIMA CENIA BEIGE 2400 MM x 1200 MM x 6 MM</c:v>
                </c:pt>
                <c:pt idx="18">
                  <c:v>PLACA LP OSB STANDAR 1.22 x2.44 x 9.5 MM APA PT-OECA095  (84 PL.xPAQ)</c:v>
                </c:pt>
                <c:pt idx="19">
                  <c:v>PLACA OSB STANDARD DE 1.22 x 2.44 x 11.1 MM ( 72 X PAQUETE )</c:v>
                </c:pt>
                <c:pt idx="20">
                  <c:v>PLACA SMART SIDE R-4 SPC-M111 DE 1.220X2.440X11.1 MM (72 PL.POR PALLET )</c:v>
                </c:pt>
                <c:pt idx="21">
                  <c:v>PLANCHA YESO CARTON VOLCAN RF 1.22 x 3.40 x 15MM WHITE BORDE CUADRADO (40PLXPQ) SKU 5002142</c:v>
                </c:pt>
                <c:pt idx="22">
                  <c:v>PLANCHA YESO CARTON VOLCAN RF 122 x 2.44 x 15 LINEN GREY BORDE CUADRADO 70 PLXPALLET SKU 5002205</c:v>
                </c:pt>
                <c:pt idx="23">
                  <c:v>POLIESTIRENO EXPANDIDO 1220 X 2440 X 30 MM D:20 Kg/m3</c:v>
                </c:pt>
                <c:pt idx="24">
                  <c:v>TERCIADO FENOLICO CD DE 1,22 X 2,44 X 15 mm (65 PL X PQTE)</c:v>
                </c:pt>
                <c:pt idx="25">
                  <c:v>TORNILLO SIMPSON ESTRUCTURAL SDWS22600DB DE 6" (500 TORN.XPQTE.)</c:v>
                </c:pt>
                <c:pt idx="26">
                  <c:v>V01-VENTANA DORMITORIOS 2 PAÑOS.INFERIOR FIJO Y SUPERIOR PROYECTANTE (2050mm X 700 mm)</c:v>
                </c:pt>
                <c:pt idx="27">
                  <c:v>V03- VENTANA BAÑO PROYECTANTE (550X550 MM)</c:v>
                </c:pt>
                <c:pt idx="28">
                  <c:v>V05-VENTANA LIVING-COMEDOR CORREDERA BALCONERA (2050 mm X 1600 mm)</c:v>
                </c:pt>
                <c:pt idx="29">
                  <c:v>VOLCAN WRAP BARRERA DE VAPOR (PAPEL KRAFT LAM C/ POLIETILENO) 1,2X0,5M E: 0,123 MM (6KG 60M2 X RLL)</c:v>
                </c:pt>
                <c:pt idx="30">
                  <c:v>VOLCOGLASS X RH 1,20 x 2,40 x 15MM BORDE</c:v>
                </c:pt>
              </c:strCache>
            </c:strRef>
          </c:cat>
          <c:val>
            <c:numRef>
              <c:f>'HOME CONSUMO'!$C$174:$C$205</c:f>
              <c:numCache>
                <c:formatCode>0.00%</c:formatCode>
                <c:ptCount val="31"/>
                <c:pt idx="0">
                  <c:v>4.3626760630287649E-2</c:v>
                </c:pt>
                <c:pt idx="1">
                  <c:v>3.2397546149265273E-2</c:v>
                </c:pt>
                <c:pt idx="2">
                  <c:v>1.9644849815333591E-2</c:v>
                </c:pt>
                <c:pt idx="3">
                  <c:v>5.6833264160054998E-3</c:v>
                </c:pt>
                <c:pt idx="4">
                  <c:v>1.8244181243102897E-2</c:v>
                </c:pt>
                <c:pt idx="5">
                  <c:v>4.4606045059827883E-2</c:v>
                </c:pt>
                <c:pt idx="6">
                  <c:v>3.6523948740267667E-2</c:v>
                </c:pt>
                <c:pt idx="7">
                  <c:v>1.6183098622817593E-2</c:v>
                </c:pt>
                <c:pt idx="8">
                  <c:v>3.4759805909700521E-2</c:v>
                </c:pt>
                <c:pt idx="9">
                  <c:v>1.1210383266775757E-2</c:v>
                </c:pt>
                <c:pt idx="10">
                  <c:v>0</c:v>
                </c:pt>
                <c:pt idx="11">
                  <c:v>0</c:v>
                </c:pt>
                <c:pt idx="12">
                  <c:v>2.4918521872716634E-2</c:v>
                </c:pt>
                <c:pt idx="13">
                  <c:v>4.5702760826944896E-2</c:v>
                </c:pt>
                <c:pt idx="14">
                  <c:v>6.081240073375057E-2</c:v>
                </c:pt>
                <c:pt idx="15">
                  <c:v>5.9096045349501476E-2</c:v>
                </c:pt>
                <c:pt idx="16">
                  <c:v>3.597743126317967E-2</c:v>
                </c:pt>
                <c:pt idx="17">
                  <c:v>4.9813162595142901E-2</c:v>
                </c:pt>
                <c:pt idx="18">
                  <c:v>4.4315992606619253E-2</c:v>
                </c:pt>
                <c:pt idx="19">
                  <c:v>5.6579134531435163E-2</c:v>
                </c:pt>
                <c:pt idx="20">
                  <c:v>4.1249253515256767E-2</c:v>
                </c:pt>
                <c:pt idx="21">
                  <c:v>6.2875814679365497E-2</c:v>
                </c:pt>
                <c:pt idx="22">
                  <c:v>3.6254497576189176E-2</c:v>
                </c:pt>
                <c:pt idx="23">
                  <c:v>0</c:v>
                </c:pt>
                <c:pt idx="24">
                  <c:v>4.3651077393345332E-2</c:v>
                </c:pt>
                <c:pt idx="25">
                  <c:v>4.0902731060279307E-2</c:v>
                </c:pt>
                <c:pt idx="26">
                  <c:v>3.0400983665624545E-2</c:v>
                </c:pt>
                <c:pt idx="27">
                  <c:v>2.9511959109273088E-2</c:v>
                </c:pt>
                <c:pt idx="28">
                  <c:v>3.310052323448482E-2</c:v>
                </c:pt>
                <c:pt idx="29">
                  <c:v>9.1097064267913006E-4</c:v>
                </c:pt>
                <c:pt idx="30">
                  <c:v>4.104679349082746E-2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54-4BB2-B8B6-CAC19AD3DF1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chart" Target="../charts/chart11.xml"/><Relationship Id="rId3" Type="http://schemas.openxmlformats.org/officeDocument/2006/relationships/hyperlink" Target="#GRAFICOS!A1"/><Relationship Id="rId7" Type="http://schemas.openxmlformats.org/officeDocument/2006/relationships/hyperlink" Target="#GRAFICOS!A132"/><Relationship Id="rId12" Type="http://schemas.openxmlformats.org/officeDocument/2006/relationships/hyperlink" Target="#GRAFICOS!A250"/><Relationship Id="rId2" Type="http://schemas.openxmlformats.org/officeDocument/2006/relationships/chart" Target="../charts/chart6.xml"/><Relationship Id="rId16" Type="http://schemas.openxmlformats.org/officeDocument/2006/relationships/chart" Target="../charts/chart14.xml"/><Relationship Id="rId1" Type="http://schemas.openxmlformats.org/officeDocument/2006/relationships/image" Target="../media/image1.png"/><Relationship Id="rId6" Type="http://schemas.openxmlformats.org/officeDocument/2006/relationships/chart" Target="../charts/chart8.xml"/><Relationship Id="rId11" Type="http://schemas.openxmlformats.org/officeDocument/2006/relationships/hyperlink" Target="#GRAFICOS!A216"/><Relationship Id="rId5" Type="http://schemas.openxmlformats.org/officeDocument/2006/relationships/hyperlink" Target="#GRAFICOS!A89"/><Relationship Id="rId15" Type="http://schemas.openxmlformats.org/officeDocument/2006/relationships/chart" Target="../charts/chart13.xml"/><Relationship Id="rId10" Type="http://schemas.openxmlformats.org/officeDocument/2006/relationships/chart" Target="../charts/chart10.xml"/><Relationship Id="rId4" Type="http://schemas.openxmlformats.org/officeDocument/2006/relationships/chart" Target="../charts/chart7.xml"/><Relationship Id="rId9" Type="http://schemas.openxmlformats.org/officeDocument/2006/relationships/hyperlink" Target="#GRAFICOS!A178"/><Relationship Id="rId1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2" Type="http://schemas.openxmlformats.org/officeDocument/2006/relationships/image" Target="../media/image1.png"/><Relationship Id="rId1" Type="http://schemas.openxmlformats.org/officeDocument/2006/relationships/chart" Target="../charts/chart15.xml"/><Relationship Id="rId6" Type="http://schemas.openxmlformats.org/officeDocument/2006/relationships/chart" Target="../charts/chart19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7" Type="http://schemas.openxmlformats.org/officeDocument/2006/relationships/chart" Target="../charts/chart26.xml"/><Relationship Id="rId2" Type="http://schemas.openxmlformats.org/officeDocument/2006/relationships/image" Target="../media/image1.png"/><Relationship Id="rId1" Type="http://schemas.openxmlformats.org/officeDocument/2006/relationships/chart" Target="../charts/chart23.xml"/><Relationship Id="rId6" Type="http://schemas.openxmlformats.org/officeDocument/2006/relationships/hyperlink" Target="#'HOME CONSUMO'!A359"/><Relationship Id="rId5" Type="http://schemas.openxmlformats.org/officeDocument/2006/relationships/chart" Target="../charts/chart25.xml"/><Relationship Id="rId4" Type="http://schemas.openxmlformats.org/officeDocument/2006/relationships/hyperlink" Target="#GRAFICOS!A307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GRAFICOS!A132"/><Relationship Id="rId13" Type="http://schemas.openxmlformats.org/officeDocument/2006/relationships/chart" Target="../charts/chart35.xml"/><Relationship Id="rId3" Type="http://schemas.openxmlformats.org/officeDocument/2006/relationships/chart" Target="../charts/chart28.xml"/><Relationship Id="rId7" Type="http://schemas.openxmlformats.org/officeDocument/2006/relationships/chart" Target="../charts/chart32.xml"/><Relationship Id="rId12" Type="http://schemas.openxmlformats.org/officeDocument/2006/relationships/chart" Target="../charts/chart34.xml"/><Relationship Id="rId2" Type="http://schemas.openxmlformats.org/officeDocument/2006/relationships/hyperlink" Target="#'HOME COMPRAS'!A1"/><Relationship Id="rId1" Type="http://schemas.openxmlformats.org/officeDocument/2006/relationships/chart" Target="../charts/chart27.xml"/><Relationship Id="rId6" Type="http://schemas.openxmlformats.org/officeDocument/2006/relationships/chart" Target="../charts/chart31.xml"/><Relationship Id="rId11" Type="http://schemas.openxmlformats.org/officeDocument/2006/relationships/hyperlink" Target="#'HOME CONSUMO'!A1"/><Relationship Id="rId5" Type="http://schemas.openxmlformats.org/officeDocument/2006/relationships/chart" Target="../charts/chart30.xml"/><Relationship Id="rId10" Type="http://schemas.openxmlformats.org/officeDocument/2006/relationships/chart" Target="../charts/chart33.xml"/><Relationship Id="rId4" Type="http://schemas.openxmlformats.org/officeDocument/2006/relationships/chart" Target="../charts/chart29.xml"/><Relationship Id="rId9" Type="http://schemas.openxmlformats.org/officeDocument/2006/relationships/hyperlink" Target="#GRAFICOS!A216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61912</xdr:colOff>
      <xdr:row>119</xdr:row>
      <xdr:rowOff>61911</xdr:rowOff>
    </xdr:from>
    <xdr:to>
      <xdr:col>30</xdr:col>
      <xdr:colOff>535781</xdr:colOff>
      <xdr:row>126</xdr:row>
      <xdr:rowOff>178593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MESES">
              <a:extLst>
                <a:ext uri="{FF2B5EF4-FFF2-40B4-BE49-F238E27FC236}">
                  <a16:creationId xmlns:a16="http://schemas.microsoft.com/office/drawing/2014/main" id="{55F45A3F-B309-F6E0-4671-21035D74607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912" y="7681911"/>
              <a:ext cx="3152775" cy="15335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30</xdr:col>
      <xdr:colOff>500063</xdr:colOff>
      <xdr:row>79</xdr:row>
      <xdr:rowOff>107156</xdr:rowOff>
    </xdr:from>
    <xdr:to>
      <xdr:col>55</xdr:col>
      <xdr:colOff>250031</xdr:colOff>
      <xdr:row>84</xdr:row>
      <xdr:rowOff>53868</xdr:rowOff>
    </xdr:to>
    <xdr:sp macro="" textlink="">
      <xdr:nvSpPr>
        <xdr:cNvPr id="16" name="Rectángulo redondeado 3">
          <a:extLst>
            <a:ext uri="{FF2B5EF4-FFF2-40B4-BE49-F238E27FC236}">
              <a16:creationId xmlns:a16="http://schemas.microsoft.com/office/drawing/2014/main" id="{C101166D-53E2-40DB-AA2C-809268455F41}"/>
            </a:ext>
          </a:extLst>
        </xdr:cNvPr>
        <xdr:cNvSpPr/>
      </xdr:nvSpPr>
      <xdr:spPr>
        <a:xfrm>
          <a:off x="3178969" y="107156"/>
          <a:ext cx="18799968" cy="958743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25</xdr:col>
      <xdr:colOff>142874</xdr:colOff>
      <xdr:row>79</xdr:row>
      <xdr:rowOff>59532</xdr:rowOff>
    </xdr:from>
    <xdr:to>
      <xdr:col>30</xdr:col>
      <xdr:colOff>27553</xdr:colOff>
      <xdr:row>84</xdr:row>
      <xdr:rowOff>82098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9269FC85-44E1-4822-B944-8C8792BF8A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48343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25</xdr:col>
      <xdr:colOff>241100</xdr:colOff>
      <xdr:row>84</xdr:row>
      <xdr:rowOff>116681</xdr:rowOff>
    </xdr:from>
    <xdr:to>
      <xdr:col>30</xdr:col>
      <xdr:colOff>454100</xdr:colOff>
      <xdr:row>111</xdr:row>
      <xdr:rowOff>67742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DE38F4D8-5911-CCA3-20D1-6A5EE310C5F1}"/>
            </a:ext>
          </a:extLst>
        </xdr:cNvPr>
        <xdr:cNvGrpSpPr/>
      </xdr:nvGrpSpPr>
      <xdr:grpSpPr>
        <a:xfrm>
          <a:off x="241100" y="1128712"/>
          <a:ext cx="2891906" cy="5416030"/>
          <a:chOff x="241100" y="1069181"/>
          <a:chExt cx="2891906" cy="5094561"/>
        </a:xfrm>
      </xdr:grpSpPr>
      <xdr:graphicFrame macro="">
        <xdr:nvGraphicFramePr>
          <xdr:cNvPr id="24" name="Gráfico 23">
            <a:extLst>
              <a:ext uri="{FF2B5EF4-FFF2-40B4-BE49-F238E27FC236}">
                <a16:creationId xmlns:a16="http://schemas.microsoft.com/office/drawing/2014/main" id="{7146E972-5E96-E412-9FD0-B4C82661C6A6}"/>
              </a:ext>
            </a:extLst>
          </xdr:cNvPr>
          <xdr:cNvGraphicFramePr/>
        </xdr:nvGraphicFramePr>
        <xdr:xfrm>
          <a:off x="241100" y="3283742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27" name="Grupo 26">
            <a:extLst>
              <a:ext uri="{FF2B5EF4-FFF2-40B4-BE49-F238E27FC236}">
                <a16:creationId xmlns:a16="http://schemas.microsoft.com/office/drawing/2014/main" id="{6ABC8BD1-74D8-3AAF-35BF-8C6E94E85DD6}"/>
              </a:ext>
            </a:extLst>
          </xdr:cNvPr>
          <xdr:cNvGrpSpPr/>
        </xdr:nvGrpSpPr>
        <xdr:grpSpPr>
          <a:xfrm>
            <a:off x="253006" y="1069181"/>
            <a:ext cx="2880000" cy="2880000"/>
            <a:chOff x="181569" y="1069181"/>
            <a:chExt cx="2880000" cy="2880000"/>
          </a:xfrm>
        </xdr:grpSpPr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4C2B96D5-A785-C8EC-56A8-E478B32BEA6D}"/>
                </a:ext>
              </a:extLst>
            </xdr:cNvPr>
            <xdr:cNvGraphicFramePr/>
          </xdr:nvGraphicFramePr>
          <xdr:xfrm>
            <a:off x="181569" y="1069181"/>
            <a:ext cx="2880000" cy="288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  <xdr:sp macro="" textlink="">
          <xdr:nvSpPr>
            <xdr:cNvPr id="26" name="Rectángulo 25">
              <a:extLst>
                <a:ext uri="{FF2B5EF4-FFF2-40B4-BE49-F238E27FC236}">
                  <a16:creationId xmlns:a16="http://schemas.microsoft.com/office/drawing/2014/main" id="{8D781218-0D82-5854-D191-244C45A18E8D}"/>
                </a:ext>
              </a:extLst>
            </xdr:cNvPr>
            <xdr:cNvSpPr/>
          </xdr:nvSpPr>
          <xdr:spPr>
            <a:xfrm>
              <a:off x="361569" y="2553370"/>
              <a:ext cx="2520000" cy="468013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l"/>
              <a:r>
                <a:rPr lang="es-CL" sz="2000"/>
                <a:t>AVANCE</a:t>
              </a:r>
              <a:r>
                <a:rPr lang="es-CL" sz="2400"/>
                <a:t> </a:t>
              </a:r>
              <a:r>
                <a:rPr lang="es-CL" sz="2000"/>
                <a:t>FISICO</a:t>
              </a:r>
              <a:endParaRPr lang="es-CL" sz="2400"/>
            </a:p>
          </xdr:txBody>
        </xdr:sp>
      </xdr:grpSp>
    </xdr:grpSp>
    <xdr:clientData/>
  </xdr:twoCellAnchor>
  <xdr:oneCellAnchor>
    <xdr:from>
      <xdr:col>25</xdr:col>
      <xdr:colOff>166687</xdr:colOff>
      <xdr:row>114</xdr:row>
      <xdr:rowOff>77084</xdr:rowOff>
    </xdr:from>
    <xdr:ext cx="3012282" cy="405432"/>
    <xdr:sp macro="" textlink="$AH$142">
      <xdr:nvSpPr>
        <xdr:cNvPr id="31" name="Rectángulo 30">
          <a:extLst>
            <a:ext uri="{FF2B5EF4-FFF2-40B4-BE49-F238E27FC236}">
              <a16:creationId xmlns:a16="http://schemas.microsoft.com/office/drawing/2014/main" id="{D589383D-4134-1508-A0E4-AB9C8C9AB1E8}"/>
            </a:ext>
          </a:extLst>
        </xdr:cNvPr>
        <xdr:cNvSpPr/>
      </xdr:nvSpPr>
      <xdr:spPr>
        <a:xfrm>
          <a:off x="31480125" y="6744584"/>
          <a:ext cx="3012282" cy="40543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>
          <a:spAutoFit/>
        </a:bodyPr>
        <a:lstStyle/>
        <a:p>
          <a:pPr algn="ctr"/>
          <a:r>
            <a:rPr lang="en-US" sz="2000" b="0" i="0" u="none" strike="noStrike">
              <a:solidFill>
                <a:schemeClr val="bg1"/>
              </a:solidFill>
              <a:latin typeface="Aptos Narrow"/>
            </a:rPr>
            <a:t>GAP ECONOMICO </a:t>
          </a:r>
          <a:fld id="{DB0C9E78-6C72-4F81-AD78-52AFBF63FAE7}" type="TxLink">
            <a:rPr lang="en-US" sz="2000" b="0" i="0" u="none" strike="noStrike">
              <a:solidFill>
                <a:schemeClr val="bg1"/>
              </a:solidFill>
              <a:latin typeface="Aptos Narrow"/>
            </a:rPr>
            <a:pPr algn="ctr"/>
            <a:t>9,88%</a:t>
          </a:fld>
          <a:endParaRPr lang="es-CL" sz="4000" b="0">
            <a:solidFill>
              <a:schemeClr val="bg1"/>
            </a:solidFill>
          </a:endParaRPr>
        </a:p>
      </xdr:txBody>
    </xdr:sp>
    <xdr:clientData/>
  </xdr:oneCellAnchor>
  <xdr:twoCellAnchor>
    <xdr:from>
      <xdr:col>30</xdr:col>
      <xdr:colOff>578016</xdr:colOff>
      <xdr:row>85</xdr:row>
      <xdr:rowOff>74225</xdr:rowOff>
    </xdr:from>
    <xdr:to>
      <xdr:col>55</xdr:col>
      <xdr:colOff>255422</xdr:colOff>
      <xdr:row>126</xdr:row>
      <xdr:rowOff>190500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D1E603F6-E2DF-41B7-FF72-517884C49D77}"/>
            </a:ext>
          </a:extLst>
        </xdr:cNvPr>
        <xdr:cNvGrpSpPr/>
      </xdr:nvGrpSpPr>
      <xdr:grpSpPr>
        <a:xfrm>
          <a:off x="3256922" y="1288663"/>
          <a:ext cx="18727406" cy="8414931"/>
          <a:chOff x="3256922" y="1288663"/>
          <a:chExt cx="18727406" cy="8414931"/>
        </a:xfrm>
      </xdr:grpSpPr>
      <xdr:grpSp>
        <xdr:nvGrpSpPr>
          <xdr:cNvPr id="5" name="Grupo 4">
            <a:extLst>
              <a:ext uri="{FF2B5EF4-FFF2-40B4-BE49-F238E27FC236}">
                <a16:creationId xmlns:a16="http://schemas.microsoft.com/office/drawing/2014/main" id="{755CB68B-D03D-6A7C-5A59-E46862DEFBB8}"/>
              </a:ext>
            </a:extLst>
          </xdr:cNvPr>
          <xdr:cNvGrpSpPr/>
        </xdr:nvGrpSpPr>
        <xdr:grpSpPr>
          <a:xfrm>
            <a:off x="3306177" y="1288663"/>
            <a:ext cx="18622544" cy="4378712"/>
            <a:chOff x="3275970" y="1288663"/>
            <a:chExt cx="18622544" cy="4378712"/>
          </a:xfrm>
        </xdr:grpSpPr>
        <xdr:grpSp>
          <xdr:nvGrpSpPr>
            <xdr:cNvPr id="18" name="Grupo 17">
              <a:extLst>
                <a:ext uri="{FF2B5EF4-FFF2-40B4-BE49-F238E27FC236}">
                  <a16:creationId xmlns:a16="http://schemas.microsoft.com/office/drawing/2014/main" id="{D087BE89-6F2A-DA28-8766-9167DA0B3262}"/>
                </a:ext>
              </a:extLst>
            </xdr:cNvPr>
            <xdr:cNvGrpSpPr/>
          </xdr:nvGrpSpPr>
          <xdr:grpSpPr>
            <a:xfrm>
              <a:off x="3275970" y="1298857"/>
              <a:ext cx="9493041" cy="4368518"/>
              <a:chOff x="27924915" y="1500186"/>
              <a:chExt cx="14335206" cy="4114657"/>
            </a:xfrm>
          </xdr:grpSpPr>
          <xdr:graphicFrame macro="">
            <xdr:nvGraphicFramePr>
              <xdr:cNvPr id="13" name="Gráfico 12">
                <a:extLst>
                  <a:ext uri="{FF2B5EF4-FFF2-40B4-BE49-F238E27FC236}">
                    <a16:creationId xmlns:a16="http://schemas.microsoft.com/office/drawing/2014/main" id="{48E51CD2-B42E-6275-ECAA-CB97D2B05893}"/>
                  </a:ext>
                </a:extLst>
              </xdr:cNvPr>
              <xdr:cNvGraphicFramePr/>
            </xdr:nvGraphicFramePr>
            <xdr:xfrm>
              <a:off x="27924915" y="2321719"/>
              <a:ext cx="14335206" cy="3293124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  <xdr:sp macro="" textlink="">
            <xdr:nvSpPr>
              <xdr:cNvPr id="17" name="Rectángulo 16">
                <a:extLst>
                  <a:ext uri="{FF2B5EF4-FFF2-40B4-BE49-F238E27FC236}">
                    <a16:creationId xmlns:a16="http://schemas.microsoft.com/office/drawing/2014/main" id="{DD420369-7925-BEE7-A343-C222308F453E}"/>
                  </a:ext>
                </a:extLst>
              </xdr:cNvPr>
              <xdr:cNvSpPr/>
            </xdr:nvSpPr>
            <xdr:spPr>
              <a:xfrm>
                <a:off x="27924915" y="1500186"/>
                <a:ext cx="14335206" cy="73180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AVANCE</a:t>
                </a:r>
                <a:r>
                  <a:rPr lang="es-CL" sz="2000" baseline="0"/>
                  <a:t> ECONOMICO REAL VS PROYECTADO ACUMULADO</a:t>
                </a:r>
                <a:endParaRPr lang="es-CL" sz="2000"/>
              </a:p>
            </xdr:txBody>
          </xdr:sp>
        </xdr:grpSp>
        <xdr:grpSp>
          <xdr:nvGrpSpPr>
            <xdr:cNvPr id="30" name="Grupo 29">
              <a:extLst>
                <a:ext uri="{FF2B5EF4-FFF2-40B4-BE49-F238E27FC236}">
                  <a16:creationId xmlns:a16="http://schemas.microsoft.com/office/drawing/2014/main" id="{582B35C8-095A-4AC9-4F91-8721B99DACAB}"/>
                </a:ext>
              </a:extLst>
            </xdr:cNvPr>
            <xdr:cNvGrpSpPr/>
          </xdr:nvGrpSpPr>
          <xdr:grpSpPr>
            <a:xfrm>
              <a:off x="12989675" y="1288663"/>
              <a:ext cx="8908839" cy="4332503"/>
              <a:chOff x="-5558686" y="5715000"/>
              <a:chExt cx="26647859" cy="3515721"/>
            </a:xfrm>
          </xdr:grpSpPr>
          <xdr:graphicFrame macro="">
            <xdr:nvGraphicFramePr>
              <xdr:cNvPr id="12" name="Gráfico 11">
                <a:extLst>
                  <a:ext uri="{FF2B5EF4-FFF2-40B4-BE49-F238E27FC236}">
                    <a16:creationId xmlns:a16="http://schemas.microsoft.com/office/drawing/2014/main" id="{D1D7FAA5-F4FF-DD94-D80B-E0F0BE239862}"/>
                  </a:ext>
                </a:extLst>
              </xdr:cNvPr>
              <xdr:cNvGraphicFramePr/>
            </xdr:nvGraphicFramePr>
            <xdr:xfrm>
              <a:off x="-5558686" y="6437946"/>
              <a:ext cx="26647859" cy="2792775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5"/>
              </a:graphicData>
            </a:graphic>
          </xdr:graphicFrame>
          <xdr:sp macro="" textlink="">
            <xdr:nvSpPr>
              <xdr:cNvPr id="29" name="Rectángulo 28">
                <a:extLst>
                  <a:ext uri="{FF2B5EF4-FFF2-40B4-BE49-F238E27FC236}">
                    <a16:creationId xmlns:a16="http://schemas.microsoft.com/office/drawing/2014/main" id="{D5349044-394D-BA4E-CB1F-C458C7A991D7}"/>
                  </a:ext>
                </a:extLst>
              </xdr:cNvPr>
              <xdr:cNvSpPr/>
            </xdr:nvSpPr>
            <xdr:spPr>
              <a:xfrm>
                <a:off x="-5558686" y="5715000"/>
                <a:ext cx="26647859" cy="619318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COMPRAS</a:t>
                </a:r>
                <a:r>
                  <a:rPr lang="es-CL" sz="2000" baseline="0"/>
                  <a:t> ACUMULADAS VS INGRESO ACUMULADO</a:t>
                </a:r>
                <a:endParaRPr lang="es-CL" sz="2000"/>
              </a:p>
            </xdr:txBody>
          </xdr:sp>
        </xdr:grpSp>
      </xdr:grpSp>
      <xdr:graphicFrame macro="">
        <xdr:nvGraphicFramePr>
          <xdr:cNvPr id="2" name="Gráfico 1">
            <a:extLst>
              <a:ext uri="{FF2B5EF4-FFF2-40B4-BE49-F238E27FC236}">
                <a16:creationId xmlns:a16="http://schemas.microsoft.com/office/drawing/2014/main" id="{217D0FCB-2D09-B43A-EEB8-5F6991279F88}"/>
              </a:ext>
            </a:extLst>
          </xdr:cNvPr>
          <xdr:cNvGraphicFramePr/>
        </xdr:nvGraphicFramePr>
        <xdr:xfrm>
          <a:off x="3280172" y="6881812"/>
          <a:ext cx="18680906" cy="28217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3" name="Rectángulo 2">
            <a:extLst>
              <a:ext uri="{FF2B5EF4-FFF2-40B4-BE49-F238E27FC236}">
                <a16:creationId xmlns:a16="http://schemas.microsoft.com/office/drawing/2014/main" id="{7F6A7AE7-585D-4020-98F3-3FC6F1E18C14}"/>
              </a:ext>
            </a:extLst>
          </xdr:cNvPr>
          <xdr:cNvSpPr/>
        </xdr:nvSpPr>
        <xdr:spPr>
          <a:xfrm>
            <a:off x="3256922" y="5870501"/>
            <a:ext cx="18727406" cy="76442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000"/>
              <a:t>AVANCE</a:t>
            </a:r>
            <a:r>
              <a:rPr lang="es-CL" sz="2000" baseline="0"/>
              <a:t> ECONOMICO REAL VS PROYECTADO MENSUAL</a:t>
            </a:r>
            <a:endParaRPr lang="es-CL" sz="2000"/>
          </a:p>
        </xdr:txBody>
      </xdr:sp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0.03831</cdr:x>
      <cdr:y>0.61814</cdr:y>
    </cdr:from>
    <cdr:to>
      <cdr:x>0.91331</cdr:x>
      <cdr:y>0.75892</cdr:y>
    </cdr:to>
    <cdr:sp macro="" textlink="">
      <cdr:nvSpPr>
        <cdr:cNvPr id="2" name="Rectángulo 1">
          <a:extLst xmlns:a="http://schemas.openxmlformats.org/drawingml/2006/main">
            <a:ext uri="{FF2B5EF4-FFF2-40B4-BE49-F238E27FC236}">
              <a16:creationId xmlns:a16="http://schemas.microsoft.com/office/drawing/2014/main" id="{8D781218-0D82-5854-D191-244C45A18E8D}"/>
            </a:ext>
          </a:extLst>
        </cdr:cNvPr>
        <cdr:cNvSpPr/>
      </cdr:nvSpPr>
      <cdr:spPr>
        <a:xfrm xmlns:a="http://schemas.openxmlformats.org/drawingml/2006/main">
          <a:off x="110332" y="1780248"/>
          <a:ext cx="2520000" cy="405432"/>
        </a:xfrm>
        <a:prstGeom xmlns:a="http://schemas.openxmlformats.org/drawingml/2006/main" prst="rect">
          <a:avLst/>
        </a:prstGeom>
      </cdr:spPr>
      <cdr:style>
        <a:lnRef xmlns:a="http://schemas.openxmlformats.org/drawingml/2006/main" idx="2">
          <a:schemeClr val="dk1">
            <a:shade val="15000"/>
          </a:schemeClr>
        </a:lnRef>
        <a:fillRef xmlns:a="http://schemas.openxmlformats.org/drawingml/2006/main" idx="1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L" sz="2000"/>
            <a:t>AVANCE ECONOMICO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66675</xdr:colOff>
      <xdr:row>0</xdr:row>
      <xdr:rowOff>0</xdr:rowOff>
    </xdr:from>
    <xdr:to>
      <xdr:col>35</xdr:col>
      <xdr:colOff>153760</xdr:colOff>
      <xdr:row>5</xdr:row>
      <xdr:rowOff>82097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83D1957C-B2E0-4DE9-8729-AA275B12D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0"/>
          <a:ext cx="2549978" cy="1034597"/>
        </a:xfrm>
        <a:prstGeom prst="rect">
          <a:avLst/>
        </a:prstGeom>
      </xdr:spPr>
    </xdr:pic>
    <xdr:clientData/>
  </xdr:twoCellAnchor>
  <xdr:twoCellAnchor>
    <xdr:from>
      <xdr:col>35</xdr:col>
      <xdr:colOff>922564</xdr:colOff>
      <xdr:row>0</xdr:row>
      <xdr:rowOff>92528</xdr:rowOff>
    </xdr:from>
    <xdr:to>
      <xdr:col>59</xdr:col>
      <xdr:colOff>511326</xdr:colOff>
      <xdr:row>5</xdr:row>
      <xdr:rowOff>43057</xdr:rowOff>
    </xdr:to>
    <xdr:sp macro="" textlink="">
      <xdr:nvSpPr>
        <xdr:cNvPr id="8" name="Rectángulo redondeado 3">
          <a:extLst>
            <a:ext uri="{FF2B5EF4-FFF2-40B4-BE49-F238E27FC236}">
              <a16:creationId xmlns:a16="http://schemas.microsoft.com/office/drawing/2014/main" id="{9844CD78-1294-4E6D-A481-279E97D262BE}"/>
            </a:ext>
          </a:extLst>
        </xdr:cNvPr>
        <xdr:cNvSpPr/>
      </xdr:nvSpPr>
      <xdr:spPr>
        <a:xfrm>
          <a:off x="3385457" y="92528"/>
          <a:ext cx="1823054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COMPRAS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>
    <xdr:from>
      <xdr:col>35</xdr:col>
      <xdr:colOff>1066800</xdr:colOff>
      <xdr:row>6</xdr:row>
      <xdr:rowOff>116935</xdr:rowOff>
    </xdr:from>
    <xdr:to>
      <xdr:col>41</xdr:col>
      <xdr:colOff>101014</xdr:colOff>
      <xdr:row>80</xdr:row>
      <xdr:rowOff>40822</xdr:rowOff>
    </xdr:to>
    <xdr:grpSp>
      <xdr:nvGrpSpPr>
        <xdr:cNvPr id="26" name="Grupo 25">
          <a:extLst>
            <a:ext uri="{FF2B5EF4-FFF2-40B4-BE49-F238E27FC236}">
              <a16:creationId xmlns:a16="http://schemas.microsoft.com/office/drawing/2014/main" id="{34EA727B-EF8C-A477-9869-9205CD2B8ACE}"/>
            </a:ext>
          </a:extLst>
        </xdr:cNvPr>
        <xdr:cNvGrpSpPr/>
      </xdr:nvGrpSpPr>
      <xdr:grpSpPr>
        <a:xfrm>
          <a:off x="3540826" y="1230247"/>
          <a:ext cx="3982266" cy="4562685"/>
          <a:chOff x="2876550" y="1178718"/>
          <a:chExt cx="3976670" cy="4898773"/>
        </a:xfrm>
      </xdr:grpSpPr>
      <xdr:graphicFrame macro="">
        <xdr:nvGraphicFramePr>
          <xdr:cNvPr id="4" name="COMPRAS_TOTALES">
            <a:extLst>
              <a:ext uri="{FF2B5EF4-FFF2-40B4-BE49-F238E27FC236}">
                <a16:creationId xmlns:a16="http://schemas.microsoft.com/office/drawing/2014/main" id="{B4411630-2507-CCAA-00A0-851FBF565FBC}"/>
              </a:ext>
            </a:extLst>
          </xdr:cNvPr>
          <xdr:cNvGraphicFramePr/>
        </xdr:nvGraphicFramePr>
        <xdr:xfrm>
          <a:off x="2876550" y="2047874"/>
          <a:ext cx="3969544" cy="38695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9" name="Grupo 8">
            <a:extLst>
              <a:ext uri="{FF2B5EF4-FFF2-40B4-BE49-F238E27FC236}">
                <a16:creationId xmlns:a16="http://schemas.microsoft.com/office/drawing/2014/main" id="{1DDDB976-8FD5-4D41-84FB-3A2EF8DDC78E}"/>
              </a:ext>
            </a:extLst>
          </xdr:cNvPr>
          <xdr:cNvGrpSpPr/>
        </xdr:nvGrpSpPr>
        <xdr:grpSpPr>
          <a:xfrm>
            <a:off x="2893219" y="1178718"/>
            <a:ext cx="3960001" cy="4898773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6E054790-7D97-2AB9-2608-D614A3BA094D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CB960ADC-1A7E-ADC7-0146-C602AA3D366F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TOTALES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42</xdr:col>
      <xdr:colOff>136072</xdr:colOff>
      <xdr:row>6</xdr:row>
      <xdr:rowOff>144150</xdr:rowOff>
    </xdr:from>
    <xdr:to>
      <xdr:col>47</xdr:col>
      <xdr:colOff>286072</xdr:colOff>
      <xdr:row>80</xdr:row>
      <xdr:rowOff>136073</xdr:rowOff>
    </xdr:to>
    <xdr:grpSp>
      <xdr:nvGrpSpPr>
        <xdr:cNvPr id="27" name="Grupo 26">
          <a:extLst>
            <a:ext uri="{FF2B5EF4-FFF2-40B4-BE49-F238E27FC236}">
              <a16:creationId xmlns:a16="http://schemas.microsoft.com/office/drawing/2014/main" id="{55CF17FA-6C22-61BF-FDF1-67842D30CC36}"/>
            </a:ext>
          </a:extLst>
        </xdr:cNvPr>
        <xdr:cNvGrpSpPr/>
      </xdr:nvGrpSpPr>
      <xdr:grpSpPr>
        <a:xfrm>
          <a:off x="8325098" y="1257462"/>
          <a:ext cx="3984740" cy="4630721"/>
          <a:chOff x="7250906" y="1190625"/>
          <a:chExt cx="4032118" cy="4819562"/>
        </a:xfrm>
      </xdr:grpSpPr>
      <xdr:graphicFrame macro="">
        <xdr:nvGraphicFramePr>
          <xdr:cNvPr id="2" name="COMPRAS_MENSUALES">
            <a:extLst>
              <a:ext uri="{FF2B5EF4-FFF2-40B4-BE49-F238E27FC236}">
                <a16:creationId xmlns:a16="http://schemas.microsoft.com/office/drawing/2014/main" id="{3EB82200-D0BC-774F-6D5C-B5439F90FE47}"/>
              </a:ext>
            </a:extLst>
          </xdr:cNvPr>
          <xdr:cNvGraphicFramePr/>
        </xdr:nvGraphicFramePr>
        <xdr:xfrm>
          <a:off x="7269958" y="2123986"/>
          <a:ext cx="4005260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pSp>
        <xdr:nvGrpSpPr>
          <xdr:cNvPr id="11" name="Grupo 11">
            <a:extLst>
              <a:ext uri="{FF2B5EF4-FFF2-40B4-BE49-F238E27FC236}">
                <a16:creationId xmlns:a16="http://schemas.microsoft.com/office/drawing/2014/main" id="{D313A34E-657D-767B-4CA4-88477299B9F3}"/>
              </a:ext>
            </a:extLst>
          </xdr:cNvPr>
          <xdr:cNvGrpSpPr/>
        </xdr:nvGrpSpPr>
        <xdr:grpSpPr>
          <a:xfrm>
            <a:off x="7250906" y="1190625"/>
            <a:ext cx="4032118" cy="4691905"/>
            <a:chOff x="3381374" y="1857375"/>
            <a:chExt cx="3960000" cy="4691905"/>
          </a:xfrm>
        </xdr:grpSpPr>
        <xdr:sp macro="" textlink="">
          <xdr:nvSpPr>
            <xdr:cNvPr id="14" name="Rectángulo 12">
              <a:extLst>
                <a:ext uri="{FF2B5EF4-FFF2-40B4-BE49-F238E27FC236}">
                  <a16:creationId xmlns:a16="http://schemas.microsoft.com/office/drawing/2014/main" id="{605BA578-175A-653B-6CBA-244A6CB5A20B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5" name="Rectángulo 15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F730A4F7-CFEB-1B67-F6DB-834FBDED9CAB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48</xdr:col>
      <xdr:colOff>244928</xdr:colOff>
      <xdr:row>6</xdr:row>
      <xdr:rowOff>103327</xdr:rowOff>
    </xdr:from>
    <xdr:to>
      <xdr:col>53</xdr:col>
      <xdr:colOff>394928</xdr:colOff>
      <xdr:row>80</xdr:row>
      <xdr:rowOff>27214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583521D3-56DE-D29E-9858-59884D0809F6}"/>
            </a:ext>
          </a:extLst>
        </xdr:cNvPr>
        <xdr:cNvGrpSpPr/>
      </xdr:nvGrpSpPr>
      <xdr:grpSpPr>
        <a:xfrm>
          <a:off x="13035642" y="1216639"/>
          <a:ext cx="3984741" cy="4562685"/>
          <a:chOff x="11870531" y="1190625"/>
          <a:chExt cx="3931425" cy="4750593"/>
        </a:xfrm>
      </xdr:grpSpPr>
      <xdr:graphicFrame macro="">
        <xdr:nvGraphicFramePr>
          <xdr:cNvPr id="5" name="COMP_MENSU">
            <a:extLst>
              <a:ext uri="{FF2B5EF4-FFF2-40B4-BE49-F238E27FC236}">
                <a16:creationId xmlns:a16="http://schemas.microsoft.com/office/drawing/2014/main" id="{D026953F-5EFF-3352-5133-E868922AEEA8}"/>
              </a:ext>
            </a:extLst>
          </xdr:cNvPr>
          <xdr:cNvGraphicFramePr/>
        </xdr:nvGraphicFramePr>
        <xdr:xfrm>
          <a:off x="11911013" y="2055017"/>
          <a:ext cx="3864768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pSp>
        <xdr:nvGrpSpPr>
          <xdr:cNvPr id="17" name="Grupo 11">
            <a:extLst>
              <a:ext uri="{FF2B5EF4-FFF2-40B4-BE49-F238E27FC236}">
                <a16:creationId xmlns:a16="http://schemas.microsoft.com/office/drawing/2014/main" id="{A91B3982-C00D-EC5A-D4AE-1EE47E948C97}"/>
              </a:ext>
            </a:extLst>
          </xdr:cNvPr>
          <xdr:cNvGrpSpPr/>
        </xdr:nvGrpSpPr>
        <xdr:grpSpPr>
          <a:xfrm>
            <a:off x="11870531" y="1190625"/>
            <a:ext cx="3931425" cy="4715037"/>
            <a:chOff x="3381374" y="1830161"/>
            <a:chExt cx="3960000" cy="4719119"/>
          </a:xfrm>
        </xdr:grpSpPr>
        <xdr:sp macro="" textlink="">
          <xdr:nvSpPr>
            <xdr:cNvPr id="19" name="Rectángulo 12">
              <a:extLst>
                <a:ext uri="{FF2B5EF4-FFF2-40B4-BE49-F238E27FC236}">
                  <a16:creationId xmlns:a16="http://schemas.microsoft.com/office/drawing/2014/main" id="{81D1AD4E-42EB-CA49-D642-6DD2A999460F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5C85419-E904-9162-9027-74439955A233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35</xdr:col>
      <xdr:colOff>1040946</xdr:colOff>
      <xdr:row>81</xdr:row>
      <xdr:rowOff>170518</xdr:rowOff>
    </xdr:from>
    <xdr:to>
      <xdr:col>41</xdr:col>
      <xdr:colOff>75160</xdr:colOff>
      <xdr:row>100</xdr:row>
      <xdr:rowOff>149678</xdr:rowOff>
    </xdr:to>
    <xdr:grpSp>
      <xdr:nvGrpSpPr>
        <xdr:cNvPr id="29" name="Grupo 28">
          <a:extLst>
            <a:ext uri="{FF2B5EF4-FFF2-40B4-BE49-F238E27FC236}">
              <a16:creationId xmlns:a16="http://schemas.microsoft.com/office/drawing/2014/main" id="{B51EF3A0-D1DA-FFE9-B620-1AC6CF2FDC03}"/>
            </a:ext>
          </a:extLst>
        </xdr:cNvPr>
        <xdr:cNvGrpSpPr/>
      </xdr:nvGrpSpPr>
      <xdr:grpSpPr>
        <a:xfrm>
          <a:off x="3514972" y="6108180"/>
          <a:ext cx="3982266" cy="3504647"/>
          <a:chOff x="16525875" y="1166812"/>
          <a:chExt cx="3984720" cy="4750594"/>
        </a:xfrm>
      </xdr:grpSpPr>
      <xdr:graphicFrame macro="">
        <xdr:nvGraphicFramePr>
          <xdr:cNvPr id="6" name="ARO_CRITICO">
            <a:extLst>
              <a:ext uri="{FF2B5EF4-FFF2-40B4-BE49-F238E27FC236}">
                <a16:creationId xmlns:a16="http://schemas.microsoft.com/office/drawing/2014/main" id="{103B883A-3D7B-6CA9-2311-C8D5E122206F}"/>
              </a:ext>
            </a:extLst>
          </xdr:cNvPr>
          <xdr:cNvGraphicFramePr/>
        </xdr:nvGraphicFramePr>
        <xdr:xfrm>
          <a:off x="16547306" y="1981200"/>
          <a:ext cx="3955256" cy="39362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pSp>
        <xdr:nvGrpSpPr>
          <xdr:cNvPr id="22" name="Grupo 21">
            <a:extLst>
              <a:ext uri="{FF2B5EF4-FFF2-40B4-BE49-F238E27FC236}">
                <a16:creationId xmlns:a16="http://schemas.microsoft.com/office/drawing/2014/main" id="{63419A6B-32DE-F5DE-8AA1-C9CEA4BF8871}"/>
              </a:ext>
            </a:extLst>
          </xdr:cNvPr>
          <xdr:cNvGrpSpPr/>
        </xdr:nvGrpSpPr>
        <xdr:grpSpPr>
          <a:xfrm>
            <a:off x="16525875" y="1166812"/>
            <a:ext cx="3984720" cy="4691905"/>
            <a:chOff x="3381374" y="1857375"/>
            <a:chExt cx="3960000" cy="4691905"/>
          </a:xfrm>
        </xdr:grpSpPr>
        <xdr:sp macro="" textlink="">
          <xdr:nvSpPr>
            <xdr:cNvPr id="24" name="Rectángulo 23">
              <a:extLst>
                <a:ext uri="{FF2B5EF4-FFF2-40B4-BE49-F238E27FC236}">
                  <a16:creationId xmlns:a16="http://schemas.microsoft.com/office/drawing/2014/main" id="{AC021E7C-BE41-1625-B6D2-34A69C914DF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5" name="Rectángulo 15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BAB5E38-6072-AA82-BC3B-ABBA15DD264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PRODUCTOS CRITICOS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54</xdr:col>
      <xdr:colOff>255135</xdr:colOff>
      <xdr:row>6</xdr:row>
      <xdr:rowOff>113224</xdr:rowOff>
    </xdr:from>
    <xdr:to>
      <xdr:col>59</xdr:col>
      <xdr:colOff>405135</xdr:colOff>
      <xdr:row>80</xdr:row>
      <xdr:rowOff>37111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8691EB6A-605D-4A1A-803D-5A23871C4B84}"/>
            </a:ext>
          </a:extLst>
        </xdr:cNvPr>
        <xdr:cNvGrpSpPr/>
      </xdr:nvGrpSpPr>
      <xdr:grpSpPr>
        <a:xfrm>
          <a:off x="17647538" y="1226536"/>
          <a:ext cx="3984740" cy="4562685"/>
          <a:chOff x="16423821" y="1442357"/>
          <a:chExt cx="3924131" cy="4667250"/>
        </a:xfrm>
      </xdr:grpSpPr>
      <xdr:sp macro="" textlink="">
        <xdr:nvSpPr>
          <xdr:cNvPr id="31" name="Rectángulo 30">
            <a:extLst>
              <a:ext uri="{FF2B5EF4-FFF2-40B4-BE49-F238E27FC236}">
                <a16:creationId xmlns:a16="http://schemas.microsoft.com/office/drawing/2014/main" id="{F3B44037-698E-82A5-9A06-F13FC930E127}"/>
              </a:ext>
            </a:extLst>
          </xdr:cNvPr>
          <xdr:cNvSpPr/>
        </xdr:nvSpPr>
        <xdr:spPr>
          <a:xfrm>
            <a:off x="16437428" y="2286000"/>
            <a:ext cx="3905250" cy="3823607"/>
          </a:xfrm>
          <a:prstGeom prst="rect">
            <a:avLst/>
          </a:prstGeom>
          <a:noFill/>
          <a:ln w="9525" cap="flat" cmpd="sng" algn="ctr">
            <a:solidFill>
              <a:schemeClr val="dk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64BF864-47AC-DB96-DD4D-CC1FFAA32C5A}"/>
              </a:ext>
            </a:extLst>
          </xdr:cNvPr>
          <xdr:cNvGrpSpPr/>
        </xdr:nvGrpSpPr>
        <xdr:grpSpPr>
          <a:xfrm>
            <a:off x="16423821" y="1442357"/>
            <a:ext cx="3924131" cy="3948607"/>
            <a:chOff x="16410214" y="1455964"/>
            <a:chExt cx="3924131" cy="3948607"/>
          </a:xfrm>
        </xdr:grpSpPr>
        <xdr:sp macro="" textlink="">
          <xdr:nvSpPr>
            <xdr:cNvPr id="33" name="Rectángulo 15">
              <a:extLst>
                <a:ext uri="{FF2B5EF4-FFF2-40B4-BE49-F238E27FC236}">
                  <a16:creationId xmlns:a16="http://schemas.microsoft.com/office/drawing/2014/main" id="{DFD03E5E-2F5E-1F56-D8E9-B1DB6B2BBD0E}"/>
                </a:ext>
              </a:extLst>
            </xdr:cNvPr>
            <xdr:cNvSpPr/>
          </xdr:nvSpPr>
          <xdr:spPr>
            <a:xfrm>
              <a:off x="16410214" y="1455964"/>
              <a:ext cx="3924131" cy="766296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ACUMULADA</a:t>
              </a:r>
            </a:p>
          </xdr:txBody>
        </xdr:sp>
        <xdr:sp macro="" textlink="J454">
          <xdr:nvSpPr>
            <xdr:cNvPr id="34" name="Rectángulo 33">
              <a:extLst>
                <a:ext uri="{FF2B5EF4-FFF2-40B4-BE49-F238E27FC236}">
                  <a16:creationId xmlns:a16="http://schemas.microsoft.com/office/drawing/2014/main" id="{1D24165A-6AA5-3132-0F26-60005DE12CF5}"/>
                </a:ext>
              </a:extLst>
            </xdr:cNvPr>
            <xdr:cNvSpPr/>
          </xdr:nvSpPr>
          <xdr:spPr>
            <a:xfrm>
              <a:off x="16682603" y="2783592"/>
              <a:ext cx="3333750" cy="124751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VARIACIÓN            </a:t>
              </a:r>
              <a:fld id="{49F4F5FC-F336-4228-B372-71701C981FC0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-0,88%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  <xdr:sp macro="" textlink="J455">
          <xdr:nvSpPr>
            <xdr:cNvPr id="35" name="Rectángulo 34">
              <a:extLst>
                <a:ext uri="{FF2B5EF4-FFF2-40B4-BE49-F238E27FC236}">
                  <a16:creationId xmlns:a16="http://schemas.microsoft.com/office/drawing/2014/main" id="{6060F391-1B49-5785-3B90-3D7A3D91B9EB}"/>
                </a:ext>
              </a:extLst>
            </xdr:cNvPr>
            <xdr:cNvSpPr/>
          </xdr:nvSpPr>
          <xdr:spPr>
            <a:xfrm>
              <a:off x="16695841" y="4157057"/>
              <a:ext cx="3333750" cy="1247514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DESVIACIÓN        </a:t>
              </a:r>
              <a:r>
                <a:rPr lang="en-US" sz="3600" b="1" i="0" u="none" strike="noStrike" baseline="0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 </a:t>
              </a:r>
              <a:fld id="{4C2C18F4-3DA2-47A5-98F4-4FE810C72831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-$7.924.774 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</xdr:grpSp>
    </xdr:grpSp>
    <xdr:clientData/>
  </xdr:twoCellAnchor>
  <xdr:twoCellAnchor>
    <xdr:from>
      <xdr:col>42</xdr:col>
      <xdr:colOff>51025</xdr:colOff>
      <xdr:row>82</xdr:row>
      <xdr:rowOff>57834</xdr:rowOff>
    </xdr:from>
    <xdr:to>
      <xdr:col>47</xdr:col>
      <xdr:colOff>353900</xdr:colOff>
      <xdr:row>195</xdr:row>
      <xdr:rowOff>119064</xdr:rowOff>
    </xdr:to>
    <xdr:grpSp>
      <xdr:nvGrpSpPr>
        <xdr:cNvPr id="37" name="Grupo 36">
          <a:extLst>
            <a:ext uri="{FF2B5EF4-FFF2-40B4-BE49-F238E27FC236}">
              <a16:creationId xmlns:a16="http://schemas.microsoft.com/office/drawing/2014/main" id="{7555F228-CC50-CF58-CBB2-82AB4C1697C4}"/>
            </a:ext>
          </a:extLst>
        </xdr:cNvPr>
        <xdr:cNvGrpSpPr/>
      </xdr:nvGrpSpPr>
      <xdr:grpSpPr>
        <a:xfrm>
          <a:off x="8240051" y="6181048"/>
          <a:ext cx="4137615" cy="3586717"/>
          <a:chOff x="8001000" y="6286500"/>
          <a:chExt cx="3957723" cy="4832643"/>
        </a:xfrm>
      </xdr:grpSpPr>
      <xdr:graphicFrame macro="">
        <xdr:nvGraphicFramePr>
          <xdr:cNvPr id="3" name="DIFERENCIAS">
            <a:extLst>
              <a:ext uri="{FF2B5EF4-FFF2-40B4-BE49-F238E27FC236}">
                <a16:creationId xmlns:a16="http://schemas.microsoft.com/office/drawing/2014/main" id="{00BDFD4B-ADD1-A35F-4B81-2DFE5283F028}"/>
              </a:ext>
            </a:extLst>
          </xdr:cNvPr>
          <xdr:cNvGraphicFramePr/>
        </xdr:nvGraphicFramePr>
        <xdr:xfrm>
          <a:off x="8101097" y="7215384"/>
          <a:ext cx="3857626" cy="39037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pSp>
        <xdr:nvGrpSpPr>
          <xdr:cNvPr id="18" name="Grupo 11">
            <a:extLst>
              <a:ext uri="{FF2B5EF4-FFF2-40B4-BE49-F238E27FC236}">
                <a16:creationId xmlns:a16="http://schemas.microsoft.com/office/drawing/2014/main" id="{2464D086-BCC8-3EBA-54A3-90C93BBB719F}"/>
              </a:ext>
            </a:extLst>
          </xdr:cNvPr>
          <xdr:cNvGrpSpPr/>
        </xdr:nvGrpSpPr>
        <xdr:grpSpPr>
          <a:xfrm>
            <a:off x="8001000" y="6286500"/>
            <a:ext cx="3931425" cy="4715037"/>
            <a:chOff x="3381374" y="1830161"/>
            <a:chExt cx="3960000" cy="4719119"/>
          </a:xfrm>
        </xdr:grpSpPr>
        <xdr:sp macro="" textlink="">
          <xdr:nvSpPr>
            <xdr:cNvPr id="23" name="Rectángulo 1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26CF0E1-0011-BAB4-A9C6-D0D0CDF4C546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DIFERENCIAS EN COMPRAS</a:t>
              </a:r>
            </a:p>
          </xdr:txBody>
        </xdr:sp>
        <xdr:sp macro="" textlink="">
          <xdr:nvSpPr>
            <xdr:cNvPr id="21" name="Rectángulo 12">
              <a:extLst>
                <a:ext uri="{FF2B5EF4-FFF2-40B4-BE49-F238E27FC236}">
                  <a16:creationId xmlns:a16="http://schemas.microsoft.com/office/drawing/2014/main" id="{98CF65C9-C44F-3BDC-AF84-C2E556805A80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145427</xdr:colOff>
          <xdr:row>0</xdr:row>
          <xdr:rowOff>68967</xdr:rowOff>
        </xdr:from>
        <xdr:to>
          <xdr:col>32</xdr:col>
          <xdr:colOff>145427</xdr:colOff>
          <xdr:row>0</xdr:row>
          <xdr:rowOff>68967</xdr:rowOff>
        </xdr:to>
        <xdr:grpSp>
          <xdr:nvGrpSpPr>
            <xdr:cNvPr id="51" name="Grupo 50">
              <a:extLst>
                <a:ext uri="{FF2B5EF4-FFF2-40B4-BE49-F238E27FC236}">
                  <a16:creationId xmlns:a16="http://schemas.microsoft.com/office/drawing/2014/main" id="{BD3CECAC-A9CF-8D9E-2B11-436967C52558}"/>
                </a:ext>
              </a:extLst>
            </xdr:cNvPr>
            <xdr:cNvGrpSpPr/>
          </xdr:nvGrpSpPr>
          <xdr:grpSpPr>
            <a:xfrm>
              <a:off x="145427" y="68967"/>
              <a:ext cx="0" cy="0"/>
              <a:chOff x="145427" y="68967"/>
              <a:chExt cx="0" cy="0"/>
            </a:xfrm>
          </xdr:grpSpPr>
        </xdr:grpSp>
        <xdr:clientData/>
      </xdr:twoCellAnchor>
    </mc:Choice>
    <mc:Fallback/>
  </mc:AlternateContent>
  <xdr:twoCellAnchor>
    <xdr:from>
      <xdr:col>48</xdr:col>
      <xdr:colOff>265340</xdr:colOff>
      <xdr:row>81</xdr:row>
      <xdr:rowOff>176906</xdr:rowOff>
    </xdr:from>
    <xdr:to>
      <xdr:col>53</xdr:col>
      <xdr:colOff>561294</xdr:colOff>
      <xdr:row>195</xdr:row>
      <xdr:rowOff>54430</xdr:rowOff>
    </xdr:to>
    <xdr:grpSp>
      <xdr:nvGrpSpPr>
        <xdr:cNvPr id="40" name="Grupo 39">
          <a:extLst>
            <a:ext uri="{FF2B5EF4-FFF2-40B4-BE49-F238E27FC236}">
              <a16:creationId xmlns:a16="http://schemas.microsoft.com/office/drawing/2014/main" id="{33D55672-211F-6970-E06B-755722ED10BD}"/>
            </a:ext>
          </a:extLst>
        </xdr:cNvPr>
        <xdr:cNvGrpSpPr/>
      </xdr:nvGrpSpPr>
      <xdr:grpSpPr>
        <a:xfrm>
          <a:off x="13056054" y="6114568"/>
          <a:ext cx="4130695" cy="3588563"/>
          <a:chOff x="12770305" y="6272906"/>
          <a:chExt cx="4105954" cy="3687524"/>
        </a:xfrm>
      </xdr:grpSpPr>
      <xdr:grpSp>
        <xdr:nvGrpSpPr>
          <xdr:cNvPr id="41" name="Grupo 11">
            <a:extLst>
              <a:ext uri="{FF2B5EF4-FFF2-40B4-BE49-F238E27FC236}">
                <a16:creationId xmlns:a16="http://schemas.microsoft.com/office/drawing/2014/main" id="{65AB080A-5A72-3A65-60E5-8CCB4B03DEFA}"/>
              </a:ext>
            </a:extLst>
          </xdr:cNvPr>
          <xdr:cNvGrpSpPr/>
        </xdr:nvGrpSpPr>
        <xdr:grpSpPr>
          <a:xfrm>
            <a:off x="12770305" y="6272906"/>
            <a:ext cx="4105954" cy="3633094"/>
            <a:chOff x="3381374" y="1802250"/>
            <a:chExt cx="4010704" cy="5982332"/>
          </a:xfrm>
        </xdr:grpSpPr>
        <xdr:sp macro="" textlink="">
          <xdr:nvSpPr>
            <xdr:cNvPr id="42" name="Rectángulo 12">
              <a:extLst>
                <a:ext uri="{FF2B5EF4-FFF2-40B4-BE49-F238E27FC236}">
                  <a16:creationId xmlns:a16="http://schemas.microsoft.com/office/drawing/2014/main" id="{AD855CC4-E95A-370E-D2E1-EF757C16DBE2}"/>
                </a:ext>
              </a:extLst>
            </xdr:cNvPr>
            <xdr:cNvSpPr/>
          </xdr:nvSpPr>
          <xdr:spPr>
            <a:xfrm>
              <a:off x="3381374" y="1802250"/>
              <a:ext cx="4010704" cy="5982332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43" name="Rectángulo 1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97846165-2D44-1BD9-3C51-100DF71DB121}"/>
                </a:ext>
              </a:extLst>
            </xdr:cNvPr>
            <xdr:cNvSpPr/>
          </xdr:nvSpPr>
          <xdr:spPr>
            <a:xfrm>
              <a:off x="3405188" y="1830159"/>
              <a:ext cx="3854070" cy="957619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DE PRECIO</a:t>
              </a:r>
            </a:p>
          </xdr:txBody>
        </xdr:sp>
      </xdr:grpSp>
      <xdr:graphicFrame macro="">
        <xdr:nvGraphicFramePr>
          <xdr:cNvPr id="39" name="%VARIACION">
            <a:extLst>
              <a:ext uri="{FF2B5EF4-FFF2-40B4-BE49-F238E27FC236}">
                <a16:creationId xmlns:a16="http://schemas.microsoft.com/office/drawing/2014/main" id="{CBCE8721-047F-9817-86F9-76940C7DD797}"/>
              </a:ext>
            </a:extLst>
          </xdr:cNvPr>
          <xdr:cNvGraphicFramePr/>
        </xdr:nvGraphicFramePr>
        <xdr:xfrm>
          <a:off x="12867255" y="6963456"/>
          <a:ext cx="3833811" cy="299697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</xdr:grpSp>
    <xdr:clientData/>
  </xdr:twoCellAnchor>
  <xdr:twoCellAnchor>
    <xdr:from>
      <xdr:col>33</xdr:col>
      <xdr:colOff>708419</xdr:colOff>
      <xdr:row>195</xdr:row>
      <xdr:rowOff>116681</xdr:rowOff>
    </xdr:from>
    <xdr:to>
      <xdr:col>37</xdr:col>
      <xdr:colOff>738188</xdr:colOff>
      <xdr:row>210</xdr:row>
      <xdr:rowOff>2381</xdr:rowOff>
    </xdr:to>
    <xdr:graphicFrame macro="">
      <xdr:nvGraphicFramePr>
        <xdr:cNvPr id="56" name="Gráfico 55" hidden="1">
          <a:extLst>
            <a:ext uri="{FF2B5EF4-FFF2-40B4-BE49-F238E27FC236}">
              <a16:creationId xmlns:a16="http://schemas.microsoft.com/office/drawing/2014/main" id="{DA9C8A4D-8154-FF8B-0D83-AC39D473B1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851297</xdr:colOff>
      <xdr:row>552</xdr:row>
      <xdr:rowOff>69056</xdr:rowOff>
    </xdr:from>
    <xdr:to>
      <xdr:col>13</xdr:col>
      <xdr:colOff>946547</xdr:colOff>
      <xdr:row>566</xdr:row>
      <xdr:rowOff>145256</xdr:rowOff>
    </xdr:to>
    <xdr:graphicFrame macro="">
      <xdr:nvGraphicFramePr>
        <xdr:cNvPr id="12" name="Gráfico 11" hidden="1">
          <a:extLst>
            <a:ext uri="{FF2B5EF4-FFF2-40B4-BE49-F238E27FC236}">
              <a16:creationId xmlns:a16="http://schemas.microsoft.com/office/drawing/2014/main" id="{5575F459-47B8-8F96-AA56-DB902FC196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32</xdr:col>
      <xdr:colOff>273276</xdr:colOff>
      <xdr:row>5</xdr:row>
      <xdr:rowOff>100237</xdr:rowOff>
    </xdr:from>
    <xdr:to>
      <xdr:col>35</xdr:col>
      <xdr:colOff>725714</xdr:colOff>
      <xdr:row>47</xdr:row>
      <xdr:rowOff>176437</xdr:rowOff>
    </xdr:to>
    <xdr:grpSp>
      <xdr:nvGrpSpPr>
        <xdr:cNvPr id="52" name="Grupo 51">
          <a:extLst>
            <a:ext uri="{FF2B5EF4-FFF2-40B4-BE49-F238E27FC236}">
              <a16:creationId xmlns:a16="http://schemas.microsoft.com/office/drawing/2014/main" id="{5CF6A4A7-7736-3615-E2E9-07A5D2023515}"/>
            </a:ext>
          </a:extLst>
        </xdr:cNvPr>
        <xdr:cNvGrpSpPr/>
      </xdr:nvGrpSpPr>
      <xdr:grpSpPr>
        <a:xfrm>
          <a:off x="273276" y="1027997"/>
          <a:ext cx="2926464" cy="2859479"/>
          <a:chOff x="45013394" y="11601262"/>
          <a:chExt cx="3756433" cy="2743200"/>
        </a:xfrm>
      </xdr:grpSpPr>
      <xdr:graphicFrame macro="">
        <xdr:nvGraphicFramePr>
          <xdr:cNvPr id="38" name="Gráfico 37">
            <a:extLst>
              <a:ext uri="{FF2B5EF4-FFF2-40B4-BE49-F238E27FC236}">
                <a16:creationId xmlns:a16="http://schemas.microsoft.com/office/drawing/2014/main" id="{509E5F73-30E4-B444-B31E-0A4F3352A0B1}"/>
              </a:ext>
            </a:extLst>
          </xdr:cNvPr>
          <xdr:cNvGraphicFramePr/>
        </xdr:nvGraphicFramePr>
        <xdr:xfrm>
          <a:off x="45013394" y="11601262"/>
          <a:ext cx="3756433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sp macro="" textlink="AG472">
        <xdr:nvSpPr>
          <xdr:cNvPr id="57" name="Rectángulo 56">
            <a:extLst>
              <a:ext uri="{FF2B5EF4-FFF2-40B4-BE49-F238E27FC236}">
                <a16:creationId xmlns:a16="http://schemas.microsoft.com/office/drawing/2014/main" id="{DDE3AE3C-0CB5-FC1C-BCB4-C525A2362E33}"/>
              </a:ext>
            </a:extLst>
          </xdr:cNvPr>
          <xdr:cNvSpPr/>
        </xdr:nvSpPr>
        <xdr:spPr>
          <a:xfrm>
            <a:off x="46070403" y="12164920"/>
            <a:ext cx="1691598" cy="105424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7ADF2B2-F531-4821-A5E7-82AFCC58BEBD}" type="TxLink">
              <a:rPr lang="en-US" sz="2800" b="1" i="0" u="none" strike="noStrike">
                <a:solidFill>
                  <a:schemeClr val="accent6"/>
                </a:solidFill>
                <a:latin typeface="Aptos Narrow"/>
              </a:rPr>
              <a:pPr algn="ctr"/>
              <a:t>13,62%</a:t>
            </a:fld>
            <a:endParaRPr lang="es-MX" sz="5400" b="1">
              <a:solidFill>
                <a:schemeClr val="accent6"/>
              </a:solidFill>
            </a:endParaRPr>
          </a:p>
        </xdr:txBody>
      </xdr:sp>
    </xdr:grpSp>
    <xdr:clientData/>
  </xdr:twoCellAnchor>
  <xdr:twoCellAnchor editAs="oneCell">
    <xdr:from>
      <xdr:col>54</xdr:col>
      <xdr:colOff>261936</xdr:colOff>
      <xdr:row>81</xdr:row>
      <xdr:rowOff>81642</xdr:rowOff>
    </xdr:from>
    <xdr:to>
      <xdr:col>59</xdr:col>
      <xdr:colOff>299357</xdr:colOff>
      <xdr:row>197</xdr:row>
      <xdr:rowOff>23812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3" name="PRODUCTO">
              <a:extLst>
                <a:ext uri="{FF2B5EF4-FFF2-40B4-BE49-F238E27FC236}">
                  <a16:creationId xmlns:a16="http://schemas.microsoft.com/office/drawing/2014/main" id="{9673A4E9-B5A3-7879-2B09-788D3862026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556615" y="6177642"/>
              <a:ext cx="3847421" cy="404132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32</xdr:col>
      <xdr:colOff>285750</xdr:colOff>
      <xdr:row>41</xdr:row>
      <xdr:rowOff>133507</xdr:rowOff>
    </xdr:from>
    <xdr:to>
      <xdr:col>35</xdr:col>
      <xdr:colOff>619125</xdr:colOff>
      <xdr:row>85</xdr:row>
      <xdr:rowOff>156481</xdr:rowOff>
    </xdr:to>
    <xdr:grpSp>
      <xdr:nvGrpSpPr>
        <xdr:cNvPr id="55" name="Grupo 54">
          <a:extLst>
            <a:ext uri="{FF2B5EF4-FFF2-40B4-BE49-F238E27FC236}">
              <a16:creationId xmlns:a16="http://schemas.microsoft.com/office/drawing/2014/main" id="{39FD3A73-523D-432F-6C11-74DCECE10C69}"/>
            </a:ext>
          </a:extLst>
        </xdr:cNvPr>
        <xdr:cNvGrpSpPr/>
      </xdr:nvGrpSpPr>
      <xdr:grpSpPr>
        <a:xfrm>
          <a:off x="285750" y="2731234"/>
          <a:ext cx="2807401" cy="4105117"/>
          <a:chOff x="34781284" y="3096463"/>
          <a:chExt cx="2854372" cy="4213974"/>
        </a:xfrm>
      </xdr:grpSpPr>
      <xdr:grpSp>
        <xdr:nvGrpSpPr>
          <xdr:cNvPr id="45" name="Grupo 44">
            <a:extLst>
              <a:ext uri="{FF2B5EF4-FFF2-40B4-BE49-F238E27FC236}">
                <a16:creationId xmlns:a16="http://schemas.microsoft.com/office/drawing/2014/main" id="{9D54F514-8D22-4633-A47F-08BF9E304544}"/>
              </a:ext>
            </a:extLst>
          </xdr:cNvPr>
          <xdr:cNvGrpSpPr/>
        </xdr:nvGrpSpPr>
        <xdr:grpSpPr>
          <a:xfrm>
            <a:off x="34781284" y="3096463"/>
            <a:ext cx="2854372" cy="4213974"/>
            <a:chOff x="16423821" y="1442357"/>
            <a:chExt cx="3924131" cy="4667250"/>
          </a:xfrm>
        </xdr:grpSpPr>
        <xdr:sp macro="" textlink="">
          <xdr:nvSpPr>
            <xdr:cNvPr id="46" name="Rectángulo 45">
              <a:extLst>
                <a:ext uri="{FF2B5EF4-FFF2-40B4-BE49-F238E27FC236}">
                  <a16:creationId xmlns:a16="http://schemas.microsoft.com/office/drawing/2014/main" id="{D16715CF-32C4-33AF-50FC-C05319E54A0E}"/>
                </a:ext>
              </a:extLst>
            </xdr:cNvPr>
            <xdr:cNvSpPr/>
          </xdr:nvSpPr>
          <xdr:spPr>
            <a:xfrm>
              <a:off x="16437428" y="2286000"/>
              <a:ext cx="3905250" cy="3823607"/>
            </a:xfrm>
            <a:prstGeom prst="rect">
              <a:avLst/>
            </a:prstGeom>
            <a:noFill/>
            <a:ln w="9525" cap="flat" cmpd="sng" algn="ctr">
              <a:solidFill>
                <a:schemeClr val="dk1"/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grpSp>
          <xdr:nvGrpSpPr>
            <xdr:cNvPr id="47" name="Grupo 46">
              <a:extLst>
                <a:ext uri="{FF2B5EF4-FFF2-40B4-BE49-F238E27FC236}">
                  <a16:creationId xmlns:a16="http://schemas.microsoft.com/office/drawing/2014/main" id="{4A57E5A0-6BBD-B67A-7797-7F8118BA5D31}"/>
                </a:ext>
              </a:extLst>
            </xdr:cNvPr>
            <xdr:cNvGrpSpPr/>
          </xdr:nvGrpSpPr>
          <xdr:grpSpPr>
            <a:xfrm>
              <a:off x="16423821" y="1442357"/>
              <a:ext cx="3924131" cy="2966701"/>
              <a:chOff x="16410214" y="1455964"/>
              <a:chExt cx="3924131" cy="2966701"/>
            </a:xfrm>
          </xdr:grpSpPr>
          <xdr:sp macro="" textlink="">
            <xdr:nvSpPr>
              <xdr:cNvPr id="48" name="Rectángulo 15">
                <a:extLst>
                  <a:ext uri="{FF2B5EF4-FFF2-40B4-BE49-F238E27FC236}">
                    <a16:creationId xmlns:a16="http://schemas.microsoft.com/office/drawing/2014/main" id="{220C4ABF-A161-3070-EBEC-6817FA831CC7}"/>
                  </a:ext>
                </a:extLst>
              </xdr:cNvPr>
              <xdr:cNvSpPr/>
            </xdr:nvSpPr>
            <xdr:spPr>
              <a:xfrm>
                <a:off x="16410214" y="1455964"/>
                <a:ext cx="3924131" cy="76629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s-MX" sz="2000" b="0" cap="none" spc="0">
                    <a:ln w="0"/>
                    <a:solidFill>
                      <a:schemeClr val="bg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AVANCE PROYECTO</a:t>
                </a:r>
              </a:p>
            </xdr:txBody>
          </xdr:sp>
          <xdr:sp macro="" textlink="J457">
            <xdr:nvSpPr>
              <xdr:cNvPr id="49" name="Rectángulo 48">
                <a:extLst>
                  <a:ext uri="{FF2B5EF4-FFF2-40B4-BE49-F238E27FC236}">
                    <a16:creationId xmlns:a16="http://schemas.microsoft.com/office/drawing/2014/main" id="{E4DAFEF7-E7F7-1170-8743-B86F02D77478}"/>
                  </a:ext>
                </a:extLst>
              </xdr:cNvPr>
              <xdr:cNvSpPr/>
            </xdr:nvSpPr>
            <xdr:spPr>
              <a:xfrm>
                <a:off x="16710724" y="2393539"/>
                <a:ext cx="3335130" cy="959224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PRESUPUESTO</a:t>
                </a:r>
                <a:fld id="{A79BD35B-0853-4C8B-B6CD-BF922D3E62E0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$6.579.000.000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  <xdr:sp macro="" textlink="J456">
            <xdr:nvSpPr>
              <xdr:cNvPr id="50" name="Rectángulo 49">
                <a:extLst>
                  <a:ext uri="{FF2B5EF4-FFF2-40B4-BE49-F238E27FC236}">
                    <a16:creationId xmlns:a16="http://schemas.microsoft.com/office/drawing/2014/main" id="{D80A6054-084B-7ED3-84E5-8D43B3EB4A10}"/>
                  </a:ext>
                </a:extLst>
              </xdr:cNvPr>
              <xdr:cNvSpPr/>
            </xdr:nvSpPr>
            <xdr:spPr>
              <a:xfrm>
                <a:off x="16502282" y="3463441"/>
                <a:ext cx="3789713" cy="959224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 anchorCtr="1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COMPRAS TOTALES </a:t>
                </a:r>
                <a:fld id="{2753B05C-398B-4D8A-84A3-8E12428ECEAB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$896.025.095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</xdr:grpSp>
      </xdr:grpSp>
      <xdr:sp macro="" textlink="K458">
        <xdr:nvSpPr>
          <xdr:cNvPr id="54" name="Rectángulo 53">
            <a:extLst>
              <a:ext uri="{FF2B5EF4-FFF2-40B4-BE49-F238E27FC236}">
                <a16:creationId xmlns:a16="http://schemas.microsoft.com/office/drawing/2014/main" id="{4AD87D03-FEDD-D0E1-2A13-349FFB910799}"/>
              </a:ext>
            </a:extLst>
          </xdr:cNvPr>
          <xdr:cNvSpPr/>
        </xdr:nvSpPr>
        <xdr:spPr>
          <a:xfrm>
            <a:off x="35029955" y="6102672"/>
            <a:ext cx="2357436" cy="86606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t>EQUIVALENCIA EN MODULOS</a:t>
            </a:r>
            <a:fld id="{23FC5213-98A3-47CB-BE85-35E79432FD5F}" type="TxLink"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t> 98 </a:t>
            </a:fld>
            <a:endParaRPr lang="es-MX" sz="4000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228600</xdr:colOff>
          <xdr:row>86</xdr:row>
          <xdr:rowOff>168730</xdr:rowOff>
        </xdr:from>
        <xdr:to>
          <xdr:col>35</xdr:col>
          <xdr:colOff>693965</xdr:colOff>
          <xdr:row>91</xdr:row>
          <xdr:rowOff>176894</xdr:rowOff>
        </xdr:to>
        <xdr:grpSp>
          <xdr:nvGrpSpPr>
            <xdr:cNvPr id="59" name="Grupo 58">
              <a:extLst>
                <a:ext uri="{FF2B5EF4-FFF2-40B4-BE49-F238E27FC236}">
                  <a16:creationId xmlns:a16="http://schemas.microsoft.com/office/drawing/2014/main" id="{7FEB86A6-539A-B23F-D82A-111322A3AC7B}"/>
                </a:ext>
              </a:extLst>
            </xdr:cNvPr>
            <xdr:cNvGrpSpPr/>
          </xdr:nvGrpSpPr>
          <xdr:grpSpPr>
            <a:xfrm>
              <a:off x="228600" y="7034152"/>
              <a:ext cx="2939391" cy="935924"/>
              <a:chOff x="228600" y="7217230"/>
              <a:chExt cx="2928258" cy="960664"/>
            </a:xfrm>
          </xdr:grpSpPr>
        </xdr:grpSp>
        <xdr:clientData/>
      </xdr:twoCellAnchor>
    </mc:Choice>
    <mc:Fallback/>
  </mc:AlternateContent>
  <xdr:twoCellAnchor>
    <xdr:from>
      <xdr:col>32</xdr:col>
      <xdr:colOff>243291</xdr:colOff>
      <xdr:row>86</xdr:row>
      <xdr:rowOff>87085</xdr:rowOff>
    </xdr:from>
    <xdr:to>
      <xdr:col>35</xdr:col>
      <xdr:colOff>735868</xdr:colOff>
      <xdr:row>195</xdr:row>
      <xdr:rowOff>95250</xdr:rowOff>
    </xdr:to>
    <xdr:grpSp>
      <xdr:nvGrpSpPr>
        <xdr:cNvPr id="62" name="Grupo 61">
          <a:extLst>
            <a:ext uri="{FF2B5EF4-FFF2-40B4-BE49-F238E27FC236}">
              <a16:creationId xmlns:a16="http://schemas.microsoft.com/office/drawing/2014/main" id="{D35F34FC-AF71-9CC3-FB04-506FAB519B42}"/>
            </a:ext>
          </a:extLst>
        </xdr:cNvPr>
        <xdr:cNvGrpSpPr/>
      </xdr:nvGrpSpPr>
      <xdr:grpSpPr>
        <a:xfrm>
          <a:off x="243291" y="6952507"/>
          <a:ext cx="2966603" cy="2791444"/>
          <a:chOff x="214993" y="7067549"/>
          <a:chExt cx="2969077" cy="286566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0" name="Meses (FECHA SOLICITUD)">
                <a:extLst>
                  <a:ext uri="{FF2B5EF4-FFF2-40B4-BE49-F238E27FC236}">
                    <a16:creationId xmlns:a16="http://schemas.microsoft.com/office/drawing/2014/main" id="{A80E529A-9C3D-B9FC-3010-31144EE5A8F5}"/>
                  </a:ext>
                </a:extLst>
              </xdr:cNvPr>
              <xdr:cNvGraphicFramePr/>
            </xdr:nvGraphicFramePr>
            <xdr:xfrm>
              <a:off x="228599" y="8115301"/>
              <a:ext cx="2928257" cy="1817913"/>
            </xdr:xfrm>
            <a:graphic>
              <a:graphicData uri="http://schemas.microsoft.com/office/drawing/2010/slicer">
                <sle:slicer xmlns:sle="http://schemas.microsoft.com/office/drawing/2010/slicer" name="Meses (FECHA SOLICITUD)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56824" y="8279686"/>
                <a:ext cx="2912600" cy="1839493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1" name="Años (FECHA SOLICITUD)">
                <a:extLst>
                  <a:ext uri="{FF2B5EF4-FFF2-40B4-BE49-F238E27FC236}">
                    <a16:creationId xmlns:a16="http://schemas.microsoft.com/office/drawing/2014/main" id="{1EBCC215-1131-8245-B728-5AC172D3DBBA}"/>
                  </a:ext>
                </a:extLst>
              </xdr:cNvPr>
              <xdr:cNvGraphicFramePr/>
            </xdr:nvGraphicFramePr>
            <xdr:xfrm>
              <a:off x="214993" y="7067549"/>
              <a:ext cx="2969077" cy="974272"/>
            </xdr:xfrm>
            <a:graphic>
              <a:graphicData uri="http://schemas.microsoft.com/office/drawing/2010/slicer">
                <sle:slicer xmlns:sle="http://schemas.microsoft.com/office/drawing/2010/slicer" name="Años (FECHA SOLICITUD)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42208" y="7135585"/>
                <a:ext cx="2940502" cy="974272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166687</xdr:colOff>
      <xdr:row>4</xdr:row>
      <xdr:rowOff>71438</xdr:rowOff>
    </xdr:from>
    <xdr:to>
      <xdr:col>36</xdr:col>
      <xdr:colOff>190501</xdr:colOff>
      <xdr:row>21</xdr:row>
      <xdr:rowOff>72938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10CA028B-832D-231D-0F47-B7E115E093B9}"/>
            </a:ext>
          </a:extLst>
        </xdr:cNvPr>
        <xdr:cNvGrpSpPr/>
      </xdr:nvGrpSpPr>
      <xdr:grpSpPr>
        <a:xfrm>
          <a:off x="166687" y="825064"/>
          <a:ext cx="3624473" cy="3204412"/>
          <a:chOff x="20787089" y="1107281"/>
          <a:chExt cx="3535955" cy="3240000"/>
        </a:xfrm>
      </xdr:grpSpPr>
      <xdr:graphicFrame macro="">
        <xdr:nvGraphicFramePr>
          <xdr:cNvPr id="9" name="Gráfico 8">
            <a:extLst>
              <a:ext uri="{FF2B5EF4-FFF2-40B4-BE49-F238E27FC236}">
                <a16:creationId xmlns:a16="http://schemas.microsoft.com/office/drawing/2014/main" id="{7C5B35E8-8919-4930-98F4-959132CCF432}"/>
              </a:ext>
            </a:extLst>
          </xdr:cNvPr>
          <xdr:cNvGraphicFramePr>
            <a:graphicFrameLocks/>
          </xdr:cNvGraphicFramePr>
        </xdr:nvGraphicFramePr>
        <xdr:xfrm>
          <a:off x="20787089" y="1107281"/>
          <a:ext cx="3535955" cy="32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22" name="Rectángulo 21">
            <a:extLst>
              <a:ext uri="{FF2B5EF4-FFF2-40B4-BE49-F238E27FC236}">
                <a16:creationId xmlns:a16="http://schemas.microsoft.com/office/drawing/2014/main" id="{FBECDBE9-0ECD-BAF1-4E26-4B645A58A6E7}"/>
              </a:ext>
            </a:extLst>
          </xdr:cNvPr>
          <xdr:cNvSpPr/>
        </xdr:nvSpPr>
        <xdr:spPr>
          <a:xfrm>
            <a:off x="20903022" y="2845593"/>
            <a:ext cx="3016633" cy="63103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 FÍSICO</a:t>
            </a:r>
          </a:p>
        </xdr:txBody>
      </xdr:sp>
    </xdr:grpSp>
    <xdr:clientData/>
  </xdr:twoCellAnchor>
  <xdr:twoCellAnchor>
    <xdr:from>
      <xdr:col>36</xdr:col>
      <xdr:colOff>404812</xdr:colOff>
      <xdr:row>0</xdr:row>
      <xdr:rowOff>119062</xdr:rowOff>
    </xdr:from>
    <xdr:to>
      <xdr:col>62</xdr:col>
      <xdr:colOff>326950</xdr:colOff>
      <xdr:row>5</xdr:row>
      <xdr:rowOff>69591</xdr:rowOff>
    </xdr:to>
    <xdr:sp macro="" textlink="">
      <xdr:nvSpPr>
        <xdr:cNvPr id="10" name="Rectángulo redondeado 3">
          <a:extLst>
            <a:ext uri="{FF2B5EF4-FFF2-40B4-BE49-F238E27FC236}">
              <a16:creationId xmlns:a16="http://schemas.microsoft.com/office/drawing/2014/main" id="{37BD714F-5856-41B2-96A0-14FC71CD0153}"/>
            </a:ext>
          </a:extLst>
        </xdr:cNvPr>
        <xdr:cNvSpPr/>
      </xdr:nvSpPr>
      <xdr:spPr>
        <a:xfrm>
          <a:off x="3917156" y="119062"/>
          <a:ext cx="18186325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FISICO-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31</xdr:col>
      <xdr:colOff>404812</xdr:colOff>
      <xdr:row>0</xdr:row>
      <xdr:rowOff>59532</xdr:rowOff>
    </xdr:from>
    <xdr:to>
      <xdr:col>35</xdr:col>
      <xdr:colOff>146616</xdr:colOff>
      <xdr:row>5</xdr:row>
      <xdr:rowOff>141629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5D2D152B-C031-4EAA-B1E3-137DC0BB01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109781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49</xdr:col>
      <xdr:colOff>438978</xdr:colOff>
      <xdr:row>6</xdr:row>
      <xdr:rowOff>11906</xdr:rowOff>
    </xdr:from>
    <xdr:to>
      <xdr:col>62</xdr:col>
      <xdr:colOff>297656</xdr:colOff>
      <xdr:row>49</xdr:row>
      <xdr:rowOff>154781</xdr:rowOff>
    </xdr:to>
    <xdr:grpSp>
      <xdr:nvGrpSpPr>
        <xdr:cNvPr id="78" name="Grupo 77">
          <a:extLst>
            <a:ext uri="{FF2B5EF4-FFF2-40B4-BE49-F238E27FC236}">
              <a16:creationId xmlns:a16="http://schemas.microsoft.com/office/drawing/2014/main" id="{AF10EF51-8A4C-C079-4BB9-63DA0EA66DBC}"/>
            </a:ext>
          </a:extLst>
        </xdr:cNvPr>
        <xdr:cNvGrpSpPr/>
      </xdr:nvGrpSpPr>
      <xdr:grpSpPr>
        <a:xfrm>
          <a:off x="13156423" y="1142346"/>
          <a:ext cx="8975464" cy="8244358"/>
          <a:chOff x="42634728" y="1154906"/>
          <a:chExt cx="8990772" cy="8334375"/>
        </a:xfrm>
      </xdr:grpSpPr>
      <xdr:sp macro="" textlink="">
        <xdr:nvSpPr>
          <xdr:cNvPr id="17" name="Rectángulo 16">
            <a:extLst>
              <a:ext uri="{FF2B5EF4-FFF2-40B4-BE49-F238E27FC236}">
                <a16:creationId xmlns:a16="http://schemas.microsoft.com/office/drawing/2014/main" id="{0D29BB9B-0410-4591-BF28-C2ADA52A8218}"/>
              </a:ext>
            </a:extLst>
          </xdr:cNvPr>
          <xdr:cNvSpPr/>
        </xdr:nvSpPr>
        <xdr:spPr>
          <a:xfrm>
            <a:off x="42667993" y="5343922"/>
            <a:ext cx="8921787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MODULOS</a:t>
            </a:r>
            <a:endParaRPr lang="es-CL" sz="2400"/>
          </a:p>
        </xdr:txBody>
      </xdr:sp>
      <xdr:grpSp>
        <xdr:nvGrpSpPr>
          <xdr:cNvPr id="37" name="Grupo 36">
            <a:extLst>
              <a:ext uri="{FF2B5EF4-FFF2-40B4-BE49-F238E27FC236}">
                <a16:creationId xmlns:a16="http://schemas.microsoft.com/office/drawing/2014/main" id="{B030B6CC-1219-4E19-0C41-70088AE022E3}"/>
              </a:ext>
            </a:extLst>
          </xdr:cNvPr>
          <xdr:cNvGrpSpPr/>
        </xdr:nvGrpSpPr>
        <xdr:grpSpPr>
          <a:xfrm>
            <a:off x="42634728" y="1154906"/>
            <a:ext cx="8990772" cy="8334375"/>
            <a:chOff x="13166759" y="1160860"/>
            <a:chExt cx="9113903" cy="8049529"/>
          </a:xfrm>
        </xdr:grpSpPr>
        <xdr:grpSp>
          <xdr:nvGrpSpPr>
            <xdr:cNvPr id="36" name="Grupo 35">
              <a:extLst>
                <a:ext uri="{FF2B5EF4-FFF2-40B4-BE49-F238E27FC236}">
                  <a16:creationId xmlns:a16="http://schemas.microsoft.com/office/drawing/2014/main" id="{9AA16B1E-ADC2-5558-9F91-4458D692D36D}"/>
                </a:ext>
              </a:extLst>
            </xdr:cNvPr>
            <xdr:cNvGrpSpPr/>
          </xdr:nvGrpSpPr>
          <xdr:grpSpPr>
            <a:xfrm>
              <a:off x="13166759" y="1160860"/>
              <a:ext cx="9070537" cy="4029525"/>
              <a:chOff x="13166759" y="1160860"/>
              <a:chExt cx="9070537" cy="4029525"/>
            </a:xfrm>
          </xdr:grpSpPr>
          <xdr:graphicFrame macro="">
            <xdr:nvGraphicFramePr>
              <xdr:cNvPr id="4" name="SEMANA">
                <a:extLst>
                  <a:ext uri="{FF2B5EF4-FFF2-40B4-BE49-F238E27FC236}">
                    <a16:creationId xmlns:a16="http://schemas.microsoft.com/office/drawing/2014/main" id="{1B38F507-7165-423D-F379-0728AEE9A7F5}"/>
                  </a:ext>
                </a:extLst>
              </xdr:cNvPr>
              <xdr:cNvGraphicFramePr/>
            </xdr:nvGraphicFramePr>
            <xdr:xfrm>
              <a:off x="13166759" y="1950385"/>
              <a:ext cx="9051595" cy="32400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sp macro="" textlink="">
            <xdr:nvSpPr>
              <xdr:cNvPr id="19" name="Rectángulo 18">
                <a:extLst>
                  <a:ext uri="{FF2B5EF4-FFF2-40B4-BE49-F238E27FC236}">
                    <a16:creationId xmlns:a16="http://schemas.microsoft.com/office/drawing/2014/main" id="{B7C50359-0E2B-4E41-ACC3-FB0CD2264D4E}"/>
                  </a:ext>
                </a:extLst>
              </xdr:cNvPr>
              <xdr:cNvSpPr/>
            </xdr:nvSpPr>
            <xdr:spPr>
              <a:xfrm>
                <a:off x="13185701" y="1160860"/>
                <a:ext cx="9051595" cy="720000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400"/>
                  <a:t>FABRICACIÓN MODULOS POR</a:t>
                </a:r>
                <a:r>
                  <a:rPr lang="es-CL" sz="2400" baseline="0"/>
                  <a:t> SEMANA</a:t>
                </a:r>
                <a:endParaRPr lang="es-CL" sz="2400"/>
              </a:p>
            </xdr:txBody>
          </xdr:sp>
        </xdr:grpSp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80F5FFDD-0AB5-D4E6-2403-329C7D2A682C}"/>
                </a:ext>
              </a:extLst>
            </xdr:cNvPr>
            <xdr:cNvGraphicFramePr/>
          </xdr:nvGraphicFramePr>
          <xdr:xfrm>
            <a:off x="13229067" y="5970389"/>
            <a:ext cx="905159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4"/>
            </a:graphicData>
          </a:graphic>
        </xdr:graphicFrame>
      </xdr:grpSp>
    </xdr:grpSp>
    <xdr:clientData/>
  </xdr:twoCellAnchor>
  <xdr:twoCellAnchor>
    <xdr:from>
      <xdr:col>36</xdr:col>
      <xdr:colOff>411157</xdr:colOff>
      <xdr:row>6</xdr:row>
      <xdr:rowOff>19029</xdr:rowOff>
    </xdr:from>
    <xdr:to>
      <xdr:col>49</xdr:col>
      <xdr:colOff>400050</xdr:colOff>
      <xdr:row>49</xdr:row>
      <xdr:rowOff>28575</xdr:rowOff>
    </xdr:to>
    <xdr:grpSp>
      <xdr:nvGrpSpPr>
        <xdr:cNvPr id="35" name="Grupo 34">
          <a:extLst>
            <a:ext uri="{FF2B5EF4-FFF2-40B4-BE49-F238E27FC236}">
              <a16:creationId xmlns:a16="http://schemas.microsoft.com/office/drawing/2014/main" id="{6F76CD01-A706-1ABB-3CBE-5ACA9FFEF208}"/>
            </a:ext>
          </a:extLst>
        </xdr:cNvPr>
        <xdr:cNvGrpSpPr/>
      </xdr:nvGrpSpPr>
      <xdr:grpSpPr>
        <a:xfrm>
          <a:off x="4011816" y="1149469"/>
          <a:ext cx="9105679" cy="8111029"/>
          <a:chOff x="29640999" y="1154906"/>
          <a:chExt cx="9025701" cy="8214469"/>
        </a:xfrm>
      </xdr:grpSpPr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2EB44A8-51A4-A24D-B594-D04F0F654924}"/>
              </a:ext>
            </a:extLst>
          </xdr:cNvPr>
          <xdr:cNvGrpSpPr/>
        </xdr:nvGrpSpPr>
        <xdr:grpSpPr>
          <a:xfrm>
            <a:off x="29646721" y="1154906"/>
            <a:ext cx="9000000" cy="4042200"/>
            <a:chOff x="29631839" y="1154906"/>
            <a:chExt cx="9000000" cy="4042200"/>
          </a:xfrm>
        </xdr:grpSpPr>
        <xdr:sp macro="" textlink="">
          <xdr:nvSpPr>
            <xdr:cNvPr id="12" name="Rectángulo 11">
              <a:extLst>
                <a:ext uri="{FF2B5EF4-FFF2-40B4-BE49-F238E27FC236}">
                  <a16:creationId xmlns:a16="http://schemas.microsoft.com/office/drawing/2014/main" id="{874C1ACA-D43E-D8C4-F44E-C54AF7B2D2C9}"/>
                </a:ext>
              </a:extLst>
            </xdr:cNvPr>
            <xdr:cNvSpPr/>
          </xdr:nvSpPr>
          <xdr:spPr>
            <a:xfrm>
              <a:off x="29631839" y="1154906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INICIO MODULOS </a:t>
              </a:r>
              <a:endParaRPr lang="es-CL" sz="2400"/>
            </a:p>
          </xdr:txBody>
        </xdr:sp>
        <xdr:graphicFrame macro="">
          <xdr:nvGraphicFramePr>
            <xdr:cNvPr id="2" name="INICIO">
              <a:extLst>
                <a:ext uri="{FF2B5EF4-FFF2-40B4-BE49-F238E27FC236}">
                  <a16:creationId xmlns:a16="http://schemas.microsoft.com/office/drawing/2014/main" id="{844D97EA-1B72-F411-FDBB-4438016016DA}"/>
                </a:ext>
              </a:extLst>
            </xdr:cNvPr>
            <xdr:cNvGraphicFramePr/>
          </xdr:nvGraphicFramePr>
          <xdr:xfrm>
            <a:off x="29635792" y="1957106"/>
            <a:ext cx="897805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5"/>
            </a:graphicData>
          </a:graphic>
        </xdr:graphicFrame>
      </xdr:grpSp>
      <xdr:grpSp>
        <xdr:nvGrpSpPr>
          <xdr:cNvPr id="34" name="Grupo 33">
            <a:extLst>
              <a:ext uri="{FF2B5EF4-FFF2-40B4-BE49-F238E27FC236}">
                <a16:creationId xmlns:a16="http://schemas.microsoft.com/office/drawing/2014/main" id="{07C6ECBE-DA0F-67CA-7BDA-8185DBFE0A56}"/>
              </a:ext>
            </a:extLst>
          </xdr:cNvPr>
          <xdr:cNvGrpSpPr/>
        </xdr:nvGrpSpPr>
        <xdr:grpSpPr>
          <a:xfrm>
            <a:off x="29640999" y="5336088"/>
            <a:ext cx="9025701" cy="4033287"/>
            <a:chOff x="29650159" y="5336088"/>
            <a:chExt cx="9025701" cy="4033287"/>
          </a:xfrm>
        </xdr:grpSpPr>
        <xdr:sp macro="" textlink="">
          <xdr:nvSpPr>
            <xdr:cNvPr id="14" name="Rectángulo 13">
              <a:extLst>
                <a:ext uri="{FF2B5EF4-FFF2-40B4-BE49-F238E27FC236}">
                  <a16:creationId xmlns:a16="http://schemas.microsoft.com/office/drawing/2014/main" id="{A54CFC54-D377-4E9C-8566-3A0D2DA0A9F9}"/>
                </a:ext>
              </a:extLst>
            </xdr:cNvPr>
            <xdr:cNvSpPr/>
          </xdr:nvSpPr>
          <xdr:spPr>
            <a:xfrm>
              <a:off x="29655654" y="5336088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FINALIZACIÓN MODULOS </a:t>
              </a:r>
              <a:endParaRPr lang="es-CL" sz="2400"/>
            </a:p>
          </xdr:txBody>
        </xdr:sp>
        <xdr:graphicFrame macro="">
          <xdr:nvGraphicFramePr>
            <xdr:cNvPr id="3" name="TERMINO">
              <a:extLst>
                <a:ext uri="{FF2B5EF4-FFF2-40B4-BE49-F238E27FC236}">
                  <a16:creationId xmlns:a16="http://schemas.microsoft.com/office/drawing/2014/main" id="{68B6C485-4FC6-CEB4-3F5B-950ED1E3E85B}"/>
                </a:ext>
              </a:extLst>
            </xdr:cNvPr>
            <xdr:cNvGraphicFramePr/>
          </xdr:nvGraphicFramePr>
          <xdr:xfrm>
            <a:off x="29650159" y="6129375"/>
            <a:ext cx="9025701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"/>
            </a:graphicData>
          </a:graphic>
        </xdr:graphicFrame>
      </xdr:grpSp>
    </xdr:grpSp>
    <xdr:clientData/>
  </xdr:twoCellAnchor>
  <xdr:twoCellAnchor>
    <xdr:from>
      <xdr:col>31</xdr:col>
      <xdr:colOff>285750</xdr:colOff>
      <xdr:row>17</xdr:row>
      <xdr:rowOff>13332</xdr:rowOff>
    </xdr:from>
    <xdr:to>
      <xdr:col>35</xdr:col>
      <xdr:colOff>547690</xdr:colOff>
      <xdr:row>29</xdr:row>
      <xdr:rowOff>35720</xdr:rowOff>
    </xdr:to>
    <xdr:grpSp>
      <xdr:nvGrpSpPr>
        <xdr:cNvPr id="42" name="Grupo 41">
          <a:extLst>
            <a:ext uri="{FF2B5EF4-FFF2-40B4-BE49-F238E27FC236}">
              <a16:creationId xmlns:a16="http://schemas.microsoft.com/office/drawing/2014/main" id="{60F9244F-C453-7168-C1C6-36C30FE0378D}"/>
            </a:ext>
          </a:extLst>
        </xdr:cNvPr>
        <xdr:cNvGrpSpPr/>
      </xdr:nvGrpSpPr>
      <xdr:grpSpPr>
        <a:xfrm>
          <a:off x="285750" y="3216244"/>
          <a:ext cx="3077572" cy="2283267"/>
          <a:chOff x="28598812" y="3369470"/>
          <a:chExt cx="3545018" cy="2991228"/>
        </a:xfrm>
      </xdr:grpSpPr>
      <xdr:sp macro="" textlink="">
        <xdr:nvSpPr>
          <xdr:cNvPr id="38" name="Rectángulo 37">
            <a:extLst>
              <a:ext uri="{FF2B5EF4-FFF2-40B4-BE49-F238E27FC236}">
                <a16:creationId xmlns:a16="http://schemas.microsoft.com/office/drawing/2014/main" id="{B10DADFE-3622-4D05-4F3F-8C67462C5947}"/>
              </a:ext>
            </a:extLst>
          </xdr:cNvPr>
          <xdr:cNvSpPr/>
        </xdr:nvSpPr>
        <xdr:spPr>
          <a:xfrm>
            <a:off x="28598812" y="3369470"/>
            <a:ext cx="3545018" cy="2991228"/>
          </a:xfrm>
          <a:prstGeom prst="rect">
            <a:avLst/>
          </a:prstGeom>
          <a:ln w="9525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CL" sz="1100"/>
          </a:p>
        </xdr:txBody>
      </xdr:sp>
      <xdr:sp macro="" textlink="$Y$3">
        <xdr:nvSpPr>
          <xdr:cNvPr id="39" name="CuadroTexto 38">
            <a:extLst>
              <a:ext uri="{FF2B5EF4-FFF2-40B4-BE49-F238E27FC236}">
                <a16:creationId xmlns:a16="http://schemas.microsoft.com/office/drawing/2014/main" id="{76AC206A-226C-F236-5D10-892A77189084}"/>
              </a:ext>
            </a:extLst>
          </xdr:cNvPr>
          <xdr:cNvSpPr txBox="1"/>
        </xdr:nvSpPr>
        <xdr:spPr>
          <a:xfrm>
            <a:off x="28797843" y="3538251"/>
            <a:ext cx="3143249" cy="1105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INICIO </a:t>
            </a:r>
            <a:fld id="{7FA4E0C2-A753-493C-80F5-49CE7DB332F5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15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8800" b="1">
              <a:solidFill>
                <a:schemeClr val="accent6"/>
              </a:solidFill>
            </a:endParaRPr>
          </a:p>
        </xdr:txBody>
      </xdr:sp>
      <xdr:sp macro="" textlink="$Y$4">
        <xdr:nvSpPr>
          <xdr:cNvPr id="40" name="CuadroTexto 39">
            <a:extLst>
              <a:ext uri="{FF2B5EF4-FFF2-40B4-BE49-F238E27FC236}">
                <a16:creationId xmlns:a16="http://schemas.microsoft.com/office/drawing/2014/main" id="{64E0CFBA-A8F2-4D5D-BB0E-10A173F906BC}"/>
              </a:ext>
            </a:extLst>
          </xdr:cNvPr>
          <xdr:cNvSpPr txBox="1"/>
        </xdr:nvSpPr>
        <xdr:spPr>
          <a:xfrm>
            <a:off x="28627784" y="4939592"/>
            <a:ext cx="3452815" cy="110529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TERMINO </a:t>
            </a:r>
            <a:fld id="{A82B77FE-20A3-4FE2-8C38-20B46B651DCF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36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41300" b="1"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31</xdr:col>
      <xdr:colOff>202409</xdr:colOff>
      <xdr:row>29</xdr:row>
      <xdr:rowOff>164305</xdr:rowOff>
    </xdr:from>
    <xdr:to>
      <xdr:col>36</xdr:col>
      <xdr:colOff>11909</xdr:colOff>
      <xdr:row>34</xdr:row>
      <xdr:rowOff>190499</xdr:rowOff>
    </xdr:to>
    <xdr:grpSp>
      <xdr:nvGrpSpPr>
        <xdr:cNvPr id="76" name="Grupo 75">
          <a:extLst>
            <a:ext uri="{FF2B5EF4-FFF2-40B4-BE49-F238E27FC236}">
              <a16:creationId xmlns:a16="http://schemas.microsoft.com/office/drawing/2014/main" id="{D875F531-DF4A-174B-3E8F-68F6307922BB}"/>
            </a:ext>
          </a:extLst>
        </xdr:cNvPr>
        <xdr:cNvGrpSpPr/>
      </xdr:nvGrpSpPr>
      <xdr:grpSpPr>
        <a:xfrm>
          <a:off x="202409" y="5628096"/>
          <a:ext cx="3410159" cy="968227"/>
          <a:chOff x="29532264" y="7165180"/>
          <a:chExt cx="3472246" cy="978694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3" name="TORRE">
                <a:extLst>
                  <a:ext uri="{FF2B5EF4-FFF2-40B4-BE49-F238E27FC236}">
                    <a16:creationId xmlns:a16="http://schemas.microsoft.com/office/drawing/2014/main" id="{DB5DDB74-C5A4-B3EA-C3AB-6499FA260648}"/>
                  </a:ext>
                </a:extLst>
              </xdr:cNvPr>
              <xdr:cNvGraphicFramePr/>
            </xdr:nvGraphicFramePr>
            <xdr:xfrm>
              <a:off x="29532264" y="7177087"/>
              <a:ext cx="1685924" cy="954881"/>
            </xdr:xfrm>
            <a:graphic>
              <a:graphicData uri="http://schemas.microsoft.com/office/drawing/2010/slicer">
                <sle:slicer xmlns:sle="http://schemas.microsoft.com/office/drawing/2010/slicer" name="TORR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3065" y="5700712"/>
                <a:ext cx="1659145" cy="954881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4" name="TIPO">
                <a:extLst>
                  <a:ext uri="{FF2B5EF4-FFF2-40B4-BE49-F238E27FC236}">
                    <a16:creationId xmlns:a16="http://schemas.microsoft.com/office/drawing/2014/main" id="{F3F82AB4-30AE-7B01-06F7-54715B1B5A0C}"/>
                  </a:ext>
                </a:extLst>
              </xdr:cNvPr>
              <xdr:cNvGraphicFramePr/>
            </xdr:nvGraphicFramePr>
            <xdr:xfrm>
              <a:off x="31282481" y="7165180"/>
              <a:ext cx="1722029" cy="978694"/>
            </xdr:xfrm>
            <a:graphic>
              <a:graphicData uri="http://schemas.microsoft.com/office/drawing/2010/slicer">
                <sle:slicer xmlns:sle="http://schemas.microsoft.com/office/drawing/2010/slicer" name="TIPO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0035482" y="5688805"/>
                <a:ext cx="1694677" cy="978694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>
    <xdr:from>
      <xdr:col>31</xdr:col>
      <xdr:colOff>190500</xdr:colOff>
      <xdr:row>35</xdr:row>
      <xdr:rowOff>40483</xdr:rowOff>
    </xdr:from>
    <xdr:to>
      <xdr:col>36</xdr:col>
      <xdr:colOff>11905</xdr:colOff>
      <xdr:row>49</xdr:row>
      <xdr:rowOff>9526</xdr:rowOff>
    </xdr:to>
    <xdr:grpSp>
      <xdr:nvGrpSpPr>
        <xdr:cNvPr id="77" name="Grupo 76">
          <a:extLst>
            <a:ext uri="{FF2B5EF4-FFF2-40B4-BE49-F238E27FC236}">
              <a16:creationId xmlns:a16="http://schemas.microsoft.com/office/drawing/2014/main" id="{6D1DADC6-F66B-CF05-A0A3-B97078D90A27}"/>
            </a:ext>
          </a:extLst>
        </xdr:cNvPr>
        <xdr:cNvGrpSpPr/>
      </xdr:nvGrpSpPr>
      <xdr:grpSpPr>
        <a:xfrm>
          <a:off x="190500" y="6634714"/>
          <a:ext cx="3422064" cy="2606735"/>
          <a:chOff x="48101251" y="1147764"/>
          <a:chExt cx="3428998" cy="2636043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" name="MES">
                <a:extLst>
                  <a:ext uri="{FF2B5EF4-FFF2-40B4-BE49-F238E27FC236}">
                    <a16:creationId xmlns:a16="http://schemas.microsoft.com/office/drawing/2014/main" id="{7BE0B47B-2A2C-8566-B051-B74CCB60627C}"/>
                  </a:ext>
                </a:extLst>
              </xdr:cNvPr>
              <xdr:cNvGraphicFramePr/>
            </xdr:nvGraphicFramePr>
            <xdr:xfrm>
              <a:off x="48118770" y="1147764"/>
              <a:ext cx="3411479" cy="1209675"/>
            </xdr:xfrm>
            <a:graphic>
              <a:graphicData uri="http://schemas.microsoft.com/office/drawing/2010/slicer">
                <sle:slicer xmlns:sle="http://schemas.microsoft.com/office/drawing/2010/slicer" name="ME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8675" y="6707983"/>
                <a:ext cx="3411480" cy="120967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75" name="Días">
                <a:extLst>
                  <a:ext uri="{FF2B5EF4-FFF2-40B4-BE49-F238E27FC236}">
                    <a16:creationId xmlns:a16="http://schemas.microsoft.com/office/drawing/2014/main" id="{4129ADDE-56E4-36A7-CF9C-588D993D4D59}"/>
                  </a:ext>
                </a:extLst>
              </xdr:cNvPr>
              <xdr:cNvGraphicFramePr/>
            </xdr:nvGraphicFramePr>
            <xdr:xfrm>
              <a:off x="48101251" y="2412207"/>
              <a:ext cx="3428998" cy="1371600"/>
            </xdr:xfrm>
            <a:graphic>
              <a:graphicData uri="http://schemas.microsoft.com/office/drawing/2012/timeslicer">
                <tsle:timeslicer name="Día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01156" y="7972426"/>
                <a:ext cx="3428999" cy="13716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Línea de tiempo: Funciona en Excel 2013 o superior. No mover ni cambiar el tamaño.</a:t>
                </a:r>
              </a:p>
            </xdr:txBody>
          </xdr:sp>
        </mc:Fallback>
      </mc:AlternateContent>
    </xdr:grpSp>
    <xdr:clientData/>
  </xdr:twoCellAnchor>
  <xdr:twoCellAnchor>
    <xdr:from>
      <xdr:col>36</xdr:col>
      <xdr:colOff>309561</xdr:colOff>
      <xdr:row>52</xdr:row>
      <xdr:rowOff>47625</xdr:rowOff>
    </xdr:from>
    <xdr:to>
      <xdr:col>49</xdr:col>
      <xdr:colOff>369093</xdr:colOff>
      <xdr:row>83</xdr:row>
      <xdr:rowOff>166688</xdr:rowOff>
    </xdr:to>
    <xdr:grpSp>
      <xdr:nvGrpSpPr>
        <xdr:cNvPr id="7" name="Grupo 6">
          <a:extLst>
            <a:ext uri="{FF2B5EF4-FFF2-40B4-BE49-F238E27FC236}">
              <a16:creationId xmlns:a16="http://schemas.microsoft.com/office/drawing/2014/main" id="{A77B19F1-BC55-0EAA-3353-8FA6B8463C0D}"/>
            </a:ext>
          </a:extLst>
        </xdr:cNvPr>
        <xdr:cNvGrpSpPr/>
      </xdr:nvGrpSpPr>
      <xdr:grpSpPr>
        <a:xfrm>
          <a:off x="3910220" y="9844768"/>
          <a:ext cx="9176318" cy="5959667"/>
          <a:chOff x="3917155" y="9953625"/>
          <a:chExt cx="18347532" cy="6024563"/>
        </a:xfrm>
      </xdr:grpSpPr>
      <xdr:graphicFrame macro="">
        <xdr:nvGraphicFramePr>
          <xdr:cNvPr id="13" name="AvanceRealVsTeorico">
            <a:extLst>
              <a:ext uri="{FF2B5EF4-FFF2-40B4-BE49-F238E27FC236}">
                <a16:creationId xmlns:a16="http://schemas.microsoft.com/office/drawing/2014/main" id="{5FB401CB-776A-23C7-EDD7-A667BED2C616}"/>
              </a:ext>
            </a:extLst>
          </xdr:cNvPr>
          <xdr:cNvGraphicFramePr/>
        </xdr:nvGraphicFramePr>
        <xdr:xfrm>
          <a:off x="3917155" y="10798968"/>
          <a:ext cx="18347532" cy="517922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">
        <xdr:nvSpPr>
          <xdr:cNvPr id="15" name="Rectángulo 14">
            <a:extLst>
              <a:ext uri="{FF2B5EF4-FFF2-40B4-BE49-F238E27FC236}">
                <a16:creationId xmlns:a16="http://schemas.microsoft.com/office/drawing/2014/main" id="{585FB534-8BF7-4A2E-9EA8-5C00DC4B2EA8}"/>
              </a:ext>
            </a:extLst>
          </xdr:cNvPr>
          <xdr:cNvSpPr/>
        </xdr:nvSpPr>
        <xdr:spPr>
          <a:xfrm>
            <a:off x="3970734" y="9953625"/>
            <a:ext cx="18240374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REAL VS PROGRAMADO</a:t>
            </a:r>
            <a:endParaRPr lang="es-CL" sz="2400"/>
          </a:p>
        </xdr:txBody>
      </xdr:sp>
    </xdr:grpSp>
    <xdr:clientData/>
  </xdr:twoCellAnchor>
  <xdr:twoCellAnchor>
    <xdr:from>
      <xdr:col>49</xdr:col>
      <xdr:colOff>458822</xdr:colOff>
      <xdr:row>56</xdr:row>
      <xdr:rowOff>116679</xdr:rowOff>
    </xdr:from>
    <xdr:to>
      <xdr:col>62</xdr:col>
      <xdr:colOff>440531</xdr:colOff>
      <xdr:row>83</xdr:row>
      <xdr:rowOff>166686</xdr:rowOff>
    </xdr:to>
    <xdr:graphicFrame macro="">
      <xdr:nvGraphicFramePr>
        <xdr:cNvPr id="5" name="M2">
          <a:extLst>
            <a:ext uri="{FF2B5EF4-FFF2-40B4-BE49-F238E27FC236}">
              <a16:creationId xmlns:a16="http://schemas.microsoft.com/office/drawing/2014/main" id="{276A3D56-8B29-651B-E826-4C58003FC6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49</xdr:col>
      <xdr:colOff>464343</xdr:colOff>
      <xdr:row>52</xdr:row>
      <xdr:rowOff>47625</xdr:rowOff>
    </xdr:from>
    <xdr:to>
      <xdr:col>62</xdr:col>
      <xdr:colOff>470193</xdr:colOff>
      <xdr:row>56</xdr:row>
      <xdr:rowOff>16498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9DFF07B7-EB0D-4719-8B45-60793CF43DA2}"/>
            </a:ext>
          </a:extLst>
        </xdr:cNvPr>
        <xdr:cNvSpPr/>
      </xdr:nvSpPr>
      <xdr:spPr>
        <a:xfrm>
          <a:off x="13204031" y="9953625"/>
          <a:ext cx="9137943" cy="730873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s-CL" sz="2400"/>
            <a:t>AVANCE</a:t>
          </a:r>
          <a:r>
            <a:rPr lang="es-CL" sz="2400" baseline="0"/>
            <a:t> REAL VS PROGRAMADO</a:t>
          </a:r>
          <a:endParaRPr lang="es-CL" sz="2400"/>
        </a:p>
      </xdr:txBody>
    </xdr:sp>
    <xdr:clientData/>
  </xdr:twoCellAnchor>
  <xdr:twoCellAnchor>
    <xdr:from>
      <xdr:col>36</xdr:col>
      <xdr:colOff>386951</xdr:colOff>
      <xdr:row>88</xdr:row>
      <xdr:rowOff>140495</xdr:rowOff>
    </xdr:from>
    <xdr:to>
      <xdr:col>62</xdr:col>
      <xdr:colOff>571500</xdr:colOff>
      <xdr:row>515</xdr:row>
      <xdr:rowOff>154781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B6A32121-CF73-28B7-2B4C-A73625EB36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195602</xdr:colOff>
      <xdr:row>6</xdr:row>
      <xdr:rowOff>152397</xdr:rowOff>
    </xdr:from>
    <xdr:to>
      <xdr:col>36</xdr:col>
      <xdr:colOff>753495</xdr:colOff>
      <xdr:row>23</xdr:row>
      <xdr:rowOff>170088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4D5E6BCB-F0C8-4805-0ED8-0E48F2E3A439}"/>
            </a:ext>
          </a:extLst>
        </xdr:cNvPr>
        <xdr:cNvGrpSpPr/>
      </xdr:nvGrpSpPr>
      <xdr:grpSpPr>
        <a:xfrm>
          <a:off x="55238196" y="1295397"/>
          <a:ext cx="3605893" cy="3256191"/>
          <a:chOff x="11355159" y="25795059"/>
          <a:chExt cx="4572000" cy="2743200"/>
        </a:xfrm>
      </xdr:grpSpPr>
      <xdr:graphicFrame macro="">
        <xdr:nvGraphicFramePr>
          <xdr:cNvPr id="8" name="Gráfico 7">
            <a:extLst>
              <a:ext uri="{FF2B5EF4-FFF2-40B4-BE49-F238E27FC236}">
                <a16:creationId xmlns:a16="http://schemas.microsoft.com/office/drawing/2014/main" id="{31BB2C79-1451-F703-FBAE-02901133E618}"/>
              </a:ext>
            </a:extLst>
          </xdr:cNvPr>
          <xdr:cNvGraphicFramePr/>
        </xdr:nvGraphicFramePr>
        <xdr:xfrm>
          <a:off x="11355159" y="25795059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H$14">
        <xdr:nvSpPr>
          <xdr:cNvPr id="9" name="Rectángulo 8">
            <a:extLst>
              <a:ext uri="{FF2B5EF4-FFF2-40B4-BE49-F238E27FC236}">
                <a16:creationId xmlns:a16="http://schemas.microsoft.com/office/drawing/2014/main" id="{BE474685-0292-280C-A1D2-7BE4F767A767}"/>
              </a:ext>
            </a:extLst>
          </xdr:cNvPr>
          <xdr:cNvSpPr/>
        </xdr:nvSpPr>
        <xdr:spPr>
          <a:xfrm>
            <a:off x="12716106" y="26525351"/>
            <a:ext cx="1986102" cy="87802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9187519-16B9-43D7-A04A-7241C1986AA2}" type="TxLink">
              <a:rPr lang="en-US" sz="3200" b="1" i="0" u="none" strike="noStrike">
                <a:ln>
                  <a:noFill/>
                </a:ln>
                <a:solidFill>
                  <a:schemeClr val="accent6"/>
                </a:solidFill>
                <a:latin typeface="Aptos Narrow"/>
              </a:rPr>
              <a:pPr algn="ctr"/>
              <a:t>12,66%</a:t>
            </a:fld>
            <a:endParaRPr lang="es-MX" sz="32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36</xdr:col>
      <xdr:colOff>600755</xdr:colOff>
      <xdr:row>0</xdr:row>
      <xdr:rowOff>118383</xdr:rowOff>
    </xdr:from>
    <xdr:to>
      <xdr:col>55</xdr:col>
      <xdr:colOff>353786</xdr:colOff>
      <xdr:row>5</xdr:row>
      <xdr:rowOff>68912</xdr:rowOff>
    </xdr:to>
    <xdr:sp macro="" textlink="">
      <xdr:nvSpPr>
        <xdr:cNvPr id="2" name="Rectángulo redondeado 3">
          <a:extLst>
            <a:ext uri="{FF2B5EF4-FFF2-40B4-BE49-F238E27FC236}">
              <a16:creationId xmlns:a16="http://schemas.microsoft.com/office/drawing/2014/main" id="{57B267E0-9BFE-4289-9D3E-F341335EB92C}"/>
            </a:ext>
          </a:extLst>
        </xdr:cNvPr>
        <xdr:cNvSpPr/>
      </xdr:nvSpPr>
      <xdr:spPr>
        <a:xfrm>
          <a:off x="2886755" y="118383"/>
          <a:ext cx="1748313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CONSUMO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32</xdr:col>
      <xdr:colOff>435429</xdr:colOff>
      <xdr:row>0</xdr:row>
      <xdr:rowOff>81643</xdr:rowOff>
    </xdr:from>
    <xdr:to>
      <xdr:col>35</xdr:col>
      <xdr:colOff>699407</xdr:colOff>
      <xdr:row>5</xdr:row>
      <xdr:rowOff>163740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98904B4-B0B9-4B38-9B6F-750171F1B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35429" y="81643"/>
          <a:ext cx="2549978" cy="1034597"/>
        </a:xfrm>
        <a:prstGeom prst="rect">
          <a:avLst/>
        </a:prstGeom>
      </xdr:spPr>
    </xdr:pic>
    <xdr:clientData/>
  </xdr:twoCellAnchor>
  <xdr:twoCellAnchor>
    <xdr:from>
      <xdr:col>36</xdr:col>
      <xdr:colOff>758202</xdr:colOff>
      <xdr:row>7</xdr:row>
      <xdr:rowOff>80791</xdr:rowOff>
    </xdr:from>
    <xdr:to>
      <xdr:col>43</xdr:col>
      <xdr:colOff>464202</xdr:colOff>
      <xdr:row>167</xdr:row>
      <xdr:rowOff>146791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5B147F8C-9CB8-3BDE-E2C8-CB8EEDE501B5}"/>
            </a:ext>
          </a:extLst>
        </xdr:cNvPr>
        <xdr:cNvGrpSpPr/>
      </xdr:nvGrpSpPr>
      <xdr:grpSpPr>
        <a:xfrm>
          <a:off x="58848796" y="1414291"/>
          <a:ext cx="5040000" cy="5400000"/>
          <a:chOff x="13242756" y="1537607"/>
          <a:chExt cx="3946789" cy="4686387"/>
        </a:xfrm>
      </xdr:grpSpPr>
      <xdr:graphicFrame macro="">
        <xdr:nvGraphicFramePr>
          <xdr:cNvPr id="4" name="Gráfico 3">
            <a:extLst>
              <a:ext uri="{FF2B5EF4-FFF2-40B4-BE49-F238E27FC236}">
                <a16:creationId xmlns:a16="http://schemas.microsoft.com/office/drawing/2014/main" id="{E6E34C3F-D978-D689-1020-C0D9735836AF}"/>
              </a:ext>
            </a:extLst>
          </xdr:cNvPr>
          <xdr:cNvGraphicFramePr/>
        </xdr:nvGraphicFramePr>
        <xdr:xfrm>
          <a:off x="13382624" y="2377165"/>
          <a:ext cx="3721556" cy="37732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pSp>
        <xdr:nvGrpSpPr>
          <xdr:cNvPr id="7" name="Grupo 6">
            <a:extLst>
              <a:ext uri="{FF2B5EF4-FFF2-40B4-BE49-F238E27FC236}">
                <a16:creationId xmlns:a16="http://schemas.microsoft.com/office/drawing/2014/main" id="{42E778B5-C166-3600-3207-E9780DCE13C4}"/>
              </a:ext>
            </a:extLst>
          </xdr:cNvPr>
          <xdr:cNvGrpSpPr/>
        </xdr:nvGrpSpPr>
        <xdr:grpSpPr>
          <a:xfrm>
            <a:off x="13242756" y="1537607"/>
            <a:ext cx="3946789" cy="4686387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362FC420-05DF-ADC2-ED24-640F528A629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1CBF89B7-9ACA-5548-32AE-FB802F3861F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TEORICO</a:t>
              </a:r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POR MODULO</a:t>
              </a:r>
            </a:p>
          </xdr:txBody>
        </xdr:sp>
      </xdr:grpSp>
    </xdr:grpSp>
    <xdr:clientData/>
  </xdr:twoCellAnchor>
  <xdr:twoCellAnchor>
    <xdr:from>
      <xdr:col>44</xdr:col>
      <xdr:colOff>598715</xdr:colOff>
      <xdr:row>7</xdr:row>
      <xdr:rowOff>39970</xdr:rowOff>
    </xdr:from>
    <xdr:to>
      <xdr:col>50</xdr:col>
      <xdr:colOff>917036</xdr:colOff>
      <xdr:row>167</xdr:row>
      <xdr:rowOff>105970</xdr:rowOff>
    </xdr:to>
    <xdr:grpSp>
      <xdr:nvGrpSpPr>
        <xdr:cNvPr id="21" name="Grupo 20">
          <a:extLst>
            <a:ext uri="{FF2B5EF4-FFF2-40B4-BE49-F238E27FC236}">
              <a16:creationId xmlns:a16="http://schemas.microsoft.com/office/drawing/2014/main" id="{6E262114-B807-1680-972D-95E06E74090B}"/>
            </a:ext>
          </a:extLst>
        </xdr:cNvPr>
        <xdr:cNvGrpSpPr/>
      </xdr:nvGrpSpPr>
      <xdr:grpSpPr>
        <a:xfrm>
          <a:off x="64785309" y="1373470"/>
          <a:ext cx="5045102" cy="5400000"/>
          <a:chOff x="40159782" y="1333500"/>
          <a:chExt cx="3946789" cy="4686387"/>
        </a:xfrm>
      </xdr:grpSpPr>
      <xdr:graphicFrame macro="">
        <xdr:nvGraphicFramePr>
          <xdr:cNvPr id="15" name="Gráfico 14">
            <a:extLst>
              <a:ext uri="{FF2B5EF4-FFF2-40B4-BE49-F238E27FC236}">
                <a16:creationId xmlns:a16="http://schemas.microsoft.com/office/drawing/2014/main" id="{547A1EAB-50E5-C772-7DB1-7339A2498BA8}"/>
              </a:ext>
            </a:extLst>
          </xdr:cNvPr>
          <xdr:cNvGraphicFramePr/>
        </xdr:nvGraphicFramePr>
        <xdr:xfrm>
          <a:off x="40225264" y="2224087"/>
          <a:ext cx="3827861" cy="37409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upo 17">
            <a:extLst>
              <a:ext uri="{FF2B5EF4-FFF2-40B4-BE49-F238E27FC236}">
                <a16:creationId xmlns:a16="http://schemas.microsoft.com/office/drawing/2014/main" id="{8EB0ABEB-EEED-68C2-A4C8-D8B2A7715A31}"/>
              </a:ext>
            </a:extLst>
          </xdr:cNvPr>
          <xdr:cNvGrpSpPr/>
        </xdr:nvGrpSpPr>
        <xdr:grpSpPr>
          <a:xfrm>
            <a:off x="40159782" y="1333500"/>
            <a:ext cx="3946789" cy="4686387"/>
            <a:chOff x="3381374" y="1857375"/>
            <a:chExt cx="3960000" cy="4691905"/>
          </a:xfrm>
        </xdr:grpSpPr>
        <xdr:sp macro="" textlink="">
          <xdr:nvSpPr>
            <xdr:cNvPr id="19" name="Rectángulo 18">
              <a:extLst>
                <a:ext uri="{FF2B5EF4-FFF2-40B4-BE49-F238E27FC236}">
                  <a16:creationId xmlns:a16="http://schemas.microsoft.com/office/drawing/2014/main" id="{74386422-9823-7F4F-C97C-922622A5FE23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A634EBF5-A3EC-A472-67BB-5A966AA3C268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 POR PRODUCTO</a:t>
              </a:r>
            </a:p>
          </xdr:txBody>
        </xdr:sp>
      </xdr:grpSp>
    </xdr:grpSp>
    <xdr:clientData/>
  </xdr:twoCellAnchor>
  <xdr:twoCellAnchor>
    <xdr:from>
      <xdr:col>52</xdr:col>
      <xdr:colOff>21260</xdr:colOff>
      <xdr:row>7</xdr:row>
      <xdr:rowOff>26577</xdr:rowOff>
    </xdr:from>
    <xdr:to>
      <xdr:col>54</xdr:col>
      <xdr:colOff>1095603</xdr:colOff>
      <xdr:row>11</xdr:row>
      <xdr:rowOff>146577</xdr:rowOff>
    </xdr:to>
    <xdr:grpSp>
      <xdr:nvGrpSpPr>
        <xdr:cNvPr id="25" name="Grupo 24">
          <a:extLst>
            <a:ext uri="{FF2B5EF4-FFF2-40B4-BE49-F238E27FC236}">
              <a16:creationId xmlns:a16="http://schemas.microsoft.com/office/drawing/2014/main" id="{A901869B-C464-52D0-A9A3-568FDC5DDC3F}"/>
            </a:ext>
          </a:extLst>
        </xdr:cNvPr>
        <xdr:cNvGrpSpPr/>
      </xdr:nvGrpSpPr>
      <xdr:grpSpPr>
        <a:xfrm>
          <a:off x="70768198" y="1360077"/>
          <a:ext cx="6646468" cy="882000"/>
          <a:chOff x="53316186" y="1273968"/>
          <a:chExt cx="7643813" cy="766233"/>
        </a:xfrm>
      </xdr:grpSpPr>
      <xdr:sp macro="" textlink="">
        <xdr:nvSpPr>
          <xdr:cNvPr id="23" name="Rectángulo 15">
            <a:extLst>
              <a:ext uri="{FF2B5EF4-FFF2-40B4-BE49-F238E27FC236}">
                <a16:creationId xmlns:a16="http://schemas.microsoft.com/office/drawing/2014/main" id="{7C559D66-A32A-4809-96BC-8C37645B53AA}"/>
              </a:ext>
            </a:extLst>
          </xdr:cNvPr>
          <xdr:cNvSpPr/>
        </xdr:nvSpPr>
        <xdr:spPr>
          <a:xfrm>
            <a:off x="53316186" y="127396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4" name="Flecha: hacia abajo 23">
            <a:extLst>
              <a:ext uri="{FF2B5EF4-FFF2-40B4-BE49-F238E27FC236}">
                <a16:creationId xmlns:a16="http://schemas.microsoft.com/office/drawing/2014/main" id="{B17EA62B-DA65-2CAB-5F0E-7CF6E9FE59A2}"/>
              </a:ext>
            </a:extLst>
          </xdr:cNvPr>
          <xdr:cNvSpPr/>
        </xdr:nvSpPr>
        <xdr:spPr>
          <a:xfrm>
            <a:off x="59714063" y="1345406"/>
            <a:ext cx="729795" cy="535781"/>
          </a:xfrm>
          <a:prstGeom prst="downArrow">
            <a:avLst/>
          </a:prstGeom>
        </xdr:spPr>
        <xdr:style>
          <a:lnRef idx="2">
            <a:schemeClr val="accent6">
              <a:shade val="15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twoCellAnchor>
    <xdr:from>
      <xdr:col>51</xdr:col>
      <xdr:colOff>890416</xdr:colOff>
      <xdr:row>173</xdr:row>
      <xdr:rowOff>69734</xdr:rowOff>
    </xdr:from>
    <xdr:to>
      <xdr:col>54</xdr:col>
      <xdr:colOff>1059884</xdr:colOff>
      <xdr:row>177</xdr:row>
      <xdr:rowOff>189734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BBFBC736-4995-42D7-3A79-16719AEABCE7}"/>
            </a:ext>
          </a:extLst>
        </xdr:cNvPr>
        <xdr:cNvGrpSpPr/>
      </xdr:nvGrpSpPr>
      <xdr:grpSpPr>
        <a:xfrm>
          <a:off x="70732479" y="7880234"/>
          <a:ext cx="6646468" cy="882000"/>
          <a:chOff x="12942094" y="7024688"/>
          <a:chExt cx="7643813" cy="766233"/>
        </a:xfrm>
      </xdr:grpSpPr>
      <xdr:sp macro="" textlink="">
        <xdr:nvSpPr>
          <xdr:cNvPr id="27" name="Rectángulo 15">
            <a:extLst>
              <a:ext uri="{FF2B5EF4-FFF2-40B4-BE49-F238E27FC236}">
                <a16:creationId xmlns:a16="http://schemas.microsoft.com/office/drawing/2014/main" id="{86C5ADA8-E6EF-6356-945E-8B9B2646D9EF}"/>
              </a:ext>
            </a:extLst>
          </xdr:cNvPr>
          <xdr:cNvSpPr/>
        </xdr:nvSpPr>
        <xdr:spPr>
          <a:xfrm>
            <a:off x="12942094" y="702468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9" name="Flecha: hacia arriba 28">
            <a:extLst>
              <a:ext uri="{FF2B5EF4-FFF2-40B4-BE49-F238E27FC236}">
                <a16:creationId xmlns:a16="http://schemas.microsoft.com/office/drawing/2014/main" id="{6D73BB54-C38F-6F7C-4D4E-A55A46EDDCA2}"/>
              </a:ext>
            </a:extLst>
          </xdr:cNvPr>
          <xdr:cNvSpPr/>
        </xdr:nvSpPr>
        <xdr:spPr>
          <a:xfrm>
            <a:off x="19295798" y="7072313"/>
            <a:ext cx="701372" cy="595312"/>
          </a:xfrm>
          <a:prstGeom prst="upArrow">
            <a:avLst/>
          </a:prstGeom>
          <a:solidFill>
            <a:srgbClr val="C00000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oneCellAnchor>
    <xdr:from>
      <xdr:col>52</xdr:col>
      <xdr:colOff>408214</xdr:colOff>
      <xdr:row>167</xdr:row>
      <xdr:rowOff>107458</xdr:rowOff>
    </xdr:from>
    <xdr:ext cx="6089197" cy="655949"/>
    <xdr:sp macro="" textlink="'HOME COMPRAS'!$J$455">
      <xdr:nvSpPr>
        <xdr:cNvPr id="5" name="Rectángulo 4">
          <a:extLst>
            <a:ext uri="{FF2B5EF4-FFF2-40B4-BE49-F238E27FC236}">
              <a16:creationId xmlns:a16="http://schemas.microsoft.com/office/drawing/2014/main" id="{66161244-4981-3FF5-F46D-0C7F8BE90D7B}"/>
            </a:ext>
          </a:extLst>
        </xdr:cNvPr>
        <xdr:cNvSpPr/>
      </xdr:nvSpPr>
      <xdr:spPr>
        <a:xfrm>
          <a:off x="16112558" y="6774958"/>
          <a:ext cx="6089197" cy="65594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AutoFit/>
        </a:bodyPr>
        <a:lstStyle/>
        <a:p>
          <a:pPr algn="ctr"/>
          <a:r>
            <a:rPr lang="en-US" sz="3600" b="1" i="0" u="none" strike="noStrike">
              <a:solidFill>
                <a:schemeClr val="accent6"/>
              </a:solidFill>
              <a:latin typeface="Aptos Narrow"/>
            </a:rPr>
            <a:t>DESVIACIÓ</a:t>
          </a:r>
          <a:r>
            <a:rPr lang="en-US" sz="3600" b="1" i="0" u="none" strike="noStrike" baseline="0">
              <a:solidFill>
                <a:schemeClr val="accent6"/>
              </a:solidFill>
              <a:latin typeface="Aptos Narrow"/>
            </a:rPr>
            <a:t>N </a:t>
          </a:r>
          <a:fld id="{68DF2013-6FBF-43B3-BF14-3D9F723CE9B1}" type="TxLink">
            <a:rPr lang="en-US" sz="3600" b="1" i="0" u="none" strike="noStrike">
              <a:solidFill>
                <a:schemeClr val="accent6"/>
              </a:solidFill>
              <a:latin typeface="Aptos Narrow"/>
            </a:rPr>
            <a:pPr algn="ctr"/>
            <a:t>-$2.294.989 </a:t>
          </a:fld>
          <a:endParaRPr lang="es-MX" sz="34400" b="1">
            <a:solidFill>
              <a:schemeClr val="accent6"/>
            </a:solidFill>
          </a:endParaRPr>
        </a:p>
      </xdr:txBody>
    </xdr:sp>
    <xdr:clientData/>
  </xdr:oneCellAnchor>
  <xdr:twoCellAnchor>
    <xdr:from>
      <xdr:col>37</xdr:col>
      <xdr:colOff>136071</xdr:colOff>
      <xdr:row>173</xdr:row>
      <xdr:rowOff>40822</xdr:rowOff>
    </xdr:from>
    <xdr:to>
      <xdr:col>51</xdr:col>
      <xdr:colOff>476250</xdr:colOff>
      <xdr:row>189</xdr:row>
      <xdr:rowOff>99331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C7B3CE88-1D2C-BF3E-82F0-032E592BD3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33</xdr:col>
      <xdr:colOff>380999</xdr:colOff>
      <xdr:row>174</xdr:row>
      <xdr:rowOff>107497</xdr:rowOff>
    </xdr:from>
    <xdr:to>
      <xdr:col>36</xdr:col>
      <xdr:colOff>429986</xdr:colOff>
      <xdr:row>188</xdr:row>
      <xdr:rowOff>107497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DESCRIPCION">
              <a:extLst>
                <a:ext uri="{FF2B5EF4-FFF2-40B4-BE49-F238E27FC236}">
                  <a16:creationId xmlns:a16="http://schemas.microsoft.com/office/drawing/2014/main" id="{4DE42EB3-0BB7-5F9A-4D87-D533BCB827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2999" y="8108497"/>
              <a:ext cx="2334987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209549</xdr:colOff>
      <xdr:row>5</xdr:row>
      <xdr:rowOff>104774</xdr:rowOff>
    </xdr:from>
    <xdr:to>
      <xdr:col>19</xdr:col>
      <xdr:colOff>200025</xdr:colOff>
      <xdr:row>37</xdr:row>
      <xdr:rowOff>180975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0E90082-EF62-4480-B2E6-66020F27FB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228599</xdr:colOff>
      <xdr:row>0</xdr:row>
      <xdr:rowOff>123825</xdr:rowOff>
    </xdr:from>
    <xdr:to>
      <xdr:col>19</xdr:col>
      <xdr:colOff>180974</xdr:colOff>
      <xdr:row>4</xdr:row>
      <xdr:rowOff>119591</xdr:rowOff>
    </xdr:to>
    <xdr:sp macro="" textlink="">
      <xdr:nvSpPr>
        <xdr:cNvPr id="3" name="Rectángulo 15">
          <a:extLst>
            <a:ext uri="{FF2B5EF4-FFF2-40B4-BE49-F238E27FC236}">
              <a16:creationId xmlns:a16="http://schemas.microsoft.com/office/drawing/2014/main" id="{87808F77-503A-4616-8C4F-55363C88BC1F}"/>
            </a:ext>
          </a:extLst>
        </xdr:cNvPr>
        <xdr:cNvSpPr/>
      </xdr:nvSpPr>
      <xdr:spPr>
        <a:xfrm>
          <a:off x="228599" y="123825"/>
          <a:ext cx="14430375" cy="75776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TOTALES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514350</xdr:colOff>
      <xdr:row>18</xdr:row>
      <xdr:rowOff>76200</xdr:rowOff>
    </xdr:from>
    <xdr:to>
      <xdr:col>22</xdr:col>
      <xdr:colOff>169333</xdr:colOff>
      <xdr:row>21</xdr:row>
      <xdr:rowOff>138641</xdr:rowOff>
    </xdr:to>
    <xdr:sp macro="" textlink="">
      <xdr:nvSpPr>
        <xdr:cNvPr id="6" name="Flecha: hacia la izquierda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77590A4-1FAA-4E3B-A4FC-155DE75DA7B1}"/>
            </a:ext>
          </a:extLst>
        </xdr:cNvPr>
        <xdr:cNvSpPr/>
      </xdr:nvSpPr>
      <xdr:spPr>
        <a:xfrm>
          <a:off x="15754350" y="3505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180975</xdr:colOff>
      <xdr:row>46</xdr:row>
      <xdr:rowOff>0</xdr:rowOff>
    </xdr:from>
    <xdr:to>
      <xdr:col>19</xdr:col>
      <xdr:colOff>257175</xdr:colOff>
      <xdr:row>50</xdr:row>
      <xdr:rowOff>24342</xdr:rowOff>
    </xdr:to>
    <xdr:sp macro="" textlink="">
      <xdr:nvSpPr>
        <xdr:cNvPr id="7" name="Rectángulo 15">
          <a:extLst>
            <a:ext uri="{FF2B5EF4-FFF2-40B4-BE49-F238E27FC236}">
              <a16:creationId xmlns:a16="http://schemas.microsoft.com/office/drawing/2014/main" id="{49CC2313-8CE7-464C-ADD3-3555EFACB7FE}"/>
            </a:ext>
          </a:extLst>
        </xdr:cNvPr>
        <xdr:cNvSpPr/>
      </xdr:nvSpPr>
      <xdr:spPr>
        <a:xfrm>
          <a:off x="180975" y="8001000"/>
          <a:ext cx="14554200" cy="78634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200025</xdr:colOff>
      <xdr:row>50</xdr:row>
      <xdr:rowOff>133350</xdr:rowOff>
    </xdr:from>
    <xdr:to>
      <xdr:col>19</xdr:col>
      <xdr:colOff>247650</xdr:colOff>
      <xdr:row>83</xdr:row>
      <xdr:rowOff>38100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6DC651D-C785-41C0-9F03-24B50ECFE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723900</xdr:colOff>
      <xdr:row>61</xdr:row>
      <xdr:rowOff>114300</xdr:rowOff>
    </xdr:from>
    <xdr:to>
      <xdr:col>22</xdr:col>
      <xdr:colOff>378883</xdr:colOff>
      <xdr:row>64</xdr:row>
      <xdr:rowOff>176741</xdr:rowOff>
    </xdr:to>
    <xdr:sp macro="" textlink="">
      <xdr:nvSpPr>
        <xdr:cNvPr id="9" name="Flecha: hacia la izquierda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EEF08EB-8722-442E-84D9-A9B95D976328}"/>
            </a:ext>
          </a:extLst>
        </xdr:cNvPr>
        <xdr:cNvSpPr/>
      </xdr:nvSpPr>
      <xdr:spPr>
        <a:xfrm>
          <a:off x="15963900" y="109728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142875</xdr:colOff>
      <xdr:row>90</xdr:row>
      <xdr:rowOff>0</xdr:rowOff>
    </xdr:from>
    <xdr:to>
      <xdr:col>19</xdr:col>
      <xdr:colOff>333375</xdr:colOff>
      <xdr:row>93</xdr:row>
      <xdr:rowOff>156522</xdr:rowOff>
    </xdr:to>
    <xdr:sp macro="" textlink="">
      <xdr:nvSpPr>
        <xdr:cNvPr id="10" name="Rectángulo 15">
          <a:extLst>
            <a:ext uri="{FF2B5EF4-FFF2-40B4-BE49-F238E27FC236}">
              <a16:creationId xmlns:a16="http://schemas.microsoft.com/office/drawing/2014/main" id="{136B6863-93D6-45E6-83E0-D72168270656}"/>
            </a:ext>
          </a:extLst>
        </xdr:cNvPr>
        <xdr:cNvSpPr/>
      </xdr:nvSpPr>
      <xdr:spPr>
        <a:xfrm>
          <a:off x="142875" y="16383000"/>
          <a:ext cx="14668500" cy="72802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133350</xdr:colOff>
      <xdr:row>94</xdr:row>
      <xdr:rowOff>57150</xdr:rowOff>
    </xdr:from>
    <xdr:to>
      <xdr:col>19</xdr:col>
      <xdr:colOff>304800</xdr:colOff>
      <xdr:row>127</xdr:row>
      <xdr:rowOff>47625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7CB88D94-2628-4D97-B594-D86FC60409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171450</xdr:colOff>
      <xdr:row>134</xdr:row>
      <xdr:rowOff>152400</xdr:rowOff>
    </xdr:from>
    <xdr:to>
      <xdr:col>19</xdr:col>
      <xdr:colOff>381000</xdr:colOff>
      <xdr:row>138</xdr:row>
      <xdr:rowOff>185821</xdr:rowOff>
    </xdr:to>
    <xdr:sp macro="" textlink="">
      <xdr:nvSpPr>
        <xdr:cNvPr id="12" name="Rectángulo 15">
          <a:extLst>
            <a:ext uri="{FF2B5EF4-FFF2-40B4-BE49-F238E27FC236}">
              <a16:creationId xmlns:a16="http://schemas.microsoft.com/office/drawing/2014/main" id="{BB4DAA4C-9337-4512-A217-ACE5E17441BA}"/>
            </a:ext>
          </a:extLst>
        </xdr:cNvPr>
        <xdr:cNvSpPr/>
      </xdr:nvSpPr>
      <xdr:spPr>
        <a:xfrm>
          <a:off x="171450" y="24345900"/>
          <a:ext cx="14687550" cy="79542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PRODUCTOS CRITICOS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180974</xdr:colOff>
      <xdr:row>139</xdr:row>
      <xdr:rowOff>85724</xdr:rowOff>
    </xdr:from>
    <xdr:to>
      <xdr:col>8</xdr:col>
      <xdr:colOff>361949</xdr:colOff>
      <xdr:row>171</xdr:row>
      <xdr:rowOff>76199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798B067E-57CD-4C60-B4A5-028E791163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139</xdr:row>
      <xdr:rowOff>104775</xdr:rowOff>
    </xdr:from>
    <xdr:to>
      <xdr:col>19</xdr:col>
      <xdr:colOff>323850</xdr:colOff>
      <xdr:row>171</xdr:row>
      <xdr:rowOff>95250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8F93D189-32AA-4842-A199-1544A1D7B8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647700</xdr:colOff>
      <xdr:row>106</xdr:row>
      <xdr:rowOff>180975</xdr:rowOff>
    </xdr:from>
    <xdr:to>
      <xdr:col>22</xdr:col>
      <xdr:colOff>302683</xdr:colOff>
      <xdr:row>110</xdr:row>
      <xdr:rowOff>52916</xdr:rowOff>
    </xdr:to>
    <xdr:sp macro="" textlink="">
      <xdr:nvSpPr>
        <xdr:cNvPr id="15" name="Flecha: hacia la izquierda 1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F71E995-1DA5-4A54-A6DB-99788BB71878}"/>
            </a:ext>
          </a:extLst>
        </xdr:cNvPr>
        <xdr:cNvSpPr/>
      </xdr:nvSpPr>
      <xdr:spPr>
        <a:xfrm>
          <a:off x="15887700" y="19611975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21</xdr:col>
      <xdr:colOff>28575</xdr:colOff>
      <xdr:row>151</xdr:row>
      <xdr:rowOff>76200</xdr:rowOff>
    </xdr:from>
    <xdr:to>
      <xdr:col>22</xdr:col>
      <xdr:colOff>445558</xdr:colOff>
      <xdr:row>154</xdr:row>
      <xdr:rowOff>138641</xdr:rowOff>
    </xdr:to>
    <xdr:sp macro="" textlink="">
      <xdr:nvSpPr>
        <xdr:cNvPr id="16" name="Flecha: hacia la izquierda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42EB52-B0DA-43EC-80D8-459A12201AD5}"/>
            </a:ext>
          </a:extLst>
        </xdr:cNvPr>
        <xdr:cNvSpPr/>
      </xdr:nvSpPr>
      <xdr:spPr>
        <a:xfrm>
          <a:off x="16030575" y="27508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381000</xdr:colOff>
      <xdr:row>183</xdr:row>
      <xdr:rowOff>161925</xdr:rowOff>
    </xdr:from>
    <xdr:to>
      <xdr:col>19</xdr:col>
      <xdr:colOff>266700</xdr:colOff>
      <xdr:row>213</xdr:row>
      <xdr:rowOff>19050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F81A568-8741-4AD9-AFE4-E8D61A9B4E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390525</xdr:colOff>
      <xdr:row>179</xdr:row>
      <xdr:rowOff>9525</xdr:rowOff>
    </xdr:from>
    <xdr:to>
      <xdr:col>19</xdr:col>
      <xdr:colOff>238125</xdr:colOff>
      <xdr:row>183</xdr:row>
      <xdr:rowOff>47625</xdr:rowOff>
    </xdr:to>
    <xdr:sp macro="" textlink="">
      <xdr:nvSpPr>
        <xdr:cNvPr id="5" name="Rectángulo 1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E749522-0C15-40E1-9AF6-8214259BACD6}"/>
            </a:ext>
          </a:extLst>
        </xdr:cNvPr>
        <xdr:cNvSpPr/>
      </xdr:nvSpPr>
      <xdr:spPr>
        <a:xfrm>
          <a:off x="390525" y="34109025"/>
          <a:ext cx="14325600" cy="80010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DIFERENCIAS EN COMPRAS</a:t>
          </a:r>
        </a:p>
      </xdr:txBody>
    </xdr:sp>
    <xdr:clientData/>
  </xdr:twoCellAnchor>
  <xdr:twoCellAnchor>
    <xdr:from>
      <xdr:col>21</xdr:col>
      <xdr:colOff>0</xdr:colOff>
      <xdr:row>193</xdr:row>
      <xdr:rowOff>0</xdr:rowOff>
    </xdr:from>
    <xdr:to>
      <xdr:col>22</xdr:col>
      <xdr:colOff>416983</xdr:colOff>
      <xdr:row>196</xdr:row>
      <xdr:rowOff>62441</xdr:rowOff>
    </xdr:to>
    <xdr:sp macro="" textlink="">
      <xdr:nvSpPr>
        <xdr:cNvPr id="17" name="Flecha: hacia la izquierda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6005C16-019E-419E-A519-D7BF2089315A}"/>
            </a:ext>
          </a:extLst>
        </xdr:cNvPr>
        <xdr:cNvSpPr/>
      </xdr:nvSpPr>
      <xdr:spPr>
        <a:xfrm>
          <a:off x="16002000" y="36766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304800</xdr:colOff>
      <xdr:row>216</xdr:row>
      <xdr:rowOff>152400</xdr:rowOff>
    </xdr:from>
    <xdr:to>
      <xdr:col>19</xdr:col>
      <xdr:colOff>238125</xdr:colOff>
      <xdr:row>220</xdr:row>
      <xdr:rowOff>151176</xdr:rowOff>
    </xdr:to>
    <xdr:sp macro="" textlink="">
      <xdr:nvSpPr>
        <xdr:cNvPr id="19" name="Rectángul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542B331B-B996-492D-8A2E-0AA346D9E875}"/>
            </a:ext>
          </a:extLst>
        </xdr:cNvPr>
        <xdr:cNvSpPr/>
      </xdr:nvSpPr>
      <xdr:spPr>
        <a:xfrm>
          <a:off x="304800" y="41300400"/>
          <a:ext cx="14411325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VARIACIÓN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DE PRECIO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638175</xdr:colOff>
      <xdr:row>236</xdr:row>
      <xdr:rowOff>114300</xdr:rowOff>
    </xdr:from>
    <xdr:to>
      <xdr:col>22</xdr:col>
      <xdr:colOff>293158</xdr:colOff>
      <xdr:row>239</xdr:row>
      <xdr:rowOff>176741</xdr:rowOff>
    </xdr:to>
    <xdr:sp macro="" textlink="">
      <xdr:nvSpPr>
        <xdr:cNvPr id="20" name="Flecha: hacia la izquierda 1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96CDF4E-365F-41B7-B1BC-6EAEAAFE8D76}"/>
            </a:ext>
          </a:extLst>
        </xdr:cNvPr>
        <xdr:cNvSpPr/>
      </xdr:nvSpPr>
      <xdr:spPr>
        <a:xfrm>
          <a:off x="15878175" y="450723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295275</xdr:colOff>
      <xdr:row>221</xdr:row>
      <xdr:rowOff>19050</xdr:rowOff>
    </xdr:from>
    <xdr:to>
      <xdr:col>19</xdr:col>
      <xdr:colOff>219075</xdr:colOff>
      <xdr:row>257</xdr:row>
      <xdr:rowOff>38100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A2A97266-0335-4EFC-8915-D401B9A5A2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266700</xdr:colOff>
      <xdr:row>260</xdr:row>
      <xdr:rowOff>104775</xdr:rowOff>
    </xdr:from>
    <xdr:to>
      <xdr:col>19</xdr:col>
      <xdr:colOff>304800</xdr:colOff>
      <xdr:row>264</xdr:row>
      <xdr:rowOff>103551</xdr:rowOff>
    </xdr:to>
    <xdr:sp macro="" textlink="">
      <xdr:nvSpPr>
        <xdr:cNvPr id="22" name="Rectángulo 15">
          <a:extLst>
            <a:ext uri="{FF2B5EF4-FFF2-40B4-BE49-F238E27FC236}">
              <a16:creationId xmlns:a16="http://schemas.microsoft.com/office/drawing/2014/main" id="{0CA826DC-A013-4B50-85A9-2FD9C3379D66}"/>
            </a:ext>
          </a:extLst>
        </xdr:cNvPr>
        <xdr:cNvSpPr/>
      </xdr:nvSpPr>
      <xdr:spPr>
        <a:xfrm>
          <a:off x="266700" y="49634775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MODULO TEORICO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277</xdr:row>
      <xdr:rowOff>0</xdr:rowOff>
    </xdr:from>
    <xdr:to>
      <xdr:col>22</xdr:col>
      <xdr:colOff>416983</xdr:colOff>
      <xdr:row>280</xdr:row>
      <xdr:rowOff>62441</xdr:rowOff>
    </xdr:to>
    <xdr:sp macro="" textlink="">
      <xdr:nvSpPr>
        <xdr:cNvPr id="24" name="Flecha: hacia la izquierda 2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3852BF9-72E0-4449-A0B0-1BE4509EA03D}"/>
            </a:ext>
          </a:extLst>
        </xdr:cNvPr>
        <xdr:cNvSpPr/>
      </xdr:nvSpPr>
      <xdr:spPr>
        <a:xfrm>
          <a:off x="16002000" y="52768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238125</xdr:colOff>
      <xdr:row>265</xdr:row>
      <xdr:rowOff>28575</xdr:rowOff>
    </xdr:from>
    <xdr:to>
      <xdr:col>19</xdr:col>
      <xdr:colOff>295275</xdr:colOff>
      <xdr:row>307</xdr:row>
      <xdr:rowOff>0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23250846-5E29-4364-9857-278324AB3A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200025</xdr:colOff>
      <xdr:row>316</xdr:row>
      <xdr:rowOff>47624</xdr:rowOff>
    </xdr:from>
    <xdr:to>
      <xdr:col>19</xdr:col>
      <xdr:colOff>238125</xdr:colOff>
      <xdr:row>352</xdr:row>
      <xdr:rowOff>190499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963DC4E3-54CE-4BD7-9D71-0ED14E32A8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190500</xdr:colOff>
      <xdr:row>311</xdr:row>
      <xdr:rowOff>133350</xdr:rowOff>
    </xdr:from>
    <xdr:to>
      <xdr:col>19</xdr:col>
      <xdr:colOff>228600</xdr:colOff>
      <xdr:row>315</xdr:row>
      <xdr:rowOff>132126</xdr:rowOff>
    </xdr:to>
    <xdr:sp macro="" textlink="">
      <xdr:nvSpPr>
        <xdr:cNvPr id="26" name="Rectángulo 15">
          <a:extLst>
            <a:ext uri="{FF2B5EF4-FFF2-40B4-BE49-F238E27FC236}">
              <a16:creationId xmlns:a16="http://schemas.microsoft.com/office/drawing/2014/main" id="{8E94DFE0-7AED-46CB-B675-0887099E9FAF}"/>
            </a:ext>
          </a:extLst>
        </xdr:cNvPr>
        <xdr:cNvSpPr/>
      </xdr:nvSpPr>
      <xdr:spPr>
        <a:xfrm>
          <a:off x="190500" y="58235850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PRODUCTO SEGÚN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329</xdr:row>
      <xdr:rowOff>0</xdr:rowOff>
    </xdr:from>
    <xdr:to>
      <xdr:col>22</xdr:col>
      <xdr:colOff>416983</xdr:colOff>
      <xdr:row>332</xdr:row>
      <xdr:rowOff>62441</xdr:rowOff>
    </xdr:to>
    <xdr:sp macro="" textlink="">
      <xdr:nvSpPr>
        <xdr:cNvPr id="27" name="Flecha: hacia la izquierda 2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7F2A88A-AF8E-4B20-8F04-3903B74A11A6}"/>
            </a:ext>
          </a:extLst>
        </xdr:cNvPr>
        <xdr:cNvSpPr/>
      </xdr:nvSpPr>
      <xdr:spPr>
        <a:xfrm>
          <a:off x="16002000" y="61531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6134099</xdr:colOff>
      <xdr:row>0</xdr:row>
      <xdr:rowOff>66675</xdr:rowOff>
    </xdr:from>
    <xdr:to>
      <xdr:col>2</xdr:col>
      <xdr:colOff>1514474</xdr:colOff>
      <xdr:row>5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IPO PRODUCTO">
              <a:extLst>
                <a:ext uri="{FF2B5EF4-FFF2-40B4-BE49-F238E27FC236}">
                  <a16:creationId xmlns:a16="http://schemas.microsoft.com/office/drawing/2014/main" id="{E3C24887-59E5-D5A6-D817-3C4C16D8DA9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48399" y="66675"/>
              <a:ext cx="1990725" cy="962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76199</xdr:colOff>
      <xdr:row>0</xdr:row>
      <xdr:rowOff>71438</xdr:rowOff>
    </xdr:from>
    <xdr:to>
      <xdr:col>1</xdr:col>
      <xdr:colOff>3990975</xdr:colOff>
      <xdr:row>8</xdr:row>
      <xdr:rowOff>80963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es (FECHA SOLICITUD) 2">
              <a:extLst>
                <a:ext uri="{FF2B5EF4-FFF2-40B4-BE49-F238E27FC236}">
                  <a16:creationId xmlns:a16="http://schemas.microsoft.com/office/drawing/2014/main" id="{3439FAB4-001A-CBDD-4C6A-9961591BCE9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(FECHA SOLICITUD)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499" y="71438"/>
              <a:ext cx="3914776" cy="1152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4124325</xdr:colOff>
      <xdr:row>0</xdr:row>
      <xdr:rowOff>61913</xdr:rowOff>
    </xdr:from>
    <xdr:to>
      <xdr:col>1</xdr:col>
      <xdr:colOff>5934075</xdr:colOff>
      <xdr:row>8</xdr:row>
      <xdr:rowOff>71438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Años (FECHA SOLICITUD) 2">
              <a:extLst>
                <a:ext uri="{FF2B5EF4-FFF2-40B4-BE49-F238E27FC236}">
                  <a16:creationId xmlns:a16="http://schemas.microsoft.com/office/drawing/2014/main" id="{C0DADE27-BDB5-2C90-EAD3-5E6139BC6BB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s (FECHA SOLICITUD)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238625" y="61913"/>
              <a:ext cx="1809750" cy="1152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19050</xdr:rowOff>
    </xdr:from>
    <xdr:to>
      <xdr:col>1</xdr:col>
      <xdr:colOff>1826403</xdr:colOff>
      <xdr:row>6</xdr:row>
      <xdr:rowOff>66675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EE85501A-2B72-25F0-7A59-DF15A44DD502}"/>
            </a:ext>
          </a:extLst>
        </xdr:cNvPr>
        <xdr:cNvGrpSpPr/>
      </xdr:nvGrpSpPr>
      <xdr:grpSpPr>
        <a:xfrm>
          <a:off x="178858" y="19050"/>
          <a:ext cx="1816878" cy="1000125"/>
          <a:chOff x="180975" y="19050"/>
          <a:chExt cx="1828800" cy="100012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2" name="TIPO PRODUCTO 1">
                <a:extLst>
                  <a:ext uri="{FF2B5EF4-FFF2-40B4-BE49-F238E27FC236}">
                    <a16:creationId xmlns:a16="http://schemas.microsoft.com/office/drawing/2014/main" id="{2B843126-FAE0-FD37-8B43-44B4DBA83C47}"/>
                  </a:ext>
                </a:extLst>
              </xdr:cNvPr>
              <xdr:cNvGraphicFramePr/>
            </xdr:nvGraphicFramePr>
            <xdr:xfrm>
              <a:off x="180975" y="19050"/>
              <a:ext cx="1828800" cy="1000125"/>
            </xdr:xfrm>
            <a:graphic>
              <a:graphicData uri="http://schemas.microsoft.com/office/drawing/2010/slicer">
                <sle:slicer xmlns:sle="http://schemas.microsoft.com/office/drawing/2010/slicer" name="TIPO PRODUCTO 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80975" y="19050"/>
                <a:ext cx="1828800" cy="100012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 editAs="oneCell">
    <xdr:from>
      <xdr:col>1</xdr:col>
      <xdr:colOff>4609041</xdr:colOff>
      <xdr:row>0</xdr:row>
      <xdr:rowOff>39158</xdr:rowOff>
    </xdr:from>
    <xdr:to>
      <xdr:col>1</xdr:col>
      <xdr:colOff>5630334</xdr:colOff>
      <xdr:row>6</xdr:row>
      <xdr:rowOff>67733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ños (FECHA SOLICITUD) 1">
              <a:extLst>
                <a:ext uri="{FF2B5EF4-FFF2-40B4-BE49-F238E27FC236}">
                  <a16:creationId xmlns:a16="http://schemas.microsoft.com/office/drawing/2014/main" id="{6AADD899-ED5E-0B87-7F7B-0605B5D708D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s (FECHA SOLICITUD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78374" y="39158"/>
              <a:ext cx="1021293" cy="981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1904999</xdr:colOff>
      <xdr:row>0</xdr:row>
      <xdr:rowOff>9525</xdr:rowOff>
    </xdr:from>
    <xdr:to>
      <xdr:col>1</xdr:col>
      <xdr:colOff>4540250</xdr:colOff>
      <xdr:row>6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Meses (FECHA SOLICITUD) 1">
              <a:extLst>
                <a:ext uri="{FF2B5EF4-FFF2-40B4-BE49-F238E27FC236}">
                  <a16:creationId xmlns:a16="http://schemas.microsoft.com/office/drawing/2014/main" id="{6059BB40-4372-7B35-3A0E-F59ADC8D565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(FECHA SOLICITUD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76449" y="9525"/>
              <a:ext cx="4038601" cy="981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5702301</xdr:colOff>
      <xdr:row>0</xdr:row>
      <xdr:rowOff>21167</xdr:rowOff>
    </xdr:from>
    <xdr:to>
      <xdr:col>5</xdr:col>
      <xdr:colOff>793751</xdr:colOff>
      <xdr:row>6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DESCRIPCION 2">
              <a:extLst>
                <a:ext uri="{FF2B5EF4-FFF2-40B4-BE49-F238E27FC236}">
                  <a16:creationId xmlns:a16="http://schemas.microsoft.com/office/drawing/2014/main" id="{931F2037-7CC8-83A7-5172-3DA7E11EF34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871634" y="21167"/>
              <a:ext cx="4912784" cy="102658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8.632000810183" createdVersion="8" refreshedVersion="8" minRefreshableVersion="3" recordCount="12" xr:uid="{EB82342C-00EE-4208-8156-B32EBC3C3A85}">
  <cacheSource type="worksheet">
    <worksheetSource name="comparativa"/>
  </cacheSource>
  <cacheFields count="12">
    <cacheField name="MESES" numFmtId="0">
      <sharedItems count="12">
        <s v="Enero"/>
        <s v="Febrero"/>
        <s v="Marzo"/>
        <s v="Abril"/>
        <s v="Mayo"/>
        <s v="Junio"/>
        <s v="Julio"/>
        <s v="Agosto"/>
        <s v="Septiembre"/>
        <s v="Octubre"/>
        <s v="Noviembre"/>
        <s v="Diciembre"/>
      </sharedItems>
    </cacheField>
    <cacheField name="COMPRA MATERIALES" numFmtId="0">
      <sharedItems containsString="0" containsBlank="1" containsNumber="1" containsInteger="1" minValue="47377484" maxValue="295274756"/>
    </cacheField>
    <cacheField name="COMPRAS ACUMULADAS" numFmtId="42">
      <sharedItems containsSemiMixedTypes="0" containsString="0" containsNumber="1" containsInteger="1" minValue="47377484" maxValue="896025095"/>
    </cacheField>
    <cacheField name="INGRESO MENSUAL" numFmtId="42">
      <sharedItems containsSemiMixedTypes="0" containsString="0" containsNumber="1" minValue="169945010.7783491" maxValue="1173013527.8693182"/>
    </cacheField>
    <cacheField name="INGRESO ACUMULADO" numFmtId="42">
      <sharedItems containsSemiMixedTypes="0" containsString="0" containsNumber="1" minValue="204967292.05585891" maxValue="10215867735.819061"/>
    </cacheField>
    <cacheField name="% AVANCE ECONOMICO" numFmtId="0">
      <sharedItems containsString="0" containsBlank="1" containsNumber="1" minValue="7.2013199574403408E-3" maxValue="4.4881403860769116E-2"/>
    </cacheField>
    <cacheField name="%AVANCE ECONOMICO ACUM." numFmtId="10">
      <sharedItems containsSemiMixedTypes="0" containsString="0" containsNumber="1" minValue="7.2013199574403408E-3" maxValue="0.13619472488220094"/>
    </cacheField>
    <cacheField name="%AVANCE ESPERADO ECONOMICO" numFmtId="10">
      <sharedItems containsSemiMixedTypes="0" containsString="0" containsNumber="1" minValue="0" maxValue="8.5227272727272721E-2"/>
    </cacheField>
    <cacheField name="%AVANCE ESPERADO ECONOMICO ACUM." numFmtId="10">
      <sharedItems containsSemiMixedTypes="0" containsString="0" containsNumber="1" minValue="0" maxValue="0.73902272727272711"/>
    </cacheField>
    <cacheField name="%AVANCE FISICO ACUM." numFmtId="10">
      <sharedItems containsSemiMixedTypes="0" containsString="0" containsNumber="1" minValue="0" maxValue="0.11553977272727275"/>
    </cacheField>
    <cacheField name="%AVANCE FISICO MENSUAL" numFmtId="10">
      <sharedItems containsString="0" containsBlank="1" containsNumber="1" minValue="1.6286644951140062E-2" maxValue="5.9536578366939916E-2"/>
    </cacheField>
    <cacheField name="GAP ECONOMICO MENSUAL" numFmtId="10">
      <sharedItems containsSemiMixedTypes="0" containsString="0" containsNumber="1" minValue="-7.2013199574403408E-3" maxValue="8.5227272727272721E-2"/>
    </cacheField>
  </cacheFields>
  <extLst>
    <ext xmlns:x14="http://schemas.microsoft.com/office/spreadsheetml/2009/9/main" uri="{725AE2AE-9491-48be-B2B4-4EB974FC3084}">
      <x14:pivotCacheDefinition pivotCacheId="145933510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8.632003125" createdVersion="8" refreshedVersion="8" minRefreshableVersion="3" recordCount="136" xr:uid="{E2C531F1-30B7-4A8D-96C3-0CA20BE36370}">
  <cacheSource type="worksheet">
    <worksheetSource name="REG_STOCK"/>
  </cacheSource>
  <cacheFields count="18">
    <cacheField name="FECHA STOCK " numFmtId="14">
      <sharedItems containsSemiMixedTypes="0" containsNonDate="0" containsDate="1" containsString="0" minDate="2026-04-13T00:00:00" maxDate="2026-06-16T00:00:00" count="10">
        <d v="2026-04-13T00:00:00"/>
        <d v="2026-04-20T00:00:00"/>
        <d v="2026-04-27T00:00:00"/>
        <d v="2026-05-04T00:00:00"/>
        <d v="2026-05-11T00:00:00"/>
        <d v="2026-05-18T00:00:00"/>
        <d v="2026-05-25T00:00:00"/>
        <d v="2026-06-01T00:00:00"/>
        <d v="2026-06-08T00:00:00"/>
        <d v="2026-06-15T00:00:00"/>
      </sharedItems>
    </cacheField>
    <cacheField name="CODIGO" numFmtId="0">
      <sharedItems containsMixedTypes="1" containsNumber="1" containsInteger="1" minValue="302010" maxValue="5309018"/>
    </cacheField>
    <cacheField name="MATERIAL" numFmtId="0">
      <sharedItems/>
    </cacheField>
    <cacheField name="U.M" numFmtId="0">
      <sharedItems/>
    </cacheField>
    <cacheField name="TOTAL SOLICITADO" numFmtId="0">
      <sharedItems containsSemiMixedTypes="0" containsString="0" containsNumber="1" containsInteger="1" minValue="51" maxValue="15000"/>
    </cacheField>
    <cacheField name="CANT X MODULO" numFmtId="0">
      <sharedItems containsString="0" containsBlank="1" containsNumber="1" minValue="0" maxValue="52.5"/>
    </cacheField>
    <cacheField name="STOCK FISICO" numFmtId="0">
      <sharedItems containsSemiMixedTypes="0" containsString="0" containsNumber="1" containsInteger="1" minValue="0" maxValue="723"/>
    </cacheField>
    <cacheField name="DESCRIPCION" numFmtId="0">
      <sharedItems containsMixedTypes="1" containsNumber="1" containsInteger="1" minValue="0" maxValue="0" count="17">
        <s v="PINO 3X8X320"/>
        <s v="OSB 9.5"/>
        <s v="PINO 2X8X4"/>
        <s v="PINO 2X6X320"/>
        <s v="PINO 2X4X320"/>
        <s v="TERCIADO FENOLICO"/>
        <s v="OSB 11MM"/>
        <s v="VOCANITA EMPAPELADA MURO"/>
        <s v="PINO 2X6X400"/>
        <s v="VOLCANITA EMPAPELADA CIELO"/>
        <s v="AISLAN GLASS 90MM"/>
        <s v="SMARTPANEL"/>
        <s v="VOLCANITA RF"/>
        <n v="0"/>
        <s v="FIBROCEMENTO BALCON"/>
        <s v="VOLCOGLASS"/>
        <s v="SIMPLISIMA"/>
      </sharedItems>
    </cacheField>
    <cacheField name="SOLICITADO A TF" numFmtId="166">
      <sharedItems containsSemiMixedTypes="0" containsString="0" containsNumber="1" containsInteger="1" minValue="148" maxValue="15097"/>
    </cacheField>
    <cacheField name="CONSUMO" numFmtId="0">
      <sharedItems containsSemiMixedTypes="0" containsString="0" containsNumber="1" containsInteger="1" minValue="128" maxValue="14374"/>
    </cacheField>
    <cacheField name="CUBICACION PPTO." numFmtId="172">
      <sharedItems containsMixedTypes="1" containsNumber="1" minValue="0.41466600000000009" maxValue="172.72499999999994"/>
    </cacheField>
    <cacheField name="CONSUMO X MODULO" numFmtId="168">
      <sharedItems containsMixedTypes="1" containsNumber="1" minValue="2.9846242936333218" maxValue="431.67271973106057"/>
    </cacheField>
    <cacheField name="ALCANCE (STOCK) X MODULO" numFmtId="168">
      <sharedItems containsMixedTypes="1" containsNumber="1" minValue="0" maxValue="79.582121514664792"/>
    </cacheField>
    <cacheField name="ALCANCE FISICO" numFmtId="168">
      <sharedItems containsMixedTypes="1" containsNumber="1" minValue="3.1534205261781367" maxValue="443.73061693025221"/>
    </cacheField>
    <cacheField name="PERDIDA O EN PROCESO" numFmtId="168">
      <sharedItems containsMixedTypes="1" containsNumber="1" minValue="-1006.0916326157731" maxValue="62.88827470200259"/>
    </cacheField>
    <cacheField name="VALOR UNITARIO" numFmtId="168">
      <sharedItems containsSemiMixedTypes="0" containsString="0" containsNumber="1" minValue="706.42250000000001" maxValue="150732.2183908046"/>
    </cacheField>
    <cacheField name="VALOR PERDIDA" numFmtId="168">
      <sharedItems containsMixedTypes="1" containsNumber="1" minValue="-151650423.68860185" maxValue="1459025.8994453484"/>
    </cacheField>
    <cacheField name="VALOR STOCK" numFmtId="168">
      <sharedItems containsSemiMixedTypes="0" containsString="0" containsNumber="1" minValue="0" maxValue="11782170.861803355"/>
    </cacheField>
  </cacheFields>
  <extLst>
    <ext xmlns:x14="http://schemas.microsoft.com/office/spreadsheetml/2009/9/main" uri="{725AE2AE-9491-48be-B2B4-4EB974FC3084}">
      <x14:pivotCacheDefinition pivotCacheId="1256555093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8.632003472223" createdVersion="8" refreshedVersion="8" minRefreshableVersion="3" recordCount="704" xr:uid="{0D0100CB-FD06-4188-90EC-93AA2C36CE92}">
  <cacheSource type="worksheet">
    <worksheetSource name="AVANCE"/>
  </cacheSource>
  <cacheFields count="63">
    <cacheField name="TORRE" numFmtId="0">
      <sharedItems count="22">
        <s v="TORRE 01"/>
        <s v="TORRE 02"/>
        <s v="TORRE 03"/>
        <s v="TORRE 04"/>
        <s v="TORRE 05"/>
        <s v="TORRE 06"/>
        <s v="TORRE 07"/>
        <s v="TORRE 08"/>
        <s v="TORRE 09"/>
        <s v="TORRE 10"/>
        <s v="TORRE 11"/>
        <s v="TORRE 12"/>
        <s v="TORRE 13"/>
        <s v="TORRE 14"/>
        <s v="TORRE 15"/>
        <s v="TORRE 16"/>
        <s v="TORRE 17"/>
        <s v="TORRE 18"/>
        <s v="TORRE 19"/>
        <s v="TORRE 20"/>
        <s v="TORRE 21"/>
        <s v="TORRE 22"/>
      </sharedItems>
    </cacheField>
    <cacheField name="N° MÓDULO" numFmtId="0">
      <sharedItems count="704">
        <s v="M-00001"/>
        <s v="M-00002"/>
        <s v="M-00003"/>
        <s v="M-00004"/>
        <s v="M-00005"/>
        <s v="M-00006"/>
        <s v="M-00007"/>
        <s v="M-00008"/>
        <s v="M-00009"/>
        <s v="M-00010"/>
        <s v="M-00011"/>
        <s v="M-00012"/>
        <s v="M-00013"/>
        <s v="M-00014"/>
        <s v="M-00015"/>
        <s v="M-00016"/>
        <s v="M-00017"/>
        <s v="M-00018"/>
        <s v="M-00019"/>
        <s v="M-00020"/>
        <s v="M-00021"/>
        <s v="M-00022"/>
        <s v="M-00023"/>
        <s v="M-00024"/>
        <s v="M-00025"/>
        <s v="M-00026"/>
        <s v="M-00027"/>
        <s v="M-00028"/>
        <s v="M-00029"/>
        <s v="M-00030"/>
        <s v="M-00031"/>
        <s v="M-00032"/>
        <s v="M-00033"/>
        <s v="M-00034"/>
        <s v="M-00035"/>
        <s v="M-00036"/>
        <s v="M-00037"/>
        <s v="M-00038"/>
        <s v="M-00039"/>
        <s v="M-00040"/>
        <s v="M-00041"/>
        <s v="M-00042"/>
        <s v="M-00043"/>
        <s v="M-00044"/>
        <s v="M-00045"/>
        <s v="M-00046"/>
        <s v="M-00047"/>
        <s v="M-00048"/>
        <s v="M-00049"/>
        <s v="M-00050"/>
        <s v="M-00051"/>
        <s v="M-00052"/>
        <s v="M-00053"/>
        <s v="M-00054"/>
        <s v="M-00055"/>
        <s v="M-00056"/>
        <s v="M-00057"/>
        <s v="M-00058"/>
        <s v="M-00059"/>
        <s v="M-00060"/>
        <s v="M-00061"/>
        <s v="M-00062"/>
        <s v="M-00063"/>
        <s v="M-00064"/>
        <s v="M-00065"/>
        <s v="M-00066"/>
        <s v="M-00067"/>
        <s v="M-00068"/>
        <s v="M-00069"/>
        <s v="M-00070"/>
        <s v="M-00071"/>
        <s v="M-00072"/>
        <s v="M-00073"/>
        <s v="M-00074"/>
        <s v="M-00075"/>
        <s v="M-00076"/>
        <s v="M-00077"/>
        <s v="M-00078"/>
        <s v="M-00079"/>
        <s v="M-00080"/>
        <s v="M-00081"/>
        <s v="M-00082"/>
        <s v="M-00083"/>
        <s v="M-00084"/>
        <s v="M-00085"/>
        <s v="M-00086"/>
        <s v="M-00087"/>
        <s v="M-00088"/>
        <s v="M-00089"/>
        <s v="M-00090"/>
        <s v="M-00091"/>
        <s v="M-00092"/>
        <s v="M-00093"/>
        <s v="M-00094"/>
        <s v="M-00095"/>
        <s v="M-00096"/>
        <s v="M-00097"/>
        <s v="M-00098"/>
        <s v="M-00099"/>
        <s v="M-00100"/>
        <s v="M-00101"/>
        <s v="M-00102"/>
        <s v="M-00103"/>
        <s v="M-00104"/>
        <s v="M-00105"/>
        <s v="M-00106"/>
        <s v="M-00107"/>
        <s v="M-00108"/>
        <s v="M-00109"/>
        <s v="M-00110"/>
        <s v="M-00111"/>
        <s v="M-00112"/>
        <s v="M-00113"/>
        <s v="M-00114"/>
        <s v="M-00115"/>
        <s v="M-00116"/>
        <s v="M-00117"/>
        <s v="M-00118"/>
        <s v="M-00119"/>
        <s v="M-00120"/>
        <s v="M-00121"/>
        <s v="M-00122"/>
        <s v="M-00123"/>
        <s v="M-00124"/>
        <s v="M-00125"/>
        <s v="M-00126"/>
        <s v="M-00127"/>
        <s v="M-00128"/>
        <s v="M-00129"/>
        <s v="M-00130"/>
        <s v="M-00131"/>
        <s v="M-00132"/>
        <s v="M-00133"/>
        <s v="M-00134"/>
        <s v="M-00135"/>
        <s v="M-00136"/>
        <s v="M-00137"/>
        <s v="M-00138"/>
        <s v="M-00139"/>
        <s v="M-00140"/>
        <s v="M-00141"/>
        <s v="M-00142"/>
        <s v="M-00143"/>
        <s v="M-00144"/>
        <s v="M-00145"/>
        <s v="M-00146"/>
        <s v="M-00147"/>
        <s v="M-00148"/>
        <s v="M-00149"/>
        <s v="M-00150"/>
        <s v="M-00151"/>
        <s v="M-00152"/>
        <s v="M-00153"/>
        <s v="M-00154"/>
        <s v="M-00155"/>
        <s v="M-00156"/>
        <s v="M-00157"/>
        <s v="M-00158"/>
        <s v="M-00159"/>
        <s v="M-00160"/>
        <s v="M-00161"/>
        <s v="M-00162"/>
        <s v="M-00163"/>
        <s v="M-00164"/>
        <s v="M-00165"/>
        <s v="M-00166"/>
        <s v="M-00167"/>
        <s v="M-00168"/>
        <s v="M-00169"/>
        <s v="M-00170"/>
        <s v="M-00171"/>
        <s v="M-00172"/>
        <s v="M-00173"/>
        <s v="M-00174"/>
        <s v="M-00175"/>
        <s v="M-00176"/>
        <s v="M-00177"/>
        <s v="M-00178"/>
        <s v="M-00179"/>
        <s v="M-00180"/>
        <s v="M-00181"/>
        <s v="M-00182"/>
        <s v="M-00183"/>
        <s v="M-00184"/>
        <s v="M-00185"/>
        <s v="M-00186"/>
        <s v="M-00187"/>
        <s v="M-00188"/>
        <s v="M-00189"/>
        <s v="M-00190"/>
        <s v="M-00191"/>
        <s v="M-00192"/>
        <s v="M-00193"/>
        <s v="M-00194"/>
        <s v="M-00195"/>
        <s v="M-00196"/>
        <s v="M-00197"/>
        <s v="M-00198"/>
        <s v="M-00199"/>
        <s v="M-00200"/>
        <s v="M-00201"/>
        <s v="M-00202"/>
        <s v="M-00203"/>
        <s v="M-00204"/>
        <s v="M-00205"/>
        <s v="M-00206"/>
        <s v="M-00207"/>
        <s v="M-00208"/>
        <s v="M-00209"/>
        <s v="M-00210"/>
        <s v="M-00211"/>
        <s v="M-00212"/>
        <s v="M-00213"/>
        <s v="M-00214"/>
        <s v="M-00215"/>
        <s v="M-00216"/>
        <s v="M-00217"/>
        <s v="M-00218"/>
        <s v="M-00219"/>
        <s v="M-00220"/>
        <s v="M-00221"/>
        <s v="M-00222"/>
        <s v="M-00223"/>
        <s v="M-00224"/>
        <s v="M-00225"/>
        <s v="M-00226"/>
        <s v="M-00227"/>
        <s v="M-00228"/>
        <s v="M-00229"/>
        <s v="M-00230"/>
        <s v="M-00231"/>
        <s v="M-00232"/>
        <s v="M-00233"/>
        <s v="M-00234"/>
        <s v="M-00235"/>
        <s v="M-00236"/>
        <s v="M-00237"/>
        <s v="M-00238"/>
        <s v="M-00239"/>
        <s v="M-00240"/>
        <s v="M-00241"/>
        <s v="M-00242"/>
        <s v="M-00243"/>
        <s v="M-00244"/>
        <s v="M-00245"/>
        <s v="M-00246"/>
        <s v="M-00247"/>
        <s v="M-00248"/>
        <s v="M-00249"/>
        <s v="M-00250"/>
        <s v="M-00251"/>
        <s v="M-00252"/>
        <s v="M-00253"/>
        <s v="M-00254"/>
        <s v="M-00255"/>
        <s v="M-00256"/>
        <s v="M-00257"/>
        <s v="M-00258"/>
        <s v="M-00259"/>
        <s v="M-00260"/>
        <s v="M-00261"/>
        <s v="M-00262"/>
        <s v="M-00263"/>
        <s v="M-00264"/>
        <s v="M-00265"/>
        <s v="M-00266"/>
        <s v="M-00267"/>
        <s v="M-00268"/>
        <s v="M-00269"/>
        <s v="M-00270"/>
        <s v="M-00271"/>
        <s v="M-00272"/>
        <s v="M-00273"/>
        <s v="M-00274"/>
        <s v="M-00275"/>
        <s v="M-00276"/>
        <s v="M-00277"/>
        <s v="M-00278"/>
        <s v="M-00279"/>
        <s v="M-00280"/>
        <s v="M-00281"/>
        <s v="M-00282"/>
        <s v="M-00283"/>
        <s v="M-00284"/>
        <s v="M-00285"/>
        <s v="M-00286"/>
        <s v="M-00287"/>
        <s v="M-00288"/>
        <s v="M-00289"/>
        <s v="M-00290"/>
        <s v="M-00291"/>
        <s v="M-00292"/>
        <s v="M-00293"/>
        <s v="M-00294"/>
        <s v="M-00295"/>
        <s v="M-00296"/>
        <s v="M-00297"/>
        <s v="M-00298"/>
        <s v="M-00299"/>
        <s v="M-00300"/>
        <s v="M-00301"/>
        <s v="M-00302"/>
        <s v="M-00303"/>
        <s v="M-00304"/>
        <s v="M-00305"/>
        <s v="M-00306"/>
        <s v="M-00307"/>
        <s v="M-00308"/>
        <s v="M-00309"/>
        <s v="M-00310"/>
        <s v="M-00311"/>
        <s v="M-00312"/>
        <s v="M-00313"/>
        <s v="M-00314"/>
        <s v="M-00315"/>
        <s v="M-00316"/>
        <s v="M-00317"/>
        <s v="M-00318"/>
        <s v="M-00319"/>
        <s v="M-00320"/>
        <s v="M-00321"/>
        <s v="M-00322"/>
        <s v="M-00323"/>
        <s v="M-00324"/>
        <s v="M-00325"/>
        <s v="M-00326"/>
        <s v="M-00327"/>
        <s v="M-00328"/>
        <s v="M-00329"/>
        <s v="M-00330"/>
        <s v="M-00331"/>
        <s v="M-00332"/>
        <s v="M-00333"/>
        <s v="M-00334"/>
        <s v="M-00335"/>
        <s v="M-00336"/>
        <s v="M-00337"/>
        <s v="M-00338"/>
        <s v="M-00339"/>
        <s v="M-00340"/>
        <s v="M-00341"/>
        <s v="M-00342"/>
        <s v="M-00343"/>
        <s v="M-00344"/>
        <s v="M-00345"/>
        <s v="M-00346"/>
        <s v="M-00347"/>
        <s v="M-00348"/>
        <s v="M-00349"/>
        <s v="M-00350"/>
        <s v="M-00351"/>
        <s v="M-00352"/>
        <s v="M-00353"/>
        <s v="M-00354"/>
        <s v="M-00355"/>
        <s v="M-00356"/>
        <s v="M-00357"/>
        <s v="M-00358"/>
        <s v="M-00359"/>
        <s v="M-00360"/>
        <s v="M-00361"/>
        <s v="M-00362"/>
        <s v="M-00363"/>
        <s v="M-00364"/>
        <s v="M-00365"/>
        <s v="M-00366"/>
        <s v="M-00367"/>
        <s v="M-00368"/>
        <s v="M-00369"/>
        <s v="M-00370"/>
        <s v="M-00371"/>
        <s v="M-00372"/>
        <s v="M-00373"/>
        <s v="M-00374"/>
        <s v="M-00375"/>
        <s v="M-00376"/>
        <s v="M-00377"/>
        <s v="M-00378"/>
        <s v="M-00379"/>
        <s v="M-00380"/>
        <s v="M-00381"/>
        <s v="M-00382"/>
        <s v="M-00383"/>
        <s v="M-00384"/>
        <s v="M-00385"/>
        <s v="M-00386"/>
        <s v="M-00387"/>
        <s v="M-00388"/>
        <s v="M-00389"/>
        <s v="M-00390"/>
        <s v="M-00391"/>
        <s v="M-00392"/>
        <s v="M-00393"/>
        <s v="M-00394"/>
        <s v="M-00395"/>
        <s v="M-00396"/>
        <s v="M-00397"/>
        <s v="M-00398"/>
        <s v="M-00399"/>
        <s v="M-00400"/>
        <s v="M-00401"/>
        <s v="M-00402"/>
        <s v="M-00403"/>
        <s v="M-00404"/>
        <s v="M-00405"/>
        <s v="M-00406"/>
        <s v="M-00407"/>
        <s v="M-00408"/>
        <s v="M-00409"/>
        <s v="M-00410"/>
        <s v="M-00411"/>
        <s v="M-00412"/>
        <s v="M-00413"/>
        <s v="M-00414"/>
        <s v="M-00415"/>
        <s v="M-00416"/>
        <s v="M-00417"/>
        <s v="M-00418"/>
        <s v="M-00419"/>
        <s v="M-00420"/>
        <s v="M-00421"/>
        <s v="M-00422"/>
        <s v="M-00423"/>
        <s v="M-00424"/>
        <s v="M-00425"/>
        <s v="M-00426"/>
        <s v="M-00427"/>
        <s v="M-00428"/>
        <s v="M-00429"/>
        <s v="M-00430"/>
        <s v="M-00431"/>
        <s v="M-00432"/>
        <s v="M-00433"/>
        <s v="M-00434"/>
        <s v="M-00435"/>
        <s v="M-00436"/>
        <s v="M-00437"/>
        <s v="M-00438"/>
        <s v="M-00439"/>
        <s v="M-00440"/>
        <s v="M-00441"/>
        <s v="M-00442"/>
        <s v="M-00443"/>
        <s v="M-00444"/>
        <s v="M-00445"/>
        <s v="M-00446"/>
        <s v="M-00447"/>
        <s v="M-00448"/>
        <s v="M-00449"/>
        <s v="M-00450"/>
        <s v="M-00451"/>
        <s v="M-00452"/>
        <s v="M-00453"/>
        <s v="M-00454"/>
        <s v="M-00455"/>
        <s v="M-00456"/>
        <s v="M-00457"/>
        <s v="M-00458"/>
        <s v="M-00459"/>
        <s v="M-00460"/>
        <s v="M-00461"/>
        <s v="M-00462"/>
        <s v="M-00463"/>
        <s v="M-00464"/>
        <s v="M-00465"/>
        <s v="M-00466"/>
        <s v="M-00467"/>
        <s v="M-00468"/>
        <s v="M-00469"/>
        <s v="M-00470"/>
        <s v="M-00471"/>
        <s v="M-00472"/>
        <s v="M-00473"/>
        <s v="M-00474"/>
        <s v="M-00475"/>
        <s v="M-00476"/>
        <s v="M-00477"/>
        <s v="M-00478"/>
        <s v="M-00479"/>
        <s v="M-00480"/>
        <s v="M-00481"/>
        <s v="M-00482"/>
        <s v="M-00483"/>
        <s v="M-00484"/>
        <s v="M-00485"/>
        <s v="M-00486"/>
        <s v="M-00487"/>
        <s v="M-00488"/>
        <s v="M-00489"/>
        <s v="M-00490"/>
        <s v="M-00491"/>
        <s v="M-00492"/>
        <s v="M-00493"/>
        <s v="M-00494"/>
        <s v="M-00495"/>
        <s v="M-00496"/>
        <s v="M-00497"/>
        <s v="M-00498"/>
        <s v="M-00499"/>
        <s v="M-00500"/>
        <s v="M-00501"/>
        <s v="M-00502"/>
        <s v="M-00503"/>
        <s v="M-00504"/>
        <s v="M-00505"/>
        <s v="M-00506"/>
        <s v="M-00507"/>
        <s v="M-00508"/>
        <s v="M-00509"/>
        <s v="M-00510"/>
        <s v="M-00511"/>
        <s v="M-00512"/>
        <s v="M-00513"/>
        <s v="M-00514"/>
        <s v="M-00515"/>
        <s v="M-00516"/>
        <s v="M-00517"/>
        <s v="M-00518"/>
        <s v="M-00519"/>
        <s v="M-00520"/>
        <s v="M-00521"/>
        <s v="M-00522"/>
        <s v="M-00523"/>
        <s v="M-00524"/>
        <s v="M-00525"/>
        <s v="M-00526"/>
        <s v="M-00527"/>
        <s v="M-00528"/>
        <s v="M-00529"/>
        <s v="M-00530"/>
        <s v="M-00531"/>
        <s v="M-00532"/>
        <s v="M-00533"/>
        <s v="M-00534"/>
        <s v="M-00535"/>
        <s v="M-00536"/>
        <s v="M-00537"/>
        <s v="M-00538"/>
        <s v="M-00539"/>
        <s v="M-00540"/>
        <s v="M-00541"/>
        <s v="M-00542"/>
        <s v="M-00543"/>
        <s v="M-00544"/>
        <s v="M-00545"/>
        <s v="M-00546"/>
        <s v="M-00547"/>
        <s v="M-00548"/>
        <s v="M-00549"/>
        <s v="M-00550"/>
        <s v="M-00551"/>
        <s v="M-00552"/>
        <s v="M-00553"/>
        <s v="M-00554"/>
        <s v="M-00555"/>
        <s v="M-00556"/>
        <s v="M-00557"/>
        <s v="M-00558"/>
        <s v="M-00559"/>
        <s v="M-00560"/>
        <s v="M-00561"/>
        <s v="M-00562"/>
        <s v="M-00563"/>
        <s v="M-00564"/>
        <s v="M-00565"/>
        <s v="M-00566"/>
        <s v="M-00567"/>
        <s v="M-00568"/>
        <s v="M-00569"/>
        <s v="M-00570"/>
        <s v="M-00571"/>
        <s v="M-00572"/>
        <s v="M-00573"/>
        <s v="M-00574"/>
        <s v="M-00575"/>
        <s v="M-00576"/>
        <s v="M-00577"/>
        <s v="M-00578"/>
        <s v="M-00579"/>
        <s v="M-00580"/>
        <s v="M-00581"/>
        <s v="M-00582"/>
        <s v="M-00583"/>
        <s v="M-00584"/>
        <s v="M-00585"/>
        <s v="M-00586"/>
        <s v="M-00587"/>
        <s v="M-00588"/>
        <s v="M-00589"/>
        <s v="M-00590"/>
        <s v="M-00591"/>
        <s v="M-00592"/>
        <s v="M-00593"/>
        <s v="M-00594"/>
        <s v="M-00595"/>
        <s v="M-00596"/>
        <s v="M-00597"/>
        <s v="M-00598"/>
        <s v="M-00599"/>
        <s v="M-00600"/>
        <s v="M-00601"/>
        <s v="M-00602"/>
        <s v="M-00603"/>
        <s v="M-00604"/>
        <s v="M-00605"/>
        <s v="M-00606"/>
        <s v="M-00607"/>
        <s v="M-00608"/>
        <s v="M-00609"/>
        <s v="M-00610"/>
        <s v="M-00611"/>
        <s v="M-00612"/>
        <s v="M-00613"/>
        <s v="M-00614"/>
        <s v="M-00615"/>
        <s v="M-00616"/>
        <s v="M-00617"/>
        <s v="M-00618"/>
        <s v="M-00619"/>
        <s v="M-00620"/>
        <s v="M-00621"/>
        <s v="M-00622"/>
        <s v="M-00623"/>
        <s v="M-00624"/>
        <s v="M-00625"/>
        <s v="M-00626"/>
        <s v="M-00627"/>
        <s v="M-00628"/>
        <s v="M-00629"/>
        <s v="M-00630"/>
        <s v="M-00631"/>
        <s v="M-00632"/>
        <s v="M-00633"/>
        <s v="M-00634"/>
        <s v="M-00635"/>
        <s v="M-00636"/>
        <s v="M-00637"/>
        <s v="M-00638"/>
        <s v="M-00639"/>
        <s v="M-00640"/>
        <s v="M-00641"/>
        <s v="M-00642"/>
        <s v="M-00643"/>
        <s v="M-00644"/>
        <s v="M-00645"/>
        <s v="M-00646"/>
        <s v="M-00647"/>
        <s v="M-00648"/>
        <s v="M-00649"/>
        <s v="M-00650"/>
        <s v="M-00651"/>
        <s v="M-00652"/>
        <s v="M-00653"/>
        <s v="M-00654"/>
        <s v="M-00655"/>
        <s v="M-00656"/>
        <s v="M-00657"/>
        <s v="M-00658"/>
        <s v="M-00659"/>
        <s v="M-00660"/>
        <s v="M-00661"/>
        <s v="M-00662"/>
        <s v="M-00663"/>
        <s v="M-00664"/>
        <s v="M-00665"/>
        <s v="M-00666"/>
        <s v="M-00667"/>
        <s v="M-00668"/>
        <s v="M-00669"/>
        <s v="M-00670"/>
        <s v="M-00671"/>
        <s v="M-00672"/>
        <s v="M-00673"/>
        <s v="M-00674"/>
        <s v="M-00675"/>
        <s v="M-00676"/>
        <s v="M-00677"/>
        <s v="M-00678"/>
        <s v="M-00679"/>
        <s v="M-00680"/>
        <s v="M-00681"/>
        <s v="M-00682"/>
        <s v="M-00683"/>
        <s v="M-00684"/>
        <s v="M-00685"/>
        <s v="M-00686"/>
        <s v="M-00687"/>
        <s v="M-00688"/>
        <s v="M-00689"/>
        <s v="M-00690"/>
        <s v="M-00691"/>
        <s v="M-00692"/>
        <s v="M-00693"/>
        <s v="M-00694"/>
        <s v="M-00695"/>
        <s v="M-00696"/>
        <s v="M-00697"/>
        <s v="M-00698"/>
        <s v="M-00699"/>
        <s v="M-00700"/>
        <s v="M-00701"/>
        <s v="M-00702"/>
        <s v="M-00703"/>
        <s v="M-00704"/>
      </sharedItems>
    </cacheField>
    <cacheField name="N° SERIE" numFmtId="0">
      <sharedItems containsSemiMixedTypes="0" containsString="0" containsNumber="1" containsInteger="1" minValue="2282600001" maxValue="2302600703"/>
    </cacheField>
    <cacheField name="TIPO" numFmtId="0">
      <sharedItems count="2">
        <s v="SECO"/>
        <s v="HUMEDO"/>
      </sharedItems>
    </cacheField>
    <cacheField name="% AVANCE" numFmtId="9">
      <sharedItems containsSemiMixedTypes="0" containsString="0" containsNumber="1" minValue="0" maxValue="0.99999999999999989" count="107">
        <n v="0.99999999999999989"/>
        <n v="0.95999999999999985"/>
        <n v="0.97499999999999987"/>
        <n v="0.95499999999999985"/>
        <n v="0.93"/>
        <n v="0.98499999999999988"/>
        <n v="0.85999999999999988"/>
        <n v="0.94499999999999984"/>
        <n v="0.91500000000000004"/>
        <n v="0.86499999999999999"/>
        <n v="0.78"/>
        <n v="0.8"/>
        <n v="0.94999999999999984"/>
        <n v="0.67999999999999994"/>
        <n v="0.7749999999999998"/>
        <n v="0.94"/>
        <n v="0.65999999999999992"/>
        <n v="0.71"/>
        <n v="0.92499999999999982"/>
        <n v="0.7"/>
        <n v="0.7649999999999999"/>
        <n v="0.8899999999999999"/>
        <n v="0.91999999999999982"/>
        <n v="0.85499999999999987"/>
        <n v="0.63"/>
        <n v="0.64999999999999991"/>
        <n v="0.80500000000000005"/>
        <n v="0.8949999999999998"/>
        <n v="0.6399999999999999"/>
        <n v="0.86499999999999988"/>
        <n v="0.73499999999999999"/>
        <n v="0.56999999999999995"/>
        <n v="0.54999999999999993"/>
        <n v="0.39"/>
        <n v="0.46999999999999992"/>
        <n v="0.45"/>
        <n v="0.59"/>
        <n v="0.43"/>
        <n v="0.12"/>
        <n v="0"/>
        <n v="0.8849999999999999" u="1"/>
        <n v="0.88499999999999979" u="1"/>
        <n v="0.84999999999999987" u="1"/>
        <n v="0.92999999999999983" u="1"/>
        <n v="0.84499999999999997" u="1"/>
        <n v="0.96499999999999986" u="1"/>
        <n v="0.7699999999999998" u="1"/>
        <n v="0.92" u="1"/>
        <n v="0.69" u="1"/>
        <n v="0.73499999999999988" u="1"/>
        <n v="0.91499999999999981" u="1"/>
        <n v="0.83499999999999985" u="1"/>
        <n v="0.62" u="1"/>
        <n v="0.61" u="1"/>
        <n v="0.53" u="1"/>
        <n v="0.48" u="1"/>
        <n v="0.85499999999999998" u="1"/>
        <n v="0.81499999999999995" u="1"/>
        <n v="0.74" u="1"/>
        <n v="0.96999999999999964" u="1"/>
        <n v="0.83499999999999996" u="1"/>
        <n v="0.74499999999999988" u="1"/>
        <n v="0.66999999999999993" u="1"/>
        <n v="0.745" u="1"/>
        <n v="0.5099999999999999" u="1"/>
        <n v="0.97999999999999965" u="1"/>
        <n v="0.96999999999999986" u="1"/>
        <n v="0.75" u="1"/>
        <n v="0.78500000000000003" u="1"/>
        <n v="0.57999999999999996" u="1"/>
        <n v="0.6" u="1"/>
        <n v="0.41" u="1"/>
        <n v="0.42999999999999994" u="1"/>
        <n v="0.23" u="1"/>
        <n v="0.81" u="1"/>
        <n v="0.83999999999999986" u="1"/>
        <n v="0.8999999999999998" u="1"/>
        <n v="0.64" u="1"/>
        <n v="0.41999999999999993" u="1"/>
        <n v="0.55999999999999994" u="1"/>
        <n v="0.93499999999999983" u="1"/>
        <n v="0.93999999999999984" u="1"/>
        <n v="0.7599999999999999" u="1"/>
        <n v="0.73999999999999988" u="1"/>
        <n v="0.66" u="1"/>
        <n v="0.58999999999999986" u="1"/>
        <n v="0.49999999999999994" u="1"/>
        <n v="0.99499999999999988" u="1"/>
        <n v="0.87999999999999989" u="1"/>
        <n v="0.86999999999999988" u="1"/>
        <n v="0.61999999999999988" u="1"/>
        <n v="0.53999999999999992" u="1"/>
        <n v="0.82499999999999984" u="1"/>
        <n v="0.66500000000000004" u="1"/>
        <n v="0.81999999999999984" u="1"/>
        <n v="0.72" u="1"/>
        <n v="0.65500000000000003" u="1"/>
        <n v="0.43999999999999995" u="1"/>
        <n v="0.74999999999999989" u="1"/>
        <n v="0.79500000000000004" u="1"/>
        <n v="0.72999999999999987" u="1"/>
        <n v="0.57999999999999985" u="1"/>
        <n v="0.70499999999999985" u="1"/>
        <n v="0.70999999999999985" u="1"/>
        <n v="0.68999999999999984" u="1"/>
        <n v="0.60999999999999988" u="1"/>
        <n v="0.61499999999999999" u="1"/>
      </sharedItems>
    </cacheField>
    <cacheField name="FECHA INICIO TEORICO" numFmtId="14">
      <sharedItems containsSemiMixedTypes="0" containsNonDate="0" containsDate="1" containsString="0" minDate="2026-02-17T00:00:00" maxDate="2027-04-13T00:00:00"/>
    </cacheField>
    <cacheField name="FECHA INICIO REAL" numFmtId="14">
      <sharedItems containsNonDate="0" containsDate="1" containsString="0" containsBlank="1" minDate="2026-02-17T00:00:00" maxDate="2026-06-16T00:00:00" count="62">
        <d v="2026-03-16T00:00:00"/>
        <d v="2026-03-19T00:00:00"/>
        <d v="2026-03-18T00:00:00"/>
        <d v="2026-03-12T00:00:00"/>
        <d v="2026-03-23T00:00:00"/>
        <d v="2026-03-24T00:00:00"/>
        <d v="2026-03-25T00:00:00"/>
        <d v="2026-02-17T00:00:00"/>
        <d v="2026-02-20T00:00:00"/>
        <d v="2026-02-25T00:00:00"/>
        <d v="2026-02-19T00:00:00"/>
        <d v="2026-02-23T00:00:00"/>
        <d v="2026-02-26T00:00:00"/>
        <d v="2026-03-06T00:00:00"/>
        <d v="2026-03-09T00:00:00"/>
        <d v="2026-02-27T00:00:00"/>
        <d v="2026-03-04T00:00:00"/>
        <d v="2026-03-10T00:00:00"/>
        <d v="2026-03-05T00:00:00"/>
        <d v="2026-03-27T00:00:00"/>
        <d v="2026-04-01T00:00:00"/>
        <d v="2026-03-30T00:00:00"/>
        <d v="2026-03-31T00:00:00"/>
        <d v="2026-04-02T00:00:00"/>
        <d v="2026-04-06T00:00:00"/>
        <d v="2026-04-07T00:00:00"/>
        <d v="2026-04-10T00:00:00"/>
        <d v="2026-04-11T00:00:00"/>
        <d v="2026-04-12T00:00:00"/>
        <d v="2026-04-17T00:00:00"/>
        <d v="2026-04-15T00:00:00"/>
        <d v="2026-04-20T00:00:00"/>
        <d v="2026-04-14T00:00:00"/>
        <d v="2026-04-22T00:00:00"/>
        <d v="2026-04-24T00:00:00"/>
        <d v="2026-04-28T00:00:00"/>
        <d v="2026-04-27T00:00:00"/>
        <d v="2026-04-29T00:00:00"/>
        <d v="2026-05-06T00:00:00"/>
        <d v="2026-05-05T00:00:00"/>
        <d v="2026-05-04T00:00:00"/>
        <d v="2026-05-07T00:00:00"/>
        <d v="2026-05-08T00:00:00"/>
        <d v="2026-05-11T00:00:00"/>
        <d v="2026-05-12T00:00:00"/>
        <d v="2026-05-16T00:00:00"/>
        <d v="2026-05-14T00:00:00"/>
        <d v="2026-05-25T00:00:00"/>
        <d v="2026-05-19T00:00:00"/>
        <d v="2026-05-18T00:00:00"/>
        <d v="2026-05-27T00:00:00"/>
        <d v="2026-05-26T00:00:00"/>
        <d v="2026-05-20T00:00:00"/>
        <d v="2026-05-29T00:00:00"/>
        <d v="2026-06-01T00:00:00"/>
        <d v="2026-06-03T00:00:00"/>
        <d v="2026-06-05T00:00:00"/>
        <d v="2026-06-08T00:00:00"/>
        <d v="2026-06-11T00:00:00"/>
        <d v="2026-06-04T00:00:00"/>
        <m/>
        <d v="2026-06-15T00:00:00"/>
      </sharedItems>
      <fieldGroup par="62"/>
    </cacheField>
    <cacheField name="FECHA ULTIMO REGISTRO" numFmtId="14">
      <sharedItems containsSemiMixedTypes="0" containsNonDate="0" containsDate="1" containsString="0" minDate="1899-12-30T00:00:00" maxDate="2026-06-16T00:00:00"/>
    </cacheField>
    <cacheField name="FECHA TERMINO  PLANIFICADO" numFmtId="14">
      <sharedItems containsSemiMixedTypes="0" containsNonDate="0" containsDate="1" containsString="0" minDate="2026-04-17T00:00:00" maxDate="2027-05-10T00:00:00"/>
    </cacheField>
    <cacheField name="DIAS SIN MOVIMIENTO" numFmtId="0">
      <sharedItems containsMixedTypes="1" containsNumber="1" containsInteger="1" minValue="0" maxValue="46188"/>
    </cacheField>
    <cacheField name="FECHA TERMINO" numFmtId="14">
      <sharedItems containsNonDate="0" containsDate="1" containsString="0" containsBlank="1" minDate="2026-05-08T00:00:00" maxDate="2026-06-13T00:00:00"/>
    </cacheField>
    <cacheField name="APORTE OBRA GRUESA" numFmtId="10">
      <sharedItems containsSemiMixedTypes="0" containsString="0" containsNumber="1" minValue="0" maxValue="0.43"/>
    </cacheField>
    <cacheField name="OBRA GRUESA" numFmtId="10">
      <sharedItems containsSemiMixedTypes="0" containsString="0" containsNumber="1" minValue="0" maxValue="1"/>
    </cacheField>
    <cacheField name="PISO" numFmtId="10">
      <sharedItems containsSemiMixedTypes="0" containsString="0" containsNumber="1" minValue="0" maxValue="0.27906976744186046"/>
    </cacheField>
    <cacheField name="TABIQUES" numFmtId="10">
      <sharedItems containsSemiMixedTypes="0" containsString="0" containsNumber="1" minValue="0" maxValue="0.18604651162790695"/>
    </cacheField>
    <cacheField name="MUROS" numFmtId="10">
      <sharedItems containsSemiMixedTypes="0" containsString="0" containsNumber="1" minValue="0" maxValue="0.2558139534883721"/>
    </cacheField>
    <cacheField name="CIELO" numFmtId="10">
      <sharedItems containsSemiMixedTypes="0" containsString="0" containsNumber="1" minValue="0" maxValue="0.18604651162790695"/>
    </cacheField>
    <cacheField name="BALCÓN" numFmtId="10">
      <sharedItems containsSemiMixedTypes="0" containsString="0" containsNumber="1" minValue="0" maxValue="9.3023255813953487E-2"/>
    </cacheField>
    <cacheField name="APORTE SANITARIO" numFmtId="10">
      <sharedItems containsSemiMixedTypes="0" containsString="0" containsNumber="1" minValue="0" maxValue="0.09"/>
    </cacheField>
    <cacheField name="SANITARIO" numFmtId="10">
      <sharedItems containsSemiMixedTypes="0" containsString="0" containsNumber="1" minValue="0" maxValue="1"/>
    </cacheField>
    <cacheField name="RED ALCANTARILLADO" numFmtId="10">
      <sharedItems containsSemiMixedTypes="0" containsString="0" containsNumber="1" minValue="0" maxValue="0.22222222222222221"/>
    </cacheField>
    <cacheField name="RED DE AGUA" numFmtId="10">
      <sharedItems containsSemiMixedTypes="0" containsString="0" containsNumber="1" minValue="0" maxValue="0.22222222222222221"/>
    </cacheField>
    <cacheField name="VENTILACIONES" numFmtId="10">
      <sharedItems containsSemiMixedTypes="0" containsString="0" containsNumber="1" minValue="0" maxValue="0.1111111111111111"/>
    </cacheField>
    <cacheField name="TINA" numFmtId="10">
      <sharedItems containsSemiMixedTypes="0" containsString="0" containsNumber="1" minValue="0" maxValue="0.1111111111111111"/>
    </cacheField>
    <cacheField name="WC" numFmtId="10">
      <sharedItems containsSemiMixedTypes="0" containsString="0" containsNumber="1" minValue="0" maxValue="0.1111111111111111"/>
    </cacheField>
    <cacheField name="LAVAMANOS / LAVAPLATOS / LAVADERO" numFmtId="10">
      <sharedItems containsSemiMixedTypes="0" containsString="0" containsNumber="1" minValue="0" maxValue="0.22222222222222221"/>
    </cacheField>
    <cacheField name="APORTE ELÉCTRICO" numFmtId="10">
      <sharedItems containsSemiMixedTypes="0" containsString="0" containsNumber="1" minValue="0" maxValue="0.11"/>
    </cacheField>
    <cacheField name="ELÉCTRICO" numFmtId="10">
      <sharedItems containsSemiMixedTypes="0" containsString="0" containsNumber="1" minValue="0" maxValue="1"/>
    </cacheField>
    <cacheField name="CANALIZACIÓN" numFmtId="10">
      <sharedItems containsSemiMixedTypes="0" containsString="0" containsNumber="1" minValue="0" maxValue="0.27272727272727271"/>
    </cacheField>
    <cacheField name="CABLEADO" numFmtId="10">
      <sharedItems containsSemiMixedTypes="0" containsString="0" containsNumber="1" minValue="0" maxValue="0.27272727272727271"/>
    </cacheField>
    <cacheField name="ARTEFACTOS" numFmtId="10">
      <sharedItems containsSemiMixedTypes="0" containsString="0" containsNumber="1" minValue="0" maxValue="9.0909090909090912E-2"/>
    </cacheField>
    <cacheField name="TABLERO" numFmtId="10">
      <sharedItems containsSemiMixedTypes="0" containsString="0" containsNumber="1" minValue="0" maxValue="0.18181818181818185"/>
    </cacheField>
    <cacheField name="CAJA PAU" numFmtId="10">
      <sharedItems containsSemiMixedTypes="0" containsString="0" containsNumber="1" minValue="0" maxValue="0.18181818181818185"/>
    </cacheField>
    <cacheField name="APORTE TERMINACIONES" numFmtId="10">
      <sharedItems containsSemiMixedTypes="0" containsString="0" containsNumber="1" minValue="0" maxValue="0.36999999999999983"/>
    </cacheField>
    <cacheField name="TERMINACIONES" numFmtId="10">
      <sharedItems containsSemiMixedTypes="0" containsString="0" containsNumber="1" minValue="0" maxValue="0.99999999999999956"/>
    </cacheField>
    <cacheField name="INSTALACION VINILICO" numFmtId="10">
      <sharedItems containsSemiMixedTypes="0" containsString="0" containsNumber="1" minValue="0" maxValue="5.4054054054054029E-2"/>
    </cacheField>
    <cacheField name="OSB CUBIERTA" numFmtId="10">
      <sharedItems containsSemiMixedTypes="0" containsString="0" containsNumber="1" minValue="0" maxValue="5.4054054054054029E-2"/>
    </cacheField>
    <cacheField name="BARANDA BALCON" numFmtId="10">
      <sharedItems containsSemiMixedTypes="0" containsString="0" containsNumber="1" minValue="0" maxValue="2.7027027027027015E-2"/>
    </cacheField>
    <cacheField name="OSB EXTERIOR" numFmtId="10">
      <sharedItems containsSemiMixedTypes="0" containsString="0" containsNumber="1" minValue="0" maxValue="8.1081081081081058E-2"/>
    </cacheField>
    <cacheField name="SMART PANEL" numFmtId="10">
      <sharedItems containsSemiMixedTypes="0" containsString="0" containsNumber="1" minValue="0" maxValue="8.1081081081081058E-2"/>
    </cacheField>
    <cacheField name="PINTURA EXTERIOR" numFmtId="10">
      <sharedItems containsSemiMixedTypes="0" containsString="0" containsNumber="1" minValue="0" maxValue="6.7567567567567557E-2"/>
    </cacheField>
    <cacheField name="ZOCALOS LOGIA" numFmtId="10">
      <sharedItems containsSemiMixedTypes="0" containsString="0" containsNumber="1" minValue="0" maxValue="5.4054054054054029E-2"/>
    </cacheField>
    <cacheField name="MOLDURAS" numFmtId="10">
      <sharedItems containsSemiMixedTypes="0" containsString="0" containsNumber="1" minValue="0" maxValue="1.3513513513513507E-2"/>
    </cacheField>
    <cacheField name="PILASTREO" numFmtId="10">
      <sharedItems containsSemiMixedTypes="0" containsString="0" containsNumber="1" minValue="0" maxValue="4.0540540540540529E-2"/>
    </cacheField>
    <cacheField name="CELOSIAS" numFmtId="10">
      <sharedItems containsSemiMixedTypes="0" containsString="0" containsNumber="1" minValue="0" maxValue="1.3513513513513507E-2"/>
    </cacheField>
    <cacheField name="VENTANAS" numFmtId="10">
      <sharedItems containsSemiMixedTypes="0" containsString="0" containsNumber="1" minValue="0" maxValue="8.1081081081081058E-2"/>
    </cacheField>
    <cacheField name="PUERTAS ACCESO - LOGIA - BANO" numFmtId="10">
      <sharedItems containsSemiMixedTypes="0" containsString="0" containsNumber="1" minValue="0" maxValue="5.4054054054054029E-2"/>
    </cacheField>
    <cacheField name="CERRADURAS" numFmtId="10">
      <sharedItems containsSemiMixedTypes="0" containsString="0" containsNumber="1" minValue="0" maxValue="2.7027027027027015E-2"/>
    </cacheField>
    <cacheField name="REVESTIMIENTO INTERIOR ZONA SECA" numFmtId="10">
      <sharedItems containsSemiMixedTypes="0" containsString="0" containsNumber="1" minValue="0" maxValue="5.4054054054054029E-2"/>
    </cacheField>
    <cacheField name="REVESTIMIENTO INTERIOR ZONAS HUMEDAS" numFmtId="10">
      <sharedItems containsSemiMixedTypes="0" containsString="0" containsNumber="1" minValue="0" maxValue="5.4054054054054029E-2"/>
    </cacheField>
    <cacheField name="MEMBRANA CIELO" numFmtId="10">
      <sharedItems containsSemiMixedTypes="0" containsString="0" containsNumber="1" minValue="0" maxValue="2.7027027027027015E-2"/>
    </cacheField>
    <cacheField name="LIMPIEZA FINAL" numFmtId="10">
      <sharedItems containsSemiMixedTypes="0" containsString="0" containsNumber="1" minValue="0" maxValue="4.0540540540540529E-2"/>
    </cacheField>
    <cacheField name="PUERTAS DORMITORIO" numFmtId="10">
      <sharedItems containsSemiMixedTypes="0" containsString="0" containsNumber="1" minValue="0" maxValue="5.4054054054054029E-2"/>
    </cacheField>
    <cacheField name="REVESTIMIENTO INTERIOR BANO" numFmtId="10">
      <sharedItems containsSemiMixedTypes="0" containsString="0" containsNumber="1" minValue="0" maxValue="8.1081081081081058E-2"/>
    </cacheField>
    <cacheField name="MUEBLE LAVAPLATOS" numFmtId="10">
      <sharedItems containsSemiMixedTypes="0" containsString="0" containsNumber="1" minValue="0" maxValue="1.3513513513513507E-2"/>
    </cacheField>
    <cacheField name="IMPERMEABILIZACION BANO - COCINA LOGIA" numFmtId="0">
      <sharedItems containsSemiMixedTypes="0" containsString="0" containsNumber="1" minValue="0" maxValue="2.7027027027027015E-2"/>
    </cacheField>
    <cacheField name="METROS CUADRADOS" numFmtId="0">
      <sharedItems containsSemiMixedTypes="0" containsString="0" containsNumber="1" minValue="28.87" maxValue="31.32"/>
    </cacheField>
    <cacheField name="ESTADO MODULO" numFmtId="14">
      <sharedItems count="12">
        <s v="COMPLETADO"/>
        <s v="90-99%"/>
        <s v="80-89%"/>
        <s v="70-79%"/>
        <s v="60-69%"/>
        <s v="50-59%"/>
        <s v="30-39%"/>
        <s v="40-49%"/>
        <s v="10-19%"/>
        <s v="0%"/>
        <s v="20-29%" u="1"/>
        <s v="COMPLETO" u="1"/>
      </sharedItems>
    </cacheField>
    <cacheField name="GAP INICIO (DIAS)" numFmtId="41">
      <sharedItems containsMixedTypes="1" containsNumber="1" containsInteger="1" minValue="-2" maxValue="14"/>
    </cacheField>
    <cacheField name="GAP ESTADO INICIO" numFmtId="14">
      <sharedItems count="4">
        <s v="A TIEMPO"/>
        <s v="ATRASADO"/>
        <s v="ADELANTADO"/>
        <s v="SIN INICIO"/>
      </sharedItems>
    </cacheField>
    <cacheField name="GAP ESTADO TERMINO" numFmtId="14">
      <sharedItems count="2">
        <s v="ATRASADO"/>
        <s v="NO TERMINADO"/>
      </sharedItems>
    </cacheField>
    <cacheField name="Días (FECHA INICIO REAL)" numFmtId="0" databaseField="0">
      <fieldGroup base="6">
        <rangePr groupBy="days" startDate="2026-02-17T00:00:00" endDate="2026-06-16T00:00:00"/>
        <groupItems count="368">
          <s v="&lt;17-02-2026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16-06-2026"/>
        </groupItems>
      </fieldGroup>
    </cacheField>
    <cacheField name="Meses (FECHA INICIO REAL)" numFmtId="0" databaseField="0">
      <fieldGroup base="6">
        <rangePr groupBy="months" startDate="2026-02-17T00:00:00" endDate="2026-06-16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6-06-2026"/>
        </groupItems>
      </fieldGroup>
    </cacheField>
  </cacheFields>
  <extLst>
    <ext xmlns:x14="http://schemas.microsoft.com/office/spreadsheetml/2009/9/main" uri="{725AE2AE-9491-48be-B2B4-4EB974FC3084}">
      <x14:pivotCacheDefinition pivotCacheId="1351034243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8.632017245371" createdVersion="8" refreshedVersion="8" minRefreshableVersion="3" recordCount="470" xr:uid="{11EB65A4-72E5-4C34-8D11-167D5C9E7261}">
  <cacheSource type="worksheet">
    <worksheetSource name="AV_PLAN"/>
  </cacheSource>
  <cacheFields count="27">
    <cacheField name="Días" numFmtId="14">
      <sharedItems containsSemiMixedTypes="0" containsNonDate="0" containsDate="1" containsString="0" minDate="2026-02-16T00:00:00" maxDate="2027-06-01T00:00:00" count="470">
        <d v="2026-02-16T00:00:00"/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  <d v="2027-05-10T00:00:00"/>
        <d v="2027-05-11T00:00:00"/>
        <d v="2027-05-12T00:00:00"/>
        <d v="2027-05-13T00:00:00"/>
        <d v="2027-05-14T00:00:00"/>
        <d v="2027-05-15T00:00:00"/>
        <d v="2027-05-16T00:00:00"/>
        <d v="2027-05-17T00:00:00"/>
        <d v="2027-05-18T00:00:00"/>
        <d v="2027-05-19T00:00:00"/>
        <d v="2027-05-20T00:00:00"/>
        <d v="2027-05-21T00:00:00"/>
        <d v="2027-05-22T00:00:00"/>
        <d v="2027-05-23T00:00:00"/>
        <d v="2027-05-24T00:00:00"/>
        <d v="2027-05-25T00:00:00"/>
        <d v="2027-05-26T00:00:00"/>
        <d v="2027-05-27T00:00:00"/>
        <d v="2027-05-28T00:00:00"/>
        <d v="2027-05-29T00:00:00"/>
        <d v="2027-05-30T00:00:00"/>
        <d v="2027-05-31T00:00:00"/>
      </sharedItems>
      <fieldGroup par="23"/>
    </cacheField>
    <cacheField name="INICIO PLANIFICADO" numFmtId="0">
      <sharedItems containsSemiMixedTypes="0" containsString="0" containsNumber="1" containsInteger="1" minValue="0" maxValue="3"/>
    </cacheField>
    <cacheField name="PLAN ACUMULADO" numFmtId="0">
      <sharedItems containsString="0" containsBlank="1" containsNumber="1" containsInteger="1" minValue="2" maxValue="704"/>
    </cacheField>
    <cacheField name="INICIO REAL" numFmtId="0">
      <sharedItems containsSemiMixedTypes="0" containsString="0" containsNumber="1" containsInteger="1" minValue="0" maxValue="6"/>
    </cacheField>
    <cacheField name="INICIO REAL ACUMULADO" numFmtId="0">
      <sharedItems containsString="0" containsBlank="1" containsNumber="1" containsInteger="1" minValue="2" maxValue="101"/>
    </cacheField>
    <cacheField name="FECHA TERMINO PLANIFICADO" numFmtId="0">
      <sharedItems containsSemiMixedTypes="0" containsString="0" containsNumber="1" containsInteger="1" minValue="0" maxValue="4"/>
    </cacheField>
    <cacheField name="TERMINO PLAN ACUMULADO" numFmtId="0">
      <sharedItems containsString="0" containsBlank="1" containsNumber="1" containsInteger="1" minValue="0" maxValue="704"/>
    </cacheField>
    <cacheField name="FECHA TERMINO REAL" numFmtId="0">
      <sharedItems containsSemiMixedTypes="0" containsString="0" containsNumber="1" containsInteger="1" minValue="0" maxValue="8"/>
    </cacheField>
    <cacheField name="TERMINO REAL ACUMULADO" numFmtId="0">
      <sharedItems containsString="0" containsBlank="1" containsNumber="1" containsInteger="1" minValue="0" maxValue="38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SEMANA" numFmtId="0">
      <sharedItems containsSemiMixedTypes="0" containsString="0" containsNumber="1" containsInteger="1" minValue="1" maxValue="53" count="53"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</sharedItems>
    </cacheField>
    <cacheField name="%AVANCE" numFmtId="9">
      <sharedItems containsMixedTypes="1" containsNumber="1" minValue="0.14346590909090909" maxValue="1"/>
    </cacheField>
    <cacheField name="%TERMINO" numFmtId="9">
      <sharedItems containsMixedTypes="1" containsNumber="1" minValue="0" maxValue="0.55882352941176472"/>
    </cacheField>
    <cacheField name="GAP INICIO" numFmtId="0">
      <sharedItems containsSemiMixedTypes="0" containsString="0" containsNumber="1" containsInteger="1" minValue="0" maxValue="603"/>
    </cacheField>
    <cacheField name="GAP TERMINO" numFmtId="0">
      <sharedItems containsSemiMixedTypes="0" containsString="0" containsNumber="1" containsInteger="1" minValue="0" maxValue="666"/>
    </cacheField>
    <cacheField name="META SEMANAL" numFmtId="0">
      <sharedItems containsSemiMixedTypes="0" containsString="0" containsNumber="1" containsInteger="1" minValue="0" maxValue="15"/>
    </cacheField>
    <cacheField name="%AVANCE INICIO PLANIFICADO" numFmtId="10">
      <sharedItems containsSemiMixedTypes="0" containsString="0" containsNumber="1" minValue="0" maxValue="1"/>
    </cacheField>
    <cacheField name="%AVANCE INICIO" numFmtId="10">
      <sharedItems containsSemiMixedTypes="0" containsString="0" containsNumber="1" minValue="0" maxValue="0.14346590909090909"/>
    </cacheField>
    <cacheField name="%AVANCE TERMINO PLANIFICADO" numFmtId="10">
      <sharedItems containsSemiMixedTypes="0" containsString="0" containsNumber="1" minValue="0" maxValue="1"/>
    </cacheField>
    <cacheField name="%AVANCE TERMINO" numFmtId="10">
      <sharedItems containsSemiMixedTypes="0" containsString="0" containsNumber="1" minValue="0" maxValue="5.3977272727272728E-2"/>
    </cacheField>
    <cacheField name="%plan" numFmtId="10">
      <sharedItems containsSemiMixedTypes="0" containsString="0" containsNumber="1" minValue="0" maxValue="1"/>
    </cacheField>
    <cacheField name="Meses (Días)" numFmtId="0" databaseField="0">
      <fieldGroup base="0">
        <rangePr groupBy="months" startDate="2026-02-16T00:00:00" endDate="2027-06-01T00:00:00"/>
        <groupItems count="14">
          <s v="&lt;16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1-06-2027"/>
        </groupItems>
      </fieldGroup>
    </cacheField>
    <cacheField name="Trimestres (Días)" numFmtId="0" databaseField="0">
      <fieldGroup base="0">
        <rangePr groupBy="quarters" startDate="2026-02-16T00:00:00" endDate="2027-06-01T00:00:00"/>
        <groupItems count="6">
          <s v="&lt;16-02-2026"/>
          <s v="Trim.1"/>
          <s v="Trim.2"/>
          <s v="Trim.3"/>
          <s v="Trim.4"/>
          <s v="&gt;01-06-2027"/>
        </groupItems>
      </fieldGroup>
    </cacheField>
    <cacheField name="Años (Días)" numFmtId="0" databaseField="0">
      <fieldGroup base="0">
        <rangePr groupBy="years" startDate="2026-02-16T00:00:00" endDate="2027-06-01T00:00:00"/>
        <groupItems count="4">
          <s v="&lt;16-02-2026"/>
          <s v="2026"/>
          <s v="2027"/>
          <s v="&gt;01-06-2027"/>
        </groupItems>
      </fieldGroup>
    </cacheField>
    <cacheField name="% PLANIFICADO" numFmtId="0" formula="'PLAN ACUMULADO'/704" databaseField="0"/>
    <cacheField name="% INICIO REAL" numFmtId="0" formula="'INICIO REAL'/'INICIO PLANIFICADO'" databaseField="0"/>
    <cacheField name="GAP" numFmtId="0" formula="'TERMINO PLAN ACUMULADO'-'TERMINO REAL ACUMULADO'" databaseField="0"/>
  </cacheFields>
  <extLst>
    <ext xmlns:x14="http://schemas.microsoft.com/office/spreadsheetml/2009/9/main" uri="{725AE2AE-9491-48be-B2B4-4EB974FC3084}">
      <x14:pivotCacheDefinition pivotCacheId="2000300640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8.632026504631" createdVersion="8" refreshedVersion="8" minRefreshableVersion="3" recordCount="447" xr:uid="{3ADC74AE-A453-4FFE-90A1-E97F217EE4F7}">
  <cacheSource type="worksheet">
    <worksheetSource name="CURVA"/>
  </cacheSource>
  <cacheFields count="17">
    <cacheField name="Fecha" numFmtId="14">
      <sharedItems containsSemiMixedTypes="0" containsNonDate="0" containsDate="1" containsString="0" minDate="2026-02-17T00:00:00" maxDate="2027-05-10T00:00:00" count="447"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</sharedItems>
      <fieldGroup par="16"/>
    </cacheField>
    <cacheField name="% Avance Teórico Acumulado" numFmtId="10">
      <sharedItems containsSemiMixedTypes="0" containsString="0" containsNumber="1" minValue="0" maxValue="1"/>
    </cacheField>
    <cacheField name="% Avance Diario" numFmtId="10">
      <sharedItems containsSemiMixedTypes="0" containsString="0" containsNumber="1" minValue="0" maxValue="3.1960227272727071E-3"/>
    </cacheField>
    <cacheField name="Módulos Activos" numFmtId="0">
      <sharedItems containsSemiMixedTypes="0" containsString="0" containsNumber="1" containsInteger="1" minValue="2" maxValue="57"/>
    </cacheField>
    <cacheField name="M2 Avance Programado" numFmtId="174">
      <sharedItems containsSemiMixedTypes="0" containsString="0" containsNumber="1" minValue="0" maxValue="21203.274340586038"/>
    </cacheField>
    <cacheField name="M2 Avance Diario" numFmtId="174">
      <sharedItems containsSemiMixedTypes="0" containsString="0" containsNumber="1" minValue="0" maxValue="67.76614668511121"/>
    </cacheField>
    <cacheField name="MODULOS INICIADOS" numFmtId="0">
      <sharedItems containsSemiMixedTypes="0" containsString="0" containsNumber="1" containsInteger="1" minValue="0" maxValue="6"/>
    </cacheField>
    <cacheField name="MODULOS TERMINADOS" numFmtId="0">
      <sharedItems containsSemiMixedTypes="0" containsString="0" containsNumber="1" containsInteger="1" minValue="0" maxValue="8"/>
    </cacheField>
    <cacheField name="% AVANCE REAL" numFmtId="10">
      <sharedItems containsString="0" containsBlank="1" containsNumber="1" minValue="0" maxValue="0.11550000000000001"/>
    </cacheField>
    <cacheField name="DIA" numFmtId="0">
      <sharedItems containsSemiMixedTypes="0" containsString="0" containsNumber="1" containsInteger="1" minValue="1" maxValue="31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AÑO" numFmtId="0">
      <sharedItems containsSemiMixedTypes="0" containsString="0" containsNumber="1" containsInteger="1" minValue="2026" maxValue="2027" count="2">
        <n v="2026"/>
        <n v="2027"/>
      </sharedItems>
    </cacheField>
    <cacheField name="M2 Avance Acumulado Real" numFmtId="174">
      <sharedItems containsSemiMixedTypes="0" containsString="0" containsNumber="1" minValue="0" maxValue="2448.9781863376875"/>
    </cacheField>
    <cacheField name="M2 Avance Diario Real" numFmtId="174">
      <sharedItems containsMixedTypes="1" containsNumber="1" minValue="0" maxValue="86.625957242790491"/>
    </cacheField>
    <cacheField name="Meses (Fecha)" numFmtId="0" databaseField="0">
      <fieldGroup base="0">
        <rangePr groupBy="months" startDate="2026-02-17T00:00:00" endDate="2027-05-10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0-05-2027"/>
        </groupItems>
      </fieldGroup>
    </cacheField>
    <cacheField name="Trimestres (Fecha)" numFmtId="0" databaseField="0">
      <fieldGroup base="0">
        <rangePr groupBy="quarters" startDate="2026-02-17T00:00:00" endDate="2027-05-10T00:00:00"/>
        <groupItems count="6">
          <s v="&lt;17-02-2026"/>
          <s v="Trim.1"/>
          <s v="Trim.2"/>
          <s v="Trim.3"/>
          <s v="Trim.4"/>
          <s v="&gt;10-05-2027"/>
        </groupItems>
      </fieldGroup>
    </cacheField>
    <cacheField name="Años (Fecha)" numFmtId="0" databaseField="0">
      <fieldGroup base="0">
        <rangePr groupBy="years" startDate="2026-02-17T00:00:00" endDate="2027-05-10T00:00:00"/>
        <groupItems count="4">
          <s v="&lt;17-02-2026"/>
          <s v="2026"/>
          <s v="2027"/>
          <s v="&gt;10-05-202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8.632031828703" createdVersion="8" refreshedVersion="8" minRefreshableVersion="3" recordCount="2220" xr:uid="{B2854F62-F04A-4B16-8820-693E19AF167B}">
  <cacheSource type="worksheet">
    <worksheetSource name="DETALLE_GD_1"/>
  </cacheSource>
  <cacheFields count="35">
    <cacheField name="FECHA GUIA" numFmtId="14">
      <sharedItems containsSemiMixedTypes="0" containsNonDate="0" containsDate="1" containsString="0" minDate="2025-10-08T00:00:00" maxDate="2026-06-13T00:00:00"/>
    </cacheField>
    <cacheField name="FECHA SOLICITUD" numFmtId="14">
      <sharedItems containsSemiMixedTypes="0" containsNonDate="0" containsDate="1" containsString="0" minDate="2025-10-08T00:00:00" maxDate="2026-06-13T00:00:00" count="125">
        <d v="2025-10-14T00:00:00"/>
        <d v="2025-11-04T00:00:00"/>
        <d v="2025-11-19T00:00:00"/>
        <d v="2025-11-14T00:00:00"/>
        <d v="2025-11-18T00:00:00"/>
        <d v="2025-11-25T00:00:00"/>
        <d v="2025-10-30T00:00:00"/>
        <d v="2025-10-24T00:00:00"/>
        <d v="2025-10-22T00:00:00"/>
        <d v="2025-10-21T00:00:00"/>
        <d v="2025-10-20T00:00:00"/>
        <d v="2025-10-15T00:00:00"/>
        <d v="2025-10-10T00:00:00"/>
        <d v="2025-10-09T00:00:00"/>
        <d v="2025-11-13T00:00:00"/>
        <d v="2025-11-24T00:00:00"/>
        <d v="2025-10-08T00:00:00"/>
        <d v="2025-11-20T00:00:00"/>
        <d v="2025-11-05T00:00:00"/>
        <d v="2025-11-12T00:00:00"/>
        <d v="2025-11-10T00:00:00"/>
        <d v="2025-11-11T00:00:00"/>
        <d v="2026-01-30T00:00:00"/>
        <d v="2026-01-28T00:00:00"/>
        <d v="2026-01-27T00:00:00"/>
        <d v="2026-01-26T00:00:00"/>
        <d v="2026-01-23T00:00:00"/>
        <d v="2026-01-22T00:00:00"/>
        <d v="2026-01-20T00:00:00"/>
        <d v="2026-01-19T00:00:00"/>
        <d v="2026-01-14T00:00:00"/>
        <d v="2026-01-13T00:00:00"/>
        <d v="2026-01-12T00:00:00"/>
        <d v="2026-02-02T00:00:00"/>
        <d v="2026-02-05T00:00:00"/>
        <d v="2026-02-03T00:00:00"/>
        <d v="2026-01-29T00:00:00"/>
        <d v="2025-12-01T00:00:00"/>
        <d v="2025-12-02T00:00:00"/>
        <d v="2025-11-26T00:00:00"/>
        <d v="2025-11-27T00:00:00"/>
        <d v="2026-02-04T00:00:00"/>
        <d v="2025-11-28T00:00:00"/>
        <d v="2026-02-09T00:00:00"/>
        <d v="2026-02-10T00:00:00"/>
        <d v="2026-02-11T00:00:00"/>
        <d v="2026-02-13T00:00:00"/>
        <d v="2026-02-17T00:00:00"/>
        <d v="2026-02-19T00:00:00"/>
        <d v="2026-02-20T00:00:00"/>
        <d v="2026-02-23T00:00:00"/>
        <d v="2026-02-25T00:00:00"/>
        <d v="2026-02-26T00:00:00"/>
        <d v="2026-02-27T00:00:00"/>
        <d v="2026-03-02T00:00:00"/>
        <d v="2026-03-03T00:00:00"/>
        <d v="2026-03-04T00:00:00"/>
        <d v="2026-03-05T00:00:00"/>
        <d v="2026-03-06T00:00:00"/>
        <d v="2026-03-10T00:00:00"/>
        <d v="2026-03-11T00:00:00"/>
        <d v="2026-03-12T00:00:00"/>
        <d v="2026-03-13T00:00:00"/>
        <d v="2026-03-17T00:00:00"/>
        <d v="2026-03-18T00:00:00"/>
        <d v="2026-03-19T00:00:00"/>
        <d v="2026-03-20T00:00:00"/>
        <d v="2026-03-23T00:00:00"/>
        <d v="2026-03-24T00:00:00"/>
        <d v="2026-03-25T00:00:00"/>
        <d v="2026-03-26T00:00:00"/>
        <d v="2026-03-27T00:00:00"/>
        <d v="2026-03-30T00:00:00"/>
        <d v="2026-03-31T00:00:00"/>
        <d v="2026-04-01T00:00:00"/>
        <d v="2026-04-02T00:00:00"/>
        <d v="2026-04-06T00:00:00"/>
        <d v="2026-04-07T00:00:00"/>
        <d v="2026-04-08T00:00:00"/>
        <d v="2026-04-09T00:00:00"/>
        <d v="2026-04-10T00:00:00"/>
        <d v="2026-04-13T00:00:00"/>
        <d v="2026-04-14T00:00:00"/>
        <d v="2026-04-15T00:00:00"/>
        <d v="2026-04-16T00:00:00"/>
        <d v="2026-04-17T00:00:00"/>
        <d v="2026-04-20T00:00:00"/>
        <d v="2026-04-21T00:00:00"/>
        <d v="2026-04-22T00:00:00"/>
        <d v="2026-04-23T00:00:00"/>
        <d v="2025-11-21T00:00:00"/>
        <d v="2025-12-10T00:00:00"/>
        <d v="2025-12-17T00:00:00"/>
        <d v="2026-04-27T00:00:00"/>
        <d v="2026-04-28T00:00:00"/>
        <d v="2026-04-29T00:00:00"/>
        <d v="2026-04-30T00:00:00"/>
        <d v="2026-05-04T00:00:00"/>
        <d v="2026-05-05T00:00:00"/>
        <d v="2026-05-06T00:00:00"/>
        <d v="2026-05-07T00:00:00"/>
        <d v="2026-05-08T00:00:00"/>
        <d v="2026-05-11T00:00:00"/>
        <d v="2026-05-12T00:00:00"/>
        <d v="2026-05-13T00:00:00"/>
        <d v="2026-05-14T00:00:00"/>
        <d v="2026-05-15T00:00:00"/>
        <d v="2026-05-18T00:00:00"/>
        <d v="2026-05-19T00:00:00"/>
        <d v="2026-05-20T00:00:00"/>
        <d v="2026-05-25T00:00:00"/>
        <d v="2026-05-26T00:00:00"/>
        <d v="2026-05-27T00:00:00"/>
        <d v="2026-05-28T00:00:00"/>
        <d v="2026-05-29T00:00:00"/>
        <d v="2026-06-01T00:00:00"/>
        <d v="2026-06-02T00:00:00"/>
        <d v="2026-06-03T00:00:00"/>
        <d v="2026-06-04T00:00:00"/>
        <d v="2026-06-05T00:00:00"/>
        <d v="2026-06-08T00:00:00"/>
        <d v="2026-06-09T00:00:00"/>
        <d v="2026-06-10T00:00:00"/>
        <d v="2026-06-11T00:00:00"/>
        <d v="2026-06-12T00:00:00"/>
      </sharedItems>
      <fieldGroup par="34"/>
    </cacheField>
    <cacheField name="OBS. MODULO" numFmtId="0">
      <sharedItems/>
    </cacheField>
    <cacheField name="MES" numFmtId="0">
      <sharedItems containsSemiMixedTypes="0" containsString="0" containsNumber="1" containsInteger="1" minValue="1" maxValue="12"/>
    </cacheField>
    <cacheField name="OBS TRABAJO MODULO" numFmtId="0">
      <sharedItems/>
    </cacheField>
    <cacheField name="CODIGO" numFmtId="0">
      <sharedItems containsBlank="1" containsMixedTypes="1" containsNumber="1" containsInteger="1" minValue="101010" maxValue="7749309"/>
    </cacheField>
    <cacheField name="DESCRIPCION MATERIALES" numFmtId="0">
      <sharedItems containsBlank="1" count="285">
        <s v="PLACA LP OSB STANDAR 1.22 x2.44 x 9.5 MM APA PT-OECA095  (84 PL.xPAQ)"/>
        <s v="PLANCHA YESO CARTON RF 1.22x2.44x15 BORDE CUADRADO S/PAPEL ( 2,9768 M2 X PL=70 PLX PQTE) SKU 5001097"/>
        <s v="PINO NACIONAL ESTRUCTURAL CEPILLADO 4/CARAS  IMPREGNADO DE  2 X 8 X 4.00 (41 x 185 MM ) (60XPAQUETE)"/>
        <s v="PINO SYP GRADO 2 PRIME IMPREGNADO DE  3&quot; x 8&quot; x 10' (63x184 mm)"/>
        <s v="TERCIADO FENOLICO BC MOLDAJE DE 1,22 X 2,44 X 15 mm (65 PL X PQTE)"/>
        <s v="COLA FRIA ARTICOL MADERA BALDE 20 KG."/>
        <s v="AISLAN  GLASS 90 MM 0.375x12 MTS . DENSIDAD 11 KG/M3 (13.5 M2 X BOLSA) SKU 4000147"/>
        <s v="POLIETILENO ALTA DENSIDAD DE 2.50 X 110 MICRAS FOIL ( 3.83 METROS LINEALES X KILO )"/>
        <s v="TORNILLO SIMPSON ESTRUCTURAL SDWS22600DB DE 6&quot; (500 TORN.XPQTE.)"/>
        <s v="TORNILLO CABEZA PLANA 7MM X 125MM (200 X CAJA) (SDW22500MB)"/>
        <s v="TORNILLO DOBLE ROSCA 8MM X 330 MM (50 UNID X CAJA) SWD"/>
        <s v="CLAVO TORNILLO TC28/32X65 NK JUMBO SCRAIL (SCRAIL-SCREW - 3.600 UND X CAJA)"/>
        <s v="PLACA SMART SIDE R-4 SPC-M111 DE 1.220X2.440X11.1 MM (72 PL.POR PALLET )"/>
        <s v="FIBROCEMENTO LISO 1.2 x 2.40 x 22 MM (VOLCAN)"/>
        <s v="AISLAN ROCA 90 MM D: 32 KG/M3 DE 0.375x1.200 MM (5.4 M2) SKU 3000481"/>
        <s v="HOLDOWN ALTA CARGA HDQ8 CON TORNILLOS SDS 3&quot;-DHQ8"/>
        <s v="HOLDOWN SUJECIÓN DE SERVICIO PESADO, 14&quot; ALTO INCLUYE 30 TORNILLOS SDS25212 -HHDQ14"/>
        <s v="TORNILLO ZINCADO 8 x 3&quot; CRS."/>
        <s v="PISO VINILICO TARKETT PLUS STANDARD E: 2 MM  GRIS CODIGO 494 (46 M2 X ROLLO)"/>
        <s v="MONOFILAMENTO POLYFLOR GRIS COD:3700 50MT"/>
        <s v="SIFON PARA LAVAPLATO DE 1 1/2&quot; VINILIT SALIDA RECTA DE 50"/>
        <s v="DESAGUE METALICO TINA, RECEPTACULO Y LAVAPLATOS 1 1/2&quot;"/>
        <s v="LAVAMANOS VALENCIA PREMIUM COD:CS0055671301CF BLANCO"/>
        <s v="KIT DESAGÜE Y SIFÓN C/REBALSE PARA TINAS (SC1015690001BS)"/>
        <s v="SOPORTE DE TINA STANDARD D25 H13 ( SB004819130100)"/>
        <s v="MONOMANDO LAVAPLATOS ASÍS MCPAS"/>
        <s v="TINA ESMALTADA BLANCA C/ANTIDESLIZANTE DE 1.30X0.70X0.385 MARCA GALA"/>
        <s v="BARANDA METALICA  3140X1050 MM- SOLUCION BALCON"/>
        <s v="MUEBLE BASE LAVAPLATOS 80X50X86,5 CM EN MELAMINA BLANCA 15 MM"/>
        <s v="LAVAPLATOS DE SOBREPONER 80X50 CM PARA MONOMANDO C/SECADOR DERECHO"/>
        <s v="DILUYENTE DUCO BOTELLA 1 LT"/>
        <s v="TRAPOS DE ASEO JERSINA BLANCA (BOLSA 1 KILO)"/>
        <s v="ATRIL METALICO PARA LAVADERO -2 PATAS"/>
        <s v="LAVADERO DE PLASTICO  MODELO TQO-15 LTS"/>
        <s v="SIFON DE LAVADERO  CORRUGADO  1 1/2&quot;  BLANCO"/>
        <s v="GUARDAPOLVO MDF FOLIO COLOR BLANCO DE 12 x 57 x 3.660"/>
        <s v="CORNIZA MDF FOLIO COLOR BLANCO MC-8 DE LARGO 3.660"/>
        <s v="ANGULO PVC 32 x 32 x 2.2 x 3.000 MM. BLANCO"/>
        <s v="PINTURA EPOXICA POLIPOX 675 GRIS COD:6757040T33"/>
        <s v="CATALIZADOR ESMALTE EPOXICO COD:9610007T22"/>
        <s v="DILUYENTE EPOXICO COD: 8000015T30"/>
        <s v="OLEO SEMIBRILLO RAL-9010 BCO.PURO ( TINETA )"/>
        <s v="PLACA FIBROCEMENTO SIMPLISIMA CENIA BEIGE 2400 MM x 1200 MM x 6 MM"/>
        <s v="BURLETE DE TERMINACION PARA PLATO DUCHA Y BAÑERAS TIRA DE 3 MTS. PVC"/>
        <s v="SELLADOR ADHESIVO FIX-ALL HIGH TACK (REEMPLAZO MIR-O-BOND)"/>
        <s v="PLANCHA YESO CARTON RF S/PAPEL DE 1.22 x 3.40 x 15 MM BORDE CUADRADO 40 PLXPALLET (SKU 5002153)"/>
        <s v="PLANCHA YESO CARTON RH DE 1.20 x 2.40 x 12.5 MM BORDE REBAJADO (70PLXPQT)"/>
        <s v="TUBO FLEXIBLE L/HALOG S/GUIA 20mm 1/2 GR ROLLO 100 MTS"/>
        <s v="PINO NACIONAL SECO  CEPILLADO DE 1 x 4 x 3.20 MTS (264 PZA X PQTE)"/>
        <s v="PLACA OSB STANDARD DE 1.22 x 2.44 x 11.1 MM ( 72 X PAQUETE )"/>
        <s v="BROCAS PARA MURO VISLIDER SQR27114 (7-1/4&quot; Sq Drive #2 Bit)"/>
        <s v="CLAVO R20 34X100 BK BEA (NAILS - 1.500 UND X CAJA N°BEA 10400470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CERRADURA BAÑO G-3 AC.INOX.MODELO RL100281 LT3576CTL 26D ADJ T LT3500"/>
        <s v="TOPE DE PUERTA IMPORTADO MODELO 26D"/>
        <s v="LLAVE DE BOLA JARDIN/LAVAD 1/2&quot; MANGO ROJO"/>
        <s v="LLAVE DE BOLA JARDIN/LAVAD 1/2&quot; MANGO AZUL"/>
        <s v="ESTANQUE LUGANO DUAL FLUSH BLANCO COD: CS0443301301B0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TORNILLO VOLCANITA CRS 6 x 1 5/8&quot; ZINCADO"/>
        <s v="TORNILLO PARA VOLCANITA CRS 6 x2 1/4 NEGRO DRYWALL"/>
        <s v="PINO NACIONAL GRADO C-16/C-24 IMPREGNADO DE 2&quot; x 4&quot; x x 3,20 m (41x90mm)"/>
        <s v="GRAPA 145X35 T-40 (10.000 X CAJA)"/>
        <s v="GRAPA 14X35 T-50 (10.000 X CAJA)"/>
        <s v="CONECTOR DENTADO SIMPSON DE 3&quot; X 6&quot; (AS36B / CAJA 232 UND)"/>
        <s v="CLAVO HELICOIDAL 31/4 x 80 N-80 (CAJA 4.500 UNIDADES)"/>
        <s v="CINTA POLIESTER DE 2&quot; COLOR VERDE (ROLLO= 100 mt=15 kg)"/>
        <s v="PINO NACIONAL GRADO C-16/C-24 IMPREGNADO DE 2&quot; X 6&quot; X 4,00 m (VIVIENDAS SOCIALES)"/>
        <s v="ESQUINERO GUARDAPOLVO PVC INTERIOR HAYA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MARCO PUERTA HOME 30X120mm PINO FINGER (2 PIERNAS DE 2.400 MM - 1 CABEZAL DE 1.000 MM)"/>
        <s v="POLIETILENO ALTA DENSIDAD DE 1.80 X 110 MICRAS FOIL ( 2.66 METROS LINEALES X KILO )"/>
        <s v="PINO NACIONAL ESTRUCTURAL CEPILLADO 4/CARAS  IMPREGNADO DE  2 X 8 X 4.00 (41 x 185 MM ) (VVSS)"/>
        <s v="&quot;PINO NACIONAL BRUTO IMPREGNADO 1 &quot;&quot; X 4&quot;&quot; X 3,2MT &quot;"/>
        <s v="PUNTA PARA PUNTILLERA ZN 5000 DE F-50 MM CAJA 5.000 UND"/>
        <s v="ESMALTE AL AGUA BLANCO SATINADO PLUS UNIVERSAL (TINETA 5 GALONES)"/>
        <s v="ESQUINERO CORNIZA INTERIOR  PVC HAYA"/>
        <s v="ESQUINERO CORNIZA PVC EXTERIOR   HAYA"/>
        <s v="SILICONA ACETICA C/FUNGICIDA COLOR TRANSPARENTE 300 ml"/>
        <s v="RODILLO CHIPORRO LIZCAL DE 7&quot; PATAGON 18 CMS"/>
        <s v="BROCHA EXCELSIOR PROFESIONAL 5/8&quot; x 4&quot;"/>
        <s v="BROCHA EXCELSIOR PROFESIONAL DE  5/8&quot; x 3&quot;"/>
        <s v="MOLDURA PVC ESQUINERA INTERIOR 2.44 P/KEMLITE"/>
        <s v="MONOFILAMENTO PISO VINILICO GRIS COD: 494 ( ROLLO 50 MTS  )"/>
        <s v="CELOSIA ALUMINIO MATE 25 x 25 CMS"/>
        <s v="EXTRACTOR VENTILACION PASIVA JONAS 4 VERSION CUADRADA F C/CELOSIA #150 BLANCO 100MM (COD: 250729)"/>
        <s v="EXTRACTOR DE VENTILACION INTELLIVENT + KIT UTA"/>
        <s v="CLAVO HELICOIDAL PROFIX GALV 3.1X65MMX217X18R"/>
        <s v="FORRO INICIO F-1 GRIS CENIZA RAL-7040 D:110  L:3.000 (V.SOCIALES)"/>
        <s v="MOLDURA ALUMINIO NATURAL  5355 TEMBAR LARGO 6.0 METROS"/>
        <s v="MEMBRANA PVC  DE 1.2 MM DE 4,10 MT x  25 MT (102,50 M2/ROLLO)"/>
        <s v="TYPAR VOLCANWRAP ROLLO DE 2,743 x 45,72 MTS ( 125 M2 x ROLLO ) SKU 7000031"/>
        <s v="ADHESIVO VINILICO GEXAFLEX TINETA 20 KG"/>
        <s v="PLACA LP SMARTSIDE LAP 30 APA X 4,88 MTS X 9,5 MM."/>
        <s v="CONECTOR DENTADO SIMPSON DE  6&quot; X 8&quot;  (AS68B / 88 UND POR CAJA)"/>
        <s v="CELOSIA BEAGLE 35.5 X 13CM BCO COD:2011100010050"/>
        <s v="CELOSIA ALUMINIO MATE 30x30 CMS."/>
        <s v="TIRAFONDO HEXAGONO CORRIENTE DE 3/8&quot; x 4-1/2&quot;"/>
        <s v="GOLILLA PLANA CORRIENTE 3/8&quot; (CODIGO:03-GPFU ENVASE DE 100 UND)"/>
        <s v="ESCUADRA REFORZADA 105 X 150 X 90 E:3MM (COD: ABR105)"/>
        <s v="PISO VINILICO SAFETRED UNIVERSAL 2M VENUS (2 x 20 M)"/>
        <s v="TORNILLO PARA CONECTORES 5MM X 50MM (CAJA 250 UN) (CODIGO SIMPSON: CSA5.0X50)"/>
        <s v="PINO NACIONAL SECO  CEPILLADO DE 1 x 4 x 3.20 MTS (264 PZA X PQTE) IMPREGNADO"/>
        <s v="TORNILLO BASTON MURO TRA. 8 X 13/4"/>
        <s v="ANGULO PVC 25x25x3.0 MTS BLANCO"/>
        <s v="BROCHA EXCELSIOR PROFESIONAL DE 5/8 x 2&quot;"/>
        <s v="CORTINA DE BAÑO 1.30 x 2.00 MTS. COLOR GRIS INCLUYE ARGOLLAS"/>
        <s v="CUBREJUNTA MDF WHITE  DE 5.5 x 40 x 3.600 MM  (VOLCAN) SKU: 1500015"/>
        <s v="ESQUINERO PILASTRA PVC HAYA"/>
        <s v="LIJA PARA MADERA GRANO 120 (PLIEGO)"/>
        <s v="MANILLON C SPAGNA 19X200X300 MM (SKU: 041420)"/>
        <s v="PORTARROLLO ACERO INOX FONTANA S/TAPA (SAPR80083101CB)"/>
        <s v="TOALLERO REDONDO FONTANA ACERO INOX (SATR80083101CB)"/>
        <s v="ESPEJO RECTO AL. BLANCO DE 50x70 CMS"/>
        <s v="GANCHO INDIVIDUAL FONTANA ACERO INOX (SAGI80083101CB)"/>
        <s v="BARRA CORTINA BAÑO ALUMINIO/PVC  BLANCO L: 1.5 MTS. COD:2014100010050"/>
        <s v="SOPORTE BARRA CORTINA ECONOMICO BLANCO COD:1511110022050"/>
        <s v="&quot;DESAGUE LAVAMANOS UNIVERSAL PP 1 1/4&quot;&quot; CON REJILLA Y TAPON (20ST3058100)&quot;"/>
        <s v="PLANCHA YESO CARTON VOLCAN RF 1.22 x 3.40 x 15MM WHITE BORDE CUADRADO (40PLXPQ) SKU 5002142"/>
        <s v="GOLILLA PVC BLANCA PARA TECHO 27 MM C/TAPA"/>
        <s v="ESMALTE AL AGUA RAL 8011"/>
        <s v="PLANCHA YESO CARTON VOLCAN RF 122 x 2.44 x 15 LINEN GREY BORDE CUADRADO 70 PLXPALLET SKU 5002205"/>
        <s v="PINO NACIONAL GRADO C-16/C-24 IMPREGNADO DE 2&quot; X 6&quot; X 3,20 m (41x138mm)"/>
        <s v="CLAVO BDC 22X50 BK RING JUMBO COIL (NAIL - 9.000 UND X CAJA)"/>
        <s v="CINTA ENMASCARAR PERMACEL DE 2&quot; 40 X 48 mm"/>
        <s v="DILUYENTE SINTETICO BIDON 5 LTS (6 BID/CAJA)"/>
        <s v="SILICONA ACETICA C/FUNGICIDA COLOR BLANCO 300 ml"/>
        <s v="SILICONA SELLADOR ACRILICO PINTABLE COLOR BLANCA 300 ml"/>
        <s v="ESMALTE AL AGUA RAL 8001"/>
        <s v="CONECTOR DENTADO SIMPSON DE 4&quot; X 8&quot; (AS48B /CAJA 129 UND)"/>
        <s v="VOLCAN WRAP BARRERA DE VAPOR (PAPEL KRAFT LAM C/ POLIETILENO) 1,2X0,5M E: 0,123 MM (6KG 60M2 X RLL)"/>
        <s v="PINO NACIONAL CEPILLADO 4/CARAS SECO DE 2&quot; X 2&quot; X 3.20 MT (41 X 41 mm) IMPREGNADO"/>
        <s v="GRAPAS 180/40 NK HZ (10.000 UND X CAJA)"/>
        <s v="CAVE POLFLEX IMPERMEABILIZANTE , COPD: LCPIMM10020601 BALDE 20 KG"/>
        <s v="TORNILLO PARA FIBROCEMENTO PUNTA ESPEDA DE 10 x 13/4&quot;  COD: K20TFCW (CAJA 1.000 UND )"/>
        <s v="AISLAN GLASS 140 MM R100/349 0.375x7.20 MTS DENSIDAD 13 KG/M3 (8.1 M2) COD:4000724"/>
        <s v="ADHESIVO GEXAFLEX 60 ENVASE GALON ( 3.75 LTS)"/>
        <s v="GUARDAPOLVO PARA RETORNO PISO VINILICO PVC 50 x 3.000 COLOR BLANCO"/>
        <s v="ANGULO PVC 40 x 40 x 2 x 3.000 MM BLANCO"/>
        <s v="CLAVO HELICOIDAL 3.1X80MM"/>
        <s v="CONECTOR DENTADO SANDE DE 4&quot; X 8&quot; (AS48B)"/>
        <s v="VOLCOGLASS X RH 1,20 x 2,40 x 15MM BORDE"/>
        <s v="BUTILLO ROLLO DE 3.2 x 19 x 15.25  MTS"/>
        <s v="ESPUMA POLIURETANO EXPANSIVA 750 ml"/>
        <s v="MEMBRANA PVC NEGRA DE 0.8 MM ESPESOR TERMOFUSIONADA (4,1 ANCHO X 13 MT LARGO) MOD TIPO QB"/>
        <s v="TERCIADO FENOLICO CD DE 1,22 X 2,44 X 15 mm (65 PL X PQTE)"/>
        <s v="CALEFON 10 LITROS GAS LICUADO TIRO FORZADO"/>
        <s v="KIT DUCTO 60/100MM TIF CAM ABIER-5961599 (5961599)"/>
        <s v="PINO NACIONAL GRADO C-16/C-24 DE 2&quot; x 4&quot; x 2,44 m (41x90mm) (VIVIENDAS SOCIALES) "/>
        <s v="KIT PRECOLGADO PTA PREPINTADA 750X2040+M.P.FINGER 38X120 C/CELOSÍA PVC-IZQUIERDA"/>
        <s v="KIT PRECOLGADO PTA PREPINTADA 750X2040+M.P.FINGER 38X120 C/CELOSÍA PVC-DERECHA"/>
        <s v="AISLAN GALSS 50 MM R100/212 0.375x12 MTS (13.5 M2 X BOLSA)"/>
        <s v="TORNILLO CABEZA PLANA 7,7MM X 85MM (250 X CAJA) (SDW22338MB)"/>
        <s v="HOLDOWN TENSIONADOR VARILLA 1/2&quot; INCLUYE TORNILLOS (20 UN X CAJA)-DTT2Z UND"/>
        <s v="SELLO POLIURETANO SOUDAFLEX 40FC TUBO BLANCO"/>
        <s v="TINA DE ACERO ESMALTADA BLANCA ANTIDESLIZANTE 130x70"/>
        <s v="CINTA EMBALAJE TRANSPARENTE"/>
        <s v="UÑETAS INSTLACION LAVAMANOS MURAL C/TORNILLO Y TARUGO (21PB6002032)"/>
        <s v="SIFON LAVAMANOS PP 1 1/4'' CON SALIDA RECTA (19ST3082500)"/>
        <s v="LAVAMANOS DS THEOS (60TH2001000)"/>
        <s v="SELLO INSTALACION WC AURA HORIZONTAL"/>
        <s v="SET DE ANCLAJE WC COD:CC0017370001B0 (FANALOZA)"/>
        <s v="ESTANQUE WC AURA CON MECANISMO"/>
        <s v="TAZA WC AURA HORIZONTAL CON FIJACIONES Y SELLO"/>
        <s v="HUAIPE BLANCO BOLSA DE 1 KILO"/>
        <s v="CERRADURA BAÑO 815 TUBULAR DAP DUCASSE US32D 45MM ACERO INOX 304"/>
        <s v="CERRADURA ACCESO 815 TUBULAR CILINDRO 3 LLAVES DAP DUCASSE US32D 45MM ACERO INOX 304"/>
        <s v="PEDESTAL DS THEOS (60TH2002000)"/>
        <s v="GEXACO PLASTO CEM SACO 20 KILO - RETAPE RAPIDO"/>
        <s v="GEXACO IMPRIMADOR UNIVERSAL BALDE 10 KG"/>
        <s v="GARGOLA ESPECIAL LATA LARGO 350MM CON REMACHES"/>
        <s v="CELOSÍA ALUMINIO BLANCO 805X2446 QUIEBRAVISTA GRANDE Y ANGULO PERIMETRAL"/>
        <s v="PASTA RETAPE NEUTRA WET-PROOF"/>
        <s v="CLAVO HELICOIDAL EN ROLLO  2.5 x 50 MM ( CAJA DE 9.000 UNIDADES )"/>
        <s v="EXTRACTOR DVP4 12W 4 C/SENDOR DE HUMEDAD – HST 220VOLT"/>
        <s v="ESQUINERO PILASTRA PVC COLOR BLANCO"/>
        <s v="PILASTRA MDF FOLIO COLOR BLANCO DE 12 x 57 x 2,440  mm"/>
        <s v="PLANCHA PVC CON PROTECCION UV DE 1.22 X 2.44 X 2.3  mm ALTO IMPACTO"/>
        <s v="PERFIL ESQUINERO ENCUENTRO PVC 8MM BLANCO"/>
        <s v="PERFIL ESQUINERO INTERIOR PVC 8MM BLANCO"/>
        <s v="PUNTA PARA PUNTILLERA DE 30 MM CAJA DE 5.000 UNIDADES"/>
        <s v="SELLADOR POLIURETANO RHENALASTIC COLOR GRIS 310 ML (12X CJ)"/>
        <s v="GOLILLA PRESION DE 1/2 (12MM) PAVONADA NEGRA"/>
        <s v="CUBREJUNTA MDF DE  5.5 x 40 x 2.440 MM.LINEN GREY (VOLCAN SKU 213041)"/>
        <s v="ESQUINERO CORNIZA INTERIOR PVC COLOR BLANCO"/>
        <s v="ESQUINERO CORNIZA EXTERIOR PVC COLOR BLANCO"/>
        <s v="ESQUINERO GUARDAPOLVO EXTERIOR PVC COLOR BLANCO"/>
        <s v="NUEVO ASIENTO Y TAPA WC AURA P.P. CIERRE ESTÁNDAR"/>
        <s v="KIT PREC.PTA.CARA ACERO GALV.LISA 1/2 C.BLANCA 45X850X2050 V.TERMOPANEL,M.P.FINGER 38X120-IZQUIERDA"/>
        <s v="KIT PREC.PTA.CARA ACERO GALV.LISA 1/2 C.BLANCA 45X850X2050 V.TERMOPANEL,M.P.FINGER 38X120-DERECHA (LOGIA)"/>
        <s v="LAVAPLATOS DE SOBREPONER 80X50 CM PARA MONOMANDO C/SECADOR IZQUIERDO"/>
        <s v="NEW PRIMA MEZCLADOR PARA LAVAPLATOS CUELLO CISNE APERTURA EN FRIO 8LPM, ESTIU (TS2024022)"/>
        <s v="&quot;SIFON PLASTICO UNIVERSAL 1 1/4&quot;&quot; Y 1 1/2&quot;&quot; (19ST8073500)&quot;"/>
        <s v="LAVARROPA PLATICO DS THEOS 15L (19ST8073500)"/>
        <s v="PERCHA SIMPLE YORK 21PL0000104"/>
        <s v="ARGOLLA TOALLA BENTON CROMO (21BE0000101)"/>
        <s v="PORTA ROLLO BENTON CROMO (21BE0000100)"/>
        <s v="NEW PRIMA MEZCLADOR PARA LAVABO APERTURA EN FRIO 8LPM ESTIU (TS2024019)"/>
        <s v="LLAVE DE PASO CAMPANA 1/2 LC17 6001 FAS"/>
        <s v="NARIZ DE GRADA ALUMINIO 53x28.5x6 5367"/>
        <s v="NEW PRIMA MEZCLADOR EXTERIOR TINA/DUCHA INCL. DUCHA SIMPLE, SOPORTE Y FLEXIBLE 1.5M 8LPM, ESTIU (TS2024020)"/>
        <s v="LLAVE ANGULAR 1/2X1/2 Y FLEXIBLE TECHNOFLEX 1/2X15/16 DE 35CM"/>
        <s v="TERMINACION TOP COAT 4G"/>
        <s v="RECUBRIMIENTO INTERMEDIO TEXTURADA 4G"/>
        <s v="IMPRIMANTE 4G"/>
        <s v="FORRO DINTEL Y CENFA F1 RAL 8001 LA CHACRA"/>
        <s v="FORRO DINTEL Y CENFA F1 RAL 8011 LA CHACRA"/>
        <s v="FORRO FRENTE E: 0,5 MM L: 3140 MM ALUZINC"/>
        <s v="FORRO LATERAL E: 0,5 MM L: 3140 MM ALUZINC"/>
        <s v="SILICONA ALMENDRA NEUTRA COLOR ALMENDRA 300 ML"/>
        <s v="MONOFILAMENTO PISO VINILICO SAFETRED UNIVERSAL 2M VENUS (ROLLO 50 MTS)"/>
        <s v="KIT PRECOLGADO PTA.CARA ACERO GALV.6 PANELES BLANCA 45X1000X2050+M.P.FINGER 38X120-IZQUIERDA"/>
        <s v="CERRADURA DE EMB 85000 MULTIPLE C/REC"/>
        <s v="CILINDRO 03 LLAVE/LLAVE 70MM (35X35) AI"/>
        <s v="MANILLA JUEGO 2816-C 19MM REVERSIBLE SIN BOC."/>
        <s v="BOCALLAVE B1 800 ACCESO SATINADO (PAR)"/>
        <s v="CUADRADILLO EXPANSION 8X8X70MM"/>
        <s v="ESQUINERO GUARDAPOLVO INTERIOR PVC COLOR BLANCO"/>
        <s v="TORNILLOS SDS PARA CONECTORES ¼ X 4 1/2&quot; - VASTAGO LARGO (100 UN X CAJA) (SDS25412MB)"/>
        <s v="CHOLGUAN LISO PLANCHA DE 1.520 X 2.440 X 2.4 MM"/>
        <s v="SIFON BOTELLA 1 1/4 SALIDA 30 CM TUBE WASSER (COD: HJ2010001)"/>
        <s v="MANGUITO WC DISCAPACITADO RECTO 110 MM"/>
        <s v="GOMA ADAPTADORA PARA SIFON 40 x 32 mm MUEBLE SUNSET "/>
        <s v="KIT PRECOLGADO PTA.CARA ACERO GALV.6 PANELES BLANCA 45X1000X2050+M.P.FINGER 38X120-DERECHA (ACCESO)"/>
        <s v="CELOSIA ALUMINIO MATE 40X40 CMS"/>
        <s v="CELOSIA ALUMINIO MATE 20X20CMS"/>
        <s v="V01-VENTANA DORMITORIOS 2 PAÑOS.INFERIOR FIJO Y SUPERIOR PROYECTANTE (2050mm X 700 mm)"/>
        <s v="V03- VENTANA BAÑO PROYECTANTE (550X550 MM)"/>
        <s v="V05-VENTANA LIVING-COMEDOR CORREDERA BALCONERA (2050 mm X 1600 mm)"/>
        <s v="LIJA PARA MADERA GRANO 100 (PLIEGO)"/>
        <s v="BUTILLO SIKALASTOMER 95 DE 13 X 2.0 MM X 15 METROS (CAJA 20 ROLLOS)"/>
        <s v="EAA RL KP CONSTRUC SATIN BASE R GL"/>
        <s v="IGOL FLEX 3 KG CUN 12C N/A"/>
        <s v="SPRAY MTN WEPRO BLANCO IGLU MA N/A "/>
        <s v="ESMALTE AL AGUA PROFESIONAL BASE R GALON"/>
        <s v="BANDEJA PLASTICA HELA "/>
        <s v="RODILLO CORTA GOTA 18 CM "/>
        <s v="SPRAY ESMALTE BLANCO OPACO "/>
        <s v="OLEO MATE KP 2000 BLANCO LT (20.00% DESCTO. INDUSTRIAL)(10,00% DESCTO. POR VOLUMEN)"/>
        <s v="PLOTEO LA CHACRA"/>
        <s v="PLOTEO ICG"/>
        <s v="PLANCHA METALIC E: 0,5 3000 X 1219 RAL 8011"/>
        <s v="PLANCHA METALIC E: 0,5 3000 X 1219 RAL 8001"/>
        <s v="Geotextil No Tejido 0,20x500Mts 40Grs Altec"/>
        <s v="LIJA BANDA 3M GRANO 40 4X24 CODIGO:XC00248609 ( COLOR NARANJA) "/>
        <s v="ADHESIVO HOTMELT"/>
        <s v="TORNILLO PARA VOLCANITA P/BROCA 6X1 5/8&quot; (DRYWALL) "/>
        <s v="500 PL  EPS.20 KG / M3 1210 X 2440 X 30 MM S/C"/>
        <s v="470pl EPS 2440x1210x30mm D20, kg/m3"/>
        <s v="CINTA CONSTRUCCIÓN VOLCANWRAP (47,8 MM X 50,29 M) (24 X CAJA)"/>
        <s v="BISAGRA DE  31/2x31/2 CANTO REDONDEADO CR.SATIN"/>
        <s v="PUERTA LAMINA METALICA MODELO SINFONIA RELLENO POLIURETANO PRECOLGADA PERFORACION POMO 45 x 950 x 2000"/>
        <s v="PLACA ANCLAJE PL-1 ANGULO GALVANIZADA 150X150X400X5 MM PERFORACION DE 14MMX4-25MMX2"/>
        <s v="FORRO LATERAL E: 0,5 MM L: 1000 MM ALUZINC"/>
        <s v="TORNILLO KALAT PUNTA BROCA DE 8X3/4&quot;"/>
        <s v="NARIZ GRADA ALUMINIO 5367 DE 53 x 28 x 924 MM ( casas Chacra) "/>
        <s v="GOLILLA PLANA GALVANIZADA DE 1/2"/>
        <s v="HILO 1/2&quot;X8&quot; (200mm) GALVANIZADO "/>
        <s v="TIRAFONDO HEXAGONO GALVANIZADO 1/2 x 3 1/2&quot;"/>
        <s v="TUERCA HEXAGONAL GALVANIZADA DE 1/2"/>
        <s v="VARILLA ROSCADA F 1554 GR36 MEDIDAS 1/2&quot; x 27,5&quot; (70 CM) UNC 90° ZN ( DOBLE TUERCA)"/>
        <s v="VARILLA ROSCADA F 1554 GR36 MEDIDAS 7/8&quot; X28&quot; (71CM) UNC 90° 90 ZN (DOBLE TUERCA) "/>
        <s v="VARILLA ROSCADA F 1554 GR36 MEDIDAS  1&quot;X28&quot;(71 cm)unc 90° ZN (DOBLE TUERCA) "/>
        <s v="BROCHA PROFESIONAL DE 5/8&quot; x 4&quot;"/>
        <s v="PASTA RETAPE SIENA WET-PROOF"/>
        <s v="CLAVO HELICOIDAL GALVANIZADO 3,1 X65 MM JUMBO (3900 X CAJA)"/>
        <s v="SELLO CERA ANTUFUGA WC CODIGO: SC0015550001CF (FANALOZA)"/>
        <s v="" u="1"/>
        <m u="1"/>
        <s v="0" u="1"/>
        <s v="CEERRADURA BAÑO 815 TUBULAR DAP DUCASSE US32D 45MM ACERO INOX 304" u="1"/>
      </sharedItems>
    </cacheField>
    <cacheField name="UNIDAD DE MEDIDA" numFmtId="0">
      <sharedItems/>
    </cacheField>
    <cacheField name="CANTIDAD SOLICITADA" numFmtId="168">
      <sharedItems containsString="0" containsBlank="1" containsNumber="1" containsInteger="1" minValue="1" maxValue="18000"/>
    </cacheField>
    <cacheField name="DEVOLUCIÓN" numFmtId="168">
      <sharedItems containsString="0" containsBlank="1" containsNumber="1" containsInteger="1" minValue="1" maxValue="600"/>
    </cacheField>
    <cacheField name="CANTIDAD RECEPCIONADA" numFmtId="166">
      <sharedItems containsSemiMixedTypes="0" containsString="0" containsNumber="1" minValue="0" maxValue="18000"/>
    </cacheField>
    <cacheField name="VALOR X UN (GD)" numFmtId="167">
      <sharedItems containsString="0" containsBlank="1" containsNumber="1" minValue="3.2124999999999999" maxValue="382355"/>
    </cacheField>
    <cacheField name="VALOR TOTAL GD POR ITEM" numFmtId="167">
      <sharedItems containsString="0" containsBlank="1" containsNumber="1" containsInteger="1" minValue="154" maxValue="11103603"/>
    </cacheField>
    <cacheField name="VALOR TOTAL POR ITEM GD" numFmtId="167">
      <sharedItems containsString="0" containsBlank="1" containsNumber="1" containsInteger="1" minValue="0" maxValue="11103603"/>
    </cacheField>
    <cacheField name="VALOR PPTO" numFmtId="167">
      <sharedItems containsString="0" containsBlank="1" containsNumber="1" minValue="0" maxValue="350139"/>
    </cacheField>
    <cacheField name="DIF. VALOR UND." numFmtId="167">
      <sharedItems containsString="0" containsBlank="1" containsNumber="1" minValue="-79091" maxValue="41403.916700000002"/>
    </cacheField>
    <cacheField name="DIF VALOR TOTAL PAGADO" numFmtId="167">
      <sharedItems containsString="0" containsBlank="1" containsNumber="1" minValue="-7632122" maxValue="2128797"/>
    </cacheField>
    <cacheField name="DIF %" numFmtId="9">
      <sharedItems containsString="0" containsBlank="1" containsNumber="1" minValue="-270.25541125541122" maxValue="0.96987542312499131"/>
    </cacheField>
    <cacheField name="COMETARIO DIF $" numFmtId="0">
      <sharedItems containsBlank="1"/>
    </cacheField>
    <cacheField name="GD" numFmtId="0">
      <sharedItems containsString="0" containsBlank="1" containsNumber="1" containsInteger="1" minValue="881" maxValue="143546508"/>
    </cacheField>
    <cacheField name="MONTO GD" numFmtId="167">
      <sharedItems containsString="0" containsBlank="1" containsNumber="1" containsInteger="1" minValue="1117" maxValue="27811279"/>
    </cacheField>
    <cacheField name="OC" numFmtId="0">
      <sharedItems containsString="0" containsBlank="1" containsNumber="1" containsInteger="1" minValue="5284" maxValue="6266"/>
    </cacheField>
    <cacheField name="PRESUPUESTO" numFmtId="167">
      <sharedItems containsString="0" containsBlank="1" containsNumber="1" containsInteger="1" minValue="6579000000" maxValue="6579000000"/>
    </cacheField>
    <cacheField name="TOTAL SEGÚN PPTO" numFmtId="165">
      <sharedItems containsMixedTypes="1" containsNumber="1" minValue="0" maxValue="11208632.637183998"/>
    </cacheField>
    <cacheField name="TAREA WIP" numFmtId="0">
      <sharedItems containsString="0" containsBlank="1" containsNumber="1" containsInteger="1" minValue="10010" maxValue="10010"/>
    </cacheField>
    <cacheField name="% DESVIACION PRECIO" numFmtId="9">
      <sharedItems containsMixedTypes="1" containsNumber="1" minValue="-1" maxValue="270.25541212121209"/>
    </cacheField>
    <cacheField name="PRESUPUESTO TOTAL PRODUCTO" numFmtId="167">
      <sharedItems containsSemiMixedTypes="0" containsString="0" containsNumber="1" minValue="0" maxValue="11208632.640000001"/>
    </cacheField>
    <cacheField name="TIPO PRODUCTO" numFmtId="167">
      <sharedItems count="2">
        <s v="PRODUCTO CRITICO"/>
        <s v="NO CRITICO"/>
      </sharedItems>
    </cacheField>
    <cacheField name="CANTIDAD RECIBIDA" numFmtId="168">
      <sharedItems containsSemiMixedTypes="0" containsString="0" containsNumber="1" containsInteger="1" minValue="0" maxValue="18000"/>
    </cacheField>
    <cacheField name="DESCRIPCION 2" numFmtId="0">
      <sharedItems containsMixedTypes="1" containsNumber="1" containsInteger="1" minValue="0" maxValue="0" count="149">
        <s v="OSB 9.5"/>
        <s v="VOLCANITA RF"/>
        <s v="PINO 2X8X4"/>
        <s v="PINO 3X8X320"/>
        <n v="0"/>
        <s v="COLA FRIA"/>
        <s v="AISLAN GLASS 90MM"/>
        <s v="POLIETILENO"/>
        <s v="TORNILLO SIMPSON 6&quot;"/>
        <s v="CLAVO TORNILLO"/>
        <s v="SMARTPANEL"/>
        <s v="FIBROCEMENTO BALCON"/>
        <s v="AISLAN ROCA 90MM"/>
        <s v="PB2"/>
        <s v="PB1"/>
        <s v="TARKETT"/>
        <s v="MONOFILAMENTO TARKETT"/>
        <s v="SIFON LAVAPLATO"/>
        <s v="DESAGUE 1  1/2"/>
        <s v="LAVAMANOS"/>
        <s v="KIT DESAGUE TINA"/>
        <s v="SOPORTE TINA"/>
        <s v="MONOMANDO LAVAPLATOS"/>
        <s v="TINA"/>
        <s v="BARANDA BALCON"/>
        <s v="MUEBLE LAVAPLATOS"/>
        <s v="LAVAPLATOS"/>
        <s v="DUCO"/>
        <s v="TRAPOS DE ASEO"/>
        <s v="LAVADERO"/>
        <s v="SIFON LAVADERO"/>
        <s v="GUARDAPOLVO BLANCO"/>
        <s v="CORNIZA BLANCA"/>
        <s v="ANGULO BLANCO"/>
        <s v="PINTURA BALCON"/>
        <s v="CATALIZADOR BALCON"/>
        <s v="DILUYENTE"/>
        <s v="OLEO SEMIBRILLO"/>
        <s v="SIMPLISIMA"/>
        <s v="BURLETE PVC"/>
        <s v="SELLO"/>
        <s v="VOLCANITA RH"/>
        <s v="PINO 1X4X320"/>
        <s v="OSB 11MM"/>
        <s v="BROCAS VISLIDER"/>
        <s v="CLAVO R20"/>
        <s v="PINO 2X6X400"/>
        <s v="PINO 2X12X320"/>
        <s v="PINO 2X10X12"/>
        <s v="CERRADURA ACCESO 2 MANILLAS"/>
        <s v="CERRADURA ACCESO 1 MANILLA"/>
        <s v="CERRADURA BAÑO"/>
        <s v="TOPE DE PUERTA"/>
        <s v="LLAVE DE BOLA AC"/>
        <s v="LLAVE DE BOLA AF"/>
        <s v="ESTANQUE"/>
        <s v="WC"/>
        <s v="PUERTA INTERIOR"/>
        <s v="ASIENTO WC"/>
        <s v="LLAVE ANGULAR"/>
        <s v="MONOMANDO LAVAMANOS"/>
        <s v="MONOMANDO TINA"/>
        <s v="PEDESTAL LAVAMANOS"/>
        <s v="TORNILLO CRS 6X1 5/8"/>
        <s v="TORNILLO CRS 6X2 1/4"/>
        <s v="PINO 2X4X320"/>
        <s v="GRAPA T40"/>
        <s v="GRAPA T50"/>
        <s v="CONECTOR DENTADO"/>
        <s v="CLAVO HELICOIDAL"/>
        <s v="ESQUINERO GUARDAPOLVO"/>
        <s v="PUERTA INTERIOR IZQ"/>
        <s v="CERRADURA LLAVE"/>
        <s v="PUERTA ACCESO DERECHA"/>
        <s v="PUERTA LOGIA DERECHA"/>
        <s v="MARCO PUERTA"/>
        <s v="PUNTA PUNTILLERA"/>
        <s v="ESMALTE AL AGUA"/>
        <s v="ESQUINERO INTERIOR"/>
        <s v="ESQUINERO EXTERIOR"/>
        <s v="SELLO FUNGICIDA"/>
        <s v="RODILLO CHIPORRO"/>
        <s v="BROCHA 5/8 X4"/>
        <s v="BROCHA 5/8 X3"/>
        <s v="MOLDURA PVC INTERIOR"/>
        <s v="MONOFILAMENTO"/>
        <s v="CELOSIA ALUMINIO 25X25"/>
        <s v="VENTILACIÓN PASIVA"/>
        <s v="EXTRACTOR"/>
        <s v="CLAVO HELICOIDAL PROFIX"/>
        <s v="FORRO DE INICIO"/>
        <s v="MOLDURA ALUMINIO NATURAL"/>
        <s v="PISO TARKET"/>
        <s v="VOLCANITA EMPAPELADA CIELO"/>
        <s v="VOCANITA EMPAPELADA MURO"/>
        <s v="PINO 2X6X320"/>
        <s v="AISLAN GLASS 140MM"/>
        <s v="VOLCOGLASS"/>
        <s v="MEMBRANA PVC"/>
        <s v="TERCIADO FENOLICO"/>
        <s v=""/>
        <s v="AISLAN DENSIDAD 14 KG/M3 (13.5 M2 X BOLSA) SKU 4000147"/>
        <s v="HOLDOWN TENSIONADOR"/>
        <s v="TINA DE ACERO"/>
        <s v="CINTA EMBALAJE TRANSPARENTE"/>
        <s v="UÑETAS INSTLACION LAVAMANOS"/>
        <s v="SIFOL"/>
        <s v="LAVAMANOS DS THEOS"/>
        <s v="SELLO INSTALACION WC"/>
        <s v="SET BALCON"/>
        <s v="ESTANQUE WC AURA"/>
        <s v="TAZA WC AURA"/>
        <s v="HUAIPE BLANCO BOLSA"/>
        <s v="CEERRADURA BAÑO 815 TUBULAR"/>
        <s v="CERRADURA INOX 304"/>
        <s v="PEDESTAL DS THEOS"/>
        <s v="PASTA RETAPE"/>
        <s v="EXTRT"/>
        <s v="ESQUINERO PILASTRA PVC"/>
        <s v="PERFIL ESQUINERO ENCUENTRO"/>
        <s v="PERFIL ESQUINERO INTERIOR"/>
        <s v="CUBREJUNTA"/>
        <s v="ESQUINERO CORNIZA INTERIOR"/>
        <s v="ESQUINERO CORNIZA EXTERIOR"/>
        <s v="ESQUINERO GUARDAPOLVO EXTERIOR"/>
        <s v="NUEVA"/>
        <s v="KIT PREC"/>
        <s v="NEW TS2024022)"/>
        <s v="LAVARROPA PLATICO DS"/>
        <s v="PERCHA SIMPLE YORK"/>
        <s v="ARGOLLA TOALLA BENTON"/>
        <s v="PORTA ROLLO BENTON"/>
        <s v="NEW TS2024019)"/>
        <s v="NEW DUCHA SIMPLE, SOPORTE Y FLEXIBLE 1.5M 8LPM, ESTIU (TS2024020)"/>
        <s v="LLAVE ANGULAR 1/2X"/>
        <s v="TERMINACION TOP COAT"/>
        <s v="RECUBRIMIENTO INTERMEDIO TEXTURADA"/>
        <s v="E"/>
        <s v="CERRADURA DE EMB"/>
        <s v="CILINDRO 03 LLAVE/LLAVE"/>
        <s v="MANILLA JUEGO"/>
        <s v="BOCALLAVE B1 800 ACCESO"/>
        <s v="CUADRADILLO EXPANSION 8X"/>
        <s v="ESQUINERO GUARDAPOLVO INTERIOR"/>
        <s v="KIT PRECOLGADO"/>
        <s v="VENTANA V-01"/>
        <s v="VENTANA V.05"/>
        <s v="NARIZ GRADA ALUMINIO"/>
        <s v="Varilla de anclaje"/>
      </sharedItems>
    </cacheField>
    <cacheField name="VARIACIÓN" numFmtId="0" formula="('VALOR TOTAL POR ITEM GD'/'PRESUPUESTO TOTAL PRODUCTO')-1" databaseField="0"/>
    <cacheField name="DESVIACIÓN" numFmtId="0" formula="'VALOR TOTAL POR ITEM GD'-'PRESUPUESTO TOTAL PRODUCTO'" databaseField="0"/>
    <cacheField name="Meses (FECHA SOLICITUD)" numFmtId="0" databaseField="0">
      <fieldGroup base="1">
        <rangePr groupBy="months" startDate="2025-10-08T00:00:00" endDate="2026-06-13T00:00:00"/>
        <groupItems count="14">
          <s v="&lt;08-10-2025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3-06-2026"/>
        </groupItems>
      </fieldGroup>
    </cacheField>
    <cacheField name="Trimestres (FECHA SOLICITUD)" numFmtId="0" databaseField="0">
      <fieldGroup base="1">
        <rangePr groupBy="quarters" startDate="2025-10-08T00:00:00" endDate="2026-06-13T00:00:00"/>
        <groupItems count="6">
          <s v="&lt;08-10-2025"/>
          <s v="Trim.1"/>
          <s v="Trim.2"/>
          <s v="Trim.3"/>
          <s v="Trim.4"/>
          <s v="&gt;13-06-2026"/>
        </groupItems>
      </fieldGroup>
    </cacheField>
    <cacheField name="Años (FECHA SOLICITUD)" numFmtId="0" databaseField="0">
      <fieldGroup base="1">
        <rangePr groupBy="years" startDate="2025-10-08T00:00:00" endDate="2026-06-13T00:00:00"/>
        <groupItems count="4">
          <s v="&lt;08-10-2025"/>
          <s v="2025"/>
          <s v="2026"/>
          <s v="&gt;13-06-2026"/>
        </groupItems>
      </fieldGroup>
    </cacheField>
  </cacheFields>
  <extLst>
    <ext xmlns:x14="http://schemas.microsoft.com/office/spreadsheetml/2009/9/main" uri="{725AE2AE-9491-48be-B2B4-4EB974FC3084}">
      <x14:pivotCacheDefinition pivotCacheId="1087107532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8.632036921299" createdVersion="8" refreshedVersion="8" minRefreshableVersion="3" recordCount="253" xr:uid="{B7360206-3010-4960-AB6C-DC6757150CD6}">
  <cacheSource type="worksheet">
    <worksheetSource name="PRODUCTOS"/>
  </cacheSource>
  <cacheFields count="31">
    <cacheField name="CODIGO" numFmtId="0">
      <sharedItems containsMixedTypes="1" containsNumber="1" containsInteger="1" minValue="106022" maxValue="5316509"/>
    </cacheField>
    <cacheField name="DESCRIPCION" numFmtId="0">
      <sharedItems count="269">
        <s v="TORNILLO CABEZA PLANA 7MM X 125MM (200 X CAJA) (SDW22500MB)"/>
        <s v="CLAVO TORNILLO TC28/32X65 NK JUMBO SCRAIL (SCRAIL-SCREW - 3.600 UND X CAJA)"/>
        <s v="PISO VINILICO TARKETT PLUS STANDARD E: 2 MM  GRIS CODIGO 494 (46 M2 X ROLLO)"/>
        <s v="DESAGUE METALICO TINA, RECEPTACULO Y LAVAPLATOS 1 1/2&quot;"/>
        <s v="LAVAMANOS VALENCIA PREMIUM COD:CS0055671301CF BLANCO"/>
        <s v="MONOMANDO LAVAPLATOS ASÍS MCPAS"/>
        <s v="TINA ESMALTADA BLANCA C/ANTIDESLIZANTE DE 1.30X0.70X0.385 MARCA GALA"/>
        <s v="DILUYENTE DUCO BOTELLA 1 LT"/>
        <s v="TRAPOS DE ASEO JERSINA BLANCA (BOLSA 1 KILO)"/>
        <s v="ATRIL METALICO PARA LAVADERO -2 PATAS"/>
        <s v="LAVADERO DE PLASTICO  MODELO TQO-15 LTS"/>
        <s v="SIFON DE LAVADERO  CORRUGADO  1 1/2&quot;  BLANCO"/>
        <s v="ANGULO PVC 32 x 32 x 2.2 x 3.000 MM. BLANCO"/>
        <s v="CATALIZADOR ESMALTE EPOXICO COD:9610007T22"/>
        <s v="DILUYENTE EPOXICO COD: 8000015T30"/>
        <s v="OLEO SEMIBRILLO RAL-9010 BCO.PURO ( TINETA )"/>
        <s v="PLANCHA YESO CARTON RF S/PAPEL DE 1.22 x 3.40 x 15 MM BORDE CUADRADO 40 PLXPALLET (SKU 5002153)"/>
        <s v="TUBO FLEXIBLE L/HALOG S/GUIA 20mm 1/2 GR ROLLO 100 MTS"/>
        <s v="PINO NACIONAL SECO  CEPILLADO DE 1 x 4 x 3.20 MTS (264 PZA X PQTE)"/>
        <s v="BROCAS PARA MURO VISLIDER SQR27114 (7-1/4&quot; Sq Drive #2 Bit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CERRADURA BAÑO G-3 AC.INOX.MODELO RL100281 LT3576CTL 26D ADJ T LT3500"/>
        <s v="ESTANQUE LUGANO DUAL FLUSH BLANCO COD: CS0443301301B0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ESQUINERO GUARDAPOLVO PVC INTERIOR HAYA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MARCO PUERTA HOME 30X120mm PINO FINGER (2 PIERNAS DE 2.400 MM - 1 CABEZAL DE 1.000 MM)"/>
        <s v="POLIETILENO ALTA DENSIDAD DE 1.80 X 110 MICRAS FOIL ( 2.66 METROS LINEALES X KILO )"/>
        <s v="PINO NACIONAL ESTRUCTURAL CEPILLADO 4/CARAS  IMPREGNADO DE  2 X 8 X 4.00 (41 x 185 MM ) (VVSS)"/>
        <s v="&quot;PINO NACIONAL BRUTO IMPREGNADO 1 &quot;&quot; X 4&quot;&quot; X 3,2MT &quot;"/>
        <s v="PUNTA PARA PUNTILLERA ZN 5000 DE F-50 MM CAJA 5.000 UND"/>
        <s v="ESMALTE AL AGUA BLANCO SATINADO PLUS UNIVERSAL (TINETA 5 GALONES)"/>
        <s v="ESQUINERO CORNIZA INTERIOR  PVC HAYA"/>
        <s v="ESQUINERO CORNIZA PVC EXTERIOR   HAYA"/>
        <s v="SILICONA ACETICA C/FUNGICIDA COLOR TRANSPARENTE 300 ml"/>
        <s v="RODILLO CHIPORRO LIZCAL DE 7&quot; PATAGON 18 CMS"/>
        <s v="BROCHA EXCELSIOR PROFESIONAL 5/8&quot; x 4&quot;"/>
        <s v="BROCHA EXCELSIOR PROFESIONAL DE  5/8&quot; x 3&quot;"/>
        <s v="MOLDURA PVC ESQUINERA INTERIOR 2.44 P/KEMLITE"/>
        <s v="MONOFILAMENTO PISO VINILICO GRIS COD: 494 ( ROLLO 50 MTS  )"/>
        <s v="EXTRACTOR DE VENTILACION INTELLIVENT + KIT UTA"/>
        <s v="MOLDURA ALUMINIO NATURAL  5355 TEMBAR LARGO 6.0 METROS"/>
        <s v="MEMBRANA PVC  DE 1.2 MM DE 4,10 MT x  25 MT (102,50 M2/ROLLO)"/>
        <s v="PLACA LP SMARTSIDE LAP 30 APA X 4,88 MTS X 9,5 MM."/>
        <s v="CELOSIA BEAGLE 35.5 X 13CM BCO COD:2011100010050"/>
        <s v="CELOSIA ALUMINIO MATE 30x30 CMS."/>
        <s v="TIRAFONDO HEXAGONO CORRIENTE DE 3/8&quot; x 4-1/2&quot;"/>
        <s v="GOLILLA PLANA CORRIENTE 3/8&quot; (CODIGO:03-GPFU ENVASE DE 100 UND)"/>
        <s v="ANGULO PVC 25x25x3.0 MTS BLANCO"/>
        <s v="BROCHA EXCELSIOR PROFESIONAL DE 5/8 x 2&quot;"/>
        <s v="CORTINA DE BAÑO 1.30 x 2.00 MTS. COLOR GRIS INCLUYE ARGOLLAS"/>
        <s v="ESQUINERO PILASTRA PVC HAYA"/>
        <s v="LIJA PARA MADERA GRANO 120 (PLIEGO)"/>
        <s v="PORTARROLLO ACERO INOX FONTANA S/TAPA (SAPR80083101CB)"/>
        <s v="TOALLERO REDONDO FONTANA ACERO INOX (SATR80083101CB)"/>
        <s v="GANCHO INDIVIDUAL FONTANA ACERO INOX (SAGI80083101CB)"/>
        <s v="CLAVO BDC 22X50 BK RING JUMBO COIL (NAIL - 9.000 UND X CAJA)"/>
        <s v="CINTA ENMASCARAR PERMACEL DE 2&quot; 40 X 48 mm"/>
        <s v="DILUYENTE SINTETICO BIDON 5 LTS (6 BID/CAJA)"/>
        <s v="CONECTOR DENTADO SIMPSON DE 4&quot; X 8&quot; (AS48B /CAJA 129 UND)"/>
        <s v="ANGULO PVC 40 x 40 x 2 x 3.000 MM BLANCO"/>
        <s v="CLAVO HELICOIDAL 3.1X80MM"/>
        <s v="PINO NACIONAL GRADO C-16/C-24 DE 2&quot; x 4&quot; x 2,44 m (41x90mm) (VIVIENDAS SOCIALES) "/>
        <s v="NARIZ DE GRADA ALUMINIO 53x28.5x6 5367"/>
        <s v="PISO VINILICO POLYFLOR 2 MM GRIS  COD:3700 (2 X 20  mt = 40 m2 x Rollo)"/>
        <s v="FORRO FRENTE BALCON DS49 80/100  D: 220 MM L: 4000 MM"/>
        <s v="FORRO LATERAL BALCON DS49 100/100 D: 220 MM L: 3000 MM"/>
        <s v="CAPA DE TERMINACION AUTONIVELANTE PACE COTE 8 MILS DE ESPESOR + ARIDO EFEC. ANTIDESLIZANTE"/>
        <s v="PINTURA IMPERMEABILIZANTE DE POLIURETANO COLOR GRIS "/>
        <s v="Cave Polflex F Tineta 20Kgs"/>
        <s v="VOLCOGLASS"/>
        <s v="VOLCANWRAP BARRERA DE VAPOR (60 M2/ROLLO)"/>
        <s v="BURLETE DE GOMA BLANCO VIV IND (PUERTA)"/>
        <s v="CONECTOR DENTADO 2X4 (4C2)"/>
        <s v="SET DE ANCLAJE WC COD:CC0017370001B0 (FANALOZA)"/>
        <s v="HUAIPE BLANCO BOLSA DE 1 KILO"/>
        <s v="CINTA EMBALAJE TRANSPARENTE"/>
        <s v="HOLDOWN TENSIONADOR VARILLA 1/2&quot; INCLUYE TORNILLOS (20 UN X CAJA)-DTT2Z UND"/>
        <s v="TORNILLO VOLCANITA CRS 6 x 1 5/8&quot; ZINCADO"/>
        <s v="GRAPAS 180/40 NK HZ (10.000 UND X CAJA)"/>
        <s v="SILICONA ACETICA C/FUNGICIDA COLOR BLANCO 300 ml"/>
        <s v="SELLADOR ADHESIVO FIX-ALL HIGH TACK (REEMPLAZO MIR-O-BOND)"/>
        <s v="TERCIADO FENOLICO BC MOLDAJE DE 1,22 X 2,44 X 15 mm (65 PL X PQTE)"/>
        <s v="POLIETILENO ALTA DENSIDAD DE 2.50 X 110 MICRAS FOIL ( 3.83 METROS LINEALES X KILO )"/>
        <s v="SILICONA SELLADOR ACRILICO PINTABLE COLOR BLANCA 300 ml"/>
        <s v="SOPORTE DE TINA STANDARD D25 H13 ( SB004819130100)"/>
        <s v="PERFIL ESQUINERO INTERIOR PVC 8MM BLANCO"/>
        <s v="PERFIL ESQUINERO ENCUENTRO PVC 8MM BLANCO"/>
        <s v="PUNTA PARA PUNTILLERA DE 30 MM CAJA DE 5.000 UNIDADES"/>
        <s v="ESQUINERO CORNIZA EXTERIOR PVC COLOR BLANCO"/>
        <s v="PLANCHA YESO CARTON RF 1.22x2.44x15 BORDE CUADRADO S/PAPEL ( 2,9768 M2 X PL=70 PLX PQTE) SKU 5001097"/>
        <s v="CONECTOR DENTADO SIMPSON DE 3&quot; X 6&quot; (AS36B / CAJA 232 UND)"/>
        <s v="Geotextil No Tejido 0,20x500Mts 40Grs Altec"/>
        <s v="TYPAR VOLCANWRAP ROLLO DE 2,743 x 45,72 MTS ( 125 M2 x ROLLO ) SKU 7000031"/>
        <s v="CLAVO HELICOIDAL PROFIX GALV 3.1X65MMX217X18R"/>
        <s v="PINO NACIONAL CEPILLADO 4/CARAS SECO DE 2&quot; X 2&quot; X 3.20 MT (41 X 41 mm) IMPREGNADO"/>
        <s v="CEERRADURA BAÑO 815 TUBULAR DAP DUCASSE US32D 45MM ACERO INOX 304"/>
        <s v="COLA FRIA ARTICOL MADERA BALDE 20 KG."/>
        <s v="TORNILLO CABEZA PLANA 7,7MM X 85MM (250 X CAJA) (SDW22338MB)"/>
        <s v="BURLETE DE TERMINACION PARA PLATO DUCHA Y BAÑERAS TIRA DE 3 MTS. PVC"/>
        <s v="BUTILLO ROLLO DE 3.2 x 19 x 15.25  MTS"/>
        <s v="GUARDAPOLVO PARA RETORNO PISO VINILICO PVC 50 x 3.000 COLOR BLANCO"/>
        <s v="TORNILLO ZINCADO 8 x 3&quot; CRS."/>
        <s v="PLANCHA YESO CARTON VOLCAN RF 1.22 x 3.40 x 15MM WHITE BORDE CUADRADO (40PLXPQ) SKU 5002142"/>
        <s v="FIBROCEMENTO LISO 1.2 x 2.40 x 22 MM (VOLCAN)"/>
        <s v="PINO NACIONAL GRADO C-16/C-24 IMPREGNADO DE 2&quot; X 6&quot; X 4,00 m (VIVIENDAS SOCIALES)"/>
        <s v="PINO SYP GRADO 2 PRIME IMPREGNADO DE  3&quot; x 8&quot; x 10' (63x184 mm)"/>
        <s v="CLAVO HELICOIDAL 31/4 x 80 N-80 (CAJA 4.500 UNIDADES)"/>
        <s v="ESQUINERO GUARDAPOLVO EXTERIOR PVC COLOR BLANCO"/>
        <s v="PLACA OSB STANDARD DE 1.22 x 2.44 x 11.1 MM ( 72 X PAQUETE )"/>
        <s v="ADHESIVO GEXAFLEX 60 ENVASE GALON ( 3.75 LTS)"/>
        <s v="LLAVE DE BOLA JARDIN/LAVAD 1/2&quot; MANGO ROJO"/>
        <s v="PINO NACIONAL SECO  CEPILLADO DE 1 x 4 x 3.20 MTS (264 PZA X PQTE) IMPREGNADO"/>
        <s v="GOLILLA PVC BLANCA PARA TECHO 27 MM C/TAPA"/>
        <s v="LLAVE DE BOLA JARDIN/LAVAD 1/2&quot; MANGO AZUL"/>
        <s v="TORNILLO PARA CONECTORES 5MM X 50MM (CAJA 250 UN) (CODIGO SIMPSON: CSA5.0X50)"/>
        <s v="ESQUINERO CORNIZA INTERIOR PVC COLOR BLANCO"/>
        <s v="PLACA FIBROCEMENTO SIMPLISIMA CENIA BEIGE 2400 MM x 1200 MM x 6 MM"/>
        <s v="GRAPA 14X35 T-50 (10.000 X CAJA)"/>
        <s v="ESCUADRA REFORZADA 105 X 150 X 90 E:3MM (COD: ABR105)"/>
        <s v="TORNILLO BASTON MURO TRA. 8 X 13/4"/>
        <s v="HOLDOWN ALTA CARGA HDQ8 CON TORNILLOS SDS 3&quot;-DHQ8"/>
        <s v="PLACA LP OSB STANDAR 1.22 x2.44 x 9.5 MM APA PT-OECA095  (84 PL.xPAQ)"/>
        <s v="TERCIADO FENOLICO CD DE 1,22 X 2,44 X 15 mm (65 PL X PQTE)"/>
        <s v="AISLAN  GLASS 90 MM 0.375x12 MTS . DENSIDAD 11 KG/M3 (13.5 M2 X BOLSA) SKU 4000147"/>
        <s v="CONECTOR DENTADO SIMPSON DE  6&quot; X 8&quot;  (AS68B / 88 UND POR CAJA)"/>
        <s v="ESMALTE AL AGUA RAL 8011"/>
        <s v="TORNILLOS SDS PARA CONECTORES ¼ X 4 1/2&quot; - VASTAGO LARGO (100 UN X CAJA) (SDS25412MB)"/>
        <s v="FORRO FRENTE E:05mm L:3140mm ALUZINC"/>
        <s v="FORRO LATERAL E:05mm L:3140mm ALUZINC"/>
        <s v="PLACA SMART SIDE R-4 SPC-M111 DE 1.220X2.440X11.1 MM (72 PL.POR PALLET )"/>
        <s v="VOLCOGLASS X RH 1,20 x 2,40 x 15MM BORDE"/>
        <s v="TORNILLO SIMPSON ESTRUCTURAL SDWS22600DB DE 6&quot; (500 TORN.XPQTE.)"/>
        <s v="CINTA POLIESTER DE 2&quot; COLOR VERDE (ROLLO= 100 mt=15 kg)"/>
        <s v="PINO NACIONAL GRADO C-16/C-24 IMPREGNADO DE 2&quot; X 6&quot; X 3,20 m (41x138mm)"/>
        <s v="IMPRIMANTE 4G"/>
        <s v="ESMALTE AL AGUA RAL 8001"/>
        <s v="SOPORTE BARRA CORTINA ECONOMICO BLANCO COD:1511110022050"/>
        <s v="HOLDOWN SUJECIÓN DE SERVICIO PESADO, 14&quot; ALTO INCLUYE 30 TORNILLOS SDS25212 -HHDQ14"/>
        <s v="PLANCHA YESO CARTON VOLCAN RF 122 x 2.44 x 15 LINEN GREY BORDE CUADRADO 70 PLXPALLET SKU 5002205"/>
        <s v="PISO VINILICO SAFETRED UNIVERSAL 2M VENUS (2 x 20 M)"/>
        <s v="MEMBRANA PVC NEGRA DE 0.8 MM ESPESOR TERMOFUSIONADA (4,1 ANCHO X 13 MT LARGO) MOD TIPO QB"/>
        <s v="MANILLA JUEGO 2816-C 19MM REVERSIBLE SIN BOC."/>
        <s v="TORNILLO PARA FIBROCEMENTO PUNTA ESPEDA DE 10 x 13/4&quot;  COD: K20TFCW (CAJA 1.000 UND )"/>
        <s v="V05-VENTANA LIVING-COMEDOR CORREDERA BALCONERA (2050 mm X 1600 mm)"/>
        <s v="EXTRACTOR VENTILACION PASIVA JONAS 4 VERSION CUADRADA F C/CELOSIA #150 BLANCO 100MM (COD: 250729)"/>
        <s v="CAVE POLFLEX IMPERMEABILIZANTE , COPD: LCPIMM10020601 BALDE 20 KG"/>
        <s v="AISLAN GLASS 140 MM R100/349 0.375x7.20 MTS DENSIDAD 13 KG/M3 (8.1 M2) COD:4000724"/>
        <s v="ESPEJO RECTO AL. BLANCO DE 50x70 CMS"/>
        <s v="PORTA ROLLO BENTON CROMO (21BE0000100)"/>
        <s v="CUADRADILLO EXPANSION 8X8X70MM"/>
        <s v="PILASTRA MDF FOLIO COLOR BLANCO DE 12 x 57 x 2,440  mm"/>
        <s v="V01-VENTANA DORMITORIOS 2 PAÑOS.INFERIOR FIJO Y SUPERIOR PROYECTANTE (2050mm X 700 mm)"/>
        <s v="TINA DE ACERO ESMALTADA BLANCA ANTIDESLIZANTE 130x70"/>
        <s v="PERCHA SIMPLE YORK 21PL0000104"/>
        <s v="ARGOLLA TOALLA BENTON CROMO (21BE0000101)"/>
        <s v="PLANCHA YESO CARTON RH DE 1.20 x 2.40 x 12.5 MM BORDE REBAJADO (70PLXPQT)"/>
        <s v="MANILLON C SPAGNA 19X200X300 MM (SKU: 041420)"/>
        <s v="CELOSÍA ALUMINIO BLANCO 805X2446 QUIEBRAVISTA GRANDE Y ANGULO PERIMETRAL"/>
        <s v="V03- VENTANA BAÑO PROYECTANTE (550X550 MM)"/>
        <s v="CILINDRO 03 LLAVE/LLAVE 70MM (35X35) AI"/>
        <s v="BOCALLAVE B1 800 ACCESO SATINADO (PAR)"/>
        <s v="CUBREJUNTA MDF WHITE  DE 5.5 x 40 x 3.600 MM  (VOLCAN) SKU: 1500015"/>
        <s v="CERRADURA DE EMB 85000 MULTIPLE C/REC"/>
        <s v="SIFON PARA LAVAPLATO DE 1 1/2&quot; VINILIT SALIDA RECTA DE 50"/>
        <s v="KIT DESAGÜE Y SIFÓN C/REBALSE PARA TINAS (SC1015690001BS)"/>
        <s v="BARANDA METALICA  3140X1050 MM- SOLUCION BALCON"/>
        <s v="BARRA CORTINA BAÑO ALUMINIO/PVC  BLANCO L: 1.5 MTS. COD:2014100010050"/>
        <s v="&quot;DESAGUE LAVAMANOS UNIVERSAL PP 1 1/4&quot;&quot; CON REJILLA Y TAPON (20ST3058100)&quot;"/>
        <s v="LAVAMANOS DS THEOS (60TH2001000)"/>
        <s v="NEW PRIMA MEZCLADOR PARA LAVAPLATOS CUELLO CISNE APERTURA EN FRIO 8LPM, ESTIU (TS2024022)"/>
        <s v="PASTA RETAPE NEUTRA WET-PROOF"/>
        <s v="PEDESTAL DS THEOS (60TH2002000)"/>
        <s v="UÑETAS INSTLACION LAVAMANOS MURAL C/TORNILLO Y TARUGO (21PB6002032)"/>
        <s v="NEW PRIMA MEZCLADOR PARA LAVABO APERTURA EN FRIO 8LPM ESTIU (TS2024019)"/>
        <s v="TAZA WC AURA HORIZONTAL CON FIJACIONES Y SELLO"/>
        <s v="ESTANQUE WC AURA CON MECANISMO"/>
        <s v="LLAVE ANGULAR 1/2X1/2 Y FLEXIBLE TECHNOFLEX 1/2X15/16 DE 35CM"/>
        <s v="NEW PRIMA MEZCLADOR EXTERIOR TINA/DUCHA INCL. DUCHA SIMPLE, SOPORTE Y FLEXIBLE 1.5M 8LPM, ESTIU (TS2024020)"/>
        <s v="LAVARROPA PLATICO DS THEOS 15L (19ST8073500)"/>
        <s v="&quot;SIFON PLASTICO UNIVERSAL 1 1/4&quot;&quot; Y 1 1/2&quot;&quot; (19ST8073500)&quot;"/>
        <s v="PINO NACIONAL GRADO C-16/C-24 IMPREGNADO DE 2&quot; x 4&quot; x x 3,20 m (41x90mm)"/>
        <s v="MUEBLE BASE LAVAPLATOS 80X50X86,5 CM EN MELAMINA BLANCA 15 MM"/>
        <s v="NUEVO ASIENTO Y TAPA WC AURA P.P. CIERRE ESTÁNDAR"/>
        <s v="AISLAN  GLASS 50 MM 0.375x12 MTS . DENSIDAD 14 KG/M3 (13.5 M2 X BOLSA) SKU 4000147"/>
        <s v="CELOSIA ALUMINIO MATE 25 x 25 CMS"/>
        <s v="ADHESIVO VINILICO GEXAFLEX TINETA 20 KG"/>
        <s v="ESQUINERO PILASTRA PVC COLOR BLANCO"/>
        <s v="GUARDAPOLVO MDF FOLIO COLOR BLANCO DE 12 x 57 x 3.660"/>
        <s v="SELLO INSTALACION WC AURA HORIZONTAL"/>
        <s v="TERMINACION TOP COAT 4G"/>
        <s v="GRAPA 145X35 T-40 (10.000 X CAJA)"/>
        <s v="AISLAN ROCA 90 MM D: 32 KG/M3 DE 0.375x1.200 MM (5.4 M2) SKU 3000481"/>
        <s v="EXTRACTOR DVP4 12W 4 C/SENDOR DE HUMEDAD – HST 220VOLT"/>
        <s v="FORRO LATERAL E:05mm L:1000mm ALUZINC"/>
        <s v="TORNILLO PARA VOLCANITA CRS 6 x2 1/4 NEGRO DRYWALL"/>
        <s v="CUBREJUNTA MDF DE  5.5 x 40 x 2.440 MM.LINEN GREY (VOLCAN SKU 213041)"/>
        <s v="CORNIZA MDF FOLIO COLOR BLANCO MC-8 DE LARGO 3.660"/>
        <s v="TOPE DE PUERTA IMPORTADO MODELO 26D"/>
        <s v="KIT PRECOLGADO PTA PREPINTADA 750X2040+M.P.FINGER 38X120 C/CELOSÍA PVC-DERECHA"/>
        <s v="KIT PREC.PTA.CARA ACERO GALV.LISA 1/2 C.BLANCA 45X850X2050 V.TERMOPANEL,M.P.FINGER 38X120-DERECHA (LOGIA)"/>
        <s v="TORNILLO DOBLE ROSCA 8MM X 330 MM (50 UNID X CAJA) SWD"/>
        <s v="CALEFON 10 LITROS GAS LICUADO TIRO FORZADO"/>
        <s v="KIT DUCTO 60/100MM TIF CAM ABIER-5961599 (5961599)"/>
        <s v="CERRADURA ACCESO 815 TUBULAR CILINDRO 3 LLAVES DAP DUCASSE US32D 45MM ACERO INOX 304"/>
        <s v="NARIZ GRADA ALUMINIO 5367 DE 53 x 28 x 924 MM (casas Chacra)"/>
        <s v="LAVAPLATOS DE SOBREPONER 80X50 CM PARA MONOMANDO C/SECADOR DERECHO"/>
        <s v="Varilla de anclaje ASTM F1554 Gr36 1/2&quot; 0,7 m (PB3)"/>
        <s v="PINO NACIONAL ESTRUCTURAL CEPILLADO 4/CARAS  IMPREGNADO DE  2 X 8 X 4.00 (41 x 185 MM ) (60XPAQUETE)"/>
        <s v="ESQUINERO GUARDAPOLVO INTERIOR PVC COLOR BLANCO"/>
        <s v="RECUBRIMIENTO INTERMEDIO TEXTURADA 4G"/>
        <s v="ESPUMA POLIURETANO EXPANSIVA 750 ml"/>
        <s v="CLAVO R20 34X100 BK BEA (NAILS - 1.500 UND X CAJA N°BEA 10400470)"/>
        <s v="CONECTOR DENTADO SANDE DE 4&quot; X 8&quot; (AS48B)"/>
        <s v="KIT PRECOLGADO PTA.CARA ACERO GALV.6 PANELES BLANCA 45X1000X2050+M.P.FINGER 38X120-DERECHA (ACCESO)"/>
        <s v="SIFON LAVAMANOS PP 1 1/4'' CON SALIDA RECTA (19ST3082500)"/>
        <s v="TIRAFONDO HEXAGONO GALVANIZADO 1/2 x 3 1/2&quot;"/>
        <s v="MONOFILAMENTO POLYFLOR GRIS COD:3700 50MT"/>
        <s v="VOLCAN WRAP BARRERA DE VAPOR (PAPEL KRAFT LAM C/ POLIETILENO) 1,2X0,5M E: 0,123 MM (6KG 60M2 X RLL)"/>
        <s v="PINTURA EPOXICA POLIPOX 675 GRIS COD:6757040T33"/>
        <s v="FORRO INICIO F-1 GRIS CENIZA RAL-7040 D:110  L:3.000 (V.SOCIALES)"/>
        <s v="LLAVE DE PASO CAMPANA 1/2 LC17 6001 FAS"/>
        <s v="MANGUITO RECTO 110MM MOD. TUBE WASSER"/>
        <s v="CINTA SELLADORA FLASHING TAPE 1&quot; X 75 ft (SKU: 7000751905-4)"/>
        <s v="POLIESTIRENO EXPANDIDO 1220 X 2440 X 30 MM D:20 Kg/m3"/>
        <s v="COMPRIBAND 50X10mm L:1m"/>
        <s v="NICHO PARA 2 CILINDROS DE GAS DE 15 KGS"/>
        <s v="CLAVO BDC 22X50 BK RING (NAIL - 10.500 UND X CAJA)"/>
        <s v="TIRAFONDO HEXAGONO GALVANIZADO DE 1/2 X 4 1/2'"/>
        <s v="VENTANAS CAMBIO DE PERFILES Y MANILLAS "/>
        <s v="GARGOLA"/>
        <s v="CANALETA BALCON"/>
        <s v="Varilla de anclaje ASTM F1554 Gr36 1&quot; 0,7 m (PB1)"/>
        <s v="Varilla de anclaje ASTM F1554 Gr36 3/4&quot; 0,7 m (PB2)"/>
        <s v="Hilo continuo de 1/2&quot;x8&quot; ( VARILLA DE ANCLAJE"/>
        <s v="Holdown Simpson DTT2Z (PB3)"/>
        <s v="Placa PB4 L 400x150x150 e=5mm"/>
        <s v="Tirafondos 12&quot;x3&quot;"/>
        <s v="CHOLGUAN LISO PLANCHA DE 1.520 x 2.440 x 2.4 MM" u="1"/>
        <s v="GARGOLA ESPECIAL LATA LARGO 350MM CON REMACHES" u="1"/>
        <s v="CLAVO HELICOIDAL EN ROLLO  2.5 x 50 MM ( CAJA DE 9.000 UNIDADES )." u="1"/>
        <s v="CELOSIA ALUMINIO MATE 40X40 CMS" u="1"/>
        <s v="CELOSIA ALUMINIO MATE 20 x 20 CMS" u="1"/>
        <s v="CINTA CONSTRUCCION VOLCANWRAP (47,8 MM X 50,29 M) (24 X CAJA)" u="1"/>
        <s v="GOMA ADAPTADORA PARA SIFON 40 x 32mm MUEBLE SUNSET" u="1"/>
        <s v="KIT PRECOLGADO PTA PREPINTADA 750X2040+M.P.FINGER 38X120 C/CELOSÍA PVC-IZQUIERDA" u="1"/>
        <s v="GEXACO PLASTO CEM SACO 20 KILO - RETAPE RAPIDO" u="1"/>
        <s v="GEXACO IMPRIMADOR UNIVERSAL BALDE 10 KG" u="1"/>
        <s v="SILICONA ALMENDRA NEUTRA COLOR ALMENDRA 300ML" u="1"/>
        <s v="SELLO POLIURETANO SOUDAFLEX 40FC TUBO BLANCO" u="1"/>
        <s v="SIFON BOTELLA 1 ¼ SALIDA 30CM TUBE WASSER (COD: HJ2010001)" u="1"/>
        <s v="KIT PRECOLGADO PTA.CARA ACERO GALV.6 PANELES BLANCA 45X1000X2050+M.P.FINGER 38X120-IZQUIERDA" u="1"/>
        <s v="KIT PREC.PTA.CARA ACERO GALV.LISA 1/2 C.BLANCA 45X850X2050 V.TERMOPANEL,M.P.FINGER 38X120-IZQUIERDA" u="1"/>
        <s v="LAVAPLATOS DE SOBREPONER 80X50 CM PARA MONOMANDO C/SECADOR IZQUIERDO" u="1"/>
        <s v="MONOFILAMENTO PISO VINILICO SAFETRED UNIVERSAL 2M VENUS ( ROLLO 50 MTS)" u="1"/>
      </sharedItems>
    </cacheField>
    <cacheField name="DESC CORTA" numFmtId="0">
      <sharedItems containsMixedTypes="1" containsNumber="1" containsInteger="1" minValue="0" maxValue="0" count="162">
        <n v="0"/>
        <s v="CLAVO TORNILLO"/>
        <s v="TARKETT"/>
        <s v="DESAGUE 1  1/2"/>
        <s v="LAVAMANOS"/>
        <s v="MONOMANDO LAVAPLATOS"/>
        <s v="TINA"/>
        <s v="DUCO"/>
        <s v="TRAPOS DE ASEO"/>
        <s v="LAVADERO"/>
        <s v="SIFON LAVADERO"/>
        <s v="ANGULO BLANCO"/>
        <s v="CATALIZADOR BALCON"/>
        <s v="DILUYENTE"/>
        <s v="OLEO SEMIBRILLO"/>
        <s v="VOLCANITA RF"/>
        <s v="PINO 1X4X320"/>
        <s v="BROCAS VISLIDER"/>
        <s v="PINO 2X6X400"/>
        <s v="PINO 2X12X320"/>
        <s v="PINO 2X10X12"/>
        <s v="CERRADURA ACCESO 2 MANILLAS"/>
        <s v="CERRADURA ACCESO 1 MANILLA"/>
        <s v="CERRADURA BAÑO"/>
        <s v="ESTANQUE"/>
        <s v="WC"/>
        <s v="PUERTA INTERIOR"/>
        <s v="ASIENTO WC"/>
        <s v="LLAVE ANGULAR"/>
        <s v="MONOMANDO LAVAMANOS"/>
        <s v="MONOMANDO TINA"/>
        <s v="PEDESTAL LAVAMANOS"/>
        <s v="ESQUINERO GUARDAPOLVO"/>
        <s v="PUERTA INTERIOR IZQ"/>
        <s v="CERRADURA LLAVE"/>
        <s v="PUERTA ACCESO DERECHA"/>
        <s v="PUERTA LOGIA DERECHA"/>
        <s v="MARCO PUERTA"/>
        <s v="POLIETILENO"/>
        <s v="PINO 2X8X4"/>
        <s v="PUNTA PUNTILLERA"/>
        <s v="ESMALTE AL AGUA"/>
        <s v="ESQUINERO INTERIOR"/>
        <s v="ESQUINERO EXTERIOR"/>
        <s v="SELLO FUNGICIDA"/>
        <s v="RODILLO CHIPORRO"/>
        <s v="BROCHA 5/8 X4"/>
        <s v="BROCHA 5/8 X3"/>
        <s v="MOLDURA PVC INTERIOR"/>
        <s v="MONOFILAMENTO"/>
        <s v="EXTRACTOR"/>
        <s v="MOLDURA ALUMINIO NATURAL"/>
        <s v="VOLCANWRAP BARRERA DE"/>
        <s v="BURLETE DE GOMA"/>
        <s v="CONECTOR DENTADO 2X"/>
        <s v="SET BALCON"/>
        <s v="HUAIPE BLANCO BOLSA"/>
        <s v="CINTA EMBALAJE TRANSPARENTE"/>
        <s v="HOLDOWN TENSIONADOR"/>
        <s v="TORNILLO CRS 6X1 5/8"/>
        <s v="SELLO"/>
        <s v="SOPORTE TINA"/>
        <s v="PERFIL ESQUINERO INTERIOR"/>
        <s v="PERFIL ESQUINERO ENCUENTRO"/>
        <s v="ESQUINERO CORNIZA EXTERIOR"/>
        <s v="CONECTOR DENTADO"/>
        <s v="CLAVO HELICOIDAL PROFIX"/>
        <s v="CEERRADURA BAÑO 815 TUBULAR"/>
        <s v="COLA FRIA"/>
        <s v="BURLETE PVC"/>
        <s v="VOLCANITA EMPAPELADA CIELO"/>
        <s v="FIBROCEMENTO BALCON"/>
        <s v="PINO 3X8X320"/>
        <s v="CLAVO HELICOIDAL"/>
        <s v="ESQUINERO GUARDAPOLVO EXTERIOR"/>
        <s v="OSB 11MM"/>
        <s v="LLAVE DE BOLA AC"/>
        <s v="LLAVE DE BOLA AF"/>
        <s v="ESQUINERO CORNIZA INTERIOR"/>
        <s v="SIMPLISIMA"/>
        <s v="GRAPA T50"/>
        <s v="PB2"/>
        <s v="OSB 9.5"/>
        <s v="TERCIADO FENOLICO"/>
        <s v="AISLAN GLASS 90MM"/>
        <s v="E"/>
        <s v="SMARTPANEL"/>
        <s v="VOLCOGLASS"/>
        <s v="TORNILLO SIMPSON 6&quot;"/>
        <s v="PINO 2X6X320"/>
        <s v="PB1"/>
        <s v="VOCANITA EMPAPELADA MURO"/>
        <s v="PISO TARKET"/>
        <s v="MEMBRANA PVC"/>
        <s v="MANILLA JUEGO"/>
        <s v="VENTANA V.05"/>
        <s v="VENTILACIÓN PASIVA"/>
        <s v="AISLAN GLASS 140MM"/>
        <s v="PORTA ROLLO BENTON"/>
        <s v="CUADRADILLO EXPANSION 8X"/>
        <s v="VENTANA V-01"/>
        <s v="TINA DE ACERO"/>
        <s v="PERCHA SIMPLE YORK"/>
        <s v="ARGOLLA TOALLA BENTON"/>
        <s v="VOLCANITA RH"/>
        <s v="CILINDRO 03 LLAVE/LLAVE"/>
        <s v="BOCALLAVE B1 800 ACCESO"/>
        <s v="CERRADURA DE EMB"/>
        <s v="SIFON LAVAPLATO"/>
        <s v="KIT DESAGUE TINA"/>
        <s v="BARANDA BALCON"/>
        <s v="LAVAMANOS DS THEOS"/>
        <s v="NEW TS2024022)"/>
        <s v="PASTA RETAPE"/>
        <s v="PEDESTAL DS THEOS"/>
        <s v="UÑETAS INSTLACION LAVAMANOS"/>
        <s v="NEW TS2024019)"/>
        <s v="TAZA WC AURA"/>
        <s v="ESTANQUE WC AURA"/>
        <s v="LLAVE ANGULAR 1/2X"/>
        <s v="NEW DUCHA SIMPLE, SOPORTE Y FLEXIBLE 1.5M 8LPM, ESTIU (TS2024020)"/>
        <s v="LAVARROPA PLATICO DS"/>
        <s v="PINO 2X4X320"/>
        <s v="MUEBLE LAVAPLATOS"/>
        <s v="NUEVA"/>
        <s v="AISLAN DENSIDAD 14 KG/M3 (13.5 M2 X BOLSA) SKU 4000147"/>
        <s v="CELOSIA ALUMINIO 25X25"/>
        <s v="ESQUINERO PILASTRA PVC"/>
        <s v="GUARDAPOLVO BLANCO"/>
        <s v="SELLO INSTALACION WC"/>
        <s v="TERMINACION TOP COAT"/>
        <s v="GRAPA T40"/>
        <s v="AISLAN ROCA 90MM"/>
        <s v="EXTRT"/>
        <s v="TORNILLO CRS 6X2 1/4"/>
        <s v="CUBREJUNTA"/>
        <s v="CORNIZA BLANCA"/>
        <s v="TOPE DE PUERTA"/>
        <s v="KIT PREC"/>
        <s v="CERRADURA INOX 304"/>
        <s v="NARIZ GRADA ALUMINIO"/>
        <s v="LAVAPLATOS"/>
        <s v="Varilla de anclaje"/>
        <s v="ESQUINERO GUARDAPOLVO INTERIOR"/>
        <s v="RECUBRIMIENTO INTERMEDIO TEXTURADA"/>
        <s v="CLAVO R20"/>
        <s v="KIT PRECOLGADO"/>
        <s v="SIFOL"/>
        <s v="MONOFILAMENTO TARKETT"/>
        <s v="PINTURA BALCON"/>
        <s v="FORRO DE INICIO"/>
        <s v="ESPUMA EXPANSIVA"/>
        <s v="mm"/>
        <s v="NICHO PARA 2 CILINDROS"/>
        <s v="CLAVO BDC"/>
        <s v="TIRAN"/>
        <s v="VENTANAS CAMBIO DE"/>
        <s v="CANALETA BALCO"/>
        <s v="Hilo continuo de"/>
        <s v="DTT"/>
        <s v="Placa PB4 L"/>
        <s v="x3"/>
      </sharedItems>
    </cacheField>
    <cacheField name="GRUPO" numFmtId="0">
      <sharedItems containsMixedTypes="1" containsNumber="1" containsInteger="1" minValue="0" maxValue="0"/>
    </cacheField>
    <cacheField name="SUBGRUPO" numFmtId="0">
      <sharedItems containsMixedTypes="1" containsNumber="1" containsInteger="1" minValue="0" maxValue="0"/>
    </cacheField>
    <cacheField name="PPTO" numFmtId="167">
      <sharedItems containsString="0" containsBlank="1" containsNumber="1" minValue="0" maxValue="350139"/>
    </cacheField>
    <cacheField name="UNIDAD DE MEDIDAD" numFmtId="165">
      <sharedItems/>
    </cacheField>
    <cacheField name="PPTO_ACTUALIZADO" numFmtId="167">
      <sharedItems containsMixedTypes="1" containsNumber="1" minValue="1" maxValue="350139"/>
    </cacheField>
    <cacheField name="Columna1" numFmtId="0">
      <sharedItems/>
    </cacheField>
    <cacheField name="DESCRIPCION CORTA" numFmtId="0">
      <sharedItems containsMixedTypes="1" containsNumber="1" containsInteger="1" minValue="0" maxValue="0" count="32">
        <s v=""/>
        <s v="PINO 2X8X4"/>
        <s v="PINO 2X4X2,44"/>
        <s v="VOLCANITA EMPAPELADA CIELO"/>
        <s v="PINO 2X6X400"/>
        <s v="PINO 3X8X320"/>
        <s v="OSB 11MM"/>
        <s v="SIMPLISIMA"/>
        <s v="HOLDOWN PB2"/>
        <s v="OSB 9.5"/>
        <s v="TERCIADO FENOLICO"/>
        <s v="AISLAN GLASS 90MM"/>
        <s v="SMARTPANEL"/>
        <s v="VOLCOGLASS"/>
        <s v="TORNILLO SIMPSON 6&quot;"/>
        <s v="PINO 2X6X320"/>
        <s v="HOLDOWN PB1"/>
        <s v="VOCANITA EMPAPELADA MURO"/>
        <s v="PISO TARKET"/>
        <s v="MEMBRANA PVC"/>
        <s v="VENTANA V.05"/>
        <s v="AISLAN GLASS 140MM"/>
        <s v="VENTANA V-01"/>
        <s v="VENTANA BAÑO"/>
        <s v="PINO 2X4X320"/>
        <s v="AISLAN ROCA 90MM"/>
        <s v="CUBREJUNTA"/>
        <s v="PUERTA INTERIOR"/>
        <s v="CLAVO R20"/>
        <s v="PAPEL KRAFT"/>
        <s v="ESPUMA EXPANSIVA"/>
        <n v="0" u="1"/>
      </sharedItems>
    </cacheField>
    <cacheField name="PRODUCTO CRITICO" numFmtId="0">
      <sharedItems count="2">
        <s v="NO CRITICO"/>
        <s v="PRODUCTO CRITICO"/>
      </sharedItems>
    </cacheField>
    <cacheField name="CANT X MODULO" numFmtId="169">
      <sharedItems containsMixedTypes="1" containsNumber="1" minValue="8.9250000000000006E-3" maxValue="966"/>
    </cacheField>
    <cacheField name="PPTO X MODULO" numFmtId="167">
      <sharedItems containsMixedTypes="1" containsNumber="1" minValue="0" maxValue="6263731.8226003069"/>
    </cacheField>
    <cacheField name="PPTO X TORRE" numFmtId="167">
      <sharedItems containsMixedTypes="1" containsNumber="1" minValue="0" maxValue="200439418.32320982"/>
    </cacheField>
    <cacheField name="PPTO TOTAL" numFmtId="167">
      <sharedItems containsMixedTypes="1" containsNumber="1" minValue="0" maxValue="4409667203.1106157"/>
    </cacheField>
    <cacheField name="CANTIDAD TOTAL" numFmtId="168">
      <sharedItems containsMixedTypes="1" containsNumber="1" minValue="6.2653500000000006" maxValue="678132"/>
    </cacheField>
    <cacheField name="CANT. COMPRADA" numFmtId="168">
      <sharedItems containsSemiMixedTypes="0" containsString="0" containsNumber="1" containsInteger="1" minValue="0" maxValue="244658"/>
    </cacheField>
    <cacheField name="DEVOLUCIONES" numFmtId="168">
      <sharedItems containsSemiMixedTypes="0" containsString="0" containsNumber="1" containsInteger="1" minValue="0" maxValue="600"/>
    </cacheField>
    <cacheField name="CANTIDAD RECIBIDA" numFmtId="168">
      <sharedItems containsSemiMixedTypes="0" containsString="0" containsNumber="1" containsInteger="1" minValue="0" maxValue="244658"/>
    </cacheField>
    <cacheField name="AVANCE TEORICO MODULO" numFmtId="168">
      <sharedItems containsMixedTypes="1" containsNumber="1" minValue="0" maxValue="10076.005148005148"/>
    </cacheField>
    <cacheField name="PRECIO DE COMPRA" numFmtId="168">
      <sharedItems containsSemiMixedTypes="0" containsString="0" containsNumber="1" containsInteger="1" minValue="0" maxValue="73473574"/>
    </cacheField>
    <cacheField name="PRECIO COMPRA UNITARIO" numFmtId="168">
      <sharedItems containsMixedTypes="1" containsNumber="1" minValue="0" maxValue="381877.78048780491"/>
    </cacheField>
    <cacheField name="PROYECCION COMPRA" numFmtId="168">
      <sharedItems containsMixedTypes="1" containsNumber="1" minValue="-779213.55828953069" maxValue="3653303729.3989334"/>
    </cacheField>
    <cacheField name="%VARIACION" numFmtId="10">
      <sharedItems containsMixedTypes="1" containsNumber="1" minValue="-14.454441725255684" maxValue="0.45965664642525339"/>
    </cacheField>
    <cacheField name="PPTO FALTANTE" numFmtId="168">
      <sharedItems containsMixedTypes="1" containsNumber="1" minValue="-227564" maxValue="545082"/>
    </cacheField>
    <cacheField name="%AVANCE PEDIDOS" numFmtId="10">
      <sharedItems containsMixedTypes="1" containsNumber="1" minValue="-5.1342281879194642" maxValue="17.541806020066836"/>
    </cacheField>
    <cacheField name="SALDO DE COMPRA" numFmtId="168">
      <sharedItems containsMixedTypes="1" containsNumber="1" minValue="-741273000.04512119" maxValue="37787457.890170224"/>
    </cacheField>
    <cacheField name="PRECIO OFF" numFmtId="168">
      <sharedItems containsMixedTypes="1" containsNumber="1" minValue="0" maxValue="350139"/>
    </cacheField>
    <cacheField name="DIF PRECIO" numFmtId="168">
      <sharedItems containsMixedTypes="1" containsNumber="1" minValue="-4.799999987881165E-5" maxValue="29127.5"/>
    </cacheField>
    <cacheField name="%PROYECTADO" numFmtId="0" formula="'PROYECCION COMPRA'/'PPTO TOTAL'" databaseField="0"/>
    <cacheField name="% AVANCE TOTAL" numFmtId="0" formula="'CANT. COMPRADA'/'CANTIDAD TOTAL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n v="47377484"/>
    <n v="47377484"/>
    <n v="204967292.05585891"/>
    <n v="204967292.05585891"/>
    <n v="7.2013199574403408E-3"/>
    <n v="7.2013199574403408E-3"/>
    <n v="0"/>
    <n v="0"/>
    <n v="0"/>
    <m/>
    <n v="-7.2013199574403408E-3"/>
  </r>
  <r>
    <x v="1"/>
    <n v="87308211"/>
    <n v="134685695"/>
    <n v="169945010.7783491"/>
    <n v="374912302.83420801"/>
    <n v="1.3270741906064752E-2"/>
    <n v="2.0472061863505094E-2"/>
    <n v="0.02"/>
    <n v="0.02"/>
    <n v="1.6286644951140062E-2"/>
    <n v="1.6286644951140062E-2"/>
    <n v="6.7292580939352486E-3"/>
  </r>
  <r>
    <x v="2"/>
    <n v="145372712"/>
    <n v="280058407"/>
    <n v="194823331"/>
    <n v="569735633.83420801"/>
    <n v="2.2096475452196382E-2"/>
    <n v="4.2568537315701475E-2"/>
    <n v="2.3E-2"/>
    <n v="4.2999999999999997E-2"/>
    <n v="4.7318611987381701E-2"/>
    <n v="3.1031967036241639E-2"/>
    <n v="9.0352454780361774E-4"/>
  </r>
  <r>
    <x v="3"/>
    <n v="228855918"/>
    <n v="508914325"/>
    <n v="496626584.60417128"/>
    <n v="1066362218.4383793"/>
    <n v="3.4785821249430006E-2"/>
    <n v="7.7354358565131481E-2"/>
    <n v="3.125E-2"/>
    <n v="7.4249999999999997E-2"/>
    <n v="8.239393939393938E-2"/>
    <n v="5.1361972357697738E-2"/>
    <n v="-3.5358212494300059E-3"/>
  </r>
  <r>
    <x v="4"/>
    <n v="295274756"/>
    <n v="804189081"/>
    <n v="938410822.2954545"/>
    <n v="2004773040.7338338"/>
    <n v="4.4881403860769116E-2"/>
    <n v="0.12223576242590059"/>
    <n v="6.8181818181818177E-2"/>
    <n v="0.14243181818181816"/>
    <n v="0.11089855072463765"/>
    <n v="5.9536578366939916E-2"/>
    <n v="2.3300414321049061E-2"/>
  </r>
  <r>
    <x v="5"/>
    <n v="91836014"/>
    <n v="896025095"/>
    <n v="1173013527.8693182"/>
    <n v="3177786568.6031523"/>
    <n v="1.395896245630035E-2"/>
    <n v="0.13619472488220094"/>
    <n v="8.5227272727272721E-2"/>
    <n v="0.22765909090909087"/>
    <n v="0.11553977272727275"/>
    <n v="5.6003194360332839E-2"/>
    <n v="7.1268310270972371E-2"/>
  </r>
  <r>
    <x v="6"/>
    <m/>
    <n v="896025095"/>
    <n v="1173013527.8693182"/>
    <n v="4350800096.4724703"/>
    <m/>
    <n v="0.13619472488220094"/>
    <n v="8.5227272727272721E-2"/>
    <n v="0.31288636363636357"/>
    <n v="0.11553977272727275"/>
    <m/>
    <n v="8.5227272727272721E-2"/>
  </r>
  <r>
    <x v="7"/>
    <m/>
    <n v="896025095"/>
    <n v="1173013527.8693182"/>
    <n v="5523813624.3417883"/>
    <m/>
    <n v="0.13619472488220094"/>
    <n v="8.5227272727272721E-2"/>
    <n v="0.39811363636363628"/>
    <n v="0.11553977272727275"/>
    <m/>
    <n v="8.5227272727272721E-2"/>
  </r>
  <r>
    <x v="8"/>
    <m/>
    <n v="896025095"/>
    <n v="1173013527.8693182"/>
    <n v="6696827152.2111063"/>
    <m/>
    <n v="0.13619472488220094"/>
    <n v="8.5227272727272721E-2"/>
    <n v="0.48334090909090899"/>
    <n v="0.11553977272727275"/>
    <m/>
    <n v="8.5227272727272721E-2"/>
  </r>
  <r>
    <x v="9"/>
    <m/>
    <n v="896025095"/>
    <n v="1173013527.8693182"/>
    <n v="7869840680.0804243"/>
    <m/>
    <n v="0.13619472488220094"/>
    <n v="8.5227272727272721E-2"/>
    <n v="0.56856818181818169"/>
    <n v="0.11553977272727275"/>
    <m/>
    <n v="8.5227272727272721E-2"/>
  </r>
  <r>
    <x v="10"/>
    <m/>
    <n v="896025095"/>
    <n v="1173013527.8693182"/>
    <n v="9042854207.9497433"/>
    <m/>
    <n v="0.13619472488220094"/>
    <n v="8.5227272727272721E-2"/>
    <n v="0.6537954545454544"/>
    <n v="0.11553977272727275"/>
    <m/>
    <n v="8.5227272727272721E-2"/>
  </r>
  <r>
    <x v="11"/>
    <m/>
    <n v="896025095"/>
    <n v="1173013527.8693182"/>
    <n v="10215867735.819061"/>
    <m/>
    <n v="0.13619472488220094"/>
    <n v="8.5227272727272721E-2"/>
    <n v="0.73902272727272711"/>
    <n v="0.11553977272727275"/>
    <m/>
    <n v="8.5227272727272721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6">
  <r>
    <x v="0"/>
    <s v="030253X"/>
    <s v="PINO IMPREGNADO SECO CEPILLADO G2 3 x 8&quot; x 3,20 (65 x 138 )"/>
    <s v="PZA"/>
    <n v="388"/>
    <n v="6.3000000000000007"/>
    <n v="44"/>
    <x v="0"/>
    <n v="485"/>
    <n v="441"/>
    <n v="6.3000000000000007"/>
    <n v="69.999999999999986"/>
    <n v="6.9841269841269833"/>
    <n v="76.984126984126974"/>
    <n v="51.780297304106831"/>
    <n v="15451.816831683169"/>
    <n v="800099.66943315649"/>
    <n v="679879.94059405942"/>
  </r>
  <r>
    <x v="0"/>
    <n v="304101"/>
    <s v="PLACA LP OSB STANDAR 1.22 x2.44 x 9.5 MM APA PT-OECA095   (84 PL.xPAQ)"/>
    <s v="PL"/>
    <n v="1825"/>
    <n v="23.273250000000008"/>
    <n v="118"/>
    <x v="1"/>
    <n v="1922"/>
    <n v="1804"/>
    <n v="47.643749999999976"/>
    <n v="37.864357864357885"/>
    <n v="2.4767152039879323"/>
    <n v="40.341073068345814"/>
    <s v=""/>
    <n v="9652.5142678608627"/>
    <s v=""/>
    <n v="1138996.6836075818"/>
  </r>
  <r>
    <x v="0"/>
    <n v="302044"/>
    <s v="PINO IMPREGNADO SECO CEPILLADO G2 2 x 8&quot; x 4,00 (41 x 185 )"/>
    <s v="PZA"/>
    <n v="1754"/>
    <n v="1.2368067885117493"/>
    <n v="155"/>
    <x v="2"/>
    <n v="981"/>
    <n v="826"/>
    <n v="35.174999999999997"/>
    <n v="23.482587064676618"/>
    <n v="4.4065387348969445"/>
    <n v="27.889125799573563"/>
    <s v=""/>
    <n v="13784.651394422312"/>
    <s v=""/>
    <n v="2136620.9661354581"/>
  </r>
  <r>
    <x v="0"/>
    <n v="302010"/>
    <s v="PINO IMPREGNADO SECO CEPILLADO G2 2 x 6&quot; x 3,20 (41 x 138 )"/>
    <s v="PZA"/>
    <n v="1596"/>
    <n v="8.6625000000000014"/>
    <n v="452"/>
    <x v="3"/>
    <n v="1693"/>
    <n v="1241"/>
    <n v="34.912500000000023"/>
    <n v="35.546007876834921"/>
    <n v="12.946652345148577"/>
    <n v="48.492660221983499"/>
    <s v=""/>
    <n v="5566.8590808416393"/>
    <s v=""/>
    <n v="2516220.3045404209"/>
  </r>
  <r>
    <x v="0"/>
    <n v="302028"/>
    <s v="PINO IMPREGNADO SECO CEPILLADO G2 2 x 4&quot; x 3,20 (41 x 90 )"/>
    <s v="PZA"/>
    <n v="7561"/>
    <n v="31.237499999999997"/>
    <n v="324"/>
    <x v="4"/>
    <n v="7658"/>
    <n v="7334"/>
    <n v="172.72499999999994"/>
    <n v="42.460558691561744"/>
    <n v="1.8758141554494145"/>
    <n v="44.336372847011162"/>
    <s v=""/>
    <n v="4760.4046547265589"/>
    <s v=""/>
    <n v="1542371.108131405"/>
  </r>
  <r>
    <x v="0"/>
    <n v="304049"/>
    <s v="TERCIADO FENOLICO CD DE 1,22 X 2,44 X 15 mm (65 PL X PQTE)"/>
    <s v="PL"/>
    <n v="585"/>
    <n v="40.010249999999999"/>
    <n v="165"/>
    <x v="5"/>
    <n v="812"/>
    <n v="647"/>
    <n v="23.273250000000008"/>
    <n v="27.800156832414888"/>
    <n v="7.089684509039345"/>
    <n v="34.889841341454236"/>
    <s v=""/>
    <n v="15018.620734341253"/>
    <s v=""/>
    <n v="2478072.4211663068"/>
  </r>
  <r>
    <x v="0"/>
    <n v="304007"/>
    <s v="PLACA OSB STANDARD DE 1.22 x 2.44 x 11.1 MM ( 72 X PAQUETE )"/>
    <s v="PL"/>
    <n v="612"/>
    <n v="23.296874999999996"/>
    <n v="107"/>
    <x v="6"/>
    <n v="709"/>
    <n v="602"/>
    <n v="8.6625000000000014"/>
    <n v="69.494949494949481"/>
    <n v="12.352092352092351"/>
    <n v="81.847041847041837"/>
    <n v="54.551568040745536"/>
    <n v="11557.16697761194"/>
    <n v="630461.58073745517"/>
    <n v="1236616.8666044776"/>
  </r>
  <r>
    <x v="0"/>
    <n v="701096"/>
    <s v="PLANCHA YESO CARTON VOLCAN RF 122 x 2.44 x 15 LINEN GREY BORDE CUADRADO 70 PLXPALLET SKU 5002205"/>
    <s v="PL"/>
    <n v="910"/>
    <n v="0.7111632270168855"/>
    <n v="185"/>
    <x v="7"/>
    <n v="1007"/>
    <n v="822"/>
    <n v="31.237499999999997"/>
    <n v="26.314525810324131"/>
    <n v="5.9223689475790318"/>
    <n v="32.236894757903165"/>
    <s v=""/>
    <n v="16226.792738275341"/>
    <s v=""/>
    <n v="3001956.656580938"/>
  </r>
  <r>
    <x v="0"/>
    <n v="302046"/>
    <s v="PINO IMPREGNADO SECO CEPILLADO G2 2 x 6&quot; x 4,00 (41 x 138 )"/>
    <s v="PZA"/>
    <n v="2173"/>
    <n v="0.52500000000000002"/>
    <n v="131"/>
    <x v="8"/>
    <n v="2270"/>
    <n v="2139"/>
    <n v="34.65"/>
    <n v="61.731601731601735"/>
    <n v="3.7806637806637808"/>
    <n v="65.512265512265515"/>
    <n v="62.109314126630146"/>
    <n v="10292.490437458782"/>
    <n v="639259.52172546438"/>
    <n v="1348316.2473071006"/>
  </r>
  <r>
    <x v="0"/>
    <n v="701043"/>
    <s v="PLANCHA YESO CARTON VOLCAN RF 1.22 x 3.40 x 15MM WHITE BORDE CUADRADO (40PLXPQ) SKU 5002142"/>
    <s v="PL "/>
    <n v="396"/>
    <n v="0.52500000000000002"/>
    <n v="62"/>
    <x v="9"/>
    <n v="493"/>
    <n v="431"/>
    <n v="7.0875000000000012"/>
    <n v="60.811287477954131"/>
    <n v="8.7477954144620789"/>
    <n v="69.559082892416214"/>
    <n v="54.185667316766676"/>
    <n v="22493.996861924687"/>
    <n v="1218852.2305846447"/>
    <n v="1394627.8054393306"/>
  </r>
  <r>
    <x v="1"/>
    <s v="030253X"/>
    <s v="PINO IMPREGNADO SECO CEPILLADO G2 3 x 8&quot; x 3,20 (65 x 138 )"/>
    <s v="PZA"/>
    <n v="388"/>
    <n v="8.9250000000000006E-3"/>
    <n v="44"/>
    <x v="0"/>
    <n v="485"/>
    <n v="441"/>
    <n v="6.3000000000000007"/>
    <n v="69.999999999999986"/>
    <n v="6.9841269841269833"/>
    <n v="76.984126984126974"/>
    <n v="51.780297304106831"/>
    <n v="15451.816831683169"/>
    <n v="800099.66943315649"/>
    <n v="679879.94059405942"/>
  </r>
  <r>
    <x v="1"/>
    <n v="1901008"/>
    <s v="AISLAN  GLASS 90 MM 0.375x12 MTS . DENSIDAD 14 KG/M3 (13.5 M2 X BOLSA) SKU 4000147"/>
    <s v="M2"/>
    <n v="3494"/>
    <n v="3.1500000000000012"/>
    <n v="32"/>
    <x v="10"/>
    <n v="3591"/>
    <n v="3559"/>
    <n v="62.430325650000007"/>
    <n v="57.007551425450551"/>
    <n v="0.5125714092763185"/>
    <n v="57.52012283472687"/>
    <s v=""/>
    <n v="2059.785564685033"/>
    <s v=""/>
    <n v="65913.138069921057"/>
  </r>
  <r>
    <x v="1"/>
    <n v="304002"/>
    <s v="PLACA SMART SIDE R-4 SPC-M111 DE 1.220X2.440X11.1 MM (72 PL.POR PALLET )"/>
    <s v="PL"/>
    <n v="1247"/>
    <n v="0.52500000000000002"/>
    <n v="233"/>
    <x v="11"/>
    <n v="1344"/>
    <n v="1111"/>
    <n v="23.296874999999996"/>
    <n v="47.68879946344736"/>
    <n v="10.001341381623073"/>
    <n v="57.690140845070431"/>
    <s v=""/>
    <n v="21579.067512460355"/>
    <s v=""/>
    <n v="5027922.7304032631"/>
  </r>
  <r>
    <x v="1"/>
    <n v="304007"/>
    <s v="PLACA OSB STANDARD DE 1.22 x 2.44 x 11.1 MM ( 72 X PAQUETE )"/>
    <s v="PL"/>
    <n v="684"/>
    <n v="4.7250000000000005"/>
    <n v="91"/>
    <x v="6"/>
    <n v="781"/>
    <n v="690"/>
    <n v="8.6625000000000014"/>
    <n v="79.653679653679646"/>
    <n v="10.505050505050503"/>
    <n v="90.158730158730137"/>
    <n v="53.59206578254198"/>
    <n v="11557.16697761194"/>
    <n v="619372.45292400091"/>
    <n v="1051702.1949626866"/>
  </r>
  <r>
    <x v="1"/>
    <n v="701043"/>
    <s v="PLANCHA YESO CARTON VOLCAN RF 1.22 x 3.40 x 15MM WHITE BORDE CUADRADO (40PLXPQ) SKU 5002142"/>
    <s v="PL "/>
    <n v="476"/>
    <n v="0.91874999999999996"/>
    <n v="58"/>
    <x v="9"/>
    <n v="573"/>
    <n v="515"/>
    <n v="7.0875000000000012"/>
    <n v="72.663139329805986"/>
    <n v="8.1834215167548479"/>
    <n v="80.846560846560834"/>
    <n v="52.593077834700409"/>
    <n v="22493.996861924687"/>
    <n v="1183028.5277727118"/>
    <n v="1304651.8179916318"/>
  </r>
  <r>
    <x v="1"/>
    <n v="302046"/>
    <s v="PINO IMPREGNADO SECO CEPILLADO G2 2 x 6&quot; x 4,00 (41 x 138 )"/>
    <s v="PZA"/>
    <n v="2509"/>
    <n v="0.52500000000000002"/>
    <n v="398"/>
    <x v="8"/>
    <n v="2606"/>
    <n v="2208"/>
    <n v="34.65"/>
    <n v="63.722943722943725"/>
    <n v="11.486291486291487"/>
    <n v="75.209235209235217"/>
    <n v="61.829459301320775"/>
    <n v="10292.490437458782"/>
    <n v="636379.11861209106"/>
    <n v="4096411.1941085951"/>
  </r>
  <r>
    <x v="2"/>
    <n v="304007"/>
    <s v="PLACA OSB STANDARD DE 1.22 x 2.44 x 11.1 MM ( 72 X PAQUETE )"/>
    <s v="PL"/>
    <n v="684"/>
    <n v="7.3500000000000005"/>
    <n v="127"/>
    <x v="6"/>
    <n v="781"/>
    <n v="654"/>
    <n v="8.6625000000000014"/>
    <n v="75.497835497835482"/>
    <n v="14.660894660894659"/>
    <n v="90.158730158730137"/>
    <n v="53.59206578254198"/>
    <n v="11557.16697761194"/>
    <n v="619372.45292400091"/>
    <n v="1467760.2061567164"/>
  </r>
  <r>
    <x v="2"/>
    <n v="701043"/>
    <s v="PLANCHA YESO CARTON VOLCAN RF 1.22 x 3.40 x 15MM WHITE BORDE CUADRADO (40PLXPQ) SKU 5002142"/>
    <s v="PL "/>
    <n v="556"/>
    <n v="0.52500000000000002"/>
    <n v="104"/>
    <x v="9"/>
    <n v="653"/>
    <n v="549"/>
    <n v="7.0875000000000012"/>
    <n v="77.460317460317441"/>
    <n v="14.673721340388004"/>
    <n v="92.134038800705454"/>
    <n v="51.00048835263415"/>
    <n v="22493.996861924687"/>
    <n v="1147204.8249607792"/>
    <n v="2339375.6736401673"/>
  </r>
  <r>
    <x v="2"/>
    <n v="302046"/>
    <s v="PINO IMPREGNADO SECO CEPILLADO G2 2 x 6&quot; x 4,00 (41 x 138 )"/>
    <s v="PZA"/>
    <n v="2509"/>
    <n v="0.52500000000000002"/>
    <n v="36"/>
    <x v="8"/>
    <n v="2606"/>
    <n v="2570"/>
    <n v="34.65"/>
    <n v="74.170274170274169"/>
    <n v="1.0389610389610391"/>
    <n v="75.209235209235217"/>
    <n v="61.829459301320775"/>
    <n v="10292.490437458782"/>
    <n v="636379.11861209106"/>
    <n v="370529.65574851615"/>
  </r>
  <r>
    <x v="2"/>
    <n v="302010"/>
    <s v="PINO IMPREGNADO SECO CEPILLADO G2 2 x 6&quot; x 3,20 (41 x 138 )"/>
    <s v="PZA"/>
    <n v="2184"/>
    <n v="15.865499999999999"/>
    <n v="168"/>
    <x v="3"/>
    <n v="1693"/>
    <n v="1525"/>
    <n v="34.912500000000023"/>
    <n v="43.680630146795529"/>
    <n v="4.812030075187967"/>
    <n v="48.492660221983499"/>
    <s v=""/>
    <n v="5566.8590808416393"/>
    <s v=""/>
    <n v="935232.32558139542"/>
  </r>
  <r>
    <x v="2"/>
    <n v="1901008"/>
    <s v="AISLAN  GLASS 90 MM 0.375x12 MTS . DENSIDAD 14 KG/M3 (13.5 M2 X BOLSA) SKU 4000147"/>
    <s v="M2"/>
    <n v="3696"/>
    <n v="0.7111632270168855"/>
    <n v="27"/>
    <x v="10"/>
    <n v="3793"/>
    <n v="3766"/>
    <n v="62.430325650000007"/>
    <n v="60.323247729206734"/>
    <n v="0.43248212657689378"/>
    <n v="60.755729855783628"/>
    <s v=""/>
    <n v="2059.785564685033"/>
    <s v=""/>
    <n v="55614.210246495888"/>
  </r>
  <r>
    <x v="2"/>
    <n v="304002"/>
    <s v="PLACA SMART SIDE R-4 SPC-M111 DE 1.220X2.440X11.1 MM (72 PL.POR PALLET )"/>
    <s v="PL"/>
    <n v="1319"/>
    <n v="0.65625"/>
    <n v="311"/>
    <x v="11"/>
    <n v="1416"/>
    <n v="1105"/>
    <n v="23.296874999999996"/>
    <n v="47.43125419181758"/>
    <n v="13.349429912810196"/>
    <n v="60.780684104627774"/>
    <s v=""/>
    <n v="21579.067512460355"/>
    <s v=""/>
    <n v="6711089.9963751705"/>
  </r>
  <r>
    <x v="2"/>
    <n v="304101"/>
    <s v="PLACA LP OSB STANDAR 1.22 x2.44 x 9.5 MM APA PT-OECA095   (84 PL.xPAQ)"/>
    <s v="PL"/>
    <n v="2413"/>
    <n v="15.865499999999999"/>
    <n v="232"/>
    <x v="1"/>
    <n v="2510"/>
    <n v="2278"/>
    <n v="47.643749999999976"/>
    <n v="47.813196904106022"/>
    <n v="4.8694739603830541"/>
    <n v="52.682670864489076"/>
    <s v=""/>
    <n v="9652.5142678608627"/>
    <s v=""/>
    <n v="2239383.3101437204"/>
  </r>
  <r>
    <x v="2"/>
    <n v="302028"/>
    <s v="PINO IMPREGNADO SECO CEPILLADO G2 2 x 4&quot; x 3,20 (41 x 90 )"/>
    <s v="PZA"/>
    <n v="8641"/>
    <n v="23.296874999999996"/>
    <n v="134"/>
    <x v="4"/>
    <n v="8138"/>
    <n v="8004"/>
    <n v="172.72499999999994"/>
    <n v="46.339557099435538"/>
    <n v="0.77579968157475787"/>
    <n v="47.115356781010291"/>
    <s v=""/>
    <n v="4760.4046547265589"/>
    <s v=""/>
    <n v="637894.2237333589"/>
  </r>
  <r>
    <x v="2"/>
    <n v="304049"/>
    <s v="TERCIADO FENOLICO CD DE 1,22 X 2,44 X 15 mm (65 PL X PQTE)"/>
    <s v="PL"/>
    <n v="975"/>
    <n v="8.4"/>
    <n v="87"/>
    <x v="5"/>
    <n v="1072"/>
    <n v="985"/>
    <n v="23.273250000000008"/>
    <n v="42.323268129719729"/>
    <n v="3.738197286584382"/>
    <n v="46.06146541630411"/>
    <s v=""/>
    <n v="15018.620734341253"/>
    <s v=""/>
    <n v="1306620.003887689"/>
  </r>
  <r>
    <x v="2"/>
    <n v="701096"/>
    <s v="PLANCHA YESO CARTON VOLCAN RF 122 x 2.44 x 15 LINEN GREY BORDE CUADRADO 70 PLXPALLET SKU 5002205"/>
    <s v="PL"/>
    <n v="1260"/>
    <n v="0.69825000000000004"/>
    <n v="81"/>
    <x v="7"/>
    <n v="1357"/>
    <n v="1276"/>
    <n v="31.237499999999997"/>
    <n v="40.848339335734295"/>
    <n v="2.5930372148859546"/>
    <n v="43.441376550620255"/>
    <s v=""/>
    <n v="16226.792738275341"/>
    <s v=""/>
    <n v="1314370.2118003026"/>
  </r>
  <r>
    <x v="3"/>
    <n v="304007"/>
    <s v="PLACA OSB STANDARD DE 1.22 x 2.44 x 11.1 MM ( 72 X PAQUETE )"/>
    <s v="PL"/>
    <n v="684"/>
    <n v="0.52500000000000002"/>
    <n v="103"/>
    <x v="6"/>
    <n v="781"/>
    <n v="678"/>
    <n v="8.6625000000000014"/>
    <n v="78.268398268398258"/>
    <n v="11.890331890331888"/>
    <n v="90.158730158730137"/>
    <n v="53.59206578254198"/>
    <n v="11557.16697761194"/>
    <n v="619372.45292400091"/>
    <n v="1190388.1986940298"/>
  </r>
  <r>
    <x v="3"/>
    <n v="701043"/>
    <s v="PLANCHA YESO CARTON VOLCAN RF 1.22 x 3.40 x 15MM WHITE BORDE CUADRADO (40PLXPQ) SKU 5002142"/>
    <s v="PL "/>
    <n v="596"/>
    <n v="52.5"/>
    <n v="109"/>
    <x v="9"/>
    <n v="693"/>
    <n v="584"/>
    <n v="7.0875000000000012"/>
    <n v="82.39858906525572"/>
    <n v="15.379188712522042"/>
    <n v="97.777777777777757"/>
    <n v="50.204193611601028"/>
    <n v="22493.996861924687"/>
    <n v="1129292.9735548128"/>
    <n v="2451845.6579497908"/>
  </r>
  <r>
    <x v="3"/>
    <n v="302046"/>
    <s v="PINO IMPREGNADO SECO CEPILLADO G2 2 x 6&quot; x 4,00 (41 x 138 )"/>
    <s v="PZA"/>
    <n v="2509"/>
    <n v="0.10500000000000001"/>
    <n v="36"/>
    <x v="8"/>
    <n v="2606"/>
    <n v="2570"/>
    <n v="34.65"/>
    <n v="74.170274170274169"/>
    <n v="1.0389610389610391"/>
    <n v="75.209235209235217"/>
    <n v="61.829459301320775"/>
    <n v="10292.490437458782"/>
    <n v="636379.11861209106"/>
    <n v="370529.65574851615"/>
  </r>
  <r>
    <x v="3"/>
    <n v="302010"/>
    <s v="PINO IMPREGNADO SECO CEPILLADO G2 2 x 6&quot; x 3,20 (41 x 138 )"/>
    <s v="PZA"/>
    <n v="1596"/>
    <n v="8.4"/>
    <n v="0"/>
    <x v="3"/>
    <n v="1861"/>
    <n v="1861"/>
    <n v="34.912500000000023"/>
    <n v="53.304690297171469"/>
    <n v="0"/>
    <n v="53.304690297171469"/>
    <s v=""/>
    <n v="5566.8590808416393"/>
    <s v=""/>
    <n v="0"/>
  </r>
  <r>
    <x v="3"/>
    <n v="1901008"/>
    <s v="AISLAN  GLASS 90 MM 0.375x12 MTS . DENSIDAD 14 KG/M3 (13.5 M2 X BOLSA) SKU 4000147"/>
    <s v="M2"/>
    <n v="3696"/>
    <n v="0.69825000000000004"/>
    <n v="6"/>
    <x v="10"/>
    <n v="3793"/>
    <n v="3787"/>
    <n v="62.430325650000007"/>
    <n v="60.65962271654432"/>
    <n v="9.6107139239309719E-2"/>
    <n v="60.755729855783628"/>
    <s v=""/>
    <n v="2059.785564685033"/>
    <s v=""/>
    <n v="12358.713388110198"/>
  </r>
  <r>
    <x v="3"/>
    <n v="304002"/>
    <s v="PLACA SMART SIDE R-4 SPC-M111 DE 1.220X2.440X11.1 MM (72 PL.POR PALLET )"/>
    <s v="PL"/>
    <n v="1319"/>
    <n v="47.25"/>
    <n v="219"/>
    <x v="11"/>
    <n v="1488"/>
    <n v="1269"/>
    <n v="23.296874999999996"/>
    <n v="54.470824949698198"/>
    <n v="9.4004024144869227"/>
    <n v="63.871227364185117"/>
    <s v=""/>
    <n v="21579.067512460355"/>
    <s v=""/>
    <n v="4725815.7852288177"/>
  </r>
  <r>
    <x v="3"/>
    <n v="304101"/>
    <s v="PLACA LP OSB STANDAR 1.22 x2.44 x 9.5 MM APA PT-OECA095   (84 PL.xPAQ)"/>
    <s v="PL"/>
    <n v="2665"/>
    <n v="8.4"/>
    <n v="279"/>
    <x v="1"/>
    <n v="2930"/>
    <n v="2651"/>
    <n v="47.643749999999976"/>
    <n v="55.642135642135671"/>
    <n v="5.8559622195985863"/>
    <n v="61.498097861734259"/>
    <s v=""/>
    <n v="9652.5142678608627"/>
    <s v=""/>
    <n v="2693051.4807331809"/>
  </r>
  <r>
    <x v="3"/>
    <n v="302028"/>
    <s v="PINO IMPREGNADO SECO CEPILLADO G2 2 x 4&quot; x 3,20 (41 x 90 )"/>
    <s v="PZA"/>
    <n v="8041"/>
    <n v="6.8249999999999984"/>
    <n v="0"/>
    <x v="4"/>
    <n v="8138"/>
    <n v="8138"/>
    <n v="172.72499999999994"/>
    <n v="47.115356781010291"/>
    <n v="0"/>
    <n v="47.115356781010291"/>
    <s v=""/>
    <n v="4760.4046547265589"/>
    <s v=""/>
    <n v="0"/>
  </r>
  <r>
    <x v="3"/>
    <n v="304049"/>
    <s v="TERCIADO FENOLICO CD DE 1,22 X 2,44 X 15 mm (65 PL X PQTE)"/>
    <s v="PL"/>
    <n v="1105"/>
    <n v="13.650000000000002"/>
    <n v="115"/>
    <x v="5"/>
    <n v="1202"/>
    <n v="1087"/>
    <n v="23.273250000000008"/>
    <n v="46.705982189853138"/>
    <n v="4.9412952638759071"/>
    <n v="51.647277453729046"/>
    <s v=""/>
    <n v="15018.620734341253"/>
    <s v=""/>
    <n v="1727141.3844492442"/>
  </r>
  <r>
    <x v="3"/>
    <n v="701096"/>
    <s v="PLANCHA YESO CARTON VOLCAN RF 122 x 2.44 x 15 LINEN GREY BORDE CUADRADO 70 PLXPALLET SKU 5002205"/>
    <s v="PL"/>
    <n v="1400"/>
    <n v="0.52500000000000002"/>
    <n v="208"/>
    <x v="7"/>
    <n v="1497"/>
    <n v="1289"/>
    <n v="31.237499999999997"/>
    <n v="41.264505802320933"/>
    <n v="6.6586634653861552"/>
    <n v="47.923169267707088"/>
    <s v=""/>
    <n v="16226.792738275341"/>
    <s v=""/>
    <n v="3375172.8895612708"/>
  </r>
  <r>
    <x v="4"/>
    <n v="304007"/>
    <s v="PLACA OSB STANDARD DE 1.22 x 2.44 x 11.1 MM ( 72 X PAQUETE )"/>
    <s v="PL"/>
    <n v="972"/>
    <n v="0.52500000000000002"/>
    <n v="339"/>
    <x v="6"/>
    <n v="1069"/>
    <n v="730"/>
    <n v="8.6625000000000014"/>
    <n v="84.271284271284259"/>
    <n v="39.134199134199129"/>
    <n v="123.40548340548338"/>
    <n v="49.754056749727752"/>
    <n v="11557.16697761194"/>
    <n v="575015.94167018402"/>
    <n v="3917879.6054104473"/>
  </r>
  <r>
    <x v="4"/>
    <n v="701043"/>
    <s v="PLANCHA YESO CARTON VOLCAN RF 1.22 x 3.40 x 15MM WHITE BORDE CUADRADO (40PLXPQ) SKU 5002142"/>
    <s v="PL "/>
    <n v="676"/>
    <n v="2.1"/>
    <n v="120"/>
    <x v="9"/>
    <n v="773"/>
    <n v="653"/>
    <n v="7.0875000000000012"/>
    <n v="92.134038800705454"/>
    <n v="16.931216931216927"/>
    <n v="109.06525573192238"/>
    <n v="48.611604129534769"/>
    <n v="22493.996861924687"/>
    <n v="1093469.2707428802"/>
    <n v="2699279.6234309622"/>
  </r>
  <r>
    <x v="4"/>
    <n v="302046"/>
    <s v="PINO IMPREGNADO SECO CEPILLADO G2 2 x 6&quot; x 4,00 (41 x 138 )"/>
    <s v="PZA"/>
    <n v="3181"/>
    <n v="2.3625000000000003"/>
    <n v="434"/>
    <x v="8"/>
    <n v="3278"/>
    <n v="2844"/>
    <n v="34.65"/>
    <n v="82.077922077922082"/>
    <n v="12.525252525252526"/>
    <n v="94.603174603174608"/>
    <n v="61.269749650702032"/>
    <n v="10292.490437458782"/>
    <n v="630618.31238534418"/>
    <n v="4466940.8498571115"/>
  </r>
  <r>
    <x v="4"/>
    <n v="302010"/>
    <s v="PINO IMPREGNADO SECO CEPILLADO G2 2 x 6&quot; x 3,20 (41 x 138 )"/>
    <s v="PZA"/>
    <n v="1848"/>
    <n v="13.650000000000002"/>
    <n v="0"/>
    <x v="3"/>
    <n v="1945"/>
    <n v="1945"/>
    <n v="34.912500000000023"/>
    <n v="55.71070533476545"/>
    <n v="0"/>
    <n v="55.71070533476545"/>
    <s v=""/>
    <n v="5566.8590808416393"/>
    <s v=""/>
    <n v="0"/>
  </r>
  <r>
    <x v="4"/>
    <n v="1901008"/>
    <s v="AISLAN  GLASS 90 MM 0.375x12 MTS . DENSIDAD 14 KG/M3 (13.5 M2 X BOLSA) SKU 4000147"/>
    <s v="M2"/>
    <n v="4236"/>
    <n v="0.52500000000000002"/>
    <n v="26"/>
    <x v="10"/>
    <n v="4333"/>
    <n v="4307"/>
    <n v="62.430325650000007"/>
    <n v="68.988908117284495"/>
    <n v="0.41646427003700881"/>
    <n v="69.405372387321506"/>
    <n v="62.88827470200259"/>
    <n v="2059.785564685033"/>
    <n v="129536.36041913189"/>
    <n v="53554.424681810859"/>
  </r>
  <r>
    <x v="4"/>
    <n v="304002"/>
    <s v="PLACA SMART SIDE R-4 SPC-M111 DE 1.220X2.440X11.1 MM (72 PL.POR PALLET )"/>
    <s v="PL"/>
    <n v="1391"/>
    <n v="7.875"/>
    <n v="248"/>
    <x v="11"/>
    <n v="1488"/>
    <n v="1240"/>
    <n v="23.296874999999996"/>
    <n v="53.226022803487602"/>
    <n v="10.64520456069752"/>
    <n v="63.871227364185117"/>
    <s v=""/>
    <n v="21579.067512460355"/>
    <s v=""/>
    <n v="5351608.7430901676"/>
  </r>
  <r>
    <x v="4"/>
    <n v="304101"/>
    <s v="PLACA LP OSB STANDAR 1.22 x2.44 x 9.5 MM APA PT-OECA095   (84 PL.xPAQ)"/>
    <s v="PL"/>
    <n v="3169"/>
    <n v="13.650000000000002"/>
    <n v="525"/>
    <x v="1"/>
    <n v="3266"/>
    <n v="2741"/>
    <n v="47.643749999999976"/>
    <n v="57.531155712973927"/>
    <n v="11.019283746556479"/>
    <n v="68.550439459530409"/>
    <n v="62.56118715551294"/>
    <n v="9652.5142678608627"/>
    <n v="603872.75163290242"/>
    <n v="5067569.9906269526"/>
  </r>
  <r>
    <x v="4"/>
    <n v="302028"/>
    <s v="PINO IMPREGNADO SECO CEPILLADO G2 2 x 4&quot; x 3,20 (41 x 90 )"/>
    <s v="PZA"/>
    <n v="8281"/>
    <n v="0.91874999999999996"/>
    <n v="0"/>
    <x v="4"/>
    <n v="8378"/>
    <n v="8378"/>
    <n v="172.72499999999994"/>
    <n v="48.504848748009863"/>
    <n v="0"/>
    <n v="48.504848748009863"/>
    <s v=""/>
    <n v="4760.4046547265589"/>
    <s v=""/>
    <n v="0"/>
  </r>
  <r>
    <x v="4"/>
    <n v="304049"/>
    <s v="TERCIADO FENOLICO CD DE 1,22 X 2,44 X 15 mm (65 PL X PQTE)"/>
    <s v="PL"/>
    <n v="1365"/>
    <n v="0.52500000000000002"/>
    <n v="165"/>
    <x v="5"/>
    <n v="1462"/>
    <n v="1297"/>
    <n v="23.273250000000008"/>
    <n v="55.729217019539583"/>
    <n v="7.089684509039345"/>
    <n v="62.818901528578927"/>
    <s v=""/>
    <n v="15018.620734341253"/>
    <s v=""/>
    <n v="2478072.4211663068"/>
  </r>
  <r>
    <x v="4"/>
    <n v="701096"/>
    <s v="PLANCHA YESO CARTON VOLCAN RF 122 x 2.44 x 15 LINEN GREY BORDE CUADRADO 70 PLXPALLET SKU 5002205"/>
    <s v="PL"/>
    <n v="1610"/>
    <n v="52.5"/>
    <n v="195"/>
    <x v="7"/>
    <n v="1777"/>
    <n v="1582"/>
    <n v="31.237499999999997"/>
    <n v="50.644257703081237"/>
    <n v="6.2424969987995205"/>
    <n v="56.886754701880754"/>
    <s v=""/>
    <n v="16226.792738275341"/>
    <s v=""/>
    <n v="3164224.5839636913"/>
  </r>
  <r>
    <x v="4"/>
    <n v="701040"/>
    <s v="PLANCHA YESO CARTON RF 1.22x2.44x15 BORDE CUADRADO S/PAPEL ( 2,9768 M2 X PL=70 PLX PQTE) SKU 5001097"/>
    <s v=""/>
    <n v="815"/>
    <n v="52.5"/>
    <n v="126"/>
    <x v="12"/>
    <n v="912"/>
    <n v="786"/>
    <n v="4.2840000000000007"/>
    <n v="183.47338935574226"/>
    <n v="29.411764705882348"/>
    <n v="212.8851540616246"/>
    <n v="14.306920153682405"/>
    <n v="7583.0947867298582"/>
    <n v="108490.7316315494"/>
    <n v="955469.94312796218"/>
  </r>
  <r>
    <x v="4"/>
    <n v="1902003"/>
    <s v="TYPAR VOLCANWRAP ROLLO DE 2,743 x 45,72 MTS ( 125 M2 x ROLLO ) SKU 7000031"/>
    <s v="RLL"/>
    <n v="51"/>
    <n v="0.65625"/>
    <n v="15"/>
    <x v="13"/>
    <n v="148"/>
    <n v="133"/>
    <n v="0.41466600000000009"/>
    <n v="320.74006549849753"/>
    <n v="36.173691597574908"/>
    <n v="356.9137570960724"/>
    <n v="-796.7258784083391"/>
    <n v="150732.2183908046"/>
    <n v="-120092259.1018514"/>
    <n v="2260983.2758620689"/>
  </r>
  <r>
    <x v="4"/>
    <s v="030253X"/>
    <s v="PINO SYP GRADO 2 PRIME IMPREGNADO DE  3&quot; x 8&quot; x 10' (63x184 mm)"/>
    <s v="PZA"/>
    <n v="488"/>
    <n v="1.5750000000000002"/>
    <n v="44"/>
    <x v="0"/>
    <n v="625"/>
    <n v="581"/>
    <n v="6.3000000000000007"/>
    <n v="92.222222222222214"/>
    <n v="6.9841269841269833"/>
    <n v="99.206349206349202"/>
    <n v="48.252960443436635"/>
    <n v="15451.816831683169"/>
    <n v="745595.90635843633"/>
    <n v="679879.94059405942"/>
  </r>
  <r>
    <x v="4"/>
    <n v="701084"/>
    <s v="FIBROCEMENTO LISO 1.2 x 2.40 x 22 MM (VOLCAN)"/>
    <s v=""/>
    <n v="52"/>
    <n v="0"/>
    <n v="20"/>
    <x v="14"/>
    <n v="149"/>
    <n v="129"/>
    <n v="0.69825000000000004"/>
    <n v="184.74758324382384"/>
    <n v="28.643036161833152"/>
    <n v="213.39061940565699"/>
    <n v="-241.60776141161045"/>
    <n v="39170.619565217392"/>
    <n v="-9463925.7062580045"/>
    <n v="783412.3913043479"/>
  </r>
  <r>
    <x v="4"/>
    <n v="5309018"/>
    <s v="CINTA POLIESTER DE 2&quot; COLOR VERDE (ROLLO= 100 mt=15 kg)"/>
    <s v="RLL"/>
    <n v="2300"/>
    <n v="0.52500000000000002"/>
    <n v="200"/>
    <x v="13"/>
    <n v="2397"/>
    <n v="2197"/>
    <n v="34.649999999999991"/>
    <n v="63.405483405483423"/>
    <n v="5.7720057720057731"/>
    <n v="69.177489177489193"/>
    <n v="62.003535665873329"/>
    <n v="706.42250000000001"/>
    <n v="43800.692673925405"/>
    <n v="141284.5"/>
  </r>
  <r>
    <x v="4"/>
    <n v="1902014"/>
    <s v="VOLCOGLASS X RH 1,20 x 2,40 x 15MM BORDE"/>
    <s v="PL"/>
    <n v="360"/>
    <n v="0.91874999999999996"/>
    <n v="92"/>
    <x v="15"/>
    <n v="457"/>
    <n v="365"/>
    <n v="5.5125000000000002"/>
    <n v="66.213151927437636"/>
    <n v="16.689342403628117"/>
    <n v="82.902494331065753"/>
    <n v="48.960998760804401"/>
    <n v="29799.757692307692"/>
    <n v="1459025.8994453484"/>
    <n v="2741577.7076923079"/>
  </r>
  <r>
    <x v="5"/>
    <n v="304007"/>
    <s v="PLACA OSB STANDARD DE 1.22 x 2.44 x 11.1 MM ( 72 X PAQUETE )"/>
    <s v="PL"/>
    <n v="972"/>
    <n v="1.378125"/>
    <n v="168"/>
    <x v="6"/>
    <n v="1069"/>
    <n v="901"/>
    <n v="8.6625000000000014"/>
    <n v="104.01154401154399"/>
    <n v="19.393939393939391"/>
    <n v="123.40548340548338"/>
    <n v="49.754056749727752"/>
    <n v="11557.16697761194"/>
    <n v="575015.94167018402"/>
    <n v="1941604.0522388059"/>
  </r>
  <r>
    <x v="5"/>
    <n v="701043"/>
    <s v="PLANCHA YESO CARTON VOLCAN RF 1.22 x 3.40 x 15MM WHITE BORDE CUADRADO (40PLXPQ) SKU 5002142"/>
    <s v="PL "/>
    <n v="716"/>
    <n v="0"/>
    <n v="110"/>
    <x v="9"/>
    <n v="813"/>
    <n v="703"/>
    <n v="7.0875000000000012"/>
    <n v="99.188712522045833"/>
    <n v="15.520282186948851"/>
    <n v="114.70899470899469"/>
    <n v="47.815309388501632"/>
    <n v="22493.996861924687"/>
    <n v="1075557.4193369136"/>
    <n v="2474339.6548117157"/>
  </r>
  <r>
    <x v="5"/>
    <n v="302046"/>
    <s v="PINO IMPREGNADO SECO CEPILLADO G2 2 x 6&quot; x 4,00 (41 x 138 )"/>
    <s v="PZA"/>
    <n v="3181"/>
    <n v="0"/>
    <n v="0"/>
    <x v="8"/>
    <n v="3278"/>
    <n v="3278"/>
    <n v="34.65"/>
    <n v="94.603174603174608"/>
    <n v="0"/>
    <n v="94.603174603174608"/>
    <n v="61.269749650702032"/>
    <n v="10292.490437458782"/>
    <n v="630618.31238534418"/>
    <n v="0"/>
  </r>
  <r>
    <x v="5"/>
    <n v="302010"/>
    <s v="PINO IMPREGNADO SECO CEPILLADO G2 2 x 6&quot; x 3,20 (41 x 138 )"/>
    <s v="PZA"/>
    <n v="2184"/>
    <n v="47.25"/>
    <n v="168"/>
    <x v="3"/>
    <n v="2281"/>
    <n v="2113"/>
    <n v="34.912500000000023"/>
    <n v="60.522735409953412"/>
    <n v="4.812030075187967"/>
    <n v="65.334765485141389"/>
    <n v="62.128613949584206"/>
    <n v="5566.8590808416393"/>
    <n v="345861.23874534736"/>
    <n v="935232.32558139542"/>
  </r>
  <r>
    <x v="5"/>
    <n v="1901008"/>
    <s v="AISLAN  GLASS 90 MM 0.375x12 MTS . DENSIDAD 14 KG/M3 (13.5 M2 X BOLSA) SKU 4000147"/>
    <s v="M2"/>
    <n v="4641"/>
    <n v="22.05"/>
    <n v="0"/>
    <x v="10"/>
    <n v="4738"/>
    <n v="4738"/>
    <n v="62.430325650000007"/>
    <n v="75.892604285974912"/>
    <n v="0"/>
    <n v="75.892604285974912"/>
    <n v="62.784363152108995"/>
    <n v="2059.785564685033"/>
    <n v="129322.324908657"/>
    <n v="0"/>
  </r>
  <r>
    <x v="5"/>
    <n v="304002"/>
    <s v="PLACA SMART SIDE R-4 SPC-M111 DE 1.220X2.440X11.1 MM (72 PL.POR PALLET )"/>
    <s v="PL"/>
    <n v="1607"/>
    <n v="0"/>
    <n v="546"/>
    <x v="11"/>
    <n v="1992"/>
    <n v="1446"/>
    <n v="23.296874999999996"/>
    <n v="62.068410462776669"/>
    <n v="23.436619718309863"/>
    <n v="85.505030181086539"/>
    <n v="60.329763962716605"/>
    <n v="21579.067512460355"/>
    <n v="1301860.0495622593"/>
    <n v="11782170.861803355"/>
  </r>
  <r>
    <x v="5"/>
    <n v="304101"/>
    <s v="PLACA LP OSB STANDAR 1.22 x2.44 x 9.5 MM APA PT-OECA095   (84 PL.xPAQ)"/>
    <s v="PL"/>
    <n v="3337"/>
    <n v="47.25"/>
    <n v="179"/>
    <x v="1"/>
    <n v="3686"/>
    <n v="3507"/>
    <n v="47.643749999999976"/>
    <n v="73.608815426997282"/>
    <n v="3.7570510297783044"/>
    <n v="77.365866456775592"/>
    <n v="62.376159171837323"/>
    <n v="9652.5142678608627"/>
    <n v="602086.76638051996"/>
    <n v="1727800.0539470944"/>
  </r>
  <r>
    <x v="5"/>
    <n v="302028"/>
    <s v="PINO IMPREGNADO SECO CEPILLADO G2 2 x 4&quot; x 3,20 (41 x 90 )"/>
    <s v="PZA"/>
    <n v="8641"/>
    <n v="3.9375"/>
    <n v="0"/>
    <x v="4"/>
    <n v="8738"/>
    <n v="8738"/>
    <n v="172.72499999999994"/>
    <n v="50.589086698509206"/>
    <n v="0"/>
    <n v="50.589086698509206"/>
    <s v=""/>
    <n v="4760.4046547265589"/>
    <s v=""/>
    <n v="0"/>
  </r>
  <r>
    <x v="5"/>
    <n v="304049"/>
    <s v="TERCIADO FENOLICO CD DE 1,22 X 2,44 X 15 mm (65 PL X PQTE)"/>
    <s v="PL"/>
    <n v="1560"/>
    <n v="7.875"/>
    <n v="172"/>
    <x v="5"/>
    <n v="1657"/>
    <n v="1485"/>
    <n v="23.273250000000008"/>
    <n v="63.807160581354111"/>
    <n v="7.3904590033622268"/>
    <n v="71.197619584716335"/>
    <n v="60.940795996059151"/>
    <n v="15018.620734341253"/>
    <n v="915246.70231367438"/>
    <n v="2583202.7663066955"/>
  </r>
  <r>
    <x v="5"/>
    <n v="701096"/>
    <s v="PLANCHA YESO CARTON VOLCAN RF 122 x 2.44 x 15 LINEN GREY BORDE CUADRADO 70 PLXPALLET SKU 5002205"/>
    <s v="PL"/>
    <n v="1820"/>
    <n v="0"/>
    <n v="42"/>
    <x v="7"/>
    <n v="1917"/>
    <n v="1875"/>
    <n v="31.237499999999997"/>
    <n v="60.024009603841542"/>
    <n v="1.3445378151260505"/>
    <n v="61.368547418967594"/>
    <s v=""/>
    <n v="16226.792738275341"/>
    <s v=""/>
    <n v="681525.29500756436"/>
  </r>
  <r>
    <x v="5"/>
    <n v="701040"/>
    <s v="PLANCHA YESO CARTON RF 1.22x2.44x15 BORDE CUADRADO S/PAPEL ( 2,9768 M2 X PL=70 PLX PQTE) SKU 5001097"/>
    <s v="PL"/>
    <n v="895"/>
    <n v="0"/>
    <n v="156"/>
    <x v="12"/>
    <n v="992"/>
    <n v="836"/>
    <n v="4.2840000000000007"/>
    <n v="195.14472455648922"/>
    <n v="36.414565826330524"/>
    <n v="231.55929038281977"/>
    <n v="9.9478780619001554"/>
    <n v="7583.0947867298582"/>
    <n v="75435.702270219394"/>
    <n v="1182962.7867298578"/>
  </r>
  <r>
    <x v="5"/>
    <n v="1902003"/>
    <s v="TYPAR VOLCANWRAP ROLLO DE 2,743 x 45,72 MTS ( 125 M2 x ROLLO ) SKU 7000031"/>
    <s v="RLL"/>
    <n v="54"/>
    <n v="1.05"/>
    <n v="33"/>
    <x v="13"/>
    <n v="161"/>
    <n v="128"/>
    <n v="0.41466600000000009"/>
    <n v="308.68216829930589"/>
    <n v="79.582121514664792"/>
    <n v="388.26428981397066"/>
    <n v="-872.33017853880131"/>
    <n v="150732.2183908046"/>
    <n v="-131488262.98040016"/>
    <n v="4974163.2068965519"/>
  </r>
  <r>
    <x v="5"/>
    <s v="030253X"/>
    <s v="PINO SYP GRADO 2 PRIME IMPREGNADO DE  3&quot; x 8&quot; x 10' (63x184 mm)"/>
    <s v="PZA"/>
    <n v="488"/>
    <n v="0.31171874999999999"/>
    <n v="0"/>
    <x v="0"/>
    <n v="665"/>
    <n v="665"/>
    <n v="6.3000000000000007"/>
    <n v="105.55555555555554"/>
    <n v="0"/>
    <n v="105.55555555555554"/>
    <n v="47.245149911816583"/>
    <n v="15451.816831683169"/>
    <n v="730023.40262280207"/>
    <n v="0"/>
  </r>
  <r>
    <x v="5"/>
    <n v="701084"/>
    <s v="FIBROCEMENTO LISO 1.2 x 2.40 x 22 MM (VOLCAN)"/>
    <s v="PL"/>
    <n v="52"/>
    <n v="0"/>
    <n v="0"/>
    <x v="14"/>
    <n v="149"/>
    <n v="149"/>
    <n v="0.69825000000000004"/>
    <n v="213.39061940565699"/>
    <n v="0"/>
    <n v="213.39061940565699"/>
    <n v="-241.60776141161045"/>
    <n v="39170.619565217392"/>
    <n v="-9463925.7062580045"/>
    <n v="0"/>
  </r>
  <r>
    <x v="5"/>
    <n v="5309018"/>
    <s v="CINTA POLIESTER DE 2&quot; COLOR VERDE (ROLLO= 100 mt=15 kg)"/>
    <s v="M2"/>
    <n v="2600"/>
    <n v="1.378125"/>
    <n v="5"/>
    <x v="13"/>
    <n v="2697"/>
    <n v="2692"/>
    <n v="34.649999999999991"/>
    <n v="77.691197691197715"/>
    <n v="0.14430014430014435"/>
    <n v="77.835497835497861"/>
    <n v="61.753665286132815"/>
    <n v="706.42250000000001"/>
    <n v="43624.178615593162"/>
    <n v="3532.1125000000002"/>
  </r>
  <r>
    <x v="5"/>
    <n v="1902014"/>
    <s v="VOLCOGLASS X RH 1,20 x 2,40 x 15MM BORDE"/>
    <s v="PL"/>
    <n v="360"/>
    <n v="52.5"/>
    <n v="16"/>
    <x v="15"/>
    <n v="457"/>
    <n v="441"/>
    <n v="5.5125000000000002"/>
    <n v="80"/>
    <n v="2.9024943310657596"/>
    <n v="82.902494331065753"/>
    <n v="48.960998760804401"/>
    <n v="29799.757692307692"/>
    <n v="1459025.8994453484"/>
    <n v="476796.12307692308"/>
  </r>
  <r>
    <x v="6"/>
    <n v="304007"/>
    <s v="PLACA OSB STANDARD DE 1.22 x 2.44 x 11.1 MM ( 72 X PAQUETE )"/>
    <s v="PL"/>
    <n v="972"/>
    <n v="0"/>
    <n v="256"/>
    <x v="6"/>
    <n v="1069"/>
    <n v="813"/>
    <n v="8.6625000000000014"/>
    <n v="93.852813852813838"/>
    <n v="29.552669552669549"/>
    <n v="123.40548340548338"/>
    <n v="49.754056749727752"/>
    <n v="11557.16697761194"/>
    <n v="575015.94167018402"/>
    <n v="2958634.7462686566"/>
  </r>
  <r>
    <x v="6"/>
    <n v="701043"/>
    <s v="PLANCHA YESO CARTON VOLCAN RF 1.22 x 3.40 x 15MM WHITE BORDE CUADRADO (40PLXPQ) SKU 5002142"/>
    <s v="PL "/>
    <n v="716"/>
    <n v="0"/>
    <n v="90"/>
    <x v="9"/>
    <n v="813"/>
    <n v="723"/>
    <n v="7.0875000000000012"/>
    <n v="102.010582010582"/>
    <n v="12.698412698412696"/>
    <n v="114.70899470899469"/>
    <n v="47.815309388501632"/>
    <n v="22493.996861924687"/>
    <n v="1075557.4193369136"/>
    <n v="2024459.7175732218"/>
  </r>
  <r>
    <x v="6"/>
    <n v="302046"/>
    <s v="PINO IMPREGNADO SECO CEPILLADO G2 2 x 6&quot; x 4,00 (41 x 138 )"/>
    <s v="PZA"/>
    <n v="3469"/>
    <n v="0"/>
    <n v="148"/>
    <x v="8"/>
    <n v="3566"/>
    <n v="3418"/>
    <n v="34.65"/>
    <n v="98.64357864357865"/>
    <n v="4.2712842712842711"/>
    <n v="102.91486291486292"/>
    <n v="61.029874086151139"/>
    <n v="10292.490437458782"/>
    <n v="628149.39543102414"/>
    <n v="1523288.5847438998"/>
  </r>
  <r>
    <x v="6"/>
    <n v="302010"/>
    <s v="PINO IMPREGNADO SECO CEPILLADO G2 2 x 6&quot; x 3,20 (41 x 138 )"/>
    <s v="PZA"/>
    <n v="2184"/>
    <n v="0"/>
    <n v="0"/>
    <x v="3"/>
    <n v="2449"/>
    <n v="2449"/>
    <n v="34.912500000000023"/>
    <n v="70.146795560329352"/>
    <n v="0"/>
    <n v="70.146795560329352"/>
    <n v="61.99078279812877"/>
    <n v="5566.8590808416393"/>
    <n v="345093.95214824483"/>
    <n v="0"/>
  </r>
  <r>
    <x v="6"/>
    <n v="1901008"/>
    <s v="AISLAN  GLASS 90 MM 0.375x12 MTS . DENSIDAD 14 KG/M3 (13.5 M2 X BOLSA) SKU 4000147"/>
    <s v="M2"/>
    <n v="5181"/>
    <n v="0"/>
    <n v="33"/>
    <x v="10"/>
    <n v="5278"/>
    <n v="5245"/>
    <n v="62.430325650000007"/>
    <n v="84.013657551696582"/>
    <n v="0.52858926581620347"/>
    <n v="84.54224681751279"/>
    <n v="62.645814418917531"/>
    <n v="2059.785564685033"/>
    <n v="129036.94422802383"/>
    <n v="67972.923634606093"/>
  </r>
  <r>
    <x v="6"/>
    <n v="304002"/>
    <s v="PLACA SMART SIDE R-4 SPC-M111 DE 1.220X2.440X11.1 MM (72 PL.POR PALLET )"/>
    <s v="PL"/>
    <n v="1895"/>
    <n v="0"/>
    <n v="447"/>
    <x v="11"/>
    <n v="1992"/>
    <n v="1545"/>
    <n v="23.296874999999996"/>
    <n v="66.317907444668023"/>
    <n v="19.187122736418512"/>
    <n v="85.505030181086539"/>
    <n v="60.329763962716605"/>
    <n v="21579.067512460355"/>
    <n v="1301860.0495622593"/>
    <n v="9645843.1780697778"/>
  </r>
  <r>
    <x v="6"/>
    <n v="304101"/>
    <s v="PLACA LP OSB STANDAR 1.22 x2.44 x 9.5 MM APA PT-OECA095   (84 PL.xPAQ)"/>
    <s v="PL"/>
    <n v="3589"/>
    <n v="0"/>
    <n v="130"/>
    <x v="1"/>
    <n v="3770"/>
    <n v="3640"/>
    <n v="47.643749999999976"/>
    <n v="76.400367309458261"/>
    <n v="2.7285845467663665"/>
    <n v="79.128951856224617"/>
    <n v="62.339153575102195"/>
    <n v="9652.5142678608627"/>
    <n v="601729.56933004339"/>
    <n v="1254826.8548219122"/>
  </r>
  <r>
    <x v="6"/>
    <n v="302028"/>
    <s v="PINO IMPREGNADO SECO CEPILLADO G2 2 x 4&quot; x 3,20 (41 x 90 )"/>
    <s v="PZA"/>
    <n v="8641"/>
    <n v="0"/>
    <n v="0"/>
    <x v="4"/>
    <n v="8978"/>
    <n v="8978"/>
    <n v="172.72499999999994"/>
    <n v="51.978578665508778"/>
    <n v="0"/>
    <n v="51.978578665508778"/>
    <s v=""/>
    <n v="4760.4046547265589"/>
    <s v=""/>
    <n v="0"/>
  </r>
  <r>
    <x v="6"/>
    <n v="304049"/>
    <s v="TERCIADO FENOLICO CD DE 1,22 X 2,44 X 15 mm (65 PL X PQTE)"/>
    <s v="PL"/>
    <n v="1690"/>
    <n v="0"/>
    <n v="195"/>
    <x v="5"/>
    <n v="1787"/>
    <n v="1592"/>
    <n v="23.273250000000008"/>
    <n v="68.404713566003863"/>
    <n v="8.3787180561374086"/>
    <n v="76.783431622141279"/>
    <n v="60.700786025924991"/>
    <n v="15018.620734341253"/>
    <n v="911642.08359976893"/>
    <n v="2928631.0431965445"/>
  </r>
  <r>
    <x v="6"/>
    <n v="701096"/>
    <s v="PLANCHA YESO CARTON VOLCAN RF 122 x 2.44 x 15 LINEN GREY BORDE CUADRADO 70 PLXPALLET SKU 5002205"/>
    <s v="PL"/>
    <n v="1820"/>
    <n v="0"/>
    <n v="178"/>
    <x v="7"/>
    <n v="1917"/>
    <n v="1739"/>
    <n v="31.237499999999997"/>
    <n v="55.670268107242904"/>
    <n v="5.6982793117246908"/>
    <n v="61.368547418967594"/>
    <s v=""/>
    <n v="16226.792738275341"/>
    <s v=""/>
    <n v="2888369.1074130107"/>
  </r>
  <r>
    <x v="6"/>
    <n v="701040"/>
    <s v="PLANCHA YESO CARTON RF 1.22x2.44x15 BORDE CUADRADO S/PAPEL ( 2,9768 M2 X PL=70 PLX PQTE) SKU 5001097"/>
    <s v="PL"/>
    <n v="895"/>
    <n v="0"/>
    <n v="140"/>
    <x v="12"/>
    <n v="992"/>
    <n v="852"/>
    <n v="4.2840000000000007"/>
    <n v="198.87955182072827"/>
    <n v="32.679738562091501"/>
    <n v="231.55929038281977"/>
    <n v="9.9478780619001554"/>
    <n v="7583.0947867298582"/>
    <n v="75435.702270219394"/>
    <n v="1061633.2701421801"/>
  </r>
  <r>
    <x v="6"/>
    <n v="1902003"/>
    <s v="TYPAR VOLCANWRAP ROLLO DE 2,743 x 45,72 MTS ( 125 M2 x ROLLO ) SKU 7000031"/>
    <s v="RLL"/>
    <n v="64"/>
    <n v="0"/>
    <n v="31"/>
    <x v="13"/>
    <n v="171"/>
    <n v="140"/>
    <n v="0.41466600000000009"/>
    <n v="337.62112157736578"/>
    <n v="74.758962634988137"/>
    <n v="412.38008421235395"/>
    <n v="-930.48733248531073"/>
    <n v="150732.2183908046"/>
    <n v="-140254419.81005308"/>
    <n v="4672698.7701149425"/>
  </r>
  <r>
    <x v="6"/>
    <s v="030253X"/>
    <s v="PINO SYP GRADO 2 PRIME IMPREGNADO DE  3&quot; x 8&quot; x 10' (63x184 mm)"/>
    <s v="PZA"/>
    <n v="488"/>
    <n v="8.1375000000000003E-2"/>
    <n v="45"/>
    <x v="0"/>
    <n v="705"/>
    <n v="660"/>
    <n v="6.3000000000000007"/>
    <n v="104.76190476190474"/>
    <n v="7.1428571428571423"/>
    <n v="111.9047619047619"/>
    <n v="46.237339380196531"/>
    <n v="15451.816831683169"/>
    <n v="714450.8988871678"/>
    <n v="695331.75742574257"/>
  </r>
  <r>
    <x v="6"/>
    <n v="701084"/>
    <s v="FIBROCEMENTO LISO 1.2 x 2.40 x 22 MM (VOLCAN)"/>
    <s v="PL"/>
    <n v="72"/>
    <n v="0"/>
    <n v="40"/>
    <x v="14"/>
    <n v="169"/>
    <n v="129"/>
    <n v="0.69825000000000004"/>
    <n v="184.74758324382384"/>
    <n v="57.286072323666303"/>
    <n v="242.03365556749014"/>
    <n v="-282.62893744001451"/>
    <n v="39170.619565217392"/>
    <n v="-11070750.586584434"/>
    <n v="1566824.7826086958"/>
  </r>
  <r>
    <x v="6"/>
    <n v="5309018"/>
    <s v="CINTA POLIESTER DE 2&quot; COLOR VERDE (ROLLO= 100 mt=15 kg)"/>
    <s v="M2"/>
    <n v="2600"/>
    <n v="0"/>
    <n v="4"/>
    <x v="13"/>
    <n v="2697"/>
    <n v="2693"/>
    <n v="34.649999999999991"/>
    <n v="77.720057720057738"/>
    <n v="0.11544011544011547"/>
    <n v="77.835497835497861"/>
    <n v="61.753665286132815"/>
    <n v="706.42250000000001"/>
    <n v="43624.178615593162"/>
    <n v="2825.69"/>
  </r>
  <r>
    <x v="6"/>
    <n v="1902014"/>
    <s v="VOLCOGLASS X RH 1,20 x 2,40 x 15MM BORDE"/>
    <s v="PL"/>
    <n v="360"/>
    <n v="0"/>
    <n v="12"/>
    <x v="15"/>
    <n v="457"/>
    <n v="445"/>
    <n v="5.5125000000000002"/>
    <n v="80.725623582766431"/>
    <n v="2.1768707482993195"/>
    <n v="82.902494331065753"/>
    <n v="48.960998760804401"/>
    <n v="29799.757692307692"/>
    <n v="1459025.8994453484"/>
    <n v="357597.09230769228"/>
  </r>
  <r>
    <x v="7"/>
    <n v="304007"/>
    <s v="PLACA OSB STANDARD DE 1.22 x 2.44 x 11.1 MM ( 72 X PAQUETE )"/>
    <s v="PL"/>
    <n v="972"/>
    <n v="0"/>
    <n v="76"/>
    <x v="6"/>
    <n v="1097"/>
    <n v="1021"/>
    <n v="8.6625000000000014"/>
    <n v="117.86435786435784"/>
    <n v="8.7734487734487718"/>
    <n v="126.63780663780662"/>
    <n v="49.380916982648586"/>
    <n v="11557.16697761194"/>
    <n v="570703.50307606289"/>
    <n v="878344.69029850746"/>
  </r>
  <r>
    <x v="7"/>
    <n v="701043"/>
    <s v="PLANCHA YESO CARTON VOLCAN RF 1.22 x 3.40 x 15MM WHITE BORDE CUADRADO (40PLXPQ) SKU 5002142"/>
    <s v="PL "/>
    <n v="836"/>
    <n v="0"/>
    <n v="135"/>
    <x v="9"/>
    <n v="933"/>
    <n v="798"/>
    <n v="7.0875000000000012"/>
    <n v="112.59259259259257"/>
    <n v="19.047619047619044"/>
    <n v="131.64021164021162"/>
    <n v="45.426425165402243"/>
    <n v="22493.996861924687"/>
    <n v="1021821.8651190146"/>
    <n v="3036689.5763598327"/>
  </r>
  <r>
    <x v="7"/>
    <n v="302046"/>
    <s v="PINO IMPREGNADO SECO CEPILLADO G2 2 x 6&quot; x 4,00 (41 x 138 )"/>
    <s v="PZA"/>
    <n v="3757"/>
    <n v="0"/>
    <n v="144"/>
    <x v="8"/>
    <n v="3854"/>
    <n v="3710"/>
    <n v="34.65"/>
    <n v="107.07070707070707"/>
    <n v="4.1558441558441563"/>
    <n v="111.22655122655124"/>
    <n v="60.789998521600253"/>
    <n v="10292.490437458782"/>
    <n v="625680.4784767041"/>
    <n v="1482118.6229940646"/>
  </r>
  <r>
    <x v="7"/>
    <n v="302010"/>
    <s v="PINO IMPREGNADO SECO CEPILLADO G2 2 x 6&quot; x 3,20 (41 x 138 )"/>
    <s v="PZA"/>
    <n v="2856"/>
    <n v="0"/>
    <n v="420"/>
    <x v="3"/>
    <n v="2953"/>
    <n v="2533"/>
    <n v="34.912500000000023"/>
    <n v="72.552810597923326"/>
    <n v="12.030075187969917"/>
    <n v="84.582885785893254"/>
    <n v="61.577289343762459"/>
    <n v="5566.8590808416393"/>
    <n v="342792.09235693718"/>
    <n v="2338080.8139534886"/>
  </r>
  <r>
    <x v="7"/>
    <n v="1901008"/>
    <s v="AISLAN  GLASS 90 MM 0.375x12 MTS . DENSIDAD 14 KG/M3 (13.5 M2 X BOLSA) SKU 4000147"/>
    <s v="M2"/>
    <n v="5721"/>
    <n v="0"/>
    <n v="50"/>
    <x v="10"/>
    <n v="6034"/>
    <n v="5984"/>
    <n v="62.430325650000007"/>
    <n v="95.850853534671558"/>
    <n v="0.80089282699424769"/>
    <n v="96.651746361665815"/>
    <n v="62.451846192449487"/>
    <n v="2059.785564685033"/>
    <n v="128637.41127513739"/>
    <n v="102989.27823425166"/>
  </r>
  <r>
    <x v="7"/>
    <n v="304002"/>
    <s v="PLACA SMART SIDE R-4 SPC-M111 DE 1.220X2.440X11.1 MM (72 PL.POR PALLET )"/>
    <s v="PL"/>
    <n v="2111"/>
    <n v="0"/>
    <n v="201"/>
    <x v="11"/>
    <n v="2232"/>
    <n v="2031"/>
    <n v="23.296874999999996"/>
    <n v="87.17907444668009"/>
    <n v="8.627766599597587"/>
    <n v="95.806841046277682"/>
    <n v="59.8875668497909"/>
    <n v="21579.067512460355"/>
    <n v="1292317.8482086204"/>
    <n v="4337392.5700045312"/>
  </r>
  <r>
    <x v="7"/>
    <n v="304101"/>
    <s v="PLACA LP OSB STANDAR 1.22 x2.44 x 9.5 MM APA PT-OECA095   (84 PL.xPAQ)"/>
    <s v="PL"/>
    <n v="4261"/>
    <n v="0"/>
    <n v="232"/>
    <x v="1"/>
    <n v="4394"/>
    <n v="4162"/>
    <n v="47.643749999999976"/>
    <n v="87.356683720320135"/>
    <n v="4.8694739603830541"/>
    <n v="92.226157680703182"/>
    <n v="62.064254856498422"/>
    <n v="9652.5142678608627"/>
    <n v="599076.10552650387"/>
    <n v="2239383.3101437204"/>
  </r>
  <r>
    <x v="7"/>
    <n v="302028"/>
    <s v="PINO IMPREGNADO SECO CEPILLADO G2 2 x 4&quot; x 3,20 (41 x 90 )"/>
    <s v="PZA"/>
    <n v="9601"/>
    <n v="0"/>
    <n v="583"/>
    <x v="4"/>
    <n v="9698"/>
    <n v="9115"/>
    <n v="172.72499999999994"/>
    <n v="52.771746996671027"/>
    <n v="3.3753075698364463"/>
    <n v="56.147054566507471"/>
    <s v=""/>
    <n v="4760.4046547265589"/>
    <s v=""/>
    <n v="2775315.9137055837"/>
  </r>
  <r>
    <x v="7"/>
    <n v="304049"/>
    <s v="TERCIADO FENOLICO CD DE 1,22 X 2,44 X 15 mm (65 PL X PQTE)"/>
    <s v="PL"/>
    <n v="1885"/>
    <n v="0"/>
    <n v="134"/>
    <x v="5"/>
    <n v="2152"/>
    <n v="2018"/>
    <n v="23.273250000000008"/>
    <n v="86.708989934796364"/>
    <n v="5.7576831770380137"/>
    <n v="92.466673111834368"/>
    <n v="60.026911879009837"/>
    <n v="15018.620734341253"/>
    <n v="901521.42336457246"/>
    <n v="2012495.1784017279"/>
  </r>
  <r>
    <x v="7"/>
    <n v="701096"/>
    <s v="PLANCHA YESO CARTON VOLCAN RF 122 x 2.44 x 15 LINEN GREY BORDE CUADRADO 70 PLXPALLET SKU 5002205"/>
    <s v="PL"/>
    <n v="2100"/>
    <n v="0"/>
    <n v="218"/>
    <x v="7"/>
    <n v="2321"/>
    <n v="2103"/>
    <n v="31.237499999999997"/>
    <n v="67.322929171668676"/>
    <n v="6.978791516606643"/>
    <n v="74.30172068827531"/>
    <n v="61.62139349537334"/>
    <n v="16226.792738275341"/>
    <n v="999917.58049313142"/>
    <n v="3537440.8169440241"/>
  </r>
  <r>
    <x v="7"/>
    <n v="701040"/>
    <s v="PLANCHA YESO CARTON RF 1.22x2.44x15 BORDE CUADRADO S/PAPEL ( 2,9768 M2 X PL=70 PLX PQTE) SKU 5001097"/>
    <s v="PL"/>
    <n v="1055"/>
    <n v="0"/>
    <n v="227"/>
    <x v="12"/>
    <n v="1152"/>
    <n v="925"/>
    <n v="4.2840000000000007"/>
    <n v="215.91970121381883"/>
    <n v="52.987861811391213"/>
    <n v="268.90756302521004"/>
    <n v="1.2297938783356699"/>
    <n v="7583.0947867298582"/>
    <n v="9325.6435475595117"/>
    <n v="1721362.5165876779"/>
  </r>
  <r>
    <x v="7"/>
    <n v="1902003"/>
    <s v="TYPAR VOLCANWRAP ROLLO DE 2,743 x 45,72 MTS ( 125 M2 x ROLLO ) SKU 7000031"/>
    <s v="RLL"/>
    <n v="79"/>
    <n v="0"/>
    <n v="7"/>
    <x v="13"/>
    <n v="177"/>
    <n v="170"/>
    <n v="0.41466600000000009"/>
    <n v="409.96850477251564"/>
    <n v="16.881056078868291"/>
    <n v="426.8495608513839"/>
    <n v="-965.38162485321641"/>
    <n v="150732.2183908046"/>
    <n v="-145514113.90784481"/>
    <n v="1055125.5287356321"/>
  </r>
  <r>
    <x v="7"/>
    <s v="030253X"/>
    <s v="PINO SYP GRADO 2 PRIME IMPREGNADO DE  3&quot; x 8&quot; x 10' (63x184 mm)"/>
    <s v="PZA"/>
    <n v="528"/>
    <n v="4.2840000000000007"/>
    <n v="28"/>
    <x v="0"/>
    <n v="745"/>
    <n v="717"/>
    <n v="6.3000000000000007"/>
    <n v="113.8095238095238"/>
    <n v="4.4444444444444438"/>
    <n v="118.25396825396824"/>
    <n v="45.229528848576471"/>
    <n v="15451.816831683169"/>
    <n v="698878.39515153342"/>
    <n v="432650.87128712871"/>
  </r>
  <r>
    <x v="7"/>
    <n v="701084"/>
    <s v="FIBROCEMENTO LISO 1.2 x 2.40 x 22 MM (VOLCAN)"/>
    <s v="PL"/>
    <n v="72"/>
    <n v="0"/>
    <n v="29"/>
    <x v="14"/>
    <n v="169"/>
    <n v="140"/>
    <n v="0.69825000000000004"/>
    <n v="200.50125313283206"/>
    <n v="41.532402434658074"/>
    <n v="242.03365556749014"/>
    <n v="-282.62893744001451"/>
    <n v="39170.619565217392"/>
    <n v="-11070750.586584434"/>
    <n v="1135947.9673913044"/>
  </r>
  <r>
    <x v="7"/>
    <n v="5309018"/>
    <s v="CINTA POLIESTER DE 2&quot; COLOR VERDE (ROLLO= 100 mt=15 kg)"/>
    <s v="M2"/>
    <n v="3200"/>
    <n v="0"/>
    <n v="5"/>
    <x v="13"/>
    <n v="3297"/>
    <n v="3292"/>
    <n v="34.649999999999991"/>
    <n v="95.007215007215024"/>
    <n v="0.14430014430014435"/>
    <n v="95.15151515151517"/>
    <n v="61.253924526651801"/>
    <n v="706.42250000000001"/>
    <n v="43271.150498928684"/>
    <n v="3532.1125000000002"/>
  </r>
  <r>
    <x v="7"/>
    <n v="1902014"/>
    <s v="VOLCOGLASS X RH 1,20 x 2,40 x 15MM BORDE"/>
    <s v="PL"/>
    <n v="360"/>
    <n v="0"/>
    <n v="12"/>
    <x v="15"/>
    <n v="457"/>
    <n v="445"/>
    <n v="5.5125000000000002"/>
    <n v="80.725623582766431"/>
    <n v="2.1768707482993195"/>
    <n v="82.902494331065753"/>
    <n v="48.960998760804401"/>
    <n v="29799.757692307692"/>
    <n v="1459025.8994453484"/>
    <n v="357597.09230769228"/>
  </r>
  <r>
    <x v="8"/>
    <n v="304007"/>
    <s v="PLACA OSB STANDARD DE 1.22 x 2.44 x 11.1 MM ( 72 X PAQUETE )"/>
    <s v="PL"/>
    <n v="1072"/>
    <n v="0"/>
    <n v="114"/>
    <x v="6"/>
    <n v="1169"/>
    <n v="1055"/>
    <n v="8.6625000000000014"/>
    <n v="121.78932178932178"/>
    <n v="13.160173160173159"/>
    <n v="134.94949494949492"/>
    <n v="48.421414724445036"/>
    <n v="11557.16697761194"/>
    <n v="559614.37526260875"/>
    <n v="1317517.0354477612"/>
  </r>
  <r>
    <x v="8"/>
    <n v="701043"/>
    <s v="PLANCHA YESO CARTON VOLCAN RF 1.22 x 3.40 x 15MM WHITE BORDE CUADRADO (40PLXPQ) SKU 5002142"/>
    <s v="PL "/>
    <n v="836"/>
    <n v="0"/>
    <n v="100"/>
    <x v="9"/>
    <n v="933"/>
    <n v="833"/>
    <n v="7.0875000000000012"/>
    <n v="117.53086419753085"/>
    <n v="14.109347442680773"/>
    <n v="131.64021164021162"/>
    <n v="45.426425165402243"/>
    <n v="22493.996861924687"/>
    <n v="1021821.8651190146"/>
    <n v="2249399.6861924687"/>
  </r>
  <r>
    <x v="8"/>
    <n v="302046"/>
    <s v="PINO IMPREGNADO SECO CEPILLADO G2 2 x 6&quot; x 4,00 (41 x 138 )"/>
    <s v="PZA"/>
    <n v="4045"/>
    <n v="0"/>
    <n v="144"/>
    <x v="8"/>
    <n v="4310"/>
    <n v="4166"/>
    <n v="34.65"/>
    <n v="120.23088023088023"/>
    <n v="4.1558441558441563"/>
    <n v="124.3867243867244"/>
    <n v="60.410195544394675"/>
    <n v="10292.490437458782"/>
    <n v="621771.35996569728"/>
    <n v="1482118.6229940646"/>
  </r>
  <r>
    <x v="8"/>
    <n v="302010"/>
    <s v="PINO IMPREGNADO SECO CEPILLADO G2 2 x 6&quot; x 3,20 (41 x 138 )"/>
    <s v="PZA"/>
    <n v="3024"/>
    <n v="0"/>
    <n v="336"/>
    <x v="3"/>
    <n v="3121"/>
    <n v="2785"/>
    <n v="34.912500000000023"/>
    <n v="79.770855710705277"/>
    <n v="9.624060150375934"/>
    <n v="89.394915861081216"/>
    <n v="61.439458192307022"/>
    <n v="5566.8590808416393"/>
    <n v="342024.80575983459"/>
    <n v="1870464.6511627908"/>
  </r>
  <r>
    <x v="8"/>
    <n v="1901008"/>
    <s v="AISLAN  GLASS 90 MM 0.375x12 MTS . DENSIDAD 14 KG/M3 (13.5 M2 X BOLSA) SKU 4000147"/>
    <s v="M2"/>
    <n v="6207"/>
    <n v="0"/>
    <n v="51"/>
    <x v="10"/>
    <n v="6304"/>
    <n v="6253"/>
    <n v="62.430325650000007"/>
    <n v="100.15965694390061"/>
    <n v="0.81691068353413265"/>
    <n v="100.97656762743475"/>
    <n v="62.382571825853759"/>
    <n v="2059.785564685033"/>
    <n v="128494.72093482081"/>
    <n v="105049.06379893668"/>
  </r>
  <r>
    <x v="8"/>
    <n v="304002"/>
    <s v="PLACA SMART SIDE R-4 SPC-M111 DE 1.220X2.440X11.1 MM (72 PL.POR PALLET )"/>
    <s v="PL"/>
    <n v="2207"/>
    <n v="0"/>
    <n v="209"/>
    <x v="11"/>
    <n v="2304"/>
    <n v="2095"/>
    <n v="23.296874999999996"/>
    <n v="89.926224010731062"/>
    <n v="8.9711602951039584"/>
    <n v="98.897384305835018"/>
    <n v="59.754907715913184"/>
    <n v="21579.067512460355"/>
    <n v="1289455.1878025287"/>
    <n v="4510025.1101042144"/>
  </r>
  <r>
    <x v="8"/>
    <n v="304101"/>
    <s v="PLACA LP OSB STANDAR 1.22 x2.44 x 9.5 MM APA PT-OECA095   (84 PL.xPAQ)"/>
    <s v="PL"/>
    <n v="4633"/>
    <n v="0"/>
    <n v="379"/>
    <x v="1"/>
    <n v="4898"/>
    <n v="4519"/>
    <n v="47.643749999999976"/>
    <n v="94.849796667978538"/>
    <n v="7.9548734094188678"/>
    <n v="102.8046700773974"/>
    <n v="61.842221276087685"/>
    <n v="9652.5142678608627"/>
    <n v="596932.92322364496"/>
    <n v="3658302.9075192669"/>
  </r>
  <r>
    <x v="8"/>
    <n v="302028"/>
    <s v="PINO IMPREGNADO SECO CEPILLADO G2 2 x 4&quot; x 3,20 (41 x 90 )"/>
    <s v="PZA"/>
    <n v="9841"/>
    <n v="0"/>
    <n v="382"/>
    <x v="4"/>
    <n v="9938"/>
    <n v="9556"/>
    <n v="172.72499999999994"/>
    <n v="55.324938486032728"/>
    <n v="2.2116080474743098"/>
    <n v="57.536546533507043"/>
    <s v=""/>
    <n v="4760.4046547265589"/>
    <s v=""/>
    <n v="1818474.5781055456"/>
  </r>
  <r>
    <x v="8"/>
    <n v="304049"/>
    <s v="TERCIADO FENOLICO CD DE 1,22 X 2,44 X 15 mm (65 PL X PQTE)"/>
    <s v="PL"/>
    <n v="2185"/>
    <n v="0"/>
    <n v="242"/>
    <x v="5"/>
    <n v="2282"/>
    <n v="2040"/>
    <n v="23.273250000000008"/>
    <n v="87.654281202668272"/>
    <n v="10.398203946591039"/>
    <n v="98.052485149259311"/>
    <n v="59.78690190887567"/>
    <n v="15018.620734341253"/>
    <n v="897916.80465066677"/>
    <n v="3634506.2177105835"/>
  </r>
  <r>
    <x v="8"/>
    <n v="701096"/>
    <s v="PLANCHA YESO CARTON VOLCAN RF 122 x 2.44 x 15 LINEN GREY BORDE CUADRADO 70 PLXPALLET SKU 5002205"/>
    <s v="PL"/>
    <n v="2364"/>
    <n v="0"/>
    <n v="227"/>
    <x v="7"/>
    <n v="2461"/>
    <n v="2234"/>
    <n v="31.237499999999997"/>
    <n v="71.516606642657067"/>
    <n v="7.2669067627050827"/>
    <n v="78.783513405362157"/>
    <n v="61.477918738523819"/>
    <n v="16226.792738275341"/>
    <n v="997589.44535055978"/>
    <n v="3683481.9515885022"/>
  </r>
  <r>
    <x v="8"/>
    <n v="701040"/>
    <s v="PLANCHA YESO CARTON RF 1.22x2.44x15 BORDE CUADRADO S/PAPEL ( 2,9768 M2 X PL=70 PLX PQTE) SKU 5001097"/>
    <s v="PL"/>
    <n v="1055"/>
    <n v="0"/>
    <n v="186"/>
    <x v="12"/>
    <n v="1152"/>
    <n v="966"/>
    <n v="4.2840000000000007"/>
    <n v="225.49019607843132"/>
    <n v="43.417366946778706"/>
    <n v="268.90756302521004"/>
    <n v="1.2297938783356699"/>
    <n v="7583.0947867298582"/>
    <n v="9325.6435475595117"/>
    <n v="1410455.6303317535"/>
  </r>
  <r>
    <x v="8"/>
    <n v="1902003"/>
    <s v="TYPAR VOLCANWRAP ROLLO DE 2,743 x 45,72 MTS ( 125 M2 x ROLLO ) SKU 7000031"/>
    <s v="RLL"/>
    <n v="87"/>
    <n v="0"/>
    <n v="5"/>
    <x v="13"/>
    <n v="184"/>
    <n v="179"/>
    <n v="0.41466600000000009"/>
    <n v="431.67271973106057"/>
    <n v="12.057897199191636"/>
    <n v="443.73061693025221"/>
    <n v="-1006.0916326157731"/>
    <n v="150732.2183908046"/>
    <n v="-151650423.68860185"/>
    <n v="753661.091954023"/>
  </r>
  <r>
    <x v="8"/>
    <s v="030253X"/>
    <s v="PINO SYP GRADO 2 PRIME IMPREGNADO DE  3&quot; x 8&quot; x 10' (63x184 mm)"/>
    <s v="PZA"/>
    <n v="728"/>
    <n v="0.7111632270168855"/>
    <n v="7"/>
    <x v="0"/>
    <n v="825"/>
    <n v="818"/>
    <n v="6.3000000000000007"/>
    <n v="129.84126984126982"/>
    <n v="1.1111111111111109"/>
    <n v="130.95238095238093"/>
    <n v="43.21390778533636"/>
    <n v="15451.816831683169"/>
    <n v="667733.38768026466"/>
    <n v="108162.71782178218"/>
  </r>
  <r>
    <x v="8"/>
    <n v="701084"/>
    <s v="FIBROCEMENTO LISO 1.2 x 2.40 x 22 MM (VOLCAN)"/>
    <s v="PL"/>
    <n v="92"/>
    <n v="0"/>
    <n v="41"/>
    <x v="14"/>
    <n v="189"/>
    <n v="148"/>
    <n v="0.69825000000000004"/>
    <n v="211.95846759756532"/>
    <n v="58.718224131757964"/>
    <n v="270.6766917293233"/>
    <n v="-323.65011346841857"/>
    <n v="39170.619565217392"/>
    <n v="-12677575.466910865"/>
    <n v="1605995.4021739131"/>
  </r>
  <r>
    <x v="8"/>
    <n v="5309018"/>
    <s v="CINTA POLIESTER DE 2&quot; COLOR VERDE (ROLLO= 100 mt=15 kg)"/>
    <s v="M2"/>
    <n v="3200"/>
    <n v="0"/>
    <n v="4"/>
    <x v="13"/>
    <n v="3297"/>
    <n v="3293"/>
    <n v="34.649999999999991"/>
    <n v="95.036075036075061"/>
    <n v="0.11544011544011547"/>
    <n v="95.15151515151517"/>
    <n v="61.253924526651801"/>
    <n v="706.42250000000001"/>
    <n v="43271.150498928684"/>
    <n v="2825.69"/>
  </r>
  <r>
    <x v="8"/>
    <n v="1902014"/>
    <s v="VOLCOGLASS X RH 1,20 x 2,40 x 15MM BORDE"/>
    <s v="PL"/>
    <n v="360"/>
    <n v="0"/>
    <n v="140"/>
    <x v="15"/>
    <n v="617"/>
    <n v="477"/>
    <n v="5.5125000000000002"/>
    <n v="86.530612244897952"/>
    <n v="25.396825396825395"/>
    <n v="111.92743764172336"/>
    <n v="43.695702922136348"/>
    <n v="29799.757692307692"/>
    <n v="1302121.3592747243"/>
    <n v="4171966.076923077"/>
  </r>
  <r>
    <x v="9"/>
    <n v="304007"/>
    <s v="PLACA OSB STANDARD DE 1.22 x 2.44 x 11.1 MM ( 72 X PAQUETE )"/>
    <s v="PL"/>
    <n v="1072"/>
    <n v="0"/>
    <n v="78"/>
    <x v="6"/>
    <n v="1169"/>
    <n v="1091"/>
    <n v="8.6625000000000014"/>
    <n v="125.94516594516593"/>
    <n v="9.0043290043290032"/>
    <n v="134.94949494949492"/>
    <n v="48.421414724445036"/>
    <n v="11557.16697761194"/>
    <n v="559614.37526260875"/>
    <n v="901459.02425373124"/>
  </r>
  <r>
    <x v="9"/>
    <n v="701043"/>
    <s v="PLANCHA YESO CARTON VOLCAN RF 1.22 x 3.40 x 15MM WHITE BORDE CUADRADO (40PLXPQ) SKU 5002142"/>
    <s v="PL "/>
    <n v="956"/>
    <n v="0"/>
    <n v="142"/>
    <x v="9"/>
    <n v="1053"/>
    <n v="911"/>
    <n v="7.0875000000000012"/>
    <n v="128.53615520282185"/>
    <n v="20.035273368606699"/>
    <n v="148.57142857142856"/>
    <n v="43.037540942302854"/>
    <n v="22493.996861924687"/>
    <n v="968086.31090111565"/>
    <n v="3194147.5543933054"/>
  </r>
  <r>
    <x v="9"/>
    <n v="302046"/>
    <s v="PINO IMPREGNADO SECO CEPILLADO G2 2 x 6&quot; x 4,00 (41 x 138 )"/>
    <s v="PZA"/>
    <n v="4549"/>
    <n v="0"/>
    <n v="348"/>
    <x v="8"/>
    <n v="4646"/>
    <n v="4298"/>
    <n v="34.65"/>
    <n v="124.04040404040404"/>
    <n v="10.043290043290044"/>
    <n v="134.0836940836941"/>
    <n v="60.130340719085311"/>
    <n v="10292.490437458782"/>
    <n v="618890.95685232396"/>
    <n v="3581786.6722356561"/>
  </r>
  <r>
    <x v="9"/>
    <n v="302010"/>
    <s v="PINO IMPREGNADO SECO CEPILLADO G2 2 x 6&quot; x 3,20 (41 x 138 )"/>
    <s v="PZA"/>
    <n v="3024"/>
    <n v="0"/>
    <n v="0"/>
    <x v="3"/>
    <n v="3121"/>
    <n v="3121"/>
    <n v="34.912500000000023"/>
    <n v="89.394915861081216"/>
    <n v="0"/>
    <n v="89.394915861081216"/>
    <n v="61.439458192307022"/>
    <n v="5566.8590808416393"/>
    <n v="342024.80575983459"/>
    <n v="0"/>
  </r>
  <r>
    <x v="9"/>
    <n v="1901008"/>
    <s v="AISLAN  GLASS 90 MM 0.375x12 MTS . DENSIDAD 14 KG/M3 (13.5 M2 X BOLSA) SKU 4000147"/>
    <s v="M2"/>
    <n v="6207"/>
    <n v="0"/>
    <n v="7"/>
    <x v="10"/>
    <n v="6304"/>
    <n v="6297"/>
    <n v="62.430325650000007"/>
    <n v="100.86444263165555"/>
    <n v="0.11212499577919467"/>
    <n v="100.97656762743475"/>
    <n v="62.382571825853759"/>
    <n v="2059.785564685033"/>
    <n v="128494.72093482081"/>
    <n v="14418.498952795231"/>
  </r>
  <r>
    <x v="9"/>
    <n v="304002"/>
    <s v="PLACA SMART SIDE R-4 SPC-M111 DE 1.220X2.440X11.1 MM (72 PL.POR PALLET )"/>
    <s v="PL"/>
    <n v="2207"/>
    <n v="0"/>
    <n v="180"/>
    <x v="11"/>
    <n v="2304"/>
    <n v="2124"/>
    <n v="23.296874999999996"/>
    <n v="91.171026156941664"/>
    <n v="7.726358148893361"/>
    <n v="98.897384305835018"/>
    <n v="59.754907715913184"/>
    <n v="21579.067512460355"/>
    <n v="1289455.1878025287"/>
    <n v="3884232.152242864"/>
  </r>
  <r>
    <x v="9"/>
    <n v="304101"/>
    <s v="PLACA LP OSB STANDAR 1.22 x2.44 x 9.5 MM APA PT-OECA095   (84 PL.xPAQ)"/>
    <s v="PL"/>
    <n v="4801"/>
    <n v="0"/>
    <n v="296"/>
    <x v="1"/>
    <n v="4898"/>
    <n v="4602"/>
    <n v="47.643749999999976"/>
    <n v="96.591892955529374"/>
    <n v="6.2127771218680339"/>
    <n v="102.8046700773974"/>
    <n v="61.842221276087685"/>
    <n v="9652.5142678608627"/>
    <n v="596932.92322364496"/>
    <n v="2857144.2232868155"/>
  </r>
  <r>
    <x v="9"/>
    <n v="302028"/>
    <s v="PINO IMPREGNADO SECO CEPILLADO G2 2 x 4&quot; x 3,20 (41 x 90 )"/>
    <s v="PZA"/>
    <n v="9841"/>
    <n v="0"/>
    <n v="240"/>
    <x v="4"/>
    <n v="9938"/>
    <n v="9698"/>
    <n v="172.72499999999994"/>
    <n v="56.147054566507471"/>
    <n v="1.3894919669995662"/>
    <n v="57.536546533507043"/>
    <s v=""/>
    <n v="4760.4046547265589"/>
    <s v=""/>
    <n v="1142497.1171343741"/>
  </r>
  <r>
    <x v="9"/>
    <n v="304049"/>
    <s v="TERCIADO FENOLICO CD DE 1,22 X 2,44 X 15 mm (65 PL X PQTE)"/>
    <s v="PL"/>
    <n v="2315"/>
    <n v="0"/>
    <n v="154"/>
    <x v="5"/>
    <n v="2412"/>
    <n v="2258"/>
    <n v="23.273250000000008"/>
    <n v="97.021258311580866"/>
    <n v="6.6170388751033888"/>
    <n v="103.63829718668424"/>
    <n v="59.54689193874151"/>
    <n v="15018.620734341253"/>
    <n v="894312.18593676132"/>
    <n v="2312867.5930885528"/>
  </r>
  <r>
    <x v="9"/>
    <n v="701096"/>
    <s v="PLANCHA YESO CARTON VOLCAN RF 122 x 2.44 x 15 LINEN GREY BORDE CUADRADO 70 PLXPALLET SKU 5002205"/>
    <s v="PL"/>
    <n v="2644"/>
    <n v="0"/>
    <n v="308"/>
    <x v="7"/>
    <n v="2741"/>
    <n v="2433"/>
    <n v="31.237499999999997"/>
    <n v="77.887154861944779"/>
    <n v="9.8599439775910369"/>
    <n v="87.747098839535823"/>
    <n v="61.190969224824784"/>
    <n v="16226.792738275341"/>
    <n v="992933.17506541661"/>
    <n v="4997852.1633888045"/>
  </r>
  <r>
    <x v="9"/>
    <n v="701040"/>
    <s v="PLANCHA YESO CARTON RF 1.22x2.44x15 BORDE CUADRADO S/PAPEL ( 2,9768 M2 X PL=70 PLX PQTE) SKU 5001097"/>
    <s v="PL"/>
    <n v="1055"/>
    <n v="0"/>
    <n v="129"/>
    <x v="12"/>
    <n v="1152"/>
    <n v="1023"/>
    <n v="4.2840000000000007"/>
    <n v="238.79551820728287"/>
    <n v="30.112044817927167"/>
    <n v="268.90756302521004"/>
    <n v="1.2297938783356699"/>
    <n v="7583.0947867298582"/>
    <n v="9325.6435475595117"/>
    <n v="978219.22748815175"/>
  </r>
  <r>
    <x v="9"/>
    <n v="1902003"/>
    <s v="TYPAR VOLCANWRAP ROLLO DE 2,743 x 45,72 MTS ( 125 M2 x ROLLO ) SKU 7000031"/>
    <s v="RLL"/>
    <n v="87"/>
    <n v="0"/>
    <n v="19"/>
    <x v="13"/>
    <n v="184"/>
    <n v="165"/>
    <n v="0.41466600000000009"/>
    <n v="397.910607573324"/>
    <n v="45.820009356928217"/>
    <n v="443.73061693025221"/>
    <n v="-1006.0916326157731"/>
    <n v="150732.2183908046"/>
    <n v="-151650423.68860185"/>
    <n v="2863912.1494252873"/>
  </r>
  <r>
    <x v="9"/>
    <s v="030253X"/>
    <s v="PINO SYP GRADO 2 PRIME IMPREGNADO DE  3&quot; x 8&quot; x 10' (63x184 mm)"/>
    <s v="PZA"/>
    <n v="808"/>
    <n v="0.52500000000000002"/>
    <n v="0"/>
    <x v="0"/>
    <n v="905"/>
    <n v="905"/>
    <n v="6.3000000000000007"/>
    <n v="143.65079365079364"/>
    <n v="0"/>
    <n v="143.65079365079364"/>
    <n v="41.198286722096249"/>
    <n v="15451.816831683169"/>
    <n v="636588.38020899601"/>
    <n v="0"/>
  </r>
  <r>
    <x v="9"/>
    <n v="701084"/>
    <s v="FIBROCEMENTO LISO 1.2 x 2.40 x 22 MM (VOLCAN)"/>
    <s v="PL"/>
    <n v="92"/>
    <n v="0"/>
    <n v="40"/>
    <x v="14"/>
    <n v="189"/>
    <n v="149"/>
    <n v="0.69825000000000004"/>
    <n v="213.39061940565699"/>
    <n v="57.286072323666303"/>
    <n v="270.6766917293233"/>
    <n v="-323.65011346841857"/>
    <n v="39170.619565217392"/>
    <n v="-12677575.466910865"/>
    <n v="1566824.7826086958"/>
  </r>
  <r>
    <x v="9"/>
    <n v="5309018"/>
    <s v="CINTA POLIESTER DE 2&quot; COLOR VERDE (ROLLO= 100 mt=15 kg)"/>
    <s v="M2"/>
    <n v="3200"/>
    <n v="0"/>
    <n v="1"/>
    <x v="13"/>
    <n v="3297"/>
    <n v="3296"/>
    <n v="34.649999999999991"/>
    <n v="95.122655122655146"/>
    <n v="2.8860028860028867E-2"/>
    <n v="95.15151515151517"/>
    <n v="61.253924526651801"/>
    <n v="706.42250000000001"/>
    <n v="43271.150498928684"/>
    <n v="706.42250000000001"/>
  </r>
  <r>
    <x v="9"/>
    <n v="1902014"/>
    <s v="VOLCOGLASS X RH 1,20 x 2,40 x 15MM BORDE"/>
    <s v="PL"/>
    <n v="520"/>
    <n v="0"/>
    <n v="59"/>
    <x v="15"/>
    <n v="617"/>
    <n v="558"/>
    <n v="5.5125000000000002"/>
    <n v="101.22448979591836"/>
    <n v="10.702947845804989"/>
    <n v="111.92743764172336"/>
    <n v="43.695702922136348"/>
    <n v="29799.757692307692"/>
    <n v="1302121.3592747243"/>
    <n v="1758185.7038461538"/>
  </r>
  <r>
    <x v="9"/>
    <n v="302054"/>
    <s v="PINO NACIONAL GRADO C-16/C-24 DE 2&quot; x 4&quot; x 2,44 m (41x90mm) (VIVIENDAS SOCIALES) "/>
    <s v="PZA"/>
    <n v="15000"/>
    <m/>
    <n v="723"/>
    <x v="13"/>
    <n v="15097"/>
    <n v="14374"/>
    <s v=""/>
    <e v="#VALUE!"/>
    <e v="#VALUE!"/>
    <e v="#VALUE!"/>
    <e v="#VALUE!"/>
    <n v="4898.2382666666663"/>
    <s v=""/>
    <n v="3541426.2667999999"/>
  </r>
  <r>
    <x v="9"/>
    <n v="302048"/>
    <s v="PINO NACIONAL ESTRUCTURAL CEPILLADO 4/CARAS  IMPREGNADO DE  2 X 8 X 4.00 (41 x 185 MM ) (VVSS)"/>
    <s v="PZA"/>
    <n v="2598"/>
    <m/>
    <n v="0"/>
    <x v="2"/>
    <n v="2695"/>
    <n v="2695"/>
    <s v=""/>
    <e v="#VALUE!"/>
    <e v="#VALUE!"/>
    <e v="#VALUE!"/>
    <e v="#VALUE!"/>
    <n v="13720.09507313318"/>
    <s v=""/>
    <n v="0"/>
  </r>
  <r>
    <x v="9"/>
    <n v="705028"/>
    <s v="PLACA FIBROCEMENTO SIMPLISIMA CENIA BEIGE 2400 MM x 1200 MM x 6 MM"/>
    <s v="PL"/>
    <n v="369"/>
    <n v="0"/>
    <n v="68"/>
    <x v="16"/>
    <n v="506"/>
    <n v="438"/>
    <n v="3.6749999999999998"/>
    <n v="119.18367346938776"/>
    <n v="18.503401360544217"/>
    <n v="137.68707482993199"/>
    <n v="26.534129297977685"/>
    <n v="22787.611246943765"/>
    <n v="604649.42321845633"/>
    <n v="1549557.564792176"/>
  </r>
  <r>
    <x v="9"/>
    <n v="1902013"/>
    <s v="VOLCAN WRAP BARRERA DE VAPOR (PAPEL KRAFT LAM C/ POLIETILENO) 1,2X0,5M E: 0,123 MM (6KG 60M2 X RLL)"/>
    <s v="RLL"/>
    <n v="314"/>
    <n v="0"/>
    <n v="22"/>
    <x v="13"/>
    <n v="411"/>
    <n v="389"/>
    <n v="130.33466250000004"/>
    <n v="2.9846242936333218"/>
    <n v="0.1687962325448151"/>
    <n v="3.1534205261781367"/>
    <s v=""/>
    <n v="39952.315286624202"/>
    <s v=""/>
    <n v="878950.93630573247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4">
  <r>
    <x v="0"/>
    <x v="0"/>
    <n v="2282600001"/>
    <x v="0"/>
    <x v="0"/>
    <d v="2026-03-16T00:00:00"/>
    <x v="0"/>
    <d v="2026-05-11T00:00:00"/>
    <d v="2026-04-28T00:00:00"/>
    <s v=""/>
    <d v="2026-05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"/>
    <n v="2302600002"/>
    <x v="1"/>
    <x v="0"/>
    <d v="2026-03-19T00:00:00"/>
    <x v="1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"/>
    <n v="2302600003"/>
    <x v="1"/>
    <x v="0"/>
    <d v="2026-03-18T00:00:00"/>
    <x v="2"/>
    <d v="2026-05-18T00:00:00"/>
    <d v="2026-05-05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3"/>
    <n v="2282600004"/>
    <x v="0"/>
    <x v="0"/>
    <d v="2026-03-12T00:00:00"/>
    <x v="3"/>
    <d v="2026-05-14T00:00:00"/>
    <d v="2026-04-3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4"/>
    <n v="2282600005"/>
    <x v="0"/>
    <x v="0"/>
    <d v="2026-03-23T00:00:00"/>
    <x v="4"/>
    <d v="2026-05-08T00:00:00"/>
    <d v="2026-05-05T00:00:00"/>
    <s v=""/>
    <d v="2026-05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5"/>
    <n v="2302600006"/>
    <x v="1"/>
    <x v="0"/>
    <d v="2026-03-24T00:00:00"/>
    <x v="5"/>
    <d v="2026-05-27T00:00:00"/>
    <d v="2026-05-11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6"/>
    <n v="2302600007"/>
    <x v="1"/>
    <x v="0"/>
    <d v="2026-03-24T00:00:00"/>
    <x v="5"/>
    <d v="2026-06-05T00:00:00"/>
    <d v="2026-05-13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7"/>
    <n v="2282600008"/>
    <x v="0"/>
    <x v="0"/>
    <d v="2026-03-25T00:00:00"/>
    <x v="6"/>
    <d v="2026-06-04T00:00:00"/>
    <d v="2026-05-06T00:00:00"/>
    <s v=""/>
    <d v="2026-06-0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8"/>
    <n v="2282600009"/>
    <x v="0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9"/>
    <n v="2302600010"/>
    <x v="1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0"/>
    <n v="2302600011"/>
    <x v="1"/>
    <x v="0"/>
    <d v="2026-02-20T00:00:00"/>
    <x v="8"/>
    <d v="2026-05-18T00:00:00"/>
    <d v="2026-04-24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1"/>
    <n v="2282600012"/>
    <x v="0"/>
    <x v="0"/>
    <d v="2026-02-25T00:00:00"/>
    <x v="9"/>
    <d v="2026-05-20T00:00:00"/>
    <d v="2026-04-20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2"/>
    <n v="2282600013"/>
    <x v="0"/>
    <x v="0"/>
    <d v="2026-02-25T00:00:00"/>
    <x v="9"/>
    <d v="2026-06-01T00:00:00"/>
    <d v="2026-05-12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3"/>
    <n v="2302600014"/>
    <x v="1"/>
    <x v="0"/>
    <d v="2026-02-20T00:00:00"/>
    <x v="8"/>
    <d v="2026-05-14T00:00:00"/>
    <d v="2026-04-21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4"/>
    <n v="2302600015"/>
    <x v="1"/>
    <x v="0"/>
    <d v="2026-02-19T00:00:00"/>
    <x v="10"/>
    <d v="2026-05-15T00:00:00"/>
    <d v="2026-04-17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5"/>
    <n v="2282600016"/>
    <x v="0"/>
    <x v="0"/>
    <d v="2026-02-23T00:00:00"/>
    <x v="11"/>
    <d v="2026-06-08T00:00:00"/>
    <d v="2026-05-04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6"/>
    <n v="2282600017"/>
    <x v="0"/>
    <x v="0"/>
    <d v="2026-02-26T00:00:00"/>
    <x v="12"/>
    <d v="2026-05-14T00:00:00"/>
    <d v="2026-04-2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7"/>
    <n v="2302600018"/>
    <x v="1"/>
    <x v="0"/>
    <d v="2026-03-06T00:00:00"/>
    <x v="13"/>
    <d v="2026-05-15T00:00:00"/>
    <d v="2026-04-30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8"/>
    <n v="2302600019"/>
    <x v="1"/>
    <x v="0"/>
    <d v="2026-03-09T00:00:00"/>
    <x v="14"/>
    <d v="2026-05-27T00:00:00"/>
    <d v="2026-05-07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9"/>
    <n v="2282600020"/>
    <x v="0"/>
    <x v="0"/>
    <d v="2026-02-27T00:00:00"/>
    <x v="15"/>
    <d v="2026-05-14T00:00:00"/>
    <d v="2026-04-27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0"/>
    <n v="2282600021"/>
    <x v="0"/>
    <x v="0"/>
    <d v="2026-03-04T00:00:00"/>
    <x v="16"/>
    <d v="2026-05-19T00:00:00"/>
    <d v="2026-04-21T00:00:00"/>
    <s v=""/>
    <d v="2026-05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1"/>
    <n v="2302600022"/>
    <x v="1"/>
    <x v="0"/>
    <d v="2026-03-10T00:00:00"/>
    <x v="17"/>
    <d v="2026-06-08T00:00:00"/>
    <d v="2026-05-08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2"/>
    <n v="2302600023"/>
    <x v="1"/>
    <x v="0"/>
    <d v="2026-03-12T00:00:00"/>
    <x v="3"/>
    <d v="2026-06-09T00:00:00"/>
    <d v="2026-05-12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3"/>
    <n v="2282600024"/>
    <x v="0"/>
    <x v="0"/>
    <d v="2026-03-05T00:00:00"/>
    <x v="18"/>
    <d v="2026-06-08T00:00:00"/>
    <d v="2026-05-06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4"/>
    <n v="2282600025"/>
    <x v="0"/>
    <x v="0"/>
    <d v="2026-03-27T00:00:00"/>
    <x v="19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5"/>
    <n v="2302600026"/>
    <x v="1"/>
    <x v="0"/>
    <d v="2026-04-01T00:00:00"/>
    <x v="20"/>
    <d v="2026-05-20T00:00:00"/>
    <d v="2026-05-07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6"/>
    <n v="2302600027"/>
    <x v="1"/>
    <x v="0"/>
    <d v="2026-03-30T00:00:00"/>
    <x v="21"/>
    <d v="2026-05-27T00:00:00"/>
    <d v="2026-05-08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7"/>
    <n v="2282600028"/>
    <x v="0"/>
    <x v="0"/>
    <d v="2026-03-27T00:00:00"/>
    <x v="19"/>
    <d v="2026-05-27T00:00:00"/>
    <d v="2026-05-04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8"/>
    <n v="2282600029"/>
    <x v="0"/>
    <x v="0"/>
    <d v="2026-03-30T00:00:00"/>
    <x v="21"/>
    <d v="2026-06-01T00:00:00"/>
    <d v="2026-05-06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9"/>
    <n v="2302600030"/>
    <x v="1"/>
    <x v="0"/>
    <d v="2026-03-31T00:00:00"/>
    <x v="22"/>
    <d v="2026-06-08T00:00:00"/>
    <d v="2026-05-11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30"/>
    <n v="2302600031"/>
    <x v="1"/>
    <x v="0"/>
    <d v="2026-04-02T00:00:00"/>
    <x v="23"/>
    <d v="2026-06-09T00:00:00"/>
    <d v="2026-05-13T00:00:00"/>
    <s v=""/>
    <d v="2026-06-0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31"/>
    <n v="2282600032"/>
    <x v="0"/>
    <x v="0"/>
    <d v="2026-03-30T00:00:00"/>
    <x v="21"/>
    <d v="2026-06-05T00:00:00"/>
    <d v="2026-05-05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32"/>
    <n v="2282600033"/>
    <x v="0"/>
    <x v="0"/>
    <d v="2026-04-06T00:00:00"/>
    <x v="24"/>
    <d v="2026-06-12T00:00:00"/>
    <d v="2026-05-14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33"/>
    <n v="2302600034"/>
    <x v="1"/>
    <x v="0"/>
    <d v="2026-04-07T00:00:00"/>
    <x v="25"/>
    <d v="2026-06-11T00:00:00"/>
    <d v="2026-05-14T00:00:00"/>
    <s v=""/>
    <d v="2026-06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34"/>
    <n v="2302600035"/>
    <x v="1"/>
    <x v="0"/>
    <d v="2026-04-10T00:00:00"/>
    <x v="26"/>
    <d v="2026-06-12T00:00:00"/>
    <d v="2026-05-15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1"/>
    <x v="35"/>
    <n v="2282600036"/>
    <x v="0"/>
    <x v="0"/>
    <d v="2026-04-10T00:00:00"/>
    <x v="26"/>
    <d v="2026-06-12T00:00:00"/>
    <d v="2026-05-15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36"/>
    <n v="2282600037"/>
    <x v="0"/>
    <x v="1"/>
    <d v="2026-04-11T00:00:00"/>
    <x v="27"/>
    <d v="2026-06-05T00:00:00"/>
    <d v="2026-05-18T00:00:00"/>
    <n v="1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2999999999999985"/>
    <n v="0.8918918918918915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37"/>
    <n v="2302600038"/>
    <x v="1"/>
    <x v="2"/>
    <d v="2026-04-11T00:00:00"/>
    <x v="27"/>
    <d v="2026-06-11T00:00:00"/>
    <d v="2026-05-18T00:00:00"/>
    <n v="4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1"/>
    <x v="38"/>
    <n v="2302600039"/>
    <x v="1"/>
    <x v="3"/>
    <d v="2026-04-07T00:00:00"/>
    <x v="25"/>
    <d v="2026-06-11T00:00:00"/>
    <d v="2026-05-19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2499999999999984"/>
    <n v="0.8783783783783779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0"/>
    <n v="1.3513513513513507E-2"/>
    <n v="2.7027027027027015E-2"/>
    <n v="31.32"/>
    <x v="1"/>
    <n v="0"/>
    <x v="0"/>
    <x v="1"/>
  </r>
  <r>
    <x v="1"/>
    <x v="39"/>
    <n v="2282600040"/>
    <x v="0"/>
    <x v="0"/>
    <d v="2026-04-07T00:00:00"/>
    <x v="25"/>
    <d v="2026-06-12T00:00:00"/>
    <d v="2026-05-19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0"/>
    <n v="2282600041"/>
    <x v="0"/>
    <x v="0"/>
    <d v="2026-04-12T00:00:00"/>
    <x v="28"/>
    <d v="2026-06-12T00:00:00"/>
    <d v="2026-05-20T00:00:00"/>
    <s v=""/>
    <d v="2026-06-12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41"/>
    <n v="2302600042"/>
    <x v="1"/>
    <x v="2"/>
    <d v="2026-04-17T00:00:00"/>
    <x v="29"/>
    <d v="2026-06-15T00:00:00"/>
    <d v="2026-05-20T00:00:00"/>
    <n v="0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1"/>
    <x v="42"/>
    <n v="2302600043"/>
    <x v="1"/>
    <x v="4"/>
    <d v="2026-04-15T00:00:00"/>
    <x v="30"/>
    <d v="2026-06-15T00:00:00"/>
    <d v="2026-05-22T00:00:00"/>
    <n v="0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0999999999999989"/>
    <n v="0.8378378378378375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1"/>
    <x v="43"/>
    <n v="2282600044"/>
    <x v="0"/>
    <x v="5"/>
    <d v="2026-04-15T00:00:00"/>
    <x v="30"/>
    <d v="2026-06-11T00:00:00"/>
    <d v="2026-05-22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44"/>
    <n v="2282600045"/>
    <x v="0"/>
    <x v="2"/>
    <d v="2026-04-20T00:00:00"/>
    <x v="31"/>
    <d v="2026-06-12T00:00:00"/>
    <d v="2026-05-25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45"/>
    <n v="2302600046"/>
    <x v="1"/>
    <x v="5"/>
    <d v="2026-04-14T00:00:00"/>
    <x v="32"/>
    <d v="2026-06-15T00:00:00"/>
    <d v="2026-05-25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1"/>
    <x v="46"/>
    <n v="2302600047"/>
    <x v="1"/>
    <x v="6"/>
    <d v="2026-04-15T00:00:00"/>
    <x v="30"/>
    <d v="2026-06-15T00:00:00"/>
    <d v="2026-05-26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11"/>
    <n v="1"/>
    <n v="0.27272727272727271"/>
    <n v="0.27272727272727271"/>
    <n v="9.0909090909090912E-2"/>
    <n v="0.18181818181818185"/>
    <n v="0.18181818181818185"/>
    <n v="0.26999999999999991"/>
    <n v="0.7297297297297294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2"/>
    <n v="0"/>
    <x v="0"/>
    <x v="1"/>
  </r>
  <r>
    <x v="1"/>
    <x v="47"/>
    <n v="2282600048"/>
    <x v="0"/>
    <x v="3"/>
    <d v="2026-04-14T00:00:00"/>
    <x v="32"/>
    <d v="2026-05-27T00:00:00"/>
    <d v="2026-05-26T00:00:00"/>
    <n v="19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48"/>
    <n v="2282600049"/>
    <x v="0"/>
    <x v="7"/>
    <d v="2026-04-22T00:00:00"/>
    <x v="33"/>
    <d v="2026-06-15T00:00:00"/>
    <d v="2026-05-27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49"/>
    <n v="2302600050"/>
    <x v="1"/>
    <x v="8"/>
    <d v="2026-04-24T00:00:00"/>
    <x v="34"/>
    <d v="2026-06-15T00:00:00"/>
    <d v="2026-05-27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06"/>
    <n v="0.54545454545454541"/>
    <n v="0.27272727272727271"/>
    <n v="0.27272727272727271"/>
    <n v="0"/>
    <n v="0"/>
    <n v="0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1"/>
    <x v="50"/>
    <n v="2302600051"/>
    <x v="1"/>
    <x v="9"/>
    <d v="2026-04-28T00:00:00"/>
    <x v="35"/>
    <d v="2026-06-03T00:00:00"/>
    <d v="2026-05-28T00:00:00"/>
    <n v="12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6"/>
    <n v="0.54545454545454541"/>
    <n v="0.27272727272727271"/>
    <n v="0.27272727272727271"/>
    <n v="0"/>
    <n v="0"/>
    <n v="0"/>
    <n v="0.29499999999999987"/>
    <n v="0.79729729729729693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2"/>
    <n v="0"/>
    <x v="0"/>
    <x v="1"/>
  </r>
  <r>
    <x v="1"/>
    <x v="51"/>
    <n v="2282600052"/>
    <x v="0"/>
    <x v="2"/>
    <d v="2026-04-22T00:00:00"/>
    <x v="33"/>
    <d v="2026-06-15T00:00:00"/>
    <d v="2026-05-28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52"/>
    <n v="2282600053"/>
    <x v="0"/>
    <x v="2"/>
    <d v="2026-04-27T00:00:00"/>
    <x v="36"/>
    <d v="2026-06-15T00:00:00"/>
    <d v="2026-05-29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53"/>
    <n v="2302600054"/>
    <x v="1"/>
    <x v="10"/>
    <d v="2026-04-29T00:00:00"/>
    <x v="37"/>
    <d v="2026-06-15T00:00:00"/>
    <d v="2026-05-29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6999999999999991"/>
    <n v="0.7297297297297294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0"/>
    <x v="0"/>
    <x v="1"/>
  </r>
  <r>
    <x v="1"/>
    <x v="54"/>
    <n v="2302600055"/>
    <x v="1"/>
    <x v="11"/>
    <d v="2026-04-24T00:00:00"/>
    <x v="34"/>
    <d v="2026-06-04T00:00:00"/>
    <d v="2026-06-01T00:00:00"/>
    <n v="1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6"/>
    <n v="0.54545454545454541"/>
    <n v="0.27272727272727271"/>
    <n v="0.27272727272727271"/>
    <n v="0"/>
    <n v="0"/>
    <n v="0"/>
    <n v="0.2599999999999999"/>
    <n v="0.70270270270270241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2"/>
    <n v="0"/>
    <x v="0"/>
    <x v="1"/>
  </r>
  <r>
    <x v="1"/>
    <x v="55"/>
    <n v="2282600056"/>
    <x v="0"/>
    <x v="2"/>
    <d v="2026-04-22T00:00:00"/>
    <x v="33"/>
    <d v="2026-05-20T00:00:00"/>
    <d v="2026-06-01T00:00:00"/>
    <n v="26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56"/>
    <n v="2282600057"/>
    <x v="0"/>
    <x v="12"/>
    <d v="2026-05-04T00:00:00"/>
    <x v="38"/>
    <d v="2026-06-12T00:00:00"/>
    <d v="2026-06-10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2999999999999985"/>
    <n v="0.8918918918918915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2"/>
    <x v="1"/>
    <x v="1"/>
  </r>
  <r>
    <x v="1"/>
    <x v="57"/>
    <n v="2302600058"/>
    <x v="1"/>
    <x v="13"/>
    <d v="2026-05-04T00:00:00"/>
    <x v="39"/>
    <d v="2026-06-12T00:00:00"/>
    <d v="2026-06-10T00:00:00"/>
    <n v="3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7999999999999997"/>
    <n v="0.4864864864864864"/>
    <n v="5.4054054054054029E-2"/>
    <n v="5.4054054054054029E-2"/>
    <n v="0"/>
    <n v="8.1081081081081058E-2"/>
    <n v="8.1081081081081058E-2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1"/>
    <x v="1"/>
    <x v="1"/>
  </r>
  <r>
    <x v="1"/>
    <x v="58"/>
    <n v="2302600059"/>
    <x v="1"/>
    <x v="14"/>
    <d v="2026-05-05T00:00:00"/>
    <x v="40"/>
    <d v="2026-06-10T00:00:00"/>
    <d v="2026-06-11T00:00:00"/>
    <n v="5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3"/>
    <n v="0.27272727272727271"/>
    <n v="0.27272727272727271"/>
    <n v="0"/>
    <n v="0"/>
    <n v="0"/>
    <n v="0"/>
    <n v="0.2349999999999999"/>
    <n v="0.63513513513513487"/>
    <n v="5.4054054054054029E-2"/>
    <n v="5.4054054054054029E-2"/>
    <n v="0"/>
    <n v="8.1081081081081058E-2"/>
    <n v="8.1081081081081058E-2"/>
    <n v="6.7567567567567557E-2"/>
    <n v="0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-1"/>
    <x v="2"/>
    <x v="1"/>
  </r>
  <r>
    <x v="1"/>
    <x v="59"/>
    <n v="2282600060"/>
    <x v="0"/>
    <x v="15"/>
    <d v="2026-05-05T00:00:00"/>
    <x v="41"/>
    <d v="2026-06-12T00:00:00"/>
    <d v="2026-06-11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199999999999999"/>
    <n v="0.8648648648648646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2"/>
    <x v="1"/>
    <x v="1"/>
  </r>
  <r>
    <x v="1"/>
    <x v="60"/>
    <n v="2282600061"/>
    <x v="0"/>
    <x v="15"/>
    <d v="2026-05-06T00:00:00"/>
    <x v="42"/>
    <d v="2026-06-12T00:00:00"/>
    <d v="2026-06-12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199999999999999"/>
    <n v="0.8648648648648646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2"/>
    <x v="1"/>
    <x v="1"/>
  </r>
  <r>
    <x v="1"/>
    <x v="61"/>
    <n v="2302600062"/>
    <x v="1"/>
    <x v="16"/>
    <d v="2026-05-06T00:00:00"/>
    <x v="41"/>
    <d v="2026-06-12T00:00:00"/>
    <d v="2026-06-12T00:00:00"/>
    <n v="3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5999999999999998"/>
    <n v="0.43243243243243235"/>
    <n v="0"/>
    <n v="5.4054054054054029E-2"/>
    <n v="0"/>
    <n v="8.1081081081081058E-2"/>
    <n v="8.1081081081081058E-2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1"/>
    <x v="1"/>
    <x v="1"/>
  </r>
  <r>
    <x v="1"/>
    <x v="62"/>
    <n v="2302600063"/>
    <x v="1"/>
    <x v="17"/>
    <d v="2026-05-07T00:00:00"/>
    <x v="39"/>
    <d v="2026-06-15T00:00:00"/>
    <d v="2026-06-13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19999999999999993"/>
    <n v="0.54054054054054035"/>
    <n v="0"/>
    <n v="5.4054054054054029E-2"/>
    <n v="2.7027027027027015E-2"/>
    <n v="8.1081081081081058E-2"/>
    <n v="8.1081081081081058E-2"/>
    <n v="6.7567567567567557E-2"/>
    <n v="0"/>
    <n v="0"/>
    <n v="0"/>
    <n v="1.3513513513513507E-2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-2"/>
    <x v="2"/>
    <x v="1"/>
  </r>
  <r>
    <x v="1"/>
    <x v="63"/>
    <n v="2282600064"/>
    <x v="0"/>
    <x v="15"/>
    <d v="2026-05-07T00:00:00"/>
    <x v="41"/>
    <d v="2026-06-04T00:00:00"/>
    <d v="2026-06-13T00:00:00"/>
    <n v="1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199999999999999"/>
    <n v="0.8648648648648646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2"/>
    <x v="64"/>
    <n v="2282600065"/>
    <x v="0"/>
    <x v="18"/>
    <d v="2026-05-08T00:00:00"/>
    <x v="43"/>
    <d v="2026-06-09T00:00:00"/>
    <d v="2026-06-03T00:00:00"/>
    <n v="6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1"/>
    <n v="3"/>
    <x v="1"/>
    <x v="1"/>
  </r>
  <r>
    <x v="2"/>
    <x v="65"/>
    <n v="2302600066"/>
    <x v="1"/>
    <x v="19"/>
    <d v="2026-05-08T00:00:00"/>
    <x v="44"/>
    <d v="2026-06-15T00:00:00"/>
    <d v="2026-06-13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6"/>
    <n v="0.54545454545454541"/>
    <n v="0.27272727272727271"/>
    <n v="0.27272727272727271"/>
    <n v="0"/>
    <n v="0"/>
    <n v="0"/>
    <n v="0.16999999999999996"/>
    <n v="0.45945945945945937"/>
    <n v="0"/>
    <n v="5.4054054054054029E-2"/>
    <n v="2.7027027027027015E-2"/>
    <n v="8.1081081081081058E-2"/>
    <n v="8.1081081081081058E-2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4"/>
    <x v="1"/>
    <x v="1"/>
  </r>
  <r>
    <x v="2"/>
    <x v="66"/>
    <n v="2302600067"/>
    <x v="1"/>
    <x v="20"/>
    <d v="2026-05-11T00:00:00"/>
    <x v="45"/>
    <d v="2026-06-15T00:00:00"/>
    <d v="2026-06-16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5499999999999989"/>
    <n v="0.68918918918918892"/>
    <n v="5.4054054054054029E-2"/>
    <n v="5.4054054054054029E-2"/>
    <n v="0"/>
    <n v="8.1081081081081058E-2"/>
    <n v="8.1081081081081058E-2"/>
    <n v="6.7567567567567557E-2"/>
    <n v="5.4054054054054029E-2"/>
    <n v="0"/>
    <n v="0"/>
    <n v="0"/>
    <n v="0"/>
    <n v="0"/>
    <n v="0"/>
    <n v="5.4054054054054029E-2"/>
    <n v="5.4054054054054029E-2"/>
    <n v="2.7027027027027015E-2"/>
    <n v="0"/>
    <n v="5.4054054054054029E-2"/>
    <n v="8.1081081081081058E-2"/>
    <n v="0"/>
    <n v="2.7027027027027015E-2"/>
    <n v="31.32"/>
    <x v="3"/>
    <n v="5"/>
    <x v="1"/>
    <x v="1"/>
  </r>
  <r>
    <x v="2"/>
    <x v="67"/>
    <n v="2282600068"/>
    <x v="0"/>
    <x v="21"/>
    <d v="2026-05-11T00:00:00"/>
    <x v="46"/>
    <d v="2026-06-09T00:00:00"/>
    <d v="2026-06-06T00:00:00"/>
    <n v="6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9999999999999988"/>
    <n v="0.81081081081081052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3"/>
    <x v="1"/>
    <x v="1"/>
  </r>
  <r>
    <x v="2"/>
    <x v="68"/>
    <n v="2282600069"/>
    <x v="0"/>
    <x v="22"/>
    <d v="2026-05-12T00:00:00"/>
    <x v="46"/>
    <d v="2026-06-15T00:00:00"/>
    <d v="2026-06-07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2999999999999985"/>
    <n v="0.8918918918918915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2"/>
    <x v="1"/>
    <x v="1"/>
  </r>
  <r>
    <x v="2"/>
    <x v="69"/>
    <n v="2302600070"/>
    <x v="1"/>
    <x v="16"/>
    <d v="2026-05-12T00:00:00"/>
    <x v="45"/>
    <d v="2026-06-12T00:00:00"/>
    <d v="2026-06-17T00:00:00"/>
    <n v="3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5999999999999998"/>
    <n v="0.43243243243243235"/>
    <n v="0"/>
    <n v="5.4054054054054029E-2"/>
    <n v="0"/>
    <n v="8.1081081081081058E-2"/>
    <n v="8.1081081081081058E-2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4"/>
    <x v="1"/>
    <x v="1"/>
  </r>
  <r>
    <x v="2"/>
    <x v="70"/>
    <n v="2302600071"/>
    <x v="1"/>
    <x v="19"/>
    <d v="2026-05-13T00:00:00"/>
    <x v="46"/>
    <d v="2026-06-12T00:00:00"/>
    <d v="2026-06-18T00:00:00"/>
    <n v="3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6"/>
    <n v="0.54545454545454541"/>
    <n v="0.27272727272727271"/>
    <n v="0.27272727272727271"/>
    <n v="0"/>
    <n v="0"/>
    <n v="0"/>
    <n v="0.15999999999999998"/>
    <n v="0.43243243243243235"/>
    <n v="5.4054054054054029E-2"/>
    <n v="5.4054054054054029E-2"/>
    <n v="0"/>
    <n v="8.1081081081081058E-2"/>
    <n v="8.1081081081081058E-2"/>
    <n v="0"/>
    <n v="0"/>
    <n v="0"/>
    <n v="0"/>
    <n v="0"/>
    <n v="0"/>
    <n v="0"/>
    <n v="0"/>
    <n v="5.4054054054054029E-2"/>
    <n v="0"/>
    <n v="2.7027027027027015E-2"/>
    <n v="0"/>
    <n v="5.4054054054054029E-2"/>
    <n v="0"/>
    <n v="0"/>
    <n v="2.7027027027027015E-2"/>
    <n v="31.32"/>
    <x v="3"/>
    <n v="1"/>
    <x v="1"/>
    <x v="1"/>
  </r>
  <r>
    <x v="2"/>
    <x v="71"/>
    <n v="2282600072"/>
    <x v="0"/>
    <x v="3"/>
    <d v="2026-05-13T00:00:00"/>
    <x v="44"/>
    <d v="2026-06-12T00:00:00"/>
    <d v="2026-06-08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-1"/>
    <x v="2"/>
    <x v="1"/>
  </r>
  <r>
    <x v="2"/>
    <x v="72"/>
    <n v="2282600073"/>
    <x v="0"/>
    <x v="23"/>
    <d v="2026-05-14T00:00:00"/>
    <x v="47"/>
    <d v="2026-06-15T00:00:00"/>
    <d v="2026-06-09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649999999999999"/>
    <n v="0.7162162162162159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11"/>
    <x v="1"/>
    <x v="1"/>
  </r>
  <r>
    <x v="2"/>
    <x v="73"/>
    <n v="2302600074"/>
    <x v="1"/>
    <x v="24"/>
    <d v="2026-05-14T00:00:00"/>
    <x v="48"/>
    <d v="2026-06-10T00:00:00"/>
    <d v="2026-06-19T00:00:00"/>
    <n v="5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2999999999999998"/>
    <n v="0.35135135135135126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5"/>
    <x v="1"/>
    <x v="1"/>
  </r>
  <r>
    <x v="2"/>
    <x v="74"/>
    <n v="2302600075"/>
    <x v="1"/>
    <x v="25"/>
    <d v="2026-05-15T00:00:00"/>
    <x v="49"/>
    <d v="2026-06-15T00:00:00"/>
    <d v="2026-06-20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4999999999999997"/>
    <n v="0.40540540540540526"/>
    <n v="0"/>
    <n v="5.4054054054054029E-2"/>
    <n v="0"/>
    <n v="8.1081081081081058E-2"/>
    <n v="8.1081081081081058E-2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0"/>
    <n v="31.32"/>
    <x v="4"/>
    <n v="3"/>
    <x v="1"/>
    <x v="1"/>
  </r>
  <r>
    <x v="2"/>
    <x v="75"/>
    <n v="2282600076"/>
    <x v="0"/>
    <x v="26"/>
    <d v="2026-05-15T00:00:00"/>
    <x v="50"/>
    <d v="2026-06-11T00:00:00"/>
    <d v="2026-06-10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12"/>
    <x v="1"/>
    <x v="1"/>
  </r>
  <r>
    <x v="2"/>
    <x v="76"/>
    <n v="2282600077"/>
    <x v="0"/>
    <x v="27"/>
    <d v="2026-05-18T00:00:00"/>
    <x v="51"/>
    <d v="2026-06-15T00:00:00"/>
    <d v="2026-06-13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8"/>
    <x v="1"/>
    <x v="1"/>
  </r>
  <r>
    <x v="2"/>
    <x v="77"/>
    <n v="2302600078"/>
    <x v="1"/>
    <x v="28"/>
    <d v="2026-05-18T00:00:00"/>
    <x v="45"/>
    <d v="2026-06-15T00:00:00"/>
    <d v="2026-06-23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3999999999999996"/>
    <n v="0.37837837837837834"/>
    <n v="0"/>
    <n v="5.4054054054054029E-2"/>
    <n v="0"/>
    <n v="8.1081081081081058E-2"/>
    <n v="8.1081081081081058E-2"/>
    <n v="0"/>
    <n v="0"/>
    <n v="0"/>
    <n v="0"/>
    <n v="0"/>
    <n v="0"/>
    <n v="0"/>
    <n v="0"/>
    <n v="5.4054054054054029E-2"/>
    <n v="5.4054054054054029E-2"/>
    <n v="2.7027027027027015E-2"/>
    <n v="0"/>
    <n v="0"/>
    <n v="0"/>
    <n v="0"/>
    <n v="2.7027027027027015E-2"/>
    <n v="31.32"/>
    <x v="4"/>
    <n v="-2"/>
    <x v="2"/>
    <x v="1"/>
  </r>
  <r>
    <x v="2"/>
    <x v="78"/>
    <n v="2302600079"/>
    <x v="1"/>
    <x v="16"/>
    <d v="2026-05-19T00:00:00"/>
    <x v="52"/>
    <d v="2026-06-10T00:00:00"/>
    <d v="2026-06-24T00:00:00"/>
    <n v="5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5999999999999998"/>
    <n v="0.43243243243243235"/>
    <n v="0"/>
    <n v="5.4054054054054029E-2"/>
    <n v="0"/>
    <n v="8.1081081081081058E-2"/>
    <n v="0"/>
    <n v="0"/>
    <n v="0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1"/>
    <x v="1"/>
    <x v="1"/>
  </r>
  <r>
    <x v="2"/>
    <x v="79"/>
    <n v="2282600080"/>
    <x v="0"/>
    <x v="29"/>
    <d v="2026-05-19T00:00:00"/>
    <x v="51"/>
    <d v="2026-06-15T00:00:00"/>
    <d v="2026-06-14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7499999999999991"/>
    <n v="0.74324324324324309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0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7"/>
    <x v="1"/>
    <x v="1"/>
  </r>
  <r>
    <x v="2"/>
    <x v="80"/>
    <n v="2282600081"/>
    <x v="0"/>
    <x v="30"/>
    <d v="2026-05-20T00:00:00"/>
    <x v="53"/>
    <d v="2026-06-11T00:00:00"/>
    <d v="2026-06-15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03"/>
    <n v="0.27272727272727271"/>
    <n v="0.27272727272727271"/>
    <n v="0"/>
    <n v="0"/>
    <n v="0"/>
    <n v="0"/>
    <n v="0.18499999999999991"/>
    <n v="0.49999999999999983"/>
    <n v="5.4054054054054029E-2"/>
    <n v="5.4054054054054029E-2"/>
    <n v="0"/>
    <n v="8.1081081081081058E-2"/>
    <n v="0"/>
    <n v="0"/>
    <n v="5.4054054054054029E-2"/>
    <n v="0"/>
    <n v="0"/>
    <n v="0"/>
    <n v="0"/>
    <n v="5.4054054054054029E-2"/>
    <n v="0"/>
    <n v="0"/>
    <n v="5.4054054054054029E-2"/>
    <n v="2.7027027027027015E-2"/>
    <n v="0"/>
    <n v="0"/>
    <n v="8.1081081081081058E-2"/>
    <n v="1.3513513513513507E-2"/>
    <n v="2.7027027027027015E-2"/>
    <n v="28.87"/>
    <x v="3"/>
    <n v="9"/>
    <x v="1"/>
    <x v="1"/>
  </r>
  <r>
    <x v="2"/>
    <x v="81"/>
    <n v="2302600082"/>
    <x v="1"/>
    <x v="31"/>
    <d v="2026-05-20T00:00:00"/>
    <x v="53"/>
    <d v="2026-06-15T00:00:00"/>
    <d v="2026-06-25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6.9999999999999979E-2"/>
    <n v="0.18918918918918912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0"/>
    <n v="0"/>
    <n v="0"/>
    <n v="2.7027027027027015E-2"/>
    <n v="31.32"/>
    <x v="5"/>
    <n v="9"/>
    <x v="1"/>
    <x v="1"/>
  </r>
  <r>
    <x v="2"/>
    <x v="82"/>
    <n v="2302600083"/>
    <x v="1"/>
    <x v="32"/>
    <d v="2026-05-22T00:00:00"/>
    <x v="54"/>
    <d v="2026-06-15T00:00:00"/>
    <d v="2026-06-27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4.9999999999999982E-2"/>
    <n v="0.13513513513513509"/>
    <n v="0"/>
    <n v="5.4054054054054029E-2"/>
    <n v="0"/>
    <n v="0"/>
    <n v="0"/>
    <n v="0"/>
    <n v="0"/>
    <n v="0"/>
    <n v="0"/>
    <n v="0"/>
    <n v="0"/>
    <n v="0"/>
    <n v="0"/>
    <n v="0"/>
    <n v="5.4054054054054029E-2"/>
    <n v="2.7027027027027015E-2"/>
    <n v="0"/>
    <n v="0"/>
    <n v="0"/>
    <n v="0"/>
    <n v="0"/>
    <n v="31.32"/>
    <x v="5"/>
    <n v="10"/>
    <x v="1"/>
    <x v="1"/>
  </r>
  <r>
    <x v="2"/>
    <x v="83"/>
    <n v="2282600084"/>
    <x v="0"/>
    <x v="33"/>
    <d v="2026-05-22T00:00:00"/>
    <x v="53"/>
    <d v="2026-06-03T00:00:00"/>
    <d v="2026-06-17T00:00:00"/>
    <n v="12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7"/>
    <x v="1"/>
    <x v="1"/>
  </r>
  <r>
    <x v="2"/>
    <x v="84"/>
    <n v="2282600085"/>
    <x v="0"/>
    <x v="34"/>
    <d v="2026-05-25T00:00:00"/>
    <x v="53"/>
    <d v="2026-06-15T00:00:00"/>
    <d v="2026-06-20T00:00:00"/>
    <n v="0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.03"/>
    <n v="0.27272727272727271"/>
    <n v="0.27272727272727271"/>
    <n v="0"/>
    <n v="0"/>
    <n v="0"/>
    <n v="0"/>
    <n v="4.9999999999999982E-2"/>
    <n v="0.13513513513513509"/>
    <n v="0"/>
    <n v="5.4054054054054029E-2"/>
    <n v="0"/>
    <n v="8.1081081081081058E-2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n v="4"/>
    <x v="1"/>
    <x v="1"/>
  </r>
  <r>
    <x v="2"/>
    <x v="85"/>
    <n v="2302600086"/>
    <x v="1"/>
    <x v="35"/>
    <d v="2026-05-25T00:00:00"/>
    <x v="55"/>
    <d v="2026-06-15T00:00:00"/>
    <d v="2026-06-30T00:00:00"/>
    <n v="0"/>
    <m/>
    <n v="0.43"/>
    <n v="1"/>
    <n v="0.27906976744186046"/>
    <n v="0.18604651162790695"/>
    <n v="0.2558139534883721"/>
    <n v="0.18604651162790695"/>
    <n v="9.3023255813953487E-2"/>
    <n v="1.9999999999999997E-2"/>
    <n v="0.22222222222222221"/>
    <n v="0"/>
    <n v="0.222222222222222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9"/>
    <x v="1"/>
    <x v="1"/>
  </r>
  <r>
    <x v="2"/>
    <x v="86"/>
    <n v="2302600087"/>
    <x v="1"/>
    <x v="36"/>
    <d v="2026-05-26T00:00:00"/>
    <x v="53"/>
    <d v="2026-06-10T00:00:00"/>
    <d v="2026-07-01T00:00:00"/>
    <n v="5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8.9999999999999969E-2"/>
    <n v="0.24324324324324317"/>
    <n v="0"/>
    <n v="5.4054054054054029E-2"/>
    <n v="0"/>
    <n v="8.1081081081081058E-2"/>
    <n v="0"/>
    <n v="0"/>
    <n v="0"/>
    <n v="0"/>
    <n v="0"/>
    <n v="0"/>
    <n v="0"/>
    <n v="0"/>
    <n v="0"/>
    <n v="0"/>
    <n v="0"/>
    <n v="2.7027027027027015E-2"/>
    <n v="0"/>
    <n v="5.4054054054054029E-2"/>
    <n v="0"/>
    <n v="0"/>
    <n v="2.7027027027027015E-2"/>
    <n v="31.32"/>
    <x v="5"/>
    <n v="3"/>
    <x v="1"/>
    <x v="1"/>
  </r>
  <r>
    <x v="2"/>
    <x v="87"/>
    <n v="2282600088"/>
    <x v="0"/>
    <x v="21"/>
    <d v="2026-05-26T00:00:00"/>
    <x v="53"/>
    <d v="2026-06-12T00:00:00"/>
    <d v="2026-06-21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9999999999999988"/>
    <n v="0.81081081081081052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3"/>
    <x v="1"/>
    <x v="1"/>
  </r>
  <r>
    <x v="2"/>
    <x v="88"/>
    <n v="2282600089"/>
    <x v="0"/>
    <x v="33"/>
    <d v="2026-05-27T00:00:00"/>
    <x v="56"/>
    <d v="2026-06-10T00:00:00"/>
    <d v="2026-06-22T00:00:00"/>
    <n v="5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9"/>
    <x v="1"/>
    <x v="1"/>
  </r>
  <r>
    <x v="2"/>
    <x v="89"/>
    <n v="2302600090"/>
    <x v="1"/>
    <x v="33"/>
    <d v="2026-05-27T00:00:00"/>
    <x v="55"/>
    <d v="2026-06-09T00:00:00"/>
    <d v="2026-07-02T00:00:00"/>
    <n v="6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7"/>
    <x v="1"/>
    <x v="1"/>
  </r>
  <r>
    <x v="2"/>
    <x v="90"/>
    <n v="2302600091"/>
    <x v="1"/>
    <x v="33"/>
    <d v="2026-05-28T00:00:00"/>
    <x v="57"/>
    <d v="2026-06-10T00:00:00"/>
    <d v="2026-07-03T00:00:00"/>
    <n v="5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1"/>
    <x v="1"/>
    <x v="1"/>
  </r>
  <r>
    <x v="2"/>
    <x v="91"/>
    <n v="2282600092"/>
    <x v="0"/>
    <x v="33"/>
    <d v="2026-05-28T00:00:00"/>
    <x v="58"/>
    <d v="2026-06-11T00:00:00"/>
    <d v="2026-06-23T00:00:00"/>
    <n v="4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4"/>
    <x v="1"/>
    <x v="1"/>
  </r>
  <r>
    <x v="2"/>
    <x v="92"/>
    <n v="2282600093"/>
    <x v="0"/>
    <x v="33"/>
    <d v="2026-05-29T00:00:00"/>
    <x v="58"/>
    <d v="2026-06-11T00:00:00"/>
    <d v="2026-06-24T00:00:00"/>
    <n v="4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3"/>
    <x v="1"/>
    <x v="1"/>
  </r>
  <r>
    <x v="2"/>
    <x v="93"/>
    <n v="2302600094"/>
    <x v="1"/>
    <x v="33"/>
    <d v="2026-05-29T00:00:00"/>
    <x v="57"/>
    <d v="2026-06-10T00:00:00"/>
    <d v="2026-07-04T00:00:00"/>
    <n v="5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0"/>
    <x v="1"/>
    <x v="1"/>
  </r>
  <r>
    <x v="2"/>
    <x v="94"/>
    <n v="2302600095"/>
    <x v="1"/>
    <x v="37"/>
    <d v="2026-06-01T00:00:00"/>
    <x v="59"/>
    <d v="2026-06-10T00:00:00"/>
    <d v="2026-07-07T00:00:00"/>
    <n v="5"/>
    <m/>
    <n v="0.43"/>
    <n v="1"/>
    <n v="0.27906976744186046"/>
    <n v="0.18604651162790695"/>
    <n v="0.2558139534883721"/>
    <n v="0.18604651162790695"/>
    <n v="9.3023255813953487E-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3"/>
    <x v="1"/>
    <x v="1"/>
  </r>
  <r>
    <x v="2"/>
    <x v="95"/>
    <n v="2282600096"/>
    <x v="0"/>
    <x v="33"/>
    <d v="2026-06-01T00:00:00"/>
    <x v="59"/>
    <d v="2026-06-08T00:00:00"/>
    <d v="2026-06-27T00:00:00"/>
    <n v="7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3"/>
    <x v="1"/>
    <x v="1"/>
  </r>
  <r>
    <x v="3"/>
    <x v="96"/>
    <n v="2282600097"/>
    <x v="0"/>
    <x v="38"/>
    <d v="2026-06-02T00:00:00"/>
    <x v="58"/>
    <d v="2026-06-11T00:00:00"/>
    <d v="2026-06-26T00:00:00"/>
    <n v="4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n v="9"/>
    <x v="1"/>
    <x v="1"/>
  </r>
  <r>
    <x v="3"/>
    <x v="97"/>
    <n v="2302600098"/>
    <x v="1"/>
    <x v="33"/>
    <d v="2026-06-02T00:00:00"/>
    <x v="58"/>
    <d v="2026-06-15T00:00:00"/>
    <d v="2026-07-06T00:00:00"/>
    <n v="0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9"/>
    <x v="1"/>
    <x v="1"/>
  </r>
  <r>
    <x v="3"/>
    <x v="98"/>
    <n v="2302600099"/>
    <x v="1"/>
    <x v="39"/>
    <d v="2026-06-03T00:00:00"/>
    <x v="60"/>
    <d v="1899-12-30T00:00:00"/>
    <d v="2026-07-0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99"/>
    <n v="2282600100"/>
    <x v="0"/>
    <x v="38"/>
    <d v="2026-06-03T00:00:00"/>
    <x v="61"/>
    <d v="2026-06-15T00:00:00"/>
    <d v="2026-06-27T00:00:00"/>
    <n v="0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n v="12"/>
    <x v="1"/>
    <x v="1"/>
  </r>
  <r>
    <x v="3"/>
    <x v="100"/>
    <n v="2282600101"/>
    <x v="0"/>
    <x v="39"/>
    <d v="2026-06-04T00:00:00"/>
    <x v="60"/>
    <d v="1899-12-30T00:00:00"/>
    <d v="2026-06-2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01"/>
    <n v="2302600102"/>
    <x v="1"/>
    <x v="39"/>
    <d v="2026-06-04T00:00:00"/>
    <x v="60"/>
    <d v="1899-12-30T00:00:00"/>
    <d v="2026-07-0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02"/>
    <n v="2302600103"/>
    <x v="1"/>
    <x v="33"/>
    <d v="2026-06-05T00:00:00"/>
    <x v="58"/>
    <d v="2026-06-15T00:00:00"/>
    <d v="2026-07-09T00:00:00"/>
    <n v="0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6"/>
    <x v="1"/>
    <x v="1"/>
  </r>
  <r>
    <x v="3"/>
    <x v="103"/>
    <n v="2282600104"/>
    <x v="0"/>
    <x v="33"/>
    <d v="2026-06-05T00:00:00"/>
    <x v="58"/>
    <d v="2026-06-12T00:00:00"/>
    <d v="2026-06-29T00:00:00"/>
    <n v="3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6"/>
    <x v="1"/>
    <x v="1"/>
  </r>
  <r>
    <x v="3"/>
    <x v="104"/>
    <n v="2282600105"/>
    <x v="0"/>
    <x v="39"/>
    <d v="2026-06-08T00:00:00"/>
    <x v="60"/>
    <d v="1899-12-30T00:00:00"/>
    <d v="2026-07-0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05"/>
    <n v="2302600106"/>
    <x v="1"/>
    <x v="39"/>
    <d v="2026-06-08T00:00:00"/>
    <x v="60"/>
    <d v="1899-12-30T00:00:00"/>
    <d v="2026-07-1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06"/>
    <n v="2302600107"/>
    <x v="1"/>
    <x v="39"/>
    <d v="2026-06-09T00:00:00"/>
    <x v="60"/>
    <d v="1899-12-30T00:00:00"/>
    <d v="2026-07-1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07"/>
    <n v="2282600108"/>
    <x v="0"/>
    <x v="39"/>
    <d v="2026-06-09T00:00:00"/>
    <x v="60"/>
    <d v="1899-12-30T00:00:00"/>
    <d v="2026-07-0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08"/>
    <n v="2282600109"/>
    <x v="0"/>
    <x v="39"/>
    <d v="2026-06-10T00:00:00"/>
    <x v="60"/>
    <d v="1899-12-30T00:00:00"/>
    <d v="2026-07-0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09"/>
    <n v="2302600110"/>
    <x v="1"/>
    <x v="39"/>
    <d v="2026-06-10T00:00:00"/>
    <x v="60"/>
    <d v="1899-12-30T00:00:00"/>
    <d v="2026-07-1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10"/>
    <n v="2302600111"/>
    <x v="1"/>
    <x v="39"/>
    <d v="2026-06-11T00:00:00"/>
    <x v="60"/>
    <d v="1899-12-30T00:00:00"/>
    <d v="2026-07-1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11"/>
    <n v="2282600112"/>
    <x v="0"/>
    <x v="39"/>
    <d v="2026-06-11T00:00:00"/>
    <x v="60"/>
    <d v="1899-12-30T00:00:00"/>
    <d v="2026-07-0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12"/>
    <n v="2282600113"/>
    <x v="0"/>
    <x v="39"/>
    <d v="2026-06-12T00:00:00"/>
    <x v="60"/>
    <d v="1899-12-30T00:00:00"/>
    <d v="2026-07-0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13"/>
    <n v="2302600114"/>
    <x v="1"/>
    <x v="39"/>
    <d v="2026-06-12T00:00:00"/>
    <x v="60"/>
    <d v="1899-12-30T00:00:00"/>
    <d v="2026-07-1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14"/>
    <n v="2302600115"/>
    <x v="1"/>
    <x v="39"/>
    <d v="2026-06-15T00:00:00"/>
    <x v="60"/>
    <d v="1899-12-30T00:00:00"/>
    <d v="2026-07-1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15"/>
    <n v="2282600116"/>
    <x v="0"/>
    <x v="39"/>
    <d v="2026-06-15T00:00:00"/>
    <x v="60"/>
    <d v="1899-12-30T00:00:00"/>
    <d v="2026-07-0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16"/>
    <n v="2282600117"/>
    <x v="0"/>
    <x v="39"/>
    <d v="2026-06-16T00:00:00"/>
    <x v="60"/>
    <d v="1899-12-30T00:00:00"/>
    <d v="2026-07-1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17"/>
    <n v="2302600118"/>
    <x v="1"/>
    <x v="39"/>
    <d v="2026-06-16T00:00:00"/>
    <x v="60"/>
    <d v="1899-12-30T00:00:00"/>
    <d v="2026-07-2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18"/>
    <n v="2302600119"/>
    <x v="1"/>
    <x v="39"/>
    <d v="2026-06-17T00:00:00"/>
    <x v="60"/>
    <d v="1899-12-30T00:00:00"/>
    <d v="2026-07-2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19"/>
    <n v="2282600120"/>
    <x v="0"/>
    <x v="39"/>
    <d v="2026-06-17T00:00:00"/>
    <x v="60"/>
    <d v="1899-12-30T00:00:00"/>
    <d v="2026-07-1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20"/>
    <n v="2282600121"/>
    <x v="0"/>
    <x v="39"/>
    <d v="2026-06-18T00:00:00"/>
    <x v="60"/>
    <d v="1899-12-30T00:00:00"/>
    <d v="2026-07-1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21"/>
    <n v="2302600122"/>
    <x v="1"/>
    <x v="39"/>
    <d v="2026-06-18T00:00:00"/>
    <x v="60"/>
    <d v="1899-12-30T00:00:00"/>
    <d v="2026-07-2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22"/>
    <n v="2302600123"/>
    <x v="1"/>
    <x v="39"/>
    <d v="2026-06-19T00:00:00"/>
    <x v="60"/>
    <d v="1899-12-30T00:00:00"/>
    <d v="2026-07-2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23"/>
    <n v="2282600124"/>
    <x v="0"/>
    <x v="39"/>
    <d v="2026-06-19T00:00:00"/>
    <x v="60"/>
    <d v="1899-12-30T00:00:00"/>
    <d v="2026-07-1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24"/>
    <n v="2282600125"/>
    <x v="0"/>
    <x v="39"/>
    <d v="2026-06-22T00:00:00"/>
    <x v="60"/>
    <d v="1899-12-30T00:00:00"/>
    <d v="2026-07-1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25"/>
    <n v="2302600126"/>
    <x v="1"/>
    <x v="39"/>
    <d v="2026-06-22T00:00:00"/>
    <x v="60"/>
    <d v="1899-12-30T00:00:00"/>
    <d v="2026-07-2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26"/>
    <n v="2302600127"/>
    <x v="1"/>
    <x v="39"/>
    <d v="2026-06-23T00:00:00"/>
    <x v="60"/>
    <d v="1899-12-30T00:00:00"/>
    <d v="2026-07-2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27"/>
    <n v="2282600128"/>
    <x v="0"/>
    <x v="39"/>
    <d v="2026-06-23T00:00:00"/>
    <x v="60"/>
    <d v="1899-12-30T00:00:00"/>
    <d v="2026-07-1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28"/>
    <n v="2282600129"/>
    <x v="0"/>
    <x v="39"/>
    <d v="2026-06-24T00:00:00"/>
    <x v="60"/>
    <d v="1899-12-30T00:00:00"/>
    <d v="2026-07-1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29"/>
    <n v="2302600130"/>
    <x v="1"/>
    <x v="39"/>
    <d v="2026-06-24T00:00:00"/>
    <x v="60"/>
    <d v="1899-12-30T00:00:00"/>
    <d v="2026-07-2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30"/>
    <n v="2302600131"/>
    <x v="1"/>
    <x v="39"/>
    <d v="2026-06-25T00:00:00"/>
    <x v="60"/>
    <d v="1899-12-30T00:00:00"/>
    <d v="2026-07-2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31"/>
    <n v="2282600132"/>
    <x v="0"/>
    <x v="39"/>
    <d v="2026-06-25T00:00:00"/>
    <x v="60"/>
    <d v="1899-12-30T00:00:00"/>
    <d v="2026-07-1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32"/>
    <n v="2282600133"/>
    <x v="0"/>
    <x v="39"/>
    <d v="2026-06-25T00:00:00"/>
    <x v="60"/>
    <d v="1899-12-30T00:00:00"/>
    <d v="2026-07-1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33"/>
    <n v="2302600134"/>
    <x v="1"/>
    <x v="39"/>
    <d v="2026-06-26T00:00:00"/>
    <x v="60"/>
    <d v="1899-12-30T00:00:00"/>
    <d v="2026-07-2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34"/>
    <n v="2302600135"/>
    <x v="1"/>
    <x v="39"/>
    <d v="2026-06-26T00:00:00"/>
    <x v="60"/>
    <d v="1899-12-30T00:00:00"/>
    <d v="2026-07-2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35"/>
    <n v="2282600136"/>
    <x v="0"/>
    <x v="39"/>
    <d v="2026-06-29T00:00:00"/>
    <x v="60"/>
    <d v="1899-12-30T00:00:00"/>
    <d v="2026-07-2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36"/>
    <n v="2282600137"/>
    <x v="0"/>
    <x v="39"/>
    <d v="2026-06-29T00:00:00"/>
    <x v="60"/>
    <d v="1899-12-30T00:00:00"/>
    <d v="2026-07-2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37"/>
    <n v="2302600138"/>
    <x v="1"/>
    <x v="39"/>
    <d v="2026-06-29T00:00:00"/>
    <x v="60"/>
    <d v="1899-12-30T00:00:00"/>
    <d v="2026-07-3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38"/>
    <n v="2302600139"/>
    <x v="1"/>
    <x v="39"/>
    <d v="2026-06-30T00:00:00"/>
    <x v="60"/>
    <d v="1899-12-30T00:00:00"/>
    <d v="2026-08-0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39"/>
    <n v="2282600140"/>
    <x v="0"/>
    <x v="39"/>
    <d v="2026-06-30T00:00:00"/>
    <x v="60"/>
    <d v="1899-12-30T00:00:00"/>
    <d v="2026-07-2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40"/>
    <n v="2282600141"/>
    <x v="0"/>
    <x v="39"/>
    <d v="2026-07-01T00:00:00"/>
    <x v="60"/>
    <d v="1899-12-30T00:00:00"/>
    <d v="2026-07-2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41"/>
    <n v="2302600142"/>
    <x v="1"/>
    <x v="39"/>
    <d v="2026-07-01T00:00:00"/>
    <x v="60"/>
    <d v="1899-12-30T00:00:00"/>
    <d v="2026-08-0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42"/>
    <n v="2302600143"/>
    <x v="1"/>
    <x v="39"/>
    <d v="2026-07-01T00:00:00"/>
    <x v="60"/>
    <d v="1899-12-30T00:00:00"/>
    <d v="2026-08-0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43"/>
    <n v="2282600144"/>
    <x v="0"/>
    <x v="39"/>
    <d v="2026-07-02T00:00:00"/>
    <x v="60"/>
    <d v="1899-12-30T00:00:00"/>
    <d v="2026-07-2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44"/>
    <n v="2282600145"/>
    <x v="0"/>
    <x v="39"/>
    <d v="2026-07-02T00:00:00"/>
    <x v="60"/>
    <d v="1899-12-30T00:00:00"/>
    <d v="2026-07-2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45"/>
    <n v="2302600146"/>
    <x v="1"/>
    <x v="39"/>
    <d v="2026-07-03T00:00:00"/>
    <x v="60"/>
    <d v="1899-12-30T00:00:00"/>
    <d v="2026-08-0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46"/>
    <n v="2302600147"/>
    <x v="1"/>
    <x v="39"/>
    <d v="2026-07-03T00:00:00"/>
    <x v="60"/>
    <d v="1899-12-30T00:00:00"/>
    <d v="2026-08-0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47"/>
    <n v="2282600148"/>
    <x v="0"/>
    <x v="39"/>
    <d v="2026-07-03T00:00:00"/>
    <x v="60"/>
    <d v="1899-12-30T00:00:00"/>
    <d v="2026-07-2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48"/>
    <n v="2282600149"/>
    <x v="0"/>
    <x v="39"/>
    <d v="2026-07-06T00:00:00"/>
    <x v="60"/>
    <d v="1899-12-30T00:00:00"/>
    <d v="2026-07-2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49"/>
    <n v="2302600150"/>
    <x v="1"/>
    <x v="39"/>
    <d v="2026-07-06T00:00:00"/>
    <x v="60"/>
    <d v="1899-12-30T00:00:00"/>
    <d v="2026-08-0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50"/>
    <n v="2302600151"/>
    <x v="1"/>
    <x v="39"/>
    <d v="2026-07-07T00:00:00"/>
    <x v="60"/>
    <d v="1899-12-30T00:00:00"/>
    <d v="2026-08-0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51"/>
    <n v="2282600152"/>
    <x v="0"/>
    <x v="39"/>
    <d v="2026-07-07T00:00:00"/>
    <x v="60"/>
    <d v="1899-12-30T00:00:00"/>
    <d v="2026-07-2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52"/>
    <n v="2282600153"/>
    <x v="0"/>
    <x v="39"/>
    <d v="2026-07-07T00:00:00"/>
    <x v="60"/>
    <d v="1899-12-30T00:00:00"/>
    <d v="2026-07-2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53"/>
    <n v="2302600154"/>
    <x v="1"/>
    <x v="39"/>
    <d v="2026-07-08T00:00:00"/>
    <x v="60"/>
    <d v="1899-12-30T00:00:00"/>
    <d v="2026-08-0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54"/>
    <n v="2302600155"/>
    <x v="1"/>
    <x v="39"/>
    <d v="2026-07-08T00:00:00"/>
    <x v="60"/>
    <d v="1899-12-30T00:00:00"/>
    <d v="2026-08-0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55"/>
    <n v="2282600156"/>
    <x v="0"/>
    <x v="39"/>
    <d v="2026-07-09T00:00:00"/>
    <x v="60"/>
    <d v="1899-12-30T00:00:00"/>
    <d v="2026-07-3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56"/>
    <n v="2282600157"/>
    <x v="0"/>
    <x v="39"/>
    <d v="2026-07-09T00:00:00"/>
    <x v="60"/>
    <d v="1899-12-30T00:00:00"/>
    <d v="2026-07-3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57"/>
    <n v="2302600158"/>
    <x v="1"/>
    <x v="39"/>
    <d v="2026-07-09T00:00:00"/>
    <x v="60"/>
    <d v="1899-12-30T00:00:00"/>
    <d v="2026-08-1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58"/>
    <n v="2302600159"/>
    <x v="1"/>
    <x v="39"/>
    <d v="2026-07-10T00:00:00"/>
    <x v="60"/>
    <d v="1899-12-30T00:00:00"/>
    <d v="2026-08-1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59"/>
    <n v="2282600160"/>
    <x v="0"/>
    <x v="39"/>
    <d v="2026-07-10T00:00:00"/>
    <x v="60"/>
    <d v="1899-12-30T00:00:00"/>
    <d v="2026-08-0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60"/>
    <n v="2282600161"/>
    <x v="0"/>
    <x v="39"/>
    <d v="2026-07-13T00:00:00"/>
    <x v="60"/>
    <d v="1899-12-30T00:00:00"/>
    <d v="2026-08-0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61"/>
    <n v="2302600162"/>
    <x v="1"/>
    <x v="39"/>
    <d v="2026-07-13T00:00:00"/>
    <x v="60"/>
    <d v="1899-12-30T00:00:00"/>
    <d v="2026-08-1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62"/>
    <n v="2302600163"/>
    <x v="1"/>
    <x v="39"/>
    <d v="2026-07-13T00:00:00"/>
    <x v="60"/>
    <d v="1899-12-30T00:00:00"/>
    <d v="2026-08-1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63"/>
    <n v="2282600164"/>
    <x v="0"/>
    <x v="39"/>
    <d v="2026-07-14T00:00:00"/>
    <x v="60"/>
    <d v="1899-12-30T00:00:00"/>
    <d v="2026-08-0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64"/>
    <n v="2282600165"/>
    <x v="0"/>
    <x v="39"/>
    <d v="2026-07-14T00:00:00"/>
    <x v="60"/>
    <d v="1899-12-30T00:00:00"/>
    <d v="2026-08-0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65"/>
    <n v="2302600166"/>
    <x v="1"/>
    <x v="39"/>
    <d v="2026-07-15T00:00:00"/>
    <x v="60"/>
    <d v="1899-12-30T00:00:00"/>
    <d v="2026-08-1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66"/>
    <n v="2302600167"/>
    <x v="1"/>
    <x v="39"/>
    <d v="2026-07-15T00:00:00"/>
    <x v="60"/>
    <d v="1899-12-30T00:00:00"/>
    <d v="2026-08-1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67"/>
    <n v="2282600168"/>
    <x v="0"/>
    <x v="39"/>
    <d v="2026-07-15T00:00:00"/>
    <x v="60"/>
    <d v="1899-12-30T00:00:00"/>
    <d v="2026-08-0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68"/>
    <n v="2282600169"/>
    <x v="0"/>
    <x v="39"/>
    <d v="2026-07-16T00:00:00"/>
    <x v="60"/>
    <d v="1899-12-30T00:00:00"/>
    <d v="2026-08-0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69"/>
    <n v="2302600170"/>
    <x v="1"/>
    <x v="39"/>
    <d v="2026-07-16T00:00:00"/>
    <x v="60"/>
    <d v="1899-12-30T00:00:00"/>
    <d v="2026-08-1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70"/>
    <n v="2302600171"/>
    <x v="1"/>
    <x v="39"/>
    <d v="2026-07-17T00:00:00"/>
    <x v="60"/>
    <d v="1899-12-30T00:00:00"/>
    <d v="2026-08-1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71"/>
    <n v="2282600172"/>
    <x v="0"/>
    <x v="39"/>
    <d v="2026-07-17T00:00:00"/>
    <x v="60"/>
    <d v="1899-12-30T00:00:00"/>
    <d v="2026-08-0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72"/>
    <n v="2282600173"/>
    <x v="0"/>
    <x v="39"/>
    <d v="2026-07-17T00:00:00"/>
    <x v="60"/>
    <d v="1899-12-30T00:00:00"/>
    <d v="2026-08-0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73"/>
    <n v="2302600174"/>
    <x v="1"/>
    <x v="39"/>
    <d v="2026-07-20T00:00:00"/>
    <x v="60"/>
    <d v="1899-12-30T00:00:00"/>
    <d v="2026-08-1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74"/>
    <n v="2302600175"/>
    <x v="1"/>
    <x v="39"/>
    <d v="2026-07-20T00:00:00"/>
    <x v="60"/>
    <d v="1899-12-30T00:00:00"/>
    <d v="2026-08-1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75"/>
    <n v="2282600176"/>
    <x v="0"/>
    <x v="39"/>
    <d v="2026-07-21T00:00:00"/>
    <x v="60"/>
    <d v="1899-12-30T00:00:00"/>
    <d v="2026-08-1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76"/>
    <n v="2282600177"/>
    <x v="0"/>
    <x v="39"/>
    <d v="2026-07-21T00:00:00"/>
    <x v="60"/>
    <d v="1899-12-30T00:00:00"/>
    <d v="2026-08-1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77"/>
    <n v="2302600178"/>
    <x v="1"/>
    <x v="39"/>
    <d v="2026-07-21T00:00:00"/>
    <x v="60"/>
    <d v="1899-12-30T00:00:00"/>
    <d v="2026-08-2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78"/>
    <n v="2302600179"/>
    <x v="1"/>
    <x v="39"/>
    <d v="2026-07-22T00:00:00"/>
    <x v="60"/>
    <d v="1899-12-30T00:00:00"/>
    <d v="2026-08-2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79"/>
    <n v="2282600180"/>
    <x v="0"/>
    <x v="39"/>
    <d v="2026-07-22T00:00:00"/>
    <x v="60"/>
    <d v="1899-12-30T00:00:00"/>
    <d v="2026-08-1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80"/>
    <n v="2282600181"/>
    <x v="0"/>
    <x v="39"/>
    <d v="2026-07-23T00:00:00"/>
    <x v="60"/>
    <d v="1899-12-30T00:00:00"/>
    <d v="2026-08-1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81"/>
    <n v="2302600182"/>
    <x v="1"/>
    <x v="39"/>
    <d v="2026-07-23T00:00:00"/>
    <x v="60"/>
    <d v="1899-12-30T00:00:00"/>
    <d v="2026-08-2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82"/>
    <n v="2302600183"/>
    <x v="1"/>
    <x v="39"/>
    <d v="2026-07-23T00:00:00"/>
    <x v="60"/>
    <d v="1899-12-30T00:00:00"/>
    <d v="2026-08-2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83"/>
    <n v="2282600184"/>
    <x v="0"/>
    <x v="39"/>
    <d v="2026-07-24T00:00:00"/>
    <x v="60"/>
    <d v="1899-12-30T00:00:00"/>
    <d v="2026-08-1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84"/>
    <n v="2282600185"/>
    <x v="0"/>
    <x v="39"/>
    <d v="2026-07-24T00:00:00"/>
    <x v="60"/>
    <d v="1899-12-30T00:00:00"/>
    <d v="2026-08-1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85"/>
    <n v="2302600186"/>
    <x v="1"/>
    <x v="39"/>
    <d v="2026-07-27T00:00:00"/>
    <x v="60"/>
    <d v="1899-12-30T00:00:00"/>
    <d v="2026-08-2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86"/>
    <n v="2302600187"/>
    <x v="1"/>
    <x v="39"/>
    <d v="2026-07-27T00:00:00"/>
    <x v="60"/>
    <d v="1899-12-30T00:00:00"/>
    <d v="2026-08-2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87"/>
    <n v="2282600188"/>
    <x v="0"/>
    <x v="39"/>
    <d v="2026-07-27T00:00:00"/>
    <x v="60"/>
    <d v="1899-12-30T00:00:00"/>
    <d v="2026-08-1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88"/>
    <n v="2282600189"/>
    <x v="0"/>
    <x v="39"/>
    <d v="2026-07-28T00:00:00"/>
    <x v="60"/>
    <d v="1899-12-30T00:00:00"/>
    <d v="2026-08-1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89"/>
    <n v="2302600190"/>
    <x v="1"/>
    <x v="39"/>
    <d v="2026-07-28T00:00:00"/>
    <x v="60"/>
    <d v="1899-12-30T00:00:00"/>
    <d v="2026-08-2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90"/>
    <n v="2302600191"/>
    <x v="1"/>
    <x v="39"/>
    <d v="2026-07-29T00:00:00"/>
    <x v="60"/>
    <d v="1899-12-30T00:00:00"/>
    <d v="2026-08-2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91"/>
    <n v="2282600192"/>
    <x v="0"/>
    <x v="39"/>
    <d v="2026-07-29T00:00:00"/>
    <x v="60"/>
    <d v="1899-12-30T00:00:00"/>
    <d v="2026-08-1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192"/>
    <n v="2282600193"/>
    <x v="0"/>
    <x v="39"/>
    <d v="2026-07-29T00:00:00"/>
    <x v="60"/>
    <d v="1899-12-30T00:00:00"/>
    <d v="2026-08-1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193"/>
    <n v="2302600194"/>
    <x v="1"/>
    <x v="39"/>
    <d v="2026-07-30T00:00:00"/>
    <x v="60"/>
    <d v="1899-12-30T00:00:00"/>
    <d v="2026-08-2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194"/>
    <n v="2302600195"/>
    <x v="1"/>
    <x v="39"/>
    <d v="2026-07-30T00:00:00"/>
    <x v="60"/>
    <d v="1899-12-30T00:00:00"/>
    <d v="2026-08-2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195"/>
    <n v="2282600196"/>
    <x v="0"/>
    <x v="39"/>
    <d v="2026-07-31T00:00:00"/>
    <x v="60"/>
    <d v="1899-12-30T00:00:00"/>
    <d v="2026-08-2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196"/>
    <n v="2282600197"/>
    <x v="0"/>
    <x v="39"/>
    <d v="2026-07-31T00:00:00"/>
    <x v="60"/>
    <d v="1899-12-30T00:00:00"/>
    <d v="2026-08-2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197"/>
    <n v="2302600198"/>
    <x v="1"/>
    <x v="39"/>
    <d v="2026-07-31T00:00:00"/>
    <x v="60"/>
    <d v="1899-12-30T00:00:00"/>
    <d v="2026-08-3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198"/>
    <n v="2302600199"/>
    <x v="1"/>
    <x v="39"/>
    <d v="2026-08-03T00:00:00"/>
    <x v="60"/>
    <d v="1899-12-30T00:00:00"/>
    <d v="2026-09-0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199"/>
    <n v="2282600200"/>
    <x v="0"/>
    <x v="39"/>
    <d v="2026-08-03T00:00:00"/>
    <x v="60"/>
    <d v="1899-12-30T00:00:00"/>
    <d v="2026-08-2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00"/>
    <n v="2282600201"/>
    <x v="0"/>
    <x v="39"/>
    <d v="2026-08-04T00:00:00"/>
    <x v="60"/>
    <d v="1899-12-30T00:00:00"/>
    <d v="2026-08-2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01"/>
    <n v="2302600202"/>
    <x v="1"/>
    <x v="39"/>
    <d v="2026-08-04T00:00:00"/>
    <x v="60"/>
    <d v="1899-12-30T00:00:00"/>
    <d v="2026-09-0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02"/>
    <n v="2302600203"/>
    <x v="1"/>
    <x v="39"/>
    <d v="2026-08-04T00:00:00"/>
    <x v="60"/>
    <d v="1899-12-30T00:00:00"/>
    <d v="2026-09-0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03"/>
    <n v="2282600204"/>
    <x v="0"/>
    <x v="39"/>
    <d v="2026-08-05T00:00:00"/>
    <x v="60"/>
    <d v="1899-12-30T00:00:00"/>
    <d v="2026-08-2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04"/>
    <n v="2282600205"/>
    <x v="0"/>
    <x v="39"/>
    <d v="2026-08-05T00:00:00"/>
    <x v="60"/>
    <d v="1899-12-30T00:00:00"/>
    <d v="2026-08-2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05"/>
    <n v="2302600206"/>
    <x v="1"/>
    <x v="39"/>
    <d v="2026-08-06T00:00:00"/>
    <x v="60"/>
    <d v="1899-12-30T00:00:00"/>
    <d v="2026-09-0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06"/>
    <n v="2302600207"/>
    <x v="1"/>
    <x v="39"/>
    <d v="2026-08-06T00:00:00"/>
    <x v="60"/>
    <d v="1899-12-30T00:00:00"/>
    <d v="2026-09-0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07"/>
    <n v="2282600208"/>
    <x v="0"/>
    <x v="39"/>
    <d v="2026-08-06T00:00:00"/>
    <x v="60"/>
    <d v="1899-12-30T00:00:00"/>
    <d v="2026-08-2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08"/>
    <n v="2282600209"/>
    <x v="0"/>
    <x v="39"/>
    <d v="2026-08-07T00:00:00"/>
    <x v="60"/>
    <d v="1899-12-30T00:00:00"/>
    <d v="2026-08-2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09"/>
    <n v="2302600210"/>
    <x v="1"/>
    <x v="39"/>
    <d v="2026-08-07T00:00:00"/>
    <x v="60"/>
    <d v="1899-12-30T00:00:00"/>
    <d v="2026-09-0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10"/>
    <n v="2302600211"/>
    <x v="1"/>
    <x v="39"/>
    <d v="2026-08-10T00:00:00"/>
    <x v="60"/>
    <d v="1899-12-30T00:00:00"/>
    <d v="2026-09-0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11"/>
    <n v="2282600212"/>
    <x v="0"/>
    <x v="39"/>
    <d v="2026-08-10T00:00:00"/>
    <x v="60"/>
    <d v="1899-12-30T00:00:00"/>
    <d v="2026-08-3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12"/>
    <n v="2282600213"/>
    <x v="0"/>
    <x v="39"/>
    <d v="2026-08-10T00:00:00"/>
    <x v="60"/>
    <d v="1899-12-30T00:00:00"/>
    <d v="2026-08-3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13"/>
    <n v="2302600214"/>
    <x v="1"/>
    <x v="39"/>
    <d v="2026-08-11T00:00:00"/>
    <x v="60"/>
    <d v="1899-12-30T00:00:00"/>
    <d v="2026-09-1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14"/>
    <n v="2302600215"/>
    <x v="1"/>
    <x v="39"/>
    <d v="2026-08-11T00:00:00"/>
    <x v="60"/>
    <d v="1899-12-30T00:00:00"/>
    <d v="2026-09-1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15"/>
    <n v="2282600216"/>
    <x v="0"/>
    <x v="39"/>
    <d v="2026-08-12T00:00:00"/>
    <x v="60"/>
    <d v="1899-12-30T00:00:00"/>
    <d v="2026-09-0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16"/>
    <n v="2282600217"/>
    <x v="0"/>
    <x v="39"/>
    <d v="2026-08-12T00:00:00"/>
    <x v="60"/>
    <d v="1899-12-30T00:00:00"/>
    <d v="2026-09-0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17"/>
    <n v="2302600218"/>
    <x v="1"/>
    <x v="39"/>
    <d v="2026-08-12T00:00:00"/>
    <x v="60"/>
    <d v="1899-12-30T00:00:00"/>
    <d v="2026-09-1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18"/>
    <n v="2302600219"/>
    <x v="1"/>
    <x v="39"/>
    <d v="2026-08-13T00:00:00"/>
    <x v="60"/>
    <d v="1899-12-30T00:00:00"/>
    <d v="2026-09-1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19"/>
    <n v="2282600220"/>
    <x v="0"/>
    <x v="39"/>
    <d v="2026-08-13T00:00:00"/>
    <x v="60"/>
    <d v="1899-12-30T00:00:00"/>
    <d v="2026-09-0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20"/>
    <n v="2282600221"/>
    <x v="0"/>
    <x v="39"/>
    <d v="2026-08-14T00:00:00"/>
    <x v="60"/>
    <d v="1899-12-30T00:00:00"/>
    <d v="2026-09-0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21"/>
    <n v="2302600222"/>
    <x v="1"/>
    <x v="39"/>
    <d v="2026-08-14T00:00:00"/>
    <x v="60"/>
    <d v="1899-12-30T00:00:00"/>
    <d v="2026-09-1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22"/>
    <n v="2302600223"/>
    <x v="1"/>
    <x v="39"/>
    <d v="2026-08-14T00:00:00"/>
    <x v="60"/>
    <d v="1899-12-30T00:00:00"/>
    <d v="2026-09-1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23"/>
    <n v="2282600224"/>
    <x v="0"/>
    <x v="39"/>
    <d v="2026-08-17T00:00:00"/>
    <x v="60"/>
    <d v="1899-12-30T00:00:00"/>
    <d v="2026-09-0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24"/>
    <n v="2282600225"/>
    <x v="0"/>
    <x v="39"/>
    <d v="2026-08-17T00:00:00"/>
    <x v="60"/>
    <d v="1899-12-30T00:00:00"/>
    <d v="2026-09-0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25"/>
    <n v="2302600226"/>
    <x v="1"/>
    <x v="39"/>
    <d v="2026-08-18T00:00:00"/>
    <x v="60"/>
    <d v="1899-12-30T00:00:00"/>
    <d v="2026-09-1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26"/>
    <n v="2302600227"/>
    <x v="1"/>
    <x v="39"/>
    <d v="2026-08-18T00:00:00"/>
    <x v="60"/>
    <d v="1899-12-30T00:00:00"/>
    <d v="2026-09-1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27"/>
    <n v="2282600228"/>
    <x v="0"/>
    <x v="39"/>
    <d v="2026-08-18T00:00:00"/>
    <x v="60"/>
    <d v="1899-12-30T00:00:00"/>
    <d v="2026-09-0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28"/>
    <n v="2282600229"/>
    <x v="0"/>
    <x v="39"/>
    <d v="2026-08-19T00:00:00"/>
    <x v="60"/>
    <d v="1899-12-30T00:00:00"/>
    <d v="2026-09-0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29"/>
    <n v="2302600230"/>
    <x v="1"/>
    <x v="39"/>
    <d v="2026-08-19T00:00:00"/>
    <x v="60"/>
    <d v="1899-12-30T00:00:00"/>
    <d v="2026-09-1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30"/>
    <n v="2302600231"/>
    <x v="1"/>
    <x v="39"/>
    <d v="2026-08-20T00:00:00"/>
    <x v="60"/>
    <d v="1899-12-30T00:00:00"/>
    <d v="2026-09-1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31"/>
    <n v="2282600232"/>
    <x v="0"/>
    <x v="39"/>
    <d v="2026-08-20T00:00:00"/>
    <x v="60"/>
    <d v="1899-12-30T00:00:00"/>
    <d v="2026-09-0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32"/>
    <n v="2282600233"/>
    <x v="0"/>
    <x v="39"/>
    <d v="2026-08-20T00:00:00"/>
    <x v="60"/>
    <d v="1899-12-30T00:00:00"/>
    <d v="2026-09-0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33"/>
    <n v="2302600234"/>
    <x v="1"/>
    <x v="39"/>
    <d v="2026-08-21T00:00:00"/>
    <x v="60"/>
    <d v="1899-12-30T00:00:00"/>
    <d v="2026-09-2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34"/>
    <n v="2302600235"/>
    <x v="1"/>
    <x v="39"/>
    <d v="2026-08-21T00:00:00"/>
    <x v="60"/>
    <d v="1899-12-30T00:00:00"/>
    <d v="2026-09-2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35"/>
    <n v="2282600236"/>
    <x v="0"/>
    <x v="39"/>
    <d v="2026-08-24T00:00:00"/>
    <x v="60"/>
    <d v="1899-12-30T00:00:00"/>
    <d v="2026-09-1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36"/>
    <n v="2282600237"/>
    <x v="0"/>
    <x v="39"/>
    <d v="2026-08-24T00:00:00"/>
    <x v="60"/>
    <d v="1899-12-30T00:00:00"/>
    <d v="2026-09-1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37"/>
    <n v="2302600238"/>
    <x v="1"/>
    <x v="39"/>
    <d v="2026-08-24T00:00:00"/>
    <x v="60"/>
    <d v="1899-12-30T00:00:00"/>
    <d v="2026-09-2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38"/>
    <n v="2302600239"/>
    <x v="1"/>
    <x v="39"/>
    <d v="2026-08-25T00:00:00"/>
    <x v="60"/>
    <d v="1899-12-30T00:00:00"/>
    <d v="2026-09-2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39"/>
    <n v="2282600240"/>
    <x v="0"/>
    <x v="39"/>
    <d v="2026-08-25T00:00:00"/>
    <x v="60"/>
    <d v="1899-12-30T00:00:00"/>
    <d v="2026-09-1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40"/>
    <n v="2282600241"/>
    <x v="0"/>
    <x v="39"/>
    <d v="2026-08-26T00:00:00"/>
    <x v="60"/>
    <d v="1899-12-30T00:00:00"/>
    <d v="2026-09-1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41"/>
    <n v="2302600242"/>
    <x v="1"/>
    <x v="39"/>
    <d v="2026-08-26T00:00:00"/>
    <x v="60"/>
    <d v="1899-12-30T00:00:00"/>
    <d v="2026-09-2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42"/>
    <n v="2302600243"/>
    <x v="1"/>
    <x v="39"/>
    <d v="2026-08-26T00:00:00"/>
    <x v="60"/>
    <d v="1899-12-30T00:00:00"/>
    <d v="2026-09-2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43"/>
    <n v="2282600244"/>
    <x v="0"/>
    <x v="39"/>
    <d v="2026-08-27T00:00:00"/>
    <x v="60"/>
    <d v="1899-12-30T00:00:00"/>
    <d v="2026-09-1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44"/>
    <n v="2282600245"/>
    <x v="0"/>
    <x v="39"/>
    <d v="2026-08-27T00:00:00"/>
    <x v="60"/>
    <d v="1899-12-30T00:00:00"/>
    <d v="2026-09-1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45"/>
    <n v="2302600246"/>
    <x v="1"/>
    <x v="39"/>
    <d v="2026-08-28T00:00:00"/>
    <x v="60"/>
    <d v="1899-12-30T00:00:00"/>
    <d v="2026-09-2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46"/>
    <n v="2302600247"/>
    <x v="1"/>
    <x v="39"/>
    <d v="2026-08-28T00:00:00"/>
    <x v="60"/>
    <d v="1899-12-30T00:00:00"/>
    <d v="2026-09-2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47"/>
    <n v="2282600248"/>
    <x v="0"/>
    <x v="39"/>
    <d v="2026-08-28T00:00:00"/>
    <x v="60"/>
    <d v="1899-12-30T00:00:00"/>
    <d v="2026-09-1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48"/>
    <n v="2282600249"/>
    <x v="0"/>
    <x v="39"/>
    <d v="2026-08-31T00:00:00"/>
    <x v="60"/>
    <d v="1899-12-30T00:00:00"/>
    <d v="2026-09-2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49"/>
    <n v="2302600250"/>
    <x v="1"/>
    <x v="39"/>
    <d v="2026-08-31T00:00:00"/>
    <x v="60"/>
    <d v="1899-12-30T00:00:00"/>
    <d v="2026-09-3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50"/>
    <n v="2302600251"/>
    <x v="1"/>
    <x v="39"/>
    <d v="2026-09-01T00:00:00"/>
    <x v="60"/>
    <d v="1899-12-30T00:00:00"/>
    <d v="2026-10-0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51"/>
    <n v="2282600252"/>
    <x v="0"/>
    <x v="39"/>
    <d v="2026-09-01T00:00:00"/>
    <x v="60"/>
    <d v="1899-12-30T00:00:00"/>
    <d v="2026-09-2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52"/>
    <n v="2282600253"/>
    <x v="0"/>
    <x v="39"/>
    <d v="2026-09-01T00:00:00"/>
    <x v="60"/>
    <d v="1899-12-30T00:00:00"/>
    <d v="2026-09-2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53"/>
    <n v="2302600254"/>
    <x v="1"/>
    <x v="39"/>
    <d v="2026-09-02T00:00:00"/>
    <x v="60"/>
    <d v="1899-12-30T00:00:00"/>
    <d v="2026-10-0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54"/>
    <n v="2302600255"/>
    <x v="1"/>
    <x v="39"/>
    <d v="2026-09-02T00:00:00"/>
    <x v="60"/>
    <d v="1899-12-30T00:00:00"/>
    <d v="2026-10-0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55"/>
    <n v="2282600256"/>
    <x v="0"/>
    <x v="39"/>
    <d v="2026-09-02T00:00:00"/>
    <x v="60"/>
    <d v="1899-12-30T00:00:00"/>
    <d v="2026-09-2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56"/>
    <n v="2282600257"/>
    <x v="0"/>
    <x v="39"/>
    <d v="2026-09-03T00:00:00"/>
    <x v="60"/>
    <d v="1899-12-30T00:00:00"/>
    <d v="2026-09-2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57"/>
    <n v="2302600258"/>
    <x v="1"/>
    <x v="39"/>
    <d v="2026-09-03T00:00:00"/>
    <x v="60"/>
    <d v="1899-12-30T00:00:00"/>
    <d v="2026-10-0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58"/>
    <n v="2302600259"/>
    <x v="1"/>
    <x v="39"/>
    <d v="2026-09-03T00:00:00"/>
    <x v="60"/>
    <d v="1899-12-30T00:00:00"/>
    <d v="2026-10-0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59"/>
    <n v="2282600260"/>
    <x v="0"/>
    <x v="39"/>
    <d v="2026-09-04T00:00:00"/>
    <x v="60"/>
    <d v="1899-12-30T00:00:00"/>
    <d v="2026-09-2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60"/>
    <n v="2282600261"/>
    <x v="0"/>
    <x v="39"/>
    <d v="2026-09-04T00:00:00"/>
    <x v="60"/>
    <d v="1899-12-30T00:00:00"/>
    <d v="2026-09-2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61"/>
    <n v="2302600262"/>
    <x v="1"/>
    <x v="39"/>
    <d v="2026-09-04T00:00:00"/>
    <x v="60"/>
    <d v="1899-12-30T00:00:00"/>
    <d v="2026-10-0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62"/>
    <n v="2302600263"/>
    <x v="1"/>
    <x v="39"/>
    <d v="2026-09-07T00:00:00"/>
    <x v="60"/>
    <d v="1899-12-30T00:00:00"/>
    <d v="2026-10-0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63"/>
    <n v="2282600264"/>
    <x v="0"/>
    <x v="39"/>
    <d v="2026-09-07T00:00:00"/>
    <x v="60"/>
    <d v="1899-12-30T00:00:00"/>
    <d v="2026-09-2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64"/>
    <n v="2282600265"/>
    <x v="0"/>
    <x v="39"/>
    <d v="2026-09-07T00:00:00"/>
    <x v="60"/>
    <d v="1899-12-30T00:00:00"/>
    <d v="2026-09-2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65"/>
    <n v="2302600266"/>
    <x v="1"/>
    <x v="39"/>
    <d v="2026-09-08T00:00:00"/>
    <x v="60"/>
    <d v="1899-12-30T00:00:00"/>
    <d v="2026-10-0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66"/>
    <n v="2302600267"/>
    <x v="1"/>
    <x v="39"/>
    <d v="2026-09-08T00:00:00"/>
    <x v="60"/>
    <d v="1899-12-30T00:00:00"/>
    <d v="2026-10-0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67"/>
    <n v="2282600268"/>
    <x v="0"/>
    <x v="39"/>
    <d v="2026-09-08T00:00:00"/>
    <x v="60"/>
    <d v="1899-12-30T00:00:00"/>
    <d v="2026-09-2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68"/>
    <n v="2282600269"/>
    <x v="0"/>
    <x v="39"/>
    <d v="2026-09-09T00:00:00"/>
    <x v="60"/>
    <d v="1899-12-30T00:00:00"/>
    <d v="2026-09-2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69"/>
    <n v="2302600270"/>
    <x v="1"/>
    <x v="39"/>
    <d v="2026-09-09T00:00:00"/>
    <x v="60"/>
    <d v="1899-12-30T00:00:00"/>
    <d v="2026-10-0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70"/>
    <n v="2302600271"/>
    <x v="1"/>
    <x v="39"/>
    <d v="2026-09-09T00:00:00"/>
    <x v="60"/>
    <d v="1899-12-30T00:00:00"/>
    <d v="2026-10-0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71"/>
    <n v="2282600272"/>
    <x v="0"/>
    <x v="39"/>
    <d v="2026-09-10T00:00:00"/>
    <x v="60"/>
    <d v="1899-12-30T00:00:00"/>
    <d v="2026-09-3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72"/>
    <n v="2282600273"/>
    <x v="0"/>
    <x v="39"/>
    <d v="2026-09-10T00:00:00"/>
    <x v="60"/>
    <d v="1899-12-30T00:00:00"/>
    <d v="2026-09-3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73"/>
    <n v="2302600274"/>
    <x v="1"/>
    <x v="39"/>
    <d v="2026-09-10T00:00:00"/>
    <x v="60"/>
    <d v="1899-12-30T00:00:00"/>
    <d v="2026-10-1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74"/>
    <n v="2302600275"/>
    <x v="1"/>
    <x v="39"/>
    <d v="2026-09-11T00:00:00"/>
    <x v="60"/>
    <d v="1899-12-30T00:00:00"/>
    <d v="2026-10-1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75"/>
    <n v="2282600276"/>
    <x v="0"/>
    <x v="39"/>
    <d v="2026-09-11T00:00:00"/>
    <x v="60"/>
    <d v="1899-12-30T00:00:00"/>
    <d v="2026-10-0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76"/>
    <n v="2282600277"/>
    <x v="0"/>
    <x v="39"/>
    <d v="2026-09-11T00:00:00"/>
    <x v="60"/>
    <d v="1899-12-30T00:00:00"/>
    <d v="2026-10-0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77"/>
    <n v="2302600278"/>
    <x v="1"/>
    <x v="39"/>
    <d v="2026-09-14T00:00:00"/>
    <x v="60"/>
    <d v="1899-12-30T00:00:00"/>
    <d v="2026-10-1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78"/>
    <n v="2302600279"/>
    <x v="1"/>
    <x v="39"/>
    <d v="2026-09-14T00:00:00"/>
    <x v="60"/>
    <d v="1899-12-30T00:00:00"/>
    <d v="2026-10-1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79"/>
    <n v="2282600280"/>
    <x v="0"/>
    <x v="39"/>
    <d v="2026-09-14T00:00:00"/>
    <x v="60"/>
    <d v="1899-12-30T00:00:00"/>
    <d v="2026-10-0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80"/>
    <n v="2282600281"/>
    <x v="0"/>
    <x v="39"/>
    <d v="2026-09-15T00:00:00"/>
    <x v="60"/>
    <d v="1899-12-30T00:00:00"/>
    <d v="2026-10-0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81"/>
    <n v="2302600282"/>
    <x v="1"/>
    <x v="39"/>
    <d v="2026-09-15T00:00:00"/>
    <x v="60"/>
    <d v="1899-12-30T00:00:00"/>
    <d v="2026-10-1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82"/>
    <n v="2302600283"/>
    <x v="1"/>
    <x v="39"/>
    <d v="2026-09-15T00:00:00"/>
    <x v="60"/>
    <d v="1899-12-30T00:00:00"/>
    <d v="2026-10-1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83"/>
    <n v="2282600284"/>
    <x v="0"/>
    <x v="39"/>
    <d v="2026-09-21T00:00:00"/>
    <x v="60"/>
    <d v="1899-12-30T00:00:00"/>
    <d v="2026-10-1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84"/>
    <n v="2282600285"/>
    <x v="0"/>
    <x v="39"/>
    <d v="2026-09-21T00:00:00"/>
    <x v="60"/>
    <d v="1899-12-30T00:00:00"/>
    <d v="2026-10-1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85"/>
    <n v="2302600286"/>
    <x v="1"/>
    <x v="39"/>
    <d v="2026-09-21T00:00:00"/>
    <x v="60"/>
    <d v="1899-12-30T00:00:00"/>
    <d v="2026-10-2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86"/>
    <n v="2302600287"/>
    <x v="1"/>
    <x v="39"/>
    <d v="2026-09-22T00:00:00"/>
    <x v="60"/>
    <d v="1899-12-30T00:00:00"/>
    <d v="2026-10-2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87"/>
    <n v="2282600288"/>
    <x v="0"/>
    <x v="39"/>
    <d v="2026-09-22T00:00:00"/>
    <x v="60"/>
    <d v="1899-12-30T00:00:00"/>
    <d v="2026-10-1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288"/>
    <n v="2282600289"/>
    <x v="0"/>
    <x v="39"/>
    <d v="2026-09-22T00:00:00"/>
    <x v="60"/>
    <d v="1899-12-30T00:00:00"/>
    <d v="2026-10-1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289"/>
    <n v="2302600290"/>
    <x v="1"/>
    <x v="39"/>
    <d v="2026-09-23T00:00:00"/>
    <x v="60"/>
    <d v="1899-12-30T00:00:00"/>
    <d v="2026-10-2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290"/>
    <n v="2302600291"/>
    <x v="1"/>
    <x v="39"/>
    <d v="2026-09-23T00:00:00"/>
    <x v="60"/>
    <d v="1899-12-30T00:00:00"/>
    <d v="2026-10-2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291"/>
    <n v="2282600292"/>
    <x v="0"/>
    <x v="39"/>
    <d v="2026-09-23T00:00:00"/>
    <x v="60"/>
    <d v="1899-12-30T00:00:00"/>
    <d v="2026-10-1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292"/>
    <n v="2282600293"/>
    <x v="0"/>
    <x v="39"/>
    <d v="2026-09-24T00:00:00"/>
    <x v="60"/>
    <d v="1899-12-30T00:00:00"/>
    <d v="2026-10-1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293"/>
    <n v="2302600294"/>
    <x v="1"/>
    <x v="39"/>
    <d v="2026-09-24T00:00:00"/>
    <x v="60"/>
    <d v="1899-12-30T00:00:00"/>
    <d v="2026-10-2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294"/>
    <n v="2302600295"/>
    <x v="1"/>
    <x v="39"/>
    <d v="2026-09-24T00:00:00"/>
    <x v="60"/>
    <d v="1899-12-30T00:00:00"/>
    <d v="2026-10-2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295"/>
    <n v="2282600296"/>
    <x v="0"/>
    <x v="39"/>
    <d v="2026-09-25T00:00:00"/>
    <x v="60"/>
    <d v="1899-12-30T00:00:00"/>
    <d v="2026-10-1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296"/>
    <n v="2282600297"/>
    <x v="0"/>
    <x v="39"/>
    <d v="2026-09-25T00:00:00"/>
    <x v="60"/>
    <d v="1899-12-30T00:00:00"/>
    <d v="2026-10-1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297"/>
    <n v="2302600298"/>
    <x v="1"/>
    <x v="39"/>
    <d v="2026-09-25T00:00:00"/>
    <x v="60"/>
    <d v="1899-12-30T00:00:00"/>
    <d v="2026-10-2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298"/>
    <n v="2302600299"/>
    <x v="1"/>
    <x v="39"/>
    <d v="2026-09-28T00:00:00"/>
    <x v="60"/>
    <d v="1899-12-30T00:00:00"/>
    <d v="2026-10-2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299"/>
    <n v="2282600300"/>
    <x v="0"/>
    <x v="39"/>
    <d v="2026-09-28T00:00:00"/>
    <x v="60"/>
    <d v="1899-12-30T00:00:00"/>
    <d v="2026-10-1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00"/>
    <n v="2282600301"/>
    <x v="0"/>
    <x v="39"/>
    <d v="2026-09-28T00:00:00"/>
    <x v="60"/>
    <d v="1899-12-30T00:00:00"/>
    <d v="2026-10-1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01"/>
    <n v="2302600302"/>
    <x v="1"/>
    <x v="39"/>
    <d v="2026-09-29T00:00:00"/>
    <x v="60"/>
    <d v="1899-12-30T00:00:00"/>
    <d v="2026-10-2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02"/>
    <n v="2302600303"/>
    <x v="1"/>
    <x v="39"/>
    <d v="2026-09-29T00:00:00"/>
    <x v="60"/>
    <d v="1899-12-30T00:00:00"/>
    <d v="2026-10-2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03"/>
    <n v="2282600304"/>
    <x v="0"/>
    <x v="39"/>
    <d v="2026-09-29T00:00:00"/>
    <x v="60"/>
    <d v="1899-12-30T00:00:00"/>
    <d v="2026-10-1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04"/>
    <n v="2282600305"/>
    <x v="0"/>
    <x v="39"/>
    <d v="2026-09-30T00:00:00"/>
    <x v="60"/>
    <d v="1899-12-30T00:00:00"/>
    <d v="2026-10-2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05"/>
    <n v="2302600306"/>
    <x v="1"/>
    <x v="39"/>
    <d v="2026-09-30T00:00:00"/>
    <x v="60"/>
    <d v="1899-12-30T00:00:00"/>
    <d v="2026-10-3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06"/>
    <n v="2302600307"/>
    <x v="1"/>
    <x v="39"/>
    <d v="2026-09-30T00:00:00"/>
    <x v="60"/>
    <d v="1899-12-30T00:00:00"/>
    <d v="2026-10-3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07"/>
    <n v="2282600308"/>
    <x v="0"/>
    <x v="39"/>
    <d v="2026-10-01T00:00:00"/>
    <x v="60"/>
    <d v="1899-12-30T00:00:00"/>
    <d v="2026-10-2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08"/>
    <n v="2282600309"/>
    <x v="0"/>
    <x v="39"/>
    <d v="2026-10-01T00:00:00"/>
    <x v="60"/>
    <d v="1899-12-30T00:00:00"/>
    <d v="2026-10-2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09"/>
    <n v="2302600310"/>
    <x v="1"/>
    <x v="39"/>
    <d v="2026-10-01T00:00:00"/>
    <x v="60"/>
    <d v="1899-12-30T00:00:00"/>
    <d v="2026-10-3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10"/>
    <n v="2302600311"/>
    <x v="1"/>
    <x v="39"/>
    <d v="2026-10-02T00:00:00"/>
    <x v="60"/>
    <d v="1899-12-30T00:00:00"/>
    <d v="2026-11-0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11"/>
    <n v="2282600312"/>
    <x v="0"/>
    <x v="39"/>
    <d v="2026-10-02T00:00:00"/>
    <x v="60"/>
    <d v="1899-12-30T00:00:00"/>
    <d v="2026-10-2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12"/>
    <n v="2282600313"/>
    <x v="0"/>
    <x v="39"/>
    <d v="2026-10-02T00:00:00"/>
    <x v="60"/>
    <d v="1899-12-30T00:00:00"/>
    <d v="2026-10-2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13"/>
    <n v="2302600314"/>
    <x v="1"/>
    <x v="39"/>
    <d v="2026-10-05T00:00:00"/>
    <x v="60"/>
    <d v="1899-12-30T00:00:00"/>
    <d v="2026-11-0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14"/>
    <n v="2302600315"/>
    <x v="1"/>
    <x v="39"/>
    <d v="2026-10-05T00:00:00"/>
    <x v="60"/>
    <d v="1899-12-30T00:00:00"/>
    <d v="2026-11-0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15"/>
    <n v="2282600316"/>
    <x v="0"/>
    <x v="39"/>
    <d v="2026-10-05T00:00:00"/>
    <x v="60"/>
    <d v="1899-12-30T00:00:00"/>
    <d v="2026-10-2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16"/>
    <n v="2282600317"/>
    <x v="0"/>
    <x v="39"/>
    <d v="2026-10-06T00:00:00"/>
    <x v="60"/>
    <d v="1899-12-30T00:00:00"/>
    <d v="2026-10-2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17"/>
    <n v="2302600318"/>
    <x v="1"/>
    <x v="39"/>
    <d v="2026-10-06T00:00:00"/>
    <x v="60"/>
    <d v="1899-12-30T00:00:00"/>
    <d v="2026-11-0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18"/>
    <n v="2302600319"/>
    <x v="1"/>
    <x v="39"/>
    <d v="2026-10-06T00:00:00"/>
    <x v="60"/>
    <d v="1899-12-30T00:00:00"/>
    <d v="2026-11-0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19"/>
    <n v="2282600320"/>
    <x v="0"/>
    <x v="39"/>
    <d v="2026-10-07T00:00:00"/>
    <x v="60"/>
    <d v="1899-12-30T00:00:00"/>
    <d v="2026-10-2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20"/>
    <n v="2282600321"/>
    <x v="0"/>
    <x v="39"/>
    <d v="2026-10-07T00:00:00"/>
    <x v="60"/>
    <d v="1899-12-30T00:00:00"/>
    <d v="2026-10-2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21"/>
    <n v="2302600322"/>
    <x v="1"/>
    <x v="39"/>
    <d v="2026-10-07T00:00:00"/>
    <x v="60"/>
    <d v="1899-12-30T00:00:00"/>
    <d v="2026-11-0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22"/>
    <n v="2302600323"/>
    <x v="1"/>
    <x v="39"/>
    <d v="2026-10-08T00:00:00"/>
    <x v="60"/>
    <d v="1899-12-30T00:00:00"/>
    <d v="2026-11-0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23"/>
    <n v="2282600324"/>
    <x v="0"/>
    <x v="39"/>
    <d v="2026-10-08T00:00:00"/>
    <x v="60"/>
    <d v="1899-12-30T00:00:00"/>
    <d v="2026-10-2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24"/>
    <n v="2282600325"/>
    <x v="0"/>
    <x v="39"/>
    <d v="2026-10-08T00:00:00"/>
    <x v="60"/>
    <d v="1899-12-30T00:00:00"/>
    <d v="2026-10-2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25"/>
    <n v="2302600326"/>
    <x v="1"/>
    <x v="39"/>
    <d v="2026-10-09T00:00:00"/>
    <x v="60"/>
    <d v="1899-12-30T00:00:00"/>
    <d v="2026-11-0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26"/>
    <n v="2302600327"/>
    <x v="1"/>
    <x v="39"/>
    <d v="2026-10-09T00:00:00"/>
    <x v="60"/>
    <d v="1899-12-30T00:00:00"/>
    <d v="2026-11-0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27"/>
    <n v="2282600328"/>
    <x v="0"/>
    <x v="39"/>
    <d v="2026-10-09T00:00:00"/>
    <x v="60"/>
    <d v="1899-12-30T00:00:00"/>
    <d v="2026-10-2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28"/>
    <n v="2282600329"/>
    <x v="0"/>
    <x v="39"/>
    <d v="2026-10-12T00:00:00"/>
    <x v="60"/>
    <d v="1899-12-30T00:00:00"/>
    <d v="2026-11-0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29"/>
    <n v="2302600330"/>
    <x v="1"/>
    <x v="39"/>
    <d v="2026-10-12T00:00:00"/>
    <x v="60"/>
    <d v="1899-12-30T00:00:00"/>
    <d v="2026-11-1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30"/>
    <n v="2302600331"/>
    <x v="1"/>
    <x v="39"/>
    <d v="2026-10-12T00:00:00"/>
    <x v="60"/>
    <d v="1899-12-30T00:00:00"/>
    <d v="2026-11-1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31"/>
    <n v="2282600332"/>
    <x v="0"/>
    <x v="39"/>
    <d v="2026-10-13T00:00:00"/>
    <x v="60"/>
    <d v="1899-12-30T00:00:00"/>
    <d v="2026-11-0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32"/>
    <n v="2282600333"/>
    <x v="0"/>
    <x v="39"/>
    <d v="2026-10-13T00:00:00"/>
    <x v="60"/>
    <d v="1899-12-30T00:00:00"/>
    <d v="2026-11-0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33"/>
    <n v="2302600334"/>
    <x v="1"/>
    <x v="39"/>
    <d v="2026-10-13T00:00:00"/>
    <x v="60"/>
    <d v="1899-12-30T00:00:00"/>
    <d v="2026-11-1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34"/>
    <n v="2302600335"/>
    <x v="1"/>
    <x v="39"/>
    <d v="2026-10-14T00:00:00"/>
    <x v="60"/>
    <d v="1899-12-30T00:00:00"/>
    <d v="2026-11-1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35"/>
    <n v="2282600336"/>
    <x v="0"/>
    <x v="39"/>
    <d v="2026-10-14T00:00:00"/>
    <x v="60"/>
    <d v="1899-12-30T00:00:00"/>
    <d v="2026-11-0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36"/>
    <n v="2282600337"/>
    <x v="0"/>
    <x v="39"/>
    <d v="2026-10-14T00:00:00"/>
    <x v="60"/>
    <d v="1899-12-30T00:00:00"/>
    <d v="2026-11-0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37"/>
    <n v="2302600338"/>
    <x v="1"/>
    <x v="39"/>
    <d v="2026-10-15T00:00:00"/>
    <x v="60"/>
    <d v="1899-12-30T00:00:00"/>
    <d v="2026-11-1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38"/>
    <n v="2302600339"/>
    <x v="1"/>
    <x v="39"/>
    <d v="2026-10-15T00:00:00"/>
    <x v="60"/>
    <d v="1899-12-30T00:00:00"/>
    <d v="2026-11-1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39"/>
    <n v="2282600340"/>
    <x v="0"/>
    <x v="39"/>
    <d v="2026-10-15T00:00:00"/>
    <x v="60"/>
    <d v="1899-12-30T00:00:00"/>
    <d v="2026-11-0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40"/>
    <n v="2282600341"/>
    <x v="0"/>
    <x v="39"/>
    <d v="2026-10-16T00:00:00"/>
    <x v="60"/>
    <d v="1899-12-30T00:00:00"/>
    <d v="2026-11-0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41"/>
    <n v="2302600342"/>
    <x v="1"/>
    <x v="39"/>
    <d v="2026-10-16T00:00:00"/>
    <x v="60"/>
    <d v="1899-12-30T00:00:00"/>
    <d v="2026-11-1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42"/>
    <n v="2302600343"/>
    <x v="1"/>
    <x v="39"/>
    <d v="2026-10-16T00:00:00"/>
    <x v="60"/>
    <d v="1899-12-30T00:00:00"/>
    <d v="2026-11-1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43"/>
    <n v="2282600344"/>
    <x v="0"/>
    <x v="39"/>
    <d v="2026-10-19T00:00:00"/>
    <x v="60"/>
    <d v="1899-12-30T00:00:00"/>
    <d v="2026-11-0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44"/>
    <n v="2282600345"/>
    <x v="0"/>
    <x v="39"/>
    <d v="2026-10-19T00:00:00"/>
    <x v="60"/>
    <d v="1899-12-30T00:00:00"/>
    <d v="2026-11-0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45"/>
    <n v="2302600346"/>
    <x v="1"/>
    <x v="39"/>
    <d v="2026-10-19T00:00:00"/>
    <x v="60"/>
    <d v="1899-12-30T00:00:00"/>
    <d v="2026-11-1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46"/>
    <n v="2302600347"/>
    <x v="1"/>
    <x v="39"/>
    <d v="2026-10-20T00:00:00"/>
    <x v="60"/>
    <d v="1899-12-30T00:00:00"/>
    <d v="2026-11-1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47"/>
    <n v="2282600348"/>
    <x v="0"/>
    <x v="39"/>
    <d v="2026-10-20T00:00:00"/>
    <x v="60"/>
    <d v="1899-12-30T00:00:00"/>
    <d v="2026-11-0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48"/>
    <n v="2282600349"/>
    <x v="0"/>
    <x v="39"/>
    <d v="2026-10-20T00:00:00"/>
    <x v="60"/>
    <d v="1899-12-30T00:00:00"/>
    <d v="2026-11-0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49"/>
    <n v="2302600350"/>
    <x v="1"/>
    <x v="39"/>
    <d v="2026-10-21T00:00:00"/>
    <x v="60"/>
    <d v="1899-12-30T00:00:00"/>
    <d v="2026-11-2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50"/>
    <n v="2302600351"/>
    <x v="1"/>
    <x v="39"/>
    <d v="2026-10-21T00:00:00"/>
    <x v="60"/>
    <d v="1899-12-30T00:00:00"/>
    <d v="2026-11-2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51"/>
    <n v="2282600352"/>
    <x v="0"/>
    <x v="39"/>
    <d v="2026-10-21T00:00:00"/>
    <x v="60"/>
    <d v="1899-12-30T00:00:00"/>
    <d v="2026-11-1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52"/>
    <n v="2282600353"/>
    <x v="0"/>
    <x v="39"/>
    <d v="2026-10-22T00:00:00"/>
    <x v="60"/>
    <d v="1899-12-30T00:00:00"/>
    <d v="2026-11-1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53"/>
    <n v="2302600354"/>
    <x v="1"/>
    <x v="39"/>
    <d v="2026-10-22T00:00:00"/>
    <x v="60"/>
    <d v="1899-12-30T00:00:00"/>
    <d v="2026-11-2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54"/>
    <n v="2302600355"/>
    <x v="1"/>
    <x v="39"/>
    <d v="2026-10-22T00:00:00"/>
    <x v="60"/>
    <d v="1899-12-30T00:00:00"/>
    <d v="2026-11-2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55"/>
    <n v="2282600356"/>
    <x v="0"/>
    <x v="39"/>
    <d v="2026-10-23T00:00:00"/>
    <x v="60"/>
    <d v="1899-12-30T00:00:00"/>
    <d v="2026-11-1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56"/>
    <n v="2282600357"/>
    <x v="0"/>
    <x v="39"/>
    <d v="2026-10-23T00:00:00"/>
    <x v="60"/>
    <d v="1899-12-30T00:00:00"/>
    <d v="2026-11-1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57"/>
    <n v="2302600358"/>
    <x v="1"/>
    <x v="39"/>
    <d v="2026-10-23T00:00:00"/>
    <x v="60"/>
    <d v="1899-12-30T00:00:00"/>
    <d v="2026-11-2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58"/>
    <n v="2302600359"/>
    <x v="1"/>
    <x v="39"/>
    <d v="2026-10-26T00:00:00"/>
    <x v="60"/>
    <d v="1899-12-30T00:00:00"/>
    <d v="2026-11-2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59"/>
    <n v="2282600360"/>
    <x v="0"/>
    <x v="39"/>
    <d v="2026-10-26T00:00:00"/>
    <x v="60"/>
    <d v="1899-12-30T00:00:00"/>
    <d v="2026-11-1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60"/>
    <n v="2282600361"/>
    <x v="0"/>
    <x v="39"/>
    <d v="2026-10-26T00:00:00"/>
    <x v="60"/>
    <d v="1899-12-30T00:00:00"/>
    <d v="2026-11-1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61"/>
    <n v="2302600362"/>
    <x v="1"/>
    <x v="39"/>
    <d v="2026-10-27T00:00:00"/>
    <x v="60"/>
    <d v="1899-12-30T00:00:00"/>
    <d v="2026-11-2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62"/>
    <n v="2302600363"/>
    <x v="1"/>
    <x v="39"/>
    <d v="2026-10-27T00:00:00"/>
    <x v="60"/>
    <d v="1899-12-30T00:00:00"/>
    <d v="2026-11-2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63"/>
    <n v="2282600364"/>
    <x v="0"/>
    <x v="39"/>
    <d v="2026-10-27T00:00:00"/>
    <x v="60"/>
    <d v="1899-12-30T00:00:00"/>
    <d v="2026-11-1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64"/>
    <n v="2282600365"/>
    <x v="0"/>
    <x v="39"/>
    <d v="2026-10-28T00:00:00"/>
    <x v="60"/>
    <d v="1899-12-30T00:00:00"/>
    <d v="2026-11-1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65"/>
    <n v="2302600366"/>
    <x v="1"/>
    <x v="39"/>
    <d v="2026-10-28T00:00:00"/>
    <x v="60"/>
    <d v="1899-12-30T00:00:00"/>
    <d v="2026-11-2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66"/>
    <n v="2302600367"/>
    <x v="1"/>
    <x v="39"/>
    <d v="2026-10-28T00:00:00"/>
    <x v="60"/>
    <d v="1899-12-30T00:00:00"/>
    <d v="2026-11-2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67"/>
    <n v="2282600368"/>
    <x v="0"/>
    <x v="39"/>
    <d v="2026-10-29T00:00:00"/>
    <x v="60"/>
    <d v="1899-12-30T00:00:00"/>
    <d v="2026-11-1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68"/>
    <n v="2282600369"/>
    <x v="0"/>
    <x v="39"/>
    <d v="2026-10-29T00:00:00"/>
    <x v="60"/>
    <d v="1899-12-30T00:00:00"/>
    <d v="2026-11-1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69"/>
    <n v="2302600370"/>
    <x v="1"/>
    <x v="39"/>
    <d v="2026-10-29T00:00:00"/>
    <x v="60"/>
    <d v="1899-12-30T00:00:00"/>
    <d v="2026-11-2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70"/>
    <n v="2302600371"/>
    <x v="1"/>
    <x v="39"/>
    <d v="2026-10-30T00:00:00"/>
    <x v="60"/>
    <d v="1899-12-30T00:00:00"/>
    <d v="2026-11-2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71"/>
    <n v="2282600372"/>
    <x v="0"/>
    <x v="39"/>
    <d v="2026-10-30T00:00:00"/>
    <x v="60"/>
    <d v="1899-12-30T00:00:00"/>
    <d v="2026-11-1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72"/>
    <n v="2282600373"/>
    <x v="0"/>
    <x v="39"/>
    <d v="2026-10-30T00:00:00"/>
    <x v="60"/>
    <d v="1899-12-30T00:00:00"/>
    <d v="2026-11-1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73"/>
    <n v="2302600374"/>
    <x v="1"/>
    <x v="39"/>
    <d v="2026-11-02T00:00:00"/>
    <x v="60"/>
    <d v="1899-12-30T00:00:00"/>
    <d v="2026-12-0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74"/>
    <n v="2302600375"/>
    <x v="1"/>
    <x v="39"/>
    <d v="2026-11-02T00:00:00"/>
    <x v="60"/>
    <d v="1899-12-30T00:00:00"/>
    <d v="2026-12-0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75"/>
    <n v="2282600376"/>
    <x v="0"/>
    <x v="39"/>
    <d v="2026-11-02T00:00:00"/>
    <x v="60"/>
    <d v="1899-12-30T00:00:00"/>
    <d v="2026-11-2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76"/>
    <n v="2282600377"/>
    <x v="0"/>
    <x v="39"/>
    <d v="2026-11-03T00:00:00"/>
    <x v="60"/>
    <d v="1899-12-30T00:00:00"/>
    <d v="2026-11-2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77"/>
    <n v="2302600378"/>
    <x v="1"/>
    <x v="39"/>
    <d v="2026-11-03T00:00:00"/>
    <x v="60"/>
    <d v="1899-12-30T00:00:00"/>
    <d v="2026-12-0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78"/>
    <n v="2302600379"/>
    <x v="1"/>
    <x v="39"/>
    <d v="2026-11-03T00:00:00"/>
    <x v="60"/>
    <d v="1899-12-30T00:00:00"/>
    <d v="2026-12-0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79"/>
    <n v="2282600380"/>
    <x v="0"/>
    <x v="39"/>
    <d v="2026-11-04T00:00:00"/>
    <x v="60"/>
    <d v="1899-12-30T00:00:00"/>
    <d v="2026-11-2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80"/>
    <n v="2282600381"/>
    <x v="0"/>
    <x v="39"/>
    <d v="2026-11-04T00:00:00"/>
    <x v="60"/>
    <d v="1899-12-30T00:00:00"/>
    <d v="2026-11-2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81"/>
    <n v="2302600382"/>
    <x v="1"/>
    <x v="39"/>
    <d v="2026-11-04T00:00:00"/>
    <x v="60"/>
    <d v="1899-12-30T00:00:00"/>
    <d v="2026-12-0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82"/>
    <n v="2302600383"/>
    <x v="1"/>
    <x v="39"/>
    <d v="2026-11-05T00:00:00"/>
    <x v="60"/>
    <d v="1899-12-30T00:00:00"/>
    <d v="2026-12-0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83"/>
    <n v="2282600384"/>
    <x v="0"/>
    <x v="39"/>
    <d v="2026-11-05T00:00:00"/>
    <x v="60"/>
    <d v="1899-12-30T00:00:00"/>
    <d v="2026-11-2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384"/>
    <n v="2282600385"/>
    <x v="0"/>
    <x v="39"/>
    <d v="2026-11-05T00:00:00"/>
    <x v="60"/>
    <d v="1899-12-30T00:00:00"/>
    <d v="2026-11-2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385"/>
    <n v="2302600386"/>
    <x v="1"/>
    <x v="39"/>
    <d v="2026-11-06T00:00:00"/>
    <x v="60"/>
    <d v="1899-12-30T00:00:00"/>
    <d v="2026-12-0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386"/>
    <n v="2302600387"/>
    <x v="1"/>
    <x v="39"/>
    <d v="2026-11-06T00:00:00"/>
    <x v="60"/>
    <d v="1899-12-30T00:00:00"/>
    <d v="2026-12-0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387"/>
    <n v="2282600388"/>
    <x v="0"/>
    <x v="39"/>
    <d v="2026-11-06T00:00:00"/>
    <x v="60"/>
    <d v="1899-12-30T00:00:00"/>
    <d v="2026-11-2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388"/>
    <n v="2282600389"/>
    <x v="0"/>
    <x v="39"/>
    <d v="2026-11-09T00:00:00"/>
    <x v="60"/>
    <d v="1899-12-30T00:00:00"/>
    <d v="2026-11-2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389"/>
    <n v="2302600390"/>
    <x v="1"/>
    <x v="39"/>
    <d v="2026-11-09T00:00:00"/>
    <x v="60"/>
    <d v="1899-12-30T00:00:00"/>
    <d v="2026-12-0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390"/>
    <n v="2302600391"/>
    <x v="1"/>
    <x v="39"/>
    <d v="2026-11-09T00:00:00"/>
    <x v="60"/>
    <d v="1899-12-30T00:00:00"/>
    <d v="2026-12-0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391"/>
    <n v="2282600392"/>
    <x v="0"/>
    <x v="39"/>
    <d v="2026-11-10T00:00:00"/>
    <x v="60"/>
    <d v="1899-12-30T00:00:00"/>
    <d v="2026-11-3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392"/>
    <n v="2282600393"/>
    <x v="0"/>
    <x v="39"/>
    <d v="2026-11-10T00:00:00"/>
    <x v="60"/>
    <d v="1899-12-30T00:00:00"/>
    <d v="2026-11-3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393"/>
    <n v="2302600394"/>
    <x v="1"/>
    <x v="39"/>
    <d v="2026-11-10T00:00:00"/>
    <x v="60"/>
    <d v="1899-12-30T00:00:00"/>
    <d v="2026-12-1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394"/>
    <n v="2302600395"/>
    <x v="1"/>
    <x v="39"/>
    <d v="2026-11-11T00:00:00"/>
    <x v="60"/>
    <d v="1899-12-30T00:00:00"/>
    <d v="2026-12-1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395"/>
    <n v="2282600396"/>
    <x v="0"/>
    <x v="39"/>
    <d v="2026-11-11T00:00:00"/>
    <x v="60"/>
    <d v="1899-12-30T00:00:00"/>
    <d v="2026-12-0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396"/>
    <n v="2282600397"/>
    <x v="0"/>
    <x v="39"/>
    <d v="2026-11-11T00:00:00"/>
    <x v="60"/>
    <d v="1899-12-30T00:00:00"/>
    <d v="2026-12-0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397"/>
    <n v="2302600398"/>
    <x v="1"/>
    <x v="39"/>
    <d v="2026-11-12T00:00:00"/>
    <x v="60"/>
    <d v="1899-12-30T00:00:00"/>
    <d v="2026-12-1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398"/>
    <n v="2302600399"/>
    <x v="1"/>
    <x v="39"/>
    <d v="2026-11-12T00:00:00"/>
    <x v="60"/>
    <d v="1899-12-30T00:00:00"/>
    <d v="2026-12-1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399"/>
    <n v="2282600400"/>
    <x v="0"/>
    <x v="39"/>
    <d v="2026-11-12T00:00:00"/>
    <x v="60"/>
    <d v="1899-12-30T00:00:00"/>
    <d v="2026-12-0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400"/>
    <n v="2282600401"/>
    <x v="0"/>
    <x v="39"/>
    <d v="2026-11-13T00:00:00"/>
    <x v="60"/>
    <d v="1899-12-30T00:00:00"/>
    <d v="2026-12-0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401"/>
    <n v="2302600402"/>
    <x v="1"/>
    <x v="39"/>
    <d v="2026-11-13T00:00:00"/>
    <x v="60"/>
    <d v="1899-12-30T00:00:00"/>
    <d v="2026-12-1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402"/>
    <n v="2302600403"/>
    <x v="1"/>
    <x v="39"/>
    <d v="2026-11-13T00:00:00"/>
    <x v="60"/>
    <d v="1899-12-30T00:00:00"/>
    <d v="2026-12-1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403"/>
    <n v="2282600404"/>
    <x v="0"/>
    <x v="39"/>
    <d v="2026-11-16T00:00:00"/>
    <x v="60"/>
    <d v="1899-12-30T00:00:00"/>
    <d v="2026-12-0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404"/>
    <n v="2282600405"/>
    <x v="0"/>
    <x v="39"/>
    <d v="2026-11-16T00:00:00"/>
    <x v="60"/>
    <d v="1899-12-30T00:00:00"/>
    <d v="2026-12-0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405"/>
    <n v="2302600406"/>
    <x v="1"/>
    <x v="39"/>
    <d v="2026-11-16T00:00:00"/>
    <x v="60"/>
    <d v="1899-12-30T00:00:00"/>
    <d v="2026-12-1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406"/>
    <n v="2302600407"/>
    <x v="1"/>
    <x v="39"/>
    <d v="2026-11-17T00:00:00"/>
    <x v="60"/>
    <d v="1899-12-30T00:00:00"/>
    <d v="2026-12-1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407"/>
    <n v="2282600408"/>
    <x v="0"/>
    <x v="39"/>
    <d v="2026-11-17T00:00:00"/>
    <x v="60"/>
    <d v="1899-12-30T00:00:00"/>
    <d v="2026-12-0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408"/>
    <n v="2282600409"/>
    <x v="0"/>
    <x v="39"/>
    <d v="2026-11-17T00:00:00"/>
    <x v="60"/>
    <d v="1899-12-30T00:00:00"/>
    <d v="2026-12-0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409"/>
    <n v="2302600410"/>
    <x v="1"/>
    <x v="39"/>
    <d v="2026-11-18T00:00:00"/>
    <x v="60"/>
    <d v="1899-12-30T00:00:00"/>
    <d v="2026-12-1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410"/>
    <n v="2302600411"/>
    <x v="1"/>
    <x v="39"/>
    <d v="2026-11-18T00:00:00"/>
    <x v="60"/>
    <d v="1899-12-30T00:00:00"/>
    <d v="2026-12-1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411"/>
    <n v="2282600412"/>
    <x v="0"/>
    <x v="39"/>
    <d v="2026-11-18T00:00:00"/>
    <x v="60"/>
    <d v="1899-12-30T00:00:00"/>
    <d v="2026-12-0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412"/>
    <n v="2282600413"/>
    <x v="0"/>
    <x v="39"/>
    <d v="2026-11-19T00:00:00"/>
    <x v="60"/>
    <d v="1899-12-30T00:00:00"/>
    <d v="2026-12-0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413"/>
    <n v="2302600414"/>
    <x v="1"/>
    <x v="39"/>
    <d v="2026-11-19T00:00:00"/>
    <x v="60"/>
    <d v="1899-12-30T00:00:00"/>
    <d v="2026-12-1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414"/>
    <n v="2302600415"/>
    <x v="1"/>
    <x v="39"/>
    <d v="2026-11-19T00:00:00"/>
    <x v="60"/>
    <d v="1899-12-30T00:00:00"/>
    <d v="2026-12-1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415"/>
    <n v="2282600416"/>
    <x v="0"/>
    <x v="39"/>
    <d v="2026-11-20T00:00:00"/>
    <x v="60"/>
    <d v="1899-12-30T00:00:00"/>
    <d v="2026-12-1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16"/>
    <n v="2282600417"/>
    <x v="0"/>
    <x v="39"/>
    <d v="2026-11-20T00:00:00"/>
    <x v="60"/>
    <d v="1899-12-30T00:00:00"/>
    <d v="2026-12-1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17"/>
    <n v="2302600418"/>
    <x v="1"/>
    <x v="39"/>
    <d v="2026-11-20T00:00:00"/>
    <x v="60"/>
    <d v="1899-12-30T00:00:00"/>
    <d v="2026-12-2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18"/>
    <n v="2302600419"/>
    <x v="1"/>
    <x v="39"/>
    <d v="2026-11-23T00:00:00"/>
    <x v="60"/>
    <d v="1899-12-30T00:00:00"/>
    <d v="2026-12-2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19"/>
    <n v="2282600420"/>
    <x v="0"/>
    <x v="39"/>
    <d v="2026-11-23T00:00:00"/>
    <x v="60"/>
    <d v="1899-12-30T00:00:00"/>
    <d v="2026-12-1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20"/>
    <n v="2282600421"/>
    <x v="0"/>
    <x v="39"/>
    <d v="2026-11-23T00:00:00"/>
    <x v="60"/>
    <d v="1899-12-30T00:00:00"/>
    <d v="2026-12-1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21"/>
    <n v="2302600422"/>
    <x v="1"/>
    <x v="39"/>
    <d v="2026-11-24T00:00:00"/>
    <x v="60"/>
    <d v="1899-12-30T00:00:00"/>
    <d v="2026-12-2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22"/>
    <n v="2302600423"/>
    <x v="1"/>
    <x v="39"/>
    <d v="2026-11-24T00:00:00"/>
    <x v="60"/>
    <d v="1899-12-30T00:00:00"/>
    <d v="2026-12-2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23"/>
    <n v="2282600424"/>
    <x v="0"/>
    <x v="39"/>
    <d v="2026-11-24T00:00:00"/>
    <x v="60"/>
    <d v="1899-12-30T00:00:00"/>
    <d v="2026-12-1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24"/>
    <n v="2282600425"/>
    <x v="0"/>
    <x v="39"/>
    <d v="2026-11-25T00:00:00"/>
    <x v="60"/>
    <d v="1899-12-30T00:00:00"/>
    <d v="2026-12-1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25"/>
    <n v="2302600426"/>
    <x v="1"/>
    <x v="39"/>
    <d v="2026-11-25T00:00:00"/>
    <x v="60"/>
    <d v="1899-12-30T00:00:00"/>
    <d v="2026-12-2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26"/>
    <n v="2302600427"/>
    <x v="1"/>
    <x v="39"/>
    <d v="2026-11-25T00:00:00"/>
    <x v="60"/>
    <d v="1899-12-30T00:00:00"/>
    <d v="2026-12-2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27"/>
    <n v="2282600428"/>
    <x v="0"/>
    <x v="39"/>
    <d v="2026-11-26T00:00:00"/>
    <x v="60"/>
    <d v="1899-12-30T00:00:00"/>
    <d v="2026-12-1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28"/>
    <n v="2282600429"/>
    <x v="0"/>
    <x v="39"/>
    <d v="2026-11-26T00:00:00"/>
    <x v="60"/>
    <d v="1899-12-30T00:00:00"/>
    <d v="2026-12-1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29"/>
    <n v="2302600430"/>
    <x v="1"/>
    <x v="39"/>
    <d v="2026-11-26T00:00:00"/>
    <x v="60"/>
    <d v="1899-12-30T00:00:00"/>
    <d v="2026-12-2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30"/>
    <n v="2302600431"/>
    <x v="1"/>
    <x v="39"/>
    <d v="2026-11-27T00:00:00"/>
    <x v="60"/>
    <d v="1899-12-30T00:00:00"/>
    <d v="2026-12-2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31"/>
    <n v="2282600432"/>
    <x v="0"/>
    <x v="39"/>
    <d v="2026-11-27T00:00:00"/>
    <x v="60"/>
    <d v="1899-12-30T00:00:00"/>
    <d v="2026-12-1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32"/>
    <n v="2282600433"/>
    <x v="0"/>
    <x v="39"/>
    <d v="2026-11-27T00:00:00"/>
    <x v="60"/>
    <d v="1899-12-30T00:00:00"/>
    <d v="2026-12-1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33"/>
    <n v="2302600434"/>
    <x v="1"/>
    <x v="39"/>
    <d v="2026-11-30T00:00:00"/>
    <x v="60"/>
    <d v="1899-12-30T00:00:00"/>
    <d v="2026-12-3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34"/>
    <n v="2302600435"/>
    <x v="1"/>
    <x v="39"/>
    <d v="2026-11-30T00:00:00"/>
    <x v="60"/>
    <d v="1899-12-30T00:00:00"/>
    <d v="2026-12-3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35"/>
    <n v="2282600436"/>
    <x v="0"/>
    <x v="39"/>
    <d v="2026-11-30T00:00:00"/>
    <x v="60"/>
    <d v="1899-12-30T00:00:00"/>
    <d v="2026-12-2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36"/>
    <n v="2282600437"/>
    <x v="0"/>
    <x v="39"/>
    <d v="2026-12-01T00:00:00"/>
    <x v="60"/>
    <d v="1899-12-30T00:00:00"/>
    <d v="2026-12-2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37"/>
    <n v="2302600438"/>
    <x v="1"/>
    <x v="39"/>
    <d v="2026-12-01T00:00:00"/>
    <x v="60"/>
    <d v="1899-12-30T00:00:00"/>
    <d v="2026-12-3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38"/>
    <n v="2302600439"/>
    <x v="1"/>
    <x v="39"/>
    <d v="2026-12-01T00:00:00"/>
    <x v="60"/>
    <d v="1899-12-30T00:00:00"/>
    <d v="2026-12-3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39"/>
    <n v="2282600440"/>
    <x v="0"/>
    <x v="39"/>
    <d v="2026-12-02T00:00:00"/>
    <x v="60"/>
    <d v="1899-12-30T00:00:00"/>
    <d v="2026-12-2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40"/>
    <n v="2282600441"/>
    <x v="0"/>
    <x v="39"/>
    <d v="2026-12-02T00:00:00"/>
    <x v="60"/>
    <d v="1899-12-30T00:00:00"/>
    <d v="2026-12-2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41"/>
    <n v="2302600442"/>
    <x v="1"/>
    <x v="39"/>
    <d v="2026-12-02T00:00:00"/>
    <x v="60"/>
    <d v="1899-12-30T00:00:00"/>
    <d v="2027-01-0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42"/>
    <n v="2302600443"/>
    <x v="1"/>
    <x v="39"/>
    <d v="2026-12-03T00:00:00"/>
    <x v="60"/>
    <d v="1899-12-30T00:00:00"/>
    <d v="2027-01-0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43"/>
    <n v="2282600444"/>
    <x v="0"/>
    <x v="39"/>
    <d v="2026-12-03T00:00:00"/>
    <x v="60"/>
    <d v="1899-12-30T00:00:00"/>
    <d v="2026-12-2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44"/>
    <n v="2282600445"/>
    <x v="0"/>
    <x v="39"/>
    <d v="2026-12-03T00:00:00"/>
    <x v="60"/>
    <d v="1899-12-30T00:00:00"/>
    <d v="2026-12-2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45"/>
    <n v="2302600446"/>
    <x v="1"/>
    <x v="39"/>
    <d v="2026-12-04T00:00:00"/>
    <x v="60"/>
    <d v="1899-12-30T00:00:00"/>
    <d v="2027-01-0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46"/>
    <n v="2302600447"/>
    <x v="1"/>
    <x v="39"/>
    <d v="2026-12-04T00:00:00"/>
    <x v="60"/>
    <d v="1899-12-30T00:00:00"/>
    <d v="2027-01-0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47"/>
    <n v="2282600448"/>
    <x v="0"/>
    <x v="39"/>
    <d v="2026-12-04T00:00:00"/>
    <x v="60"/>
    <d v="1899-12-30T00:00:00"/>
    <d v="2026-12-2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48"/>
    <n v="2282600449"/>
    <x v="0"/>
    <x v="39"/>
    <d v="2026-12-07T00:00:00"/>
    <x v="60"/>
    <d v="1899-12-30T00:00:00"/>
    <d v="2026-12-2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49"/>
    <n v="2302600450"/>
    <x v="1"/>
    <x v="39"/>
    <d v="2026-12-07T00:00:00"/>
    <x v="60"/>
    <d v="1899-12-30T00:00:00"/>
    <d v="2027-01-0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50"/>
    <n v="2302600451"/>
    <x v="1"/>
    <x v="39"/>
    <d v="2026-12-07T00:00:00"/>
    <x v="60"/>
    <d v="1899-12-30T00:00:00"/>
    <d v="2027-01-0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51"/>
    <n v="2282600452"/>
    <x v="0"/>
    <x v="39"/>
    <d v="2026-12-09T00:00:00"/>
    <x v="60"/>
    <d v="1899-12-30T00:00:00"/>
    <d v="2026-12-2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52"/>
    <n v="2282600453"/>
    <x v="0"/>
    <x v="39"/>
    <d v="2026-12-09T00:00:00"/>
    <x v="60"/>
    <d v="1899-12-30T00:00:00"/>
    <d v="2026-12-2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53"/>
    <n v="2302600454"/>
    <x v="1"/>
    <x v="39"/>
    <d v="2026-12-09T00:00:00"/>
    <x v="60"/>
    <d v="1899-12-30T00:00:00"/>
    <d v="2027-01-0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54"/>
    <n v="2302600455"/>
    <x v="1"/>
    <x v="39"/>
    <d v="2026-12-10T00:00:00"/>
    <x v="60"/>
    <d v="1899-12-30T00:00:00"/>
    <d v="2027-01-0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55"/>
    <n v="2282600456"/>
    <x v="0"/>
    <x v="39"/>
    <d v="2026-12-10T00:00:00"/>
    <x v="60"/>
    <d v="1899-12-30T00:00:00"/>
    <d v="2026-12-3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56"/>
    <n v="2282600457"/>
    <x v="0"/>
    <x v="39"/>
    <d v="2026-12-10T00:00:00"/>
    <x v="60"/>
    <d v="1899-12-30T00:00:00"/>
    <d v="2026-12-3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57"/>
    <n v="2302600458"/>
    <x v="1"/>
    <x v="39"/>
    <d v="2026-12-11T00:00:00"/>
    <x v="60"/>
    <d v="1899-12-30T00:00:00"/>
    <d v="2027-01-1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58"/>
    <n v="2302600459"/>
    <x v="1"/>
    <x v="39"/>
    <d v="2026-12-11T00:00:00"/>
    <x v="60"/>
    <d v="1899-12-30T00:00:00"/>
    <d v="2027-01-1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59"/>
    <n v="2282600460"/>
    <x v="0"/>
    <x v="39"/>
    <d v="2026-12-11T00:00:00"/>
    <x v="60"/>
    <d v="1899-12-30T00:00:00"/>
    <d v="2026-12-3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60"/>
    <n v="2282600461"/>
    <x v="0"/>
    <x v="39"/>
    <d v="2026-12-14T00:00:00"/>
    <x v="60"/>
    <d v="1899-12-30T00:00:00"/>
    <d v="2027-01-0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61"/>
    <n v="2302600462"/>
    <x v="1"/>
    <x v="39"/>
    <d v="2026-12-14T00:00:00"/>
    <x v="60"/>
    <d v="1899-12-30T00:00:00"/>
    <d v="2027-01-1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62"/>
    <n v="2302600463"/>
    <x v="1"/>
    <x v="39"/>
    <d v="2026-12-14T00:00:00"/>
    <x v="60"/>
    <d v="1899-12-30T00:00:00"/>
    <d v="2027-01-1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63"/>
    <n v="2282600464"/>
    <x v="0"/>
    <x v="39"/>
    <d v="2026-12-15T00:00:00"/>
    <x v="60"/>
    <d v="1899-12-30T00:00:00"/>
    <d v="2027-01-0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64"/>
    <n v="2282600465"/>
    <x v="0"/>
    <x v="39"/>
    <d v="2026-12-15T00:00:00"/>
    <x v="60"/>
    <d v="1899-12-30T00:00:00"/>
    <d v="2027-01-0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65"/>
    <n v="2302600466"/>
    <x v="1"/>
    <x v="39"/>
    <d v="2026-12-15T00:00:00"/>
    <x v="60"/>
    <d v="1899-12-30T00:00:00"/>
    <d v="2027-01-1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66"/>
    <n v="2302600467"/>
    <x v="1"/>
    <x v="39"/>
    <d v="2026-12-16T00:00:00"/>
    <x v="60"/>
    <d v="1899-12-30T00:00:00"/>
    <d v="2027-01-1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67"/>
    <n v="2282600468"/>
    <x v="0"/>
    <x v="39"/>
    <d v="2026-12-16T00:00:00"/>
    <x v="60"/>
    <d v="1899-12-30T00:00:00"/>
    <d v="2027-01-0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68"/>
    <n v="2282600469"/>
    <x v="0"/>
    <x v="39"/>
    <d v="2026-12-16T00:00:00"/>
    <x v="60"/>
    <d v="1899-12-30T00:00:00"/>
    <d v="2027-01-0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69"/>
    <n v="2302600470"/>
    <x v="1"/>
    <x v="39"/>
    <d v="2026-12-17T00:00:00"/>
    <x v="60"/>
    <d v="1899-12-30T00:00:00"/>
    <d v="2027-01-1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70"/>
    <n v="2302600471"/>
    <x v="1"/>
    <x v="39"/>
    <d v="2026-12-17T00:00:00"/>
    <x v="60"/>
    <d v="1899-12-30T00:00:00"/>
    <d v="2027-01-1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71"/>
    <n v="2282600472"/>
    <x v="0"/>
    <x v="39"/>
    <d v="2026-12-17T00:00:00"/>
    <x v="60"/>
    <d v="1899-12-30T00:00:00"/>
    <d v="2027-01-0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72"/>
    <n v="2282600473"/>
    <x v="0"/>
    <x v="39"/>
    <d v="2026-12-18T00:00:00"/>
    <x v="60"/>
    <d v="1899-12-30T00:00:00"/>
    <d v="2027-01-0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73"/>
    <n v="2302600474"/>
    <x v="1"/>
    <x v="39"/>
    <d v="2026-12-18T00:00:00"/>
    <x v="60"/>
    <d v="1899-12-30T00:00:00"/>
    <d v="2027-01-1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74"/>
    <n v="2302600475"/>
    <x v="1"/>
    <x v="39"/>
    <d v="2026-12-18T00:00:00"/>
    <x v="60"/>
    <d v="1899-12-30T00:00:00"/>
    <d v="2027-01-1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75"/>
    <n v="2282600476"/>
    <x v="0"/>
    <x v="39"/>
    <d v="2026-12-21T00:00:00"/>
    <x v="60"/>
    <d v="1899-12-30T00:00:00"/>
    <d v="2027-01-1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76"/>
    <n v="2282600477"/>
    <x v="0"/>
    <x v="39"/>
    <d v="2026-12-21T00:00:00"/>
    <x v="60"/>
    <d v="1899-12-30T00:00:00"/>
    <d v="2027-01-1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77"/>
    <n v="2302600478"/>
    <x v="1"/>
    <x v="39"/>
    <d v="2026-12-21T00:00:00"/>
    <x v="60"/>
    <d v="1899-12-30T00:00:00"/>
    <d v="2027-01-2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78"/>
    <n v="2302600479"/>
    <x v="1"/>
    <x v="39"/>
    <d v="2026-12-22T00:00:00"/>
    <x v="60"/>
    <d v="1899-12-30T00:00:00"/>
    <d v="2027-01-2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79"/>
    <n v="2282600480"/>
    <x v="0"/>
    <x v="39"/>
    <d v="2026-12-22T00:00:00"/>
    <x v="60"/>
    <d v="1899-12-30T00:00:00"/>
    <d v="2027-01-1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80"/>
    <n v="2282600481"/>
    <x v="0"/>
    <x v="39"/>
    <d v="2026-12-22T00:00:00"/>
    <x v="60"/>
    <d v="1899-12-30T00:00:00"/>
    <d v="2027-01-1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81"/>
    <n v="2302600482"/>
    <x v="1"/>
    <x v="39"/>
    <d v="2026-12-23T00:00:00"/>
    <x v="60"/>
    <d v="1899-12-30T00:00:00"/>
    <d v="2027-01-2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82"/>
    <n v="2302600483"/>
    <x v="1"/>
    <x v="39"/>
    <d v="2026-12-23T00:00:00"/>
    <x v="60"/>
    <d v="1899-12-30T00:00:00"/>
    <d v="2027-01-2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83"/>
    <n v="2282600484"/>
    <x v="0"/>
    <x v="39"/>
    <d v="2026-12-23T00:00:00"/>
    <x v="60"/>
    <d v="1899-12-30T00:00:00"/>
    <d v="2027-01-1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84"/>
    <n v="2282600485"/>
    <x v="0"/>
    <x v="39"/>
    <d v="2026-12-28T00:00:00"/>
    <x v="60"/>
    <d v="1899-12-30T00:00:00"/>
    <d v="2027-01-1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85"/>
    <n v="2302600486"/>
    <x v="1"/>
    <x v="39"/>
    <d v="2026-12-28T00:00:00"/>
    <x v="60"/>
    <d v="1899-12-30T00:00:00"/>
    <d v="2027-01-2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86"/>
    <n v="2302600487"/>
    <x v="1"/>
    <x v="39"/>
    <d v="2026-12-28T00:00:00"/>
    <x v="60"/>
    <d v="1899-12-30T00:00:00"/>
    <d v="2027-01-2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87"/>
    <n v="2282600488"/>
    <x v="0"/>
    <x v="39"/>
    <d v="2026-12-29T00:00:00"/>
    <x v="60"/>
    <d v="1899-12-30T00:00:00"/>
    <d v="2027-01-1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88"/>
    <n v="2282600489"/>
    <x v="0"/>
    <x v="39"/>
    <d v="2026-12-29T00:00:00"/>
    <x v="60"/>
    <d v="1899-12-30T00:00:00"/>
    <d v="2027-01-1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89"/>
    <n v="2302600490"/>
    <x v="1"/>
    <x v="39"/>
    <d v="2026-12-29T00:00:00"/>
    <x v="60"/>
    <d v="1899-12-30T00:00:00"/>
    <d v="2027-01-2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90"/>
    <n v="2302600491"/>
    <x v="1"/>
    <x v="39"/>
    <d v="2026-12-30T00:00:00"/>
    <x v="60"/>
    <d v="1899-12-30T00:00:00"/>
    <d v="2027-01-2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91"/>
    <n v="2282600492"/>
    <x v="0"/>
    <x v="39"/>
    <d v="2026-12-30T00:00:00"/>
    <x v="60"/>
    <d v="1899-12-30T00:00:00"/>
    <d v="2027-01-1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92"/>
    <n v="2282600493"/>
    <x v="0"/>
    <x v="39"/>
    <d v="2026-12-30T00:00:00"/>
    <x v="60"/>
    <d v="1899-12-30T00:00:00"/>
    <d v="2027-01-1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93"/>
    <n v="2302600494"/>
    <x v="1"/>
    <x v="39"/>
    <d v="2027-01-04T00:00:00"/>
    <x v="60"/>
    <d v="1899-12-30T00:00:00"/>
    <d v="2027-02-0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94"/>
    <n v="2302600495"/>
    <x v="1"/>
    <x v="39"/>
    <d v="2027-01-04T00:00:00"/>
    <x v="60"/>
    <d v="1899-12-30T00:00:00"/>
    <d v="2027-02-0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95"/>
    <n v="2282600496"/>
    <x v="0"/>
    <x v="39"/>
    <d v="2027-01-04T00:00:00"/>
    <x v="60"/>
    <d v="1899-12-30T00:00:00"/>
    <d v="2027-01-2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96"/>
    <n v="2282600497"/>
    <x v="0"/>
    <x v="39"/>
    <d v="2027-01-05T00:00:00"/>
    <x v="60"/>
    <d v="1899-12-30T00:00:00"/>
    <d v="2027-01-2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97"/>
    <n v="2302600498"/>
    <x v="1"/>
    <x v="39"/>
    <d v="2027-01-05T00:00:00"/>
    <x v="60"/>
    <d v="1899-12-30T00:00:00"/>
    <d v="2027-02-0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98"/>
    <n v="2302600499"/>
    <x v="1"/>
    <x v="39"/>
    <d v="2027-01-05T00:00:00"/>
    <x v="60"/>
    <d v="1899-12-30T00:00:00"/>
    <d v="2027-02-0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99"/>
    <n v="2282600500"/>
    <x v="0"/>
    <x v="39"/>
    <d v="2027-01-06T00:00:00"/>
    <x v="60"/>
    <d v="1899-12-30T00:00:00"/>
    <d v="2027-01-2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500"/>
    <n v="2282600501"/>
    <x v="0"/>
    <x v="39"/>
    <d v="2027-01-06T00:00:00"/>
    <x v="60"/>
    <d v="1899-12-30T00:00:00"/>
    <d v="2027-01-2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501"/>
    <n v="2302600502"/>
    <x v="1"/>
    <x v="39"/>
    <d v="2027-01-06T00:00:00"/>
    <x v="60"/>
    <d v="1899-12-30T00:00:00"/>
    <d v="2027-02-0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502"/>
    <n v="2302600503"/>
    <x v="1"/>
    <x v="39"/>
    <d v="2027-01-07T00:00:00"/>
    <x v="60"/>
    <d v="1899-12-30T00:00:00"/>
    <d v="2027-02-0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503"/>
    <n v="2282600504"/>
    <x v="0"/>
    <x v="39"/>
    <d v="2027-01-07T00:00:00"/>
    <x v="60"/>
    <d v="1899-12-30T00:00:00"/>
    <d v="2027-01-2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504"/>
    <n v="2282600505"/>
    <x v="0"/>
    <x v="39"/>
    <d v="2027-01-07T00:00:00"/>
    <x v="60"/>
    <d v="1899-12-30T00:00:00"/>
    <d v="2027-01-2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505"/>
    <n v="2302600506"/>
    <x v="1"/>
    <x v="39"/>
    <d v="2027-01-08T00:00:00"/>
    <x v="60"/>
    <d v="1899-12-30T00:00:00"/>
    <d v="2027-02-0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506"/>
    <n v="2302600507"/>
    <x v="1"/>
    <x v="39"/>
    <d v="2027-01-08T00:00:00"/>
    <x v="60"/>
    <d v="1899-12-30T00:00:00"/>
    <d v="2027-02-0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507"/>
    <n v="2282600508"/>
    <x v="0"/>
    <x v="39"/>
    <d v="2027-01-08T00:00:00"/>
    <x v="60"/>
    <d v="1899-12-30T00:00:00"/>
    <d v="2027-01-2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508"/>
    <n v="2282600509"/>
    <x v="0"/>
    <x v="39"/>
    <d v="2027-01-11T00:00:00"/>
    <x v="60"/>
    <d v="1899-12-30T00:00:00"/>
    <d v="2027-01-3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509"/>
    <n v="2302600510"/>
    <x v="1"/>
    <x v="39"/>
    <d v="2027-01-11T00:00:00"/>
    <x v="60"/>
    <d v="1899-12-30T00:00:00"/>
    <d v="2027-02-1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510"/>
    <n v="2302600511"/>
    <x v="1"/>
    <x v="39"/>
    <d v="2027-01-11T00:00:00"/>
    <x v="60"/>
    <d v="1899-12-30T00:00:00"/>
    <d v="2027-02-1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511"/>
    <n v="2282600512"/>
    <x v="0"/>
    <x v="39"/>
    <d v="2027-01-12T00:00:00"/>
    <x v="60"/>
    <d v="1899-12-30T00:00:00"/>
    <d v="2027-02-0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12"/>
    <n v="2282600513"/>
    <x v="0"/>
    <x v="39"/>
    <d v="2027-01-12T00:00:00"/>
    <x v="60"/>
    <d v="1899-12-30T00:00:00"/>
    <d v="2027-02-0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13"/>
    <n v="2302600514"/>
    <x v="1"/>
    <x v="39"/>
    <d v="2027-01-12T00:00:00"/>
    <x v="60"/>
    <d v="1899-12-30T00:00:00"/>
    <d v="2027-02-1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14"/>
    <n v="2302600515"/>
    <x v="1"/>
    <x v="39"/>
    <d v="2027-01-13T00:00:00"/>
    <x v="60"/>
    <d v="1899-12-30T00:00:00"/>
    <d v="2027-02-1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15"/>
    <n v="2282600516"/>
    <x v="0"/>
    <x v="39"/>
    <d v="2027-01-13T00:00:00"/>
    <x v="60"/>
    <d v="1899-12-30T00:00:00"/>
    <d v="2027-02-0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16"/>
    <n v="2282600517"/>
    <x v="0"/>
    <x v="39"/>
    <d v="2027-01-13T00:00:00"/>
    <x v="60"/>
    <d v="1899-12-30T00:00:00"/>
    <d v="2027-02-0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17"/>
    <n v="2302600518"/>
    <x v="1"/>
    <x v="39"/>
    <d v="2027-01-14T00:00:00"/>
    <x v="60"/>
    <d v="1899-12-30T00:00:00"/>
    <d v="2027-02-1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18"/>
    <n v="2302600519"/>
    <x v="1"/>
    <x v="39"/>
    <d v="2027-01-14T00:00:00"/>
    <x v="60"/>
    <d v="1899-12-30T00:00:00"/>
    <d v="2027-02-1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19"/>
    <n v="2282600520"/>
    <x v="0"/>
    <x v="39"/>
    <d v="2027-01-14T00:00:00"/>
    <x v="60"/>
    <d v="1899-12-30T00:00:00"/>
    <d v="2027-02-0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20"/>
    <n v="2282600521"/>
    <x v="0"/>
    <x v="39"/>
    <d v="2027-01-15T00:00:00"/>
    <x v="60"/>
    <d v="1899-12-30T00:00:00"/>
    <d v="2027-02-0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21"/>
    <n v="2302600522"/>
    <x v="1"/>
    <x v="39"/>
    <d v="2027-01-15T00:00:00"/>
    <x v="60"/>
    <d v="1899-12-30T00:00:00"/>
    <d v="2027-02-1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22"/>
    <n v="2302600523"/>
    <x v="1"/>
    <x v="39"/>
    <d v="2027-01-15T00:00:00"/>
    <x v="60"/>
    <d v="1899-12-30T00:00:00"/>
    <d v="2027-02-1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23"/>
    <n v="2282600524"/>
    <x v="0"/>
    <x v="39"/>
    <d v="2027-01-18T00:00:00"/>
    <x v="60"/>
    <d v="1899-12-30T00:00:00"/>
    <d v="2027-02-0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24"/>
    <n v="2282600525"/>
    <x v="0"/>
    <x v="39"/>
    <d v="2027-01-18T00:00:00"/>
    <x v="60"/>
    <d v="1899-12-30T00:00:00"/>
    <d v="2027-02-0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25"/>
    <n v="2302600526"/>
    <x v="1"/>
    <x v="39"/>
    <d v="2027-01-18T00:00:00"/>
    <x v="60"/>
    <d v="1899-12-30T00:00:00"/>
    <d v="2027-02-1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26"/>
    <n v="2302600527"/>
    <x v="1"/>
    <x v="39"/>
    <d v="2027-01-19T00:00:00"/>
    <x v="60"/>
    <d v="1899-12-30T00:00:00"/>
    <d v="2027-02-1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27"/>
    <n v="2282600528"/>
    <x v="0"/>
    <x v="39"/>
    <d v="2027-01-19T00:00:00"/>
    <x v="60"/>
    <d v="1899-12-30T00:00:00"/>
    <d v="2027-02-0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28"/>
    <n v="2282600529"/>
    <x v="0"/>
    <x v="39"/>
    <d v="2027-01-19T00:00:00"/>
    <x v="60"/>
    <d v="1899-12-30T00:00:00"/>
    <d v="2027-02-0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29"/>
    <n v="2302600530"/>
    <x v="1"/>
    <x v="39"/>
    <d v="2027-01-20T00:00:00"/>
    <x v="60"/>
    <d v="1899-12-30T00:00:00"/>
    <d v="2027-02-1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30"/>
    <n v="2302600531"/>
    <x v="1"/>
    <x v="39"/>
    <d v="2027-01-20T00:00:00"/>
    <x v="60"/>
    <d v="1899-12-30T00:00:00"/>
    <d v="2027-02-1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31"/>
    <n v="2282600532"/>
    <x v="0"/>
    <x v="39"/>
    <d v="2027-01-20T00:00:00"/>
    <x v="60"/>
    <d v="1899-12-30T00:00:00"/>
    <d v="2027-02-0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32"/>
    <n v="2282600533"/>
    <x v="0"/>
    <x v="39"/>
    <d v="2027-01-21T00:00:00"/>
    <x v="60"/>
    <d v="1899-12-30T00:00:00"/>
    <d v="2027-02-1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33"/>
    <n v="2302600534"/>
    <x v="1"/>
    <x v="39"/>
    <d v="2027-01-21T00:00:00"/>
    <x v="60"/>
    <d v="1899-12-30T00:00:00"/>
    <d v="2027-02-2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34"/>
    <n v="2302600535"/>
    <x v="1"/>
    <x v="39"/>
    <d v="2027-01-21T00:00:00"/>
    <x v="60"/>
    <d v="1899-12-30T00:00:00"/>
    <d v="2027-02-2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35"/>
    <n v="2282600536"/>
    <x v="0"/>
    <x v="39"/>
    <d v="2027-01-22T00:00:00"/>
    <x v="60"/>
    <d v="1899-12-30T00:00:00"/>
    <d v="2027-02-1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36"/>
    <n v="2282600537"/>
    <x v="0"/>
    <x v="39"/>
    <d v="2027-01-22T00:00:00"/>
    <x v="60"/>
    <d v="1899-12-30T00:00:00"/>
    <d v="2027-02-1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37"/>
    <n v="2302600538"/>
    <x v="1"/>
    <x v="39"/>
    <d v="2027-01-22T00:00:00"/>
    <x v="60"/>
    <d v="1899-12-30T00:00:00"/>
    <d v="2027-02-2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38"/>
    <n v="2302600539"/>
    <x v="1"/>
    <x v="39"/>
    <d v="2027-01-25T00:00:00"/>
    <x v="60"/>
    <d v="1899-12-30T00:00:00"/>
    <d v="2027-02-2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39"/>
    <n v="2282600540"/>
    <x v="0"/>
    <x v="39"/>
    <d v="2027-01-25T00:00:00"/>
    <x v="60"/>
    <d v="1899-12-30T00:00:00"/>
    <d v="2027-02-1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40"/>
    <n v="2282600541"/>
    <x v="0"/>
    <x v="39"/>
    <d v="2027-01-25T00:00:00"/>
    <x v="60"/>
    <d v="1899-12-30T00:00:00"/>
    <d v="2027-02-1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41"/>
    <n v="2302600542"/>
    <x v="1"/>
    <x v="39"/>
    <d v="2027-01-26T00:00:00"/>
    <x v="60"/>
    <d v="1899-12-30T00:00:00"/>
    <d v="2027-02-2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42"/>
    <n v="2302600543"/>
    <x v="1"/>
    <x v="39"/>
    <d v="2027-01-26T00:00:00"/>
    <x v="60"/>
    <d v="1899-12-30T00:00:00"/>
    <d v="2027-02-2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43"/>
    <n v="2282600544"/>
    <x v="0"/>
    <x v="39"/>
    <d v="2027-01-26T00:00:00"/>
    <x v="60"/>
    <d v="1899-12-30T00:00:00"/>
    <d v="2027-02-1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44"/>
    <n v="2282600545"/>
    <x v="0"/>
    <x v="39"/>
    <d v="2027-01-27T00:00:00"/>
    <x v="60"/>
    <d v="1899-12-30T00:00:00"/>
    <d v="2027-02-1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45"/>
    <n v="2302600546"/>
    <x v="1"/>
    <x v="39"/>
    <d v="2027-01-27T00:00:00"/>
    <x v="60"/>
    <d v="1899-12-30T00:00:00"/>
    <d v="2027-02-2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46"/>
    <n v="2302600547"/>
    <x v="1"/>
    <x v="39"/>
    <d v="2027-01-27T00:00:00"/>
    <x v="60"/>
    <d v="1899-12-30T00:00:00"/>
    <d v="2027-02-2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47"/>
    <n v="2282600548"/>
    <x v="0"/>
    <x v="39"/>
    <d v="2027-01-28T00:00:00"/>
    <x v="60"/>
    <d v="1899-12-30T00:00:00"/>
    <d v="2027-02-1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48"/>
    <n v="2282600549"/>
    <x v="0"/>
    <x v="39"/>
    <d v="2027-01-28T00:00:00"/>
    <x v="60"/>
    <d v="1899-12-30T00:00:00"/>
    <d v="2027-02-1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49"/>
    <n v="2302600550"/>
    <x v="1"/>
    <x v="39"/>
    <d v="2027-01-28T00:00:00"/>
    <x v="60"/>
    <d v="1899-12-30T00:00:00"/>
    <d v="2027-02-2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50"/>
    <n v="2302600551"/>
    <x v="1"/>
    <x v="39"/>
    <d v="2027-01-29T00:00:00"/>
    <x v="60"/>
    <d v="1899-12-30T00:00:00"/>
    <d v="2027-02-2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51"/>
    <n v="2282600552"/>
    <x v="0"/>
    <x v="39"/>
    <d v="2027-01-29T00:00:00"/>
    <x v="60"/>
    <d v="1899-12-30T00:00:00"/>
    <d v="2027-02-1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52"/>
    <n v="2282600553"/>
    <x v="0"/>
    <x v="39"/>
    <d v="2027-01-29T00:00:00"/>
    <x v="60"/>
    <d v="1899-12-30T00:00:00"/>
    <d v="2027-02-1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53"/>
    <n v="2302600554"/>
    <x v="1"/>
    <x v="39"/>
    <d v="2027-02-01T00:00:00"/>
    <x v="60"/>
    <d v="1899-12-30T00:00:00"/>
    <d v="2027-03-0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54"/>
    <n v="2302600555"/>
    <x v="1"/>
    <x v="39"/>
    <d v="2027-02-01T00:00:00"/>
    <x v="60"/>
    <d v="1899-12-30T00:00:00"/>
    <d v="2027-03-0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55"/>
    <n v="2282600556"/>
    <x v="0"/>
    <x v="39"/>
    <d v="2027-02-01T00:00:00"/>
    <x v="60"/>
    <d v="1899-12-30T00:00:00"/>
    <d v="2027-02-2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56"/>
    <n v="2282600557"/>
    <x v="0"/>
    <x v="39"/>
    <d v="2027-02-02T00:00:00"/>
    <x v="60"/>
    <d v="1899-12-30T00:00:00"/>
    <d v="2027-02-2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57"/>
    <n v="2302600558"/>
    <x v="1"/>
    <x v="39"/>
    <d v="2027-02-02T00:00:00"/>
    <x v="60"/>
    <d v="1899-12-30T00:00:00"/>
    <d v="2027-03-0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58"/>
    <n v="2302600559"/>
    <x v="1"/>
    <x v="39"/>
    <d v="2027-02-02T00:00:00"/>
    <x v="60"/>
    <d v="1899-12-30T00:00:00"/>
    <d v="2027-03-0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59"/>
    <n v="2282600560"/>
    <x v="0"/>
    <x v="39"/>
    <d v="2027-02-03T00:00:00"/>
    <x v="60"/>
    <d v="1899-12-30T00:00:00"/>
    <d v="2027-02-2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60"/>
    <n v="2282600561"/>
    <x v="0"/>
    <x v="39"/>
    <d v="2027-02-03T00:00:00"/>
    <x v="60"/>
    <d v="1899-12-30T00:00:00"/>
    <d v="2027-02-2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61"/>
    <n v="2302600562"/>
    <x v="1"/>
    <x v="39"/>
    <d v="2027-02-03T00:00:00"/>
    <x v="60"/>
    <d v="1899-12-30T00:00:00"/>
    <d v="2027-03-0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62"/>
    <n v="2302600563"/>
    <x v="1"/>
    <x v="39"/>
    <d v="2027-02-04T00:00:00"/>
    <x v="60"/>
    <d v="1899-12-30T00:00:00"/>
    <d v="2027-03-0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63"/>
    <n v="2282600564"/>
    <x v="0"/>
    <x v="39"/>
    <d v="2027-02-04T00:00:00"/>
    <x v="60"/>
    <d v="1899-12-30T00:00:00"/>
    <d v="2027-02-2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64"/>
    <n v="2282600565"/>
    <x v="0"/>
    <x v="39"/>
    <d v="2027-02-04T00:00:00"/>
    <x v="60"/>
    <d v="1899-12-30T00:00:00"/>
    <d v="2027-02-2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65"/>
    <n v="2302600566"/>
    <x v="1"/>
    <x v="39"/>
    <d v="2027-02-05T00:00:00"/>
    <x v="60"/>
    <d v="1899-12-30T00:00:00"/>
    <d v="2027-03-0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66"/>
    <n v="2302600567"/>
    <x v="1"/>
    <x v="39"/>
    <d v="2027-02-05T00:00:00"/>
    <x v="60"/>
    <d v="1899-12-30T00:00:00"/>
    <d v="2027-03-0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67"/>
    <n v="2282600568"/>
    <x v="0"/>
    <x v="39"/>
    <d v="2027-02-05T00:00:00"/>
    <x v="60"/>
    <d v="1899-12-30T00:00:00"/>
    <d v="2027-02-2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68"/>
    <n v="2282600569"/>
    <x v="0"/>
    <x v="39"/>
    <d v="2027-02-08T00:00:00"/>
    <x v="60"/>
    <d v="1899-12-30T00:00:00"/>
    <d v="2027-02-2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69"/>
    <n v="2302600570"/>
    <x v="1"/>
    <x v="39"/>
    <d v="2027-02-08T00:00:00"/>
    <x v="60"/>
    <d v="1899-12-30T00:00:00"/>
    <d v="2027-03-1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70"/>
    <n v="2302600571"/>
    <x v="1"/>
    <x v="39"/>
    <d v="2027-02-08T00:00:00"/>
    <x v="60"/>
    <d v="1899-12-30T00:00:00"/>
    <d v="2027-03-1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71"/>
    <n v="2282600572"/>
    <x v="0"/>
    <x v="39"/>
    <d v="2027-02-09T00:00:00"/>
    <x v="60"/>
    <d v="1899-12-30T00:00:00"/>
    <d v="2027-03-0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72"/>
    <n v="2282600573"/>
    <x v="0"/>
    <x v="39"/>
    <d v="2027-02-09T00:00:00"/>
    <x v="60"/>
    <d v="1899-12-30T00:00:00"/>
    <d v="2027-03-0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73"/>
    <n v="2302600574"/>
    <x v="1"/>
    <x v="39"/>
    <d v="2027-02-09T00:00:00"/>
    <x v="60"/>
    <d v="1899-12-30T00:00:00"/>
    <d v="2027-03-1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74"/>
    <n v="2302600575"/>
    <x v="1"/>
    <x v="39"/>
    <d v="2027-02-10T00:00:00"/>
    <x v="60"/>
    <d v="1899-12-30T00:00:00"/>
    <d v="2027-03-1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75"/>
    <n v="2282600576"/>
    <x v="0"/>
    <x v="39"/>
    <d v="2027-02-10T00:00:00"/>
    <x v="60"/>
    <d v="1899-12-30T00:00:00"/>
    <d v="2027-03-0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76"/>
    <n v="2282600577"/>
    <x v="0"/>
    <x v="39"/>
    <d v="2027-02-10T00:00:00"/>
    <x v="60"/>
    <d v="1899-12-30T00:00:00"/>
    <d v="2027-03-0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77"/>
    <n v="2302600578"/>
    <x v="1"/>
    <x v="39"/>
    <d v="2027-02-11T00:00:00"/>
    <x v="60"/>
    <d v="1899-12-30T00:00:00"/>
    <d v="2027-03-1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78"/>
    <n v="2302600579"/>
    <x v="1"/>
    <x v="39"/>
    <d v="2027-02-11T00:00:00"/>
    <x v="60"/>
    <d v="1899-12-30T00:00:00"/>
    <d v="2027-03-1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79"/>
    <n v="2282600580"/>
    <x v="0"/>
    <x v="39"/>
    <d v="2027-02-11T00:00:00"/>
    <x v="60"/>
    <d v="1899-12-30T00:00:00"/>
    <d v="2027-03-0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80"/>
    <n v="2282600581"/>
    <x v="0"/>
    <x v="39"/>
    <d v="2027-02-12T00:00:00"/>
    <x v="60"/>
    <d v="1899-12-30T00:00:00"/>
    <d v="2027-03-0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81"/>
    <n v="2302600582"/>
    <x v="1"/>
    <x v="39"/>
    <d v="2027-02-12T00:00:00"/>
    <x v="60"/>
    <d v="1899-12-30T00:00:00"/>
    <d v="2027-03-1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82"/>
    <n v="2302600583"/>
    <x v="1"/>
    <x v="39"/>
    <d v="2027-02-12T00:00:00"/>
    <x v="60"/>
    <d v="1899-12-30T00:00:00"/>
    <d v="2027-03-1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83"/>
    <n v="2282600584"/>
    <x v="0"/>
    <x v="39"/>
    <d v="2027-02-15T00:00:00"/>
    <x v="60"/>
    <d v="1899-12-30T00:00:00"/>
    <d v="2027-03-0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84"/>
    <n v="2282600585"/>
    <x v="0"/>
    <x v="39"/>
    <d v="2027-02-15T00:00:00"/>
    <x v="60"/>
    <d v="1899-12-30T00:00:00"/>
    <d v="2027-03-0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85"/>
    <n v="2302600586"/>
    <x v="1"/>
    <x v="39"/>
    <d v="2027-02-15T00:00:00"/>
    <x v="60"/>
    <d v="1899-12-30T00:00:00"/>
    <d v="2027-03-1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86"/>
    <n v="2302600587"/>
    <x v="1"/>
    <x v="39"/>
    <d v="2027-02-16T00:00:00"/>
    <x v="60"/>
    <d v="1899-12-30T00:00:00"/>
    <d v="2027-03-1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87"/>
    <n v="2282600588"/>
    <x v="0"/>
    <x v="39"/>
    <d v="2027-02-16T00:00:00"/>
    <x v="60"/>
    <d v="1899-12-30T00:00:00"/>
    <d v="2027-03-0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88"/>
    <n v="2282600589"/>
    <x v="0"/>
    <x v="39"/>
    <d v="2027-02-16T00:00:00"/>
    <x v="60"/>
    <d v="1899-12-30T00:00:00"/>
    <d v="2027-03-0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89"/>
    <n v="2302600590"/>
    <x v="1"/>
    <x v="39"/>
    <d v="2027-02-17T00:00:00"/>
    <x v="60"/>
    <d v="1899-12-30T00:00:00"/>
    <d v="2027-03-1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90"/>
    <n v="2302600591"/>
    <x v="1"/>
    <x v="39"/>
    <d v="2027-02-17T00:00:00"/>
    <x v="60"/>
    <d v="1899-12-30T00:00:00"/>
    <d v="2027-03-1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91"/>
    <n v="2282600592"/>
    <x v="0"/>
    <x v="39"/>
    <d v="2027-02-17T00:00:00"/>
    <x v="60"/>
    <d v="1899-12-30T00:00:00"/>
    <d v="2027-03-0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92"/>
    <n v="2282600593"/>
    <x v="0"/>
    <x v="39"/>
    <d v="2027-02-18T00:00:00"/>
    <x v="60"/>
    <d v="1899-12-30T00:00:00"/>
    <d v="2027-03-1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93"/>
    <n v="2302600594"/>
    <x v="1"/>
    <x v="39"/>
    <d v="2027-02-18T00:00:00"/>
    <x v="60"/>
    <d v="1899-12-30T00:00:00"/>
    <d v="2027-03-2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94"/>
    <n v="2302600595"/>
    <x v="1"/>
    <x v="39"/>
    <d v="2027-02-18T00:00:00"/>
    <x v="60"/>
    <d v="1899-12-30T00:00:00"/>
    <d v="2027-03-2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95"/>
    <n v="2282600596"/>
    <x v="0"/>
    <x v="39"/>
    <d v="2027-02-19T00:00:00"/>
    <x v="60"/>
    <d v="1899-12-30T00:00:00"/>
    <d v="2027-03-1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96"/>
    <n v="2282600597"/>
    <x v="0"/>
    <x v="39"/>
    <d v="2027-02-19T00:00:00"/>
    <x v="60"/>
    <d v="1899-12-30T00:00:00"/>
    <d v="2027-03-1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97"/>
    <n v="2302600598"/>
    <x v="1"/>
    <x v="39"/>
    <d v="2027-02-19T00:00:00"/>
    <x v="60"/>
    <d v="1899-12-30T00:00:00"/>
    <d v="2027-03-2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98"/>
    <n v="2302600599"/>
    <x v="1"/>
    <x v="39"/>
    <d v="2027-02-22T00:00:00"/>
    <x v="60"/>
    <d v="1899-12-30T00:00:00"/>
    <d v="2027-03-2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99"/>
    <n v="2282600600"/>
    <x v="0"/>
    <x v="39"/>
    <d v="2027-02-22T00:00:00"/>
    <x v="60"/>
    <d v="1899-12-30T00:00:00"/>
    <d v="2027-03-1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600"/>
    <n v="2282600601"/>
    <x v="0"/>
    <x v="39"/>
    <d v="2027-02-22T00:00:00"/>
    <x v="60"/>
    <d v="1899-12-30T00:00:00"/>
    <d v="2027-03-1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601"/>
    <n v="2302600602"/>
    <x v="1"/>
    <x v="39"/>
    <d v="2027-02-23T00:00:00"/>
    <x v="60"/>
    <d v="1899-12-30T00:00:00"/>
    <d v="2027-03-2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602"/>
    <n v="2302600603"/>
    <x v="1"/>
    <x v="39"/>
    <d v="2027-02-23T00:00:00"/>
    <x v="60"/>
    <d v="1899-12-30T00:00:00"/>
    <d v="2027-03-2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603"/>
    <n v="2282600604"/>
    <x v="0"/>
    <x v="39"/>
    <d v="2027-02-23T00:00:00"/>
    <x v="60"/>
    <d v="1899-12-30T00:00:00"/>
    <d v="2027-03-1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604"/>
    <n v="2282600605"/>
    <x v="0"/>
    <x v="39"/>
    <d v="2027-02-24T00:00:00"/>
    <x v="60"/>
    <d v="1899-12-30T00:00:00"/>
    <d v="2027-03-1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605"/>
    <n v="2302600606"/>
    <x v="1"/>
    <x v="39"/>
    <d v="2027-02-24T00:00:00"/>
    <x v="60"/>
    <d v="1899-12-30T00:00:00"/>
    <d v="2027-03-2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606"/>
    <n v="2302600607"/>
    <x v="1"/>
    <x v="39"/>
    <d v="2027-02-24T00:00:00"/>
    <x v="60"/>
    <d v="1899-12-30T00:00:00"/>
    <d v="2027-03-2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607"/>
    <n v="2282600608"/>
    <x v="0"/>
    <x v="39"/>
    <d v="2027-02-25T00:00:00"/>
    <x v="60"/>
    <d v="1899-12-30T00:00:00"/>
    <d v="2027-03-1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08"/>
    <n v="2282600609"/>
    <x v="0"/>
    <x v="39"/>
    <d v="2027-02-25T00:00:00"/>
    <x v="60"/>
    <d v="1899-12-30T00:00:00"/>
    <d v="2027-03-1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09"/>
    <n v="2302600610"/>
    <x v="1"/>
    <x v="39"/>
    <d v="2027-02-25T00:00:00"/>
    <x v="60"/>
    <d v="1899-12-30T00:00:00"/>
    <d v="2027-03-2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10"/>
    <n v="2302600611"/>
    <x v="1"/>
    <x v="39"/>
    <d v="2027-02-26T00:00:00"/>
    <x v="60"/>
    <d v="1899-12-30T00:00:00"/>
    <d v="2027-03-2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11"/>
    <n v="2282600612"/>
    <x v="0"/>
    <x v="39"/>
    <d v="2027-02-26T00:00:00"/>
    <x v="60"/>
    <d v="1899-12-30T00:00:00"/>
    <d v="2027-03-1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12"/>
    <n v="2282600613"/>
    <x v="0"/>
    <x v="39"/>
    <d v="2027-02-26T00:00:00"/>
    <x v="60"/>
    <d v="1899-12-30T00:00:00"/>
    <d v="2027-03-1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13"/>
    <n v="2302600614"/>
    <x v="1"/>
    <x v="39"/>
    <d v="2027-03-01T00:00:00"/>
    <x v="60"/>
    <d v="1899-12-30T00:00:00"/>
    <d v="2027-03-3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14"/>
    <n v="2302600615"/>
    <x v="1"/>
    <x v="39"/>
    <d v="2027-03-01T00:00:00"/>
    <x v="60"/>
    <d v="1899-12-30T00:00:00"/>
    <d v="2027-03-3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15"/>
    <n v="2282600616"/>
    <x v="0"/>
    <x v="39"/>
    <d v="2027-03-01T00:00:00"/>
    <x v="60"/>
    <d v="1899-12-30T00:00:00"/>
    <d v="2027-03-2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16"/>
    <n v="2282600617"/>
    <x v="0"/>
    <x v="39"/>
    <d v="2027-03-02T00:00:00"/>
    <x v="60"/>
    <d v="1899-12-30T00:00:00"/>
    <d v="2027-03-2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17"/>
    <n v="2302600618"/>
    <x v="1"/>
    <x v="39"/>
    <d v="2027-03-02T00:00:00"/>
    <x v="60"/>
    <d v="1899-12-30T00:00:00"/>
    <d v="2027-04-0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18"/>
    <n v="2302600619"/>
    <x v="1"/>
    <x v="39"/>
    <d v="2027-03-02T00:00:00"/>
    <x v="60"/>
    <d v="1899-12-30T00:00:00"/>
    <d v="2027-04-0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19"/>
    <n v="2282600620"/>
    <x v="0"/>
    <x v="39"/>
    <d v="2027-03-03T00:00:00"/>
    <x v="60"/>
    <d v="1899-12-30T00:00:00"/>
    <d v="2027-03-2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20"/>
    <n v="2282600621"/>
    <x v="0"/>
    <x v="39"/>
    <d v="2027-03-03T00:00:00"/>
    <x v="60"/>
    <d v="1899-12-30T00:00:00"/>
    <d v="2027-03-2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21"/>
    <n v="2302600622"/>
    <x v="1"/>
    <x v="39"/>
    <d v="2027-03-03T00:00:00"/>
    <x v="60"/>
    <d v="1899-12-30T00:00:00"/>
    <d v="2027-04-0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22"/>
    <n v="2302600623"/>
    <x v="1"/>
    <x v="39"/>
    <d v="2027-03-04T00:00:00"/>
    <x v="60"/>
    <d v="1899-12-30T00:00:00"/>
    <d v="2027-04-0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23"/>
    <n v="2282600624"/>
    <x v="0"/>
    <x v="39"/>
    <d v="2027-03-04T00:00:00"/>
    <x v="60"/>
    <d v="1899-12-30T00:00:00"/>
    <d v="2027-03-2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24"/>
    <n v="2282600625"/>
    <x v="0"/>
    <x v="39"/>
    <d v="2027-03-04T00:00:00"/>
    <x v="60"/>
    <d v="1899-12-30T00:00:00"/>
    <d v="2027-03-2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25"/>
    <n v="2302600626"/>
    <x v="1"/>
    <x v="39"/>
    <d v="2027-03-05T00:00:00"/>
    <x v="60"/>
    <d v="1899-12-30T00:00:00"/>
    <d v="2027-04-0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26"/>
    <n v="2302600627"/>
    <x v="1"/>
    <x v="39"/>
    <d v="2027-03-05T00:00:00"/>
    <x v="60"/>
    <d v="1899-12-30T00:00:00"/>
    <d v="2027-04-0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27"/>
    <n v="2282600628"/>
    <x v="0"/>
    <x v="39"/>
    <d v="2027-03-05T00:00:00"/>
    <x v="60"/>
    <d v="1899-12-30T00:00:00"/>
    <d v="2027-03-2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28"/>
    <n v="2282600629"/>
    <x v="0"/>
    <x v="39"/>
    <d v="2027-03-08T00:00:00"/>
    <x v="60"/>
    <d v="1899-12-30T00:00:00"/>
    <d v="2027-03-2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29"/>
    <n v="2302600630"/>
    <x v="1"/>
    <x v="39"/>
    <d v="2027-03-08T00:00:00"/>
    <x v="60"/>
    <d v="1899-12-30T00:00:00"/>
    <d v="2027-04-0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30"/>
    <n v="2302600631"/>
    <x v="1"/>
    <x v="39"/>
    <d v="2027-03-08T00:00:00"/>
    <x v="60"/>
    <d v="1899-12-30T00:00:00"/>
    <d v="2027-04-0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31"/>
    <n v="2282600632"/>
    <x v="0"/>
    <x v="39"/>
    <d v="2027-03-09T00:00:00"/>
    <x v="60"/>
    <d v="1899-12-30T00:00:00"/>
    <d v="2027-03-2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32"/>
    <n v="2282600633"/>
    <x v="0"/>
    <x v="39"/>
    <d v="2027-03-09T00:00:00"/>
    <x v="60"/>
    <d v="1899-12-30T00:00:00"/>
    <d v="2027-03-2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33"/>
    <n v="2302600634"/>
    <x v="1"/>
    <x v="39"/>
    <d v="2027-03-09T00:00:00"/>
    <x v="60"/>
    <d v="1899-12-30T00:00:00"/>
    <d v="2027-04-0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34"/>
    <n v="2302600635"/>
    <x v="1"/>
    <x v="39"/>
    <d v="2027-03-10T00:00:00"/>
    <x v="60"/>
    <d v="1899-12-30T00:00:00"/>
    <d v="2027-04-0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35"/>
    <n v="2282600636"/>
    <x v="0"/>
    <x v="39"/>
    <d v="2027-03-10T00:00:00"/>
    <x v="60"/>
    <d v="1899-12-30T00:00:00"/>
    <d v="2027-03-3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36"/>
    <n v="2282600637"/>
    <x v="0"/>
    <x v="39"/>
    <d v="2027-03-10T00:00:00"/>
    <x v="60"/>
    <d v="1899-12-30T00:00:00"/>
    <d v="2027-03-3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37"/>
    <n v="2302600638"/>
    <x v="1"/>
    <x v="39"/>
    <d v="2027-03-11T00:00:00"/>
    <x v="60"/>
    <d v="1899-12-30T00:00:00"/>
    <d v="2027-04-1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38"/>
    <n v="2302600639"/>
    <x v="1"/>
    <x v="39"/>
    <d v="2027-03-11T00:00:00"/>
    <x v="60"/>
    <d v="1899-12-30T00:00:00"/>
    <d v="2027-04-1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39"/>
    <n v="2282600640"/>
    <x v="0"/>
    <x v="39"/>
    <d v="2027-03-11T00:00:00"/>
    <x v="60"/>
    <d v="1899-12-30T00:00:00"/>
    <d v="2027-03-3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40"/>
    <n v="2282600641"/>
    <x v="0"/>
    <x v="39"/>
    <d v="2027-03-12T00:00:00"/>
    <x v="60"/>
    <d v="1899-12-30T00:00:00"/>
    <d v="2027-04-0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41"/>
    <n v="2302600642"/>
    <x v="1"/>
    <x v="39"/>
    <d v="2027-03-12T00:00:00"/>
    <x v="60"/>
    <d v="1899-12-30T00:00:00"/>
    <d v="2027-04-1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42"/>
    <n v="2302600643"/>
    <x v="1"/>
    <x v="39"/>
    <d v="2027-03-12T00:00:00"/>
    <x v="60"/>
    <d v="1899-12-30T00:00:00"/>
    <d v="2027-04-1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43"/>
    <n v="2282600644"/>
    <x v="0"/>
    <x v="39"/>
    <d v="2027-03-15T00:00:00"/>
    <x v="60"/>
    <d v="1899-12-30T00:00:00"/>
    <d v="2027-04-0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44"/>
    <n v="2282600645"/>
    <x v="0"/>
    <x v="39"/>
    <d v="2027-03-15T00:00:00"/>
    <x v="60"/>
    <d v="1899-12-30T00:00:00"/>
    <d v="2027-04-0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45"/>
    <n v="2302600646"/>
    <x v="1"/>
    <x v="39"/>
    <d v="2027-03-15T00:00:00"/>
    <x v="60"/>
    <d v="1899-12-30T00:00:00"/>
    <d v="2027-04-1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46"/>
    <n v="2302600647"/>
    <x v="1"/>
    <x v="39"/>
    <d v="2027-03-16T00:00:00"/>
    <x v="60"/>
    <d v="1899-12-30T00:00:00"/>
    <d v="2027-04-1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47"/>
    <n v="2282600648"/>
    <x v="0"/>
    <x v="39"/>
    <d v="2027-03-16T00:00:00"/>
    <x v="60"/>
    <d v="1899-12-30T00:00:00"/>
    <d v="2027-04-0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48"/>
    <n v="2282600649"/>
    <x v="0"/>
    <x v="39"/>
    <d v="2027-03-16T00:00:00"/>
    <x v="60"/>
    <d v="1899-12-30T00:00:00"/>
    <d v="2027-04-0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49"/>
    <n v="2302600650"/>
    <x v="1"/>
    <x v="39"/>
    <d v="2027-03-17T00:00:00"/>
    <x v="60"/>
    <d v="1899-12-30T00:00:00"/>
    <d v="2027-04-1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50"/>
    <n v="2302600651"/>
    <x v="1"/>
    <x v="39"/>
    <d v="2027-03-17T00:00:00"/>
    <x v="60"/>
    <d v="1899-12-30T00:00:00"/>
    <d v="2027-04-1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51"/>
    <n v="2282600652"/>
    <x v="0"/>
    <x v="39"/>
    <d v="2027-03-17T00:00:00"/>
    <x v="60"/>
    <d v="1899-12-30T00:00:00"/>
    <d v="2027-04-0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52"/>
    <n v="2282600653"/>
    <x v="0"/>
    <x v="39"/>
    <d v="2027-03-18T00:00:00"/>
    <x v="60"/>
    <d v="1899-12-30T00:00:00"/>
    <d v="2027-04-0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53"/>
    <n v="2302600654"/>
    <x v="1"/>
    <x v="39"/>
    <d v="2027-03-18T00:00:00"/>
    <x v="60"/>
    <d v="1899-12-30T00:00:00"/>
    <d v="2027-04-1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54"/>
    <n v="2302600655"/>
    <x v="1"/>
    <x v="39"/>
    <d v="2027-03-18T00:00:00"/>
    <x v="60"/>
    <d v="1899-12-30T00:00:00"/>
    <d v="2027-04-1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55"/>
    <n v="2282600656"/>
    <x v="0"/>
    <x v="39"/>
    <d v="2027-03-19T00:00:00"/>
    <x v="60"/>
    <d v="1899-12-30T00:00:00"/>
    <d v="2027-04-0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56"/>
    <n v="2282600657"/>
    <x v="0"/>
    <x v="39"/>
    <d v="2027-03-19T00:00:00"/>
    <x v="60"/>
    <d v="1899-12-30T00:00:00"/>
    <d v="2027-04-0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57"/>
    <n v="2302600658"/>
    <x v="1"/>
    <x v="39"/>
    <d v="2027-03-19T00:00:00"/>
    <x v="60"/>
    <d v="1899-12-30T00:00:00"/>
    <d v="2027-04-1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58"/>
    <n v="2302600659"/>
    <x v="1"/>
    <x v="39"/>
    <d v="2027-03-22T00:00:00"/>
    <x v="60"/>
    <d v="1899-12-30T00:00:00"/>
    <d v="2027-04-2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59"/>
    <n v="2282600660"/>
    <x v="0"/>
    <x v="39"/>
    <d v="2027-03-22T00:00:00"/>
    <x v="60"/>
    <d v="1899-12-30T00:00:00"/>
    <d v="2027-04-1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60"/>
    <n v="2282600661"/>
    <x v="0"/>
    <x v="39"/>
    <d v="2027-03-22T00:00:00"/>
    <x v="60"/>
    <d v="1899-12-30T00:00:00"/>
    <d v="2027-04-1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61"/>
    <n v="2302600662"/>
    <x v="1"/>
    <x v="39"/>
    <d v="2027-03-23T00:00:00"/>
    <x v="60"/>
    <d v="1899-12-30T00:00:00"/>
    <d v="2027-04-2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62"/>
    <n v="2302600663"/>
    <x v="1"/>
    <x v="39"/>
    <d v="2027-03-23T00:00:00"/>
    <x v="60"/>
    <d v="1899-12-30T00:00:00"/>
    <d v="2027-04-2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63"/>
    <n v="2282600664"/>
    <x v="0"/>
    <x v="39"/>
    <d v="2027-03-23T00:00:00"/>
    <x v="60"/>
    <d v="1899-12-30T00:00:00"/>
    <d v="2027-04-1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64"/>
    <n v="2282600665"/>
    <x v="0"/>
    <x v="39"/>
    <d v="2027-03-24T00:00:00"/>
    <x v="60"/>
    <d v="1899-12-30T00:00:00"/>
    <d v="2027-04-1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65"/>
    <n v="2302600666"/>
    <x v="1"/>
    <x v="39"/>
    <d v="2027-03-24T00:00:00"/>
    <x v="60"/>
    <d v="1899-12-30T00:00:00"/>
    <d v="2027-04-2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66"/>
    <n v="2302600667"/>
    <x v="1"/>
    <x v="39"/>
    <d v="2027-03-24T00:00:00"/>
    <x v="60"/>
    <d v="1899-12-30T00:00:00"/>
    <d v="2027-04-23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67"/>
    <n v="2282600668"/>
    <x v="0"/>
    <x v="39"/>
    <d v="2027-03-25T00:00:00"/>
    <x v="60"/>
    <d v="1899-12-30T00:00:00"/>
    <d v="2027-04-1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68"/>
    <n v="2282600669"/>
    <x v="0"/>
    <x v="39"/>
    <d v="2027-03-25T00:00:00"/>
    <x v="60"/>
    <d v="1899-12-30T00:00:00"/>
    <d v="2027-04-1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69"/>
    <n v="2302600670"/>
    <x v="1"/>
    <x v="39"/>
    <d v="2027-03-25T00:00:00"/>
    <x v="60"/>
    <d v="1899-12-30T00:00:00"/>
    <d v="2027-04-24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70"/>
    <n v="2302600671"/>
    <x v="1"/>
    <x v="39"/>
    <d v="2027-03-26T00:00:00"/>
    <x v="60"/>
    <d v="1899-12-30T00:00:00"/>
    <d v="2027-04-2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71"/>
    <n v="2282600672"/>
    <x v="0"/>
    <x v="39"/>
    <d v="2027-03-26T00:00:00"/>
    <x v="60"/>
    <d v="1899-12-30T00:00:00"/>
    <d v="2027-04-1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72"/>
    <n v="2282600673"/>
    <x v="0"/>
    <x v="39"/>
    <d v="2027-03-26T00:00:00"/>
    <x v="60"/>
    <d v="1899-12-30T00:00:00"/>
    <d v="2027-04-1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73"/>
    <n v="2302600674"/>
    <x v="1"/>
    <x v="39"/>
    <d v="2027-03-29T00:00:00"/>
    <x v="60"/>
    <d v="1899-12-30T00:00:00"/>
    <d v="2027-04-2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74"/>
    <n v="2302600675"/>
    <x v="1"/>
    <x v="39"/>
    <d v="2027-03-29T00:00:00"/>
    <x v="60"/>
    <d v="1899-12-30T00:00:00"/>
    <d v="2027-04-2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75"/>
    <n v="2282600676"/>
    <x v="0"/>
    <x v="39"/>
    <d v="2027-03-29T00:00:00"/>
    <x v="60"/>
    <d v="1899-12-30T00:00:00"/>
    <d v="2027-04-1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76"/>
    <n v="2282600677"/>
    <x v="0"/>
    <x v="39"/>
    <d v="2027-03-30T00:00:00"/>
    <x v="60"/>
    <d v="1899-12-30T00:00:00"/>
    <d v="2027-04-1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77"/>
    <n v="2302600678"/>
    <x v="1"/>
    <x v="39"/>
    <d v="2027-03-30T00:00:00"/>
    <x v="60"/>
    <d v="1899-12-30T00:00:00"/>
    <d v="2027-04-2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78"/>
    <n v="2302600679"/>
    <x v="1"/>
    <x v="39"/>
    <d v="2027-03-30T00:00:00"/>
    <x v="60"/>
    <d v="1899-12-30T00:00:00"/>
    <d v="2027-04-2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79"/>
    <n v="2282600680"/>
    <x v="0"/>
    <x v="39"/>
    <d v="2027-03-31T00:00:00"/>
    <x v="60"/>
    <d v="1899-12-30T00:00:00"/>
    <d v="2027-04-2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80"/>
    <n v="2282600681"/>
    <x v="0"/>
    <x v="39"/>
    <d v="2027-03-31T00:00:00"/>
    <x v="60"/>
    <d v="1899-12-30T00:00:00"/>
    <d v="2027-04-2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81"/>
    <n v="2302600682"/>
    <x v="1"/>
    <x v="39"/>
    <d v="2027-03-31T00:00:00"/>
    <x v="60"/>
    <d v="1899-12-30T00:00:00"/>
    <d v="2027-04-30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82"/>
    <n v="2302600683"/>
    <x v="1"/>
    <x v="39"/>
    <d v="2027-04-01T00:00:00"/>
    <x v="60"/>
    <d v="1899-12-30T00:00:00"/>
    <d v="2027-05-0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83"/>
    <n v="2282600684"/>
    <x v="0"/>
    <x v="39"/>
    <d v="2027-04-01T00:00:00"/>
    <x v="60"/>
    <d v="1899-12-30T00:00:00"/>
    <d v="2027-04-2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84"/>
    <n v="2282600685"/>
    <x v="0"/>
    <x v="39"/>
    <d v="2027-04-01T00:00:00"/>
    <x v="60"/>
    <d v="1899-12-30T00:00:00"/>
    <d v="2027-04-21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85"/>
    <n v="2302600686"/>
    <x v="1"/>
    <x v="39"/>
    <d v="2027-04-02T00:00:00"/>
    <x v="60"/>
    <d v="1899-12-30T00:00:00"/>
    <d v="2027-05-0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86"/>
    <n v="2302600687"/>
    <x v="1"/>
    <x v="39"/>
    <d v="2027-04-02T00:00:00"/>
    <x v="60"/>
    <d v="1899-12-30T00:00:00"/>
    <d v="2027-05-0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87"/>
    <n v="2282600688"/>
    <x v="0"/>
    <x v="39"/>
    <d v="2027-04-02T00:00:00"/>
    <x v="60"/>
    <d v="1899-12-30T00:00:00"/>
    <d v="2027-04-2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88"/>
    <n v="2282600689"/>
    <x v="0"/>
    <x v="39"/>
    <d v="2027-04-05T00:00:00"/>
    <x v="60"/>
    <d v="1899-12-30T00:00:00"/>
    <d v="2027-04-2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89"/>
    <n v="2302600690"/>
    <x v="1"/>
    <x v="39"/>
    <d v="2027-04-05T00:00:00"/>
    <x v="60"/>
    <d v="1899-12-30T00:00:00"/>
    <d v="2027-05-0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90"/>
    <n v="2302600691"/>
    <x v="1"/>
    <x v="39"/>
    <d v="2027-04-05T00:00:00"/>
    <x v="60"/>
    <d v="1899-12-30T00:00:00"/>
    <d v="2027-05-05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91"/>
    <n v="2282600692"/>
    <x v="0"/>
    <x v="39"/>
    <d v="2027-04-06T00:00:00"/>
    <x v="60"/>
    <d v="1899-12-30T00:00:00"/>
    <d v="2027-04-2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92"/>
    <n v="2282600693"/>
    <x v="0"/>
    <x v="39"/>
    <d v="2027-04-06T00:00:00"/>
    <x v="60"/>
    <d v="1899-12-30T00:00:00"/>
    <d v="2027-04-2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93"/>
    <n v="2302600694"/>
    <x v="1"/>
    <x v="39"/>
    <d v="2027-04-06T00:00:00"/>
    <x v="60"/>
    <d v="1899-12-30T00:00:00"/>
    <d v="2027-05-06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94"/>
    <n v="2302600695"/>
    <x v="1"/>
    <x v="39"/>
    <d v="2027-04-07T00:00:00"/>
    <x v="60"/>
    <d v="1899-12-30T00:00:00"/>
    <d v="2027-05-0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95"/>
    <n v="2282600696"/>
    <x v="0"/>
    <x v="39"/>
    <d v="2027-04-07T00:00:00"/>
    <x v="60"/>
    <d v="1899-12-30T00:00:00"/>
    <d v="2027-04-2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96"/>
    <n v="2282600697"/>
    <x v="0"/>
    <x v="39"/>
    <d v="2027-04-07T00:00:00"/>
    <x v="60"/>
    <d v="1899-12-30T00:00:00"/>
    <d v="2027-04-27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97"/>
    <n v="2302600698"/>
    <x v="1"/>
    <x v="39"/>
    <d v="2027-04-08T00:00:00"/>
    <x v="60"/>
    <d v="1899-12-30T00:00:00"/>
    <d v="2027-05-0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98"/>
    <n v="2302600699"/>
    <x v="1"/>
    <x v="39"/>
    <d v="2027-04-08T00:00:00"/>
    <x v="60"/>
    <d v="1899-12-30T00:00:00"/>
    <d v="2027-05-0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99"/>
    <n v="2282600700"/>
    <x v="0"/>
    <x v="39"/>
    <d v="2027-04-08T00:00:00"/>
    <x v="60"/>
    <d v="1899-12-30T00:00:00"/>
    <d v="2027-04-28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700"/>
    <n v="2282600701"/>
    <x v="0"/>
    <x v="39"/>
    <d v="2027-04-09T00:00:00"/>
    <x v="60"/>
    <d v="1899-12-30T00:00:00"/>
    <d v="2027-04-2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701"/>
    <n v="2302600702"/>
    <x v="1"/>
    <x v="39"/>
    <d v="2027-04-09T00:00:00"/>
    <x v="60"/>
    <d v="1899-12-30T00:00:00"/>
    <d v="2027-05-0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702"/>
    <n v="2302600703"/>
    <x v="1"/>
    <x v="39"/>
    <d v="2027-04-09T00:00:00"/>
    <x v="60"/>
    <d v="1899-12-30T00:00:00"/>
    <d v="2027-05-09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703"/>
    <n v="2282600704"/>
    <x v="0"/>
    <x v="39"/>
    <d v="2027-04-12T00:00:00"/>
    <x v="60"/>
    <d v="1899-12-30T00:00:00"/>
    <d v="2027-05-02T00:00:00"/>
    <n v="46188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0">
  <r>
    <x v="0"/>
    <n v="0"/>
    <m/>
    <n v="0"/>
    <m/>
    <n v="0"/>
    <m/>
    <n v="0"/>
    <m/>
    <x v="0"/>
    <x v="0"/>
    <s v=""/>
    <s v=""/>
    <n v="0"/>
    <n v="0"/>
    <n v="5"/>
    <n v="0"/>
    <n v="0"/>
    <n v="0"/>
    <n v="0"/>
    <n v="0"/>
  </r>
  <r>
    <x v="1"/>
    <n v="2"/>
    <n v="2"/>
    <n v="2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2"/>
    <n v="0"/>
    <n v="2"/>
    <n v="0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3"/>
    <n v="1"/>
    <n v="3"/>
    <n v="1"/>
    <n v="3"/>
    <n v="0"/>
    <n v="0"/>
    <n v="0"/>
    <n v="0"/>
    <x v="0"/>
    <x v="0"/>
    <n v="1"/>
    <s v=""/>
    <n v="0"/>
    <n v="0"/>
    <n v="5"/>
    <n v="4.261363636363636E-3"/>
    <n v="4.261363636363636E-3"/>
    <n v="0"/>
    <n v="0"/>
    <n v="2.130681818181818E-3"/>
  </r>
  <r>
    <x v="4"/>
    <n v="2"/>
    <n v="5"/>
    <n v="2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5"/>
    <n v="0"/>
    <n v="5"/>
    <n v="0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6"/>
    <n v="0"/>
    <n v="5"/>
    <n v="0"/>
    <n v="5"/>
    <n v="0"/>
    <n v="0"/>
    <n v="0"/>
    <n v="0"/>
    <x v="0"/>
    <x v="1"/>
    <n v="1"/>
    <s v=""/>
    <n v="0"/>
    <n v="0"/>
    <n v="5"/>
    <n v="7.102272727272727E-3"/>
    <n v="7.102272727272727E-3"/>
    <n v="0"/>
    <n v="0"/>
    <n v="3.5511363636363635E-3"/>
  </r>
  <r>
    <x v="7"/>
    <n v="1"/>
    <n v="6"/>
    <n v="1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8"/>
    <n v="0"/>
    <n v="6"/>
    <n v="0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9"/>
    <n v="2"/>
    <n v="8"/>
    <n v="2"/>
    <n v="8"/>
    <n v="0"/>
    <n v="0"/>
    <n v="0"/>
    <n v="0"/>
    <x v="0"/>
    <x v="1"/>
    <n v="1"/>
    <s v=""/>
    <n v="0"/>
    <n v="0"/>
    <n v="5"/>
    <n v="1.1363636363636364E-2"/>
    <n v="1.1363636363636364E-2"/>
    <n v="0"/>
    <n v="0"/>
    <n v="5.681818181818182E-3"/>
  </r>
  <r>
    <x v="10"/>
    <n v="1"/>
    <n v="9"/>
    <n v="1"/>
    <n v="9"/>
    <n v="0"/>
    <n v="0"/>
    <n v="0"/>
    <n v="0"/>
    <x v="0"/>
    <x v="1"/>
    <n v="1"/>
    <s v=""/>
    <n v="0"/>
    <n v="0"/>
    <n v="5"/>
    <n v="1.278409090909091E-2"/>
    <n v="1.278409090909091E-2"/>
    <n v="0"/>
    <n v="0"/>
    <n v="6.3920454545454549E-3"/>
  </r>
  <r>
    <x v="11"/>
    <n v="1"/>
    <n v="10"/>
    <n v="1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2"/>
    <n v="0"/>
    <n v="10"/>
    <n v="0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3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4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5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6"/>
    <n v="1"/>
    <n v="11"/>
    <n v="1"/>
    <n v="11"/>
    <n v="0"/>
    <n v="0"/>
    <n v="0"/>
    <n v="0"/>
    <x v="1"/>
    <x v="2"/>
    <n v="1"/>
    <s v=""/>
    <n v="0"/>
    <n v="0"/>
    <n v="3"/>
    <n v="1.5625E-2"/>
    <n v="1.5625E-2"/>
    <n v="0"/>
    <n v="0"/>
    <n v="7.8125E-3"/>
  </r>
  <r>
    <x v="17"/>
    <n v="1"/>
    <n v="12"/>
    <n v="1"/>
    <n v="12"/>
    <n v="0"/>
    <n v="0"/>
    <n v="0"/>
    <n v="0"/>
    <x v="1"/>
    <x v="2"/>
    <n v="1"/>
    <s v=""/>
    <n v="0"/>
    <n v="0"/>
    <n v="3"/>
    <n v="1.7045454545454544E-2"/>
    <n v="1.7045454545454544E-2"/>
    <n v="0"/>
    <n v="0"/>
    <n v="8.5227272727272721E-3"/>
  </r>
  <r>
    <x v="18"/>
    <n v="1"/>
    <n v="13"/>
    <n v="1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19"/>
    <n v="0"/>
    <n v="13"/>
    <n v="0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20"/>
    <n v="0"/>
    <n v="13"/>
    <n v="0"/>
    <n v="13"/>
    <n v="0"/>
    <n v="0"/>
    <n v="0"/>
    <n v="0"/>
    <x v="1"/>
    <x v="3"/>
    <n v="1"/>
    <s v=""/>
    <n v="0"/>
    <n v="0"/>
    <n v="4"/>
    <n v="1.8465909090909092E-2"/>
    <n v="1.8465909090909092E-2"/>
    <n v="0"/>
    <n v="0"/>
    <n v="9.2329545454545459E-3"/>
  </r>
  <r>
    <x v="21"/>
    <n v="1"/>
    <n v="14"/>
    <n v="1"/>
    <n v="14"/>
    <n v="0"/>
    <n v="0"/>
    <n v="0"/>
    <n v="0"/>
    <x v="1"/>
    <x v="3"/>
    <n v="1"/>
    <s v=""/>
    <n v="0"/>
    <n v="0"/>
    <n v="4"/>
    <n v="1.9886363636363636E-2"/>
    <n v="1.9886363636363636E-2"/>
    <n v="0"/>
    <n v="0"/>
    <n v="9.943181818181818E-3"/>
  </r>
  <r>
    <x v="22"/>
    <n v="1"/>
    <n v="15"/>
    <n v="1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3"/>
    <n v="0"/>
    <n v="15"/>
    <n v="0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4"/>
    <n v="2"/>
    <n v="17"/>
    <n v="2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5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6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7"/>
    <n v="0"/>
    <n v="17"/>
    <n v="0"/>
    <n v="17"/>
    <n v="0"/>
    <n v="0"/>
    <n v="0"/>
    <n v="0"/>
    <x v="1"/>
    <x v="4"/>
    <n v="1"/>
    <s v=""/>
    <n v="0"/>
    <n v="0"/>
    <n v="3"/>
    <n v="2.4147727272727272E-2"/>
    <n v="2.4147727272727272E-2"/>
    <n v="0"/>
    <n v="0"/>
    <n v="1.2073863636363636E-2"/>
  </r>
  <r>
    <x v="28"/>
    <n v="1"/>
    <n v="18"/>
    <n v="1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29"/>
    <n v="0"/>
    <n v="18"/>
    <n v="0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30"/>
    <n v="1"/>
    <n v="19"/>
    <n v="1"/>
    <n v="19"/>
    <n v="0"/>
    <n v="0"/>
    <n v="0"/>
    <n v="0"/>
    <x v="1"/>
    <x v="4"/>
    <n v="1"/>
    <s v=""/>
    <n v="0"/>
    <n v="0"/>
    <n v="3"/>
    <n v="2.6988636363636364E-2"/>
    <n v="2.6988636363636364E-2"/>
    <n v="0"/>
    <n v="0"/>
    <n v="1.3494318181818182E-2"/>
  </r>
  <r>
    <x v="31"/>
    <n v="1"/>
    <n v="20"/>
    <n v="1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2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3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4"/>
    <n v="0"/>
    <n v="20"/>
    <n v="0"/>
    <n v="20"/>
    <n v="0"/>
    <n v="0"/>
    <n v="0"/>
    <n v="0"/>
    <x v="1"/>
    <x v="5"/>
    <n v="1"/>
    <s v=""/>
    <n v="0"/>
    <n v="0"/>
    <n v="6"/>
    <n v="2.8409090909090908E-2"/>
    <n v="2.8409090909090908E-2"/>
    <n v="0"/>
    <n v="0"/>
    <n v="1.4204545454545454E-2"/>
  </r>
  <r>
    <x v="35"/>
    <n v="1"/>
    <n v="21"/>
    <n v="1"/>
    <n v="21"/>
    <n v="0"/>
    <n v="0"/>
    <n v="0"/>
    <n v="0"/>
    <x v="1"/>
    <x v="5"/>
    <n v="1"/>
    <s v=""/>
    <n v="0"/>
    <n v="0"/>
    <n v="6"/>
    <n v="2.9829545454545456E-2"/>
    <n v="2.9829545454545456E-2"/>
    <n v="0"/>
    <n v="0"/>
    <n v="1.4914772727272728E-2"/>
  </r>
  <r>
    <x v="36"/>
    <n v="2"/>
    <n v="23"/>
    <n v="2"/>
    <n v="23"/>
    <n v="0"/>
    <n v="0"/>
    <n v="0"/>
    <n v="0"/>
    <x v="1"/>
    <x v="5"/>
    <n v="1"/>
    <s v=""/>
    <n v="0"/>
    <n v="0"/>
    <n v="6"/>
    <n v="3.2670454545454544E-2"/>
    <n v="3.2670454545454544E-2"/>
    <n v="0"/>
    <n v="0"/>
    <n v="1.6335227272727272E-2"/>
  </r>
  <r>
    <x v="37"/>
    <n v="1"/>
    <n v="24"/>
    <n v="1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8"/>
    <n v="0"/>
    <n v="24"/>
    <n v="0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9"/>
    <n v="2"/>
    <n v="26"/>
    <n v="2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0"/>
    <n v="0"/>
    <n v="26"/>
    <n v="0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1"/>
    <n v="0"/>
    <n v="26"/>
    <n v="0"/>
    <n v="26"/>
    <n v="0"/>
    <n v="0"/>
    <n v="0"/>
    <n v="0"/>
    <x v="1"/>
    <x v="6"/>
    <n v="1"/>
    <s v=""/>
    <n v="0"/>
    <n v="0"/>
    <n v="4"/>
    <n v="3.6931818181818184E-2"/>
    <n v="3.6931818181818184E-2"/>
    <n v="0"/>
    <n v="0"/>
    <n v="1.8465909090909092E-2"/>
  </r>
  <r>
    <x v="42"/>
    <n v="3"/>
    <n v="29"/>
    <n v="3"/>
    <n v="29"/>
    <n v="0"/>
    <n v="0"/>
    <n v="0"/>
    <n v="0"/>
    <x v="1"/>
    <x v="6"/>
    <n v="1"/>
    <s v=""/>
    <n v="0"/>
    <n v="0"/>
    <n v="4"/>
    <n v="4.1193181818181816E-2"/>
    <n v="4.1193181818181816E-2"/>
    <n v="0"/>
    <n v="0"/>
    <n v="2.0596590909090908E-2"/>
  </r>
  <r>
    <x v="43"/>
    <n v="1"/>
    <n v="30"/>
    <n v="1"/>
    <n v="30"/>
    <n v="0"/>
    <n v="0"/>
    <n v="0"/>
    <n v="0"/>
    <x v="1"/>
    <x v="6"/>
    <n v="1"/>
    <s v=""/>
    <n v="0"/>
    <n v="0"/>
    <n v="4"/>
    <n v="4.261363636363636E-2"/>
    <n v="4.261363636363636E-2"/>
    <n v="0"/>
    <n v="0"/>
    <n v="2.130681818181818E-2"/>
  </r>
  <r>
    <x v="44"/>
    <n v="1"/>
    <n v="31"/>
    <n v="1"/>
    <n v="31"/>
    <n v="0"/>
    <n v="0"/>
    <n v="0"/>
    <n v="0"/>
    <x v="2"/>
    <x v="6"/>
    <n v="1"/>
    <s v=""/>
    <n v="0"/>
    <n v="0"/>
    <n v="2"/>
    <n v="4.4034090909090912E-2"/>
    <n v="4.4034090909090912E-2"/>
    <n v="0"/>
    <n v="0"/>
    <n v="2.2017045454545456E-2"/>
  </r>
  <r>
    <x v="45"/>
    <n v="1"/>
    <n v="32"/>
    <n v="1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6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7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8"/>
    <n v="0"/>
    <n v="32"/>
    <n v="0"/>
    <n v="32"/>
    <n v="0"/>
    <n v="0"/>
    <n v="0"/>
    <n v="0"/>
    <x v="2"/>
    <x v="7"/>
    <n v="1"/>
    <s v=""/>
    <n v="0"/>
    <n v="0"/>
    <n v="8"/>
    <n v="4.5454545454545456E-2"/>
    <n v="4.5454545454545456E-2"/>
    <n v="0"/>
    <n v="0"/>
    <n v="2.2727272727272728E-2"/>
  </r>
  <r>
    <x v="49"/>
    <n v="1"/>
    <n v="33"/>
    <n v="1"/>
    <n v="33"/>
    <n v="0"/>
    <n v="0"/>
    <n v="0"/>
    <n v="0"/>
    <x v="2"/>
    <x v="7"/>
    <n v="1"/>
    <s v=""/>
    <n v="0"/>
    <n v="0"/>
    <n v="8"/>
    <n v="4.6875E-2"/>
    <n v="4.6875E-2"/>
    <n v="0"/>
    <n v="0"/>
    <n v="2.34375E-2"/>
  </r>
  <r>
    <x v="50"/>
    <n v="3"/>
    <n v="36"/>
    <n v="3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1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2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3"/>
    <n v="2"/>
    <n v="38"/>
    <n v="2"/>
    <n v="38"/>
    <n v="0"/>
    <n v="0"/>
    <n v="0"/>
    <n v="0"/>
    <x v="2"/>
    <x v="7"/>
    <n v="1"/>
    <s v=""/>
    <n v="0"/>
    <n v="0"/>
    <n v="8"/>
    <n v="5.3977272727272728E-2"/>
    <n v="5.3977272727272728E-2"/>
    <n v="0"/>
    <n v="0"/>
    <n v="2.6988636363636364E-2"/>
  </r>
  <r>
    <x v="54"/>
    <n v="2"/>
    <n v="40"/>
    <n v="2"/>
    <n v="40"/>
    <n v="0"/>
    <n v="0"/>
    <n v="0"/>
    <n v="0"/>
    <x v="2"/>
    <x v="7"/>
    <n v="1"/>
    <s v=""/>
    <n v="0"/>
    <n v="0"/>
    <n v="8"/>
    <n v="5.6818181818181816E-2"/>
    <n v="5.6818181818181816E-2"/>
    <n v="0"/>
    <n v="0"/>
    <n v="2.8409090909090908E-2"/>
  </r>
  <r>
    <x v="55"/>
    <n v="1"/>
    <n v="41"/>
    <n v="1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6"/>
    <n v="0"/>
    <n v="41"/>
    <n v="0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7"/>
    <n v="2"/>
    <n v="43"/>
    <n v="2"/>
    <n v="43"/>
    <n v="0"/>
    <n v="0"/>
    <n v="0"/>
    <n v="0"/>
    <x v="2"/>
    <x v="8"/>
    <n v="1"/>
    <s v=""/>
    <n v="0"/>
    <n v="0"/>
    <n v="7"/>
    <n v="6.1079545454545456E-2"/>
    <n v="6.1079545454545456E-2"/>
    <n v="0"/>
    <n v="0"/>
    <n v="3.0539772727272728E-2"/>
  </r>
  <r>
    <x v="58"/>
    <n v="3"/>
    <n v="46"/>
    <n v="3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59"/>
    <n v="0"/>
    <n v="46"/>
    <n v="0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60"/>
    <n v="1"/>
    <n v="47"/>
    <n v="1"/>
    <n v="47"/>
    <n v="1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1"/>
    <n v="0"/>
    <n v="47"/>
    <n v="0"/>
    <n v="47"/>
    <n v="0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2"/>
    <n v="0"/>
    <n v="47"/>
    <n v="0"/>
    <n v="47"/>
    <n v="0"/>
    <n v="1"/>
    <n v="0"/>
    <n v="0"/>
    <x v="2"/>
    <x v="9"/>
    <n v="1"/>
    <n v="0"/>
    <n v="0"/>
    <n v="1"/>
    <n v="6"/>
    <n v="6.6761363636363633E-2"/>
    <n v="6.6761363636363633E-2"/>
    <n v="1.4204545454545455E-3"/>
    <n v="0"/>
    <n v="3.4090909090909088E-2"/>
  </r>
  <r>
    <x v="63"/>
    <n v="1"/>
    <n v="48"/>
    <n v="1"/>
    <n v="48"/>
    <n v="2"/>
    <n v="3"/>
    <n v="0"/>
    <n v="0"/>
    <x v="2"/>
    <x v="9"/>
    <n v="1"/>
    <n v="0"/>
    <n v="0"/>
    <n v="3"/>
    <n v="6"/>
    <n v="6.8181818181818177E-2"/>
    <n v="6.8181818181818177E-2"/>
    <n v="4.261363636363636E-3"/>
    <n v="0"/>
    <n v="3.6221590909090905E-2"/>
  </r>
  <r>
    <x v="64"/>
    <n v="0"/>
    <n v="48"/>
    <n v="0"/>
    <n v="48"/>
    <n v="2"/>
    <n v="5"/>
    <n v="0"/>
    <n v="0"/>
    <x v="2"/>
    <x v="9"/>
    <n v="1"/>
    <n v="0"/>
    <n v="0"/>
    <n v="5"/>
    <n v="6"/>
    <n v="6.8181818181818177E-2"/>
    <n v="6.8181818181818177E-2"/>
    <n v="7.102272727272727E-3"/>
    <n v="0"/>
    <n v="3.7642045454545449E-2"/>
  </r>
  <r>
    <x v="65"/>
    <n v="3"/>
    <n v="51"/>
    <n v="3"/>
    <n v="51"/>
    <n v="2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6"/>
    <n v="0"/>
    <n v="51"/>
    <n v="0"/>
    <n v="51"/>
    <n v="0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7"/>
    <n v="2"/>
    <n v="53"/>
    <n v="2"/>
    <n v="53"/>
    <n v="1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8"/>
    <n v="0"/>
    <n v="53"/>
    <n v="0"/>
    <n v="53"/>
    <n v="0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9"/>
    <n v="0"/>
    <n v="53"/>
    <n v="0"/>
    <n v="53"/>
    <n v="0"/>
    <n v="8"/>
    <n v="0"/>
    <n v="0"/>
    <x v="2"/>
    <x v="10"/>
    <n v="1"/>
    <n v="0"/>
    <n v="0"/>
    <n v="8"/>
    <n v="3"/>
    <n v="7.5284090909090912E-2"/>
    <n v="7.5284090909090912E-2"/>
    <n v="1.1363636363636364E-2"/>
    <n v="0"/>
    <n v="4.332386363636364E-2"/>
  </r>
  <r>
    <x v="70"/>
    <n v="1"/>
    <n v="54"/>
    <n v="1"/>
    <n v="54"/>
    <n v="1"/>
    <n v="9"/>
    <n v="0"/>
    <n v="0"/>
    <x v="2"/>
    <x v="10"/>
    <n v="1"/>
    <n v="0"/>
    <n v="0"/>
    <n v="9"/>
    <n v="3"/>
    <n v="7.6704545454545456E-2"/>
    <n v="7.6704545454545456E-2"/>
    <n v="1.278409090909091E-2"/>
    <n v="0"/>
    <n v="4.4744318181818184E-2"/>
  </r>
  <r>
    <x v="71"/>
    <n v="1"/>
    <n v="55"/>
    <n v="1"/>
    <n v="55"/>
    <n v="3"/>
    <n v="12"/>
    <n v="0"/>
    <n v="0"/>
    <x v="2"/>
    <x v="10"/>
    <n v="1"/>
    <n v="0"/>
    <n v="0"/>
    <n v="12"/>
    <n v="3"/>
    <n v="7.8125E-2"/>
    <n v="7.8125E-2"/>
    <n v="1.7045454545454544E-2"/>
    <n v="0"/>
    <n v="4.7585227272727272E-2"/>
  </r>
  <r>
    <x v="72"/>
    <n v="1"/>
    <n v="56"/>
    <n v="1"/>
    <n v="56"/>
    <n v="0"/>
    <n v="12"/>
    <n v="0"/>
    <n v="0"/>
    <x v="2"/>
    <x v="10"/>
    <n v="1"/>
    <n v="0"/>
    <n v="0"/>
    <n v="12"/>
    <n v="3"/>
    <n v="7.9545454545454544E-2"/>
    <n v="7.9545454545454544E-2"/>
    <n v="1.7045454545454544E-2"/>
    <n v="0"/>
    <n v="4.8295454545454544E-2"/>
  </r>
  <r>
    <x v="73"/>
    <n v="0"/>
    <n v="56"/>
    <n v="0"/>
    <n v="56"/>
    <n v="2"/>
    <n v="14"/>
    <n v="0"/>
    <n v="0"/>
    <x v="2"/>
    <x v="10"/>
    <n v="1"/>
    <n v="0"/>
    <n v="0"/>
    <n v="14"/>
    <n v="3"/>
    <n v="7.9545454545454544E-2"/>
    <n v="7.9545454545454544E-2"/>
    <n v="1.9886363636363636E-2"/>
    <n v="0"/>
    <n v="4.9715909090909088E-2"/>
  </r>
  <r>
    <x v="74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5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6"/>
    <n v="0"/>
    <n v="56"/>
    <n v="0"/>
    <n v="56"/>
    <n v="0"/>
    <n v="14"/>
    <n v="0"/>
    <n v="0"/>
    <x v="3"/>
    <x v="11"/>
    <n v="1"/>
    <n v="0"/>
    <n v="0"/>
    <n v="14"/>
    <n v="10"/>
    <n v="7.9545454545454544E-2"/>
    <n v="7.9545454545454544E-2"/>
    <n v="1.9886363636363636E-2"/>
    <n v="0"/>
    <n v="4.9715909090909088E-2"/>
  </r>
  <r>
    <x v="77"/>
    <n v="2"/>
    <n v="58"/>
    <n v="1"/>
    <n v="57"/>
    <n v="2"/>
    <n v="16"/>
    <n v="0"/>
    <n v="0"/>
    <x v="3"/>
    <x v="11"/>
    <n v="0.98275862068965514"/>
    <n v="0"/>
    <n v="1"/>
    <n v="16"/>
    <n v="10"/>
    <n v="8.2386363636363633E-2"/>
    <n v="8.0965909090909088E-2"/>
    <n v="2.2727272727272728E-2"/>
    <n v="0"/>
    <n v="5.2556818181818177E-2"/>
  </r>
  <r>
    <x v="78"/>
    <n v="2"/>
    <n v="60"/>
    <n v="2"/>
    <n v="59"/>
    <n v="3"/>
    <n v="19"/>
    <n v="0"/>
    <n v="0"/>
    <x v="3"/>
    <x v="11"/>
    <n v="0.98333333333333328"/>
    <n v="0"/>
    <n v="1"/>
    <n v="19"/>
    <n v="10"/>
    <n v="8.5227272727272721E-2"/>
    <n v="8.3806818181818177E-2"/>
    <n v="2.6988636363636364E-2"/>
    <n v="0"/>
    <n v="5.6107954545454544E-2"/>
  </r>
  <r>
    <x v="79"/>
    <n v="2"/>
    <n v="62"/>
    <n v="1"/>
    <n v="60"/>
    <n v="3"/>
    <n v="22"/>
    <n v="0"/>
    <n v="0"/>
    <x v="3"/>
    <x v="11"/>
    <n v="0.967741935483871"/>
    <n v="0"/>
    <n v="2"/>
    <n v="22"/>
    <n v="10"/>
    <n v="8.8068181818181823E-2"/>
    <n v="8.5227272727272721E-2"/>
    <n v="3.125E-2"/>
    <n v="0"/>
    <n v="5.9659090909090912E-2"/>
  </r>
  <r>
    <x v="80"/>
    <n v="2"/>
    <n v="64"/>
    <n v="3"/>
    <n v="63"/>
    <n v="2"/>
    <n v="24"/>
    <n v="0"/>
    <n v="0"/>
    <x v="3"/>
    <x v="11"/>
    <n v="0.984375"/>
    <n v="0"/>
    <n v="1"/>
    <n v="24"/>
    <n v="10"/>
    <n v="9.0909090909090912E-2"/>
    <n v="8.9488636363636367E-2"/>
    <n v="3.4090909090909088E-2"/>
    <n v="0"/>
    <n v="6.25E-2"/>
  </r>
  <r>
    <x v="81"/>
    <n v="2"/>
    <n v="66"/>
    <n v="1"/>
    <n v="64"/>
    <n v="2"/>
    <n v="26"/>
    <n v="1"/>
    <n v="1"/>
    <x v="3"/>
    <x v="11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2"/>
    <n v="0"/>
    <n v="66"/>
    <n v="0"/>
    <n v="64"/>
    <n v="0"/>
    <n v="26"/>
    <n v="0"/>
    <n v="1"/>
    <x v="3"/>
    <x v="11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3"/>
    <n v="0"/>
    <n v="66"/>
    <n v="0"/>
    <n v="64"/>
    <n v="0"/>
    <n v="26"/>
    <n v="0"/>
    <n v="1"/>
    <x v="3"/>
    <x v="12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4"/>
    <n v="2"/>
    <n v="68"/>
    <n v="1"/>
    <n v="65"/>
    <n v="2"/>
    <n v="28"/>
    <n v="1"/>
    <n v="2"/>
    <x v="3"/>
    <x v="12"/>
    <n v="0.95588235294117652"/>
    <n v="7.1428571428571425E-2"/>
    <n v="3"/>
    <n v="26"/>
    <n v="10"/>
    <n v="9.6590909090909088E-2"/>
    <n v="9.2329545454545456E-2"/>
    <n v="3.9772727272727272E-2"/>
    <n v="2.840909090909091E-3"/>
    <n v="6.8181818181818177E-2"/>
  </r>
  <r>
    <x v="85"/>
    <n v="2"/>
    <n v="70"/>
    <n v="2"/>
    <n v="67"/>
    <n v="2"/>
    <n v="30"/>
    <n v="0"/>
    <n v="2"/>
    <x v="3"/>
    <x v="12"/>
    <n v="0.95714285714285718"/>
    <n v="6.6666666666666666E-2"/>
    <n v="3"/>
    <n v="28"/>
    <n v="10"/>
    <n v="9.9431818181818177E-2"/>
    <n v="9.5170454545454544E-2"/>
    <n v="4.261363636363636E-2"/>
    <n v="2.840909090909091E-3"/>
    <n v="7.1022727272727265E-2"/>
  </r>
  <r>
    <x v="86"/>
    <n v="2"/>
    <n v="72"/>
    <n v="0"/>
    <n v="67"/>
    <n v="2"/>
    <n v="32"/>
    <n v="0"/>
    <n v="2"/>
    <x v="3"/>
    <x v="12"/>
    <n v="0.93055555555555558"/>
    <n v="6.25E-2"/>
    <n v="5"/>
    <n v="30"/>
    <n v="10"/>
    <n v="0.10227272727272728"/>
    <n v="9.5170454545454544E-2"/>
    <n v="4.5454545454545456E-2"/>
    <n v="2.840909090909091E-3"/>
    <n v="7.3863636363636367E-2"/>
  </r>
  <r>
    <x v="87"/>
    <n v="2"/>
    <n v="74"/>
    <n v="3"/>
    <n v="70"/>
    <n v="2"/>
    <n v="34"/>
    <n v="8"/>
    <n v="10"/>
    <x v="3"/>
    <x v="12"/>
    <n v="0.94594594594594594"/>
    <n v="0.29411764705882354"/>
    <n v="4"/>
    <n v="24"/>
    <n v="10"/>
    <n v="0.10511363636363637"/>
    <n v="9.9431818181818177E-2"/>
    <n v="4.8295454545454544E-2"/>
    <n v="1.4204545454545454E-2"/>
    <n v="7.6704545454545456E-2"/>
  </r>
  <r>
    <x v="88"/>
    <n v="2"/>
    <n v="76"/>
    <n v="0"/>
    <n v="70"/>
    <n v="2"/>
    <n v="36"/>
    <n v="2"/>
    <n v="12"/>
    <x v="3"/>
    <x v="12"/>
    <n v="0.92105263157894735"/>
    <n v="0.33333333333333331"/>
    <n v="6"/>
    <n v="24"/>
    <n v="10"/>
    <n v="0.10795454545454546"/>
    <n v="9.9431818181818177E-2"/>
    <n v="5.113636363636364E-2"/>
    <n v="1.7045454545454544E-2"/>
    <n v="7.9545454545454544E-2"/>
  </r>
  <r>
    <x v="89"/>
    <n v="0"/>
    <n v="76"/>
    <n v="3"/>
    <n v="73"/>
    <n v="0"/>
    <n v="36"/>
    <n v="0"/>
    <n v="12"/>
    <x v="3"/>
    <x v="12"/>
    <n v="0.96052631578947367"/>
    <n v="0.33333333333333331"/>
    <n v="3"/>
    <n v="24"/>
    <n v="10"/>
    <n v="0.10795454545454546"/>
    <n v="0.10369318181818182"/>
    <n v="5.113636363636364E-2"/>
    <n v="1.7045454545454544E-2"/>
    <n v="7.9545454545454544E-2"/>
  </r>
  <r>
    <x v="90"/>
    <n v="0"/>
    <n v="76"/>
    <n v="0"/>
    <n v="73"/>
    <n v="0"/>
    <n v="36"/>
    <n v="0"/>
    <n v="12"/>
    <x v="3"/>
    <x v="13"/>
    <n v="0.96052631578947367"/>
    <n v="0.33333333333333331"/>
    <n v="3"/>
    <n v="24"/>
    <n v="8"/>
    <n v="0.10795454545454546"/>
    <n v="0.10369318181818182"/>
    <n v="5.113636363636364E-2"/>
    <n v="1.7045454545454544E-2"/>
    <n v="7.9545454545454544E-2"/>
  </r>
  <r>
    <x v="91"/>
    <n v="2"/>
    <n v="78"/>
    <n v="1"/>
    <n v="74"/>
    <n v="2"/>
    <n v="38"/>
    <n v="2"/>
    <n v="14"/>
    <x v="3"/>
    <x v="13"/>
    <n v="0.94871794871794868"/>
    <n v="0.36842105263157893"/>
    <n v="4"/>
    <n v="24"/>
    <n v="8"/>
    <n v="0.11079545454545454"/>
    <n v="0.10511363636363637"/>
    <n v="5.3977272727272728E-2"/>
    <n v="1.9886363636363636E-2"/>
    <n v="8.2386363636363633E-2"/>
  </r>
  <r>
    <x v="92"/>
    <n v="2"/>
    <n v="80"/>
    <n v="1"/>
    <n v="75"/>
    <n v="2"/>
    <n v="40"/>
    <n v="1"/>
    <n v="15"/>
    <x v="3"/>
    <x v="13"/>
    <n v="0.9375"/>
    <n v="0.375"/>
    <n v="5"/>
    <n v="25"/>
    <n v="8"/>
    <n v="0.11363636363636363"/>
    <n v="0.10653409090909091"/>
    <n v="5.6818181818181816E-2"/>
    <n v="2.130681818181818E-2"/>
    <n v="8.5227272727272721E-2"/>
  </r>
  <r>
    <x v="93"/>
    <n v="2"/>
    <n v="82"/>
    <n v="1"/>
    <n v="76"/>
    <n v="2"/>
    <n v="42"/>
    <n v="2"/>
    <n v="17"/>
    <x v="3"/>
    <x v="13"/>
    <n v="0.92682926829268297"/>
    <n v="0.40476190476190477"/>
    <n v="6"/>
    <n v="25"/>
    <n v="8"/>
    <n v="0.11647727272727272"/>
    <n v="0.10795454545454546"/>
    <n v="5.9659090909090912E-2"/>
    <n v="2.4147727272727272E-2"/>
    <n v="8.8068181818181823E-2"/>
  </r>
  <r>
    <x v="94"/>
    <n v="0"/>
    <n v="82"/>
    <n v="0"/>
    <n v="76"/>
    <n v="0"/>
    <n v="42"/>
    <n v="0"/>
    <n v="17"/>
    <x v="3"/>
    <x v="13"/>
    <n v="0.92682926829268297"/>
    <n v="0.40476190476190477"/>
    <n v="6"/>
    <n v="25"/>
    <n v="8"/>
    <n v="0.11647727272727272"/>
    <n v="0.10795454545454546"/>
    <n v="5.9659090909090912E-2"/>
    <n v="2.4147727272727272E-2"/>
    <n v="8.8068181818181823E-2"/>
  </r>
  <r>
    <x v="95"/>
    <n v="2"/>
    <n v="84"/>
    <n v="0"/>
    <n v="76"/>
    <n v="2"/>
    <n v="44"/>
    <n v="0"/>
    <n v="17"/>
    <x v="3"/>
    <x v="13"/>
    <n v="0.90476190476190477"/>
    <n v="0.38636363636363635"/>
    <n v="8"/>
    <n v="27"/>
    <n v="8"/>
    <n v="0.11931818181818182"/>
    <n v="0.10795454545454546"/>
    <n v="6.25E-2"/>
    <n v="2.4147727272727272E-2"/>
    <n v="9.0909090909090912E-2"/>
  </r>
  <r>
    <x v="96"/>
    <n v="0"/>
    <n v="84"/>
    <n v="0"/>
    <n v="76"/>
    <n v="0"/>
    <n v="44"/>
    <n v="0"/>
    <n v="17"/>
    <x v="3"/>
    <x v="13"/>
    <n v="0.90476190476190477"/>
    <n v="0.38636363636363635"/>
    <n v="8"/>
    <n v="27"/>
    <n v="8"/>
    <n v="0.11931818181818182"/>
    <n v="0.10795454545454546"/>
    <n v="6.25E-2"/>
    <n v="2.4147727272727272E-2"/>
    <n v="9.0909090909090912E-2"/>
  </r>
  <r>
    <x v="97"/>
    <n v="0"/>
    <n v="84"/>
    <n v="0"/>
    <n v="76"/>
    <n v="0"/>
    <n v="44"/>
    <n v="0"/>
    <n v="17"/>
    <x v="3"/>
    <x v="14"/>
    <n v="0.90476190476190477"/>
    <n v="0.38636363636363635"/>
    <n v="8"/>
    <n v="27"/>
    <n v="10"/>
    <n v="0.11931818181818182"/>
    <n v="0.10795454545454546"/>
    <n v="6.25E-2"/>
    <n v="2.4147727272727272E-2"/>
    <n v="9.0909090909090912E-2"/>
  </r>
  <r>
    <x v="98"/>
    <n v="2"/>
    <n v="86"/>
    <n v="1"/>
    <n v="77"/>
    <n v="2"/>
    <n v="46"/>
    <n v="0"/>
    <n v="17"/>
    <x v="3"/>
    <x v="14"/>
    <n v="0.89534883720930236"/>
    <n v="0.36956521739130432"/>
    <n v="9"/>
    <n v="29"/>
    <n v="10"/>
    <n v="0.12215909090909091"/>
    <n v="0.109375"/>
    <n v="6.5340909090909088E-2"/>
    <n v="2.4147727272727272E-2"/>
    <n v="9.375E-2"/>
  </r>
  <r>
    <x v="99"/>
    <n v="2"/>
    <n v="88"/>
    <n v="2"/>
    <n v="79"/>
    <n v="2"/>
    <n v="48"/>
    <n v="0"/>
    <n v="17"/>
    <x v="3"/>
    <x v="14"/>
    <n v="0.89772727272727271"/>
    <n v="0.35416666666666669"/>
    <n v="9"/>
    <n v="31"/>
    <n v="10"/>
    <n v="0.125"/>
    <n v="0.11221590909090909"/>
    <n v="6.8181818181818177E-2"/>
    <n v="2.4147727272727272E-2"/>
    <n v="9.6590909090909088E-2"/>
  </r>
  <r>
    <x v="100"/>
    <n v="2"/>
    <n v="90"/>
    <n v="1"/>
    <n v="80"/>
    <n v="2"/>
    <n v="50"/>
    <n v="4"/>
    <n v="21"/>
    <x v="3"/>
    <x v="14"/>
    <n v="0.88888888888888884"/>
    <n v="0.42"/>
    <n v="10"/>
    <n v="29"/>
    <n v="10"/>
    <n v="0.12784090909090909"/>
    <n v="0.11363636363636363"/>
    <n v="7.1022727272727279E-2"/>
    <n v="2.9829545454545456E-2"/>
    <n v="9.9431818181818177E-2"/>
  </r>
  <r>
    <x v="101"/>
    <n v="2"/>
    <n v="92"/>
    <n v="0"/>
    <n v="80"/>
    <n v="2"/>
    <n v="52"/>
    <n v="0"/>
    <n v="21"/>
    <x v="3"/>
    <x v="14"/>
    <n v="0.86956521739130432"/>
    <n v="0.40384615384615385"/>
    <n v="12"/>
    <n v="31"/>
    <n v="10"/>
    <n v="0.13068181818181818"/>
    <n v="0.11363636363636363"/>
    <n v="7.3863636363636367E-2"/>
    <n v="2.9829545454545456E-2"/>
    <n v="0.10227272727272727"/>
  </r>
  <r>
    <x v="102"/>
    <n v="2"/>
    <n v="94"/>
    <n v="6"/>
    <n v="86"/>
    <n v="2"/>
    <n v="54"/>
    <n v="0"/>
    <n v="21"/>
    <x v="3"/>
    <x v="14"/>
    <n v="0.91489361702127658"/>
    <n v="0.3888888888888889"/>
    <n v="8"/>
    <n v="33"/>
    <n v="10"/>
    <n v="0.13352272727272727"/>
    <n v="0.12215909090909091"/>
    <n v="7.6704545454545456E-2"/>
    <n v="2.9829545454545456E-2"/>
    <n v="0.10511363636363635"/>
  </r>
  <r>
    <x v="103"/>
    <n v="0"/>
    <n v="94"/>
    <n v="0"/>
    <n v="86"/>
    <n v="0"/>
    <n v="54"/>
    <n v="0"/>
    <n v="21"/>
    <x v="3"/>
    <x v="14"/>
    <n v="0.91489361702127658"/>
    <n v="0.3888888888888889"/>
    <n v="8"/>
    <n v="33"/>
    <n v="10"/>
    <n v="0.13352272727272727"/>
    <n v="0.12215909090909091"/>
    <n v="7.6704545454545456E-2"/>
    <n v="2.9829545454545456E-2"/>
    <n v="0.10511363636363635"/>
  </r>
  <r>
    <x v="104"/>
    <n v="0"/>
    <n v="94"/>
    <n v="0"/>
    <n v="86"/>
    <n v="0"/>
    <n v="54"/>
    <n v="0"/>
    <n v="21"/>
    <x v="3"/>
    <x v="15"/>
    <n v="0.91489361702127658"/>
    <n v="0.3888888888888889"/>
    <n v="8"/>
    <n v="33"/>
    <n v="0"/>
    <n v="0.13352272727272727"/>
    <n v="0.12215909090909091"/>
    <n v="7.6704545454545456E-2"/>
    <n v="2.9829545454545456E-2"/>
    <n v="0.10511363636363635"/>
  </r>
  <r>
    <x v="105"/>
    <n v="2"/>
    <n v="96"/>
    <n v="1"/>
    <n v="87"/>
    <n v="2"/>
    <n v="56"/>
    <n v="2"/>
    <n v="23"/>
    <x v="4"/>
    <x v="15"/>
    <n v="0.90625"/>
    <n v="0.4107142857142857"/>
    <n v="9"/>
    <n v="33"/>
    <n v="10"/>
    <n v="0.13636363636363635"/>
    <n v="0.12357954545454546"/>
    <n v="7.9545454545454544E-2"/>
    <n v="3.2670454545454544E-2"/>
    <n v="0.10795454545454544"/>
  </r>
  <r>
    <x v="106"/>
    <n v="2"/>
    <n v="98"/>
    <n v="0"/>
    <n v="87"/>
    <n v="0"/>
    <n v="56"/>
    <n v="0"/>
    <n v="23"/>
    <x v="4"/>
    <x v="15"/>
    <n v="0.88775510204081631"/>
    <n v="0.4107142857142857"/>
    <n v="11"/>
    <n v="33"/>
    <n v="10"/>
    <n v="0.13920454545454544"/>
    <n v="0.12357954545454546"/>
    <n v="7.9545454545454544E-2"/>
    <n v="3.2670454545454544E-2"/>
    <n v="0.109375"/>
  </r>
  <r>
    <x v="107"/>
    <n v="2"/>
    <n v="100"/>
    <n v="2"/>
    <n v="89"/>
    <n v="1"/>
    <n v="57"/>
    <n v="0"/>
    <n v="23"/>
    <x v="4"/>
    <x v="15"/>
    <n v="0.89"/>
    <n v="0.40350877192982454"/>
    <n v="11"/>
    <n v="34"/>
    <n v="10"/>
    <n v="0.14204545454545456"/>
    <n v="0.12642045454545456"/>
    <n v="8.0965909090909088E-2"/>
    <n v="3.2670454545454544E-2"/>
    <n v="0.11150568181818182"/>
  </r>
  <r>
    <x v="108"/>
    <n v="2"/>
    <n v="102"/>
    <n v="2"/>
    <n v="91"/>
    <n v="0"/>
    <n v="57"/>
    <n v="1"/>
    <n v="24"/>
    <x v="4"/>
    <x v="15"/>
    <n v="0.89215686274509809"/>
    <n v="0.42105263157894735"/>
    <n v="11"/>
    <n v="33"/>
    <n v="10"/>
    <n v="0.14488636363636365"/>
    <n v="0.12926136363636365"/>
    <n v="8.0965909090909088E-2"/>
    <n v="3.4090909090909088E-2"/>
    <n v="0.11292613636363637"/>
  </r>
  <r>
    <x v="109"/>
    <n v="2"/>
    <n v="104"/>
    <n v="1"/>
    <n v="92"/>
    <n v="0"/>
    <n v="57"/>
    <n v="2"/>
    <n v="26"/>
    <x v="4"/>
    <x v="15"/>
    <n v="0.88461538461538458"/>
    <n v="0.45614035087719296"/>
    <n v="12"/>
    <n v="31"/>
    <n v="10"/>
    <n v="0.14772727272727273"/>
    <n v="0.13068181818181818"/>
    <n v="8.0965909090909088E-2"/>
    <n v="3.6931818181818184E-2"/>
    <n v="0.11434659090909091"/>
  </r>
  <r>
    <x v="110"/>
    <n v="0"/>
    <n v="104"/>
    <n v="0"/>
    <n v="92"/>
    <n v="1"/>
    <n v="58"/>
    <n v="0"/>
    <n v="26"/>
    <x v="4"/>
    <x v="15"/>
    <n v="0.88461538461538458"/>
    <n v="0.44827586206896552"/>
    <n v="12"/>
    <n v="32"/>
    <n v="10"/>
    <n v="0.14772727272727273"/>
    <n v="0.13068181818181818"/>
    <n v="8.2386363636363633E-2"/>
    <n v="3.6931818181818184E-2"/>
    <n v="0.11505681818181818"/>
  </r>
  <r>
    <x v="111"/>
    <n v="0"/>
    <n v="104"/>
    <n v="0"/>
    <n v="92"/>
    <n v="1"/>
    <n v="59"/>
    <n v="0"/>
    <n v="26"/>
    <x v="4"/>
    <x v="16"/>
    <n v="0.88461538461538458"/>
    <n v="0.44067796610169491"/>
    <n v="12"/>
    <n v="33"/>
    <n v="10"/>
    <n v="0.14772727272727273"/>
    <n v="0.13068181818181818"/>
    <n v="8.3806818181818177E-2"/>
    <n v="3.6931818181818184E-2"/>
    <n v="0.11576704545454546"/>
  </r>
  <r>
    <x v="112"/>
    <n v="2"/>
    <n v="106"/>
    <n v="2"/>
    <n v="94"/>
    <n v="1"/>
    <n v="60"/>
    <n v="4"/>
    <n v="30"/>
    <x v="4"/>
    <x v="16"/>
    <n v="0.8867924528301887"/>
    <n v="0.5"/>
    <n v="12"/>
    <n v="30"/>
    <n v="10"/>
    <n v="0.15056818181818182"/>
    <n v="0.13352272727272727"/>
    <n v="8.5227272727272721E-2"/>
    <n v="4.261363636363636E-2"/>
    <n v="0.11789772727272727"/>
  </r>
  <r>
    <x v="113"/>
    <n v="2"/>
    <n v="108"/>
    <n v="0"/>
    <n v="94"/>
    <n v="1"/>
    <n v="61"/>
    <n v="2"/>
    <n v="32"/>
    <x v="4"/>
    <x v="16"/>
    <n v="0.87037037037037035"/>
    <n v="0.52459016393442626"/>
    <n v="14"/>
    <n v="29"/>
    <n v="10"/>
    <n v="0.15340909090909091"/>
    <n v="0.13352272727272727"/>
    <n v="8.6647727272727279E-2"/>
    <n v="4.5454545454545456E-2"/>
    <n v="0.12002840909090909"/>
  </r>
  <r>
    <x v="114"/>
    <n v="2"/>
    <n v="110"/>
    <n v="0"/>
    <n v="94"/>
    <n v="3"/>
    <n v="64"/>
    <n v="0"/>
    <n v="32"/>
    <x v="4"/>
    <x v="16"/>
    <n v="0.8545454545454545"/>
    <n v="0.5"/>
    <n v="16"/>
    <n v="32"/>
    <n v="10"/>
    <n v="0.15625"/>
    <n v="0.13352272727272727"/>
    <n v="9.0909090909090912E-2"/>
    <n v="4.5454545454545456E-2"/>
    <n v="0.12357954545454546"/>
  </r>
  <r>
    <x v="115"/>
    <n v="2"/>
    <n v="112"/>
    <n v="6"/>
    <n v="100"/>
    <n v="2"/>
    <n v="66"/>
    <n v="1"/>
    <n v="33"/>
    <x v="4"/>
    <x v="16"/>
    <n v="0.8928571428571429"/>
    <n v="0.5"/>
    <n v="12"/>
    <n v="33"/>
    <n v="10"/>
    <n v="0.15909090909090909"/>
    <n v="0.14204545454545456"/>
    <n v="9.375E-2"/>
    <n v="4.6875E-2"/>
    <n v="0.12642045454545453"/>
  </r>
  <r>
    <x v="116"/>
    <n v="2"/>
    <n v="114"/>
    <n v="0"/>
    <n v="100"/>
    <n v="2"/>
    <n v="68"/>
    <n v="5"/>
    <n v="38"/>
    <x v="4"/>
    <x v="16"/>
    <n v="0.8771929824561403"/>
    <n v="0.55882352941176472"/>
    <n v="14"/>
    <n v="30"/>
    <n v="10"/>
    <n v="0.16193181818181818"/>
    <n v="0.14204545454545456"/>
    <n v="9.6590909090909088E-2"/>
    <n v="5.3977272727272728E-2"/>
    <n v="0.12926136363636365"/>
  </r>
  <r>
    <x v="117"/>
    <n v="0"/>
    <n v="114"/>
    <n v="0"/>
    <n v="100"/>
    <n v="4"/>
    <n v="72"/>
    <n v="0"/>
    <n v="38"/>
    <x v="4"/>
    <x v="16"/>
    <n v="0.8771929824561403"/>
    <n v="0.52777777777777779"/>
    <n v="14"/>
    <n v="34"/>
    <n v="10"/>
    <n v="0.16193181818181818"/>
    <n v="0.14204545454545456"/>
    <n v="0.10227272727272728"/>
    <n v="5.3977272727272728E-2"/>
    <n v="0.13210227272727273"/>
  </r>
  <r>
    <x v="118"/>
    <n v="0"/>
    <n v="114"/>
    <n v="0"/>
    <n v="100"/>
    <n v="1"/>
    <n v="73"/>
    <n v="0"/>
    <n v="38"/>
    <x v="4"/>
    <x v="17"/>
    <n v="0.8771929824561403"/>
    <n v="0.52054794520547942"/>
    <n v="14"/>
    <n v="35"/>
    <n v="10"/>
    <n v="0.16193181818181818"/>
    <n v="0.14204545454545456"/>
    <n v="0.10369318181818182"/>
    <n v="5.3977272727272728E-2"/>
    <n v="0.1328125"/>
  </r>
  <r>
    <x v="119"/>
    <n v="2"/>
    <n v="116"/>
    <n v="1"/>
    <n v="101"/>
    <n v="1"/>
    <n v="74"/>
    <n v="0"/>
    <n v="38"/>
    <x v="4"/>
    <x v="17"/>
    <n v="0.87068965517241381"/>
    <n v="0.51351351351351349"/>
    <n v="15"/>
    <n v="36"/>
    <n v="10"/>
    <n v="0.16477272727272727"/>
    <n v="0.14346590909090909"/>
    <n v="0.10511363636363637"/>
    <n v="5.3977272727272728E-2"/>
    <n v="0.13494318181818182"/>
  </r>
  <r>
    <x v="120"/>
    <n v="2"/>
    <n v="118"/>
    <n v="0"/>
    <n v="101"/>
    <n v="1"/>
    <n v="75"/>
    <n v="0"/>
    <n v="38"/>
    <x v="4"/>
    <x v="17"/>
    <n v="0.85593220338983056"/>
    <n v="0.50666666666666671"/>
    <n v="17"/>
    <n v="37"/>
    <n v="10"/>
    <n v="0.16761363636363635"/>
    <n v="0.14346590909090909"/>
    <n v="0.10653409090909091"/>
    <n v="5.3977272727272728E-2"/>
    <n v="0.13707386363636365"/>
  </r>
  <r>
    <x v="121"/>
    <n v="2"/>
    <n v="120"/>
    <n v="0"/>
    <n v="101"/>
    <n v="2"/>
    <n v="77"/>
    <n v="0"/>
    <n v="38"/>
    <x v="4"/>
    <x v="17"/>
    <n v="0.84166666666666667"/>
    <n v="0.4935064935064935"/>
    <n v="19"/>
    <n v="39"/>
    <n v="10"/>
    <n v="0.17045454545454544"/>
    <n v="0.14346590909090909"/>
    <n v="0.109375"/>
    <n v="5.3977272727272728E-2"/>
    <n v="0.13991477272727271"/>
  </r>
  <r>
    <x v="122"/>
    <n v="2"/>
    <n v="122"/>
    <n v="0"/>
    <n v="101"/>
    <n v="1"/>
    <n v="78"/>
    <n v="0"/>
    <n v="38"/>
    <x v="4"/>
    <x v="17"/>
    <n v="0.82786885245901642"/>
    <n v="0.48717948717948717"/>
    <n v="21"/>
    <n v="40"/>
    <n v="10"/>
    <n v="0.17329545454545456"/>
    <n v="0.14346590909090909"/>
    <n v="0.11079545454545454"/>
    <n v="5.3977272727272728E-2"/>
    <n v="0.14204545454545456"/>
  </r>
  <r>
    <x v="123"/>
    <n v="2"/>
    <n v="124"/>
    <n v="0"/>
    <n v="101"/>
    <n v="1"/>
    <n v="79"/>
    <n v="0"/>
    <n v="38"/>
    <x v="4"/>
    <x v="17"/>
    <n v="0.81451612903225812"/>
    <n v="0.48101265822784811"/>
    <n v="23"/>
    <n v="41"/>
    <n v="10"/>
    <n v="0.17613636363636365"/>
    <n v="0.14346590909090909"/>
    <n v="0.11221590909090909"/>
    <n v="5.3977272727272728E-2"/>
    <n v="0.14417613636363635"/>
  </r>
  <r>
    <x v="124"/>
    <n v="0"/>
    <n v="124"/>
    <n v="0"/>
    <n v="101"/>
    <n v="2"/>
    <n v="81"/>
    <n v="0"/>
    <n v="38"/>
    <x v="4"/>
    <x v="17"/>
    <n v="0.81451612903225812"/>
    <n v="0.46913580246913578"/>
    <n v="23"/>
    <n v="43"/>
    <n v="10"/>
    <n v="0.17613636363636365"/>
    <n v="0.14346590909090909"/>
    <n v="0.11505681818181818"/>
    <n v="5.3977272727272728E-2"/>
    <n v="0.14559659090909091"/>
  </r>
  <r>
    <x v="125"/>
    <n v="0"/>
    <n v="124"/>
    <n v="0"/>
    <n v="101"/>
    <n v="1"/>
    <n v="82"/>
    <n v="0"/>
    <n v="38"/>
    <x v="4"/>
    <x v="18"/>
    <n v="0.81451612903225812"/>
    <n v="0.46341463414634149"/>
    <n v="23"/>
    <n v="44"/>
    <n v="11"/>
    <n v="0.17613636363636365"/>
    <n v="0.14346590909090909"/>
    <n v="0.11647727272727272"/>
    <n v="5.3977272727272728E-2"/>
    <n v="0.14630681818181818"/>
  </r>
  <r>
    <x v="126"/>
    <n v="2"/>
    <n v="126"/>
    <n v="0"/>
    <n v="101"/>
    <n v="1"/>
    <n v="83"/>
    <n v="0"/>
    <n v="38"/>
    <x v="4"/>
    <x v="18"/>
    <n v="0.80158730158730163"/>
    <n v="0.45783132530120479"/>
    <n v="25"/>
    <n v="45"/>
    <n v="11"/>
    <n v="0.17897727272727273"/>
    <n v="0.14346590909090909"/>
    <n v="0.11789772727272728"/>
    <n v="5.3977272727272728E-2"/>
    <n v="0.1484375"/>
  </r>
  <r>
    <x v="127"/>
    <n v="2"/>
    <n v="128"/>
    <n v="0"/>
    <n v="101"/>
    <n v="2"/>
    <n v="85"/>
    <n v="0"/>
    <n v="38"/>
    <x v="4"/>
    <x v="18"/>
    <n v="0.7890625"/>
    <n v="0.44705882352941179"/>
    <n v="27"/>
    <n v="47"/>
    <n v="11"/>
    <n v="0.18181818181818182"/>
    <n v="0.14346590909090909"/>
    <n v="0.12073863636363637"/>
    <n v="5.3977272727272728E-2"/>
    <n v="0.15127840909090909"/>
  </r>
  <r>
    <x v="128"/>
    <n v="2"/>
    <n v="130"/>
    <n v="0"/>
    <n v="101"/>
    <n v="2"/>
    <n v="87"/>
    <n v="0"/>
    <n v="38"/>
    <x v="4"/>
    <x v="18"/>
    <n v="0.77692307692307694"/>
    <n v="0.43678160919540232"/>
    <n v="29"/>
    <n v="49"/>
    <n v="11"/>
    <n v="0.18465909090909091"/>
    <n v="0.14346590909090909"/>
    <n v="0.12357954545454546"/>
    <n v="5.3977272727272728E-2"/>
    <n v="0.15411931818181818"/>
  </r>
  <r>
    <x v="129"/>
    <n v="3"/>
    <n v="133"/>
    <n v="0"/>
    <n v="101"/>
    <n v="1"/>
    <n v="88"/>
    <n v="0"/>
    <n v="38"/>
    <x v="4"/>
    <x v="18"/>
    <n v="0.75939849624060152"/>
    <n v="0.43181818181818182"/>
    <n v="32"/>
    <n v="50"/>
    <n v="11"/>
    <n v="0.18892045454545456"/>
    <n v="0.14346590909090909"/>
    <n v="0.125"/>
    <n v="5.3977272727272728E-2"/>
    <n v="0.15696022727272729"/>
  </r>
  <r>
    <x v="130"/>
    <n v="2"/>
    <n v="135"/>
    <n v="0"/>
    <n v="101"/>
    <n v="1"/>
    <n v="89"/>
    <n v="0"/>
    <n v="38"/>
    <x v="4"/>
    <x v="18"/>
    <n v="0.74814814814814812"/>
    <n v="0.42696629213483145"/>
    <n v="34"/>
    <n v="51"/>
    <n v="11"/>
    <n v="0.19176136363636365"/>
    <n v="0.14346590909090909"/>
    <n v="0.12642045454545456"/>
    <n v="5.3977272727272728E-2"/>
    <n v="0.15909090909090912"/>
  </r>
  <r>
    <x v="131"/>
    <n v="0"/>
    <n v="135"/>
    <n v="0"/>
    <n v="101"/>
    <n v="3"/>
    <n v="92"/>
    <n v="0"/>
    <n v="38"/>
    <x v="4"/>
    <x v="18"/>
    <n v="0.74814814814814812"/>
    <n v="0.41304347826086957"/>
    <n v="34"/>
    <n v="54"/>
    <n v="11"/>
    <n v="0.19176136363636365"/>
    <n v="0.14346590909090909"/>
    <n v="0.13068181818181818"/>
    <n v="5.3977272727272728E-2"/>
    <n v="0.16122159090909091"/>
  </r>
  <r>
    <x v="132"/>
    <n v="0"/>
    <n v="135"/>
    <n v="0"/>
    <n v="101"/>
    <n v="1"/>
    <n v="93"/>
    <n v="0"/>
    <n v="38"/>
    <x v="4"/>
    <x v="19"/>
    <n v="0.74814814814814812"/>
    <n v="0.40860215053763443"/>
    <n v="34"/>
    <n v="55"/>
    <n v="5"/>
    <n v="0.19176136363636365"/>
    <n v="0.14346590909090909"/>
    <n v="0.13210227272727273"/>
    <n v="5.3977272727272728E-2"/>
    <n v="0.16193181818181818"/>
  </r>
  <r>
    <x v="133"/>
    <n v="3"/>
    <n v="138"/>
    <n v="0"/>
    <n v="101"/>
    <n v="1"/>
    <n v="94"/>
    <n v="0"/>
    <n v="38"/>
    <x v="4"/>
    <x v="19"/>
    <n v="0.73188405797101452"/>
    <n v="0.40425531914893614"/>
    <n v="37"/>
    <n v="56"/>
    <n v="5"/>
    <n v="0.19602272727272727"/>
    <n v="0.14346590909090909"/>
    <n v="0.13352272727272727"/>
    <n v="5.3977272727272728E-2"/>
    <n v="0.16477272727272727"/>
  </r>
  <r>
    <x v="134"/>
    <n v="2"/>
    <n v="140"/>
    <n v="0"/>
    <n v="101"/>
    <n v="1"/>
    <n v="95"/>
    <n v="0"/>
    <n v="38"/>
    <x v="4"/>
    <x v="19"/>
    <n v="0.72142857142857142"/>
    <n v="0.4"/>
    <n v="39"/>
    <n v="57"/>
    <n v="5"/>
    <n v="0.19886363636363635"/>
    <n v="0.14346590909090909"/>
    <n v="0.13494318181818182"/>
    <n v="5.3977272727272728E-2"/>
    <n v="0.16690340909090909"/>
  </r>
  <r>
    <x v="135"/>
    <n v="3"/>
    <n v="143"/>
    <n v="0"/>
    <n v="101"/>
    <n v="1"/>
    <n v="96"/>
    <n v="0"/>
    <n v="38"/>
    <x v="5"/>
    <x v="19"/>
    <n v="0.70629370629370625"/>
    <n v="0.39583333333333331"/>
    <n v="42"/>
    <n v="58"/>
    <n v="8"/>
    <n v="0.203125"/>
    <n v="0.14346590909090909"/>
    <n v="0.13636363636363635"/>
    <n v="5.3977272727272728E-2"/>
    <n v="0.16974431818181818"/>
  </r>
  <r>
    <x v="136"/>
    <n v="2"/>
    <n v="145"/>
    <n v="0"/>
    <n v="101"/>
    <n v="2"/>
    <n v="98"/>
    <n v="0"/>
    <n v="38"/>
    <x v="5"/>
    <x v="19"/>
    <n v="0.69655172413793098"/>
    <n v="0.38775510204081631"/>
    <n v="44"/>
    <n v="60"/>
    <n v="8"/>
    <n v="0.20596590909090909"/>
    <n v="0.14346590909090909"/>
    <n v="0.13920454545454544"/>
    <n v="5.3977272727272728E-2"/>
    <n v="0.17258522727272727"/>
  </r>
  <r>
    <x v="137"/>
    <n v="3"/>
    <n v="148"/>
    <n v="0"/>
    <n v="101"/>
    <n v="2"/>
    <n v="100"/>
    <n v="0"/>
    <n v="38"/>
    <x v="5"/>
    <x v="19"/>
    <n v="0.68243243243243246"/>
    <n v="0.38"/>
    <n v="47"/>
    <n v="62"/>
    <n v="8"/>
    <n v="0.21022727272727273"/>
    <n v="0.14346590909090909"/>
    <n v="0.14204545454545456"/>
    <n v="5.3977272727272728E-2"/>
    <n v="0.17613636363636365"/>
  </r>
  <r>
    <x v="138"/>
    <n v="0"/>
    <n v="148"/>
    <n v="0"/>
    <n v="101"/>
    <n v="2"/>
    <n v="102"/>
    <n v="0"/>
    <n v="38"/>
    <x v="5"/>
    <x v="19"/>
    <n v="0.68243243243243246"/>
    <n v="0.37254901960784315"/>
    <n v="47"/>
    <n v="64"/>
    <n v="8"/>
    <n v="0.21022727272727273"/>
    <n v="0.14346590909090909"/>
    <n v="0.14488636363636365"/>
    <n v="5.3977272727272728E-2"/>
    <n v="0.17755681818181818"/>
  </r>
  <r>
    <x v="139"/>
    <n v="0"/>
    <n v="148"/>
    <n v="0"/>
    <n v="101"/>
    <n v="1"/>
    <n v="103"/>
    <n v="0"/>
    <n v="38"/>
    <x v="5"/>
    <x v="20"/>
    <n v="0.68243243243243246"/>
    <n v="0.36893203883495146"/>
    <n v="47"/>
    <n v="65"/>
    <n v="12"/>
    <n v="0.21022727272727273"/>
    <n v="0.14346590909090909"/>
    <n v="0.14630681818181818"/>
    <n v="5.3977272727272728E-2"/>
    <n v="0.17826704545454547"/>
  </r>
  <r>
    <x v="140"/>
    <n v="2"/>
    <n v="150"/>
    <n v="0"/>
    <n v="101"/>
    <n v="2"/>
    <n v="105"/>
    <n v="0"/>
    <n v="38"/>
    <x v="5"/>
    <x v="20"/>
    <n v="0.67333333333333334"/>
    <n v="0.3619047619047619"/>
    <n v="49"/>
    <n v="67"/>
    <n v="12"/>
    <n v="0.21306818181818182"/>
    <n v="0.14346590909090909"/>
    <n v="0.14914772727272727"/>
    <n v="5.3977272727272728E-2"/>
    <n v="0.18110795454545453"/>
  </r>
  <r>
    <x v="141"/>
    <n v="3"/>
    <n v="153"/>
    <n v="0"/>
    <n v="101"/>
    <n v="2"/>
    <n v="107"/>
    <n v="0"/>
    <n v="38"/>
    <x v="5"/>
    <x v="20"/>
    <n v="0.66013071895424835"/>
    <n v="0.35514018691588783"/>
    <n v="52"/>
    <n v="69"/>
    <n v="12"/>
    <n v="0.21732954545454544"/>
    <n v="0.14346590909090909"/>
    <n v="0.15198863636363635"/>
    <n v="5.3977272727272728E-2"/>
    <n v="0.18465909090909088"/>
  </r>
  <r>
    <x v="142"/>
    <n v="2"/>
    <n v="155"/>
    <n v="0"/>
    <n v="101"/>
    <n v="1"/>
    <n v="108"/>
    <n v="0"/>
    <n v="38"/>
    <x v="5"/>
    <x v="20"/>
    <n v="0.65161290322580645"/>
    <n v="0.35185185185185186"/>
    <n v="54"/>
    <n v="70"/>
    <n v="12"/>
    <n v="0.22017045454545456"/>
    <n v="0.14346590909090909"/>
    <n v="0.15340909090909091"/>
    <n v="5.3977272727272728E-2"/>
    <n v="0.18678977272727273"/>
  </r>
  <r>
    <x v="143"/>
    <n v="3"/>
    <n v="158"/>
    <n v="0"/>
    <n v="101"/>
    <n v="2"/>
    <n v="110"/>
    <n v="0"/>
    <n v="38"/>
    <x v="5"/>
    <x v="20"/>
    <n v="0.63924050632911389"/>
    <n v="0.34545454545454546"/>
    <n v="57"/>
    <n v="72"/>
    <n v="12"/>
    <n v="0.22443181818181818"/>
    <n v="0.14346590909090909"/>
    <n v="0.15625"/>
    <n v="5.3977272727272728E-2"/>
    <n v="0.19034090909090909"/>
  </r>
  <r>
    <x v="144"/>
    <n v="2"/>
    <n v="160"/>
    <n v="0"/>
    <n v="101"/>
    <n v="1"/>
    <n v="111"/>
    <n v="0"/>
    <n v="38"/>
    <x v="5"/>
    <x v="20"/>
    <n v="0.63124999999999998"/>
    <n v="0.34234234234234234"/>
    <n v="59"/>
    <n v="73"/>
    <n v="12"/>
    <n v="0.22727272727272727"/>
    <n v="0.14346590909090909"/>
    <n v="0.15767045454545456"/>
    <n v="5.3977272727272728E-2"/>
    <n v="0.19247159090909091"/>
  </r>
  <r>
    <x v="145"/>
    <n v="0"/>
    <n v="160"/>
    <n v="0"/>
    <n v="101"/>
    <n v="1"/>
    <n v="112"/>
    <n v="0"/>
    <n v="38"/>
    <x v="5"/>
    <x v="20"/>
    <n v="0.63124999999999998"/>
    <n v="0.3392857142857143"/>
    <n v="59"/>
    <n v="74"/>
    <n v="12"/>
    <n v="0.22727272727272727"/>
    <n v="0.14346590909090909"/>
    <n v="0.15909090909090909"/>
    <n v="5.3977272727272728E-2"/>
    <n v="0.19318181818181818"/>
  </r>
  <r>
    <x v="146"/>
    <n v="0"/>
    <n v="160"/>
    <n v="0"/>
    <n v="101"/>
    <n v="2"/>
    <n v="114"/>
    <n v="0"/>
    <n v="38"/>
    <x v="5"/>
    <x v="21"/>
    <n v="0.63124999999999998"/>
    <n v="0.33333333333333331"/>
    <n v="59"/>
    <n v="76"/>
    <n v="13"/>
    <n v="0.22727272727272727"/>
    <n v="0.14346590909090909"/>
    <n v="0.16193181818181818"/>
    <n v="5.3977272727272728E-2"/>
    <n v="0.19460227272727271"/>
  </r>
  <r>
    <x v="147"/>
    <n v="3"/>
    <n v="163"/>
    <n v="0"/>
    <n v="101"/>
    <n v="2"/>
    <n v="116"/>
    <n v="0"/>
    <n v="38"/>
    <x v="5"/>
    <x v="21"/>
    <n v="0.61963190184049077"/>
    <n v="0.32758620689655171"/>
    <n v="62"/>
    <n v="78"/>
    <n v="13"/>
    <n v="0.23153409090909091"/>
    <n v="0.14346590909090909"/>
    <n v="0.16477272727272727"/>
    <n v="5.3977272727272728E-2"/>
    <n v="0.19815340909090909"/>
  </r>
  <r>
    <x v="148"/>
    <n v="2"/>
    <n v="165"/>
    <n v="0"/>
    <n v="101"/>
    <n v="1"/>
    <n v="117"/>
    <n v="0"/>
    <n v="38"/>
    <x v="5"/>
    <x v="21"/>
    <n v="0.61212121212121207"/>
    <n v="0.3247863247863248"/>
    <n v="64"/>
    <n v="79"/>
    <n v="13"/>
    <n v="0.234375"/>
    <n v="0.14346590909090909"/>
    <n v="0.16619318181818182"/>
    <n v="5.3977272727272728E-2"/>
    <n v="0.20028409090909091"/>
  </r>
  <r>
    <x v="149"/>
    <n v="3"/>
    <n v="168"/>
    <n v="0"/>
    <n v="101"/>
    <n v="1"/>
    <n v="118"/>
    <n v="0"/>
    <n v="38"/>
    <x v="5"/>
    <x v="21"/>
    <n v="0.60119047619047616"/>
    <n v="0.32203389830508472"/>
    <n v="67"/>
    <n v="80"/>
    <n v="13"/>
    <n v="0.23863636363636365"/>
    <n v="0.14346590909090909"/>
    <n v="0.16761363636363635"/>
    <n v="5.3977272727272728E-2"/>
    <n v="0.203125"/>
  </r>
  <r>
    <x v="150"/>
    <n v="2"/>
    <n v="170"/>
    <n v="0"/>
    <n v="101"/>
    <n v="3"/>
    <n v="121"/>
    <n v="0"/>
    <n v="38"/>
    <x v="5"/>
    <x v="21"/>
    <n v="0.59411764705882353"/>
    <n v="0.31404958677685951"/>
    <n v="69"/>
    <n v="83"/>
    <n v="13"/>
    <n v="0.24147727272727273"/>
    <n v="0.14346590909090909"/>
    <n v="0.171875"/>
    <n v="5.3977272727272728E-2"/>
    <n v="0.20667613636363635"/>
  </r>
  <r>
    <x v="151"/>
    <n v="3"/>
    <n v="173"/>
    <n v="0"/>
    <n v="101"/>
    <n v="3"/>
    <n v="124"/>
    <n v="0"/>
    <n v="38"/>
    <x v="5"/>
    <x v="21"/>
    <n v="0.58381502890173409"/>
    <n v="0.30645161290322581"/>
    <n v="72"/>
    <n v="86"/>
    <n v="13"/>
    <n v="0.24573863636363635"/>
    <n v="0.14346590909090909"/>
    <n v="0.17613636363636365"/>
    <n v="5.3977272727272728E-2"/>
    <n v="0.2109375"/>
  </r>
  <r>
    <x v="152"/>
    <n v="0"/>
    <n v="173"/>
    <n v="0"/>
    <n v="101"/>
    <n v="0"/>
    <n v="124"/>
    <n v="0"/>
    <n v="38"/>
    <x v="5"/>
    <x v="21"/>
    <n v="0.58381502890173409"/>
    <n v="0.30645161290322581"/>
    <n v="72"/>
    <n v="86"/>
    <n v="13"/>
    <n v="0.24573863636363635"/>
    <n v="0.14346590909090909"/>
    <n v="0.17613636363636365"/>
    <n v="5.3977272727272728E-2"/>
    <n v="0.2109375"/>
  </r>
  <r>
    <x v="153"/>
    <n v="0"/>
    <n v="173"/>
    <n v="0"/>
    <n v="101"/>
    <n v="1"/>
    <n v="125"/>
    <n v="0"/>
    <n v="38"/>
    <x v="5"/>
    <x v="22"/>
    <n v="0.58381502890173409"/>
    <n v="0.30399999999999999"/>
    <n v="72"/>
    <n v="87"/>
    <n v="12"/>
    <n v="0.24573863636363635"/>
    <n v="0.14346590909090909"/>
    <n v="0.17755681818181818"/>
    <n v="5.3977272727272728E-2"/>
    <n v="0.21164772727272727"/>
  </r>
  <r>
    <x v="154"/>
    <n v="2"/>
    <n v="175"/>
    <n v="0"/>
    <n v="101"/>
    <n v="1"/>
    <n v="126"/>
    <n v="0"/>
    <n v="38"/>
    <x v="5"/>
    <x v="22"/>
    <n v="0.57714285714285718"/>
    <n v="0.30158730158730157"/>
    <n v="74"/>
    <n v="88"/>
    <n v="12"/>
    <n v="0.24857954545454544"/>
    <n v="0.14346590909090909"/>
    <n v="0.17897727272727273"/>
    <n v="5.3977272727272728E-2"/>
    <n v="0.21377840909090909"/>
  </r>
  <r>
    <x v="155"/>
    <n v="3"/>
    <n v="178"/>
    <n v="0"/>
    <n v="101"/>
    <n v="3"/>
    <n v="129"/>
    <n v="0"/>
    <n v="38"/>
    <x v="5"/>
    <x v="22"/>
    <n v="0.56741573033707871"/>
    <n v="0.29457364341085274"/>
    <n v="77"/>
    <n v="91"/>
    <n v="12"/>
    <n v="0.25284090909090912"/>
    <n v="0.14346590909090909"/>
    <n v="0.18323863636363635"/>
    <n v="5.3977272727272728E-2"/>
    <n v="0.21803977272727273"/>
  </r>
  <r>
    <x v="156"/>
    <n v="2"/>
    <n v="180"/>
    <n v="0"/>
    <n v="101"/>
    <n v="2"/>
    <n v="131"/>
    <n v="0"/>
    <n v="38"/>
    <x v="5"/>
    <x v="22"/>
    <n v="0.56111111111111112"/>
    <n v="0.29007633587786258"/>
    <n v="79"/>
    <n v="93"/>
    <n v="12"/>
    <n v="0.25568181818181818"/>
    <n v="0.14346590909090909"/>
    <n v="0.18607954545454544"/>
    <n v="5.3977272727272728E-2"/>
    <n v="0.22088068181818182"/>
  </r>
  <r>
    <x v="157"/>
    <n v="3"/>
    <n v="183"/>
    <n v="0"/>
    <n v="101"/>
    <n v="2"/>
    <n v="133"/>
    <n v="0"/>
    <n v="38"/>
    <x v="5"/>
    <x v="22"/>
    <n v="0.55191256830601088"/>
    <n v="0.2857142857142857"/>
    <n v="82"/>
    <n v="95"/>
    <n v="12"/>
    <n v="0.25994318181818182"/>
    <n v="0.14346590909090909"/>
    <n v="0.18892045454545456"/>
    <n v="5.3977272727272728E-2"/>
    <n v="0.22443181818181818"/>
  </r>
  <r>
    <x v="158"/>
    <n v="2"/>
    <n v="185"/>
    <n v="0"/>
    <n v="101"/>
    <n v="2"/>
    <n v="135"/>
    <n v="0"/>
    <n v="38"/>
    <x v="5"/>
    <x v="22"/>
    <n v="0.54594594594594592"/>
    <n v="0.2814814814814815"/>
    <n v="84"/>
    <n v="97"/>
    <n v="12"/>
    <n v="0.26278409090909088"/>
    <n v="0.14346590909090909"/>
    <n v="0.19176136363636365"/>
    <n v="5.3977272727272728E-2"/>
    <n v="0.22727272727272727"/>
  </r>
  <r>
    <x v="159"/>
    <n v="0"/>
    <n v="185"/>
    <n v="0"/>
    <n v="101"/>
    <n v="1"/>
    <n v="136"/>
    <n v="0"/>
    <n v="38"/>
    <x v="5"/>
    <x v="22"/>
    <n v="0.54594594594594592"/>
    <n v="0.27941176470588236"/>
    <n v="84"/>
    <n v="98"/>
    <n v="12"/>
    <n v="0.26278409090909088"/>
    <n v="0.14346590909090909"/>
    <n v="0.19318181818181818"/>
    <n v="5.3977272727272728E-2"/>
    <n v="0.22798295454545453"/>
  </r>
  <r>
    <x v="160"/>
    <n v="0"/>
    <n v="185"/>
    <n v="0"/>
    <n v="101"/>
    <n v="2"/>
    <n v="138"/>
    <n v="0"/>
    <n v="38"/>
    <x v="5"/>
    <x v="23"/>
    <n v="0.54594594594594592"/>
    <n v="0.27536231884057971"/>
    <n v="84"/>
    <n v="100"/>
    <n v="13"/>
    <n v="0.26278409090909088"/>
    <n v="0.14346590909090909"/>
    <n v="0.19602272727272727"/>
    <n v="5.3977272727272728E-2"/>
    <n v="0.22940340909090906"/>
  </r>
  <r>
    <x v="161"/>
    <n v="3"/>
    <n v="188"/>
    <n v="0"/>
    <n v="101"/>
    <n v="2"/>
    <n v="140"/>
    <n v="0"/>
    <n v="38"/>
    <x v="5"/>
    <x v="23"/>
    <n v="0.53723404255319152"/>
    <n v="0.27142857142857141"/>
    <n v="87"/>
    <n v="102"/>
    <n v="13"/>
    <n v="0.26704545454545453"/>
    <n v="0.14346590909090909"/>
    <n v="0.19886363636363635"/>
    <n v="5.3977272727272728E-2"/>
    <n v="0.23295454545454544"/>
  </r>
  <r>
    <x v="162"/>
    <n v="2"/>
    <n v="190"/>
    <n v="0"/>
    <n v="101"/>
    <n v="3"/>
    <n v="143"/>
    <n v="0"/>
    <n v="38"/>
    <x v="5"/>
    <x v="23"/>
    <n v="0.53157894736842104"/>
    <n v="0.26573426573426573"/>
    <n v="89"/>
    <n v="105"/>
    <n v="13"/>
    <n v="0.26988636363636365"/>
    <n v="0.14346590909090909"/>
    <n v="0.203125"/>
    <n v="5.3977272727272728E-2"/>
    <n v="0.23650568181818182"/>
  </r>
  <r>
    <x v="163"/>
    <n v="3"/>
    <n v="193"/>
    <n v="0"/>
    <n v="101"/>
    <n v="2"/>
    <n v="145"/>
    <n v="0"/>
    <n v="38"/>
    <x v="5"/>
    <x v="23"/>
    <n v="0.52331606217616577"/>
    <n v="0.2620689655172414"/>
    <n v="92"/>
    <n v="107"/>
    <n v="13"/>
    <n v="0.27414772727272729"/>
    <n v="0.14346590909090909"/>
    <n v="0.20596590909090909"/>
    <n v="5.3977272727272728E-2"/>
    <n v="0.24005681818181818"/>
  </r>
  <r>
    <x v="164"/>
    <n v="2"/>
    <n v="195"/>
    <n v="0"/>
    <n v="101"/>
    <n v="0"/>
    <n v="145"/>
    <n v="0"/>
    <n v="38"/>
    <x v="5"/>
    <x v="23"/>
    <n v="0.517948717948718"/>
    <n v="0.2620689655172414"/>
    <n v="94"/>
    <n v="107"/>
    <n v="13"/>
    <n v="0.27698863636363635"/>
    <n v="0.14346590909090909"/>
    <n v="0.20596590909090909"/>
    <n v="5.3977272727272728E-2"/>
    <n v="0.24147727272727271"/>
  </r>
  <r>
    <x v="165"/>
    <n v="3"/>
    <n v="198"/>
    <n v="0"/>
    <n v="101"/>
    <n v="3"/>
    <n v="148"/>
    <n v="0"/>
    <n v="38"/>
    <x v="5"/>
    <x v="23"/>
    <n v="0.51010101010101006"/>
    <n v="0.25675675675675674"/>
    <n v="97"/>
    <n v="110"/>
    <n v="13"/>
    <n v="0.28125"/>
    <n v="0.14346590909090909"/>
    <n v="0.21022727272727273"/>
    <n v="5.3977272727272728E-2"/>
    <n v="0.24573863636363635"/>
  </r>
  <r>
    <x v="166"/>
    <n v="0"/>
    <n v="198"/>
    <n v="0"/>
    <n v="101"/>
    <n v="2"/>
    <n v="150"/>
    <n v="0"/>
    <n v="38"/>
    <x v="6"/>
    <x v="23"/>
    <n v="0.51010101010101006"/>
    <n v="0.25333333333333335"/>
    <n v="97"/>
    <n v="112"/>
    <n v="0"/>
    <n v="0.28125"/>
    <n v="0.14346590909090909"/>
    <n v="0.21306818181818182"/>
    <n v="5.3977272727272728E-2"/>
    <n v="0.24715909090909091"/>
  </r>
  <r>
    <x v="167"/>
    <n v="0"/>
    <n v="198"/>
    <n v="0"/>
    <n v="101"/>
    <n v="3"/>
    <n v="153"/>
    <n v="0"/>
    <n v="38"/>
    <x v="6"/>
    <x v="24"/>
    <n v="0.51010101010101006"/>
    <n v="0.24836601307189543"/>
    <n v="97"/>
    <n v="115"/>
    <n v="12"/>
    <n v="0.28125"/>
    <n v="0.14346590909090909"/>
    <n v="0.21732954545454544"/>
    <n v="5.3977272727272728E-2"/>
    <n v="0.24928977272727271"/>
  </r>
  <r>
    <x v="168"/>
    <n v="2"/>
    <n v="200"/>
    <n v="0"/>
    <n v="101"/>
    <n v="2"/>
    <n v="155"/>
    <n v="0"/>
    <n v="38"/>
    <x v="6"/>
    <x v="24"/>
    <n v="0.505"/>
    <n v="0.24516129032258063"/>
    <n v="99"/>
    <n v="117"/>
    <n v="12"/>
    <n v="0.28409090909090912"/>
    <n v="0.14346590909090909"/>
    <n v="0.22017045454545456"/>
    <n v="5.3977272727272728E-2"/>
    <n v="0.25213068181818182"/>
  </r>
  <r>
    <x v="169"/>
    <n v="3"/>
    <n v="203"/>
    <n v="0"/>
    <n v="101"/>
    <n v="3"/>
    <n v="158"/>
    <n v="0"/>
    <n v="38"/>
    <x v="6"/>
    <x v="24"/>
    <n v="0.49753694581280788"/>
    <n v="0.24050632911392406"/>
    <n v="102"/>
    <n v="120"/>
    <n v="12"/>
    <n v="0.28835227272727271"/>
    <n v="0.14346590909090909"/>
    <n v="0.22443181818181818"/>
    <n v="5.3977272727272728E-2"/>
    <n v="0.25639204545454541"/>
  </r>
  <r>
    <x v="170"/>
    <n v="2"/>
    <n v="205"/>
    <n v="0"/>
    <n v="101"/>
    <n v="1"/>
    <n v="159"/>
    <n v="0"/>
    <n v="38"/>
    <x v="6"/>
    <x v="24"/>
    <n v="0.49268292682926829"/>
    <n v="0.2389937106918239"/>
    <n v="104"/>
    <n v="121"/>
    <n v="12"/>
    <n v="0.29119318181818182"/>
    <n v="0.14346590909090909"/>
    <n v="0.22585227272727273"/>
    <n v="5.3977272727272728E-2"/>
    <n v="0.25852272727272729"/>
  </r>
  <r>
    <x v="171"/>
    <n v="3"/>
    <n v="208"/>
    <n v="0"/>
    <n v="101"/>
    <n v="2"/>
    <n v="161"/>
    <n v="0"/>
    <n v="38"/>
    <x v="6"/>
    <x v="24"/>
    <n v="0.48557692307692307"/>
    <n v="0.2360248447204969"/>
    <n v="107"/>
    <n v="123"/>
    <n v="12"/>
    <n v="0.29545454545454547"/>
    <n v="0.14346590909090909"/>
    <n v="0.22869318181818182"/>
    <n v="5.3977272727272728E-2"/>
    <n v="0.26207386363636365"/>
  </r>
  <r>
    <x v="172"/>
    <n v="2"/>
    <n v="210"/>
    <n v="0"/>
    <n v="101"/>
    <n v="1"/>
    <n v="162"/>
    <n v="0"/>
    <n v="38"/>
    <x v="6"/>
    <x v="24"/>
    <n v="0.48095238095238096"/>
    <n v="0.23456790123456789"/>
    <n v="109"/>
    <n v="124"/>
    <n v="12"/>
    <n v="0.29829545454545453"/>
    <n v="0.14346590909090909"/>
    <n v="0.23011363636363635"/>
    <n v="5.3977272727272728E-2"/>
    <n v="0.26420454545454541"/>
  </r>
  <r>
    <x v="173"/>
    <n v="0"/>
    <n v="210"/>
    <n v="0"/>
    <n v="101"/>
    <n v="1"/>
    <n v="163"/>
    <n v="0"/>
    <n v="38"/>
    <x v="6"/>
    <x v="24"/>
    <n v="0.48095238095238096"/>
    <n v="0.23312883435582821"/>
    <n v="109"/>
    <n v="125"/>
    <n v="12"/>
    <n v="0.29829545454545453"/>
    <n v="0.14346590909090909"/>
    <n v="0.23153409090909091"/>
    <n v="5.3977272727272728E-2"/>
    <n v="0.26491477272727271"/>
  </r>
  <r>
    <x v="174"/>
    <n v="0"/>
    <n v="210"/>
    <n v="0"/>
    <n v="101"/>
    <n v="2"/>
    <n v="165"/>
    <n v="0"/>
    <n v="38"/>
    <x v="6"/>
    <x v="25"/>
    <n v="0.48095238095238096"/>
    <n v="0.23030303030303031"/>
    <n v="109"/>
    <n v="127"/>
    <n v="13"/>
    <n v="0.29829545454545453"/>
    <n v="0.14346590909090909"/>
    <n v="0.234375"/>
    <n v="5.3977272727272728E-2"/>
    <n v="0.26633522727272729"/>
  </r>
  <r>
    <x v="175"/>
    <n v="3"/>
    <n v="213"/>
    <n v="0"/>
    <n v="101"/>
    <n v="3"/>
    <n v="168"/>
    <n v="0"/>
    <n v="38"/>
    <x v="6"/>
    <x v="25"/>
    <n v="0.47417840375586856"/>
    <n v="0.22619047619047619"/>
    <n v="112"/>
    <n v="130"/>
    <n v="13"/>
    <n v="0.30255681818181818"/>
    <n v="0.14346590909090909"/>
    <n v="0.23863636363636365"/>
    <n v="5.3977272727272728E-2"/>
    <n v="0.27059659090909094"/>
  </r>
  <r>
    <x v="176"/>
    <n v="2"/>
    <n v="215"/>
    <n v="0"/>
    <n v="101"/>
    <n v="2"/>
    <n v="170"/>
    <n v="0"/>
    <n v="38"/>
    <x v="6"/>
    <x v="25"/>
    <n v="0.4697674418604651"/>
    <n v="0.22352941176470589"/>
    <n v="114"/>
    <n v="132"/>
    <n v="13"/>
    <n v="0.30539772727272729"/>
    <n v="0.14346590909090909"/>
    <n v="0.24147727272727273"/>
    <n v="5.3977272727272728E-2"/>
    <n v="0.2734375"/>
  </r>
  <r>
    <x v="177"/>
    <n v="3"/>
    <n v="218"/>
    <n v="0"/>
    <n v="101"/>
    <n v="3"/>
    <n v="173"/>
    <n v="0"/>
    <n v="38"/>
    <x v="6"/>
    <x v="25"/>
    <n v="0.46330275229357798"/>
    <n v="0.21965317919075145"/>
    <n v="117"/>
    <n v="135"/>
    <n v="13"/>
    <n v="0.30965909090909088"/>
    <n v="0.14346590909090909"/>
    <n v="0.24573863636363635"/>
    <n v="5.3977272727272728E-2"/>
    <n v="0.27769886363636365"/>
  </r>
  <r>
    <x v="178"/>
    <n v="2"/>
    <n v="220"/>
    <n v="0"/>
    <n v="101"/>
    <n v="2"/>
    <n v="175"/>
    <n v="0"/>
    <n v="38"/>
    <x v="6"/>
    <x v="25"/>
    <n v="0.45909090909090911"/>
    <n v="0.21714285714285714"/>
    <n v="119"/>
    <n v="137"/>
    <n v="13"/>
    <n v="0.3125"/>
    <n v="0.14346590909090909"/>
    <n v="0.24857954545454544"/>
    <n v="5.3977272727272728E-2"/>
    <n v="0.28053977272727271"/>
  </r>
  <r>
    <x v="179"/>
    <n v="3"/>
    <n v="223"/>
    <n v="0"/>
    <n v="101"/>
    <n v="2"/>
    <n v="177"/>
    <n v="0"/>
    <n v="38"/>
    <x v="6"/>
    <x v="25"/>
    <n v="0.452914798206278"/>
    <n v="0.21468926553672316"/>
    <n v="122"/>
    <n v="139"/>
    <n v="13"/>
    <n v="0.31676136363636365"/>
    <n v="0.14346590909090909"/>
    <n v="0.25142045454545453"/>
    <n v="5.3977272727272728E-2"/>
    <n v="0.28409090909090906"/>
  </r>
  <r>
    <x v="180"/>
    <n v="0"/>
    <n v="223"/>
    <n v="0"/>
    <n v="101"/>
    <n v="1"/>
    <n v="178"/>
    <n v="0"/>
    <n v="38"/>
    <x v="6"/>
    <x v="25"/>
    <n v="0.452914798206278"/>
    <n v="0.21348314606741572"/>
    <n v="122"/>
    <n v="140"/>
    <n v="13"/>
    <n v="0.31676136363636365"/>
    <n v="0.14346590909090909"/>
    <n v="0.25284090909090912"/>
    <n v="5.3977272727272728E-2"/>
    <n v="0.28480113636363635"/>
  </r>
  <r>
    <x v="181"/>
    <n v="0"/>
    <n v="223"/>
    <n v="0"/>
    <n v="101"/>
    <n v="2"/>
    <n v="180"/>
    <n v="0"/>
    <n v="38"/>
    <x v="6"/>
    <x v="26"/>
    <n v="0.452914798206278"/>
    <n v="0.21111111111111111"/>
    <n v="122"/>
    <n v="142"/>
    <n v="12"/>
    <n v="0.31676136363636365"/>
    <n v="0.14346590909090909"/>
    <n v="0.25568181818181818"/>
    <n v="5.3977272727272728E-2"/>
    <n v="0.28622159090909094"/>
  </r>
  <r>
    <x v="182"/>
    <n v="2"/>
    <n v="225"/>
    <n v="0"/>
    <n v="101"/>
    <n v="1"/>
    <n v="181"/>
    <n v="0"/>
    <n v="38"/>
    <x v="6"/>
    <x v="26"/>
    <n v="0.44888888888888889"/>
    <n v="0.20994475138121546"/>
    <n v="124"/>
    <n v="143"/>
    <n v="12"/>
    <n v="0.31960227272727271"/>
    <n v="0.14346590909090909"/>
    <n v="0.25710227272727271"/>
    <n v="5.3977272727272728E-2"/>
    <n v="0.28835227272727271"/>
  </r>
  <r>
    <x v="183"/>
    <n v="3"/>
    <n v="228"/>
    <n v="0"/>
    <n v="101"/>
    <n v="2"/>
    <n v="183"/>
    <n v="0"/>
    <n v="38"/>
    <x v="6"/>
    <x v="26"/>
    <n v="0.44298245614035087"/>
    <n v="0.20765027322404372"/>
    <n v="127"/>
    <n v="145"/>
    <n v="12"/>
    <n v="0.32386363636363635"/>
    <n v="0.14346590909090909"/>
    <n v="0.25994318181818182"/>
    <n v="5.3977272727272728E-2"/>
    <n v="0.29190340909090906"/>
  </r>
  <r>
    <x v="184"/>
    <n v="2"/>
    <n v="230"/>
    <n v="0"/>
    <n v="101"/>
    <n v="2"/>
    <n v="185"/>
    <n v="0"/>
    <n v="38"/>
    <x v="6"/>
    <x v="26"/>
    <n v="0.43913043478260871"/>
    <n v="0.20540540540540542"/>
    <n v="129"/>
    <n v="147"/>
    <n v="12"/>
    <n v="0.32670454545454547"/>
    <n v="0.14346590909090909"/>
    <n v="0.26278409090909088"/>
    <n v="5.3977272727272728E-2"/>
    <n v="0.29474431818181818"/>
  </r>
  <r>
    <x v="185"/>
    <n v="3"/>
    <n v="233"/>
    <n v="0"/>
    <n v="101"/>
    <n v="3"/>
    <n v="188"/>
    <n v="0"/>
    <n v="38"/>
    <x v="6"/>
    <x v="26"/>
    <n v="0.4334763948497854"/>
    <n v="0.20212765957446807"/>
    <n v="132"/>
    <n v="150"/>
    <n v="12"/>
    <n v="0.33096590909090912"/>
    <n v="0.14346590909090909"/>
    <n v="0.26704545454545453"/>
    <n v="5.3977272727272728E-2"/>
    <n v="0.29900568181818182"/>
  </r>
  <r>
    <x v="186"/>
    <n v="2"/>
    <n v="235"/>
    <n v="0"/>
    <n v="101"/>
    <n v="1"/>
    <n v="189"/>
    <n v="0"/>
    <n v="38"/>
    <x v="6"/>
    <x v="26"/>
    <n v="0.4297872340425532"/>
    <n v="0.20105820105820105"/>
    <n v="134"/>
    <n v="151"/>
    <n v="12"/>
    <n v="0.33380681818181818"/>
    <n v="0.14346590909090909"/>
    <n v="0.26846590909090912"/>
    <n v="5.3977272727272728E-2"/>
    <n v="0.30113636363636365"/>
  </r>
  <r>
    <x v="187"/>
    <n v="0"/>
    <n v="235"/>
    <n v="0"/>
    <n v="101"/>
    <n v="2"/>
    <n v="191"/>
    <n v="0"/>
    <n v="38"/>
    <x v="6"/>
    <x v="26"/>
    <n v="0.4297872340425532"/>
    <n v="0.19895287958115182"/>
    <n v="134"/>
    <n v="153"/>
    <n v="12"/>
    <n v="0.33380681818181818"/>
    <n v="0.14346590909090909"/>
    <n v="0.27130681818181818"/>
    <n v="5.3977272727272728E-2"/>
    <n v="0.30255681818181818"/>
  </r>
  <r>
    <x v="188"/>
    <n v="0"/>
    <n v="235"/>
    <n v="0"/>
    <n v="101"/>
    <n v="1"/>
    <n v="192"/>
    <n v="0"/>
    <n v="38"/>
    <x v="6"/>
    <x v="27"/>
    <n v="0.4297872340425532"/>
    <n v="0.19791666666666666"/>
    <n v="134"/>
    <n v="154"/>
    <n v="13"/>
    <n v="0.33380681818181818"/>
    <n v="0.14346590909090909"/>
    <n v="0.27272727272727271"/>
    <n v="5.3977272727272728E-2"/>
    <n v="0.30326704545454541"/>
  </r>
  <r>
    <x v="189"/>
    <n v="3"/>
    <n v="238"/>
    <n v="0"/>
    <n v="101"/>
    <n v="1"/>
    <n v="193"/>
    <n v="0"/>
    <n v="38"/>
    <x v="6"/>
    <x v="27"/>
    <n v="0.42436974789915966"/>
    <n v="0.19689119170984457"/>
    <n v="137"/>
    <n v="155"/>
    <n v="13"/>
    <n v="0.33806818181818182"/>
    <n v="0.14346590909090909"/>
    <n v="0.27414772727272729"/>
    <n v="5.3977272727272728E-2"/>
    <n v="0.30610795454545459"/>
  </r>
  <r>
    <x v="190"/>
    <n v="2"/>
    <n v="240"/>
    <n v="0"/>
    <n v="101"/>
    <n v="2"/>
    <n v="195"/>
    <n v="0"/>
    <n v="38"/>
    <x v="6"/>
    <x v="27"/>
    <n v="0.42083333333333334"/>
    <n v="0.19487179487179487"/>
    <n v="139"/>
    <n v="157"/>
    <n v="13"/>
    <n v="0.34090909090909088"/>
    <n v="0.14346590909090909"/>
    <n v="0.27698863636363635"/>
    <n v="5.3977272727272728E-2"/>
    <n v="0.30894886363636365"/>
  </r>
  <r>
    <x v="191"/>
    <n v="3"/>
    <n v="243"/>
    <n v="0"/>
    <n v="101"/>
    <n v="3"/>
    <n v="198"/>
    <n v="0"/>
    <n v="38"/>
    <x v="6"/>
    <x v="27"/>
    <n v="0.41563786008230452"/>
    <n v="0.19191919191919191"/>
    <n v="142"/>
    <n v="160"/>
    <n v="13"/>
    <n v="0.34517045454545453"/>
    <n v="0.14346590909090909"/>
    <n v="0.28125"/>
    <n v="5.3977272727272728E-2"/>
    <n v="0.31321022727272729"/>
  </r>
  <r>
    <x v="192"/>
    <n v="2"/>
    <n v="245"/>
    <n v="0"/>
    <n v="101"/>
    <n v="2"/>
    <n v="200"/>
    <n v="0"/>
    <n v="38"/>
    <x v="6"/>
    <x v="27"/>
    <n v="0.41224489795918368"/>
    <n v="0.19"/>
    <n v="144"/>
    <n v="162"/>
    <n v="13"/>
    <n v="0.34801136363636365"/>
    <n v="0.14346590909090909"/>
    <n v="0.28409090909090912"/>
    <n v="5.3977272727272728E-2"/>
    <n v="0.31605113636363635"/>
  </r>
  <r>
    <x v="193"/>
    <n v="3"/>
    <n v="248"/>
    <n v="0"/>
    <n v="101"/>
    <n v="1"/>
    <n v="201"/>
    <n v="0"/>
    <n v="38"/>
    <x v="6"/>
    <x v="27"/>
    <n v="0.40725806451612906"/>
    <n v="0.1890547263681592"/>
    <n v="147"/>
    <n v="163"/>
    <n v="13"/>
    <n v="0.35227272727272729"/>
    <n v="0.14346590909090909"/>
    <n v="0.28551136363636365"/>
    <n v="5.3977272727272728E-2"/>
    <n v="0.31889204545454547"/>
  </r>
  <r>
    <x v="194"/>
    <n v="0"/>
    <n v="248"/>
    <n v="0"/>
    <n v="101"/>
    <n v="2"/>
    <n v="203"/>
    <n v="0"/>
    <n v="38"/>
    <x v="6"/>
    <x v="27"/>
    <n v="0.40725806451612906"/>
    <n v="0.18719211822660098"/>
    <n v="147"/>
    <n v="165"/>
    <n v="13"/>
    <n v="0.35227272727272729"/>
    <n v="0.14346590909090909"/>
    <n v="0.28835227272727271"/>
    <n v="5.3977272727272728E-2"/>
    <n v="0.3203125"/>
  </r>
  <r>
    <x v="195"/>
    <n v="0"/>
    <n v="248"/>
    <n v="0"/>
    <n v="101"/>
    <n v="3"/>
    <n v="206"/>
    <n v="0"/>
    <n v="38"/>
    <x v="6"/>
    <x v="28"/>
    <n v="0.40725806451612906"/>
    <n v="0.18446601941747573"/>
    <n v="147"/>
    <n v="168"/>
    <n v="2"/>
    <n v="0.35227272727272729"/>
    <n v="0.14346590909090909"/>
    <n v="0.29261363636363635"/>
    <n v="5.3977272727272728E-2"/>
    <n v="0.32244318181818182"/>
  </r>
  <r>
    <x v="196"/>
    <n v="2"/>
    <n v="250"/>
    <n v="0"/>
    <n v="101"/>
    <n v="0"/>
    <n v="206"/>
    <n v="0"/>
    <n v="38"/>
    <x v="6"/>
    <x v="28"/>
    <n v="0.40400000000000003"/>
    <n v="0.18446601941747573"/>
    <n v="149"/>
    <n v="168"/>
    <n v="2"/>
    <n v="0.35511363636363635"/>
    <n v="0.14346590909090909"/>
    <n v="0.29261363636363635"/>
    <n v="5.3977272727272728E-2"/>
    <n v="0.32386363636363635"/>
  </r>
  <r>
    <x v="197"/>
    <n v="3"/>
    <n v="253"/>
    <n v="0"/>
    <n v="101"/>
    <n v="2"/>
    <n v="208"/>
    <n v="0"/>
    <n v="38"/>
    <x v="7"/>
    <x v="28"/>
    <n v="0.39920948616600793"/>
    <n v="0.18269230769230768"/>
    <n v="152"/>
    <n v="170"/>
    <n v="12"/>
    <n v="0.359375"/>
    <n v="0.14346590909090909"/>
    <n v="0.29545454545454547"/>
    <n v="5.3977272727272728E-2"/>
    <n v="0.32741477272727271"/>
  </r>
  <r>
    <x v="198"/>
    <n v="3"/>
    <n v="256"/>
    <n v="0"/>
    <n v="101"/>
    <n v="2"/>
    <n v="210"/>
    <n v="0"/>
    <n v="38"/>
    <x v="7"/>
    <x v="28"/>
    <n v="0.39453125"/>
    <n v="0.18095238095238095"/>
    <n v="155"/>
    <n v="172"/>
    <n v="12"/>
    <n v="0.36363636363636365"/>
    <n v="0.14346590909090909"/>
    <n v="0.29829545454545453"/>
    <n v="5.3977272727272728E-2"/>
    <n v="0.33096590909090906"/>
  </r>
  <r>
    <x v="199"/>
    <n v="3"/>
    <n v="259"/>
    <n v="0"/>
    <n v="101"/>
    <n v="3"/>
    <n v="213"/>
    <n v="0"/>
    <n v="38"/>
    <x v="7"/>
    <x v="28"/>
    <n v="0.38996138996138996"/>
    <n v="0.17840375586854459"/>
    <n v="158"/>
    <n v="175"/>
    <n v="12"/>
    <n v="0.36789772727272729"/>
    <n v="0.14346590909090909"/>
    <n v="0.30255681818181818"/>
    <n v="5.3977272727272728E-2"/>
    <n v="0.33522727272727271"/>
  </r>
  <r>
    <x v="200"/>
    <n v="3"/>
    <n v="262"/>
    <n v="0"/>
    <n v="101"/>
    <n v="0"/>
    <n v="213"/>
    <n v="0"/>
    <n v="38"/>
    <x v="7"/>
    <x v="28"/>
    <n v="0.38549618320610685"/>
    <n v="0.17840375586854459"/>
    <n v="161"/>
    <n v="175"/>
    <n v="12"/>
    <n v="0.37215909090909088"/>
    <n v="0.14346590909090909"/>
    <n v="0.30255681818181818"/>
    <n v="5.3977272727272728E-2"/>
    <n v="0.33735795454545453"/>
  </r>
  <r>
    <x v="201"/>
    <n v="0"/>
    <n v="262"/>
    <n v="0"/>
    <n v="101"/>
    <n v="2"/>
    <n v="215"/>
    <n v="0"/>
    <n v="38"/>
    <x v="7"/>
    <x v="28"/>
    <n v="0.38549618320610685"/>
    <n v="0.17674418604651163"/>
    <n v="161"/>
    <n v="177"/>
    <n v="12"/>
    <n v="0.37215909090909088"/>
    <n v="0.14346590909090909"/>
    <n v="0.30539772727272729"/>
    <n v="5.3977272727272728E-2"/>
    <n v="0.33877840909090906"/>
  </r>
  <r>
    <x v="202"/>
    <n v="0"/>
    <n v="262"/>
    <n v="0"/>
    <n v="101"/>
    <n v="3"/>
    <n v="218"/>
    <n v="0"/>
    <n v="38"/>
    <x v="7"/>
    <x v="29"/>
    <n v="0.38549618320610685"/>
    <n v="0.1743119266055046"/>
    <n v="161"/>
    <n v="180"/>
    <n v="15"/>
    <n v="0.37215909090909088"/>
    <n v="0.14346590909090909"/>
    <n v="0.30965909090909088"/>
    <n v="5.3977272727272728E-2"/>
    <n v="0.34090909090909088"/>
  </r>
  <r>
    <x v="203"/>
    <n v="3"/>
    <n v="265"/>
    <n v="0"/>
    <n v="101"/>
    <n v="1"/>
    <n v="219"/>
    <n v="0"/>
    <n v="38"/>
    <x v="7"/>
    <x v="29"/>
    <n v="0.38113207547169814"/>
    <n v="0.17351598173515981"/>
    <n v="164"/>
    <n v="181"/>
    <n v="15"/>
    <n v="0.37642045454545453"/>
    <n v="0.14346590909090909"/>
    <n v="0.31107954545454547"/>
    <n v="5.3977272727272728E-2"/>
    <n v="0.34375"/>
  </r>
  <r>
    <x v="204"/>
    <n v="3"/>
    <n v="268"/>
    <n v="0"/>
    <n v="101"/>
    <n v="1"/>
    <n v="220"/>
    <n v="0"/>
    <n v="38"/>
    <x v="7"/>
    <x v="29"/>
    <n v="0.37686567164179102"/>
    <n v="0.17272727272727273"/>
    <n v="167"/>
    <n v="182"/>
    <n v="15"/>
    <n v="0.38068181818181818"/>
    <n v="0.14346590909090909"/>
    <n v="0.3125"/>
    <n v="5.3977272727272728E-2"/>
    <n v="0.34659090909090906"/>
  </r>
  <r>
    <x v="205"/>
    <n v="3"/>
    <n v="271"/>
    <n v="0"/>
    <n v="101"/>
    <n v="3"/>
    <n v="223"/>
    <n v="0"/>
    <n v="38"/>
    <x v="7"/>
    <x v="29"/>
    <n v="0.37269372693726938"/>
    <n v="0.17040358744394618"/>
    <n v="170"/>
    <n v="185"/>
    <n v="15"/>
    <n v="0.38494318181818182"/>
    <n v="0.14346590909090909"/>
    <n v="0.31676136363636365"/>
    <n v="5.3977272727272728E-2"/>
    <n v="0.35085227272727271"/>
  </r>
  <r>
    <x v="206"/>
    <n v="3"/>
    <n v="274"/>
    <n v="0"/>
    <n v="101"/>
    <n v="2"/>
    <n v="225"/>
    <n v="0"/>
    <n v="38"/>
    <x v="7"/>
    <x v="29"/>
    <n v="0.36861313868613138"/>
    <n v="0.16888888888888889"/>
    <n v="173"/>
    <n v="187"/>
    <n v="15"/>
    <n v="0.38920454545454547"/>
    <n v="0.14346590909090909"/>
    <n v="0.31960227272727271"/>
    <n v="5.3977272727272728E-2"/>
    <n v="0.35440340909090906"/>
  </r>
  <r>
    <x v="207"/>
    <n v="3"/>
    <n v="277"/>
    <n v="0"/>
    <n v="101"/>
    <n v="1"/>
    <n v="226"/>
    <n v="0"/>
    <n v="38"/>
    <x v="7"/>
    <x v="29"/>
    <n v="0.36462093862815886"/>
    <n v="0.16814159292035399"/>
    <n v="176"/>
    <n v="188"/>
    <n v="15"/>
    <n v="0.39346590909090912"/>
    <n v="0.14346590909090909"/>
    <n v="0.32102272727272729"/>
    <n v="5.3977272727272728E-2"/>
    <n v="0.35724431818181823"/>
  </r>
  <r>
    <x v="208"/>
    <n v="0"/>
    <n v="277"/>
    <n v="0"/>
    <n v="101"/>
    <n v="1"/>
    <n v="227"/>
    <n v="0"/>
    <n v="38"/>
    <x v="7"/>
    <x v="29"/>
    <n v="0.36462093862815886"/>
    <n v="0.16740088105726872"/>
    <n v="176"/>
    <n v="189"/>
    <n v="15"/>
    <n v="0.39346590909090912"/>
    <n v="0.14346590909090909"/>
    <n v="0.32244318181818182"/>
    <n v="5.3977272727272728E-2"/>
    <n v="0.35795454545454547"/>
  </r>
  <r>
    <x v="209"/>
    <n v="0"/>
    <n v="277"/>
    <n v="0"/>
    <n v="101"/>
    <n v="4"/>
    <n v="231"/>
    <n v="0"/>
    <n v="38"/>
    <x v="7"/>
    <x v="30"/>
    <n v="0.36462093862815886"/>
    <n v="0.16450216450216451"/>
    <n v="176"/>
    <n v="193"/>
    <n v="6"/>
    <n v="0.39346590909090912"/>
    <n v="0.14346590909090909"/>
    <n v="0.328125"/>
    <n v="5.3977272727272728E-2"/>
    <n v="0.36079545454545459"/>
  </r>
  <r>
    <x v="210"/>
    <n v="3"/>
    <n v="280"/>
    <n v="0"/>
    <n v="101"/>
    <n v="1"/>
    <n v="232"/>
    <n v="0"/>
    <n v="38"/>
    <x v="7"/>
    <x v="30"/>
    <n v="0.36071428571428571"/>
    <n v="0.16379310344827586"/>
    <n v="179"/>
    <n v="194"/>
    <n v="6"/>
    <n v="0.39772727272727271"/>
    <n v="0.14346590909090909"/>
    <n v="0.32954545454545453"/>
    <n v="5.3977272727272728E-2"/>
    <n v="0.36363636363636365"/>
  </r>
  <r>
    <x v="211"/>
    <n v="3"/>
    <n v="283"/>
    <n v="0"/>
    <n v="101"/>
    <n v="1"/>
    <n v="233"/>
    <n v="0"/>
    <n v="38"/>
    <x v="7"/>
    <x v="30"/>
    <n v="0.35689045936395758"/>
    <n v="0.1630901287553648"/>
    <n v="182"/>
    <n v="195"/>
    <n v="6"/>
    <n v="0.40198863636363635"/>
    <n v="0.14346590909090909"/>
    <n v="0.33096590909090912"/>
    <n v="5.3977272727272728E-2"/>
    <n v="0.36647727272727271"/>
  </r>
  <r>
    <x v="212"/>
    <n v="0"/>
    <n v="283"/>
    <n v="0"/>
    <n v="101"/>
    <n v="2"/>
    <n v="235"/>
    <n v="0"/>
    <n v="38"/>
    <x v="7"/>
    <x v="30"/>
    <n v="0.35689045936395758"/>
    <n v="0.16170212765957448"/>
    <n v="182"/>
    <n v="197"/>
    <n v="6"/>
    <n v="0.40198863636363635"/>
    <n v="0.14346590909090909"/>
    <n v="0.33380681818181818"/>
    <n v="5.3977272727272728E-2"/>
    <n v="0.36789772727272729"/>
  </r>
  <r>
    <x v="213"/>
    <n v="0"/>
    <n v="283"/>
    <n v="0"/>
    <n v="101"/>
    <n v="3"/>
    <n v="238"/>
    <n v="0"/>
    <n v="38"/>
    <x v="7"/>
    <x v="30"/>
    <n v="0.35689045936395758"/>
    <n v="0.15966386554621848"/>
    <n v="182"/>
    <n v="200"/>
    <n v="6"/>
    <n v="0.40198863636363635"/>
    <n v="0.14346590909090909"/>
    <n v="0.33806818181818182"/>
    <n v="5.3977272727272728E-2"/>
    <n v="0.37002840909090906"/>
  </r>
  <r>
    <x v="214"/>
    <n v="0"/>
    <n v="283"/>
    <n v="0"/>
    <n v="101"/>
    <n v="1"/>
    <n v="239"/>
    <n v="0"/>
    <n v="38"/>
    <x v="7"/>
    <x v="30"/>
    <n v="0.35689045936395758"/>
    <n v="0.15899581589958159"/>
    <n v="182"/>
    <n v="201"/>
    <n v="6"/>
    <n v="0.40198863636363635"/>
    <n v="0.14346590909090909"/>
    <n v="0.33948863636363635"/>
    <n v="5.3977272727272728E-2"/>
    <n v="0.37073863636363635"/>
  </r>
  <r>
    <x v="215"/>
    <n v="0"/>
    <n v="283"/>
    <n v="0"/>
    <n v="101"/>
    <n v="1"/>
    <n v="240"/>
    <n v="0"/>
    <n v="38"/>
    <x v="7"/>
    <x v="30"/>
    <n v="0.35689045936395758"/>
    <n v="0.15833333333333333"/>
    <n v="182"/>
    <n v="202"/>
    <n v="6"/>
    <n v="0.40198863636363635"/>
    <n v="0.14346590909090909"/>
    <n v="0.34090909090909088"/>
    <n v="5.3977272727272728E-2"/>
    <n v="0.37144886363636365"/>
  </r>
  <r>
    <x v="216"/>
    <n v="0"/>
    <n v="283"/>
    <n v="0"/>
    <n v="101"/>
    <n v="3"/>
    <n v="243"/>
    <n v="0"/>
    <n v="38"/>
    <x v="7"/>
    <x v="31"/>
    <n v="0.35689045936395758"/>
    <n v="0.15637860082304528"/>
    <n v="182"/>
    <n v="205"/>
    <n v="15"/>
    <n v="0.40198863636363635"/>
    <n v="0.14346590909090909"/>
    <n v="0.34517045454545453"/>
    <n v="5.3977272727272728E-2"/>
    <n v="0.37357954545454541"/>
  </r>
  <r>
    <x v="217"/>
    <n v="3"/>
    <n v="286"/>
    <n v="0"/>
    <n v="101"/>
    <n v="2"/>
    <n v="245"/>
    <n v="0"/>
    <n v="38"/>
    <x v="7"/>
    <x v="31"/>
    <n v="0.35314685314685312"/>
    <n v="0.15510204081632653"/>
    <n v="185"/>
    <n v="207"/>
    <n v="15"/>
    <n v="0.40625"/>
    <n v="0.14346590909090909"/>
    <n v="0.34801136363636365"/>
    <n v="5.3977272727272728E-2"/>
    <n v="0.37713068181818182"/>
  </r>
  <r>
    <x v="218"/>
    <n v="3"/>
    <n v="289"/>
    <n v="0"/>
    <n v="101"/>
    <n v="1"/>
    <n v="246"/>
    <n v="0"/>
    <n v="38"/>
    <x v="7"/>
    <x v="31"/>
    <n v="0.34948096885813151"/>
    <n v="0.15447154471544716"/>
    <n v="188"/>
    <n v="208"/>
    <n v="15"/>
    <n v="0.41051136363636365"/>
    <n v="0.14346590909090909"/>
    <n v="0.34943181818181818"/>
    <n v="5.3977272727272728E-2"/>
    <n v="0.37997159090909094"/>
  </r>
  <r>
    <x v="219"/>
    <n v="3"/>
    <n v="292"/>
    <n v="0"/>
    <n v="101"/>
    <n v="2"/>
    <n v="248"/>
    <n v="0"/>
    <n v="38"/>
    <x v="7"/>
    <x v="31"/>
    <n v="0.3458904109589041"/>
    <n v="0.15322580645161291"/>
    <n v="191"/>
    <n v="210"/>
    <n v="15"/>
    <n v="0.41477272727272729"/>
    <n v="0.14346590909090909"/>
    <n v="0.35227272727272729"/>
    <n v="5.3977272727272728E-2"/>
    <n v="0.38352272727272729"/>
  </r>
  <r>
    <x v="220"/>
    <n v="3"/>
    <n v="295"/>
    <n v="0"/>
    <n v="101"/>
    <n v="3"/>
    <n v="251"/>
    <n v="0"/>
    <n v="38"/>
    <x v="7"/>
    <x v="31"/>
    <n v="0.34237288135593219"/>
    <n v="0.15139442231075698"/>
    <n v="194"/>
    <n v="213"/>
    <n v="15"/>
    <n v="0.41903409090909088"/>
    <n v="0.14346590909090909"/>
    <n v="0.35653409090909088"/>
    <n v="5.3977272727272728E-2"/>
    <n v="0.38778409090909088"/>
  </r>
  <r>
    <x v="221"/>
    <n v="3"/>
    <n v="298"/>
    <n v="0"/>
    <n v="101"/>
    <n v="2"/>
    <n v="253"/>
    <n v="0"/>
    <n v="38"/>
    <x v="7"/>
    <x v="31"/>
    <n v="0.33892617449664431"/>
    <n v="0.15019762845849802"/>
    <n v="197"/>
    <n v="215"/>
    <n v="15"/>
    <n v="0.42329545454545453"/>
    <n v="0.14346590909090909"/>
    <n v="0.359375"/>
    <n v="5.3977272727272728E-2"/>
    <n v="0.39133522727272729"/>
  </r>
  <r>
    <x v="222"/>
    <n v="0"/>
    <n v="298"/>
    <n v="0"/>
    <n v="101"/>
    <n v="0"/>
    <n v="253"/>
    <n v="0"/>
    <n v="38"/>
    <x v="7"/>
    <x v="31"/>
    <n v="0.33892617449664431"/>
    <n v="0.15019762845849802"/>
    <n v="197"/>
    <n v="215"/>
    <n v="15"/>
    <n v="0.42329545454545453"/>
    <n v="0.14346590909090909"/>
    <n v="0.359375"/>
    <n v="5.3977272727272728E-2"/>
    <n v="0.39133522727272729"/>
  </r>
  <r>
    <x v="223"/>
    <n v="0"/>
    <n v="298"/>
    <n v="0"/>
    <n v="101"/>
    <n v="4"/>
    <n v="257"/>
    <n v="0"/>
    <n v="38"/>
    <x v="7"/>
    <x v="32"/>
    <n v="0.33892617449664431"/>
    <n v="0.14785992217898833"/>
    <n v="197"/>
    <n v="219"/>
    <n v="9"/>
    <n v="0.42329545454545453"/>
    <n v="0.14346590909090909"/>
    <n v="0.36505681818181818"/>
    <n v="5.3977272727272728E-2"/>
    <n v="0.39417613636363635"/>
  </r>
  <r>
    <x v="224"/>
    <n v="3"/>
    <n v="301"/>
    <n v="0"/>
    <n v="101"/>
    <n v="1"/>
    <n v="258"/>
    <n v="0"/>
    <n v="38"/>
    <x v="7"/>
    <x v="32"/>
    <n v="0.33554817275747506"/>
    <n v="0.14728682170542637"/>
    <n v="200"/>
    <n v="220"/>
    <n v="9"/>
    <n v="0.42755681818181818"/>
    <n v="0.14346590909090909"/>
    <n v="0.36647727272727271"/>
    <n v="5.3977272727272728E-2"/>
    <n v="0.39701704545454541"/>
  </r>
  <r>
    <x v="225"/>
    <n v="3"/>
    <n v="304"/>
    <n v="0"/>
    <n v="101"/>
    <n v="1"/>
    <n v="259"/>
    <n v="0"/>
    <n v="38"/>
    <x v="7"/>
    <x v="32"/>
    <n v="0.33223684210526316"/>
    <n v="0.14671814671814673"/>
    <n v="203"/>
    <n v="221"/>
    <n v="9"/>
    <n v="0.43181818181818182"/>
    <n v="0.14346590909090909"/>
    <n v="0.36789772727272729"/>
    <n v="5.3977272727272728E-2"/>
    <n v="0.39985795454545459"/>
  </r>
  <r>
    <x v="226"/>
    <n v="3"/>
    <n v="307"/>
    <n v="0"/>
    <n v="101"/>
    <n v="3"/>
    <n v="262"/>
    <n v="0"/>
    <n v="38"/>
    <x v="7"/>
    <x v="32"/>
    <n v="0.3289902280130293"/>
    <n v="0.14503816793893129"/>
    <n v="206"/>
    <n v="224"/>
    <n v="9"/>
    <n v="0.43607954545454547"/>
    <n v="0.14346590909090909"/>
    <n v="0.37215909090909088"/>
    <n v="5.3977272727272728E-2"/>
    <n v="0.40411931818181818"/>
  </r>
  <r>
    <x v="227"/>
    <n v="3"/>
    <n v="310"/>
    <n v="0"/>
    <n v="101"/>
    <n v="3"/>
    <n v="265"/>
    <n v="0"/>
    <n v="38"/>
    <x v="8"/>
    <x v="32"/>
    <n v="0.32580645161290323"/>
    <n v="0.14339622641509434"/>
    <n v="209"/>
    <n v="227"/>
    <n v="6"/>
    <n v="0.44034090909090912"/>
    <n v="0.14346590909090909"/>
    <n v="0.37642045454545453"/>
    <n v="5.3977272727272728E-2"/>
    <n v="0.40838068181818182"/>
  </r>
  <r>
    <x v="228"/>
    <n v="3"/>
    <n v="313"/>
    <n v="0"/>
    <n v="101"/>
    <n v="2"/>
    <n v="267"/>
    <n v="0"/>
    <n v="38"/>
    <x v="8"/>
    <x v="32"/>
    <n v="0.32268370607028751"/>
    <n v="0.14232209737827714"/>
    <n v="212"/>
    <n v="229"/>
    <n v="6"/>
    <n v="0.44460227272727271"/>
    <n v="0.14346590909090909"/>
    <n v="0.37926136363636365"/>
    <n v="5.3977272727272728E-2"/>
    <n v="0.41193181818181818"/>
  </r>
  <r>
    <x v="229"/>
    <n v="0"/>
    <n v="313"/>
    <n v="0"/>
    <n v="101"/>
    <n v="2"/>
    <n v="269"/>
    <n v="0"/>
    <n v="38"/>
    <x v="8"/>
    <x v="32"/>
    <n v="0.32268370607028751"/>
    <n v="0.14126394052044611"/>
    <n v="212"/>
    <n v="231"/>
    <n v="6"/>
    <n v="0.44460227272727271"/>
    <n v="0.14346590909090909"/>
    <n v="0.38210227272727271"/>
    <n v="5.3977272727272728E-2"/>
    <n v="0.41335227272727271"/>
  </r>
  <r>
    <x v="230"/>
    <n v="0"/>
    <n v="313"/>
    <n v="0"/>
    <n v="101"/>
    <n v="2"/>
    <n v="271"/>
    <n v="0"/>
    <n v="38"/>
    <x v="8"/>
    <x v="33"/>
    <n v="0.32268370607028751"/>
    <n v="0.14022140221402213"/>
    <n v="212"/>
    <n v="233"/>
    <n v="15"/>
    <n v="0.44460227272727271"/>
    <n v="0.14346590909090909"/>
    <n v="0.38494318181818182"/>
    <n v="5.3977272727272728E-2"/>
    <n v="0.41477272727272729"/>
  </r>
  <r>
    <x v="231"/>
    <n v="3"/>
    <n v="316"/>
    <n v="0"/>
    <n v="101"/>
    <n v="1"/>
    <n v="272"/>
    <n v="0"/>
    <n v="38"/>
    <x v="8"/>
    <x v="33"/>
    <n v="0.31962025316455694"/>
    <n v="0.13970588235294118"/>
    <n v="215"/>
    <n v="234"/>
    <n v="15"/>
    <n v="0.44886363636363635"/>
    <n v="0.14346590909090909"/>
    <n v="0.38636363636363635"/>
    <n v="5.3977272727272728E-2"/>
    <n v="0.41761363636363635"/>
  </r>
  <r>
    <x v="232"/>
    <n v="3"/>
    <n v="319"/>
    <n v="0"/>
    <n v="101"/>
    <n v="0"/>
    <n v="272"/>
    <n v="0"/>
    <n v="38"/>
    <x v="8"/>
    <x v="33"/>
    <n v="0.31661442006269591"/>
    <n v="0.13970588235294118"/>
    <n v="218"/>
    <n v="234"/>
    <n v="15"/>
    <n v="0.453125"/>
    <n v="0.14346590909090909"/>
    <n v="0.38636363636363635"/>
    <n v="5.3977272727272728E-2"/>
    <n v="0.41974431818181818"/>
  </r>
  <r>
    <x v="233"/>
    <n v="3"/>
    <n v="322"/>
    <n v="0"/>
    <n v="101"/>
    <n v="1"/>
    <n v="273"/>
    <n v="0"/>
    <n v="38"/>
    <x v="8"/>
    <x v="33"/>
    <n v="0.31366459627329191"/>
    <n v="0.1391941391941392"/>
    <n v="221"/>
    <n v="235"/>
    <n v="15"/>
    <n v="0.45738636363636365"/>
    <n v="0.14346590909090909"/>
    <n v="0.38778409090909088"/>
    <n v="5.3977272727272728E-2"/>
    <n v="0.42258522727272729"/>
  </r>
  <r>
    <x v="234"/>
    <n v="3"/>
    <n v="325"/>
    <n v="0"/>
    <n v="101"/>
    <n v="2"/>
    <n v="275"/>
    <n v="0"/>
    <n v="38"/>
    <x v="8"/>
    <x v="33"/>
    <n v="0.31076923076923074"/>
    <n v="0.13818181818181818"/>
    <n v="224"/>
    <n v="237"/>
    <n v="15"/>
    <n v="0.46164772727272729"/>
    <n v="0.14346590909090909"/>
    <n v="0.390625"/>
    <n v="5.3977272727272728E-2"/>
    <n v="0.42613636363636365"/>
  </r>
  <r>
    <x v="235"/>
    <n v="3"/>
    <n v="328"/>
    <n v="0"/>
    <n v="101"/>
    <n v="2"/>
    <n v="277"/>
    <n v="0"/>
    <n v="38"/>
    <x v="8"/>
    <x v="33"/>
    <n v="0.30792682926829268"/>
    <n v="0.13718411552346571"/>
    <n v="227"/>
    <n v="239"/>
    <n v="15"/>
    <n v="0.46590909090909088"/>
    <n v="0.14346590909090909"/>
    <n v="0.39346590909090912"/>
    <n v="5.3977272727272728E-2"/>
    <n v="0.4296875"/>
  </r>
  <r>
    <x v="236"/>
    <n v="0"/>
    <n v="328"/>
    <n v="0"/>
    <n v="101"/>
    <n v="1"/>
    <n v="278"/>
    <n v="0"/>
    <n v="38"/>
    <x v="8"/>
    <x v="33"/>
    <n v="0.30792682926829268"/>
    <n v="0.1366906474820144"/>
    <n v="227"/>
    <n v="240"/>
    <n v="15"/>
    <n v="0.46590909090909088"/>
    <n v="0.14346590909090909"/>
    <n v="0.39488636363636365"/>
    <n v="5.3977272727272728E-2"/>
    <n v="0.43039772727272729"/>
  </r>
  <r>
    <x v="237"/>
    <n v="0"/>
    <n v="328"/>
    <n v="0"/>
    <n v="101"/>
    <n v="3"/>
    <n v="281"/>
    <n v="0"/>
    <n v="38"/>
    <x v="8"/>
    <x v="34"/>
    <n v="0.30792682926829268"/>
    <n v="0.13523131672597866"/>
    <n v="227"/>
    <n v="243"/>
    <n v="15"/>
    <n v="0.46590909090909088"/>
    <n v="0.14346590909090909"/>
    <n v="0.39914772727272729"/>
    <n v="5.3977272727272728E-2"/>
    <n v="0.43252840909090906"/>
  </r>
  <r>
    <x v="238"/>
    <n v="3"/>
    <n v="331"/>
    <n v="0"/>
    <n v="101"/>
    <n v="2"/>
    <n v="283"/>
    <n v="0"/>
    <n v="38"/>
    <x v="8"/>
    <x v="34"/>
    <n v="0.30513595166163143"/>
    <n v="0.13427561837455831"/>
    <n v="230"/>
    <n v="245"/>
    <n v="15"/>
    <n v="0.47017045454545453"/>
    <n v="0.14346590909090909"/>
    <n v="0.40198863636363635"/>
    <n v="5.3977272727272728E-2"/>
    <n v="0.43607954545454541"/>
  </r>
  <r>
    <x v="239"/>
    <n v="3"/>
    <n v="334"/>
    <n v="0"/>
    <n v="101"/>
    <n v="1"/>
    <n v="284"/>
    <n v="0"/>
    <n v="38"/>
    <x v="8"/>
    <x v="34"/>
    <n v="0.30239520958083832"/>
    <n v="0.13380281690140844"/>
    <n v="233"/>
    <n v="246"/>
    <n v="15"/>
    <n v="0.47443181818181818"/>
    <n v="0.14346590909090909"/>
    <n v="0.40340909090909088"/>
    <n v="5.3977272727272728E-2"/>
    <n v="0.43892045454545453"/>
  </r>
  <r>
    <x v="240"/>
    <n v="3"/>
    <n v="337"/>
    <n v="0"/>
    <n v="101"/>
    <n v="3"/>
    <n v="287"/>
    <n v="0"/>
    <n v="38"/>
    <x v="8"/>
    <x v="34"/>
    <n v="0.29970326409495551"/>
    <n v="0.13240418118466898"/>
    <n v="236"/>
    <n v="249"/>
    <n v="15"/>
    <n v="0.47869318181818182"/>
    <n v="0.14346590909090909"/>
    <n v="0.40767045454545453"/>
    <n v="5.3977272727272728E-2"/>
    <n v="0.44318181818181818"/>
  </r>
  <r>
    <x v="241"/>
    <n v="3"/>
    <n v="340"/>
    <n v="0"/>
    <n v="101"/>
    <n v="4"/>
    <n v="291"/>
    <n v="0"/>
    <n v="38"/>
    <x v="8"/>
    <x v="34"/>
    <n v="0.29705882352941176"/>
    <n v="0.13058419243986255"/>
    <n v="239"/>
    <n v="253"/>
    <n v="15"/>
    <n v="0.48295454545454547"/>
    <n v="0.14346590909090909"/>
    <n v="0.41335227272727271"/>
    <n v="5.3977272727272728E-2"/>
    <n v="0.44815340909090906"/>
  </r>
  <r>
    <x v="242"/>
    <n v="3"/>
    <n v="343"/>
    <n v="0"/>
    <n v="101"/>
    <n v="0"/>
    <n v="291"/>
    <n v="0"/>
    <n v="38"/>
    <x v="8"/>
    <x v="34"/>
    <n v="0.29446064139941691"/>
    <n v="0.13058419243986255"/>
    <n v="242"/>
    <n v="253"/>
    <n v="15"/>
    <n v="0.48721590909090912"/>
    <n v="0.14346590909090909"/>
    <n v="0.41335227272727271"/>
    <n v="5.3977272727272728E-2"/>
    <n v="0.45028409090909094"/>
  </r>
  <r>
    <x v="243"/>
    <n v="0"/>
    <n v="343"/>
    <n v="0"/>
    <n v="101"/>
    <n v="0"/>
    <n v="291"/>
    <n v="0"/>
    <n v="38"/>
    <x v="8"/>
    <x v="34"/>
    <n v="0.29446064139941691"/>
    <n v="0.13058419243986255"/>
    <n v="242"/>
    <n v="253"/>
    <n v="15"/>
    <n v="0.48721590909090912"/>
    <n v="0.14346590909090909"/>
    <n v="0.41335227272727271"/>
    <n v="5.3977272727272728E-2"/>
    <n v="0.45028409090909094"/>
  </r>
  <r>
    <x v="244"/>
    <n v="0"/>
    <n v="343"/>
    <n v="0"/>
    <n v="101"/>
    <n v="2"/>
    <n v="293"/>
    <n v="0"/>
    <n v="38"/>
    <x v="8"/>
    <x v="35"/>
    <n v="0.29446064139941691"/>
    <n v="0.12969283276450511"/>
    <n v="242"/>
    <n v="255"/>
    <n v="15"/>
    <n v="0.48721590909090912"/>
    <n v="0.14346590909090909"/>
    <n v="0.41619318181818182"/>
    <n v="5.3977272727272728E-2"/>
    <n v="0.45170454545454547"/>
  </r>
  <r>
    <x v="245"/>
    <n v="3"/>
    <n v="346"/>
    <n v="0"/>
    <n v="101"/>
    <n v="1"/>
    <n v="294"/>
    <n v="0"/>
    <n v="38"/>
    <x v="8"/>
    <x v="35"/>
    <n v="0.29190751445086704"/>
    <n v="0.12925170068027211"/>
    <n v="245"/>
    <n v="256"/>
    <n v="15"/>
    <n v="0.49147727272727271"/>
    <n v="0.14346590909090909"/>
    <n v="0.41761363636363635"/>
    <n v="5.3977272727272728E-2"/>
    <n v="0.45454545454545453"/>
  </r>
  <r>
    <x v="246"/>
    <n v="3"/>
    <n v="349"/>
    <n v="0"/>
    <n v="101"/>
    <n v="1"/>
    <n v="295"/>
    <n v="0"/>
    <n v="38"/>
    <x v="8"/>
    <x v="35"/>
    <n v="0.28939828080229224"/>
    <n v="0.12881355932203389"/>
    <n v="248"/>
    <n v="257"/>
    <n v="15"/>
    <n v="0.49573863636363635"/>
    <n v="0.14346590909090909"/>
    <n v="0.41903409090909088"/>
    <n v="5.3977272727272728E-2"/>
    <n v="0.45738636363636365"/>
  </r>
  <r>
    <x v="247"/>
    <n v="3"/>
    <n v="352"/>
    <n v="0"/>
    <n v="101"/>
    <n v="3"/>
    <n v="298"/>
    <n v="0"/>
    <n v="38"/>
    <x v="8"/>
    <x v="35"/>
    <n v="0.28693181818181818"/>
    <n v="0.12751677852348994"/>
    <n v="251"/>
    <n v="260"/>
    <n v="15"/>
    <n v="0.5"/>
    <n v="0.14346590909090909"/>
    <n v="0.42329545454545453"/>
    <n v="5.3977272727272728E-2"/>
    <n v="0.46164772727272729"/>
  </r>
  <r>
    <x v="248"/>
    <n v="3"/>
    <n v="355"/>
    <n v="0"/>
    <n v="101"/>
    <n v="3"/>
    <n v="301"/>
    <n v="0"/>
    <n v="38"/>
    <x v="8"/>
    <x v="35"/>
    <n v="0.28450704225352114"/>
    <n v="0.12624584717607973"/>
    <n v="254"/>
    <n v="263"/>
    <n v="15"/>
    <n v="0.50426136363636365"/>
    <n v="0.14346590909090909"/>
    <n v="0.42755681818181818"/>
    <n v="5.3977272727272728E-2"/>
    <n v="0.46590909090909094"/>
  </r>
  <r>
    <x v="249"/>
    <n v="3"/>
    <n v="358"/>
    <n v="0"/>
    <n v="101"/>
    <n v="2"/>
    <n v="303"/>
    <n v="0"/>
    <n v="38"/>
    <x v="8"/>
    <x v="35"/>
    <n v="0.28212290502793297"/>
    <n v="0.1254125412541254"/>
    <n v="257"/>
    <n v="265"/>
    <n v="15"/>
    <n v="0.50852272727272729"/>
    <n v="0.14346590909090909"/>
    <n v="0.43039772727272729"/>
    <n v="5.3977272727272728E-2"/>
    <n v="0.46946022727272729"/>
  </r>
  <r>
    <x v="250"/>
    <n v="0"/>
    <n v="358"/>
    <n v="0"/>
    <n v="101"/>
    <n v="2"/>
    <n v="305"/>
    <n v="0"/>
    <n v="38"/>
    <x v="8"/>
    <x v="35"/>
    <n v="0.28212290502793297"/>
    <n v="0.12459016393442623"/>
    <n v="257"/>
    <n v="267"/>
    <n v="15"/>
    <n v="0.50852272727272729"/>
    <n v="0.14346590909090909"/>
    <n v="0.43323863636363635"/>
    <n v="5.3977272727272728E-2"/>
    <n v="0.47088068181818182"/>
  </r>
  <r>
    <x v="251"/>
    <n v="0"/>
    <n v="358"/>
    <n v="0"/>
    <n v="101"/>
    <n v="2"/>
    <n v="307"/>
    <n v="0"/>
    <n v="38"/>
    <x v="8"/>
    <x v="36"/>
    <n v="0.28212290502793297"/>
    <n v="0.12377850162866449"/>
    <n v="257"/>
    <n v="269"/>
    <n v="15"/>
    <n v="0.50852272727272729"/>
    <n v="0.14346590909090909"/>
    <n v="0.43607954545454547"/>
    <n v="5.3977272727272728E-2"/>
    <n v="0.47230113636363635"/>
  </r>
  <r>
    <x v="252"/>
    <n v="3"/>
    <n v="361"/>
    <n v="0"/>
    <n v="101"/>
    <n v="1"/>
    <n v="308"/>
    <n v="0"/>
    <n v="38"/>
    <x v="8"/>
    <x v="36"/>
    <n v="0.27977839335180055"/>
    <n v="0.12337662337662338"/>
    <n v="260"/>
    <n v="270"/>
    <n v="15"/>
    <n v="0.51278409090909094"/>
    <n v="0.14346590909090909"/>
    <n v="0.4375"/>
    <n v="5.3977272727272728E-2"/>
    <n v="0.47514204545454547"/>
  </r>
  <r>
    <x v="253"/>
    <n v="3"/>
    <n v="364"/>
    <n v="0"/>
    <n v="101"/>
    <n v="2"/>
    <n v="310"/>
    <n v="0"/>
    <n v="38"/>
    <x v="8"/>
    <x v="36"/>
    <n v="0.27747252747252749"/>
    <n v="0.12258064516129032"/>
    <n v="263"/>
    <n v="272"/>
    <n v="15"/>
    <n v="0.51704545454545459"/>
    <n v="0.14346590909090909"/>
    <n v="0.44034090909090912"/>
    <n v="5.3977272727272728E-2"/>
    <n v="0.47869318181818188"/>
  </r>
  <r>
    <x v="254"/>
    <n v="3"/>
    <n v="367"/>
    <n v="0"/>
    <n v="101"/>
    <n v="3"/>
    <n v="313"/>
    <n v="0"/>
    <n v="38"/>
    <x v="8"/>
    <x v="36"/>
    <n v="0.27520435967302453"/>
    <n v="0.12140575079872204"/>
    <n v="266"/>
    <n v="275"/>
    <n v="15"/>
    <n v="0.52130681818181823"/>
    <n v="0.14346590909090909"/>
    <n v="0.44460227272727271"/>
    <n v="5.3977272727272728E-2"/>
    <n v="0.48295454545454547"/>
  </r>
  <r>
    <x v="255"/>
    <n v="3"/>
    <n v="370"/>
    <n v="0"/>
    <n v="101"/>
    <n v="3"/>
    <n v="316"/>
    <n v="0"/>
    <n v="38"/>
    <x v="8"/>
    <x v="36"/>
    <n v="0.27297297297297296"/>
    <n v="0.12025316455696203"/>
    <n v="269"/>
    <n v="278"/>
    <n v="15"/>
    <n v="0.52556818181818177"/>
    <n v="0.14346590909090909"/>
    <n v="0.44886363636363635"/>
    <n v="5.3977272727272728E-2"/>
    <n v="0.48721590909090906"/>
  </r>
  <r>
    <x v="256"/>
    <n v="3"/>
    <n v="373"/>
    <n v="0"/>
    <n v="101"/>
    <n v="2"/>
    <n v="318"/>
    <n v="0"/>
    <n v="38"/>
    <x v="8"/>
    <x v="36"/>
    <n v="0.27077747989276141"/>
    <n v="0.11949685534591195"/>
    <n v="272"/>
    <n v="280"/>
    <n v="15"/>
    <n v="0.52982954545454541"/>
    <n v="0.14346590909090909"/>
    <n v="0.45170454545454547"/>
    <n v="5.3977272727272728E-2"/>
    <n v="0.49076704545454541"/>
  </r>
  <r>
    <x v="257"/>
    <n v="0"/>
    <n v="373"/>
    <n v="0"/>
    <n v="101"/>
    <n v="1"/>
    <n v="319"/>
    <n v="0"/>
    <n v="38"/>
    <x v="8"/>
    <x v="36"/>
    <n v="0.27077747989276141"/>
    <n v="0.11912225705329153"/>
    <n v="272"/>
    <n v="281"/>
    <n v="15"/>
    <n v="0.52982954545454541"/>
    <n v="0.14346590909090909"/>
    <n v="0.453125"/>
    <n v="5.3977272727272728E-2"/>
    <n v="0.49147727272727271"/>
  </r>
  <r>
    <x v="258"/>
    <n v="0"/>
    <n v="373"/>
    <n v="0"/>
    <n v="101"/>
    <n v="2"/>
    <n v="321"/>
    <n v="0"/>
    <n v="38"/>
    <x v="9"/>
    <x v="37"/>
    <n v="0.27077747989276141"/>
    <n v="0.11838006230529595"/>
    <n v="272"/>
    <n v="283"/>
    <n v="15"/>
    <n v="0.52982954545454541"/>
    <n v="0.14346590909090909"/>
    <n v="0.45596590909090912"/>
    <n v="5.3977272727272728E-2"/>
    <n v="0.49289772727272729"/>
  </r>
  <r>
    <x v="259"/>
    <n v="3"/>
    <n v="376"/>
    <n v="0"/>
    <n v="101"/>
    <n v="2"/>
    <n v="323"/>
    <n v="0"/>
    <n v="38"/>
    <x v="9"/>
    <x v="37"/>
    <n v="0.26861702127659576"/>
    <n v="0.11764705882352941"/>
    <n v="275"/>
    <n v="285"/>
    <n v="15"/>
    <n v="0.53409090909090906"/>
    <n v="0.14346590909090909"/>
    <n v="0.45880681818181818"/>
    <n v="5.3977272727272728E-2"/>
    <n v="0.49644886363636365"/>
  </r>
  <r>
    <x v="260"/>
    <n v="3"/>
    <n v="379"/>
    <n v="0"/>
    <n v="101"/>
    <n v="2"/>
    <n v="325"/>
    <n v="0"/>
    <n v="38"/>
    <x v="9"/>
    <x v="37"/>
    <n v="0.26649076517150394"/>
    <n v="0.11692307692307692"/>
    <n v="278"/>
    <n v="287"/>
    <n v="15"/>
    <n v="0.53835227272727271"/>
    <n v="0.14346590909090909"/>
    <n v="0.46164772727272729"/>
    <n v="5.3977272727272728E-2"/>
    <n v="0.5"/>
  </r>
  <r>
    <x v="261"/>
    <n v="3"/>
    <n v="382"/>
    <n v="0"/>
    <n v="101"/>
    <n v="3"/>
    <n v="328"/>
    <n v="0"/>
    <n v="38"/>
    <x v="9"/>
    <x v="37"/>
    <n v="0.26439790575916228"/>
    <n v="0.11585365853658537"/>
    <n v="281"/>
    <n v="290"/>
    <n v="15"/>
    <n v="0.54261363636363635"/>
    <n v="0.14346590909090909"/>
    <n v="0.46590909090909088"/>
    <n v="5.3977272727272728E-2"/>
    <n v="0.50426136363636365"/>
  </r>
  <r>
    <x v="262"/>
    <n v="3"/>
    <n v="385"/>
    <n v="0"/>
    <n v="101"/>
    <n v="3"/>
    <n v="331"/>
    <n v="0"/>
    <n v="38"/>
    <x v="9"/>
    <x v="37"/>
    <n v="0.26233766233766231"/>
    <n v="0.11480362537764351"/>
    <n v="284"/>
    <n v="293"/>
    <n v="15"/>
    <n v="0.546875"/>
    <n v="0.14346590909090909"/>
    <n v="0.47017045454545453"/>
    <n v="5.3977272727272728E-2"/>
    <n v="0.50852272727272729"/>
  </r>
  <r>
    <x v="263"/>
    <n v="3"/>
    <n v="388"/>
    <n v="0"/>
    <n v="101"/>
    <n v="1"/>
    <n v="332"/>
    <n v="0"/>
    <n v="38"/>
    <x v="9"/>
    <x v="37"/>
    <n v="0.26030927835051548"/>
    <n v="0.1144578313253012"/>
    <n v="287"/>
    <n v="294"/>
    <n v="15"/>
    <n v="0.55113636363636365"/>
    <n v="0.14346590909090909"/>
    <n v="0.47159090909090912"/>
    <n v="5.3977272727272728E-2"/>
    <n v="0.51136363636363635"/>
  </r>
  <r>
    <x v="264"/>
    <n v="0"/>
    <n v="388"/>
    <n v="0"/>
    <n v="101"/>
    <n v="1"/>
    <n v="333"/>
    <n v="0"/>
    <n v="38"/>
    <x v="9"/>
    <x v="37"/>
    <n v="0.26030927835051548"/>
    <n v="0.11411411411411411"/>
    <n v="287"/>
    <n v="295"/>
    <n v="15"/>
    <n v="0.55113636363636365"/>
    <n v="0.14346590909090909"/>
    <n v="0.47301136363636365"/>
    <n v="5.3977272727272728E-2"/>
    <n v="0.51207386363636365"/>
  </r>
  <r>
    <x v="265"/>
    <n v="0"/>
    <n v="388"/>
    <n v="0"/>
    <n v="101"/>
    <n v="4"/>
    <n v="337"/>
    <n v="0"/>
    <n v="38"/>
    <x v="9"/>
    <x v="38"/>
    <n v="0.26030927835051548"/>
    <n v="0.11275964391691394"/>
    <n v="287"/>
    <n v="299"/>
    <n v="15"/>
    <n v="0.55113636363636365"/>
    <n v="0.14346590909090909"/>
    <n v="0.47869318181818182"/>
    <n v="5.3977272727272728E-2"/>
    <n v="0.51491477272727271"/>
  </r>
  <r>
    <x v="266"/>
    <n v="3"/>
    <n v="391"/>
    <n v="0"/>
    <n v="101"/>
    <n v="2"/>
    <n v="339"/>
    <n v="0"/>
    <n v="38"/>
    <x v="9"/>
    <x v="38"/>
    <n v="0.25831202046035806"/>
    <n v="0.11209439528023599"/>
    <n v="290"/>
    <n v="301"/>
    <n v="15"/>
    <n v="0.55539772727272729"/>
    <n v="0.14346590909090909"/>
    <n v="0.48153409090909088"/>
    <n v="5.3977272727272728E-2"/>
    <n v="0.51846590909090906"/>
  </r>
  <r>
    <x v="267"/>
    <n v="3"/>
    <n v="394"/>
    <n v="0"/>
    <n v="101"/>
    <n v="1"/>
    <n v="340"/>
    <n v="0"/>
    <n v="38"/>
    <x v="9"/>
    <x v="38"/>
    <n v="0.25634517766497461"/>
    <n v="0.11176470588235295"/>
    <n v="293"/>
    <n v="302"/>
    <n v="15"/>
    <n v="0.55965909090909094"/>
    <n v="0.14346590909090909"/>
    <n v="0.48295454545454547"/>
    <n v="5.3977272727272728E-2"/>
    <n v="0.52130681818181823"/>
  </r>
  <r>
    <x v="268"/>
    <n v="3"/>
    <n v="397"/>
    <n v="0"/>
    <n v="101"/>
    <n v="3"/>
    <n v="343"/>
    <n v="0"/>
    <n v="38"/>
    <x v="9"/>
    <x v="38"/>
    <n v="0.25440806045340053"/>
    <n v="0.11078717201166181"/>
    <n v="296"/>
    <n v="305"/>
    <n v="15"/>
    <n v="0.56392045454545459"/>
    <n v="0.14346590909090909"/>
    <n v="0.48721590909090912"/>
    <n v="5.3977272727272728E-2"/>
    <n v="0.52556818181818188"/>
  </r>
  <r>
    <x v="269"/>
    <n v="3"/>
    <n v="400"/>
    <n v="0"/>
    <n v="101"/>
    <n v="3"/>
    <n v="346"/>
    <n v="0"/>
    <n v="38"/>
    <x v="9"/>
    <x v="38"/>
    <n v="0.2525"/>
    <n v="0.10982658959537572"/>
    <n v="299"/>
    <n v="308"/>
    <n v="15"/>
    <n v="0.56818181818181823"/>
    <n v="0.14346590909090909"/>
    <n v="0.49147727272727271"/>
    <n v="5.3977272727272728E-2"/>
    <n v="0.52982954545454541"/>
  </r>
  <r>
    <x v="270"/>
    <n v="3"/>
    <n v="403"/>
    <n v="0"/>
    <n v="101"/>
    <n v="1"/>
    <n v="347"/>
    <n v="0"/>
    <n v="38"/>
    <x v="9"/>
    <x v="38"/>
    <n v="0.25062034739454092"/>
    <n v="0.10951008645533142"/>
    <n v="302"/>
    <n v="309"/>
    <n v="15"/>
    <n v="0.57244318181818177"/>
    <n v="0.14346590909090909"/>
    <n v="0.49289772727272729"/>
    <n v="5.3977272727272728E-2"/>
    <n v="0.53267045454545459"/>
  </r>
  <r>
    <x v="271"/>
    <n v="0"/>
    <n v="403"/>
    <n v="0"/>
    <n v="101"/>
    <n v="2"/>
    <n v="349"/>
    <n v="0"/>
    <n v="38"/>
    <x v="9"/>
    <x v="38"/>
    <n v="0.25062034739454092"/>
    <n v="0.10888252148997135"/>
    <n v="302"/>
    <n v="311"/>
    <n v="15"/>
    <n v="0.57244318181818177"/>
    <n v="0.14346590909090909"/>
    <n v="0.49573863636363635"/>
    <n v="5.3977272727272728E-2"/>
    <n v="0.53409090909090906"/>
  </r>
  <r>
    <x v="272"/>
    <n v="0"/>
    <n v="403"/>
    <n v="0"/>
    <n v="101"/>
    <n v="4"/>
    <n v="353"/>
    <n v="0"/>
    <n v="38"/>
    <x v="9"/>
    <x v="39"/>
    <n v="0.25062034739454092"/>
    <n v="0.10764872521246459"/>
    <n v="302"/>
    <n v="315"/>
    <n v="15"/>
    <n v="0.57244318181818177"/>
    <n v="0.14346590909090909"/>
    <n v="0.50142045454545459"/>
    <n v="5.3977272727272728E-2"/>
    <n v="0.53693181818181812"/>
  </r>
  <r>
    <x v="273"/>
    <n v="3"/>
    <n v="406"/>
    <n v="0"/>
    <n v="101"/>
    <n v="1"/>
    <n v="354"/>
    <n v="0"/>
    <n v="38"/>
    <x v="9"/>
    <x v="39"/>
    <n v="0.24876847290640394"/>
    <n v="0.10734463276836158"/>
    <n v="305"/>
    <n v="316"/>
    <n v="15"/>
    <n v="0.57670454545454541"/>
    <n v="0.14346590909090909"/>
    <n v="0.50284090909090906"/>
    <n v="5.3977272727272728E-2"/>
    <n v="0.53977272727272729"/>
  </r>
  <r>
    <x v="274"/>
    <n v="3"/>
    <n v="409"/>
    <n v="0"/>
    <n v="101"/>
    <n v="1"/>
    <n v="355"/>
    <n v="0"/>
    <n v="38"/>
    <x v="9"/>
    <x v="39"/>
    <n v="0.24694376528117359"/>
    <n v="0.10704225352112676"/>
    <n v="308"/>
    <n v="317"/>
    <n v="15"/>
    <n v="0.58096590909090906"/>
    <n v="0.14346590909090909"/>
    <n v="0.50426136363636365"/>
    <n v="5.3977272727272728E-2"/>
    <n v="0.54261363636363635"/>
  </r>
  <r>
    <x v="275"/>
    <n v="3"/>
    <n v="412"/>
    <n v="0"/>
    <n v="101"/>
    <n v="3"/>
    <n v="358"/>
    <n v="0"/>
    <n v="38"/>
    <x v="9"/>
    <x v="39"/>
    <n v="0.24514563106796117"/>
    <n v="0.10614525139664804"/>
    <n v="311"/>
    <n v="320"/>
    <n v="15"/>
    <n v="0.58522727272727271"/>
    <n v="0.14346590909090909"/>
    <n v="0.50852272727272729"/>
    <n v="5.3977272727272728E-2"/>
    <n v="0.546875"/>
  </r>
  <r>
    <x v="276"/>
    <n v="3"/>
    <n v="415"/>
    <n v="0"/>
    <n v="101"/>
    <n v="3"/>
    <n v="361"/>
    <n v="0"/>
    <n v="38"/>
    <x v="9"/>
    <x v="39"/>
    <n v="0.2433734939759036"/>
    <n v="0.10526315789473684"/>
    <n v="314"/>
    <n v="323"/>
    <n v="15"/>
    <n v="0.58948863636363635"/>
    <n v="0.14346590909090909"/>
    <n v="0.51278409090909094"/>
    <n v="5.3977272727272728E-2"/>
    <n v="0.55113636363636365"/>
  </r>
  <r>
    <x v="277"/>
    <n v="3"/>
    <n v="418"/>
    <n v="0"/>
    <n v="101"/>
    <n v="2"/>
    <n v="363"/>
    <n v="0"/>
    <n v="38"/>
    <x v="9"/>
    <x v="39"/>
    <n v="0.24162679425837322"/>
    <n v="0.1046831955922865"/>
    <n v="317"/>
    <n v="325"/>
    <n v="15"/>
    <n v="0.59375"/>
    <n v="0.14346590909090909"/>
    <n v="0.515625"/>
    <n v="5.3977272727272728E-2"/>
    <n v="0.5546875"/>
  </r>
  <r>
    <x v="278"/>
    <n v="0"/>
    <n v="418"/>
    <n v="0"/>
    <n v="101"/>
    <n v="2"/>
    <n v="365"/>
    <n v="0"/>
    <n v="38"/>
    <x v="9"/>
    <x v="39"/>
    <n v="0.24162679425837322"/>
    <n v="0.10410958904109589"/>
    <n v="317"/>
    <n v="327"/>
    <n v="15"/>
    <n v="0.59375"/>
    <n v="0.14346590909090909"/>
    <n v="0.51846590909090906"/>
    <n v="5.3977272727272728E-2"/>
    <n v="0.55610795454545459"/>
  </r>
  <r>
    <x v="279"/>
    <n v="0"/>
    <n v="418"/>
    <n v="0"/>
    <n v="101"/>
    <n v="2"/>
    <n v="367"/>
    <n v="0"/>
    <n v="38"/>
    <x v="9"/>
    <x v="40"/>
    <n v="0.24162679425837322"/>
    <n v="0.10354223433242507"/>
    <n v="317"/>
    <n v="329"/>
    <n v="15"/>
    <n v="0.59375"/>
    <n v="0.14346590909090909"/>
    <n v="0.52130681818181823"/>
    <n v="5.3977272727272728E-2"/>
    <n v="0.55752840909090917"/>
  </r>
  <r>
    <x v="280"/>
    <n v="3"/>
    <n v="421"/>
    <n v="0"/>
    <n v="101"/>
    <n v="1"/>
    <n v="368"/>
    <n v="0"/>
    <n v="38"/>
    <x v="9"/>
    <x v="40"/>
    <n v="0.23990498812351543"/>
    <n v="0.10326086956521739"/>
    <n v="320"/>
    <n v="330"/>
    <n v="15"/>
    <n v="0.59801136363636365"/>
    <n v="0.14346590909090909"/>
    <n v="0.52272727272727271"/>
    <n v="5.3977272727272728E-2"/>
    <n v="0.56036931818181812"/>
  </r>
  <r>
    <x v="281"/>
    <n v="3"/>
    <n v="424"/>
    <n v="0"/>
    <n v="101"/>
    <n v="2"/>
    <n v="370"/>
    <n v="0"/>
    <n v="38"/>
    <x v="9"/>
    <x v="40"/>
    <n v="0.23820754716981132"/>
    <n v="0.10270270270270271"/>
    <n v="323"/>
    <n v="332"/>
    <n v="15"/>
    <n v="0.60227272727272729"/>
    <n v="0.14346590909090909"/>
    <n v="0.52556818181818177"/>
    <n v="5.3977272727272728E-2"/>
    <n v="0.56392045454545459"/>
  </r>
  <r>
    <x v="282"/>
    <n v="3"/>
    <n v="427"/>
    <n v="0"/>
    <n v="101"/>
    <n v="3"/>
    <n v="373"/>
    <n v="0"/>
    <n v="38"/>
    <x v="9"/>
    <x v="40"/>
    <n v="0.23653395784543327"/>
    <n v="0.10187667560321716"/>
    <n v="326"/>
    <n v="335"/>
    <n v="15"/>
    <n v="0.60653409090909094"/>
    <n v="0.14346590909090909"/>
    <n v="0.52982954545454541"/>
    <n v="5.3977272727272728E-2"/>
    <n v="0.56818181818181812"/>
  </r>
  <r>
    <x v="283"/>
    <n v="3"/>
    <n v="430"/>
    <n v="0"/>
    <n v="101"/>
    <n v="3"/>
    <n v="376"/>
    <n v="0"/>
    <n v="38"/>
    <x v="9"/>
    <x v="40"/>
    <n v="0.23488372093023255"/>
    <n v="0.10106382978723404"/>
    <n v="329"/>
    <n v="338"/>
    <n v="15"/>
    <n v="0.61079545454545459"/>
    <n v="0.14346590909090909"/>
    <n v="0.53409090909090906"/>
    <n v="5.3977272727272728E-2"/>
    <n v="0.57244318181818188"/>
  </r>
  <r>
    <x v="284"/>
    <n v="3"/>
    <n v="433"/>
    <n v="0"/>
    <n v="101"/>
    <n v="2"/>
    <n v="378"/>
    <n v="0"/>
    <n v="38"/>
    <x v="9"/>
    <x v="40"/>
    <n v="0.23325635103926096"/>
    <n v="0.10052910052910052"/>
    <n v="332"/>
    <n v="340"/>
    <n v="15"/>
    <n v="0.61505681818181823"/>
    <n v="0.14346590909090909"/>
    <n v="0.53693181818181823"/>
    <n v="5.3977272727272728E-2"/>
    <n v="0.57599431818181823"/>
  </r>
  <r>
    <x v="285"/>
    <n v="0"/>
    <n v="433"/>
    <n v="0"/>
    <n v="101"/>
    <n v="1"/>
    <n v="379"/>
    <n v="0"/>
    <n v="38"/>
    <x v="9"/>
    <x v="40"/>
    <n v="0.23325635103926096"/>
    <n v="0.10026385224274406"/>
    <n v="332"/>
    <n v="341"/>
    <n v="15"/>
    <n v="0.61505681818181823"/>
    <n v="0.14346590909090909"/>
    <n v="0.53835227272727271"/>
    <n v="5.3977272727272728E-2"/>
    <n v="0.57670454545454541"/>
  </r>
  <r>
    <x v="286"/>
    <n v="0"/>
    <n v="433"/>
    <n v="0"/>
    <n v="101"/>
    <n v="2"/>
    <n v="381"/>
    <n v="0"/>
    <n v="38"/>
    <x v="9"/>
    <x v="41"/>
    <n v="0.23325635103926096"/>
    <n v="9.9737532808398949E-2"/>
    <n v="332"/>
    <n v="343"/>
    <n v="3"/>
    <n v="0.61505681818181823"/>
    <n v="0.14346590909090909"/>
    <n v="0.54119318181818177"/>
    <n v="5.3977272727272728E-2"/>
    <n v="0.578125"/>
  </r>
  <r>
    <x v="287"/>
    <n v="3"/>
    <n v="436"/>
    <n v="0"/>
    <n v="101"/>
    <n v="2"/>
    <n v="383"/>
    <n v="0"/>
    <n v="38"/>
    <x v="9"/>
    <x v="41"/>
    <n v="0.23165137614678899"/>
    <n v="9.921671018276762E-2"/>
    <n v="335"/>
    <n v="345"/>
    <n v="3"/>
    <n v="0.61931818181818177"/>
    <n v="0.14346590909090909"/>
    <n v="0.54403409090909094"/>
    <n v="5.3977272727272728E-2"/>
    <n v="0.58167613636363635"/>
  </r>
  <r>
    <x v="288"/>
    <n v="3"/>
    <n v="439"/>
    <n v="0"/>
    <n v="101"/>
    <n v="2"/>
    <n v="385"/>
    <n v="0"/>
    <n v="38"/>
    <x v="10"/>
    <x v="41"/>
    <n v="0.23006833712984054"/>
    <n v="9.8701298701298706E-2"/>
    <n v="338"/>
    <n v="347"/>
    <n v="12"/>
    <n v="0.62357954545454541"/>
    <n v="0.14346590909090909"/>
    <n v="0.546875"/>
    <n v="5.3977272727272728E-2"/>
    <n v="0.58522727272727271"/>
  </r>
  <r>
    <x v="289"/>
    <n v="3"/>
    <n v="442"/>
    <n v="0"/>
    <n v="101"/>
    <n v="3"/>
    <n v="388"/>
    <n v="0"/>
    <n v="38"/>
    <x v="10"/>
    <x v="41"/>
    <n v="0.22850678733031674"/>
    <n v="9.7938144329896906E-2"/>
    <n v="341"/>
    <n v="350"/>
    <n v="12"/>
    <n v="0.62784090909090906"/>
    <n v="0.14346590909090909"/>
    <n v="0.55113636363636365"/>
    <n v="5.3977272727272728E-2"/>
    <n v="0.58948863636363635"/>
  </r>
  <r>
    <x v="290"/>
    <n v="3"/>
    <n v="445"/>
    <n v="0"/>
    <n v="101"/>
    <n v="3"/>
    <n v="391"/>
    <n v="0"/>
    <n v="38"/>
    <x v="10"/>
    <x v="41"/>
    <n v="0.22696629213483147"/>
    <n v="9.718670076726342E-2"/>
    <n v="344"/>
    <n v="353"/>
    <n v="12"/>
    <n v="0.63210227272727271"/>
    <n v="0.14346590909090909"/>
    <n v="0.55539772727272729"/>
    <n v="5.3977272727272728E-2"/>
    <n v="0.59375"/>
  </r>
  <r>
    <x v="291"/>
    <n v="3"/>
    <n v="448"/>
    <n v="0"/>
    <n v="101"/>
    <n v="1"/>
    <n v="392"/>
    <n v="0"/>
    <n v="38"/>
    <x v="10"/>
    <x v="41"/>
    <n v="0.22544642857142858"/>
    <n v="9.6938775510204078E-2"/>
    <n v="347"/>
    <n v="354"/>
    <n v="12"/>
    <n v="0.63636363636363635"/>
    <n v="0.14346590909090909"/>
    <n v="0.55681818181818177"/>
    <n v="5.3977272727272728E-2"/>
    <n v="0.59659090909090906"/>
  </r>
  <r>
    <x v="292"/>
    <n v="0"/>
    <n v="448"/>
    <n v="0"/>
    <n v="101"/>
    <n v="1"/>
    <n v="393"/>
    <n v="0"/>
    <n v="38"/>
    <x v="10"/>
    <x v="41"/>
    <n v="0.22544642857142858"/>
    <n v="9.6692111959287536E-2"/>
    <n v="347"/>
    <n v="355"/>
    <n v="12"/>
    <n v="0.63636363636363635"/>
    <n v="0.14346590909090909"/>
    <n v="0.55823863636363635"/>
    <n v="5.3977272727272728E-2"/>
    <n v="0.59730113636363635"/>
  </r>
  <r>
    <x v="293"/>
    <n v="0"/>
    <n v="448"/>
    <n v="0"/>
    <n v="101"/>
    <n v="4"/>
    <n v="397"/>
    <n v="0"/>
    <n v="38"/>
    <x v="10"/>
    <x v="42"/>
    <n v="0.22544642857142858"/>
    <n v="9.5717884130982367E-2"/>
    <n v="347"/>
    <n v="359"/>
    <n v="12"/>
    <n v="0.63636363636363635"/>
    <n v="0.14346590909090909"/>
    <n v="0.56392045454545459"/>
    <n v="5.3977272727272728E-2"/>
    <n v="0.60014204545454541"/>
  </r>
  <r>
    <x v="294"/>
    <n v="3"/>
    <n v="451"/>
    <n v="0"/>
    <n v="101"/>
    <n v="2"/>
    <n v="399"/>
    <n v="0"/>
    <n v="38"/>
    <x v="10"/>
    <x v="42"/>
    <n v="0.22394678492239467"/>
    <n v="9.5238095238095233E-2"/>
    <n v="350"/>
    <n v="361"/>
    <n v="12"/>
    <n v="0.640625"/>
    <n v="0.14346590909090909"/>
    <n v="0.56676136363636365"/>
    <n v="5.3977272727272728E-2"/>
    <n v="0.60369318181818188"/>
  </r>
  <r>
    <x v="295"/>
    <n v="0"/>
    <n v="451"/>
    <n v="0"/>
    <n v="101"/>
    <n v="1"/>
    <n v="400"/>
    <n v="0"/>
    <n v="38"/>
    <x v="10"/>
    <x v="42"/>
    <n v="0.22394678492239467"/>
    <n v="9.5000000000000001E-2"/>
    <n v="350"/>
    <n v="362"/>
    <n v="12"/>
    <n v="0.640625"/>
    <n v="0.14346590909090909"/>
    <n v="0.56818181818181823"/>
    <n v="5.3977272727272728E-2"/>
    <n v="0.60440340909090917"/>
  </r>
  <r>
    <x v="296"/>
    <n v="3"/>
    <n v="454"/>
    <n v="0"/>
    <n v="101"/>
    <n v="3"/>
    <n v="403"/>
    <n v="0"/>
    <n v="38"/>
    <x v="10"/>
    <x v="42"/>
    <n v="0.22246696035242292"/>
    <n v="9.4292803970223327E-2"/>
    <n v="353"/>
    <n v="365"/>
    <n v="12"/>
    <n v="0.64488636363636365"/>
    <n v="0.14346590909090909"/>
    <n v="0.57244318181818177"/>
    <n v="5.3977272727272728E-2"/>
    <n v="0.60866477272727271"/>
  </r>
  <r>
    <x v="297"/>
    <n v="3"/>
    <n v="457"/>
    <n v="0"/>
    <n v="101"/>
    <n v="3"/>
    <n v="406"/>
    <n v="0"/>
    <n v="38"/>
    <x v="10"/>
    <x v="42"/>
    <n v="0.22100656455142231"/>
    <n v="9.3596059113300489E-2"/>
    <n v="356"/>
    <n v="368"/>
    <n v="12"/>
    <n v="0.64914772727272729"/>
    <n v="0.14346590909090909"/>
    <n v="0.57670454545454541"/>
    <n v="5.3977272727272728E-2"/>
    <n v="0.61292613636363635"/>
  </r>
  <r>
    <x v="298"/>
    <n v="3"/>
    <n v="460"/>
    <n v="0"/>
    <n v="101"/>
    <n v="1"/>
    <n v="407"/>
    <n v="0"/>
    <n v="38"/>
    <x v="10"/>
    <x v="42"/>
    <n v="0.21956521739130436"/>
    <n v="9.3366093366093361E-2"/>
    <n v="359"/>
    <n v="369"/>
    <n v="12"/>
    <n v="0.65340909090909094"/>
    <n v="0.14346590909090909"/>
    <n v="0.578125"/>
    <n v="5.3977272727272728E-2"/>
    <n v="0.61576704545454541"/>
  </r>
  <r>
    <x v="299"/>
    <n v="0"/>
    <n v="460"/>
    <n v="0"/>
    <n v="101"/>
    <n v="2"/>
    <n v="409"/>
    <n v="0"/>
    <n v="38"/>
    <x v="10"/>
    <x v="42"/>
    <n v="0.21956521739130436"/>
    <n v="9.2909535452322736E-2"/>
    <n v="359"/>
    <n v="371"/>
    <n v="12"/>
    <n v="0.65340909090909094"/>
    <n v="0.14346590909090909"/>
    <n v="0.58096590909090906"/>
    <n v="5.3977272727272728E-2"/>
    <n v="0.6171875"/>
  </r>
  <r>
    <x v="300"/>
    <n v="0"/>
    <n v="460"/>
    <n v="0"/>
    <n v="101"/>
    <n v="4"/>
    <n v="413"/>
    <n v="0"/>
    <n v="38"/>
    <x v="10"/>
    <x v="43"/>
    <n v="0.21956521739130436"/>
    <n v="9.2009685230024216E-2"/>
    <n v="359"/>
    <n v="375"/>
    <n v="15"/>
    <n v="0.65340909090909094"/>
    <n v="0.14346590909090909"/>
    <n v="0.58664772727272729"/>
    <n v="5.3977272727272728E-2"/>
    <n v="0.62002840909090917"/>
  </r>
  <r>
    <x v="301"/>
    <n v="3"/>
    <n v="463"/>
    <n v="0"/>
    <n v="101"/>
    <n v="1"/>
    <n v="414"/>
    <n v="0"/>
    <n v="38"/>
    <x v="10"/>
    <x v="43"/>
    <n v="0.21814254859611232"/>
    <n v="9.1787439613526575E-2"/>
    <n v="362"/>
    <n v="376"/>
    <n v="15"/>
    <n v="0.65767045454545459"/>
    <n v="0.14346590909090909"/>
    <n v="0.58806818181818177"/>
    <n v="5.3977272727272728E-2"/>
    <n v="0.62286931818181812"/>
  </r>
  <r>
    <x v="302"/>
    <n v="3"/>
    <n v="466"/>
    <n v="0"/>
    <n v="101"/>
    <n v="1"/>
    <n v="415"/>
    <n v="0"/>
    <n v="38"/>
    <x v="10"/>
    <x v="43"/>
    <n v="0.2167381974248927"/>
    <n v="9.1566265060240959E-2"/>
    <n v="365"/>
    <n v="377"/>
    <n v="15"/>
    <n v="0.66193181818181823"/>
    <n v="0.14346590909090909"/>
    <n v="0.58948863636363635"/>
    <n v="5.3977272727272728E-2"/>
    <n v="0.62571022727272729"/>
  </r>
  <r>
    <x v="303"/>
    <n v="3"/>
    <n v="469"/>
    <n v="0"/>
    <n v="101"/>
    <n v="3"/>
    <n v="418"/>
    <n v="0"/>
    <n v="38"/>
    <x v="10"/>
    <x v="43"/>
    <n v="0.21535181236673773"/>
    <n v="9.0909090909090912E-2"/>
    <n v="368"/>
    <n v="380"/>
    <n v="15"/>
    <n v="0.66619318181818177"/>
    <n v="0.14346590909090909"/>
    <n v="0.59375"/>
    <n v="5.3977272727272728E-2"/>
    <n v="0.62997159090909083"/>
  </r>
  <r>
    <x v="304"/>
    <n v="3"/>
    <n v="472"/>
    <n v="0"/>
    <n v="101"/>
    <n v="3"/>
    <n v="421"/>
    <n v="0"/>
    <n v="38"/>
    <x v="10"/>
    <x v="43"/>
    <n v="0.21398305084745764"/>
    <n v="9.0261282660332537E-2"/>
    <n v="371"/>
    <n v="383"/>
    <n v="15"/>
    <n v="0.67045454545454541"/>
    <n v="0.14346590909090909"/>
    <n v="0.59801136363636365"/>
    <n v="5.3977272727272728E-2"/>
    <n v="0.63423295454545459"/>
  </r>
  <r>
    <x v="305"/>
    <n v="3"/>
    <n v="475"/>
    <n v="0"/>
    <n v="101"/>
    <n v="2"/>
    <n v="423"/>
    <n v="0"/>
    <n v="38"/>
    <x v="10"/>
    <x v="43"/>
    <n v="0.21263157894736842"/>
    <n v="8.9834515366430265E-2"/>
    <n v="374"/>
    <n v="385"/>
    <n v="15"/>
    <n v="0.67471590909090906"/>
    <n v="0.14346590909090909"/>
    <n v="0.60085227272727271"/>
    <n v="5.3977272727272728E-2"/>
    <n v="0.63778409090909083"/>
  </r>
  <r>
    <x v="306"/>
    <n v="0"/>
    <n v="475"/>
    <n v="0"/>
    <n v="101"/>
    <n v="2"/>
    <n v="425"/>
    <n v="0"/>
    <n v="38"/>
    <x v="10"/>
    <x v="43"/>
    <n v="0.21263157894736842"/>
    <n v="8.9411764705882357E-2"/>
    <n v="374"/>
    <n v="387"/>
    <n v="15"/>
    <n v="0.67471590909090906"/>
    <n v="0.14346590909090909"/>
    <n v="0.60369318181818177"/>
    <n v="5.3977272727272728E-2"/>
    <n v="0.63920454545454541"/>
  </r>
  <r>
    <x v="307"/>
    <n v="0"/>
    <n v="475"/>
    <n v="0"/>
    <n v="101"/>
    <n v="2"/>
    <n v="427"/>
    <n v="0"/>
    <n v="38"/>
    <x v="10"/>
    <x v="44"/>
    <n v="0.21263157894736842"/>
    <n v="8.899297423887588E-2"/>
    <n v="374"/>
    <n v="389"/>
    <n v="9"/>
    <n v="0.67471590909090906"/>
    <n v="0.14346590909090909"/>
    <n v="0.60653409090909094"/>
    <n v="5.3977272727272728E-2"/>
    <n v="0.640625"/>
  </r>
  <r>
    <x v="308"/>
    <n v="3"/>
    <n v="478"/>
    <n v="0"/>
    <n v="101"/>
    <n v="1"/>
    <n v="428"/>
    <n v="0"/>
    <n v="38"/>
    <x v="10"/>
    <x v="44"/>
    <n v="0.21129707112970711"/>
    <n v="8.8785046728971959E-2"/>
    <n v="377"/>
    <n v="390"/>
    <n v="9"/>
    <n v="0.67897727272727271"/>
    <n v="0.14346590909090909"/>
    <n v="0.60795454545454541"/>
    <n v="5.3977272727272728E-2"/>
    <n v="0.64346590909090906"/>
  </r>
  <r>
    <x v="309"/>
    <n v="3"/>
    <n v="481"/>
    <n v="0"/>
    <n v="101"/>
    <n v="2"/>
    <n v="430"/>
    <n v="0"/>
    <n v="38"/>
    <x v="10"/>
    <x v="44"/>
    <n v="0.20997920997920999"/>
    <n v="8.8372093023255813E-2"/>
    <n v="380"/>
    <n v="392"/>
    <n v="9"/>
    <n v="0.68323863636363635"/>
    <n v="0.14346590909090909"/>
    <n v="0.61079545454545459"/>
    <n v="5.3977272727272728E-2"/>
    <n v="0.64701704545454541"/>
  </r>
  <r>
    <x v="310"/>
    <n v="3"/>
    <n v="484"/>
    <n v="0"/>
    <n v="101"/>
    <n v="3"/>
    <n v="433"/>
    <n v="0"/>
    <n v="38"/>
    <x v="10"/>
    <x v="44"/>
    <n v="0.20867768595041322"/>
    <n v="8.7759815242494224E-2"/>
    <n v="383"/>
    <n v="395"/>
    <n v="9"/>
    <n v="0.6875"/>
    <n v="0.14346590909090909"/>
    <n v="0.61505681818181823"/>
    <n v="5.3977272727272728E-2"/>
    <n v="0.65127840909090917"/>
  </r>
  <r>
    <x v="311"/>
    <n v="0"/>
    <n v="484"/>
    <n v="0"/>
    <n v="101"/>
    <n v="3"/>
    <n v="436"/>
    <n v="0"/>
    <n v="38"/>
    <x v="10"/>
    <x v="44"/>
    <n v="0.20867768595041322"/>
    <n v="8.7155963302752298E-2"/>
    <n v="383"/>
    <n v="398"/>
    <n v="9"/>
    <n v="0.6875"/>
    <n v="0.14346590909090909"/>
    <n v="0.61931818181818177"/>
    <n v="5.3977272727272728E-2"/>
    <n v="0.65340909090909083"/>
  </r>
  <r>
    <x v="312"/>
    <n v="0"/>
    <n v="484"/>
    <n v="0"/>
    <n v="101"/>
    <n v="2"/>
    <n v="438"/>
    <n v="0"/>
    <n v="38"/>
    <x v="10"/>
    <x v="44"/>
    <n v="0.20867768595041322"/>
    <n v="8.6757990867579904E-2"/>
    <n v="383"/>
    <n v="400"/>
    <n v="9"/>
    <n v="0.6875"/>
    <n v="0.14346590909090909"/>
    <n v="0.62215909090909094"/>
    <n v="5.3977272727272728E-2"/>
    <n v="0.65482954545454541"/>
  </r>
  <r>
    <x v="313"/>
    <n v="0"/>
    <n v="484"/>
    <n v="0"/>
    <n v="101"/>
    <n v="1"/>
    <n v="439"/>
    <n v="0"/>
    <n v="38"/>
    <x v="10"/>
    <x v="44"/>
    <n v="0.20867768595041322"/>
    <n v="8.656036446469248E-2"/>
    <n v="383"/>
    <n v="401"/>
    <n v="9"/>
    <n v="0.6875"/>
    <n v="0.14346590909090909"/>
    <n v="0.62357954545454541"/>
    <n v="5.3977272727272728E-2"/>
    <n v="0.65553977272727271"/>
  </r>
  <r>
    <x v="314"/>
    <n v="0"/>
    <n v="484"/>
    <n v="0"/>
    <n v="101"/>
    <n v="2"/>
    <n v="441"/>
    <n v="0"/>
    <n v="38"/>
    <x v="10"/>
    <x v="45"/>
    <n v="0.20867768595041322"/>
    <n v="8.6167800453514742E-2"/>
    <n v="383"/>
    <n v="403"/>
    <n v="9"/>
    <n v="0.6875"/>
    <n v="0.14346590909090909"/>
    <n v="0.62642045454545459"/>
    <n v="5.3977272727272728E-2"/>
    <n v="0.65696022727272729"/>
  </r>
  <r>
    <x v="315"/>
    <n v="3"/>
    <n v="487"/>
    <n v="0"/>
    <n v="101"/>
    <n v="0"/>
    <n v="441"/>
    <n v="0"/>
    <n v="38"/>
    <x v="10"/>
    <x v="45"/>
    <n v="0.20739219712525667"/>
    <n v="8.6167800453514742E-2"/>
    <n v="386"/>
    <n v="403"/>
    <n v="9"/>
    <n v="0.69176136363636365"/>
    <n v="0.14346590909090909"/>
    <n v="0.62642045454545459"/>
    <n v="5.3977272727272728E-2"/>
    <n v="0.65909090909090917"/>
  </r>
  <r>
    <x v="316"/>
    <n v="3"/>
    <n v="490"/>
    <n v="0"/>
    <n v="101"/>
    <n v="2"/>
    <n v="443"/>
    <n v="0"/>
    <n v="38"/>
    <x v="10"/>
    <x v="45"/>
    <n v="0.20612244897959184"/>
    <n v="8.5778781038374718E-2"/>
    <n v="389"/>
    <n v="405"/>
    <n v="9"/>
    <n v="0.69602272727272729"/>
    <n v="0.14346590909090909"/>
    <n v="0.62926136363636365"/>
    <n v="5.3977272727272728E-2"/>
    <n v="0.66264204545454541"/>
  </r>
  <r>
    <x v="317"/>
    <n v="3"/>
    <n v="493"/>
    <n v="0"/>
    <n v="101"/>
    <n v="4"/>
    <n v="447"/>
    <n v="0"/>
    <n v="38"/>
    <x v="10"/>
    <x v="45"/>
    <n v="0.20486815415821502"/>
    <n v="8.5011185682326629E-2"/>
    <n v="392"/>
    <n v="409"/>
    <n v="9"/>
    <n v="0.70028409090909094"/>
    <n v="0.14346590909090909"/>
    <n v="0.63494318181818177"/>
    <n v="5.3977272727272728E-2"/>
    <n v="0.66761363636363635"/>
  </r>
  <r>
    <x v="318"/>
    <n v="0"/>
    <n v="493"/>
    <n v="0"/>
    <n v="101"/>
    <n v="3"/>
    <n v="450"/>
    <n v="0"/>
    <n v="38"/>
    <x v="10"/>
    <x v="45"/>
    <n v="0.20486815415821502"/>
    <n v="8.4444444444444447E-2"/>
    <n v="392"/>
    <n v="412"/>
    <n v="9"/>
    <n v="0.70028409090909094"/>
    <n v="0.14346590909090909"/>
    <n v="0.63920454545454541"/>
    <n v="5.3977272727272728E-2"/>
    <n v="0.66974431818181812"/>
  </r>
  <r>
    <x v="319"/>
    <n v="0"/>
    <n v="493"/>
    <n v="0"/>
    <n v="101"/>
    <n v="1"/>
    <n v="451"/>
    <n v="0"/>
    <n v="38"/>
    <x v="11"/>
    <x v="46"/>
    <n v="0.20486815415821502"/>
    <n v="8.4257206208425722E-2"/>
    <n v="392"/>
    <n v="413"/>
    <n v="0"/>
    <n v="0.70028409090909094"/>
    <n v="0.14346590909090909"/>
    <n v="0.640625"/>
    <n v="5.3977272727272728E-2"/>
    <n v="0.67045454545454541"/>
  </r>
  <r>
    <x v="320"/>
    <n v="0"/>
    <n v="493"/>
    <n v="0"/>
    <n v="101"/>
    <n v="1"/>
    <n v="452"/>
    <n v="0"/>
    <n v="38"/>
    <x v="11"/>
    <x v="46"/>
    <n v="0.20486815415821502"/>
    <n v="8.4070796460176997E-2"/>
    <n v="392"/>
    <n v="414"/>
    <n v="0"/>
    <n v="0.70028409090909094"/>
    <n v="0.14346590909090909"/>
    <n v="0.64204545454545459"/>
    <n v="5.3977272727272728E-2"/>
    <n v="0.67116477272727271"/>
  </r>
  <r>
    <x v="321"/>
    <n v="0"/>
    <n v="493"/>
    <n v="0"/>
    <n v="101"/>
    <n v="3"/>
    <n v="455"/>
    <n v="0"/>
    <n v="38"/>
    <x v="11"/>
    <x v="47"/>
    <n v="0.20486815415821502"/>
    <n v="8.3516483516483511E-2"/>
    <n v="392"/>
    <n v="417"/>
    <n v="15"/>
    <n v="0.70028409090909094"/>
    <n v="0.14346590909090909"/>
    <n v="0.64630681818181823"/>
    <n v="5.3977272727272728E-2"/>
    <n v="0.67329545454545459"/>
  </r>
  <r>
    <x v="322"/>
    <n v="3"/>
    <n v="496"/>
    <n v="0"/>
    <n v="101"/>
    <n v="2"/>
    <n v="457"/>
    <n v="0"/>
    <n v="38"/>
    <x v="11"/>
    <x v="47"/>
    <n v="0.20362903225806453"/>
    <n v="8.3150984682713341E-2"/>
    <n v="395"/>
    <n v="419"/>
    <n v="15"/>
    <n v="0.70454545454545459"/>
    <n v="0.14346590909090909"/>
    <n v="0.64914772727272729"/>
    <n v="5.3977272727272728E-2"/>
    <n v="0.67684659090909094"/>
  </r>
  <r>
    <x v="323"/>
    <n v="3"/>
    <n v="499"/>
    <n v="0"/>
    <n v="101"/>
    <n v="2"/>
    <n v="459"/>
    <n v="0"/>
    <n v="38"/>
    <x v="11"/>
    <x v="47"/>
    <n v="0.20240480961923848"/>
    <n v="8.2788671023965144E-2"/>
    <n v="398"/>
    <n v="421"/>
    <n v="15"/>
    <n v="0.70880681818181823"/>
    <n v="0.14346590909090909"/>
    <n v="0.65198863636363635"/>
    <n v="5.3977272727272728E-2"/>
    <n v="0.68039772727272729"/>
  </r>
  <r>
    <x v="324"/>
    <n v="3"/>
    <n v="502"/>
    <n v="0"/>
    <n v="101"/>
    <n v="3"/>
    <n v="462"/>
    <n v="0"/>
    <n v="38"/>
    <x v="11"/>
    <x v="47"/>
    <n v="0.20119521912350596"/>
    <n v="8.2251082251082255E-2"/>
    <n v="401"/>
    <n v="424"/>
    <n v="15"/>
    <n v="0.71306818181818177"/>
    <n v="0.14346590909090909"/>
    <n v="0.65625"/>
    <n v="5.3977272727272728E-2"/>
    <n v="0.68465909090909083"/>
  </r>
  <r>
    <x v="325"/>
    <n v="3"/>
    <n v="505"/>
    <n v="0"/>
    <n v="101"/>
    <n v="1"/>
    <n v="463"/>
    <n v="0"/>
    <n v="38"/>
    <x v="11"/>
    <x v="47"/>
    <n v="0.2"/>
    <n v="8.2073434125269976E-2"/>
    <n v="404"/>
    <n v="425"/>
    <n v="15"/>
    <n v="0.71732954545454541"/>
    <n v="0.14346590909090909"/>
    <n v="0.65767045454545459"/>
    <n v="5.3977272727272728E-2"/>
    <n v="0.6875"/>
  </r>
  <r>
    <x v="326"/>
    <n v="3"/>
    <n v="508"/>
    <n v="0"/>
    <n v="101"/>
    <n v="1"/>
    <n v="464"/>
    <n v="0"/>
    <n v="38"/>
    <x v="11"/>
    <x v="47"/>
    <n v="0.19881889763779528"/>
    <n v="8.1896551724137928E-2"/>
    <n v="407"/>
    <n v="426"/>
    <n v="15"/>
    <n v="0.72159090909090906"/>
    <n v="0.14346590909090909"/>
    <n v="0.65909090909090906"/>
    <n v="5.3977272727272728E-2"/>
    <n v="0.69034090909090906"/>
  </r>
  <r>
    <x v="327"/>
    <n v="0"/>
    <n v="508"/>
    <n v="0"/>
    <n v="101"/>
    <n v="1"/>
    <n v="465"/>
    <n v="0"/>
    <n v="38"/>
    <x v="11"/>
    <x v="47"/>
    <n v="0.19881889763779528"/>
    <n v="8.1720430107526887E-2"/>
    <n v="407"/>
    <n v="427"/>
    <n v="15"/>
    <n v="0.72159090909090906"/>
    <n v="0.14346590909090909"/>
    <n v="0.66051136363636365"/>
    <n v="5.3977272727272728E-2"/>
    <n v="0.69105113636363635"/>
  </r>
  <r>
    <x v="328"/>
    <n v="0"/>
    <n v="508"/>
    <n v="0"/>
    <n v="101"/>
    <n v="4"/>
    <n v="469"/>
    <n v="0"/>
    <n v="38"/>
    <x v="11"/>
    <x v="48"/>
    <n v="0.19881889763779528"/>
    <n v="8.1023454157782518E-2"/>
    <n v="407"/>
    <n v="431"/>
    <n v="15"/>
    <n v="0.72159090909090906"/>
    <n v="0.14346590909090909"/>
    <n v="0.66619318181818177"/>
    <n v="5.3977272727272728E-2"/>
    <n v="0.69389204545454541"/>
  </r>
  <r>
    <x v="329"/>
    <n v="3"/>
    <n v="511"/>
    <n v="0"/>
    <n v="101"/>
    <n v="2"/>
    <n v="471"/>
    <n v="0"/>
    <n v="38"/>
    <x v="11"/>
    <x v="48"/>
    <n v="0.19765166340508805"/>
    <n v="8.0679405520169847E-2"/>
    <n v="410"/>
    <n v="433"/>
    <n v="15"/>
    <n v="0.72585227272727271"/>
    <n v="0.14346590909090909"/>
    <n v="0.66903409090909094"/>
    <n v="5.3977272727272728E-2"/>
    <n v="0.69744318181818188"/>
  </r>
  <r>
    <x v="330"/>
    <n v="3"/>
    <n v="514"/>
    <n v="0"/>
    <n v="101"/>
    <n v="1"/>
    <n v="472"/>
    <n v="0"/>
    <n v="38"/>
    <x v="11"/>
    <x v="48"/>
    <n v="0.19649805447470817"/>
    <n v="8.050847457627118E-2"/>
    <n v="413"/>
    <n v="434"/>
    <n v="15"/>
    <n v="0.73011363636363635"/>
    <n v="0.14346590909090909"/>
    <n v="0.67045454545454541"/>
    <n v="5.3977272727272728E-2"/>
    <n v="0.70028409090909083"/>
  </r>
  <r>
    <x v="331"/>
    <n v="3"/>
    <n v="517"/>
    <n v="0"/>
    <n v="101"/>
    <n v="2"/>
    <n v="474"/>
    <n v="0"/>
    <n v="38"/>
    <x v="11"/>
    <x v="48"/>
    <n v="0.195357833655706"/>
    <n v="8.0168776371308023E-2"/>
    <n v="416"/>
    <n v="436"/>
    <n v="15"/>
    <n v="0.734375"/>
    <n v="0.14346590909090909"/>
    <n v="0.67329545454545459"/>
    <n v="5.3977272727272728E-2"/>
    <n v="0.70383522727272729"/>
  </r>
  <r>
    <x v="332"/>
    <n v="3"/>
    <n v="520"/>
    <n v="0"/>
    <n v="101"/>
    <n v="1"/>
    <n v="475"/>
    <n v="0"/>
    <n v="38"/>
    <x v="11"/>
    <x v="48"/>
    <n v="0.19423076923076923"/>
    <n v="0.08"/>
    <n v="419"/>
    <n v="437"/>
    <n v="15"/>
    <n v="0.73863636363636365"/>
    <n v="0.14346590909090909"/>
    <n v="0.67471590909090906"/>
    <n v="5.3977272727272728E-2"/>
    <n v="0.70667613636363635"/>
  </r>
  <r>
    <x v="333"/>
    <n v="3"/>
    <n v="523"/>
    <n v="0"/>
    <n v="101"/>
    <n v="1"/>
    <n v="476"/>
    <n v="0"/>
    <n v="38"/>
    <x v="11"/>
    <x v="48"/>
    <n v="0.19311663479923519"/>
    <n v="7.9831932773109238E-2"/>
    <n v="422"/>
    <n v="438"/>
    <n v="15"/>
    <n v="0.74289772727272729"/>
    <n v="0.14346590909090909"/>
    <n v="0.67613636363636365"/>
    <n v="5.3977272727272728E-2"/>
    <n v="0.70951704545454541"/>
  </r>
  <r>
    <x v="334"/>
    <n v="0"/>
    <n v="523"/>
    <n v="0"/>
    <n v="101"/>
    <n v="2"/>
    <n v="478"/>
    <n v="0"/>
    <n v="38"/>
    <x v="11"/>
    <x v="48"/>
    <n v="0.19311663479923519"/>
    <n v="7.9497907949790794E-2"/>
    <n v="422"/>
    <n v="440"/>
    <n v="15"/>
    <n v="0.74289772727272729"/>
    <n v="0.14346590909090909"/>
    <n v="0.67897727272727271"/>
    <n v="5.3977272727272728E-2"/>
    <n v="0.7109375"/>
  </r>
  <r>
    <x v="335"/>
    <n v="0"/>
    <n v="523"/>
    <n v="0"/>
    <n v="101"/>
    <n v="3"/>
    <n v="481"/>
    <n v="0"/>
    <n v="38"/>
    <x v="11"/>
    <x v="49"/>
    <n v="0.19311663479923519"/>
    <n v="7.9002079002079006E-2"/>
    <n v="422"/>
    <n v="443"/>
    <n v="15"/>
    <n v="0.74289772727272729"/>
    <n v="0.14346590909090909"/>
    <n v="0.68323863636363635"/>
    <n v="5.3977272727272728E-2"/>
    <n v="0.71306818181818188"/>
  </r>
  <r>
    <x v="336"/>
    <n v="3"/>
    <n v="526"/>
    <n v="0"/>
    <n v="101"/>
    <n v="2"/>
    <n v="483"/>
    <n v="0"/>
    <n v="38"/>
    <x v="11"/>
    <x v="49"/>
    <n v="0.19201520912547529"/>
    <n v="7.8674948240165632E-2"/>
    <n v="425"/>
    <n v="445"/>
    <n v="15"/>
    <n v="0.74715909090909094"/>
    <n v="0.14346590909090909"/>
    <n v="0.68607954545454541"/>
    <n v="5.3977272727272728E-2"/>
    <n v="0.71661931818181812"/>
  </r>
  <r>
    <x v="337"/>
    <n v="3"/>
    <n v="529"/>
    <n v="0"/>
    <n v="101"/>
    <n v="2"/>
    <n v="485"/>
    <n v="0"/>
    <n v="38"/>
    <x v="11"/>
    <x v="49"/>
    <n v="0.19092627599243855"/>
    <n v="7.8350515463917525E-2"/>
    <n v="428"/>
    <n v="447"/>
    <n v="15"/>
    <n v="0.75142045454545459"/>
    <n v="0.14346590909090909"/>
    <n v="0.68892045454545459"/>
    <n v="5.3977272727272728E-2"/>
    <n v="0.72017045454545459"/>
  </r>
  <r>
    <x v="338"/>
    <n v="3"/>
    <n v="532"/>
    <n v="0"/>
    <n v="101"/>
    <n v="1"/>
    <n v="486"/>
    <n v="0"/>
    <n v="38"/>
    <x v="11"/>
    <x v="49"/>
    <n v="0.18984962406015038"/>
    <n v="7.8189300411522639E-2"/>
    <n v="431"/>
    <n v="448"/>
    <n v="15"/>
    <n v="0.75568181818181823"/>
    <n v="0.14346590909090909"/>
    <n v="0.69034090909090906"/>
    <n v="5.3977272727272728E-2"/>
    <n v="0.72301136363636365"/>
  </r>
  <r>
    <x v="339"/>
    <n v="3"/>
    <n v="535"/>
    <n v="0"/>
    <n v="101"/>
    <n v="1"/>
    <n v="487"/>
    <n v="0"/>
    <n v="38"/>
    <x v="11"/>
    <x v="49"/>
    <n v="0.18878504672897195"/>
    <n v="7.8028747433264892E-2"/>
    <n v="434"/>
    <n v="449"/>
    <n v="15"/>
    <n v="0.75994318181818177"/>
    <n v="0.14346590909090909"/>
    <n v="0.69176136363636365"/>
    <n v="5.3977272727272728E-2"/>
    <n v="0.72585227272727271"/>
  </r>
  <r>
    <x v="340"/>
    <n v="3"/>
    <n v="538"/>
    <n v="0"/>
    <n v="101"/>
    <n v="2"/>
    <n v="489"/>
    <n v="0"/>
    <n v="38"/>
    <x v="11"/>
    <x v="49"/>
    <n v="0.18773234200743494"/>
    <n v="7.7709611451942745E-2"/>
    <n v="437"/>
    <n v="451"/>
    <n v="15"/>
    <n v="0.76420454545454541"/>
    <n v="0.14346590909090909"/>
    <n v="0.69460227272727271"/>
    <n v="5.3977272727272728E-2"/>
    <n v="0.72940340909090906"/>
  </r>
  <r>
    <x v="341"/>
    <n v="0"/>
    <n v="538"/>
    <n v="0"/>
    <n v="101"/>
    <n v="0"/>
    <n v="489"/>
    <n v="0"/>
    <n v="38"/>
    <x v="11"/>
    <x v="49"/>
    <n v="0.18773234200743494"/>
    <n v="7.7709611451942745E-2"/>
    <n v="437"/>
    <n v="451"/>
    <n v="15"/>
    <n v="0.76420454545454541"/>
    <n v="0.14346590909090909"/>
    <n v="0.69460227272727271"/>
    <n v="5.3977272727272728E-2"/>
    <n v="0.72940340909090906"/>
  </r>
  <r>
    <x v="342"/>
    <n v="0"/>
    <n v="538"/>
    <n v="0"/>
    <n v="101"/>
    <n v="1"/>
    <n v="490"/>
    <n v="0"/>
    <n v="38"/>
    <x v="11"/>
    <x v="50"/>
    <n v="0.18773234200743494"/>
    <n v="7.7551020408163265E-2"/>
    <n v="437"/>
    <n v="452"/>
    <n v="15"/>
    <n v="0.76420454545454541"/>
    <n v="0.14346590909090909"/>
    <n v="0.69602272727272729"/>
    <n v="5.3977272727272728E-2"/>
    <n v="0.73011363636363635"/>
  </r>
  <r>
    <x v="343"/>
    <n v="3"/>
    <n v="541"/>
    <n v="0"/>
    <n v="101"/>
    <n v="1"/>
    <n v="491"/>
    <n v="0"/>
    <n v="38"/>
    <x v="11"/>
    <x v="50"/>
    <n v="0.1866913123844732"/>
    <n v="7.7393075356415472E-2"/>
    <n v="440"/>
    <n v="453"/>
    <n v="15"/>
    <n v="0.76846590909090906"/>
    <n v="0.14346590909090909"/>
    <n v="0.69744318181818177"/>
    <n v="5.3977272727272728E-2"/>
    <n v="0.73295454545454541"/>
  </r>
  <r>
    <x v="344"/>
    <n v="3"/>
    <n v="544"/>
    <n v="0"/>
    <n v="101"/>
    <n v="2"/>
    <n v="493"/>
    <n v="0"/>
    <n v="38"/>
    <x v="11"/>
    <x v="50"/>
    <n v="0.18566176470588236"/>
    <n v="7.7079107505070993E-2"/>
    <n v="443"/>
    <n v="455"/>
    <n v="15"/>
    <n v="0.77272727272727271"/>
    <n v="0.14346590909090909"/>
    <n v="0.70028409090909094"/>
    <n v="5.3977272727272728E-2"/>
    <n v="0.73650568181818188"/>
  </r>
  <r>
    <x v="345"/>
    <n v="3"/>
    <n v="547"/>
    <n v="0"/>
    <n v="101"/>
    <n v="4"/>
    <n v="497"/>
    <n v="0"/>
    <n v="38"/>
    <x v="11"/>
    <x v="50"/>
    <n v="0.18464351005484461"/>
    <n v="7.6458752515090544E-2"/>
    <n v="446"/>
    <n v="459"/>
    <n v="15"/>
    <n v="0.77698863636363635"/>
    <n v="0.14346590909090909"/>
    <n v="0.70596590909090906"/>
    <n v="5.3977272727272728E-2"/>
    <n v="0.74147727272727271"/>
  </r>
  <r>
    <x v="346"/>
    <n v="3"/>
    <n v="550"/>
    <n v="0"/>
    <n v="101"/>
    <n v="2"/>
    <n v="499"/>
    <n v="0"/>
    <n v="38"/>
    <x v="11"/>
    <x v="50"/>
    <n v="0.18363636363636363"/>
    <n v="7.6152304609218444E-2"/>
    <n v="449"/>
    <n v="461"/>
    <n v="15"/>
    <n v="0.78125"/>
    <n v="0.14346590909090909"/>
    <n v="0.70880681818181823"/>
    <n v="5.3977272727272728E-2"/>
    <n v="0.74502840909090917"/>
  </r>
  <r>
    <x v="347"/>
    <n v="3"/>
    <n v="553"/>
    <n v="0"/>
    <n v="101"/>
    <n v="1"/>
    <n v="500"/>
    <n v="0"/>
    <n v="38"/>
    <x v="11"/>
    <x v="50"/>
    <n v="0.18264014466546113"/>
    <n v="7.5999999999999998E-2"/>
    <n v="452"/>
    <n v="462"/>
    <n v="15"/>
    <n v="0.78551136363636365"/>
    <n v="0.14346590909090909"/>
    <n v="0.71022727272727271"/>
    <n v="5.3977272727272728E-2"/>
    <n v="0.74786931818181812"/>
  </r>
  <r>
    <x v="348"/>
    <n v="0"/>
    <n v="553"/>
    <n v="0"/>
    <n v="101"/>
    <n v="0"/>
    <n v="500"/>
    <n v="0"/>
    <n v="38"/>
    <x v="11"/>
    <x v="50"/>
    <n v="0.18264014466546113"/>
    <n v="7.5999999999999998E-2"/>
    <n v="452"/>
    <n v="462"/>
    <n v="15"/>
    <n v="0.78551136363636365"/>
    <n v="0.14346590909090909"/>
    <n v="0.71022727272727271"/>
    <n v="5.3977272727272728E-2"/>
    <n v="0.74786931818181812"/>
  </r>
  <r>
    <x v="349"/>
    <n v="0"/>
    <n v="553"/>
    <n v="0"/>
    <n v="101"/>
    <n v="1"/>
    <n v="501"/>
    <n v="0"/>
    <n v="38"/>
    <x v="11"/>
    <x v="51"/>
    <n v="0.18264014466546113"/>
    <n v="7.5848303393213579E-2"/>
    <n v="452"/>
    <n v="463"/>
    <n v="0"/>
    <n v="0.78551136363636365"/>
    <n v="0.14346590909090909"/>
    <n v="0.71164772727272729"/>
    <n v="5.3977272727272728E-2"/>
    <n v="0.74857954545454541"/>
  </r>
  <r>
    <x v="350"/>
    <n v="3"/>
    <n v="556"/>
    <n v="0"/>
    <n v="101"/>
    <n v="2"/>
    <n v="503"/>
    <n v="0"/>
    <n v="38"/>
    <x v="0"/>
    <x v="51"/>
    <n v="0.18165467625899281"/>
    <n v="7.5546719681908542E-2"/>
    <n v="455"/>
    <n v="465"/>
    <n v="15"/>
    <n v="0.78977272727272729"/>
    <n v="0.14346590909090909"/>
    <n v="0.71448863636363635"/>
    <n v="5.3977272727272728E-2"/>
    <n v="0.75213068181818188"/>
  </r>
  <r>
    <x v="351"/>
    <n v="3"/>
    <n v="559"/>
    <n v="0"/>
    <n v="101"/>
    <n v="2"/>
    <n v="505"/>
    <n v="0"/>
    <n v="38"/>
    <x v="0"/>
    <x v="51"/>
    <n v="0.18067978533094811"/>
    <n v="7.5247524752475245E-2"/>
    <n v="458"/>
    <n v="467"/>
    <n v="15"/>
    <n v="0.79403409090909094"/>
    <n v="0.14346590909090909"/>
    <n v="0.71732954545454541"/>
    <n v="5.3977272727272728E-2"/>
    <n v="0.75568181818181812"/>
  </r>
  <r>
    <x v="352"/>
    <n v="3"/>
    <n v="562"/>
    <n v="0"/>
    <n v="101"/>
    <n v="3"/>
    <n v="508"/>
    <n v="0"/>
    <n v="38"/>
    <x v="0"/>
    <x v="51"/>
    <n v="0.17971530249110321"/>
    <n v="7.4803149606299218E-2"/>
    <n v="461"/>
    <n v="470"/>
    <n v="15"/>
    <n v="0.79829545454545459"/>
    <n v="0.14346590909090909"/>
    <n v="0.72159090909090906"/>
    <n v="5.3977272727272728E-2"/>
    <n v="0.75994318181818188"/>
  </r>
  <r>
    <x v="353"/>
    <n v="3"/>
    <n v="565"/>
    <n v="0"/>
    <n v="101"/>
    <n v="3"/>
    <n v="511"/>
    <n v="0"/>
    <n v="38"/>
    <x v="0"/>
    <x v="51"/>
    <n v="0.17876106194690267"/>
    <n v="7.4363992172211346E-2"/>
    <n v="464"/>
    <n v="473"/>
    <n v="15"/>
    <n v="0.80255681818181823"/>
    <n v="0.14346590909090909"/>
    <n v="0.72585227272727271"/>
    <n v="5.3977272727272728E-2"/>
    <n v="0.76420454545454541"/>
  </r>
  <r>
    <x v="354"/>
    <n v="3"/>
    <n v="568"/>
    <n v="0"/>
    <n v="101"/>
    <n v="1"/>
    <n v="512"/>
    <n v="0"/>
    <n v="38"/>
    <x v="0"/>
    <x v="51"/>
    <n v="0.17781690140845072"/>
    <n v="7.421875E-2"/>
    <n v="467"/>
    <n v="474"/>
    <n v="15"/>
    <n v="0.80681818181818177"/>
    <n v="0.14346590909090909"/>
    <n v="0.72727272727272729"/>
    <n v="5.3977272727272728E-2"/>
    <n v="0.76704545454545459"/>
  </r>
  <r>
    <x v="355"/>
    <n v="0"/>
    <n v="568"/>
    <n v="0"/>
    <n v="101"/>
    <n v="1"/>
    <n v="513"/>
    <n v="0"/>
    <n v="38"/>
    <x v="0"/>
    <x v="51"/>
    <n v="0.17781690140845072"/>
    <n v="7.407407407407407E-2"/>
    <n v="467"/>
    <n v="475"/>
    <n v="15"/>
    <n v="0.80681818181818177"/>
    <n v="0.14346590909090909"/>
    <n v="0.72869318181818177"/>
    <n v="5.3977272727272728E-2"/>
    <n v="0.76775568181818177"/>
  </r>
  <r>
    <x v="356"/>
    <n v="0"/>
    <n v="568"/>
    <n v="0"/>
    <n v="101"/>
    <n v="4"/>
    <n v="517"/>
    <n v="0"/>
    <n v="38"/>
    <x v="0"/>
    <x v="52"/>
    <n v="0.17781690140845072"/>
    <n v="7.3500967117988397E-2"/>
    <n v="467"/>
    <n v="479"/>
    <n v="15"/>
    <n v="0.80681818181818177"/>
    <n v="0.14346590909090909"/>
    <n v="0.734375"/>
    <n v="5.3977272727272728E-2"/>
    <n v="0.77059659090909083"/>
  </r>
  <r>
    <x v="357"/>
    <n v="3"/>
    <n v="571"/>
    <n v="0"/>
    <n v="101"/>
    <n v="2"/>
    <n v="519"/>
    <n v="0"/>
    <n v="38"/>
    <x v="0"/>
    <x v="52"/>
    <n v="0.17688266199649738"/>
    <n v="7.3217726396917149E-2"/>
    <n v="470"/>
    <n v="481"/>
    <n v="15"/>
    <n v="0.81107954545454541"/>
    <n v="0.14346590909090909"/>
    <n v="0.73721590909090906"/>
    <n v="5.3977272727272728E-2"/>
    <n v="0.77414772727272729"/>
  </r>
  <r>
    <x v="358"/>
    <n v="3"/>
    <n v="574"/>
    <n v="0"/>
    <n v="101"/>
    <n v="1"/>
    <n v="520"/>
    <n v="0"/>
    <n v="38"/>
    <x v="0"/>
    <x v="52"/>
    <n v="0.1759581881533101"/>
    <n v="7.3076923076923081E-2"/>
    <n v="473"/>
    <n v="482"/>
    <n v="15"/>
    <n v="0.81534090909090906"/>
    <n v="0.14346590909090909"/>
    <n v="0.73863636363636365"/>
    <n v="5.3977272727272728E-2"/>
    <n v="0.77698863636363635"/>
  </r>
  <r>
    <x v="359"/>
    <n v="3"/>
    <n v="577"/>
    <n v="0"/>
    <n v="101"/>
    <n v="3"/>
    <n v="523"/>
    <n v="0"/>
    <n v="38"/>
    <x v="0"/>
    <x v="52"/>
    <n v="0.17504332755632582"/>
    <n v="7.2657743785850867E-2"/>
    <n v="476"/>
    <n v="485"/>
    <n v="15"/>
    <n v="0.81960227272727271"/>
    <n v="0.14346590909090909"/>
    <n v="0.74289772727272729"/>
    <n v="5.3977272727272728E-2"/>
    <n v="0.78125"/>
  </r>
  <r>
    <x v="360"/>
    <n v="3"/>
    <n v="580"/>
    <n v="0"/>
    <n v="101"/>
    <n v="3"/>
    <n v="526"/>
    <n v="0"/>
    <n v="38"/>
    <x v="0"/>
    <x v="52"/>
    <n v="0.17413793103448275"/>
    <n v="7.2243346007604556E-2"/>
    <n v="479"/>
    <n v="488"/>
    <n v="15"/>
    <n v="0.82386363636363635"/>
    <n v="0.14346590909090909"/>
    <n v="0.74715909090909094"/>
    <n v="5.3977272727272728E-2"/>
    <n v="0.78551136363636365"/>
  </r>
  <r>
    <x v="361"/>
    <n v="3"/>
    <n v="583"/>
    <n v="0"/>
    <n v="101"/>
    <n v="1"/>
    <n v="527"/>
    <n v="0"/>
    <n v="38"/>
    <x v="0"/>
    <x v="52"/>
    <n v="0.1732418524871355"/>
    <n v="7.2106261859582549E-2"/>
    <n v="482"/>
    <n v="489"/>
    <n v="15"/>
    <n v="0.828125"/>
    <n v="0.14346590909090909"/>
    <n v="0.74857954545454541"/>
    <n v="5.3977272727272728E-2"/>
    <n v="0.78835227272727271"/>
  </r>
  <r>
    <x v="362"/>
    <n v="0"/>
    <n v="583"/>
    <n v="0"/>
    <n v="101"/>
    <n v="2"/>
    <n v="529"/>
    <n v="0"/>
    <n v="38"/>
    <x v="0"/>
    <x v="52"/>
    <n v="0.1732418524871355"/>
    <n v="7.1833648393194713E-2"/>
    <n v="482"/>
    <n v="491"/>
    <n v="15"/>
    <n v="0.828125"/>
    <n v="0.14346590909090909"/>
    <n v="0.75142045454545459"/>
    <n v="5.3977272727272728E-2"/>
    <n v="0.78977272727272729"/>
  </r>
  <r>
    <x v="363"/>
    <n v="0"/>
    <n v="583"/>
    <n v="0"/>
    <n v="101"/>
    <n v="4"/>
    <n v="533"/>
    <n v="0"/>
    <n v="38"/>
    <x v="0"/>
    <x v="0"/>
    <n v="0.1732418524871355"/>
    <n v="7.1294559099437146E-2"/>
    <n v="482"/>
    <n v="495"/>
    <n v="15"/>
    <n v="0.828125"/>
    <n v="0.14346590909090909"/>
    <n v="0.75710227272727271"/>
    <n v="5.3977272727272728E-2"/>
    <n v="0.79261363636363635"/>
  </r>
  <r>
    <x v="364"/>
    <n v="3"/>
    <n v="586"/>
    <n v="0"/>
    <n v="101"/>
    <n v="1"/>
    <n v="534"/>
    <n v="0"/>
    <n v="38"/>
    <x v="0"/>
    <x v="0"/>
    <n v="0.17235494880546076"/>
    <n v="7.116104868913857E-2"/>
    <n v="485"/>
    <n v="496"/>
    <n v="15"/>
    <n v="0.83238636363636365"/>
    <n v="0.14346590909090909"/>
    <n v="0.75852272727272729"/>
    <n v="5.3977272727272728E-2"/>
    <n v="0.79545454545454541"/>
  </r>
  <r>
    <x v="365"/>
    <n v="3"/>
    <n v="589"/>
    <n v="0"/>
    <n v="101"/>
    <n v="1"/>
    <n v="535"/>
    <n v="0"/>
    <n v="38"/>
    <x v="0"/>
    <x v="0"/>
    <n v="0.17147707979626486"/>
    <n v="7.1028037383177575E-2"/>
    <n v="488"/>
    <n v="497"/>
    <n v="15"/>
    <n v="0.83664772727272729"/>
    <n v="0.14346590909090909"/>
    <n v="0.75994318181818177"/>
    <n v="5.3977272727272728E-2"/>
    <n v="0.79829545454545459"/>
  </r>
  <r>
    <x v="366"/>
    <n v="3"/>
    <n v="592"/>
    <n v="0"/>
    <n v="101"/>
    <n v="3"/>
    <n v="538"/>
    <n v="0"/>
    <n v="38"/>
    <x v="0"/>
    <x v="0"/>
    <n v="0.17060810810810811"/>
    <n v="7.0631970260223054E-2"/>
    <n v="491"/>
    <n v="500"/>
    <n v="15"/>
    <n v="0.84090909090909094"/>
    <n v="0.14346590909090909"/>
    <n v="0.76420454545454541"/>
    <n v="5.3977272727272728E-2"/>
    <n v="0.80255681818181812"/>
  </r>
  <r>
    <x v="367"/>
    <n v="3"/>
    <n v="595"/>
    <n v="0"/>
    <n v="101"/>
    <n v="3"/>
    <n v="541"/>
    <n v="0"/>
    <n v="38"/>
    <x v="0"/>
    <x v="0"/>
    <n v="0.16974789915966387"/>
    <n v="7.0240295748613679E-2"/>
    <n v="494"/>
    <n v="503"/>
    <n v="15"/>
    <n v="0.84517045454545459"/>
    <n v="0.14346590909090909"/>
    <n v="0.76846590909090906"/>
    <n v="5.3977272727272728E-2"/>
    <n v="0.80681818181818188"/>
  </r>
  <r>
    <x v="368"/>
    <n v="3"/>
    <n v="598"/>
    <n v="0"/>
    <n v="101"/>
    <n v="2"/>
    <n v="543"/>
    <n v="0"/>
    <n v="38"/>
    <x v="0"/>
    <x v="0"/>
    <n v="0.16889632107023411"/>
    <n v="6.9981583793738492E-2"/>
    <n v="497"/>
    <n v="505"/>
    <n v="15"/>
    <n v="0.84943181818181823"/>
    <n v="0.14346590909090909"/>
    <n v="0.77130681818181823"/>
    <n v="5.3977272727272728E-2"/>
    <n v="0.81036931818181823"/>
  </r>
  <r>
    <x v="369"/>
    <n v="0"/>
    <n v="598"/>
    <n v="0"/>
    <n v="101"/>
    <n v="2"/>
    <n v="545"/>
    <n v="0"/>
    <n v="38"/>
    <x v="0"/>
    <x v="0"/>
    <n v="0.16889632107023411"/>
    <n v="6.9724770642201839E-2"/>
    <n v="497"/>
    <n v="507"/>
    <n v="15"/>
    <n v="0.84943181818181823"/>
    <n v="0.14346590909090909"/>
    <n v="0.77414772727272729"/>
    <n v="5.3977272727272728E-2"/>
    <n v="0.81178977272727271"/>
  </r>
  <r>
    <x v="370"/>
    <n v="0"/>
    <n v="598"/>
    <n v="0"/>
    <n v="101"/>
    <n v="2"/>
    <n v="547"/>
    <n v="0"/>
    <n v="38"/>
    <x v="0"/>
    <x v="1"/>
    <n v="0.16889632107023411"/>
    <n v="6.9469835466179158E-2"/>
    <n v="497"/>
    <n v="509"/>
    <n v="15"/>
    <n v="0.84943181818181823"/>
    <n v="0.14346590909090909"/>
    <n v="0.77698863636363635"/>
    <n v="5.3977272727272728E-2"/>
    <n v="0.81321022727272729"/>
  </r>
  <r>
    <x v="371"/>
    <n v="3"/>
    <n v="601"/>
    <n v="0"/>
    <n v="101"/>
    <n v="1"/>
    <n v="548"/>
    <n v="0"/>
    <n v="38"/>
    <x v="0"/>
    <x v="1"/>
    <n v="0.16805324459234608"/>
    <n v="6.9343065693430656E-2"/>
    <n v="500"/>
    <n v="510"/>
    <n v="15"/>
    <n v="0.85369318181818177"/>
    <n v="0.14346590909090909"/>
    <n v="0.77840909090909094"/>
    <n v="5.3977272727272728E-2"/>
    <n v="0.81605113636363635"/>
  </r>
  <r>
    <x v="372"/>
    <n v="3"/>
    <n v="604"/>
    <n v="0"/>
    <n v="101"/>
    <n v="2"/>
    <n v="550"/>
    <n v="0"/>
    <n v="38"/>
    <x v="0"/>
    <x v="1"/>
    <n v="0.16721854304635761"/>
    <n v="6.9090909090909092E-2"/>
    <n v="503"/>
    <n v="512"/>
    <n v="15"/>
    <n v="0.85795454545454541"/>
    <n v="0.14346590909090909"/>
    <n v="0.78125"/>
    <n v="5.3977272727272728E-2"/>
    <n v="0.81960227272727271"/>
  </r>
  <r>
    <x v="373"/>
    <n v="3"/>
    <n v="607"/>
    <n v="0"/>
    <n v="101"/>
    <n v="3"/>
    <n v="553"/>
    <n v="0"/>
    <n v="38"/>
    <x v="0"/>
    <x v="1"/>
    <n v="0.16639209225700163"/>
    <n v="6.8716094032549732E-2"/>
    <n v="506"/>
    <n v="515"/>
    <n v="15"/>
    <n v="0.86221590909090906"/>
    <n v="0.14346590909090909"/>
    <n v="0.78551136363636365"/>
    <n v="5.3977272727272728E-2"/>
    <n v="0.82386363636363635"/>
  </r>
  <r>
    <x v="374"/>
    <n v="3"/>
    <n v="610"/>
    <n v="0"/>
    <n v="101"/>
    <n v="3"/>
    <n v="556"/>
    <n v="0"/>
    <n v="38"/>
    <x v="0"/>
    <x v="1"/>
    <n v="0.16557377049180327"/>
    <n v="6.83453237410072E-2"/>
    <n v="509"/>
    <n v="518"/>
    <n v="15"/>
    <n v="0.86647727272727271"/>
    <n v="0.14346590909090909"/>
    <n v="0.78977272727272729"/>
    <n v="5.3977272727272728E-2"/>
    <n v="0.828125"/>
  </r>
  <r>
    <x v="375"/>
    <n v="3"/>
    <n v="613"/>
    <n v="0"/>
    <n v="101"/>
    <n v="2"/>
    <n v="558"/>
    <n v="0"/>
    <n v="38"/>
    <x v="0"/>
    <x v="1"/>
    <n v="0.16476345840130505"/>
    <n v="6.8100358422939072E-2"/>
    <n v="512"/>
    <n v="520"/>
    <n v="15"/>
    <n v="0.87073863636363635"/>
    <n v="0.14346590909090909"/>
    <n v="0.79261363636363635"/>
    <n v="5.3977272727272728E-2"/>
    <n v="0.83167613636363635"/>
  </r>
  <r>
    <x v="376"/>
    <n v="0"/>
    <n v="613"/>
    <n v="0"/>
    <n v="101"/>
    <n v="1"/>
    <n v="559"/>
    <n v="0"/>
    <n v="38"/>
    <x v="0"/>
    <x v="1"/>
    <n v="0.16476345840130505"/>
    <n v="6.7978533094812166E-2"/>
    <n v="512"/>
    <n v="521"/>
    <n v="15"/>
    <n v="0.87073863636363635"/>
    <n v="0.14346590909090909"/>
    <n v="0.79403409090909094"/>
    <n v="5.3977272727272728E-2"/>
    <n v="0.83238636363636365"/>
  </r>
  <r>
    <x v="377"/>
    <n v="0"/>
    <n v="613"/>
    <n v="0"/>
    <n v="101"/>
    <n v="2"/>
    <n v="561"/>
    <n v="0"/>
    <n v="38"/>
    <x v="0"/>
    <x v="2"/>
    <n v="0.16476345840130505"/>
    <n v="6.7736185383244205E-2"/>
    <n v="512"/>
    <n v="523"/>
    <n v="0"/>
    <n v="0.87073863636363635"/>
    <n v="0.14346590909090909"/>
    <n v="0.796875"/>
    <n v="5.3977272727272728E-2"/>
    <n v="0.83380681818181812"/>
  </r>
  <r>
    <x v="378"/>
    <n v="3"/>
    <n v="616"/>
    <n v="0"/>
    <n v="101"/>
    <n v="2"/>
    <n v="563"/>
    <n v="0"/>
    <n v="38"/>
    <x v="1"/>
    <x v="2"/>
    <n v="0.16396103896103897"/>
    <n v="6.7495559502664296E-2"/>
    <n v="515"/>
    <n v="525"/>
    <n v="15"/>
    <n v="0.875"/>
    <n v="0.14346590909090909"/>
    <n v="0.79971590909090906"/>
    <n v="5.3977272727272728E-2"/>
    <n v="0.83735795454545459"/>
  </r>
  <r>
    <x v="379"/>
    <n v="3"/>
    <n v="619"/>
    <n v="0"/>
    <n v="101"/>
    <n v="2"/>
    <n v="565"/>
    <n v="0"/>
    <n v="38"/>
    <x v="1"/>
    <x v="2"/>
    <n v="0.16316639741518579"/>
    <n v="6.7256637168141592E-2"/>
    <n v="518"/>
    <n v="527"/>
    <n v="15"/>
    <n v="0.87926136363636365"/>
    <n v="0.14346590909090909"/>
    <n v="0.80255681818181823"/>
    <n v="5.3977272727272728E-2"/>
    <n v="0.84090909090909094"/>
  </r>
  <r>
    <x v="380"/>
    <n v="3"/>
    <n v="622"/>
    <n v="0"/>
    <n v="101"/>
    <n v="3"/>
    <n v="568"/>
    <n v="0"/>
    <n v="38"/>
    <x v="1"/>
    <x v="2"/>
    <n v="0.16237942122186494"/>
    <n v="6.6901408450704219E-2"/>
    <n v="521"/>
    <n v="530"/>
    <n v="15"/>
    <n v="0.88352272727272729"/>
    <n v="0.14346590909090909"/>
    <n v="0.80681818181818177"/>
    <n v="5.3977272727272728E-2"/>
    <n v="0.84517045454545459"/>
  </r>
  <r>
    <x v="381"/>
    <n v="3"/>
    <n v="625"/>
    <n v="0"/>
    <n v="101"/>
    <n v="3"/>
    <n v="571"/>
    <n v="0"/>
    <n v="38"/>
    <x v="1"/>
    <x v="2"/>
    <n v="0.16159999999999999"/>
    <n v="6.6549912434325745E-2"/>
    <n v="524"/>
    <n v="533"/>
    <n v="15"/>
    <n v="0.88778409090909094"/>
    <n v="0.14346590909090909"/>
    <n v="0.81107954545454541"/>
    <n v="5.3977272727272728E-2"/>
    <n v="0.84943181818181812"/>
  </r>
  <r>
    <x v="382"/>
    <n v="3"/>
    <n v="628"/>
    <n v="0"/>
    <n v="101"/>
    <n v="1"/>
    <n v="572"/>
    <n v="0"/>
    <n v="38"/>
    <x v="1"/>
    <x v="2"/>
    <n v="0.160828025477707"/>
    <n v="6.6433566433566432E-2"/>
    <n v="527"/>
    <n v="534"/>
    <n v="15"/>
    <n v="0.89204545454545459"/>
    <n v="0.14346590909090909"/>
    <n v="0.8125"/>
    <n v="5.3977272727272728E-2"/>
    <n v="0.85227272727272729"/>
  </r>
  <r>
    <x v="383"/>
    <n v="0"/>
    <n v="628"/>
    <n v="0"/>
    <n v="101"/>
    <n v="1"/>
    <n v="573"/>
    <n v="0"/>
    <n v="38"/>
    <x v="1"/>
    <x v="2"/>
    <n v="0.160828025477707"/>
    <n v="6.6317626527050616E-2"/>
    <n v="527"/>
    <n v="535"/>
    <n v="15"/>
    <n v="0.89204545454545459"/>
    <n v="0.14346590909090909"/>
    <n v="0.81392045454545459"/>
    <n v="5.3977272727272728E-2"/>
    <n v="0.85298295454545459"/>
  </r>
  <r>
    <x v="384"/>
    <n v="0"/>
    <n v="628"/>
    <n v="0"/>
    <n v="101"/>
    <n v="4"/>
    <n v="577"/>
    <n v="0"/>
    <n v="38"/>
    <x v="1"/>
    <x v="3"/>
    <n v="0.160828025477707"/>
    <n v="6.5857885615251299E-2"/>
    <n v="527"/>
    <n v="539"/>
    <n v="15"/>
    <n v="0.89204545454545459"/>
    <n v="0.14346590909090909"/>
    <n v="0.81960227272727271"/>
    <n v="5.3977272727272728E-2"/>
    <n v="0.85582386363636365"/>
  </r>
  <r>
    <x v="385"/>
    <n v="3"/>
    <n v="631"/>
    <n v="0"/>
    <n v="101"/>
    <n v="2"/>
    <n v="579"/>
    <n v="0"/>
    <n v="38"/>
    <x v="1"/>
    <x v="3"/>
    <n v="0.16006339144215531"/>
    <n v="6.563039723661486E-2"/>
    <n v="530"/>
    <n v="541"/>
    <n v="15"/>
    <n v="0.89630681818181823"/>
    <n v="0.14346590909090909"/>
    <n v="0.82244318181818177"/>
    <n v="5.3977272727272728E-2"/>
    <n v="0.859375"/>
  </r>
  <r>
    <x v="386"/>
    <n v="3"/>
    <n v="634"/>
    <n v="0"/>
    <n v="101"/>
    <n v="1"/>
    <n v="580"/>
    <n v="0"/>
    <n v="38"/>
    <x v="1"/>
    <x v="3"/>
    <n v="0.15930599369085174"/>
    <n v="6.5517241379310351E-2"/>
    <n v="533"/>
    <n v="542"/>
    <n v="15"/>
    <n v="0.90056818181818177"/>
    <n v="0.14346590909090909"/>
    <n v="0.82386363636363635"/>
    <n v="5.3977272727272728E-2"/>
    <n v="0.86221590909090906"/>
  </r>
  <r>
    <x v="387"/>
    <n v="3"/>
    <n v="637"/>
    <n v="0"/>
    <n v="101"/>
    <n v="3"/>
    <n v="583"/>
    <n v="0"/>
    <n v="38"/>
    <x v="1"/>
    <x v="3"/>
    <n v="0.15855572998430142"/>
    <n v="6.5180102915951971E-2"/>
    <n v="536"/>
    <n v="545"/>
    <n v="15"/>
    <n v="0.90482954545454541"/>
    <n v="0.14346590909090909"/>
    <n v="0.828125"/>
    <n v="5.3977272727272728E-2"/>
    <n v="0.86647727272727271"/>
  </r>
  <r>
    <x v="388"/>
    <n v="3"/>
    <n v="640"/>
    <n v="0"/>
    <n v="101"/>
    <n v="3"/>
    <n v="586"/>
    <n v="0"/>
    <n v="38"/>
    <x v="1"/>
    <x v="3"/>
    <n v="0.15781249999999999"/>
    <n v="6.4846416382252553E-2"/>
    <n v="539"/>
    <n v="548"/>
    <n v="15"/>
    <n v="0.90909090909090906"/>
    <n v="0.14346590909090909"/>
    <n v="0.83238636363636365"/>
    <n v="5.3977272727272728E-2"/>
    <n v="0.87073863636363635"/>
  </r>
  <r>
    <x v="389"/>
    <n v="3"/>
    <n v="643"/>
    <n v="0"/>
    <n v="101"/>
    <n v="1"/>
    <n v="587"/>
    <n v="0"/>
    <n v="38"/>
    <x v="1"/>
    <x v="3"/>
    <n v="0.15707620528771385"/>
    <n v="6.4735945485519586E-2"/>
    <n v="542"/>
    <n v="549"/>
    <n v="15"/>
    <n v="0.91335227272727271"/>
    <n v="0.14346590909090909"/>
    <n v="0.83380681818181823"/>
    <n v="5.3977272727272728E-2"/>
    <n v="0.87357954545454541"/>
  </r>
  <r>
    <x v="390"/>
    <n v="0"/>
    <n v="643"/>
    <n v="0"/>
    <n v="101"/>
    <n v="2"/>
    <n v="589"/>
    <n v="0"/>
    <n v="38"/>
    <x v="1"/>
    <x v="3"/>
    <n v="0.15707620528771385"/>
    <n v="6.4516129032258063E-2"/>
    <n v="542"/>
    <n v="551"/>
    <n v="15"/>
    <n v="0.91335227272727271"/>
    <n v="0.14346590909090909"/>
    <n v="0.83664772727272729"/>
    <n v="5.3977272727272728E-2"/>
    <n v="0.875"/>
  </r>
  <r>
    <x v="391"/>
    <n v="0"/>
    <n v="643"/>
    <n v="0"/>
    <n v="101"/>
    <n v="4"/>
    <n v="593"/>
    <n v="0"/>
    <n v="38"/>
    <x v="1"/>
    <x v="4"/>
    <n v="0.15707620528771385"/>
    <n v="6.4080944350758853E-2"/>
    <n v="542"/>
    <n v="555"/>
    <n v="15"/>
    <n v="0.91335227272727271"/>
    <n v="0.14346590909090909"/>
    <n v="0.84232954545454541"/>
    <n v="5.3977272727272728E-2"/>
    <n v="0.87784090909090906"/>
  </r>
  <r>
    <x v="392"/>
    <n v="3"/>
    <n v="646"/>
    <n v="0"/>
    <n v="101"/>
    <n v="1"/>
    <n v="594"/>
    <n v="0"/>
    <n v="38"/>
    <x v="1"/>
    <x v="4"/>
    <n v="0.15634674922600619"/>
    <n v="6.3973063973063973E-2"/>
    <n v="545"/>
    <n v="556"/>
    <n v="15"/>
    <n v="0.91761363636363635"/>
    <n v="0.14346590909090909"/>
    <n v="0.84375"/>
    <n v="5.3977272727272728E-2"/>
    <n v="0.88068181818181812"/>
  </r>
  <r>
    <x v="393"/>
    <n v="3"/>
    <n v="649"/>
    <n v="0"/>
    <n v="101"/>
    <n v="1"/>
    <n v="595"/>
    <n v="0"/>
    <n v="38"/>
    <x v="1"/>
    <x v="4"/>
    <n v="0.15562403697996918"/>
    <n v="6.386554621848739E-2"/>
    <n v="548"/>
    <n v="557"/>
    <n v="15"/>
    <n v="0.921875"/>
    <n v="0.14346590909090909"/>
    <n v="0.84517045454545459"/>
    <n v="5.3977272727272728E-2"/>
    <n v="0.88352272727272729"/>
  </r>
  <r>
    <x v="394"/>
    <n v="3"/>
    <n v="652"/>
    <n v="0"/>
    <n v="101"/>
    <n v="3"/>
    <n v="598"/>
    <n v="0"/>
    <n v="38"/>
    <x v="1"/>
    <x v="4"/>
    <n v="0.15490797546012269"/>
    <n v="6.354515050167224E-2"/>
    <n v="551"/>
    <n v="560"/>
    <n v="15"/>
    <n v="0.92613636363636365"/>
    <n v="0.14346590909090909"/>
    <n v="0.84943181818181823"/>
    <n v="5.3977272727272728E-2"/>
    <n v="0.88778409090909094"/>
  </r>
  <r>
    <x v="395"/>
    <n v="3"/>
    <n v="655"/>
    <n v="0"/>
    <n v="101"/>
    <n v="3"/>
    <n v="601"/>
    <n v="0"/>
    <n v="38"/>
    <x v="1"/>
    <x v="4"/>
    <n v="0.15419847328244274"/>
    <n v="6.3227953410981697E-2"/>
    <n v="554"/>
    <n v="563"/>
    <n v="15"/>
    <n v="0.93039772727272729"/>
    <n v="0.14346590909090909"/>
    <n v="0.85369318181818177"/>
    <n v="5.3977272727272728E-2"/>
    <n v="0.89204545454545459"/>
  </r>
  <r>
    <x v="396"/>
    <n v="3"/>
    <n v="658"/>
    <n v="0"/>
    <n v="101"/>
    <n v="2"/>
    <n v="603"/>
    <n v="0"/>
    <n v="38"/>
    <x v="1"/>
    <x v="4"/>
    <n v="0.15349544072948329"/>
    <n v="6.3018242122719739E-2"/>
    <n v="557"/>
    <n v="565"/>
    <n v="15"/>
    <n v="0.93465909090909094"/>
    <n v="0.14346590909090909"/>
    <n v="0.85653409090909094"/>
    <n v="5.3977272727272728E-2"/>
    <n v="0.89559659090909094"/>
  </r>
  <r>
    <x v="397"/>
    <n v="0"/>
    <n v="658"/>
    <n v="0"/>
    <n v="101"/>
    <n v="2"/>
    <n v="605"/>
    <n v="0"/>
    <n v="38"/>
    <x v="1"/>
    <x v="4"/>
    <n v="0.15349544072948329"/>
    <n v="6.2809917355371905E-2"/>
    <n v="557"/>
    <n v="567"/>
    <n v="15"/>
    <n v="0.93465909090909094"/>
    <n v="0.14346590909090909"/>
    <n v="0.859375"/>
    <n v="5.3977272727272728E-2"/>
    <n v="0.89701704545454541"/>
  </r>
  <r>
    <x v="398"/>
    <n v="0"/>
    <n v="658"/>
    <n v="0"/>
    <n v="101"/>
    <n v="2"/>
    <n v="607"/>
    <n v="0"/>
    <n v="38"/>
    <x v="1"/>
    <x v="5"/>
    <n v="0.15349544072948329"/>
    <n v="6.260296540362438E-2"/>
    <n v="557"/>
    <n v="569"/>
    <n v="15"/>
    <n v="0.93465909090909094"/>
    <n v="0.14346590909090909"/>
    <n v="0.86221590909090906"/>
    <n v="5.3977272727272728E-2"/>
    <n v="0.8984375"/>
  </r>
  <r>
    <x v="399"/>
    <n v="3"/>
    <n v="661"/>
    <n v="0"/>
    <n v="101"/>
    <n v="1"/>
    <n v="608"/>
    <n v="0"/>
    <n v="38"/>
    <x v="1"/>
    <x v="5"/>
    <n v="0.15279878971255673"/>
    <n v="6.25E-2"/>
    <n v="560"/>
    <n v="570"/>
    <n v="15"/>
    <n v="0.93892045454545459"/>
    <n v="0.14346590909090909"/>
    <n v="0.86363636363636365"/>
    <n v="5.3977272727272728E-2"/>
    <n v="0.90127840909090917"/>
  </r>
  <r>
    <x v="400"/>
    <n v="3"/>
    <n v="664"/>
    <n v="0"/>
    <n v="101"/>
    <n v="2"/>
    <n v="610"/>
    <n v="0"/>
    <n v="38"/>
    <x v="1"/>
    <x v="5"/>
    <n v="0.15210843373493976"/>
    <n v="6.2295081967213117E-2"/>
    <n v="563"/>
    <n v="572"/>
    <n v="15"/>
    <n v="0.94318181818181823"/>
    <n v="0.14346590909090909"/>
    <n v="0.86647727272727271"/>
    <n v="5.3977272727272728E-2"/>
    <n v="0.90482954545454541"/>
  </r>
  <r>
    <x v="401"/>
    <n v="3"/>
    <n v="667"/>
    <n v="0"/>
    <n v="101"/>
    <n v="3"/>
    <n v="613"/>
    <n v="0"/>
    <n v="38"/>
    <x v="1"/>
    <x v="5"/>
    <n v="0.15142428785607195"/>
    <n v="6.1990212071778142E-2"/>
    <n v="566"/>
    <n v="575"/>
    <n v="15"/>
    <n v="0.94744318181818177"/>
    <n v="0.14346590909090909"/>
    <n v="0.87073863636363635"/>
    <n v="5.3977272727272728E-2"/>
    <n v="0.90909090909090906"/>
  </r>
  <r>
    <x v="402"/>
    <n v="3"/>
    <n v="670"/>
    <n v="0"/>
    <n v="101"/>
    <n v="3"/>
    <n v="616"/>
    <n v="0"/>
    <n v="38"/>
    <x v="1"/>
    <x v="5"/>
    <n v="0.15074626865671642"/>
    <n v="6.1688311688311688E-2"/>
    <n v="569"/>
    <n v="578"/>
    <n v="15"/>
    <n v="0.95170454545454541"/>
    <n v="0.14346590909090909"/>
    <n v="0.875"/>
    <n v="5.3977272727272728E-2"/>
    <n v="0.91335227272727271"/>
  </r>
  <r>
    <x v="403"/>
    <n v="3"/>
    <n v="673"/>
    <n v="0"/>
    <n v="101"/>
    <n v="2"/>
    <n v="618"/>
    <n v="0"/>
    <n v="38"/>
    <x v="1"/>
    <x v="5"/>
    <n v="0.150074294205052"/>
    <n v="6.1488673139158574E-2"/>
    <n v="572"/>
    <n v="580"/>
    <n v="15"/>
    <n v="0.95596590909090906"/>
    <n v="0.14346590909090909"/>
    <n v="0.87784090909090906"/>
    <n v="5.3977272727272728E-2"/>
    <n v="0.91690340909090906"/>
  </r>
  <r>
    <x v="404"/>
    <n v="0"/>
    <n v="673"/>
    <n v="0"/>
    <n v="101"/>
    <n v="1"/>
    <n v="619"/>
    <n v="0"/>
    <n v="38"/>
    <x v="1"/>
    <x v="5"/>
    <n v="0.150074294205052"/>
    <n v="6.1389337641357025E-2"/>
    <n v="572"/>
    <n v="581"/>
    <n v="15"/>
    <n v="0.95596590909090906"/>
    <n v="0.14346590909090909"/>
    <n v="0.87926136363636365"/>
    <n v="5.3977272727272728E-2"/>
    <n v="0.91761363636363635"/>
  </r>
  <r>
    <x v="405"/>
    <n v="0"/>
    <n v="673"/>
    <n v="0"/>
    <n v="101"/>
    <n v="2"/>
    <n v="621"/>
    <n v="0"/>
    <n v="38"/>
    <x v="1"/>
    <x v="6"/>
    <n v="0.150074294205052"/>
    <n v="6.1191626409017714E-2"/>
    <n v="572"/>
    <n v="583"/>
    <n v="9"/>
    <n v="0.95596590909090906"/>
    <n v="0.14346590909090909"/>
    <n v="0.88210227272727271"/>
    <n v="5.3977272727272728E-2"/>
    <n v="0.91903409090909083"/>
  </r>
  <r>
    <x v="406"/>
    <n v="3"/>
    <n v="676"/>
    <n v="0"/>
    <n v="101"/>
    <n v="2"/>
    <n v="623"/>
    <n v="0"/>
    <n v="38"/>
    <x v="1"/>
    <x v="6"/>
    <n v="0.14940828402366865"/>
    <n v="6.0995184590690206E-2"/>
    <n v="575"/>
    <n v="585"/>
    <n v="9"/>
    <n v="0.96022727272727271"/>
    <n v="0.14346590909090909"/>
    <n v="0.88494318181818177"/>
    <n v="5.3977272727272728E-2"/>
    <n v="0.92258522727272729"/>
  </r>
  <r>
    <x v="407"/>
    <n v="3"/>
    <n v="679"/>
    <n v="0"/>
    <n v="101"/>
    <n v="2"/>
    <n v="625"/>
    <n v="0"/>
    <n v="38"/>
    <x v="1"/>
    <x v="6"/>
    <n v="0.14874815905743741"/>
    <n v="6.08E-2"/>
    <n v="578"/>
    <n v="587"/>
    <n v="9"/>
    <n v="0.96448863636363635"/>
    <n v="0.14346590909090909"/>
    <n v="0.88778409090909094"/>
    <n v="5.3977272727272728E-2"/>
    <n v="0.92613636363636365"/>
  </r>
  <r>
    <x v="408"/>
    <n v="3"/>
    <n v="682"/>
    <n v="0"/>
    <n v="101"/>
    <n v="3"/>
    <n v="628"/>
    <n v="0"/>
    <n v="38"/>
    <x v="1"/>
    <x v="6"/>
    <n v="0.14809384164222875"/>
    <n v="6.0509554140127389E-2"/>
    <n v="581"/>
    <n v="590"/>
    <n v="9"/>
    <n v="0.96875"/>
    <n v="0.14346590909090909"/>
    <n v="0.89204545454545459"/>
    <n v="5.3977272727272728E-2"/>
    <n v="0.93039772727272729"/>
  </r>
  <r>
    <x v="409"/>
    <n v="3"/>
    <n v="685"/>
    <n v="0"/>
    <n v="101"/>
    <n v="3"/>
    <n v="631"/>
    <n v="0"/>
    <n v="38"/>
    <x v="2"/>
    <x v="6"/>
    <n v="0.14744525547445256"/>
    <n v="6.0221870047543584E-2"/>
    <n v="584"/>
    <n v="593"/>
    <n v="6"/>
    <n v="0.97301136363636365"/>
    <n v="0.14346590909090909"/>
    <n v="0.89630681818181823"/>
    <n v="5.3977272727272728E-2"/>
    <n v="0.93465909090909094"/>
  </r>
  <r>
    <x v="410"/>
    <n v="3"/>
    <n v="688"/>
    <n v="0"/>
    <n v="101"/>
    <n v="1"/>
    <n v="632"/>
    <n v="0"/>
    <n v="38"/>
    <x v="2"/>
    <x v="6"/>
    <n v="0.14680232558139536"/>
    <n v="6.0126582278481014E-2"/>
    <n v="587"/>
    <n v="594"/>
    <n v="6"/>
    <n v="0.97727272727272729"/>
    <n v="0.14346590909090909"/>
    <n v="0.89772727272727271"/>
    <n v="5.3977272727272728E-2"/>
    <n v="0.9375"/>
  </r>
  <r>
    <x v="411"/>
    <n v="0"/>
    <n v="688"/>
    <n v="0"/>
    <n v="101"/>
    <n v="1"/>
    <n v="633"/>
    <n v="0"/>
    <n v="38"/>
    <x v="2"/>
    <x v="6"/>
    <n v="0.14680232558139536"/>
    <n v="6.0031595576619273E-2"/>
    <n v="587"/>
    <n v="595"/>
    <n v="6"/>
    <n v="0.97727272727272729"/>
    <n v="0.14346590909090909"/>
    <n v="0.89914772727272729"/>
    <n v="5.3977272727272728E-2"/>
    <n v="0.93821022727272729"/>
  </r>
  <r>
    <x v="412"/>
    <n v="0"/>
    <n v="688"/>
    <n v="0"/>
    <n v="101"/>
    <n v="4"/>
    <n v="637"/>
    <n v="0"/>
    <n v="38"/>
    <x v="2"/>
    <x v="7"/>
    <n v="0.14680232558139536"/>
    <n v="5.9654631083202514E-2"/>
    <n v="587"/>
    <n v="599"/>
    <n v="15"/>
    <n v="0.97727272727272729"/>
    <n v="0.14346590909090909"/>
    <n v="0.90482954545454541"/>
    <n v="5.3977272727272728E-2"/>
    <n v="0.94105113636363635"/>
  </r>
  <r>
    <x v="413"/>
    <n v="3"/>
    <n v="691"/>
    <n v="0"/>
    <n v="101"/>
    <n v="2"/>
    <n v="639"/>
    <n v="0"/>
    <n v="38"/>
    <x v="2"/>
    <x v="7"/>
    <n v="0.14616497829232997"/>
    <n v="5.9467918622848198E-2"/>
    <n v="590"/>
    <n v="601"/>
    <n v="15"/>
    <n v="0.98153409090909094"/>
    <n v="0.14346590909090909"/>
    <n v="0.90767045454545459"/>
    <n v="5.3977272727272728E-2"/>
    <n v="0.94460227272727271"/>
  </r>
  <r>
    <x v="414"/>
    <n v="3"/>
    <n v="694"/>
    <n v="0"/>
    <n v="101"/>
    <n v="1"/>
    <n v="640"/>
    <n v="0"/>
    <n v="38"/>
    <x v="2"/>
    <x v="7"/>
    <n v="0.14553314121037464"/>
    <n v="5.9374999999999997E-2"/>
    <n v="593"/>
    <n v="602"/>
    <n v="15"/>
    <n v="0.98579545454545459"/>
    <n v="0.14346590909090909"/>
    <n v="0.90909090909090906"/>
    <n v="5.3977272727272728E-2"/>
    <n v="0.94744318181818188"/>
  </r>
  <r>
    <x v="415"/>
    <n v="3"/>
    <n v="697"/>
    <n v="0"/>
    <n v="101"/>
    <n v="3"/>
    <n v="643"/>
    <n v="0"/>
    <n v="38"/>
    <x v="2"/>
    <x v="7"/>
    <n v="0.1449067431850789"/>
    <n v="5.909797822706065E-2"/>
    <n v="596"/>
    <n v="605"/>
    <n v="15"/>
    <n v="0.99005681818181823"/>
    <n v="0.14346590909090909"/>
    <n v="0.91335227272727271"/>
    <n v="5.3977272727272728E-2"/>
    <n v="0.95170454545454541"/>
  </r>
  <r>
    <x v="416"/>
    <n v="3"/>
    <n v="700"/>
    <n v="0"/>
    <n v="101"/>
    <n v="3"/>
    <n v="646"/>
    <n v="0"/>
    <n v="38"/>
    <x v="2"/>
    <x v="7"/>
    <n v="0.14428571428571429"/>
    <n v="5.8823529411764705E-2"/>
    <n v="599"/>
    <n v="608"/>
    <n v="15"/>
    <n v="0.99431818181818177"/>
    <n v="0.14346590909090909"/>
    <n v="0.91761363636363635"/>
    <n v="5.3977272727272728E-2"/>
    <n v="0.95596590909090906"/>
  </r>
  <r>
    <x v="417"/>
    <n v="3"/>
    <n v="703"/>
    <n v="0"/>
    <n v="101"/>
    <n v="1"/>
    <n v="647"/>
    <n v="0"/>
    <n v="38"/>
    <x v="2"/>
    <x v="7"/>
    <n v="0.14366998577524892"/>
    <n v="5.8732612055641419E-2"/>
    <n v="602"/>
    <n v="609"/>
    <n v="15"/>
    <n v="0.99857954545454541"/>
    <n v="0.14346590909090909"/>
    <n v="0.91903409090909094"/>
    <n v="5.3977272727272728E-2"/>
    <n v="0.95880681818181812"/>
  </r>
  <r>
    <x v="418"/>
    <n v="0"/>
    <n v="703"/>
    <n v="0"/>
    <n v="101"/>
    <n v="2"/>
    <n v="649"/>
    <n v="0"/>
    <n v="38"/>
    <x v="2"/>
    <x v="7"/>
    <n v="0.14366998577524892"/>
    <n v="5.8551617873651769E-2"/>
    <n v="602"/>
    <n v="611"/>
    <n v="15"/>
    <n v="0.99857954545454541"/>
    <n v="0.14346590909090909"/>
    <n v="0.921875"/>
    <n v="5.3977272727272728E-2"/>
    <n v="0.96022727272727271"/>
  </r>
  <r>
    <x v="419"/>
    <n v="0"/>
    <n v="703"/>
    <n v="0"/>
    <n v="101"/>
    <n v="4"/>
    <n v="653"/>
    <n v="0"/>
    <n v="38"/>
    <x v="2"/>
    <x v="8"/>
    <n v="0.14366998577524892"/>
    <n v="5.8192955589586523E-2"/>
    <n v="602"/>
    <n v="615"/>
    <n v="1"/>
    <n v="0.99857954545454541"/>
    <n v="0.14346590909090909"/>
    <n v="0.92755681818181823"/>
    <n v="5.3977272727272728E-2"/>
    <n v="0.96306818181818188"/>
  </r>
  <r>
    <x v="420"/>
    <n v="1"/>
    <n v="704"/>
    <n v="0"/>
    <n v="101"/>
    <n v="1"/>
    <n v="654"/>
    <n v="0"/>
    <n v="38"/>
    <x v="2"/>
    <x v="8"/>
    <n v="0.14346590909090909"/>
    <n v="5.8103975535168197E-2"/>
    <n v="603"/>
    <n v="616"/>
    <n v="1"/>
    <n v="1"/>
    <n v="0.14346590909090909"/>
    <n v="0.92897727272727271"/>
    <n v="5.3977272727272728E-2"/>
    <n v="0.96448863636363635"/>
  </r>
  <r>
    <x v="421"/>
    <n v="0"/>
    <n v="704"/>
    <n v="0"/>
    <n v="101"/>
    <n v="1"/>
    <n v="655"/>
    <n v="0"/>
    <n v="38"/>
    <x v="2"/>
    <x v="8"/>
    <n v="0.14346590909090909"/>
    <n v="5.8015267175572517E-2"/>
    <n v="603"/>
    <n v="617"/>
    <n v="1"/>
    <n v="1"/>
    <n v="0.14346590909090909"/>
    <n v="0.93039772727272729"/>
    <n v="5.3977272727272728E-2"/>
    <n v="0.96519886363636365"/>
  </r>
  <r>
    <x v="422"/>
    <n v="0"/>
    <n v="704"/>
    <n v="0"/>
    <n v="101"/>
    <n v="3"/>
    <n v="658"/>
    <n v="0"/>
    <n v="38"/>
    <x v="2"/>
    <x v="8"/>
    <n v="0.14346590909090909"/>
    <n v="5.7750759878419454E-2"/>
    <n v="603"/>
    <n v="620"/>
    <n v="1"/>
    <n v="1"/>
    <n v="0.14346590909090909"/>
    <n v="0.93465909090909094"/>
    <n v="5.3977272727272728E-2"/>
    <n v="0.96732954545454541"/>
  </r>
  <r>
    <x v="423"/>
    <n v="0"/>
    <n v="704"/>
    <n v="0"/>
    <n v="101"/>
    <n v="3"/>
    <n v="661"/>
    <n v="0"/>
    <n v="38"/>
    <x v="2"/>
    <x v="8"/>
    <n v="0.14346590909090909"/>
    <n v="5.7488653555219364E-2"/>
    <n v="603"/>
    <n v="623"/>
    <n v="1"/>
    <n v="1"/>
    <n v="0.14346590909090909"/>
    <n v="0.93892045454545459"/>
    <n v="5.3977272727272728E-2"/>
    <n v="0.96946022727272729"/>
  </r>
  <r>
    <x v="424"/>
    <n v="0"/>
    <n v="704"/>
    <n v="0"/>
    <n v="101"/>
    <n v="2"/>
    <n v="663"/>
    <n v="0"/>
    <n v="38"/>
    <x v="2"/>
    <x v="8"/>
    <n v="0.14346590909090909"/>
    <n v="5.7315233785822019E-2"/>
    <n v="603"/>
    <n v="625"/>
    <n v="1"/>
    <n v="1"/>
    <n v="0.14346590909090909"/>
    <n v="0.94176136363636365"/>
    <n v="5.3977272727272728E-2"/>
    <n v="0.97088068181818188"/>
  </r>
  <r>
    <x v="425"/>
    <n v="0"/>
    <n v="704"/>
    <n v="0"/>
    <n v="101"/>
    <n v="2"/>
    <n v="665"/>
    <n v="0"/>
    <n v="38"/>
    <x v="2"/>
    <x v="8"/>
    <n v="0.14346590909090909"/>
    <n v="5.7142857142857141E-2"/>
    <n v="603"/>
    <n v="627"/>
    <n v="1"/>
    <n v="1"/>
    <n v="0.14346590909090909"/>
    <n v="0.94460227272727271"/>
    <n v="5.3977272727272728E-2"/>
    <n v="0.97230113636363635"/>
  </r>
  <r>
    <x v="426"/>
    <n v="0"/>
    <n v="704"/>
    <n v="0"/>
    <n v="101"/>
    <n v="2"/>
    <n v="667"/>
    <n v="0"/>
    <n v="38"/>
    <x v="2"/>
    <x v="9"/>
    <n v="0.14346590909090909"/>
    <n v="5.6971514242878558E-2"/>
    <n v="603"/>
    <n v="629"/>
    <n v="0"/>
    <n v="1"/>
    <n v="0.14346590909090909"/>
    <n v="0.94744318181818177"/>
    <n v="5.3977272727272728E-2"/>
    <n v="0.97372159090909083"/>
  </r>
  <r>
    <x v="427"/>
    <n v="0"/>
    <n v="704"/>
    <n v="0"/>
    <n v="101"/>
    <n v="1"/>
    <n v="668"/>
    <n v="0"/>
    <n v="38"/>
    <x v="2"/>
    <x v="9"/>
    <n v="0.14346590909090909"/>
    <n v="5.6886227544910177E-2"/>
    <n v="603"/>
    <n v="630"/>
    <n v="0"/>
    <n v="1"/>
    <n v="0.14346590909090909"/>
    <n v="0.94886363636363635"/>
    <n v="5.3977272727272728E-2"/>
    <n v="0.97443181818181812"/>
  </r>
  <r>
    <x v="428"/>
    <n v="0"/>
    <n v="704"/>
    <n v="0"/>
    <n v="101"/>
    <n v="2"/>
    <n v="670"/>
    <n v="0"/>
    <n v="38"/>
    <x v="2"/>
    <x v="9"/>
    <n v="0.14346590909090909"/>
    <n v="5.6716417910447764E-2"/>
    <n v="603"/>
    <n v="632"/>
    <n v="0"/>
    <n v="1"/>
    <n v="0.14346590909090909"/>
    <n v="0.95170454545454541"/>
    <n v="5.3977272727272728E-2"/>
    <n v="0.97585227272727271"/>
  </r>
  <r>
    <x v="429"/>
    <n v="0"/>
    <n v="704"/>
    <n v="0"/>
    <n v="101"/>
    <n v="3"/>
    <n v="673"/>
    <n v="0"/>
    <n v="38"/>
    <x v="2"/>
    <x v="9"/>
    <n v="0.14346590909090909"/>
    <n v="5.6463595839524518E-2"/>
    <n v="603"/>
    <n v="635"/>
    <n v="0"/>
    <n v="1"/>
    <n v="0.14346590909090909"/>
    <n v="0.95596590909090906"/>
    <n v="5.3977272727272728E-2"/>
    <n v="0.97798295454545459"/>
  </r>
  <r>
    <x v="430"/>
    <n v="0"/>
    <n v="704"/>
    <n v="0"/>
    <n v="101"/>
    <n v="3"/>
    <n v="676"/>
    <n v="0"/>
    <n v="38"/>
    <x v="2"/>
    <x v="9"/>
    <n v="0.14346590909090909"/>
    <n v="5.6213017751479293E-2"/>
    <n v="603"/>
    <n v="638"/>
    <n v="0"/>
    <n v="1"/>
    <n v="0.14346590909090909"/>
    <n v="0.96022727272727271"/>
    <n v="5.3977272727272728E-2"/>
    <n v="0.98011363636363635"/>
  </r>
  <r>
    <x v="431"/>
    <n v="0"/>
    <n v="704"/>
    <n v="0"/>
    <n v="101"/>
    <n v="2"/>
    <n v="678"/>
    <n v="0"/>
    <n v="38"/>
    <x v="2"/>
    <x v="9"/>
    <n v="0.14346590909090909"/>
    <n v="5.6047197640117993E-2"/>
    <n v="603"/>
    <n v="640"/>
    <n v="0"/>
    <n v="1"/>
    <n v="0.14346590909090909"/>
    <n v="0.96306818181818177"/>
    <n v="5.3977272727272728E-2"/>
    <n v="0.98153409090909083"/>
  </r>
  <r>
    <x v="432"/>
    <n v="0"/>
    <n v="704"/>
    <n v="0"/>
    <n v="101"/>
    <n v="1"/>
    <n v="679"/>
    <n v="0"/>
    <n v="38"/>
    <x v="2"/>
    <x v="9"/>
    <n v="0.14346590909090909"/>
    <n v="5.5964653902798235E-2"/>
    <n v="603"/>
    <n v="641"/>
    <n v="0"/>
    <n v="1"/>
    <n v="0.14346590909090909"/>
    <n v="0.96448863636363635"/>
    <n v="5.3977272727272728E-2"/>
    <n v="0.98224431818181812"/>
  </r>
  <r>
    <x v="433"/>
    <n v="0"/>
    <n v="704"/>
    <n v="0"/>
    <n v="101"/>
    <n v="2"/>
    <n v="681"/>
    <n v="0"/>
    <n v="38"/>
    <x v="2"/>
    <x v="10"/>
    <n v="0.14346590909090909"/>
    <n v="5.5800293685756244E-2"/>
    <n v="603"/>
    <n v="643"/>
    <n v="0"/>
    <n v="1"/>
    <n v="0.14346590909090909"/>
    <n v="0.96732954545454541"/>
    <n v="5.3977272727272728E-2"/>
    <n v="0.98366477272727271"/>
  </r>
  <r>
    <x v="434"/>
    <n v="0"/>
    <n v="704"/>
    <n v="0"/>
    <n v="101"/>
    <n v="2"/>
    <n v="683"/>
    <n v="0"/>
    <n v="38"/>
    <x v="2"/>
    <x v="10"/>
    <n v="0.14346590909090909"/>
    <n v="5.5636896046852125E-2"/>
    <n v="603"/>
    <n v="645"/>
    <n v="0"/>
    <n v="1"/>
    <n v="0.14346590909090909"/>
    <n v="0.97017045454545459"/>
    <n v="5.3977272727272728E-2"/>
    <n v="0.98508522727272729"/>
  </r>
  <r>
    <x v="435"/>
    <n v="0"/>
    <n v="704"/>
    <n v="0"/>
    <n v="101"/>
    <n v="2"/>
    <n v="685"/>
    <n v="0"/>
    <n v="38"/>
    <x v="2"/>
    <x v="10"/>
    <n v="0.14346590909090909"/>
    <n v="5.5474452554744529E-2"/>
    <n v="603"/>
    <n v="647"/>
    <n v="0"/>
    <n v="1"/>
    <n v="0.14346590909090909"/>
    <n v="0.97301136363636365"/>
    <n v="5.3977272727272728E-2"/>
    <n v="0.98650568181818188"/>
  </r>
  <r>
    <x v="436"/>
    <n v="0"/>
    <n v="704"/>
    <n v="0"/>
    <n v="101"/>
    <n v="3"/>
    <n v="688"/>
    <n v="0"/>
    <n v="38"/>
    <x v="2"/>
    <x v="10"/>
    <n v="0.14346590909090909"/>
    <n v="5.5232558139534885E-2"/>
    <n v="603"/>
    <n v="650"/>
    <n v="0"/>
    <n v="1"/>
    <n v="0.14346590909090909"/>
    <n v="0.97727272727272729"/>
    <n v="5.3977272727272728E-2"/>
    <n v="0.98863636363636365"/>
  </r>
  <r>
    <x v="437"/>
    <n v="0"/>
    <n v="704"/>
    <n v="0"/>
    <n v="101"/>
    <n v="3"/>
    <n v="691"/>
    <n v="0"/>
    <n v="38"/>
    <x v="2"/>
    <x v="10"/>
    <n v="0.14346590909090909"/>
    <n v="5.4992764109985527E-2"/>
    <n v="603"/>
    <n v="653"/>
    <n v="0"/>
    <n v="1"/>
    <n v="0.14346590909090909"/>
    <n v="0.98153409090909094"/>
    <n v="5.3977272727272728E-2"/>
    <n v="0.99076704545454541"/>
  </r>
  <r>
    <x v="438"/>
    <n v="0"/>
    <n v="704"/>
    <n v="0"/>
    <n v="101"/>
    <n v="1"/>
    <n v="692"/>
    <n v="0"/>
    <n v="38"/>
    <x v="2"/>
    <x v="10"/>
    <n v="0.14346590909090909"/>
    <n v="5.4913294797687862E-2"/>
    <n v="603"/>
    <n v="654"/>
    <n v="0"/>
    <n v="1"/>
    <n v="0.14346590909090909"/>
    <n v="0.98295454545454541"/>
    <n v="5.3977272727272728E-2"/>
    <n v="0.99147727272727271"/>
  </r>
  <r>
    <x v="439"/>
    <n v="0"/>
    <n v="704"/>
    <n v="0"/>
    <n v="101"/>
    <n v="1"/>
    <n v="693"/>
    <n v="0"/>
    <n v="38"/>
    <x v="3"/>
    <x v="10"/>
    <n v="0.14346590909090909"/>
    <n v="5.4834054834054832E-2"/>
    <n v="603"/>
    <n v="655"/>
    <n v="0"/>
    <n v="1"/>
    <n v="0.14346590909090909"/>
    <n v="0.984375"/>
    <n v="5.3977272727272728E-2"/>
    <n v="0.9921875"/>
  </r>
  <r>
    <x v="440"/>
    <n v="0"/>
    <n v="704"/>
    <n v="0"/>
    <n v="101"/>
    <n v="3"/>
    <n v="696"/>
    <n v="0"/>
    <n v="38"/>
    <x v="3"/>
    <x v="11"/>
    <n v="0.14346590909090909"/>
    <n v="5.459770114942529E-2"/>
    <n v="603"/>
    <n v="658"/>
    <n v="0"/>
    <n v="1"/>
    <n v="0.14346590909090909"/>
    <n v="0.98863636363636365"/>
    <n v="5.3977272727272728E-2"/>
    <n v="0.99431818181818188"/>
  </r>
  <r>
    <x v="441"/>
    <n v="0"/>
    <n v="704"/>
    <n v="0"/>
    <n v="101"/>
    <n v="0"/>
    <n v="696"/>
    <n v="0"/>
    <n v="38"/>
    <x v="3"/>
    <x v="11"/>
    <n v="0.14346590909090909"/>
    <n v="5.459770114942529E-2"/>
    <n v="603"/>
    <n v="658"/>
    <n v="0"/>
    <n v="1"/>
    <n v="0.14346590909090909"/>
    <n v="0.98863636363636365"/>
    <n v="5.3977272727272728E-2"/>
    <n v="0.99431818181818188"/>
  </r>
  <r>
    <x v="442"/>
    <n v="0"/>
    <n v="704"/>
    <n v="0"/>
    <n v="101"/>
    <n v="0"/>
    <n v="696"/>
    <n v="0"/>
    <n v="38"/>
    <x v="3"/>
    <x v="11"/>
    <n v="0.14346590909090909"/>
    <n v="5.459770114942529E-2"/>
    <n v="603"/>
    <n v="658"/>
    <n v="0"/>
    <n v="1"/>
    <n v="0.14346590909090909"/>
    <n v="0.98863636363636365"/>
    <n v="5.3977272727272728E-2"/>
    <n v="0.99431818181818188"/>
  </r>
  <r>
    <x v="443"/>
    <n v="0"/>
    <n v="704"/>
    <n v="0"/>
    <n v="101"/>
    <n v="2"/>
    <n v="698"/>
    <n v="0"/>
    <n v="38"/>
    <x v="3"/>
    <x v="11"/>
    <n v="0.14346590909090909"/>
    <n v="5.4441260744985676E-2"/>
    <n v="603"/>
    <n v="660"/>
    <n v="0"/>
    <n v="1"/>
    <n v="0.14346590909090909"/>
    <n v="0.99147727272727271"/>
    <n v="5.3977272727272728E-2"/>
    <n v="0.99573863636363635"/>
  </r>
  <r>
    <x v="444"/>
    <n v="0"/>
    <n v="704"/>
    <n v="0"/>
    <n v="101"/>
    <n v="1"/>
    <n v="699"/>
    <n v="0"/>
    <n v="38"/>
    <x v="3"/>
    <x v="11"/>
    <n v="0.14346590909090909"/>
    <n v="5.4363376251788269E-2"/>
    <n v="603"/>
    <n v="661"/>
    <n v="0"/>
    <n v="1"/>
    <n v="0.14346590909090909"/>
    <n v="0.99289772727272729"/>
    <n v="5.3977272727272728E-2"/>
    <n v="0.99644886363636365"/>
  </r>
  <r>
    <x v="445"/>
    <n v="0"/>
    <n v="704"/>
    <n v="0"/>
    <n v="101"/>
    <n v="1"/>
    <n v="700"/>
    <n v="0"/>
    <n v="38"/>
    <x v="3"/>
    <x v="11"/>
    <n v="0.14346590909090909"/>
    <n v="5.4285714285714284E-2"/>
    <n v="603"/>
    <n v="662"/>
    <n v="0"/>
    <n v="1"/>
    <n v="0.14346590909090909"/>
    <n v="0.99431818181818177"/>
    <n v="5.3977272727272728E-2"/>
    <n v="0.99715909090909083"/>
  </r>
  <r>
    <x v="446"/>
    <n v="0"/>
    <n v="704"/>
    <n v="0"/>
    <n v="101"/>
    <n v="2"/>
    <n v="702"/>
    <n v="0"/>
    <n v="38"/>
    <x v="3"/>
    <x v="11"/>
    <n v="0.14346590909090909"/>
    <n v="5.4131054131054131E-2"/>
    <n v="603"/>
    <n v="664"/>
    <n v="0"/>
    <n v="1"/>
    <n v="0.14346590909090909"/>
    <n v="0.99715909090909094"/>
    <n v="5.3977272727272728E-2"/>
    <n v="0.99857954545454541"/>
  </r>
  <r>
    <x v="447"/>
    <n v="0"/>
    <n v="704"/>
    <n v="0"/>
    <n v="101"/>
    <n v="2"/>
    <n v="704"/>
    <n v="0"/>
    <n v="38"/>
    <x v="3"/>
    <x v="12"/>
    <n v="0.14346590909090909"/>
    <n v="5.3977272727272728E-2"/>
    <n v="603"/>
    <n v="666"/>
    <n v="0"/>
    <n v="1"/>
    <n v="0.14346590909090909"/>
    <n v="1"/>
    <n v="5.3977272727272728E-2"/>
    <n v="1"/>
  </r>
  <r>
    <x v="448"/>
    <n v="0"/>
    <n v="704"/>
    <n v="0"/>
    <n v="101"/>
    <n v="0"/>
    <n v="704"/>
    <n v="0"/>
    <n v="38"/>
    <x v="3"/>
    <x v="12"/>
    <n v="0.14346590909090909"/>
    <n v="5.3977272727272728E-2"/>
    <n v="603"/>
    <n v="666"/>
    <n v="0"/>
    <n v="1"/>
    <n v="0.14346590909090909"/>
    <n v="1"/>
    <n v="5.3977272727272728E-2"/>
    <n v="1"/>
  </r>
  <r>
    <x v="449"/>
    <n v="0"/>
    <n v="704"/>
    <n v="0"/>
    <n v="101"/>
    <n v="0"/>
    <n v="704"/>
    <n v="0"/>
    <n v="38"/>
    <x v="3"/>
    <x v="12"/>
    <n v="0.14346590909090909"/>
    <n v="5.3977272727272728E-2"/>
    <n v="603"/>
    <n v="666"/>
    <n v="0"/>
    <n v="1"/>
    <n v="0.14346590909090909"/>
    <n v="1"/>
    <n v="5.3977272727272728E-2"/>
    <n v="1"/>
  </r>
  <r>
    <x v="450"/>
    <n v="0"/>
    <n v="704"/>
    <n v="0"/>
    <n v="101"/>
    <n v="0"/>
    <n v="704"/>
    <n v="0"/>
    <n v="38"/>
    <x v="3"/>
    <x v="12"/>
    <n v="0.14346590909090909"/>
    <n v="5.3977272727272728E-2"/>
    <n v="603"/>
    <n v="666"/>
    <n v="0"/>
    <n v="1"/>
    <n v="0.14346590909090909"/>
    <n v="1"/>
    <n v="5.3977272727272728E-2"/>
    <n v="1"/>
  </r>
  <r>
    <x v="451"/>
    <n v="0"/>
    <n v="704"/>
    <n v="0"/>
    <n v="101"/>
    <n v="0"/>
    <n v="704"/>
    <n v="0"/>
    <n v="38"/>
    <x v="3"/>
    <x v="12"/>
    <n v="0.14346590909090909"/>
    <n v="5.3977272727272728E-2"/>
    <n v="603"/>
    <n v="666"/>
    <n v="0"/>
    <n v="1"/>
    <n v="0.14346590909090909"/>
    <n v="1"/>
    <n v="5.3977272727272728E-2"/>
    <n v="1"/>
  </r>
  <r>
    <x v="452"/>
    <n v="0"/>
    <n v="704"/>
    <n v="0"/>
    <n v="101"/>
    <n v="0"/>
    <n v="704"/>
    <n v="0"/>
    <n v="38"/>
    <x v="3"/>
    <x v="12"/>
    <n v="0.14346590909090909"/>
    <n v="5.3977272727272728E-2"/>
    <n v="603"/>
    <n v="666"/>
    <n v="0"/>
    <n v="1"/>
    <n v="0.14346590909090909"/>
    <n v="1"/>
    <n v="5.3977272727272728E-2"/>
    <n v="1"/>
  </r>
  <r>
    <x v="453"/>
    <n v="0"/>
    <n v="704"/>
    <n v="0"/>
    <n v="101"/>
    <n v="0"/>
    <n v="704"/>
    <n v="0"/>
    <n v="38"/>
    <x v="3"/>
    <x v="12"/>
    <n v="0.14346590909090909"/>
    <n v="5.3977272727272728E-2"/>
    <n v="603"/>
    <n v="666"/>
    <n v="0"/>
    <n v="1"/>
    <n v="0.14346590909090909"/>
    <n v="1"/>
    <n v="5.3977272727272728E-2"/>
    <n v="1"/>
  </r>
  <r>
    <x v="454"/>
    <n v="0"/>
    <n v="704"/>
    <n v="0"/>
    <n v="101"/>
    <n v="0"/>
    <n v="704"/>
    <n v="0"/>
    <n v="38"/>
    <x v="3"/>
    <x v="13"/>
    <n v="0.14346590909090909"/>
    <n v="5.3977272727272728E-2"/>
    <n v="603"/>
    <n v="666"/>
    <n v="0"/>
    <n v="1"/>
    <n v="0.14346590909090909"/>
    <n v="1"/>
    <n v="5.3977272727272728E-2"/>
    <n v="1"/>
  </r>
  <r>
    <x v="455"/>
    <n v="0"/>
    <n v="704"/>
    <n v="0"/>
    <n v="101"/>
    <n v="0"/>
    <n v="704"/>
    <n v="0"/>
    <n v="38"/>
    <x v="3"/>
    <x v="13"/>
    <n v="0.14346590909090909"/>
    <n v="5.3977272727272728E-2"/>
    <n v="603"/>
    <n v="666"/>
    <n v="0"/>
    <n v="1"/>
    <n v="0.14346590909090909"/>
    <n v="1"/>
    <n v="5.3977272727272728E-2"/>
    <n v="1"/>
  </r>
  <r>
    <x v="456"/>
    <n v="0"/>
    <n v="704"/>
    <n v="0"/>
    <n v="101"/>
    <n v="0"/>
    <n v="704"/>
    <n v="0"/>
    <n v="38"/>
    <x v="3"/>
    <x v="13"/>
    <n v="0.14346590909090909"/>
    <n v="5.3977272727272728E-2"/>
    <n v="603"/>
    <n v="666"/>
    <n v="0"/>
    <n v="1"/>
    <n v="0.14346590909090909"/>
    <n v="1"/>
    <n v="5.3977272727272728E-2"/>
    <n v="1"/>
  </r>
  <r>
    <x v="457"/>
    <n v="0"/>
    <n v="704"/>
    <n v="0"/>
    <n v="101"/>
    <n v="0"/>
    <n v="704"/>
    <n v="0"/>
    <n v="38"/>
    <x v="3"/>
    <x v="13"/>
    <n v="0.14346590909090909"/>
    <n v="5.3977272727272728E-2"/>
    <n v="603"/>
    <n v="666"/>
    <n v="0"/>
    <n v="1"/>
    <n v="0.14346590909090909"/>
    <n v="1"/>
    <n v="5.3977272727272728E-2"/>
    <n v="1"/>
  </r>
  <r>
    <x v="458"/>
    <n v="0"/>
    <n v="704"/>
    <n v="0"/>
    <n v="101"/>
    <n v="0"/>
    <n v="704"/>
    <n v="0"/>
    <n v="38"/>
    <x v="3"/>
    <x v="13"/>
    <n v="0.14346590909090909"/>
    <n v="5.3977272727272728E-2"/>
    <n v="603"/>
    <n v="666"/>
    <n v="0"/>
    <n v="1"/>
    <n v="0.14346590909090909"/>
    <n v="1"/>
    <n v="5.3977272727272728E-2"/>
    <n v="1"/>
  </r>
  <r>
    <x v="459"/>
    <n v="0"/>
    <n v="704"/>
    <n v="0"/>
    <n v="101"/>
    <n v="0"/>
    <n v="704"/>
    <n v="0"/>
    <n v="38"/>
    <x v="3"/>
    <x v="13"/>
    <n v="0.14346590909090909"/>
    <n v="5.3977272727272728E-2"/>
    <n v="603"/>
    <n v="666"/>
    <n v="0"/>
    <n v="1"/>
    <n v="0.14346590909090909"/>
    <n v="1"/>
    <n v="5.3977272727272728E-2"/>
    <n v="1"/>
  </r>
  <r>
    <x v="460"/>
    <n v="0"/>
    <n v="704"/>
    <n v="0"/>
    <n v="101"/>
    <n v="0"/>
    <n v="704"/>
    <n v="0"/>
    <n v="38"/>
    <x v="3"/>
    <x v="13"/>
    <n v="0.14346590909090909"/>
    <n v="5.3977272727272728E-2"/>
    <n v="603"/>
    <n v="666"/>
    <n v="0"/>
    <n v="1"/>
    <n v="0.14346590909090909"/>
    <n v="1"/>
    <n v="5.3977272727272728E-2"/>
    <n v="1"/>
  </r>
  <r>
    <x v="461"/>
    <n v="0"/>
    <n v="704"/>
    <n v="0"/>
    <n v="101"/>
    <n v="0"/>
    <n v="704"/>
    <n v="0"/>
    <n v="38"/>
    <x v="3"/>
    <x v="14"/>
    <n v="0.14346590909090909"/>
    <n v="5.3977272727272728E-2"/>
    <n v="603"/>
    <n v="666"/>
    <n v="0"/>
    <n v="1"/>
    <n v="0.14346590909090909"/>
    <n v="1"/>
    <n v="5.3977272727272728E-2"/>
    <n v="1"/>
  </r>
  <r>
    <x v="462"/>
    <n v="0"/>
    <n v="704"/>
    <n v="0"/>
    <n v="101"/>
    <n v="0"/>
    <n v="704"/>
    <n v="0"/>
    <n v="38"/>
    <x v="3"/>
    <x v="14"/>
    <n v="0.14346590909090909"/>
    <n v="5.3977272727272728E-2"/>
    <n v="603"/>
    <n v="666"/>
    <n v="0"/>
    <n v="1"/>
    <n v="0.14346590909090909"/>
    <n v="1"/>
    <n v="5.3977272727272728E-2"/>
    <n v="1"/>
  </r>
  <r>
    <x v="463"/>
    <n v="0"/>
    <n v="704"/>
    <n v="0"/>
    <n v="101"/>
    <n v="0"/>
    <n v="704"/>
    <n v="0"/>
    <n v="38"/>
    <x v="3"/>
    <x v="14"/>
    <n v="0.14346590909090909"/>
    <n v="5.3977272727272728E-2"/>
    <n v="603"/>
    <n v="666"/>
    <n v="0"/>
    <n v="1"/>
    <n v="0.14346590909090909"/>
    <n v="1"/>
    <n v="5.3977272727272728E-2"/>
    <n v="1"/>
  </r>
  <r>
    <x v="464"/>
    <n v="0"/>
    <n v="704"/>
    <n v="0"/>
    <n v="101"/>
    <n v="0"/>
    <n v="704"/>
    <n v="0"/>
    <n v="38"/>
    <x v="3"/>
    <x v="14"/>
    <n v="0.14346590909090909"/>
    <n v="5.3977272727272728E-2"/>
    <n v="603"/>
    <n v="666"/>
    <n v="0"/>
    <n v="1"/>
    <n v="0.14346590909090909"/>
    <n v="1"/>
    <n v="5.3977272727272728E-2"/>
    <n v="1"/>
  </r>
  <r>
    <x v="465"/>
    <n v="0"/>
    <n v="704"/>
    <n v="0"/>
    <n v="101"/>
    <n v="0"/>
    <n v="704"/>
    <n v="0"/>
    <n v="38"/>
    <x v="3"/>
    <x v="14"/>
    <n v="0.14346590909090909"/>
    <n v="5.3977272727272728E-2"/>
    <n v="603"/>
    <n v="666"/>
    <n v="0"/>
    <n v="1"/>
    <n v="0.14346590909090909"/>
    <n v="1"/>
    <n v="5.3977272727272728E-2"/>
    <n v="1"/>
  </r>
  <r>
    <x v="466"/>
    <n v="0"/>
    <n v="704"/>
    <n v="0"/>
    <n v="101"/>
    <n v="0"/>
    <n v="704"/>
    <n v="0"/>
    <n v="38"/>
    <x v="3"/>
    <x v="14"/>
    <n v="0.14346590909090909"/>
    <n v="5.3977272727272728E-2"/>
    <n v="603"/>
    <n v="666"/>
    <n v="0"/>
    <n v="1"/>
    <n v="0.14346590909090909"/>
    <n v="1"/>
    <n v="5.3977272727272728E-2"/>
    <n v="1"/>
  </r>
  <r>
    <x v="467"/>
    <n v="0"/>
    <n v="704"/>
    <n v="0"/>
    <n v="101"/>
    <n v="0"/>
    <n v="704"/>
    <n v="0"/>
    <n v="38"/>
    <x v="3"/>
    <x v="14"/>
    <n v="0.14346590909090909"/>
    <n v="5.3977272727272728E-2"/>
    <n v="603"/>
    <n v="666"/>
    <n v="0"/>
    <n v="1"/>
    <n v="0.14346590909090909"/>
    <n v="1"/>
    <n v="5.3977272727272728E-2"/>
    <n v="1"/>
  </r>
  <r>
    <x v="468"/>
    <n v="0"/>
    <n v="704"/>
    <n v="0"/>
    <n v="101"/>
    <n v="0"/>
    <n v="704"/>
    <n v="0"/>
    <n v="38"/>
    <x v="3"/>
    <x v="15"/>
    <n v="0.14346590909090909"/>
    <n v="5.3977272727272728E-2"/>
    <n v="603"/>
    <n v="666"/>
    <n v="0"/>
    <n v="1"/>
    <n v="0.14346590909090909"/>
    <n v="1"/>
    <n v="5.3977272727272728E-2"/>
    <n v="1"/>
  </r>
  <r>
    <x v="469"/>
    <n v="0"/>
    <n v="704"/>
    <n v="0"/>
    <n v="101"/>
    <n v="0"/>
    <n v="704"/>
    <n v="0"/>
    <n v="38"/>
    <x v="3"/>
    <x v="15"/>
    <n v="0.14346590909090909"/>
    <n v="5.3977272727272728E-2"/>
    <n v="603"/>
    <n v="666"/>
    <n v="0"/>
    <n v="1"/>
    <n v="0.14346590909090909"/>
    <n v="1"/>
    <n v="5.3977272727272728E-2"/>
    <n v="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7">
  <r>
    <x v="0"/>
    <n v="0"/>
    <n v="0"/>
    <n v="2"/>
    <n v="0"/>
    <n v="0"/>
    <n v="2"/>
    <n v="0"/>
    <n v="0"/>
    <n v="17"/>
    <x v="0"/>
    <x v="0"/>
    <n v="0"/>
    <e v="#VALUE!"/>
  </r>
  <r>
    <x v="1"/>
    <n v="4.4389204545454547E-5"/>
    <n v="4.4389204545454547E-5"/>
    <n v="2"/>
    <n v="0.94119648173766179"/>
    <n v="0.94119648173766179"/>
    <n v="0"/>
    <n v="0"/>
    <n v="2.705627705627706E-5"/>
    <n v="18"/>
    <x v="0"/>
    <x v="0"/>
    <n v="0.57368166505914608"/>
    <n v="0.57368166505914608"/>
  </r>
  <r>
    <x v="2"/>
    <n v="8.8778409090909093E-5"/>
    <n v="4.4389204545454547E-5"/>
    <n v="3"/>
    <n v="1.8823929634753231"/>
    <n v="0.94119648173766179"/>
    <n v="1"/>
    <n v="0"/>
    <n v="5.4112554112554119E-5"/>
    <n v="19"/>
    <x v="0"/>
    <x v="0"/>
    <n v="1.1473633301182922"/>
    <n v="0.57368166505914608"/>
  </r>
  <r>
    <x v="3"/>
    <n v="1.5808786881977671E-4"/>
    <n v="6.9309459728867615E-5"/>
    <n v="5"/>
    <n v="3.3519804525043035"/>
    <n v="1.4695874890289804"/>
    <n v="2"/>
    <n v="0"/>
    <n v="9.4959651998486949E-5"/>
    <n v="20"/>
    <x v="0"/>
    <x v="0"/>
    <n v="2.0134555526104982"/>
    <n v="0.86609222249220608"/>
  </r>
  <r>
    <x v="4"/>
    <n v="2.7361846851978432E-4"/>
    <n v="1.1553059970000762E-4"/>
    <n v="5"/>
    <n v="5.8016074526759924"/>
    <n v="2.4496270001716889"/>
    <n v="0"/>
    <n v="0"/>
    <n v="1.6365879979529321E-4"/>
    <n v="21"/>
    <x v="0"/>
    <x v="0"/>
    <n v="3.4701024303106482"/>
    <n v="1.45664687770015"/>
  </r>
  <r>
    <x v="5"/>
    <n v="3.8914906821979189E-4"/>
    <n v="1.1553059970000756E-4"/>
    <n v="5"/>
    <n v="8.2512344528476813"/>
    <n v="2.449627000171688"/>
    <n v="0"/>
    <n v="0"/>
    <n v="2.3235794759209953E-4"/>
    <n v="22"/>
    <x v="0"/>
    <x v="0"/>
    <n v="4.9267493080107991"/>
    <n v="1.4566468777001509"/>
  </r>
  <r>
    <x v="6"/>
    <n v="5.046796679197995E-4"/>
    <n v="1.1553059970000762E-4"/>
    <n v="6"/>
    <n v="10.700861453019368"/>
    <n v="2.4496270001716889"/>
    <n v="1"/>
    <n v="0"/>
    <n v="3.0105709538890573E-4"/>
    <n v="23"/>
    <x v="0"/>
    <x v="0"/>
    <n v="6.3833961857109482"/>
    <n v="1.4566468777001491"/>
  </r>
  <r>
    <x v="7"/>
    <n v="6.4050247541201481E-4"/>
    <n v="1.3582280749221531E-4"/>
    <n v="6"/>
    <n v="13.580749701985416"/>
    <n v="2.8798882489660462"/>
    <n v="0"/>
    <n v="0"/>
    <n v="3.8367382812602431E-4"/>
    <n v="24"/>
    <x v="0"/>
    <x v="0"/>
    <n v="8.1351414350589497"/>
    <n v="1.7517452493480015"/>
  </r>
  <r>
    <x v="8"/>
    <n v="7.7632528290423023E-4"/>
    <n v="1.3582280749221542E-4"/>
    <n v="8"/>
    <n v="16.460637950951465"/>
    <n v="2.8798882489660489"/>
    <n v="2"/>
    <n v="0"/>
    <n v="4.6629056086314272E-4"/>
    <n v="25"/>
    <x v="0"/>
    <x v="0"/>
    <n v="9.8868866844069458"/>
    <n v="1.7517452493479961"/>
  </r>
  <r>
    <x v="9"/>
    <n v="9.5714299558871912E-4"/>
    <n v="1.808177126844889E-4"/>
    <n v="9"/>
    <n v="20.294565518637949"/>
    <n v="3.8339275676864832"/>
    <n v="1"/>
    <n v="0"/>
    <n v="5.7819501618695292E-4"/>
    <n v="26"/>
    <x v="0"/>
    <x v="0"/>
    <n v="12.259627550571548"/>
    <n v="2.3727408661646017"/>
  </r>
  <r>
    <x v="10"/>
    <n v="1.164761737432728E-3"/>
    <n v="2.0761874184400887E-4"/>
    <n v="10"/>
    <n v="24.696762660203778"/>
    <n v="4.4021971415658312"/>
    <n v="1"/>
    <n v="0"/>
    <n v="7.0489587302591445E-4"/>
    <n v="27"/>
    <x v="0"/>
    <x v="0"/>
    <n v="14.946100577315367"/>
    <n v="2.686473026743819"/>
  </r>
  <r>
    <x v="11"/>
    <n v="1.3964559800471526E-3"/>
    <n v="2.316942426144246E-4"/>
    <n v="10"/>
    <n v="29.609439249491725"/>
    <n v="4.9126765892879458"/>
    <n v="0"/>
    <n v="0"/>
    <n v="8.4654888297492422E-4"/>
    <n v="28"/>
    <x v="0"/>
    <x v="0"/>
    <n v="17.949608208433983"/>
    <n v="3.003507631118616"/>
  </r>
  <r>
    <x v="12"/>
    <n v="1.6281502226615772E-3"/>
    <n v="2.316942426144246E-4"/>
    <n v="10"/>
    <n v="34.522115838779669"/>
    <n v="4.9126765892879458"/>
    <n v="0"/>
    <n v="0"/>
    <n v="9.8820189292393354E-4"/>
    <n v="1"/>
    <x v="1"/>
    <x v="0"/>
    <n v="20.953115839552591"/>
    <n v="3.0035076311186089"/>
  </r>
  <r>
    <x v="13"/>
    <n v="1.8598444652760024E-3"/>
    <n v="2.3169424261442525E-4"/>
    <n v="10"/>
    <n v="39.434792428067631"/>
    <n v="4.91267658928796"/>
    <n v="0"/>
    <n v="0"/>
    <n v="1.1298549028729429E-3"/>
    <n v="2"/>
    <x v="1"/>
    <x v="0"/>
    <n v="23.9566234706712"/>
    <n v="3.0035076311186089"/>
  </r>
  <r>
    <x v="14"/>
    <n v="2.0915387078904273E-3"/>
    <n v="2.3169424261442481E-4"/>
    <n v="10"/>
    <n v="44.347469017355579"/>
    <n v="4.9126765892879511"/>
    <n v="0"/>
    <n v="0"/>
    <n v="1.2715079128219529E-3"/>
    <n v="3"/>
    <x v="1"/>
    <x v="0"/>
    <n v="26.960131101789823"/>
    <n v="3.0035076311186231"/>
  </r>
  <r>
    <x v="15"/>
    <n v="2.3232329505048516E-3"/>
    <n v="2.3169424261442438E-4"/>
    <n v="11"/>
    <n v="49.260145606643526"/>
    <n v="4.9126765892879414"/>
    <n v="1"/>
    <n v="0"/>
    <n v="1.413160922770962E-3"/>
    <n v="4"/>
    <x v="1"/>
    <x v="0"/>
    <n v="29.963638732908425"/>
    <n v="3.0035076311186018"/>
  </r>
  <r>
    <x v="16"/>
    <n v="2.584519996149579E-3"/>
    <n v="2.6128704564472739E-4"/>
    <n v="12"/>
    <n v="54.800286517089901"/>
    <n v="5.5401409104463823"/>
    <n v="1"/>
    <n v="0"/>
    <n v="1.5705967610027997E-3"/>
    <n v="5"/>
    <x v="1"/>
    <x v="0"/>
    <n v="33.301794001978202"/>
    <n v="3.3381552690697767"/>
  </r>
  <r>
    <x v="17"/>
    <n v="2.868717598979058E-3"/>
    <n v="2.8419760282947897E-4"/>
    <n v="13"/>
    <n v="60.826206256820257"/>
    <n v="6.0259197397303543"/>
    <n v="1"/>
    <n v="0"/>
    <n v="1.7434341569465884E-3"/>
    <n v="6"/>
    <x v="1"/>
    <x v="0"/>
    <n v="36.966512724486847"/>
    <n v="3.6647187225086455"/>
  </r>
  <r>
    <x v="18"/>
    <n v="3.1787416480895283E-3"/>
    <n v="3.1002404911047035E-4"/>
    <n v="13"/>
    <n v="67.399731222288878"/>
    <n v="6.5735249654686232"/>
    <n v="0"/>
    <n v="0"/>
    <n v="1.9324130818159978E-3"/>
    <n v="7"/>
    <x v="1"/>
    <x v="0"/>
    <n v="40.973484713081938"/>
    <n v="4.0069719885950903"/>
  </r>
  <r>
    <x v="19"/>
    <n v="3.4887656971999987E-3"/>
    <n v="3.1002404911047035E-4"/>
    <n v="13"/>
    <n v="73.973256187757499"/>
    <n v="6.5735249654686232"/>
    <n v="0"/>
    <n v="0"/>
    <n v="2.1213920066854063E-3"/>
    <n v="8"/>
    <x v="1"/>
    <x v="0"/>
    <n v="44.980456701676999"/>
    <n v="4.0069719885950619"/>
  </r>
  <r>
    <x v="20"/>
    <n v="3.7987897463104691E-3"/>
    <n v="3.1002404911047035E-4"/>
    <n v="14"/>
    <n v="80.546781153226135"/>
    <n v="6.5735249654686232"/>
    <n v="1"/>
    <n v="0"/>
    <n v="2.3103709315548146E-3"/>
    <n v="9"/>
    <x v="1"/>
    <x v="0"/>
    <n v="48.987428690272061"/>
    <n v="4.0069719885950619"/>
  </r>
  <r>
    <x v="21"/>
    <n v="4.1328892961913551E-3"/>
    <n v="3.3409954988088608E-4"/>
    <n v="15"/>
    <n v="87.630785566416861"/>
    <n v="7.0840044131907378"/>
    <n v="1"/>
    <n v="0"/>
    <n v="2.5160610863707469E-3"/>
    <n v="10"/>
    <x v="1"/>
    <x v="0"/>
    <n v="53.348733471991892"/>
    <n v="4.3613047817198307"/>
  </r>
  <r>
    <x v="22"/>
    <n v="4.4910643468426574E-3"/>
    <n v="3.5817505065130224E-4"/>
    <n v="15"/>
    <n v="95.225269427329735"/>
    <n v="7.5944838609128622"/>
    <n v="0"/>
    <n v="0"/>
    <n v="2.73840776174945E-3"/>
    <n v="11"/>
    <x v="1"/>
    <x v="0"/>
    <n v="58.06321102876376"/>
    <n v="4.7144775567718682"/>
  </r>
  <r>
    <x v="23"/>
    <n v="4.8492393974939587E-3"/>
    <n v="3.5817505065130137E-4"/>
    <n v="17"/>
    <n v="102.81975328824257"/>
    <n v="7.5944838609128444"/>
    <n v="2"/>
    <n v="0"/>
    <n v="2.960754437128153E-3"/>
    <n v="12"/>
    <x v="1"/>
    <x v="0"/>
    <n v="62.777688585535628"/>
    <n v="4.7144775567718682"/>
  </r>
  <r>
    <x v="24"/>
    <n v="5.2596894565092624E-3"/>
    <n v="4.1045005901530363E-4"/>
    <n v="17"/>
    <n v="111.52263849265378"/>
    <n v="8.7028852044112135"/>
    <n v="0"/>
    <n v="0"/>
    <n v="3.2171400537485419E-3"/>
    <n v="13"/>
    <x v="1"/>
    <x v="0"/>
    <n v="68.213903151718043"/>
    <n v="5.4362145661824144"/>
  </r>
  <r>
    <x v="25"/>
    <n v="5.670139515524566E-3"/>
    <n v="4.1045005901530363E-4"/>
    <n v="17"/>
    <n v="120.225523697065"/>
    <n v="8.7028852044112135"/>
    <n v="0"/>
    <n v="0"/>
    <n v="3.4735256703689304E-3"/>
    <n v="14"/>
    <x v="1"/>
    <x v="0"/>
    <n v="73.650117717900457"/>
    <n v="5.4362145661824144"/>
  </r>
  <r>
    <x v="26"/>
    <n v="6.0805895745398714E-3"/>
    <n v="4.1045005901530537E-4"/>
    <n v="17"/>
    <n v="128.92840890147625"/>
    <n v="8.7028852044112508"/>
    <n v="0"/>
    <n v="0"/>
    <n v="3.7299112869893184E-3"/>
    <n v="15"/>
    <x v="1"/>
    <x v="0"/>
    <n v="79.086332284082857"/>
    <n v="5.4362145661824002"/>
  </r>
  <r>
    <x v="27"/>
    <n v="6.4910396335551741E-3"/>
    <n v="4.1045005901530277E-4"/>
    <n v="18"/>
    <n v="137.63129410588743"/>
    <n v="8.7028852044111957"/>
    <n v="1"/>
    <n v="0"/>
    <n v="3.9862969036097073E-3"/>
    <n v="16"/>
    <x v="1"/>
    <x v="0"/>
    <n v="84.522546850265286"/>
    <n v="5.4362145661824286"/>
  </r>
  <r>
    <x v="28"/>
    <n v="6.9345235192089542E-3"/>
    <n v="4.4348388565378007E-4"/>
    <n v="18"/>
    <n v="147.03460459903363"/>
    <n v="9.4033104931461899"/>
    <n v="0"/>
    <n v="0"/>
    <n v="4.2608934759410513E-3"/>
    <n v="17"/>
    <x v="1"/>
    <x v="0"/>
    <n v="90.344893306391342"/>
    <n v="5.8223464561260556"/>
  </r>
  <r>
    <x v="29"/>
    <n v="7.378007404862736E-3"/>
    <n v="4.4348388565378181E-4"/>
    <n v="19"/>
    <n v="156.43791509217985"/>
    <n v="9.4033104931462255"/>
    <n v="1"/>
    <n v="0"/>
    <n v="4.5354900482723962E-3"/>
    <n v="18"/>
    <x v="1"/>
    <x v="0"/>
    <n v="96.167239762517426"/>
    <n v="5.822346456126084"/>
  </r>
  <r>
    <x v="30"/>
    <n v="7.8510840935468208E-3"/>
    <n v="4.7307668868408481E-4"/>
    <n v="20"/>
    <n v="166.46868990648454"/>
    <n v="10.030774814304667"/>
    <n v="1"/>
    <n v="0"/>
    <n v="4.8287768119912996E-3"/>
    <n v="19"/>
    <x v="1"/>
    <x v="0"/>
    <n v="102.38587947411197"/>
    <n v="6.2186397115945482"/>
  </r>
  <r>
    <x v="31"/>
    <n v="8.3596721458672699E-3"/>
    <n v="5.0858805232044911E-4"/>
    <n v="20"/>
    <n v="177.25242190617934"/>
    <n v="10.78373199969481"/>
    <n v="0"/>
    <n v="0"/>
    <n v="5.1410029696495963E-3"/>
    <n v="20"/>
    <x v="1"/>
    <x v="0"/>
    <n v="109.0060963512479"/>
    <n v="6.6202168771359311"/>
  </r>
  <r>
    <x v="32"/>
    <n v="8.8682601981877173E-3"/>
    <n v="5.0858805232044738E-4"/>
    <n v="20"/>
    <n v="188.0361539058741"/>
    <n v="10.783731999694773"/>
    <n v="0"/>
    <n v="0"/>
    <n v="5.4532291273078938E-3"/>
    <n v="21"/>
    <x v="1"/>
    <x v="0"/>
    <n v="115.62631322838386"/>
    <n v="6.6202168771359595"/>
  </r>
  <r>
    <x v="33"/>
    <n v="9.3768482505081664E-3"/>
    <n v="5.0858805232044911E-4"/>
    <n v="20"/>
    <n v="198.81988590556892"/>
    <n v="10.78373199969481"/>
    <n v="0"/>
    <n v="0"/>
    <n v="5.7654552849661922E-3"/>
    <n v="22"/>
    <x v="1"/>
    <x v="0"/>
    <n v="122.24653010551982"/>
    <n v="6.6202168771359595"/>
  </r>
  <r>
    <x v="34"/>
    <n v="9.8854363028286138E-3"/>
    <n v="5.0858805232044738E-4"/>
    <n v="21"/>
    <n v="209.60361790526369"/>
    <n v="10.783731999694773"/>
    <n v="1"/>
    <n v="0"/>
    <n v="6.0776814426244889E-3"/>
    <n v="23"/>
    <x v="1"/>
    <x v="0"/>
    <n v="128.86674698265577"/>
    <n v="6.6202168771359453"/>
  </r>
  <r>
    <x v="35"/>
    <n v="1.0427058181787541E-2"/>
    <n v="5.4162187895892729E-4"/>
    <n v="23"/>
    <n v="221.08777519369352"/>
    <n v="11.484157288429822"/>
    <n v="2"/>
    <n v="0"/>
    <n v="6.4099140023314441E-3"/>
    <n v="24"/>
    <x v="1"/>
    <x v="0"/>
    <n v="135.91116509099746"/>
    <n v="7.0444181083416879"/>
  </r>
  <r>
    <x v="36"/>
    <n v="1.102668195468586E-2"/>
    <n v="5.9962377289831878E-4"/>
    <n v="24"/>
    <n v="233.80176255159384"/>
    <n v="12.713987357900317"/>
    <n v="1"/>
    <n v="0"/>
    <n v="6.7814119841163199E-3"/>
    <n v="25"/>
    <x v="1"/>
    <x v="0"/>
    <n v="143.78813871575622"/>
    <n v="7.8769736247587616"/>
  </r>
  <r>
    <x v="37"/>
    <n v="1.1660126073904525E-2"/>
    <n v="6.3344411921866482E-4"/>
    <n v="24"/>
    <n v="247.23285199081809"/>
    <n v="13.431089439224239"/>
    <n v="0"/>
    <n v="0"/>
    <n v="7.1726728117509986E-3"/>
    <n v="26"/>
    <x v="1"/>
    <x v="0"/>
    <n v="152.08414938281905"/>
    <n v="8.2960106670628306"/>
  </r>
  <r>
    <x v="38"/>
    <n v="1.2293570193123193E-2"/>
    <n v="6.3344411921866829E-4"/>
    <n v="26"/>
    <n v="260.66394143004237"/>
    <n v="13.431089439224316"/>
    <n v="2"/>
    <n v="0"/>
    <n v="7.5639336393856747E-3"/>
    <n v="27"/>
    <x v="1"/>
    <x v="0"/>
    <n v="160.38016004988185"/>
    <n v="8.2960106670628022"/>
  </r>
  <r>
    <x v="39"/>
    <n v="1.3008783899662431E-2"/>
    <n v="7.1521370653923784E-4"/>
    <n v="26"/>
    <n v="275.82881386194123"/>
    <n v="15.164872431898855"/>
    <n v="0"/>
    <n v="0"/>
    <n v="7.997596095242877E-3"/>
    <n v="28"/>
    <x v="1"/>
    <x v="0"/>
    <n v="169.5752240726344"/>
    <n v="9.1950640227525469"/>
  </r>
  <r>
    <x v="40"/>
    <n v="1.3723997606201672E-2"/>
    <n v="7.1521370653924131E-4"/>
    <n v="26"/>
    <n v="290.9936862938402"/>
    <n v="15.16487243189893"/>
    <n v="0"/>
    <n v="0"/>
    <n v="8.4312585511000775E-3"/>
    <n v="29"/>
    <x v="1"/>
    <x v="0"/>
    <n v="178.77028809538689"/>
    <n v="9.19506402275249"/>
  </r>
  <r>
    <x v="41"/>
    <n v="1.4439211312740913E-2"/>
    <n v="7.1521370653924131E-4"/>
    <n v="29"/>
    <n v="306.15855872573911"/>
    <n v="15.16487243189893"/>
    <n v="3"/>
    <n v="0"/>
    <n v="8.8649210069572781E-3"/>
    <n v="30"/>
    <x v="1"/>
    <x v="0"/>
    <n v="187.96535211813941"/>
    <n v="9.1950640227525184"/>
  </r>
  <r>
    <x v="42"/>
    <n v="1.52686946647998E-2"/>
    <n v="8.2948335205888617E-4"/>
    <n v="30"/>
    <n v="323.74632180039259"/>
    <n v="17.587763074653481"/>
    <n v="1"/>
    <n v="0"/>
    <n v="9.3647233775872099E-3"/>
    <n v="31"/>
    <x v="1"/>
    <x v="0"/>
    <n v="198.56279889868111"/>
    <n v="10.597446780541702"/>
  </r>
  <r>
    <x v="43"/>
    <n v="1.6132823249674647E-2"/>
    <n v="8.6412858487484694E-4"/>
    <n v="31"/>
    <n v="342.06867725103638"/>
    <n v="18.322355450643769"/>
    <n v="1"/>
    <n v="0"/>
    <n v="9.8856070974234853E-3"/>
    <n v="1"/>
    <x v="2"/>
    <x v="0"/>
    <n v="209.6072393099146"/>
    <n v="11.044440411233495"/>
  </r>
  <r>
    <x v="44"/>
    <n v="1.7036408905256571E-2"/>
    <n v="9.0358565558192397E-4"/>
    <n v="32"/>
    <n v="361.22765179655818"/>
    <n v="19.158974545521826"/>
    <n v="1"/>
    <n v="0"/>
    <n v="1.0429401374444515E-2"/>
    <n v="2"/>
    <x v="2"/>
    <x v="0"/>
    <n v="221.13745855043214"/>
    <n v="11.530219240517539"/>
  </r>
  <r>
    <x v="45"/>
    <n v="1.7974639793654455E-2"/>
    <n v="9.3823088839788474E-4"/>
    <n v="32"/>
    <n v="381.12121871807022"/>
    <n v="19.893566921512111"/>
    <n v="0"/>
    <n v="0"/>
    <n v="1.0994735331048255E-2"/>
    <n v="3"/>
    <x v="2"/>
    <x v="0"/>
    <n v="233.1243895263502"/>
    <n v="11.986930975918057"/>
  </r>
  <r>
    <x v="46"/>
    <n v="1.8912870682052347E-2"/>
    <n v="9.3823088839789168E-4"/>
    <n v="32"/>
    <n v="401.01478563958256"/>
    <n v="19.893566921512264"/>
    <n v="0"/>
    <n v="0"/>
    <n v="1.1560069287651997E-2"/>
    <n v="4"/>
    <x v="2"/>
    <x v="0"/>
    <n v="245.11132050226831"/>
    <n v="11.986930975918114"/>
  </r>
  <r>
    <x v="47"/>
    <n v="1.9851101570450221E-2"/>
    <n v="9.3823088839787433E-4"/>
    <n v="32"/>
    <n v="420.90835256109438"/>
    <n v="19.893566921511898"/>
    <n v="0"/>
    <n v="0"/>
    <n v="1.2125403244255739E-2"/>
    <n v="5"/>
    <x v="2"/>
    <x v="0"/>
    <n v="257.0982514781864"/>
    <n v="11.986930975918085"/>
  </r>
  <r>
    <x v="48"/>
    <n v="2.0789332458848116E-2"/>
    <n v="9.3823088839789515E-4"/>
    <n v="33"/>
    <n v="440.80191948260682"/>
    <n v="19.893566921512335"/>
    <n v="1"/>
    <n v="0"/>
    <n v="1.2690737200859477E-2"/>
    <n v="6"/>
    <x v="2"/>
    <x v="0"/>
    <n v="269.08518245410443"/>
    <n v="11.986930975918028"/>
  </r>
  <r>
    <x v="49"/>
    <n v="2.1764943730021115E-2"/>
    <n v="9.7561127117299848E-4"/>
    <n v="36"/>
    <n v="461.48807291505574"/>
    <n v="20.686153432448968"/>
    <n v="3"/>
    <n v="0"/>
    <n v="1.3279745399887466E-2"/>
    <n v="7"/>
    <x v="2"/>
    <x v="0"/>
    <n v="281.57408488694938"/>
    <n v="12.488902432844952"/>
  </r>
  <r>
    <x v="50"/>
    <n v="2.2846586357225484E-2"/>
    <n v="1.081642627204369E-3"/>
    <n v="36"/>
    <n v="484.42243827814224"/>
    <n v="22.934365363086471"/>
    <n v="0"/>
    <n v="0"/>
    <n v="1.39324204008635E-2"/>
    <n v="8"/>
    <x v="2"/>
    <x v="0"/>
    <n v="295.41293198788651"/>
    <n v="13.83884710093713"/>
  </r>
  <r>
    <x v="51"/>
    <n v="2.3928228984429843E-2"/>
    <n v="1.0816426272043586E-3"/>
    <n v="36"/>
    <n v="507.35680364122845"/>
    <n v="22.934365363086251"/>
    <n v="0"/>
    <n v="0"/>
    <n v="1.4585095401839537E-2"/>
    <n v="9"/>
    <x v="2"/>
    <x v="0"/>
    <n v="309.25177908882364"/>
    <n v="13.83884710093713"/>
  </r>
  <r>
    <x v="52"/>
    <n v="2.5009871611634205E-2"/>
    <n v="1.0816426272043621E-3"/>
    <n v="38"/>
    <n v="530.29116900431484"/>
    <n v="22.934365363086325"/>
    <n v="2"/>
    <n v="0"/>
    <n v="1.523777040281557E-2"/>
    <n v="10"/>
    <x v="2"/>
    <x v="0"/>
    <n v="323.09062618976077"/>
    <n v="13.83884710093713"/>
  </r>
  <r>
    <x v="53"/>
    <n v="2.6172683070007387E-2"/>
    <n v="1.1628114583731829E-3"/>
    <n v="40"/>
    <n v="554.9465793625784"/>
    <n v="24.655410358263541"/>
    <n v="2"/>
    <n v="0"/>
    <n v="1.5936275163654388E-2"/>
    <n v="11"/>
    <x v="2"/>
    <x v="0"/>
    <n v="337.90121426203166"/>
    <n v="14.810588072270889"/>
  </r>
  <r>
    <x v="54"/>
    <n v="2.7412275855161917E-2"/>
    <n v="1.2395927851545294E-3"/>
    <n v="41"/>
    <n v="581.23000525682096"/>
    <n v="26.283425894242619"/>
    <n v="1"/>
    <n v="0"/>
    <n v="1.6683130011905786E-2"/>
    <n v="12"/>
    <x v="2"/>
    <x v="0"/>
    <n v="353.73698250210282"/>
    <n v="15.835768240071161"/>
  </r>
  <r>
    <x v="55"/>
    <n v="2.8689249023091546E-2"/>
    <n v="1.2769731679296292E-3"/>
    <n v="41"/>
    <n v="608.30601766200016"/>
    <n v="27.076012405179178"/>
    <n v="0"/>
    <n v="0"/>
    <n v="1.7457140608820289E-2"/>
    <n v="13"/>
    <x v="2"/>
    <x v="0"/>
    <n v="370.14854153100174"/>
    <n v="16.411559028898921"/>
  </r>
  <r>
    <x v="56"/>
    <n v="2.9966222191021186E-2"/>
    <n v="1.2769731679296396E-3"/>
    <n v="43"/>
    <n v="635.38203006717958"/>
    <n v="27.076012405179402"/>
    <n v="2"/>
    <n v="0"/>
    <n v="1.8231151205734795E-2"/>
    <n v="14"/>
    <x v="2"/>
    <x v="0"/>
    <n v="386.56010055990077"/>
    <n v="16.411559028899035"/>
  </r>
  <r>
    <x v="57"/>
    <n v="3.1311660938087134E-2"/>
    <n v="1.3454387470659482E-3"/>
    <n v="46"/>
    <n v="663.90973692967316"/>
    <n v="28.527706862493652"/>
    <n v="3"/>
    <n v="0"/>
    <n v="1.9057051876860801E-2"/>
    <n v="15"/>
    <x v="2"/>
    <x v="0"/>
    <n v="404.07189906785965"/>
    <n v="17.511798507958872"/>
  </r>
  <r>
    <x v="58"/>
    <n v="3.2768526244750379E-2"/>
    <n v="1.456865306663245E-3"/>
    <n v="46"/>
    <n v="694.80005170413597"/>
    <n v="30.890314774462801"/>
    <n v="0"/>
    <n v="0"/>
    <n v="1.995367934722923E-2"/>
    <n v="16"/>
    <x v="2"/>
    <x v="0"/>
    <n v="423.08333730338711"/>
    <n v="19.011438235527464"/>
  </r>
  <r>
    <x v="59"/>
    <n v="3.4225391551413624E-2"/>
    <n v="1.456865306663245E-3"/>
    <n v="47"/>
    <n v="725.69036647859878"/>
    <n v="30.890314774462801"/>
    <n v="1"/>
    <n v="0"/>
    <n v="2.0850306817597655E-2"/>
    <n v="17"/>
    <x v="2"/>
    <x v="0"/>
    <n v="442.09477553891452"/>
    <n v="19.011438235527407"/>
  </r>
  <r>
    <x v="60"/>
    <n v="3.5700380680028433E-2"/>
    <n v="1.4749891286148092E-3"/>
    <n v="46"/>
    <n v="756.96496562200059"/>
    <n v="31.274599143401751"/>
    <n v="0"/>
    <n v="0"/>
    <n v="2.1767005928282301E-2"/>
    <n v="18"/>
    <x v="2"/>
    <x v="0"/>
    <n v="461.53179827053231"/>
    <n v="19.437022731617787"/>
  </r>
  <r>
    <x v="61"/>
    <n v="3.7175369808643263E-2"/>
    <n v="1.4749891286148301E-3"/>
    <n v="46"/>
    <n v="788.23956476540275"/>
    <n v="31.274599143402192"/>
    <n v="0"/>
    <n v="0"/>
    <n v="2.2683705038966936E-2"/>
    <n v="19"/>
    <x v="2"/>
    <x v="0"/>
    <n v="480.96882100214987"/>
    <n v="19.43702273161756"/>
  </r>
  <r>
    <x v="62"/>
    <n v="3.8650358937258066E-2"/>
    <n v="1.4749891286148023E-3"/>
    <n v="47"/>
    <n v="819.51416390880433"/>
    <n v="31.274599143401598"/>
    <n v="1"/>
    <n v="0"/>
    <n v="2.3600404149651567E-2"/>
    <n v="20"/>
    <x v="2"/>
    <x v="0"/>
    <n v="500.40584373376731"/>
    <n v="19.437022731617446"/>
  </r>
  <r>
    <x v="63"/>
    <n v="4.0112826738493056E-2"/>
    <n v="1.4624678012349901E-3"/>
    <n v="45"/>
    <n v="850.52326991266352"/>
    <n v="31.009106003859152"/>
    <n v="0"/>
    <n v="0"/>
    <n v="2.4548320226509556E-2"/>
    <n v="21"/>
    <x v="2"/>
    <x v="0"/>
    <n v="520.50476836323935"/>
    <n v="20.098924629472037"/>
  </r>
  <r>
    <x v="64"/>
    <n v="4.1522027494273521E-2"/>
    <n v="1.4092007557804653E-3"/>
    <n v="46"/>
    <n v="880.40294013843788"/>
    <n v="29.879670225774397"/>
    <n v="3"/>
    <n v="0"/>
    <n v="2.5496236303367559E-2"/>
    <n v="22"/>
    <x v="2"/>
    <x v="0"/>
    <n v="540.60369299271156"/>
    <n v="20.098924629472208"/>
  </r>
  <r>
    <x v="65"/>
    <n v="4.3002391895436351E-2"/>
    <n v="1.48036440116283E-3"/>
    <n v="44"/>
    <n v="911.7915126603308"/>
    <n v="31.388572521892858"/>
    <n v="0"/>
    <n v="0"/>
    <n v="2.6541678710602482E-2"/>
    <n v="23"/>
    <x v="2"/>
    <x v="0"/>
    <n v="562.77049516059628"/>
    <n v="22.166802167884725"/>
  </r>
  <r>
    <x v="66"/>
    <n v="4.4482756296599188E-2"/>
    <n v="1.480364401162837E-3"/>
    <n v="46"/>
    <n v="943.18008518222371"/>
    <n v="31.388572521893003"/>
    <n v="2"/>
    <n v="0"/>
    <n v="2.758712111783744E-2"/>
    <n v="24"/>
    <x v="2"/>
    <x v="0"/>
    <n v="584.9372973284818"/>
    <n v="22.166802167885521"/>
  </r>
  <r>
    <x v="67"/>
    <n v="4.6020998260125269E-2"/>
    <n v="1.5382419635260811E-3"/>
    <n v="45"/>
    <n v="975.79585153706898"/>
    <n v="32.615766354845242"/>
    <n v="0"/>
    <n v="0"/>
    <n v="2.8687742720876565E-2"/>
    <n v="25"/>
    <x v="2"/>
    <x v="0"/>
    <n v="608.27407912289596"/>
    <n v="23.336781794414151"/>
  </r>
  <r>
    <x v="68"/>
    <n v="4.7559240223651315E-2"/>
    <n v="1.5382419635260464E-3"/>
    <n v="45"/>
    <n v="1008.4116178919136"/>
    <n v="32.61576635484451"/>
    <n v="0"/>
    <n v="0"/>
    <n v="2.9788364323915715E-2"/>
    <n v="26"/>
    <x v="2"/>
    <x v="0"/>
    <n v="631.61086091731067"/>
    <n v="23.336781794414719"/>
  </r>
  <r>
    <x v="69"/>
    <n v="4.9097482187177362E-2"/>
    <n v="1.5382419635260464E-3"/>
    <n v="46"/>
    <n v="1041.0273842467579"/>
    <n v="32.61576635484451"/>
    <n v="1"/>
    <n v="0"/>
    <n v="3.088898592695483E-2"/>
    <n v="27"/>
    <x v="2"/>
    <x v="0"/>
    <n v="654.9476427117246"/>
    <n v="23.336781794413923"/>
  </r>
  <r>
    <x v="70"/>
    <n v="5.0656037854478475E-2"/>
    <n v="1.5585556673011133E-3"/>
    <n v="46"/>
    <n v="1074.0738676356186"/>
    <n v="33.046483388860651"/>
    <n v="1"/>
    <n v="0"/>
    <n v="3.2027091747165684E-2"/>
    <n v="28"/>
    <x v="2"/>
    <x v="0"/>
    <n v="679.07921264627305"/>
    <n v="24.131569934548452"/>
  </r>
  <r>
    <x v="71"/>
    <n v="5.2149007611807741E-2"/>
    <n v="1.4929697573292655E-3"/>
    <n v="44"/>
    <n v="1105.7297149824692"/>
    <n v="31.655847346850585"/>
    <n v="1"/>
    <n v="0"/>
    <n v="3.3198070943999916E-2"/>
    <n v="29"/>
    <x v="2"/>
    <x v="0"/>
    <n v="703.90780580386831"/>
    <n v="24.828593157595265"/>
  </r>
  <r>
    <x v="72"/>
    <n v="5.368932585398551E-2"/>
    <n v="1.5403182421777697E-3"/>
    <n v="44"/>
    <n v="1138.3895052431735"/>
    <n v="32.659790260704504"/>
    <n v="0"/>
    <n v="0"/>
    <n v="3.4398712573989215E-2"/>
    <n v="30"/>
    <x v="2"/>
    <x v="0"/>
    <n v="729.36533966925981"/>
    <n v="25.457533865391497"/>
  </r>
  <r>
    <x v="73"/>
    <n v="5.5174828781607725E-2"/>
    <n v="1.4855029276222148E-3"/>
    <n v="42"/>
    <n v="1169.8870313512914"/>
    <n v="31.497526108117551"/>
    <n v="0"/>
    <n v="0"/>
    <n v="3.5599354203978535E-2"/>
    <n v="1"/>
    <x v="3"/>
    <x v="0"/>
    <n v="754.82287353465176"/>
    <n v="25.457533865391952"/>
  </r>
  <r>
    <x v="74"/>
    <n v="5.6660331709229877E-2"/>
    <n v="1.4855029276221524E-3"/>
    <n v="42"/>
    <n v="1201.3845574594077"/>
    <n v="31.497526108116222"/>
    <n v="0"/>
    <n v="0"/>
    <n v="3.6799995833967834E-2"/>
    <n v="2"/>
    <x v="3"/>
    <x v="0"/>
    <n v="780.28040740004326"/>
    <n v="25.457533865391497"/>
  </r>
  <r>
    <x v="75"/>
    <n v="5.8145834636852078E-2"/>
    <n v="1.4855029276222009E-3"/>
    <n v="42"/>
    <n v="1232.8820835675249"/>
    <n v="31.497526108117256"/>
    <n v="0"/>
    <n v="0"/>
    <n v="3.8000637463957147E-2"/>
    <n v="3"/>
    <x v="3"/>
    <x v="0"/>
    <n v="805.7379412654351"/>
    <n v="25.457533865391838"/>
  </r>
  <r>
    <x v="76"/>
    <n v="5.9631337564474279E-2"/>
    <n v="1.4855029276222009E-3"/>
    <n v="44"/>
    <n v="1264.3796096756421"/>
    <n v="31.497526108117256"/>
    <n v="1"/>
    <n v="0"/>
    <n v="3.9201279093946446E-2"/>
    <n v="4"/>
    <x v="3"/>
    <x v="0"/>
    <n v="831.19547513082659"/>
    <n v="25.457533865391497"/>
  </r>
  <r>
    <x v="77"/>
    <n v="6.1135949228310477E-2"/>
    <n v="1.5046116638361973E-3"/>
    <n v="44"/>
    <n v="1296.2823035600063"/>
    <n v="31.902693884364513"/>
    <n v="2"/>
    <n v="0"/>
    <n v="4.0437187181616013E-2"/>
    <n v="5"/>
    <x v="3"/>
    <x v="0"/>
    <n v="857.40077337343348"/>
    <n v="26.205298242606887"/>
  </r>
  <r>
    <x v="78"/>
    <n v="6.2615258518552125E-2"/>
    <n v="1.4793092902416483E-3"/>
    <n v="43"/>
    <n v="1327.6485042755778"/>
    <n v="31.366200715571289"/>
    <n v="1"/>
    <n v="0"/>
    <n v="4.1739805902402456E-2"/>
    <n v="6"/>
    <x v="3"/>
    <x v="0"/>
    <n v="885.02055547145164"/>
    <n v="27.619782098018163"/>
  </r>
  <r>
    <x v="79"/>
    <n v="6.4076227568679381E-2"/>
    <n v="1.460969050127256E-3"/>
    <n v="42"/>
    <n v="1358.6258318485316"/>
    <n v="30.977327572953609"/>
    <n v="3"/>
    <n v="0"/>
    <n v="4.3091877485141747E-2"/>
    <n v="7"/>
    <x v="3"/>
    <x v="0"/>
    <n v="913.68890016838327"/>
    <n v="28.668344696931626"/>
  </r>
  <r>
    <x v="80"/>
    <n v="6.5550445374110408E-2"/>
    <n v="1.4742178054310273E-3"/>
    <n v="42"/>
    <n v="1389.8840764148622"/>
    <n v="31.258244566330767"/>
    <n v="1"/>
    <n v="1"/>
    <n v="4.5074954835880657E-2"/>
    <n v="8"/>
    <x v="3"/>
    <x v="0"/>
    <n v="955.73663327470285"/>
    <n v="42.047733106319583"/>
  </r>
  <r>
    <x v="81"/>
    <n v="6.7058255705189113E-2"/>
    <n v="1.5078103310787044E-3"/>
    <n v="40"/>
    <n v="1421.8545925182941"/>
    <n v="31.970516103431638"/>
    <n v="0"/>
    <n v="0"/>
    <n v="4.6588718006081796E-2"/>
    <n v="9"/>
    <x v="3"/>
    <x v="0"/>
    <n v="987.83336905915291"/>
    <n v="32.096735784450061"/>
  </r>
  <r>
    <x v="82"/>
    <n v="6.8566066036267789E-2"/>
    <n v="1.5078103310786767E-3"/>
    <n v="40"/>
    <n v="1453.8251086217249"/>
    <n v="31.970516103431049"/>
    <n v="0"/>
    <n v="0"/>
    <n v="4.8102481176282949E-2"/>
    <n v="10"/>
    <x v="3"/>
    <x v="0"/>
    <n v="1019.9301048436032"/>
    <n v="32.096735784450289"/>
  </r>
  <r>
    <x v="83"/>
    <n v="7.007387636734648E-2"/>
    <n v="1.5078103310786906E-3"/>
    <n v="42"/>
    <n v="1485.7956247251564"/>
    <n v="31.970516103431343"/>
    <n v="1"/>
    <n v="1"/>
    <n v="5.0016885372125092E-2"/>
    <n v="11"/>
    <x v="3"/>
    <x v="0"/>
    <n v="1060.5217422068131"/>
    <n v="40.591637363209884"/>
  </r>
  <r>
    <x v="84"/>
    <n v="7.1611538600418828E-2"/>
    <n v="1.5376622330723483E-3"/>
    <n v="42"/>
    <n v="1518.3990988961475"/>
    <n v="32.603474170991156"/>
    <n v="2"/>
    <n v="0"/>
    <n v="5.1568287276697954E-2"/>
    <n v="12"/>
    <x v="3"/>
    <x v="0"/>
    <n v="1093.4165424019791"/>
    <n v="32.894800195165999"/>
  </r>
  <r>
    <x v="85"/>
    <n v="7.320131443985417E-2"/>
    <n v="1.5897758394353423E-3"/>
    <n v="42"/>
    <n v="1552.1075521597304"/>
    <n v="33.708453263583031"/>
    <n v="0"/>
    <n v="0"/>
    <n v="5.3218106389062964E-2"/>
    <n v="13"/>
    <x v="3"/>
    <x v="0"/>
    <n v="1128.3981096537966"/>
    <n v="34.981567251817523"/>
  </r>
  <r>
    <x v="86"/>
    <n v="7.4822125893404368E-2"/>
    <n v="1.6208114535501972E-3"/>
    <n v="42"/>
    <n v="1586.4740620637192"/>
    <n v="34.366509903988863"/>
    <n v="3"/>
    <n v="8"/>
    <n v="5.7303605442243451E-2"/>
    <n v="14"/>
    <x v="3"/>
    <x v="0"/>
    <n v="1215.0240668965871"/>
    <n v="86.625957242790491"/>
  </r>
  <r>
    <x v="87"/>
    <n v="7.6461256238628761E-2"/>
    <n v="1.6391303452243933E-3"/>
    <n v="42"/>
    <n v="1621.2289924534916"/>
    <n v="34.754930389772319"/>
    <n v="0"/>
    <n v="2"/>
    <n v="5.9529234460973961E-2"/>
    <n v="15"/>
    <x v="3"/>
    <x v="0"/>
    <n v="1262.2146895610992"/>
    <n v="47.190622664512148"/>
  </r>
  <r>
    <x v="88"/>
    <n v="7.8113307690524172E-2"/>
    <n v="1.6520514518954116E-3"/>
    <n v="40"/>
    <n v="1656.2578926127935"/>
    <n v="35.028900159301898"/>
    <n v="3"/>
    <n v="0"/>
    <n v="6.1186148834354186E-2"/>
    <n v="16"/>
    <x v="3"/>
    <x v="0"/>
    <n v="1297.3466995787405"/>
    <n v="35.132010017641278"/>
  </r>
  <r>
    <x v="89"/>
    <n v="7.976535914241964E-2"/>
    <n v="1.6520514518954671E-3"/>
    <n v="40"/>
    <n v="1691.2867927720963"/>
    <n v="35.02890015930307"/>
    <n v="0"/>
    <n v="0"/>
    <n v="6.2975917485809302E-2"/>
    <n v="17"/>
    <x v="3"/>
    <x v="0"/>
    <n v="1335.2956553017241"/>
    <n v="37.948955722983555"/>
  </r>
  <r>
    <x v="90"/>
    <n v="8.1417410594315065E-2"/>
    <n v="1.6520514518954255E-3"/>
    <n v="42"/>
    <n v="1726.3156929313989"/>
    <n v="35.028900159302189"/>
    <n v="1"/>
    <n v="2"/>
    <n v="6.5254929382409316E-2"/>
    <n v="18"/>
    <x v="3"/>
    <x v="0"/>
    <n v="1383.6181697707934"/>
    <n v="48.322514469069347"/>
  </r>
  <r>
    <x v="91"/>
    <n v="8.3086770657269132E-2"/>
    <n v="1.6693600629540672E-3"/>
    <n v="42"/>
    <n v="1761.7115923194319"/>
    <n v="35.395899388033072"/>
    <n v="1"/>
    <n v="1"/>
    <n v="6.7271867171056779E-2"/>
    <n v="19"/>
    <x v="3"/>
    <x v="0"/>
    <n v="1426.3838550313806"/>
    <n v="42.765685260587134"/>
  </r>
  <r>
    <x v="92"/>
    <n v="8.4782579965422461E-2"/>
    <n v="1.6958093081533288E-3"/>
    <n v="42"/>
    <n v="1797.6683023095263"/>
    <n v="35.956709990094446"/>
    <n v="1"/>
    <n v="2"/>
    <n v="6.95818690016511E-2"/>
    <n v="20"/>
    <x v="3"/>
    <x v="0"/>
    <n v="1475.3634575727278"/>
    <n v="48.979602541347276"/>
  </r>
  <r>
    <x v="93"/>
    <n v="8.6492054751505634E-2"/>
    <n v="1.7094747860831733E-3"/>
    <n v="40"/>
    <n v="1833.9147651771625"/>
    <n v="36.246462867636161"/>
    <n v="0"/>
    <n v="0"/>
    <n v="7.1414185896628971E-2"/>
    <n v="21"/>
    <x v="3"/>
    <x v="0"/>
    <n v="1514.2145753758343"/>
    <n v="38.85111780310649"/>
  </r>
  <r>
    <x v="94"/>
    <n v="8.8201529537588752E-2"/>
    <n v="1.7094747860831178E-3"/>
    <n v="42"/>
    <n v="1870.1612280447976"/>
    <n v="36.246462867634982"/>
    <n v="0"/>
    <n v="0"/>
    <n v="7.3246502791606868E-2"/>
    <n v="22"/>
    <x v="3"/>
    <x v="0"/>
    <n v="1553.0656931789415"/>
    <n v="38.851117803107172"/>
  </r>
  <r>
    <x v="95"/>
    <n v="8.9928312934730525E-2"/>
    <n v="1.7267833971417734E-3"/>
    <n v="40"/>
    <n v="1906.7746901411635"/>
    <n v="36.613462096366163"/>
    <n v="0"/>
    <n v="0"/>
    <n v="7.5078819686584752E-2"/>
    <n v="23"/>
    <x v="3"/>
    <x v="0"/>
    <n v="1591.9168109820484"/>
    <n v="38.851117803106945"/>
  </r>
  <r>
    <x v="96"/>
    <n v="9.1655096331872257E-2"/>
    <n v="1.7267833971417318E-3"/>
    <n v="40"/>
    <n v="1943.3881522375289"/>
    <n v="36.613462096365275"/>
    <n v="0"/>
    <n v="0"/>
    <n v="7.6911136581562636E-2"/>
    <n v="24"/>
    <x v="3"/>
    <x v="0"/>
    <n v="1630.7679287851552"/>
    <n v="38.851117803106717"/>
  </r>
  <r>
    <x v="97"/>
    <n v="9.3381879729014003E-2"/>
    <n v="1.7267833971417457E-3"/>
    <n v="42"/>
    <n v="1980.0016143338944"/>
    <n v="36.613462096365573"/>
    <n v="1"/>
    <n v="0"/>
    <n v="7.874345347654052E-2"/>
    <n v="25"/>
    <x v="3"/>
    <x v="0"/>
    <n v="1669.6190465882621"/>
    <n v="38.851117803106945"/>
  </r>
  <r>
    <x v="98"/>
    <n v="9.5127523415595328E-2"/>
    <n v="1.7456436865813246E-3"/>
    <n v="42"/>
    <n v="2017.0149763213903"/>
    <n v="37.01336198749582"/>
    <n v="2"/>
    <n v="0"/>
    <n v="8.0645017530609306E-2"/>
    <n v="26"/>
    <x v="3"/>
    <x v="0"/>
    <n v="1709.9384309028794"/>
    <n v="40.319384314617309"/>
  </r>
  <r>
    <x v="99"/>
    <n v="9.6898791460880263E-2"/>
    <n v="1.771268045284935E-3"/>
    <n v="42"/>
    <n v="2054.5716586162803"/>
    <n v="37.556682294890059"/>
    <n v="1"/>
    <n v="4"/>
    <n v="8.3187253930193689E-2"/>
    <n v="27"/>
    <x v="3"/>
    <x v="0"/>
    <n v="1763.8421667218909"/>
    <n v="53.903735819011445"/>
  </r>
  <r>
    <x v="100"/>
    <n v="9.8680520951285711E-2"/>
    <n v="1.7817294904054481E-3"/>
    <n v="42"/>
    <n v="2092.3501578020596"/>
    <n v="37.778499185779282"/>
    <n v="0"/>
    <n v="0"/>
    <n v="8.5259027896373504E-2"/>
    <n v="28"/>
    <x v="3"/>
    <x v="0"/>
    <n v="1807.7705584984856"/>
    <n v="43.928391776594708"/>
  </r>
  <r>
    <x v="101"/>
    <n v="0.1004695348239756"/>
    <n v="1.7890138726898847E-3"/>
    <n v="42"/>
    <n v="2130.2831097438175"/>
    <n v="37.932951941757885"/>
    <n v="6"/>
    <n v="0"/>
    <n v="8.7330801862553362E-2"/>
    <n v="29"/>
    <x v="3"/>
    <x v="0"/>
    <n v="1851.6989502750812"/>
    <n v="43.928391776595618"/>
  </r>
  <r>
    <x v="102"/>
    <n v="0.10226090094511148"/>
    <n v="1.7913661211358817E-3"/>
    <n v="40"/>
    <n v="2168.265937054693"/>
    <n v="37.982827310875585"/>
    <n v="0"/>
    <n v="0"/>
    <n v="9.0041780374187724E-2"/>
    <n v="30"/>
    <x v="3"/>
    <x v="0"/>
    <n v="1909.1805713886981"/>
    <n v="57.481621113616939"/>
  </r>
  <r>
    <x v="103"/>
    <n v="0.10405226706624732"/>
    <n v="1.79136612113584E-3"/>
    <n v="40"/>
    <n v="2206.2487643655677"/>
    <n v="37.982827310874704"/>
    <n v="0"/>
    <n v="0"/>
    <n v="9.2752758885822087E-2"/>
    <n v="31"/>
    <x v="3"/>
    <x v="0"/>
    <n v="1966.6621925023151"/>
    <n v="57.481621113616939"/>
  </r>
  <r>
    <x v="104"/>
    <n v="0.10584363318738318"/>
    <n v="1.7913661211358678E-3"/>
    <n v="42"/>
    <n v="2244.2315916764433"/>
    <n v="37.982827310875294"/>
    <n v="1"/>
    <n v="2"/>
    <n v="9.5500575861022605E-2"/>
    <n v="1"/>
    <x v="4"/>
    <x v="0"/>
    <n v="2024.9249096652111"/>
    <n v="58.262717162896024"/>
  </r>
  <r>
    <x v="105"/>
    <n v="0.10765619749994747"/>
    <n v="1.8125643125642826E-3"/>
    <n v="42"/>
    <n v="2282.6638900556995"/>
    <n v="38.432298379256231"/>
    <n v="0"/>
    <n v="0"/>
    <n v="9.834517045454548E-2"/>
    <n v="2"/>
    <x v="4"/>
    <x v="0"/>
    <n v="2085.2396292194244"/>
    <n v="60.314719554213298"/>
  </r>
  <r>
    <x v="106"/>
    <n v="0.10956972549343873"/>
    <n v="1.9135279934912597E-3"/>
    <n v="44"/>
    <n v="2323.2369490600859"/>
    <n v="40.573059004386323"/>
    <n v="2"/>
    <n v="0"/>
    <n v="0.10100000000000001"/>
    <n v="3"/>
    <x v="4"/>
    <x v="0"/>
    <n v="2141.5307083991902"/>
    <n v="56.291079179765802"/>
  </r>
  <r>
    <x v="107"/>
    <n v="0.11152958430072403"/>
    <n v="1.9598588072853029E-3"/>
    <n v="45"/>
    <n v="2364.7923730197699"/>
    <n v="41.555423959684035"/>
    <n v="2"/>
    <n v="1"/>
    <n v="0.1038"/>
    <n v="4"/>
    <x v="4"/>
    <x v="0"/>
    <n v="2200.8998765528308"/>
    <n v="59.369168153640658"/>
  </r>
  <r>
    <x v="108"/>
    <n v="0.11359040678893621"/>
    <n v="2.0608224882121828E-3"/>
    <n v="47"/>
    <n v="2408.4885576045817"/>
    <n v="43.696184584812059"/>
    <n v="1"/>
    <n v="2"/>
    <n v="0.10580000000000001"/>
    <n v="5"/>
    <x v="4"/>
    <x v="0"/>
    <n v="2243.3064252340027"/>
    <n v="42.406548681171898"/>
  </r>
  <r>
    <x v="109"/>
    <n v="0.11575219295807537"/>
    <n v="2.1617861691391599E-3"/>
    <n v="47"/>
    <n v="2454.325502814524"/>
    <n v="45.836945209942144"/>
    <n v="0"/>
    <n v="0"/>
    <n v="0.10580000000000001"/>
    <n v="6"/>
    <x v="4"/>
    <x v="0"/>
    <n v="2243.3064252340027"/>
    <n v="0"/>
  </r>
  <r>
    <x v="110"/>
    <n v="0.11785934626008156"/>
    <n v="2.1071533020061844E-3"/>
    <n v="46"/>
    <n v="2499.0040523546327"/>
    <n v="44.678549540108882"/>
    <n v="0"/>
    <n v="0"/>
    <n v="0.10580000000000001"/>
    <n v="7"/>
    <x v="4"/>
    <x v="0"/>
    <n v="2243.3064252340027"/>
    <n v="0"/>
  </r>
  <r>
    <x v="111"/>
    <n v="0.11991186669495493"/>
    <n v="2.0525204348733755E-3"/>
    <n v="47"/>
    <n v="2542.5242062249117"/>
    <n v="43.520153870279145"/>
    <n v="2"/>
    <n v="4"/>
    <n v="0.1074"/>
    <n v="8"/>
    <x v="4"/>
    <x v="0"/>
    <n v="2277.2316641789403"/>
    <n v="33.925238944937519"/>
  </r>
  <r>
    <x v="112"/>
    <n v="0.12201071794362238"/>
    <n v="2.0988512486674465E-3"/>
    <n v="48"/>
    <n v="2587.0267250504894"/>
    <n v="44.502518825577447"/>
    <n v="0"/>
    <n v="2"/>
    <n v="0.1091"/>
    <n v="9"/>
    <x v="4"/>
    <x v="0"/>
    <n v="2313.2772305579369"/>
    <n v="36.045566378996682"/>
  </r>
  <r>
    <x v="113"/>
    <n v="0.12415590000608377"/>
    <n v="2.1451820624613926E-3"/>
    <n v="49"/>
    <n v="2632.5116088313625"/>
    <n v="45.484883780873091"/>
    <n v="0"/>
    <n v="0"/>
    <n v="0.1119"/>
    <n v="10"/>
    <x v="4"/>
    <x v="0"/>
    <n v="2372.6463987115776"/>
    <n v="59.369168153640658"/>
  </r>
  <r>
    <x v="114"/>
    <n v="0.12627063155555804"/>
    <n v="2.1147315494742663E-3"/>
    <n v="48"/>
    <n v="2677.3508420315579"/>
    <n v="44.839233200195473"/>
    <n v="6"/>
    <n v="1"/>
    <n v="0.11459999999999999"/>
    <n v="11"/>
    <x v="4"/>
    <x v="0"/>
    <n v="2429.89523943116"/>
    <n v="57.248840719582404"/>
  </r>
  <r>
    <x v="115"/>
    <n v="0.12840954545917785"/>
    <n v="2.1389139036198102E-3"/>
    <n v="48"/>
    <n v="2722.7028203209024"/>
    <n v="45.35197828934465"/>
    <n v="0"/>
    <n v="5"/>
    <n v="0.11550000000000001"/>
    <n v="12"/>
    <x v="4"/>
    <x v="0"/>
    <n v="2448.9781863376875"/>
    <n v="19.082946906527468"/>
  </r>
  <r>
    <x v="116"/>
    <n v="0.13057264171694324"/>
    <n v="2.1630962577653956E-3"/>
    <n v="46"/>
    <n v="2768.5675436993974"/>
    <n v="45.864723378494702"/>
    <n v="0"/>
    <n v="0"/>
    <n v="0.11550000000000001"/>
    <n v="13"/>
    <x v="4"/>
    <x v="0"/>
    <n v="2448.9781863376875"/>
    <n v="0"/>
  </r>
  <r>
    <x v="117"/>
    <n v="0.13256486671008735"/>
    <n v="1.9922249931441094E-3"/>
    <n v="42"/>
    <n v="2810.8092367772042"/>
    <n v="42.241693077806701"/>
    <n v="0"/>
    <n v="0"/>
    <n v="0.11550000000000001"/>
    <n v="14"/>
    <x v="4"/>
    <x v="0"/>
    <n v="2448.9781863376875"/>
    <n v="0"/>
  </r>
  <r>
    <x v="118"/>
    <n v="0.13450245883609857"/>
    <n v="1.9375921260112172E-3"/>
    <n v="43"/>
    <n v="2851.8925341851791"/>
    <n v="41.083297407975202"/>
    <n v="1"/>
    <n v="0"/>
    <m/>
    <n v="15"/>
    <x v="4"/>
    <x v="0"/>
    <n v="0"/>
    <n v="0"/>
  </r>
  <r>
    <x v="119"/>
    <n v="0.13648638177590383"/>
    <n v="1.9839229398052605E-3"/>
    <n v="44"/>
    <n v="2893.9581965484522"/>
    <n v="42.065662363272907"/>
    <n v="0"/>
    <n v="0"/>
    <m/>
    <n v="16"/>
    <x v="4"/>
    <x v="0"/>
    <n v="0"/>
    <n v="0"/>
  </r>
  <r>
    <x v="120"/>
    <n v="0.13853181132592893"/>
    <n v="2.0454295500250963E-3"/>
    <n v="45"/>
    <n v="2937.3280004419757"/>
    <n v="43.369803893523581"/>
    <n v="0"/>
    <n v="0"/>
    <m/>
    <n v="17"/>
    <x v="4"/>
    <x v="0"/>
    <n v="0"/>
    <n v="0"/>
  </r>
  <r>
    <x v="121"/>
    <n v="0.14058411461904111"/>
    <n v="2.0523032931121787E-3"/>
    <n v="45"/>
    <n v="2980.8435501959211"/>
    <n v="43.515549753945699"/>
    <n v="0"/>
    <n v="0"/>
    <m/>
    <n v="18"/>
    <x v="4"/>
    <x v="0"/>
    <n v="0"/>
    <n v="0"/>
  </r>
  <r>
    <x v="122"/>
    <n v="0.14269792452237307"/>
    <n v="2.1138099033319591E-3"/>
    <n v="46"/>
    <n v="3025.6632414801165"/>
    <n v="44.819691284195187"/>
    <n v="0"/>
    <n v="0"/>
    <m/>
    <n v="19"/>
    <x v="4"/>
    <x v="0"/>
    <n v="0"/>
    <n v="0"/>
  </r>
  <r>
    <x v="123"/>
    <n v="0.14487324103592489"/>
    <n v="2.1753165135518227E-3"/>
    <n v="45"/>
    <n v="3071.7870742945629"/>
    <n v="46.123832814446445"/>
    <n v="0"/>
    <n v="0"/>
    <m/>
    <n v="20"/>
    <x v="4"/>
    <x v="0"/>
    <n v="0"/>
    <n v="0"/>
  </r>
  <r>
    <x v="124"/>
    <n v="0.14695446761163677"/>
    <n v="2.0812265757118864E-3"/>
    <n v="43"/>
    <n v="3115.9158923443006"/>
    <n v="44.128818049737603"/>
    <n v="0"/>
    <n v="0"/>
    <m/>
    <n v="21"/>
    <x v="4"/>
    <x v="0"/>
    <n v="0"/>
    <n v="0"/>
  </r>
  <r>
    <x v="125"/>
    <n v="0.14898106132021577"/>
    <n v="2.0265937085789942E-3"/>
    <n v="44"/>
    <n v="3158.8863147242068"/>
    <n v="42.970422379906097"/>
    <n v="0"/>
    <n v="0"/>
    <m/>
    <n v="22"/>
    <x v="4"/>
    <x v="0"/>
    <n v="0"/>
    <n v="0"/>
  </r>
  <r>
    <x v="126"/>
    <n v="0.15105398584258881"/>
    <n v="2.0729245223730375E-3"/>
    <n v="45"/>
    <n v="3202.8391020594104"/>
    <n v="43.952787335203801"/>
    <n v="0"/>
    <n v="0"/>
    <m/>
    <n v="23"/>
    <x v="4"/>
    <x v="0"/>
    <n v="0"/>
    <n v="0"/>
  </r>
  <r>
    <x v="127"/>
    <n v="0.15313378410804881"/>
    <n v="2.0797982654600089E-3"/>
    <n v="45"/>
    <n v="3246.9376352550339"/>
    <n v="44.098533195623567"/>
    <n v="0"/>
    <n v="0"/>
    <m/>
    <n v="24"/>
    <x v="4"/>
    <x v="0"/>
    <n v="0"/>
    <n v="0"/>
  </r>
  <r>
    <x v="128"/>
    <n v="0.15522844775591682"/>
    <n v="2.0946636478680059E-3"/>
    <n v="46"/>
    <n v="3291.3513632320319"/>
    <n v="44.413727976998047"/>
    <n v="0"/>
    <n v="0"/>
    <m/>
    <n v="25"/>
    <x v="4"/>
    <x v="0"/>
    <n v="0"/>
    <n v="0"/>
  </r>
  <r>
    <x v="129"/>
    <n v="0.15745717576902821"/>
    <n v="2.2287280131113862E-3"/>
    <n v="47"/>
    <n v="3338.607694724582"/>
    <n v="47.256331492549968"/>
    <n v="0"/>
    <n v="0"/>
    <m/>
    <n v="26"/>
    <x v="4"/>
    <x v="0"/>
    <n v="0"/>
    <n v="0"/>
  </r>
  <r>
    <x v="130"/>
    <n v="0.1597154965851699"/>
    <n v="2.2583208161416901E-3"/>
    <n v="46"/>
    <n v="3386.4914905382907"/>
    <n v="47.883795813708424"/>
    <n v="0"/>
    <n v="0"/>
    <m/>
    <n v="27"/>
    <x v="4"/>
    <x v="0"/>
    <n v="0"/>
    <n v="0"/>
  </r>
  <r>
    <x v="131"/>
    <n v="0.16182054185741102"/>
    <n v="2.1050452722411184E-3"/>
    <n v="43"/>
    <n v="3431.1253429449725"/>
    <n v="44.633852406682067"/>
    <n v="0"/>
    <n v="0"/>
    <m/>
    <n v="28"/>
    <x v="4"/>
    <x v="0"/>
    <n v="0"/>
    <n v="0"/>
  </r>
  <r>
    <x v="132"/>
    <n v="0.16386640152359158"/>
    <n v="2.0458596661805661E-3"/>
    <n v="45"/>
    <n v="3474.5042667093389"/>
    <n v="43.37892376436632"/>
    <n v="0"/>
    <n v="0"/>
    <m/>
    <n v="29"/>
    <x v="4"/>
    <x v="0"/>
    <n v="0"/>
    <n v="0"/>
  </r>
  <r>
    <x v="133"/>
    <n v="0.16602659701966191"/>
    <n v="2.1601954960703273E-3"/>
    <n v="46"/>
    <n v="3520.3074844418165"/>
    <n v="45.803217732477506"/>
    <n v="0"/>
    <n v="0"/>
    <m/>
    <n v="30"/>
    <x v="4"/>
    <x v="0"/>
    <n v="0"/>
    <n v="0"/>
  </r>
  <r>
    <x v="134"/>
    <n v="0.16825629076527304"/>
    <n v="2.2296937456111332E-3"/>
    <n v="48"/>
    <n v="3567.5842926254986"/>
    <n v="47.276808183681723"/>
    <n v="0"/>
    <n v="0"/>
    <m/>
    <n v="1"/>
    <x v="5"/>
    <x v="0"/>
    <n v="0"/>
    <n v="0"/>
  </r>
  <r>
    <x v="135"/>
    <n v="0.17059987196497056"/>
    <n v="2.3435811996975198E-3"/>
    <n v="49"/>
    <n v="3617.2758877421238"/>
    <n v="49.691595116626274"/>
    <n v="0"/>
    <n v="0"/>
    <m/>
    <n v="2"/>
    <x v="5"/>
    <x v="0"/>
    <n v="0"/>
    <n v="0"/>
  </r>
  <r>
    <x v="136"/>
    <n v="0.17297394271930536"/>
    <n v="2.374070754334795E-3"/>
    <n v="50"/>
    <n v="3667.613961250247"/>
    <n v="50.338073508122704"/>
    <n v="0"/>
    <n v="0"/>
    <m/>
    <n v="3"/>
    <x v="5"/>
    <x v="0"/>
    <n v="0"/>
    <n v="0"/>
  </r>
  <r>
    <x v="137"/>
    <n v="0.17540271532166588"/>
    <n v="2.4287726023605183E-3"/>
    <n v="48"/>
    <n v="3719.1118930489961"/>
    <n v="51.497931798749171"/>
    <n v="0"/>
    <n v="0"/>
    <m/>
    <n v="4"/>
    <x v="5"/>
    <x v="0"/>
    <n v="0"/>
    <n v="0"/>
  </r>
  <r>
    <x v="138"/>
    <n v="0.17773284524725866"/>
    <n v="2.3301299255927832E-3"/>
    <n v="46"/>
    <n v="3768.5182771105488"/>
    <n v="49.406384061553126"/>
    <n v="0"/>
    <n v="0"/>
    <m/>
    <n v="5"/>
    <x v="5"/>
    <x v="0"/>
    <n v="0"/>
    <n v="0"/>
  </r>
  <r>
    <x v="139"/>
    <n v="0.18000378956679092"/>
    <n v="2.2709443195322587E-3"/>
    <n v="47"/>
    <n v="3816.6697325297873"/>
    <n v="48.151455419237969"/>
    <n v="0"/>
    <n v="0"/>
    <m/>
    <n v="6"/>
    <x v="5"/>
    <x v="0"/>
    <n v="0"/>
    <n v="0"/>
  </r>
  <r>
    <x v="140"/>
    <n v="0.18228272552564412"/>
    <n v="2.278935958853201E-3"/>
    <n v="48"/>
    <n v="3864.9906368699785"/>
    <n v="48.320904340190921"/>
    <n v="0"/>
    <n v="0"/>
    <m/>
    <n v="7"/>
    <x v="5"/>
    <x v="0"/>
    <n v="0"/>
    <n v="0"/>
  </r>
  <r>
    <x v="141"/>
    <n v="0.18465394777487443"/>
    <n v="2.3712222492303092E-3"/>
    <n v="48"/>
    <n v="3915.26831274291"/>
    <n v="50.277675872931738"/>
    <n v="0"/>
    <n v="0"/>
    <m/>
    <n v="8"/>
    <x v="5"/>
    <x v="0"/>
    <n v="0"/>
    <n v="0"/>
  </r>
  <r>
    <x v="142"/>
    <n v="0.18707217035832932"/>
    <n v="2.4182225834548932E-3"/>
    <n v="50"/>
    <n v="3966.5425495965046"/>
    <n v="51.274236853594822"/>
    <n v="0"/>
    <n v="0"/>
    <m/>
    <n v="9"/>
    <x v="5"/>
    <x v="0"/>
    <n v="0"/>
    <n v="0"/>
  </r>
  <r>
    <x v="143"/>
    <n v="0.18956295069680762"/>
    <n v="2.4907803384782989E-3"/>
    <n v="50"/>
    <n v="4019.3552484353986"/>
    <n v="52.812698838893134"/>
    <n v="0"/>
    <n v="0"/>
    <m/>
    <n v="10"/>
    <x v="5"/>
    <x v="0"/>
    <n v="0"/>
    <n v="0"/>
  </r>
  <r>
    <x v="144"/>
    <n v="0.19210350074947333"/>
    <n v="2.5405500526657077E-3"/>
    <n v="49"/>
    <n v="4073.2232281780593"/>
    <n v="53.867979742661319"/>
    <n v="0"/>
    <n v="0"/>
    <m/>
    <n v="11"/>
    <x v="5"/>
    <x v="0"/>
    <n v="0"/>
    <n v="0"/>
  </r>
  <r>
    <x v="145"/>
    <n v="0.19458486519607837"/>
    <n v="2.4813644466050444E-3"/>
    <n v="48"/>
    <n v="4125.8362792784028"/>
    <n v="52.61305110034322"/>
    <n v="0"/>
    <n v="0"/>
    <m/>
    <n v="12"/>
    <x v="5"/>
    <x v="0"/>
    <n v="0"/>
    <n v="0"/>
  </r>
  <r>
    <x v="146"/>
    <n v="0.19696526596175659"/>
    <n v="2.38040076567822E-3"/>
    <n v="49"/>
    <n v="4176.3085697536189"/>
    <n v="50.472290475216369"/>
    <n v="0"/>
    <n v="0"/>
    <m/>
    <n v="13"/>
    <x v="5"/>
    <x v="0"/>
    <n v="0"/>
    <n v="0"/>
  </r>
  <r>
    <x v="147"/>
    <n v="0.19941042274347759"/>
    <n v="2.4451567817209974E-3"/>
    <n v="49"/>
    <n v="4228.1538998021933"/>
    <n v="51.845330048574766"/>
    <n v="0"/>
    <n v="0"/>
    <m/>
    <n v="14"/>
    <x v="5"/>
    <x v="0"/>
    <n v="0"/>
    <n v="0"/>
  </r>
  <r>
    <x v="148"/>
    <n v="0.20195584690487767"/>
    <n v="2.5454241614000783E-3"/>
    <n v="51"/>
    <n v="4282.1252266095153"/>
    <n v="53.971326807322022"/>
    <n v="0"/>
    <n v="0"/>
    <m/>
    <n v="15"/>
    <x v="5"/>
    <x v="0"/>
    <n v="0"/>
    <n v="0"/>
  </r>
  <r>
    <x v="149"/>
    <n v="0.20462521268838116"/>
    <n v="2.6693657835034912E-3"/>
    <n v="52"/>
    <n v="4338.7245216325136"/>
    <n v="56.599295022997929"/>
    <n v="0"/>
    <n v="0"/>
    <m/>
    <n v="16"/>
    <x v="5"/>
    <x v="0"/>
    <n v="0"/>
    <n v="0"/>
  </r>
  <r>
    <x v="150"/>
    <n v="0.20724741988737644"/>
    <n v="2.62220719899528E-3"/>
    <n v="52"/>
    <n v="4394.3239002506698"/>
    <n v="55.599378618156621"/>
    <n v="0"/>
    <n v="0"/>
    <m/>
    <n v="17"/>
    <x v="5"/>
    <x v="0"/>
    <n v="0"/>
    <n v="0"/>
  </r>
  <r>
    <x v="151"/>
    <n v="0.20987070318830006"/>
    <n v="2.6232833009236234E-3"/>
    <n v="49"/>
    <n v="4449.9460957532319"/>
    <n v="55.622195502561709"/>
    <n v="0"/>
    <n v="0"/>
    <m/>
    <n v="18"/>
    <x v="5"/>
    <x v="0"/>
    <n v="0"/>
    <n v="0"/>
  </r>
  <r>
    <x v="152"/>
    <n v="0.21249398648922371"/>
    <n v="2.6232833009236511E-3"/>
    <n v="49"/>
    <n v="4505.5682912557941"/>
    <n v="55.622195502562306"/>
    <n v="0"/>
    <n v="0"/>
    <m/>
    <n v="19"/>
    <x v="5"/>
    <x v="0"/>
    <n v="0"/>
    <n v="0"/>
  </r>
  <r>
    <x v="153"/>
    <n v="0.21507549171528115"/>
    <n v="2.5815052260574345E-3"/>
    <n v="50"/>
    <n v="4560.3046547755466"/>
    <n v="54.736363519752373"/>
    <n v="0"/>
    <n v="0"/>
    <m/>
    <n v="20"/>
    <x v="5"/>
    <x v="0"/>
    <n v="0"/>
    <n v="0"/>
  </r>
  <r>
    <x v="154"/>
    <n v="0.21770991583616911"/>
    <n v="2.6344241208879626E-3"/>
    <n v="52"/>
    <n v="4616.1630721401916"/>
    <n v="55.85841736464468"/>
    <n v="0"/>
    <n v="0"/>
    <m/>
    <n v="21"/>
    <x v="5"/>
    <x v="0"/>
    <n v="0"/>
    <n v="0"/>
  </r>
  <r>
    <x v="155"/>
    <n v="0.22036282359017986"/>
    <n v="2.6529077540107526E-3"/>
    <n v="51"/>
    <n v="4672.4134030487494"/>
    <n v="56.250330908557942"/>
    <n v="0"/>
    <n v="0"/>
    <m/>
    <n v="22"/>
    <x v="5"/>
    <x v="0"/>
    <n v="0"/>
    <n v="0"/>
  </r>
  <r>
    <x v="156"/>
    <n v="0.22302775836574298"/>
    <n v="2.6649347755631214E-3"/>
    <n v="52"/>
    <n v="4728.9187461947822"/>
    <n v="56.505343146032963"/>
    <n v="0"/>
    <n v="0"/>
    <m/>
    <n v="23"/>
    <x v="5"/>
    <x v="0"/>
    <n v="0"/>
    <n v="0"/>
  </r>
  <r>
    <x v="157"/>
    <n v="0.22575206864770705"/>
    <n v="2.7243102819640708E-3"/>
    <n v="52"/>
    <n v="4786.6830444921461"/>
    <n v="57.76429829736351"/>
    <n v="0"/>
    <n v="0"/>
    <m/>
    <n v="24"/>
    <x v="5"/>
    <x v="0"/>
    <n v="0"/>
    <n v="0"/>
  </r>
  <r>
    <x v="158"/>
    <n v="0.22848929215281155"/>
    <n v="2.7372235051044969E-3"/>
    <n v="50"/>
    <n v="4844.7211454023773"/>
    <n v="58.038100910231165"/>
    <n v="0"/>
    <n v="0"/>
    <m/>
    <n v="25"/>
    <x v="5"/>
    <x v="0"/>
    <n v="0"/>
    <n v="0"/>
  </r>
  <r>
    <x v="159"/>
    <n v="0.23116194954221356"/>
    <n v="2.6726573894020056E-3"/>
    <n v="49"/>
    <n v="4901.3902332482621"/>
    <n v="56.669087845885223"/>
    <n v="0"/>
    <n v="0"/>
    <m/>
    <n v="26"/>
    <x v="5"/>
    <x v="0"/>
    <n v="0"/>
    <n v="0"/>
  </r>
  <r>
    <x v="160"/>
    <n v="0.23374843965220385"/>
    <n v="2.5864901099902915E-3"/>
    <n v="50"/>
    <n v="4956.2322926295992"/>
    <n v="54.842059381336718"/>
    <n v="0"/>
    <n v="0"/>
    <m/>
    <n v="27"/>
    <x v="5"/>
    <x v="0"/>
    <n v="0"/>
    <n v="0"/>
  </r>
  <r>
    <x v="161"/>
    <n v="0.23641448217975211"/>
    <n v="2.6660425275482624E-3"/>
    <n v="50"/>
    <n v="5012.7611237448737"/>
    <n v="56.528831115275231"/>
    <n v="0"/>
    <n v="0"/>
    <m/>
    <n v="28"/>
    <x v="5"/>
    <x v="0"/>
    <n v="0"/>
    <n v="0"/>
  </r>
  <r>
    <x v="162"/>
    <n v="0.23904555139462813"/>
    <n v="2.6310692148760195E-3"/>
    <n v="50"/>
    <n v="5068.5484061169609"/>
    <n v="55.787282372086565"/>
    <n v="0"/>
    <n v="0"/>
    <m/>
    <n v="29"/>
    <x v="5"/>
    <x v="0"/>
    <n v="0"/>
    <n v="0"/>
  </r>
  <r>
    <x v="163"/>
    <n v="0.24173688231749321"/>
    <n v="2.6913309228650817E-3"/>
    <n v="50"/>
    <n v="5125.6134340157714"/>
    <n v="57.065027898810939"/>
    <n v="0"/>
    <n v="0"/>
    <m/>
    <n v="30"/>
    <x v="5"/>
    <x v="0"/>
    <n v="0"/>
    <n v="0"/>
  </r>
  <r>
    <x v="164"/>
    <n v="0.24452291021005507"/>
    <n v="2.7860278925618542E-3"/>
    <n v="53"/>
    <n v="5184.6863477422849"/>
    <n v="59.072913726513768"/>
    <n v="0"/>
    <n v="0"/>
    <m/>
    <n v="31"/>
    <x v="5"/>
    <x v="0"/>
    <n v="0"/>
    <n v="0"/>
  </r>
  <r>
    <x v="165"/>
    <n v="0.24732481060606065"/>
    <n v="2.8019003960055855E-3"/>
    <n v="50"/>
    <n v="5244.0958105137888"/>
    <n v="59.409462771503101"/>
    <n v="0"/>
    <n v="0"/>
    <m/>
    <n v="1"/>
    <x v="6"/>
    <x v="0"/>
    <n v="0"/>
    <n v="0"/>
  </r>
  <r>
    <x v="166"/>
    <n v="0.25001775568181805"/>
    <n v="2.6929450757574025E-3"/>
    <n v="48"/>
    <n v="5301.1950637392029"/>
    <n v="57.099253225414465"/>
    <n v="0"/>
    <n v="0"/>
    <m/>
    <n v="2"/>
    <x v="6"/>
    <x v="0"/>
    <n v="0"/>
    <n v="0"/>
  </r>
  <r>
    <x v="167"/>
    <n v="0.25255089962121202"/>
    <n v="2.533143939393967E-3"/>
    <n v="47"/>
    <n v="5354.9060096303656"/>
    <n v="53.710945891163142"/>
    <n v="0"/>
    <n v="0"/>
    <m/>
    <n v="3"/>
    <x v="6"/>
    <x v="0"/>
    <n v="0"/>
    <n v="0"/>
  </r>
  <r>
    <x v="168"/>
    <n v="0.25506036931818171"/>
    <n v="2.5094696969696906E-3"/>
    <n v="48"/>
    <n v="5408.1149840646012"/>
    <n v="53.208974434235671"/>
    <n v="0"/>
    <n v="0"/>
    <m/>
    <n v="4"/>
    <x v="6"/>
    <x v="0"/>
    <n v="0"/>
    <n v="0"/>
  </r>
  <r>
    <x v="169"/>
    <n v="0.25757575757575746"/>
    <n v="2.5153882575757458E-3"/>
    <n v="47"/>
    <n v="5461.4494513630689"/>
    <n v="53.334467298467246"/>
    <n v="0"/>
    <n v="0"/>
    <m/>
    <n v="5"/>
    <x v="6"/>
    <x v="0"/>
    <n v="0"/>
    <n v="0"/>
  </r>
  <r>
    <x v="170"/>
    <n v="0.26016216856060609"/>
    <n v="2.5864109848486305E-3"/>
    <n v="49"/>
    <n v="5516.2898330323196"/>
    <n v="54.840381669250839"/>
    <n v="0"/>
    <n v="0"/>
    <m/>
    <n v="6"/>
    <x v="6"/>
    <x v="0"/>
    <n v="0"/>
    <n v="0"/>
  </r>
  <r>
    <x v="171"/>
    <n v="0.26277225378787877"/>
    <n v="2.6100852272726849E-3"/>
    <n v="49"/>
    <n v="5571.6321861584929"/>
    <n v="55.342353126173606"/>
    <n v="0"/>
    <n v="0"/>
    <m/>
    <n v="7"/>
    <x v="6"/>
    <x v="0"/>
    <n v="0"/>
    <n v="0"/>
  </r>
  <r>
    <x v="172"/>
    <n v="0.26545632102272737"/>
    <n v="2.6840672348485972E-3"/>
    <n v="48"/>
    <n v="5628.5432000875662"/>
    <n v="56.911013929072993"/>
    <n v="0"/>
    <n v="0"/>
    <m/>
    <n v="8"/>
    <x v="6"/>
    <x v="0"/>
    <n v="0"/>
    <n v="0"/>
  </r>
  <r>
    <x v="173"/>
    <n v="0.26809599905303033"/>
    <n v="2.639678030302961E-3"/>
    <n v="47"/>
    <n v="5684.5130175348977"/>
    <n v="55.969817447331479"/>
    <n v="0"/>
    <n v="0"/>
    <m/>
    <n v="9"/>
    <x v="6"/>
    <x v="0"/>
    <n v="0"/>
    <n v="0"/>
  </r>
  <r>
    <x v="174"/>
    <n v="0.27064689867424235"/>
    <n v="2.5508996212120216E-3"/>
    <n v="48"/>
    <n v="5738.6004420187537"/>
    <n v="54.087424483855514"/>
    <n v="0"/>
    <n v="0"/>
    <m/>
    <n v="10"/>
    <x v="6"/>
    <x v="0"/>
    <n v="0"/>
    <n v="0"/>
  </r>
  <r>
    <x v="175"/>
    <n v="0.27320075757575757"/>
    <n v="2.5538589015152158E-3"/>
    <n v="47"/>
    <n v="5792.7506129347285"/>
    <n v="54.150170915974833"/>
    <n v="0"/>
    <n v="0"/>
    <m/>
    <n v="11"/>
    <x v="6"/>
    <x v="0"/>
    <n v="0"/>
    <n v="0"/>
  </r>
  <r>
    <x v="176"/>
    <n v="0.27573390151515142"/>
    <n v="2.533143939393856E-3"/>
    <n v="48"/>
    <n v="5846.4615588258894"/>
    <n v="53.71094589116079"/>
    <n v="0"/>
    <n v="0"/>
    <m/>
    <n v="12"/>
    <x v="6"/>
    <x v="0"/>
    <n v="0"/>
    <n v="0"/>
  </r>
  <r>
    <x v="177"/>
    <n v="0.27829071969696978"/>
    <n v="2.5568181818183544E-3"/>
    <n v="47"/>
    <n v="5900.6744761739819"/>
    <n v="54.212917348092979"/>
    <n v="0"/>
    <n v="0"/>
    <m/>
    <n v="13"/>
    <x v="6"/>
    <x v="0"/>
    <n v="0"/>
    <n v="0"/>
  </r>
  <r>
    <x v="178"/>
    <n v="0.28082386363636364"/>
    <n v="2.533143939393856E-3"/>
    <n v="48"/>
    <n v="5954.3854220651428"/>
    <n v="53.71094589116079"/>
    <n v="0"/>
    <n v="0"/>
    <m/>
    <n v="14"/>
    <x v="6"/>
    <x v="0"/>
    <n v="0"/>
    <n v="0"/>
  </r>
  <r>
    <x v="179"/>
    <n v="0.28342803030303038"/>
    <n v="2.6041666666667407E-3"/>
    <n v="46"/>
    <n v="6009.6022823270869"/>
    <n v="55.21686026194439"/>
    <n v="0"/>
    <n v="0"/>
    <m/>
    <n v="15"/>
    <x v="6"/>
    <x v="0"/>
    <n v="0"/>
    <n v="0"/>
  </r>
  <r>
    <x v="180"/>
    <n v="0.28598484848484856"/>
    <n v="2.5568181818181879E-3"/>
    <n v="45"/>
    <n v="6063.8151996751767"/>
    <n v="54.212917348089441"/>
    <n v="0"/>
    <n v="0"/>
    <m/>
    <n v="16"/>
    <x v="6"/>
    <x v="0"/>
    <n v="0"/>
    <n v="0"/>
  </r>
  <r>
    <x v="181"/>
    <n v="0.28842329545454531"/>
    <n v="2.4384469696967503E-3"/>
    <n v="45"/>
    <n v="6115.5182597386274"/>
    <n v="51.703060063450899"/>
    <n v="0"/>
    <n v="0"/>
    <m/>
    <n v="17"/>
    <x v="6"/>
    <x v="0"/>
    <n v="0"/>
    <n v="0"/>
  </r>
  <r>
    <x v="182"/>
    <n v="0.29093276515151517"/>
    <n v="2.5094696969698571E-3"/>
    <n v="47"/>
    <n v="6168.7272341728667"/>
    <n v="53.208974434239202"/>
    <n v="0"/>
    <n v="0"/>
    <m/>
    <n v="18"/>
    <x v="6"/>
    <x v="0"/>
    <n v="0"/>
    <n v="0"/>
  </r>
  <r>
    <x v="183"/>
    <n v="0.29346590909090903"/>
    <n v="2.533143939393856E-3"/>
    <n v="47"/>
    <n v="6222.4381800640276"/>
    <n v="53.71094589116079"/>
    <n v="0"/>
    <n v="0"/>
    <m/>
    <n v="19"/>
    <x v="6"/>
    <x v="0"/>
    <n v="0"/>
    <n v="0"/>
  </r>
  <r>
    <x v="184"/>
    <n v="0.29602272727272733"/>
    <n v="2.5568181818182989E-3"/>
    <n v="48"/>
    <n v="6276.6510974121193"/>
    <n v="54.212917348091793"/>
    <n v="0"/>
    <n v="0"/>
    <m/>
    <n v="20"/>
    <x v="6"/>
    <x v="0"/>
    <n v="0"/>
    <n v="0"/>
  </r>
  <r>
    <x v="185"/>
    <n v="0.29857954545454546"/>
    <n v="2.5568181818181324E-3"/>
    <n v="47"/>
    <n v="6330.8640147602073"/>
    <n v="54.212917348088261"/>
    <n v="0"/>
    <n v="0"/>
    <m/>
    <n v="21"/>
    <x v="6"/>
    <x v="0"/>
    <n v="0"/>
    <n v="0"/>
  </r>
  <r>
    <x v="186"/>
    <n v="0.30118371212121214"/>
    <n v="2.6041666666666852E-3"/>
    <n v="46"/>
    <n v="6386.0808750221504"/>
    <n v="55.216860261943211"/>
    <n v="0"/>
    <n v="0"/>
    <m/>
    <n v="22"/>
    <x v="6"/>
    <x v="0"/>
    <n v="0"/>
    <n v="0"/>
  </r>
  <r>
    <x v="187"/>
    <n v="0.30369318181818195"/>
    <n v="2.5094696969698016E-3"/>
    <n v="44"/>
    <n v="6439.2898494563888"/>
    <n v="53.208974434238023"/>
    <n v="0"/>
    <n v="0"/>
    <m/>
    <n v="23"/>
    <x v="6"/>
    <x v="0"/>
    <n v="0"/>
    <n v="0"/>
  </r>
  <r>
    <x v="188"/>
    <n v="0.3061316287878787"/>
    <n v="2.4384469696967503E-3"/>
    <n v="46"/>
    <n v="6490.9929095198395"/>
    <n v="51.703060063450899"/>
    <n v="0"/>
    <n v="0"/>
    <m/>
    <n v="24"/>
    <x v="6"/>
    <x v="0"/>
    <n v="0"/>
    <n v="0"/>
  </r>
  <r>
    <x v="189"/>
    <n v="0.30868844696969694"/>
    <n v="2.5568181818182434E-3"/>
    <n v="47"/>
    <n v="6545.2058268679302"/>
    <n v="54.21291734809062"/>
    <n v="0"/>
    <n v="0"/>
    <m/>
    <n v="25"/>
    <x v="6"/>
    <x v="0"/>
    <n v="0"/>
    <n v="0"/>
  </r>
  <r>
    <x v="190"/>
    <n v="0.31122159090909085"/>
    <n v="2.5331439393939115E-3"/>
    <n v="48"/>
    <n v="6598.9167727590921"/>
    <n v="53.71094589116197"/>
    <n v="0"/>
    <n v="0"/>
    <m/>
    <n v="26"/>
    <x v="6"/>
    <x v="0"/>
    <n v="0"/>
    <n v="0"/>
  </r>
  <r>
    <x v="191"/>
    <n v="0.31375473484848482"/>
    <n v="2.533143939393967E-3"/>
    <n v="47"/>
    <n v="6652.6277186502557"/>
    <n v="53.710945891163142"/>
    <n v="0"/>
    <n v="0"/>
    <m/>
    <n v="27"/>
    <x v="6"/>
    <x v="0"/>
    <n v="0"/>
    <n v="0"/>
  </r>
  <r>
    <x v="192"/>
    <n v="0.31631155303030306"/>
    <n v="2.5568181818182434E-3"/>
    <n v="48"/>
    <n v="6706.8406359983455"/>
    <n v="54.21291734809062"/>
    <n v="0"/>
    <n v="0"/>
    <m/>
    <n v="28"/>
    <x v="6"/>
    <x v="0"/>
    <n v="0"/>
    <n v="0"/>
  </r>
  <r>
    <x v="193"/>
    <n v="0.31898674242424241"/>
    <n v="2.6751893939393478E-3"/>
    <n v="47"/>
    <n v="6763.5634106310681"/>
    <n v="56.7227746327221"/>
    <n v="0"/>
    <n v="0"/>
    <m/>
    <n v="29"/>
    <x v="6"/>
    <x v="0"/>
    <n v="0"/>
    <n v="0"/>
  </r>
  <r>
    <x v="194"/>
    <n v="0.32156723484848498"/>
    <n v="2.5804924242425753E-3"/>
    <n v="45"/>
    <n v="6818.2782994360878"/>
    <n v="54.714888805019271"/>
    <n v="0"/>
    <n v="0"/>
    <m/>
    <n v="30"/>
    <x v="6"/>
    <x v="0"/>
    <n v="0"/>
    <n v="0"/>
  </r>
  <r>
    <x v="195"/>
    <n v="0.32395833333333324"/>
    <n v="2.391098484848253E-3"/>
    <n v="44"/>
    <n v="6868.9774165856843"/>
    <n v="50.699117149597129"/>
    <n v="0"/>
    <n v="0"/>
    <m/>
    <n v="31"/>
    <x v="6"/>
    <x v="0"/>
    <n v="0"/>
    <n v="0"/>
  </r>
  <r>
    <x v="196"/>
    <n v="0.32646780303030298"/>
    <n v="2.5094696969697461E-3"/>
    <n v="47"/>
    <n v="6922.1863910199218"/>
    <n v="53.20897443423685"/>
    <n v="0"/>
    <n v="0"/>
    <m/>
    <n v="1"/>
    <x v="7"/>
    <x v="0"/>
    <n v="0"/>
    <n v="0"/>
  </r>
  <r>
    <x v="197"/>
    <n v="0.32902462121212123"/>
    <n v="2.5568181818182434E-3"/>
    <n v="48"/>
    <n v="6976.3993083680116"/>
    <n v="54.21291734809062"/>
    <n v="0"/>
    <n v="0"/>
    <m/>
    <n v="2"/>
    <x v="7"/>
    <x v="0"/>
    <n v="0"/>
    <n v="0"/>
  </r>
  <r>
    <x v="198"/>
    <n v="0.33162878787878786"/>
    <n v="2.6041666666666297E-3"/>
    <n v="49"/>
    <n v="7031.6161686299538"/>
    <n v="55.216860261942031"/>
    <n v="0"/>
    <n v="0"/>
    <m/>
    <n v="3"/>
    <x v="7"/>
    <x v="0"/>
    <n v="0"/>
    <n v="0"/>
  </r>
  <r>
    <x v="199"/>
    <n v="0.3342329545454546"/>
    <n v="2.6041666666667407E-3"/>
    <n v="49"/>
    <n v="7086.8330288918987"/>
    <n v="55.21686026194439"/>
    <n v="0"/>
    <n v="0"/>
    <m/>
    <n v="4"/>
    <x v="7"/>
    <x v="0"/>
    <n v="0"/>
    <n v="0"/>
  </r>
  <r>
    <x v="200"/>
    <n v="0.33702651515151516"/>
    <n v="2.7935606060605633E-3"/>
    <n v="49"/>
    <n v="7146.065660809254"/>
    <n v="59.232631917355931"/>
    <n v="0"/>
    <n v="0"/>
    <m/>
    <n v="5"/>
    <x v="7"/>
    <x v="0"/>
    <n v="0"/>
    <n v="0"/>
  </r>
  <r>
    <x v="201"/>
    <n v="0.33972537878787884"/>
    <n v="2.6988636363636798E-3"/>
    <n v="47"/>
    <n v="7203.2904068989046"/>
    <n v="57.22474608965075"/>
    <n v="0"/>
    <n v="0"/>
    <m/>
    <n v="6"/>
    <x v="7"/>
    <x v="0"/>
    <n v="0"/>
    <n v="0"/>
  </r>
  <r>
    <x v="202"/>
    <n v="0.34223484848484848"/>
    <n v="2.5094696969696351E-3"/>
    <n v="47"/>
    <n v="7256.4993813331394"/>
    <n v="53.208974434234491"/>
    <n v="0"/>
    <n v="0"/>
    <m/>
    <n v="7"/>
    <x v="7"/>
    <x v="0"/>
    <n v="0"/>
    <n v="0"/>
  </r>
  <r>
    <x v="203"/>
    <n v="0.34486268939393933"/>
    <n v="2.6278409090908506E-3"/>
    <n v="49"/>
    <n v="7312.2182130520077"/>
    <n v="55.71883171886833"/>
    <n v="0"/>
    <n v="0"/>
    <m/>
    <n v="8"/>
    <x v="7"/>
    <x v="0"/>
    <n v="0"/>
    <n v="0"/>
  </r>
  <r>
    <x v="204"/>
    <n v="0.34758522727272723"/>
    <n v="2.7225378787879007E-3"/>
    <n v="51"/>
    <n v="7369.9449305985836"/>
    <n v="57.726717546577042"/>
    <n v="0"/>
    <n v="0"/>
    <m/>
    <n v="9"/>
    <x v="7"/>
    <x v="0"/>
    <n v="0"/>
    <n v="0"/>
  </r>
  <r>
    <x v="205"/>
    <n v="0.35028409090909091"/>
    <n v="2.6988636363636798E-3"/>
    <n v="51"/>
    <n v="7427.169676688236"/>
    <n v="57.22474608965075"/>
    <n v="0"/>
    <n v="0"/>
    <m/>
    <n v="10"/>
    <x v="7"/>
    <x v="0"/>
    <n v="0"/>
    <n v="0"/>
  </r>
  <r>
    <x v="206"/>
    <n v="0.35307765151515152"/>
    <n v="2.7935606060606188E-3"/>
    <n v="52"/>
    <n v="7486.402308605594"/>
    <n v="59.232631917357111"/>
    <n v="0"/>
    <n v="0"/>
    <m/>
    <n v="11"/>
    <x v="7"/>
    <x v="0"/>
    <n v="0"/>
    <n v="0"/>
  </r>
  <r>
    <x v="207"/>
    <n v="0.35601325757575764"/>
    <n v="2.9356060606061107E-3"/>
    <n v="51"/>
    <n v="7548.646769264511"/>
    <n v="62.24446065891842"/>
    <n v="0"/>
    <n v="0"/>
    <m/>
    <n v="12"/>
    <x v="7"/>
    <x v="0"/>
    <n v="0"/>
    <n v="0"/>
  </r>
  <r>
    <x v="208"/>
    <n v="0.35890151515151519"/>
    <n v="2.8882575757575579E-3"/>
    <n v="50"/>
    <n v="7609.8872870095747"/>
    <n v="61.240517745063471"/>
    <n v="0"/>
    <n v="0"/>
    <m/>
    <n v="13"/>
    <x v="7"/>
    <x v="0"/>
    <n v="0"/>
    <n v="0"/>
  </r>
  <r>
    <x v="209"/>
    <n v="0.36155303030303027"/>
    <n v="2.6515151515150714E-3"/>
    <n v="49"/>
    <n v="7666.1080901853693"/>
    <n v="56.220803175794629"/>
    <n v="0"/>
    <n v="0"/>
    <m/>
    <n v="14"/>
    <x v="7"/>
    <x v="0"/>
    <n v="0"/>
    <n v="0"/>
  </r>
  <r>
    <x v="210"/>
    <n v="0.36429924242424244"/>
    <n v="2.7462121212121771E-3"/>
    <n v="51"/>
    <n v="7724.3367791888732"/>
    <n v="58.22868900350452"/>
    <n v="0"/>
    <n v="0"/>
    <m/>
    <n v="15"/>
    <x v="7"/>
    <x v="0"/>
    <n v="0"/>
    <n v="0"/>
  </r>
  <r>
    <x v="211"/>
    <n v="0.36714015151515172"/>
    <n v="2.8409090909092827E-3"/>
    <n v="50"/>
    <n v="7784.5733540200881"/>
    <n v="60.236574831214419"/>
    <n v="0"/>
    <n v="0"/>
    <m/>
    <n v="16"/>
    <x v="7"/>
    <x v="0"/>
    <n v="0"/>
    <n v="0"/>
  </r>
  <r>
    <x v="212"/>
    <n v="0.36983901515151535"/>
    <n v="2.6988636363636243E-3"/>
    <n v="48"/>
    <n v="7841.7981001097378"/>
    <n v="57.224746089649571"/>
    <n v="0"/>
    <n v="0"/>
    <m/>
    <n v="17"/>
    <x v="7"/>
    <x v="0"/>
    <n v="0"/>
    <n v="0"/>
  </r>
  <r>
    <x v="213"/>
    <n v="0.37237215909090904"/>
    <n v="2.5331439393936894E-3"/>
    <n v="45"/>
    <n v="7895.5090460008942"/>
    <n v="53.710945891157259"/>
    <n v="0"/>
    <n v="0"/>
    <m/>
    <n v="18"/>
    <x v="7"/>
    <x v="0"/>
    <n v="0"/>
    <n v="0"/>
  </r>
  <r>
    <x v="214"/>
    <n v="0.37485795454545445"/>
    <n v="2.4857954545454142E-3"/>
    <n v="44"/>
    <n v="7948.2160489782036"/>
    <n v="52.7070029773082"/>
    <n v="0"/>
    <n v="0"/>
    <m/>
    <n v="19"/>
    <x v="7"/>
    <x v="0"/>
    <n v="0"/>
    <n v="0"/>
  </r>
  <r>
    <x v="215"/>
    <n v="0.37729640151515154"/>
    <n v="2.4384469696970834E-3"/>
    <n v="43"/>
    <n v="7999.9191090416607"/>
    <n v="51.703060063457961"/>
    <n v="0"/>
    <n v="0"/>
    <m/>
    <n v="20"/>
    <x v="7"/>
    <x v="0"/>
    <n v="0"/>
    <n v="0"/>
  </r>
  <r>
    <x v="216"/>
    <n v="0.37956912878787874"/>
    <n v="2.2727272727272041E-3"/>
    <n v="43"/>
    <n v="8048.108368906629"/>
    <n v="48.189259864966822"/>
    <n v="0"/>
    <n v="0"/>
    <m/>
    <n v="21"/>
    <x v="7"/>
    <x v="0"/>
    <n v="0"/>
    <n v="0"/>
  </r>
  <r>
    <x v="217"/>
    <n v="0.3818892045454545"/>
    <n v="2.3200757575757569E-3"/>
    <n v="44"/>
    <n v="8097.3015716854497"/>
    <n v="49.193202778821771"/>
    <n v="0"/>
    <n v="0"/>
    <m/>
    <n v="22"/>
    <x v="7"/>
    <x v="0"/>
    <n v="0"/>
    <n v="0"/>
  </r>
  <r>
    <x v="218"/>
    <n v="0.38432765151515152"/>
    <n v="2.4384469696970279E-3"/>
    <n v="46"/>
    <n v="8149.0046317489068"/>
    <n v="51.703060063456782"/>
    <n v="0"/>
    <n v="0"/>
    <m/>
    <n v="23"/>
    <x v="7"/>
    <x v="0"/>
    <n v="0"/>
    <n v="0"/>
  </r>
  <r>
    <x v="219"/>
    <n v="0.38681344696969711"/>
    <n v="2.4857954545455807E-3"/>
    <n v="47"/>
    <n v="8201.7116347262181"/>
    <n v="52.707002977311731"/>
    <n v="0"/>
    <n v="0"/>
    <m/>
    <n v="24"/>
    <x v="7"/>
    <x v="0"/>
    <n v="0"/>
    <n v="0"/>
  </r>
  <r>
    <x v="220"/>
    <n v="0.38927556818181835"/>
    <n v="2.4621212121212488E-3"/>
    <n v="47"/>
    <n v="8253.9166662466014"/>
    <n v="52.205031520383081"/>
    <n v="0"/>
    <n v="0"/>
    <m/>
    <n v="25"/>
    <x v="7"/>
    <x v="0"/>
    <n v="0"/>
    <n v="0"/>
  </r>
  <r>
    <x v="221"/>
    <n v="0.39183238636363654"/>
    <n v="2.5568181818181879E-3"/>
    <n v="45"/>
    <n v="8308.1295835946912"/>
    <n v="54.212917348089441"/>
    <n v="0"/>
    <n v="0"/>
    <m/>
    <n v="26"/>
    <x v="7"/>
    <x v="0"/>
    <n v="0"/>
    <n v="0"/>
  </r>
  <r>
    <x v="222"/>
    <n v="0.39438920454545484"/>
    <n v="2.5568181818182989E-3"/>
    <n v="45"/>
    <n v="8362.3425009427829"/>
    <n v="54.212917348091793"/>
    <n v="0"/>
    <n v="0"/>
    <m/>
    <n v="27"/>
    <x v="7"/>
    <x v="0"/>
    <n v="0"/>
    <n v="0"/>
  </r>
  <r>
    <x v="223"/>
    <n v="0.39670928030303032"/>
    <n v="2.3200757575754793E-3"/>
    <n v="44"/>
    <n v="8411.5357037215981"/>
    <n v="49.193202778815881"/>
    <n v="0"/>
    <n v="0"/>
    <m/>
    <n v="28"/>
    <x v="7"/>
    <x v="0"/>
    <n v="0"/>
    <n v="0"/>
  </r>
  <r>
    <x v="224"/>
    <n v="0.39914772727272729"/>
    <n v="2.4384469696969724E-3"/>
    <n v="46"/>
    <n v="8463.2387637850534"/>
    <n v="51.703060063455602"/>
    <n v="0"/>
    <n v="0"/>
    <m/>
    <n v="29"/>
    <x v="7"/>
    <x v="0"/>
    <n v="0"/>
    <n v="0"/>
  </r>
  <r>
    <x v="225"/>
    <n v="0.40168087121212143"/>
    <n v="2.5331439393941335E-3"/>
    <n v="48"/>
    <n v="8516.9497096762207"/>
    <n v="53.710945891166674"/>
    <n v="0"/>
    <n v="0"/>
    <m/>
    <n v="30"/>
    <x v="7"/>
    <x v="0"/>
    <n v="0"/>
    <n v="0"/>
  </r>
  <r>
    <x v="226"/>
    <n v="0.40419034090909106"/>
    <n v="2.5094696969696351E-3"/>
    <n v="48"/>
    <n v="8570.1586841104545"/>
    <n v="53.208974434234491"/>
    <n v="0"/>
    <n v="0"/>
    <m/>
    <n v="1"/>
    <x v="8"/>
    <x v="0"/>
    <n v="0"/>
    <n v="0"/>
  </r>
  <r>
    <x v="227"/>
    <n v="0.4066998106060607"/>
    <n v="2.5094696969696351E-3"/>
    <n v="48"/>
    <n v="8623.3676585446901"/>
    <n v="53.208974434234491"/>
    <n v="0"/>
    <n v="0"/>
    <m/>
    <n v="2"/>
    <x v="8"/>
    <x v="0"/>
    <n v="0"/>
    <n v="0"/>
  </r>
  <r>
    <x v="228"/>
    <n v="0.40930397727272733"/>
    <n v="2.6041666666666297E-3"/>
    <n v="46"/>
    <n v="8678.5845188066323"/>
    <n v="55.216860261942031"/>
    <n v="0"/>
    <n v="0"/>
    <m/>
    <n v="3"/>
    <x v="8"/>
    <x v="0"/>
    <n v="0"/>
    <n v="0"/>
  </r>
  <r>
    <x v="229"/>
    <n v="0.41181344696969691"/>
    <n v="2.5094696969695796E-3"/>
    <n v="44"/>
    <n v="8731.7934932408643"/>
    <n v="53.208974434233319"/>
    <n v="0"/>
    <n v="0"/>
    <m/>
    <n v="4"/>
    <x v="8"/>
    <x v="0"/>
    <n v="0"/>
    <n v="0"/>
  </r>
  <r>
    <x v="230"/>
    <n v="0.41420454545454533"/>
    <n v="2.3910984848484196E-3"/>
    <n v="45"/>
    <n v="8782.4926103904654"/>
    <n v="50.69911714960066"/>
    <n v="0"/>
    <n v="0"/>
    <m/>
    <n v="5"/>
    <x v="8"/>
    <x v="0"/>
    <n v="0"/>
    <n v="0"/>
  </r>
  <r>
    <x v="231"/>
    <n v="0.4166903409090908"/>
    <n v="2.4857954545454697E-3"/>
    <n v="47"/>
    <n v="8835.1996133677749"/>
    <n v="52.707002977309379"/>
    <n v="0"/>
    <n v="0"/>
    <m/>
    <n v="6"/>
    <x v="8"/>
    <x v="0"/>
    <n v="0"/>
    <n v="0"/>
  </r>
  <r>
    <x v="232"/>
    <n v="0.41934185606060609"/>
    <n v="2.6515151515152935E-3"/>
    <n v="50"/>
    <n v="8891.4204165435749"/>
    <n v="56.220803175799333"/>
    <n v="0"/>
    <n v="0"/>
    <m/>
    <n v="7"/>
    <x v="8"/>
    <x v="0"/>
    <n v="0"/>
    <n v="0"/>
  </r>
  <r>
    <x v="233"/>
    <n v="0.42213541666666665"/>
    <n v="2.7935606060605633E-3"/>
    <n v="52"/>
    <n v="8950.6530484609302"/>
    <n v="59.232631917355931"/>
    <n v="0"/>
    <n v="0"/>
    <m/>
    <n v="8"/>
    <x v="8"/>
    <x v="0"/>
    <n v="0"/>
    <n v="0"/>
  </r>
  <r>
    <x v="234"/>
    <n v="0.42502367424242438"/>
    <n v="2.8882575757577245E-3"/>
    <n v="53"/>
    <n v="9011.8935662059976"/>
    <n v="61.240517745067002"/>
    <n v="0"/>
    <n v="0"/>
    <m/>
    <n v="9"/>
    <x v="8"/>
    <x v="0"/>
    <n v="0"/>
    <n v="0"/>
  </r>
  <r>
    <x v="235"/>
    <n v="0.42798295454545454"/>
    <n v="2.9592803030301651E-3"/>
    <n v="51"/>
    <n v="9074.639998321838"/>
    <n v="62.746432115841181"/>
    <n v="0"/>
    <n v="0"/>
    <m/>
    <n v="10"/>
    <x v="8"/>
    <x v="0"/>
    <n v="0"/>
    <n v="0"/>
  </r>
  <r>
    <x v="236"/>
    <n v="0.43089488636363632"/>
    <n v="2.9119318181817788E-3"/>
    <n v="50"/>
    <n v="9136.3824875238279"/>
    <n v="61.74248920198977"/>
    <n v="0"/>
    <n v="0"/>
    <m/>
    <n v="11"/>
    <x v="8"/>
    <x v="0"/>
    <n v="0"/>
    <n v="0"/>
  </r>
  <r>
    <x v="237"/>
    <n v="0.43361742424242422"/>
    <n v="2.7225378787879007E-3"/>
    <n v="50"/>
    <n v="9194.1092050704046"/>
    <n v="57.726717546577042"/>
    <n v="0"/>
    <n v="0"/>
    <m/>
    <n v="12"/>
    <x v="8"/>
    <x v="0"/>
    <n v="0"/>
    <n v="0"/>
  </r>
  <r>
    <x v="238"/>
    <n v="0.43636363636363634"/>
    <n v="2.7462121212121215E-3"/>
    <n v="51"/>
    <n v="9252.3378940739094"/>
    <n v="58.228689003503341"/>
    <n v="0"/>
    <n v="0"/>
    <m/>
    <n v="13"/>
    <x v="8"/>
    <x v="0"/>
    <n v="0"/>
    <n v="0"/>
  </r>
  <r>
    <x v="239"/>
    <n v="0.43922821969696973"/>
    <n v="2.8645833333333925E-3"/>
    <n v="53"/>
    <n v="9313.0764403620469"/>
    <n v="60.738546288138352"/>
    <n v="0"/>
    <n v="0"/>
    <m/>
    <n v="14"/>
    <x v="8"/>
    <x v="0"/>
    <n v="0"/>
    <n v="0"/>
  </r>
  <r>
    <x v="240"/>
    <n v="0.44211647727272746"/>
    <n v="2.8882575757577245E-3"/>
    <n v="53"/>
    <n v="9374.3169581071143"/>
    <n v="61.240517745067002"/>
    <n v="0"/>
    <n v="0"/>
    <m/>
    <n v="15"/>
    <x v="8"/>
    <x v="0"/>
    <n v="0"/>
    <n v="0"/>
  </r>
  <r>
    <x v="241"/>
    <n v="0.44493371212121213"/>
    <n v="2.8172348484846732E-3"/>
    <n v="52"/>
    <n v="9434.0515614813939"/>
    <n v="59.734603374279878"/>
    <n v="0"/>
    <n v="0"/>
    <m/>
    <n v="16"/>
    <x v="8"/>
    <x v="0"/>
    <n v="0"/>
    <n v="0"/>
  </r>
  <r>
    <x v="242"/>
    <n v="0.44791666666666674"/>
    <n v="2.982954545454608E-3"/>
    <n v="52"/>
    <n v="9497.299965054166"/>
    <n v="63.24840357277219"/>
    <n v="0"/>
    <n v="0"/>
    <m/>
    <n v="17"/>
    <x v="8"/>
    <x v="0"/>
    <n v="0"/>
    <n v="0"/>
  </r>
  <r>
    <x v="243"/>
    <n v="0.45089962121212129"/>
    <n v="2.9829545454545525E-3"/>
    <n v="52"/>
    <n v="9560.5483686269381"/>
    <n v="63.248403572771011"/>
    <n v="0"/>
    <n v="0"/>
    <m/>
    <n v="18"/>
    <x v="8"/>
    <x v="0"/>
    <n v="0"/>
    <n v="0"/>
  </r>
  <r>
    <x v="244"/>
    <n v="0.4537405303030303"/>
    <n v="2.8409090909090051E-3"/>
    <n v="53"/>
    <n v="9620.7849434581458"/>
    <n v="60.236574831208529"/>
    <n v="0"/>
    <n v="0"/>
    <m/>
    <n v="19"/>
    <x v="8"/>
    <x v="0"/>
    <n v="0"/>
    <n v="0"/>
  </r>
  <r>
    <x v="245"/>
    <n v="0.45669981060606052"/>
    <n v="2.9592803030302206E-3"/>
    <n v="55"/>
    <n v="9683.531375573988"/>
    <n v="62.74643211584236"/>
    <n v="0"/>
    <n v="0"/>
    <m/>
    <n v="20"/>
    <x v="8"/>
    <x v="0"/>
    <n v="0"/>
    <n v="0"/>
  </r>
  <r>
    <x v="246"/>
    <n v="0.45977746212121212"/>
    <n v="3.0776515151516026E-3"/>
    <n v="57"/>
    <n v="9748.7876649744685"/>
    <n v="65.25628940047973"/>
    <n v="0"/>
    <n v="0"/>
    <m/>
    <n v="21"/>
    <x v="8"/>
    <x v="0"/>
    <n v="0"/>
    <n v="0"/>
  </r>
  <r>
    <x v="247"/>
    <n v="0.46283143939393939"/>
    <n v="3.0539772727272707E-3"/>
    <n v="57"/>
    <n v="9813.5419829180191"/>
    <n v="64.754317943551087"/>
    <n v="0"/>
    <n v="0"/>
    <m/>
    <n v="22"/>
    <x v="8"/>
    <x v="0"/>
    <n v="0"/>
    <n v="0"/>
  </r>
  <r>
    <x v="248"/>
    <n v="0.46586174242424239"/>
    <n v="3.0303030303029943E-3"/>
    <n v="57"/>
    <n v="9877.7943294046418"/>
    <n v="64.252346486623608"/>
    <n v="0"/>
    <n v="0"/>
    <m/>
    <n v="23"/>
    <x v="8"/>
    <x v="0"/>
    <n v="0"/>
    <n v="0"/>
  </r>
  <r>
    <x v="249"/>
    <n v="0.46898674242424254"/>
    <n v="3.1250000000001554E-3"/>
    <n v="55"/>
    <n v="9944.0545617189764"/>
    <n v="66.260232314334672"/>
    <n v="0"/>
    <n v="0"/>
    <m/>
    <n v="24"/>
    <x v="8"/>
    <x v="0"/>
    <n v="0"/>
    <n v="0"/>
  </r>
  <r>
    <x v="250"/>
    <n v="0.47201704545454565"/>
    <n v="3.0303030303031053E-3"/>
    <n v="53"/>
    <n v="10008.306908205604"/>
    <n v="64.252346486625967"/>
    <n v="0"/>
    <n v="0"/>
    <m/>
    <n v="25"/>
    <x v="8"/>
    <x v="0"/>
    <n v="0"/>
    <n v="0"/>
  </r>
  <r>
    <x v="251"/>
    <n v="0.47492897727272715"/>
    <n v="2.9119318181815013E-3"/>
    <n v="54"/>
    <n v="10070.049397407587"/>
    <n v="61.742489201983886"/>
    <n v="0"/>
    <n v="0"/>
    <m/>
    <n v="26"/>
    <x v="8"/>
    <x v="0"/>
    <n v="0"/>
    <n v="0"/>
  </r>
  <r>
    <x v="252"/>
    <n v="0.47795928030303014"/>
    <n v="3.0303030303029943E-3"/>
    <n v="56"/>
    <n v="10134.301743894212"/>
    <n v="64.252346486623608"/>
    <n v="0"/>
    <n v="0"/>
    <m/>
    <n v="27"/>
    <x v="8"/>
    <x v="0"/>
    <n v="0"/>
    <n v="0"/>
  </r>
  <r>
    <x v="253"/>
    <n v="0.48101325757575758"/>
    <n v="3.0539772727274372E-3"/>
    <n v="57"/>
    <n v="10199.056061837766"/>
    <n v="64.754317943554611"/>
    <n v="0"/>
    <n v="0"/>
    <m/>
    <n v="28"/>
    <x v="8"/>
    <x v="0"/>
    <n v="0"/>
    <n v="0"/>
  </r>
  <r>
    <x v="254"/>
    <n v="0.48404356060606057"/>
    <n v="3.0303030303029943E-3"/>
    <n v="57"/>
    <n v="10263.308408324388"/>
    <n v="64.252346486623608"/>
    <n v="0"/>
    <n v="0"/>
    <m/>
    <n v="29"/>
    <x v="8"/>
    <x v="0"/>
    <n v="0"/>
    <n v="0"/>
  </r>
  <r>
    <x v="255"/>
    <n v="0.48709753787878801"/>
    <n v="3.0539772727274372E-3"/>
    <n v="57"/>
    <n v="10328.062726267945"/>
    <n v="64.754317943554611"/>
    <n v="0"/>
    <n v="0"/>
    <m/>
    <n v="30"/>
    <x v="8"/>
    <x v="0"/>
    <n v="0"/>
    <n v="0"/>
  </r>
  <r>
    <x v="256"/>
    <n v="0.49024621212121228"/>
    <n v="3.1486742424242653E-3"/>
    <n v="55"/>
    <n v="10394.824930039202"/>
    <n v="66.762203771258612"/>
    <n v="0"/>
    <n v="0"/>
    <m/>
    <n v="31"/>
    <x v="8"/>
    <x v="0"/>
    <n v="0"/>
    <n v="0"/>
  </r>
  <r>
    <x v="257"/>
    <n v="0.49334753787878788"/>
    <n v="3.1013257575756015E-3"/>
    <n v="54"/>
    <n v="10460.583190896605"/>
    <n v="65.758260857401325"/>
    <n v="0"/>
    <n v="0"/>
    <m/>
    <n v="1"/>
    <x v="9"/>
    <x v="0"/>
    <n v="0"/>
    <n v="0"/>
  </r>
  <r>
    <x v="258"/>
    <n v="0.49633049242424226"/>
    <n v="2.982954545454386E-3"/>
    <n v="55"/>
    <n v="10523.831594469371"/>
    <n v="63.248403572767479"/>
    <n v="0"/>
    <n v="0"/>
    <m/>
    <n v="2"/>
    <x v="9"/>
    <x v="0"/>
    <n v="0"/>
    <n v="0"/>
  </r>
  <r>
    <x v="259"/>
    <n v="0.49933712121212109"/>
    <n v="3.0066287878788289E-3"/>
    <n v="56"/>
    <n v="10587.58196949907"/>
    <n v="63.750375029698489"/>
    <n v="0"/>
    <n v="0"/>
    <m/>
    <n v="3"/>
    <x v="9"/>
    <x v="0"/>
    <n v="0"/>
    <n v="0"/>
  </r>
  <r>
    <x v="260"/>
    <n v="0.50236742424242431"/>
    <n v="3.0303030303032163E-3"/>
    <n v="57"/>
    <n v="10651.834315985698"/>
    <n v="64.252346486628312"/>
    <n v="0"/>
    <n v="0"/>
    <m/>
    <n v="4"/>
    <x v="9"/>
    <x v="0"/>
    <n v="0"/>
    <n v="0"/>
  </r>
  <r>
    <x v="261"/>
    <n v="0.50542140151515158"/>
    <n v="3.0539772727272707E-3"/>
    <n v="57"/>
    <n v="10716.588633929248"/>
    <n v="64.754317943551087"/>
    <n v="0"/>
    <n v="0"/>
    <m/>
    <n v="5"/>
    <x v="9"/>
    <x v="0"/>
    <n v="0"/>
    <n v="0"/>
  </r>
  <r>
    <x v="262"/>
    <n v="0.50849905303030318"/>
    <n v="3.0776515151516026E-3"/>
    <n v="57"/>
    <n v="10781.844923329729"/>
    <n v="65.25628940047973"/>
    <n v="0"/>
    <n v="0"/>
    <m/>
    <n v="6"/>
    <x v="9"/>
    <x v="0"/>
    <n v="0"/>
    <n v="0"/>
  </r>
  <r>
    <x v="263"/>
    <n v="0.51169507575757578"/>
    <n v="3.1960227272725961E-3"/>
    <n v="56"/>
    <n v="10849.611070014837"/>
    <n v="67.766146685108865"/>
    <n v="0"/>
    <n v="0"/>
    <m/>
    <n v="7"/>
    <x v="9"/>
    <x v="0"/>
    <n v="0"/>
    <n v="0"/>
  </r>
  <r>
    <x v="264"/>
    <n v="0.51484374999999993"/>
    <n v="3.1486742424241543E-3"/>
    <n v="55"/>
    <n v="10916.373273786094"/>
    <n v="66.762203771256267"/>
    <n v="0"/>
    <n v="0"/>
    <m/>
    <n v="8"/>
    <x v="9"/>
    <x v="0"/>
    <n v="0"/>
    <n v="0"/>
  </r>
  <r>
    <x v="265"/>
    <n v="0.51775568181818177"/>
    <n v="2.9119318181818343E-3"/>
    <n v="54"/>
    <n v="10978.115762988084"/>
    <n v="61.742489201990949"/>
    <n v="0"/>
    <n v="0"/>
    <m/>
    <n v="9"/>
    <x v="9"/>
    <x v="0"/>
    <n v="0"/>
    <n v="0"/>
  </r>
  <r>
    <x v="266"/>
    <n v="0.52069128787878782"/>
    <n v="2.9356060606060552E-3"/>
    <n v="55"/>
    <n v="11040.360223647"/>
    <n v="62.244460658917241"/>
    <n v="0"/>
    <n v="0"/>
    <m/>
    <n v="10"/>
    <x v="9"/>
    <x v="0"/>
    <n v="0"/>
    <n v="0"/>
  </r>
  <r>
    <x v="267"/>
    <n v="0.5237452651515152"/>
    <n v="3.0539772727273817E-3"/>
    <n v="57"/>
    <n v="11105.114541590556"/>
    <n v="64.754317943553431"/>
    <n v="0"/>
    <n v="0"/>
    <m/>
    <n v="11"/>
    <x v="9"/>
    <x v="0"/>
    <n v="0"/>
    <n v="0"/>
  </r>
  <r>
    <x v="268"/>
    <n v="0.5268229166666667"/>
    <n v="3.0776515151514916E-3"/>
    <n v="57"/>
    <n v="11170.370830991033"/>
    <n v="65.256289400477371"/>
    <n v="0"/>
    <n v="0"/>
    <m/>
    <n v="12"/>
    <x v="9"/>
    <x v="0"/>
    <n v="0"/>
    <n v="0"/>
  </r>
  <r>
    <x v="269"/>
    <n v="0.52987689393939386"/>
    <n v="3.0539772727271597E-3"/>
    <n v="57"/>
    <n v="11235.12514893458"/>
    <n v="64.754317943548727"/>
    <n v="0"/>
    <n v="0"/>
    <m/>
    <n v="13"/>
    <x v="9"/>
    <x v="0"/>
    <n v="0"/>
    <n v="0"/>
  </r>
  <r>
    <x v="270"/>
    <n v="0.53304924242424245"/>
    <n v="3.1723484848485972E-3"/>
    <n v="56"/>
    <n v="11302.389324162768"/>
    <n v="67.26417522818727"/>
    <n v="0"/>
    <n v="0"/>
    <m/>
    <n v="14"/>
    <x v="9"/>
    <x v="0"/>
    <n v="0"/>
    <n v="0"/>
  </r>
  <r>
    <x v="271"/>
    <n v="0.53612689393939406"/>
    <n v="3.0776515151516026E-3"/>
    <n v="54"/>
    <n v="11367.645613563249"/>
    <n v="65.25628940047973"/>
    <n v="0"/>
    <n v="0"/>
    <m/>
    <n v="15"/>
    <x v="9"/>
    <x v="0"/>
    <n v="0"/>
    <n v="0"/>
  </r>
  <r>
    <x v="272"/>
    <n v="0.53896780303030301"/>
    <n v="2.8409090909089496E-3"/>
    <n v="53"/>
    <n v="11427.882188394457"/>
    <n v="60.236574831207349"/>
    <n v="0"/>
    <n v="0"/>
    <m/>
    <n v="16"/>
    <x v="9"/>
    <x v="0"/>
    <n v="0"/>
    <n v="0"/>
  </r>
  <r>
    <x v="273"/>
    <n v="0.54192708333333328"/>
    <n v="2.9592803030302761E-3"/>
    <n v="55"/>
    <n v="11490.628620510301"/>
    <n v="62.74643211584354"/>
    <n v="0"/>
    <n v="0"/>
    <m/>
    <n v="17"/>
    <x v="9"/>
    <x v="0"/>
    <n v="0"/>
    <n v="0"/>
  </r>
  <r>
    <x v="274"/>
    <n v="0.54500473484848488"/>
    <n v="3.0776515151516026E-3"/>
    <n v="57"/>
    <n v="11555.884909910779"/>
    <n v="65.25628940047973"/>
    <n v="0"/>
    <n v="0"/>
    <m/>
    <n v="18"/>
    <x v="9"/>
    <x v="0"/>
    <n v="0"/>
    <n v="0"/>
  </r>
  <r>
    <x v="275"/>
    <n v="0.54805871212121204"/>
    <n v="3.0539772727271597E-3"/>
    <n v="57"/>
    <n v="11620.639227854328"/>
    <n v="64.754317943548727"/>
    <n v="0"/>
    <n v="0"/>
    <m/>
    <n v="19"/>
    <x v="9"/>
    <x v="0"/>
    <n v="0"/>
    <n v="0"/>
  </r>
  <r>
    <x v="276"/>
    <n v="0.55108901515151509"/>
    <n v="3.0303030303030498E-3"/>
    <n v="57"/>
    <n v="11684.891574340953"/>
    <n v="64.252346486624788"/>
    <n v="0"/>
    <n v="0"/>
    <m/>
    <n v="20"/>
    <x v="9"/>
    <x v="0"/>
    <n v="0"/>
    <n v="0"/>
  </r>
  <r>
    <x v="277"/>
    <n v="0.55421401515151525"/>
    <n v="3.1250000000001554E-3"/>
    <n v="55"/>
    <n v="11751.151806655287"/>
    <n v="66.260232314334672"/>
    <n v="0"/>
    <n v="0"/>
    <m/>
    <n v="21"/>
    <x v="9"/>
    <x v="0"/>
    <n v="0"/>
    <n v="0"/>
  </r>
  <r>
    <x v="278"/>
    <n v="0.55724431818181841"/>
    <n v="3.0303030303031608E-3"/>
    <n v="53"/>
    <n v="11815.404153141912"/>
    <n v="64.252346486627133"/>
    <n v="0"/>
    <n v="0"/>
    <m/>
    <n v="22"/>
    <x v="9"/>
    <x v="0"/>
    <n v="0"/>
    <n v="0"/>
  </r>
  <r>
    <x v="279"/>
    <n v="0.56015624999999991"/>
    <n v="2.9119318181815013E-3"/>
    <n v="54"/>
    <n v="11877.146642343898"/>
    <n v="61.742489201983886"/>
    <n v="0"/>
    <n v="0"/>
    <m/>
    <n v="23"/>
    <x v="9"/>
    <x v="0"/>
    <n v="0"/>
    <n v="0"/>
  </r>
  <r>
    <x v="280"/>
    <n v="0.56318655303030285"/>
    <n v="3.0303030303029388E-3"/>
    <n v="56"/>
    <n v="11941.39898883052"/>
    <n v="64.252346486622429"/>
    <n v="0"/>
    <n v="0"/>
    <m/>
    <n v="24"/>
    <x v="9"/>
    <x v="0"/>
    <n v="0"/>
    <n v="0"/>
  </r>
  <r>
    <x v="281"/>
    <n v="0.56624053030303034"/>
    <n v="3.0539772727274928E-3"/>
    <n v="57"/>
    <n v="12006.153306774077"/>
    <n v="64.75431794355579"/>
    <n v="0"/>
    <n v="0"/>
    <m/>
    <n v="25"/>
    <x v="9"/>
    <x v="0"/>
    <n v="0"/>
    <n v="0"/>
  </r>
  <r>
    <x v="282"/>
    <n v="0.56927083333333328"/>
    <n v="3.0303030303029388E-3"/>
    <n v="57"/>
    <n v="12070.405653260699"/>
    <n v="64.252346486622429"/>
    <n v="0"/>
    <n v="0"/>
    <m/>
    <n v="26"/>
    <x v="9"/>
    <x v="0"/>
    <n v="0"/>
    <n v="0"/>
  </r>
  <r>
    <x v="283"/>
    <n v="0.57232481060606066"/>
    <n v="3.0539772727273817E-3"/>
    <n v="57"/>
    <n v="12135.159971204252"/>
    <n v="64.754317943553431"/>
    <n v="0"/>
    <n v="0"/>
    <m/>
    <n v="27"/>
    <x v="9"/>
    <x v="0"/>
    <n v="0"/>
    <n v="0"/>
  </r>
  <r>
    <x v="284"/>
    <n v="0.57547348484848504"/>
    <n v="3.1486742424243763E-3"/>
    <n v="55"/>
    <n v="12201.922174975512"/>
    <n v="66.762203771260971"/>
    <n v="0"/>
    <n v="0"/>
    <m/>
    <n v="28"/>
    <x v="9"/>
    <x v="0"/>
    <n v="0"/>
    <n v="0"/>
  </r>
  <r>
    <x v="285"/>
    <n v="0.57857481060606064"/>
    <n v="3.1013257575756015E-3"/>
    <n v="54"/>
    <n v="12267.680435832914"/>
    <n v="65.758260857401325"/>
    <n v="0"/>
    <n v="0"/>
    <m/>
    <n v="29"/>
    <x v="9"/>
    <x v="0"/>
    <n v="0"/>
    <n v="0"/>
  </r>
  <r>
    <x v="286"/>
    <n v="0.58155776515151503"/>
    <n v="2.982954545454386E-3"/>
    <n v="55"/>
    <n v="12330.928839405682"/>
    <n v="63.248403572767479"/>
    <n v="0"/>
    <n v="0"/>
    <m/>
    <n v="30"/>
    <x v="9"/>
    <x v="0"/>
    <n v="0"/>
    <n v="0"/>
  </r>
  <r>
    <x v="287"/>
    <n v="0.58456439393939386"/>
    <n v="3.0066287878788289E-3"/>
    <n v="56"/>
    <n v="12394.67921443538"/>
    <n v="63.750375029698489"/>
    <n v="0"/>
    <n v="0"/>
    <m/>
    <n v="1"/>
    <x v="10"/>
    <x v="0"/>
    <n v="0"/>
    <n v="0"/>
  </r>
  <r>
    <x v="288"/>
    <n v="0.58759469696969702"/>
    <n v="3.0303030303031608E-3"/>
    <n v="57"/>
    <n v="12458.931560922008"/>
    <n v="64.252346486627133"/>
    <n v="0"/>
    <n v="0"/>
    <m/>
    <n v="2"/>
    <x v="10"/>
    <x v="0"/>
    <n v="0"/>
    <n v="0"/>
  </r>
  <r>
    <x v="289"/>
    <n v="0.59064867424242429"/>
    <n v="3.0539772727272707E-3"/>
    <n v="57"/>
    <n v="12523.685878865561"/>
    <n v="64.754317943551087"/>
    <n v="0"/>
    <n v="0"/>
    <m/>
    <n v="3"/>
    <x v="10"/>
    <x v="0"/>
    <n v="0"/>
    <n v="0"/>
  </r>
  <r>
    <x v="290"/>
    <n v="0.59372632575757589"/>
    <n v="3.0776515151516026E-3"/>
    <n v="57"/>
    <n v="12588.942168266038"/>
    <n v="65.25628940047973"/>
    <n v="0"/>
    <n v="0"/>
    <m/>
    <n v="4"/>
    <x v="10"/>
    <x v="0"/>
    <n v="0"/>
    <n v="0"/>
  </r>
  <r>
    <x v="291"/>
    <n v="0.59692234848484849"/>
    <n v="3.1960227272725961E-3"/>
    <n v="56"/>
    <n v="12656.708314951147"/>
    <n v="67.766146685108865"/>
    <n v="0"/>
    <n v="0"/>
    <m/>
    <n v="5"/>
    <x v="10"/>
    <x v="0"/>
    <n v="0"/>
    <n v="0"/>
  </r>
  <r>
    <x v="292"/>
    <n v="0.60007102272727264"/>
    <n v="3.1486742424241543E-3"/>
    <n v="55"/>
    <n v="12723.470518722404"/>
    <n v="66.762203771256267"/>
    <n v="0"/>
    <n v="0"/>
    <m/>
    <n v="6"/>
    <x v="10"/>
    <x v="0"/>
    <n v="0"/>
    <n v="0"/>
  </r>
  <r>
    <x v="293"/>
    <n v="0.60298295454545459"/>
    <n v="2.9119318181819454E-3"/>
    <n v="54"/>
    <n v="12785.213007924396"/>
    <n v="61.742489201993301"/>
    <n v="0"/>
    <n v="0"/>
    <m/>
    <n v="7"/>
    <x v="10"/>
    <x v="0"/>
    <n v="0"/>
    <n v="0"/>
  </r>
  <r>
    <x v="294"/>
    <n v="0.60591856060606053"/>
    <n v="2.9356060606059442E-3"/>
    <n v="52"/>
    <n v="12847.457468583312"/>
    <n v="62.244460658914889"/>
    <n v="0"/>
    <n v="0"/>
    <m/>
    <n v="8"/>
    <x v="10"/>
    <x v="0"/>
    <n v="0"/>
    <n v="0"/>
  </r>
  <r>
    <x v="295"/>
    <n v="0.60878314393939392"/>
    <n v="2.8645833333333925E-3"/>
    <n v="54"/>
    <n v="12908.19601487145"/>
    <n v="60.738546288138352"/>
    <n v="0"/>
    <n v="0"/>
    <m/>
    <n v="9"/>
    <x v="10"/>
    <x v="0"/>
    <n v="0"/>
    <n v="0"/>
  </r>
  <r>
    <x v="296"/>
    <n v="0.61167140151515154"/>
    <n v="2.8882575757576134E-3"/>
    <n v="54"/>
    <n v="12969.436532616515"/>
    <n v="61.240517745064651"/>
    <n v="0"/>
    <n v="0"/>
    <m/>
    <n v="10"/>
    <x v="10"/>
    <x v="0"/>
    <n v="0"/>
    <n v="0"/>
  </r>
  <r>
    <x v="297"/>
    <n v="0.61455965909090904"/>
    <n v="2.8882575757575024E-3"/>
    <n v="54"/>
    <n v="13030.677050361575"/>
    <n v="61.240517745062299"/>
    <n v="0"/>
    <n v="0"/>
    <m/>
    <n v="11"/>
    <x v="10"/>
    <x v="0"/>
    <n v="0"/>
    <n v="0"/>
  </r>
  <r>
    <x v="298"/>
    <n v="0.61756628787878798"/>
    <n v="3.0066287878789399E-3"/>
    <n v="53"/>
    <n v="13094.427425391275"/>
    <n v="63.750375029700841"/>
    <n v="0"/>
    <n v="0"/>
    <m/>
    <n v="12"/>
    <x v="10"/>
    <x v="0"/>
    <n v="0"/>
    <n v="0"/>
  </r>
  <r>
    <x v="299"/>
    <n v="0.6204782196969697"/>
    <n v="2.9119318181817233E-3"/>
    <n v="51"/>
    <n v="13156.169914593267"/>
    <n v="61.74248920198859"/>
    <n v="0"/>
    <n v="0"/>
    <m/>
    <n v="13"/>
    <x v="10"/>
    <x v="0"/>
    <n v="0"/>
    <n v="0"/>
  </r>
  <r>
    <x v="300"/>
    <n v="0.62315340909090911"/>
    <n v="2.6751893939394034E-3"/>
    <n v="50"/>
    <n v="13212.89268922599"/>
    <n v="56.722774632723279"/>
    <n v="0"/>
    <n v="0"/>
    <m/>
    <n v="14"/>
    <x v="10"/>
    <x v="0"/>
    <n v="0"/>
    <n v="0"/>
  </r>
  <r>
    <x v="301"/>
    <n v="0.62592329545454528"/>
    <n v="2.7698863636361759E-3"/>
    <n v="52"/>
    <n v="13271.623349686415"/>
    <n v="58.730660460426115"/>
    <n v="0"/>
    <n v="0"/>
    <m/>
    <n v="15"/>
    <x v="10"/>
    <x v="0"/>
    <n v="0"/>
    <n v="0"/>
  </r>
  <r>
    <x v="302"/>
    <n v="0.62881155303030312"/>
    <n v="2.8882575757578355E-3"/>
    <n v="54"/>
    <n v="13332.863867431486"/>
    <n v="61.240517745069361"/>
    <n v="0"/>
    <n v="0"/>
    <m/>
    <n v="16"/>
    <x v="10"/>
    <x v="0"/>
    <n v="0"/>
    <n v="0"/>
  </r>
  <r>
    <x v="303"/>
    <n v="0.63169981060606062"/>
    <n v="2.8882575757575024E-3"/>
    <n v="54"/>
    <n v="13394.104385176548"/>
    <n v="61.240517745062299"/>
    <n v="0"/>
    <n v="0"/>
    <m/>
    <n v="17"/>
    <x v="10"/>
    <x v="0"/>
    <n v="0"/>
    <n v="0"/>
  </r>
  <r>
    <x v="304"/>
    <n v="0.63456439393939401"/>
    <n v="2.8645833333333925E-3"/>
    <n v="54"/>
    <n v="13454.842931464686"/>
    <n v="60.738546288138352"/>
    <n v="0"/>
    <n v="0"/>
    <m/>
    <n v="18"/>
    <x v="10"/>
    <x v="0"/>
    <n v="0"/>
    <n v="0"/>
  </r>
  <r>
    <x v="305"/>
    <n v="0.63750000000000007"/>
    <n v="2.9356060606060552E-3"/>
    <n v="52"/>
    <n v="13517.087392123603"/>
    <n v="62.244460658917241"/>
    <n v="0"/>
    <n v="0"/>
    <m/>
    <n v="19"/>
    <x v="10"/>
    <x v="0"/>
    <n v="0"/>
    <n v="0"/>
  </r>
  <r>
    <x v="306"/>
    <n v="0.64034090909090924"/>
    <n v="2.8409090909091717E-3"/>
    <n v="50"/>
    <n v="13577.323966954817"/>
    <n v="60.23657483121206"/>
    <n v="0"/>
    <n v="0"/>
    <m/>
    <n v="20"/>
    <x v="10"/>
    <x v="0"/>
    <n v="0"/>
    <n v="0"/>
  </r>
  <r>
    <x v="307"/>
    <n v="0.64306344696969697"/>
    <n v="2.7225378787877341E-3"/>
    <n v="51"/>
    <n v="13635.050684501388"/>
    <n v="57.726717546573518"/>
    <n v="0"/>
    <n v="0"/>
    <m/>
    <n v="21"/>
    <x v="10"/>
    <x v="0"/>
    <n v="0"/>
    <n v="0"/>
  </r>
  <r>
    <x v="308"/>
    <n v="0.64590435606060614"/>
    <n v="2.8409090909091717E-3"/>
    <n v="53"/>
    <n v="13695.287259332599"/>
    <n v="60.23657483121206"/>
    <n v="0"/>
    <n v="0"/>
    <m/>
    <n v="22"/>
    <x v="10"/>
    <x v="0"/>
    <n v="0"/>
    <n v="0"/>
  </r>
  <r>
    <x v="309"/>
    <n v="0.64879261363636365"/>
    <n v="2.8882575757575024E-3"/>
    <n v="54"/>
    <n v="13756.527777077665"/>
    <n v="61.240517745062299"/>
    <n v="0"/>
    <n v="0"/>
    <m/>
    <n v="23"/>
    <x v="10"/>
    <x v="0"/>
    <n v="0"/>
    <n v="0"/>
  </r>
  <r>
    <x v="310"/>
    <n v="0.65165719696969682"/>
    <n v="2.8645833333331705E-3"/>
    <n v="51"/>
    <n v="13817.266323365797"/>
    <n v="60.738546288133648"/>
    <n v="0"/>
    <n v="0"/>
    <m/>
    <n v="24"/>
    <x v="10"/>
    <x v="0"/>
    <n v="0"/>
    <n v="0"/>
  </r>
  <r>
    <x v="311"/>
    <n v="0.65435606060606044"/>
    <n v="2.6988636363636243E-3"/>
    <n v="48"/>
    <n v="13874.491069455446"/>
    <n v="57.224746089649571"/>
    <n v="0"/>
    <n v="0"/>
    <m/>
    <n v="25"/>
    <x v="10"/>
    <x v="0"/>
    <n v="0"/>
    <n v="0"/>
  </r>
  <r>
    <x v="312"/>
    <n v="0.65696022727272729"/>
    <n v="2.6041666666668517E-3"/>
    <n v="46"/>
    <n v="13929.707929717391"/>
    <n v="55.216860261946742"/>
    <n v="0"/>
    <n v="0"/>
    <m/>
    <n v="26"/>
    <x v="10"/>
    <x v="0"/>
    <n v="0"/>
    <n v="0"/>
  </r>
  <r>
    <x v="313"/>
    <n v="0.65951704545454559"/>
    <n v="2.5568181818182989E-3"/>
    <n v="45"/>
    <n v="13983.920847065485"/>
    <n v="54.212917348091793"/>
    <n v="0"/>
    <n v="0"/>
    <m/>
    <n v="27"/>
    <x v="10"/>
    <x v="0"/>
    <n v="0"/>
    <n v="0"/>
  </r>
  <r>
    <x v="314"/>
    <n v="0.66195549242424234"/>
    <n v="2.4384469696967503E-3"/>
    <n v="46"/>
    <n v="14035.623907128936"/>
    <n v="51.703060063450899"/>
    <n v="0"/>
    <n v="0"/>
    <m/>
    <n v="28"/>
    <x v="10"/>
    <x v="0"/>
    <n v="0"/>
    <n v="0"/>
  </r>
  <r>
    <x v="315"/>
    <n v="0.66455965909090897"/>
    <n v="2.6041666666666297E-3"/>
    <n v="49"/>
    <n v="14090.840767390877"/>
    <n v="55.216860261942031"/>
    <n v="0"/>
    <n v="0"/>
    <m/>
    <n v="29"/>
    <x v="10"/>
    <x v="0"/>
    <n v="0"/>
    <n v="0"/>
  </r>
  <r>
    <x v="316"/>
    <n v="0.66721117424242415"/>
    <n v="2.6515151515151825E-3"/>
    <n v="50"/>
    <n v="14147.061570566677"/>
    <n v="56.220803175796981"/>
    <n v="0"/>
    <n v="0"/>
    <m/>
    <n v="30"/>
    <x v="10"/>
    <x v="0"/>
    <n v="0"/>
    <n v="0"/>
  </r>
  <r>
    <x v="317"/>
    <n v="0.66981534090909089"/>
    <n v="2.6041666666667407E-3"/>
    <n v="46"/>
    <n v="14202.278430828619"/>
    <n v="55.21686026194439"/>
    <n v="0"/>
    <n v="0"/>
    <m/>
    <n v="31"/>
    <x v="10"/>
    <x v="0"/>
    <n v="0"/>
    <n v="0"/>
  </r>
  <r>
    <x v="318"/>
    <n v="0.67225378787878787"/>
    <n v="2.4384469696969724E-3"/>
    <n v="43"/>
    <n v="14253.981490892074"/>
    <n v="51.703060063455602"/>
    <n v="0"/>
    <n v="0"/>
    <m/>
    <n v="1"/>
    <x v="11"/>
    <x v="1"/>
    <n v="0"/>
    <n v="0"/>
  </r>
  <r>
    <x v="319"/>
    <n v="0.6746448863636364"/>
    <n v="2.3910984848485306E-3"/>
    <n v="42"/>
    <n v="14304.680608041675"/>
    <n v="50.699117149603005"/>
    <n v="0"/>
    <n v="0"/>
    <m/>
    <n v="2"/>
    <x v="11"/>
    <x v="1"/>
    <n v="0"/>
    <n v="0"/>
  </r>
  <r>
    <x v="320"/>
    <n v="0.67698863636363626"/>
    <n v="2.3437499999998668E-3"/>
    <n v="41"/>
    <n v="14354.375782277424"/>
    <n v="49.695174235745711"/>
    <n v="0"/>
    <n v="0"/>
    <m/>
    <n v="3"/>
    <x v="11"/>
    <x v="1"/>
    <n v="0"/>
    <n v="0"/>
  </r>
  <r>
    <x v="321"/>
    <n v="0.6791666666666667"/>
    <n v="2.1780303030304315E-3"/>
    <n v="41"/>
    <n v="14400.557156314688"/>
    <n v="46.181374037263993"/>
    <n v="0"/>
    <n v="0"/>
    <m/>
    <n v="4"/>
    <x v="11"/>
    <x v="1"/>
    <n v="0"/>
    <n v="0"/>
  </r>
  <r>
    <x v="322"/>
    <n v="0.68136837121212113"/>
    <n v="2.2017045454544304E-3"/>
    <n v="42"/>
    <n v="14447.240501808874"/>
    <n v="46.683345494185581"/>
    <n v="0"/>
    <n v="0"/>
    <m/>
    <n v="5"/>
    <x v="11"/>
    <x v="1"/>
    <n v="0"/>
    <n v="0"/>
  </r>
  <r>
    <x v="323"/>
    <n v="0.68359375000000011"/>
    <n v="2.2253787878789844E-3"/>
    <n v="43"/>
    <n v="14494.425818759992"/>
    <n v="47.185316951118935"/>
    <n v="0"/>
    <n v="0"/>
    <m/>
    <n v="6"/>
    <x v="11"/>
    <x v="1"/>
    <n v="0"/>
    <n v="0"/>
  </r>
  <r>
    <x v="324"/>
    <n v="0.68584280303030309"/>
    <n v="2.2490530303029832E-3"/>
    <n v="43"/>
    <n v="14542.113107168032"/>
    <n v="47.687288408040523"/>
    <n v="0"/>
    <n v="0"/>
    <m/>
    <n v="7"/>
    <x v="11"/>
    <x v="1"/>
    <n v="0"/>
    <n v="0"/>
  </r>
  <r>
    <x v="325"/>
    <n v="0.6882102272727274"/>
    <n v="2.3674242424243097E-3"/>
    <n v="45"/>
    <n v="14592.310252860709"/>
    <n v="50.197145692676713"/>
    <n v="0"/>
    <n v="0"/>
    <m/>
    <n v="8"/>
    <x v="11"/>
    <x v="1"/>
    <n v="0"/>
    <n v="0"/>
  </r>
  <r>
    <x v="326"/>
    <n v="0.69069602272727271"/>
    <n v="2.4857954545453032E-3"/>
    <n v="44"/>
    <n v="14645.017255838016"/>
    <n v="52.707002977305841"/>
    <n v="0"/>
    <n v="0"/>
    <m/>
    <n v="9"/>
    <x v="11"/>
    <x v="1"/>
    <n v="0"/>
    <n v="0"/>
  </r>
  <r>
    <x v="327"/>
    <n v="0.69313446969696968"/>
    <n v="2.4384469696969724E-3"/>
    <n v="43"/>
    <n v="14696.72031590147"/>
    <n v="51.703060063455602"/>
    <n v="0"/>
    <n v="0"/>
    <m/>
    <n v="10"/>
    <x v="11"/>
    <x v="1"/>
    <n v="0"/>
    <n v="0"/>
  </r>
  <r>
    <x v="328"/>
    <n v="0.69533617424242411"/>
    <n v="2.2017045454544304E-3"/>
    <n v="42"/>
    <n v="14743.403661395656"/>
    <n v="46.683345494185581"/>
    <n v="0"/>
    <n v="0"/>
    <m/>
    <n v="11"/>
    <x v="11"/>
    <x v="1"/>
    <n v="0"/>
    <n v="0"/>
  </r>
  <r>
    <x v="329"/>
    <n v="0.69756155303030287"/>
    <n v="2.2253787878787623E-3"/>
    <n v="43"/>
    <n v="14790.58897834677"/>
    <n v="47.185316951114231"/>
    <n v="0"/>
    <n v="0"/>
    <m/>
    <n v="12"/>
    <x v="11"/>
    <x v="1"/>
    <n v="0"/>
    <n v="0"/>
  </r>
  <r>
    <x v="330"/>
    <n v="0.69990530303030318"/>
    <n v="2.3437500000003109E-3"/>
    <n v="45"/>
    <n v="14840.284152582526"/>
    <n v="49.695174235755125"/>
    <n v="0"/>
    <n v="0"/>
    <m/>
    <n v="13"/>
    <x v="11"/>
    <x v="1"/>
    <n v="0"/>
    <n v="0"/>
  </r>
  <r>
    <x v="331"/>
    <n v="0.70234375000000016"/>
    <n v="2.4384469696969724E-3"/>
    <n v="46"/>
    <n v="14891.98721264598"/>
    <n v="51.703060063455602"/>
    <n v="0"/>
    <n v="0"/>
    <m/>
    <n v="14"/>
    <x v="11"/>
    <x v="1"/>
    <n v="0"/>
    <n v="0"/>
  </r>
  <r>
    <x v="332"/>
    <n v="0.70490056818181823"/>
    <n v="2.5568181818180769E-3"/>
    <n v="48"/>
    <n v="14946.200129994068"/>
    <n v="54.212917348087089"/>
    <n v="0"/>
    <n v="0"/>
    <m/>
    <n v="15"/>
    <x v="11"/>
    <x v="1"/>
    <n v="0"/>
    <n v="0"/>
  </r>
  <r>
    <x v="333"/>
    <n v="0.70757575757575752"/>
    <n v="2.6751893939392923E-3"/>
    <n v="47"/>
    <n v="15002.922904626788"/>
    <n v="56.72277463272092"/>
    <n v="0"/>
    <n v="0"/>
    <m/>
    <n v="16"/>
    <x v="11"/>
    <x v="1"/>
    <n v="0"/>
    <n v="0"/>
  </r>
  <r>
    <x v="334"/>
    <n v="0.71015624999999993"/>
    <n v="2.5804924242424088E-3"/>
    <n v="45"/>
    <n v="15057.637793431804"/>
    <n v="54.71488880501574"/>
    <n v="0"/>
    <n v="0"/>
    <m/>
    <n v="17"/>
    <x v="11"/>
    <x v="1"/>
    <n v="0"/>
    <n v="0"/>
  </r>
  <r>
    <x v="335"/>
    <n v="0.71257102272727268"/>
    <n v="2.4147727272727515E-3"/>
    <n v="45"/>
    <n v="15108.838882038332"/>
    <n v="51.201088606529311"/>
    <n v="0"/>
    <n v="0"/>
    <m/>
    <n v="18"/>
    <x v="11"/>
    <x v="1"/>
    <n v="0"/>
    <n v="0"/>
  </r>
  <r>
    <x v="336"/>
    <n v="0.71503314393939388"/>
    <n v="2.4621212121211933E-3"/>
    <n v="46"/>
    <n v="15161.043913558717"/>
    <n v="52.205031520381901"/>
    <n v="0"/>
    <n v="0"/>
    <m/>
    <n v="19"/>
    <x v="11"/>
    <x v="1"/>
    <n v="0"/>
    <n v="0"/>
  </r>
  <r>
    <x v="337"/>
    <n v="0.71754261363636374"/>
    <n v="2.5094696969698571E-3"/>
    <n v="47"/>
    <n v="15214.252887992956"/>
    <n v="53.208974434239202"/>
    <n v="0"/>
    <n v="0"/>
    <m/>
    <n v="20"/>
    <x v="11"/>
    <x v="1"/>
    <n v="0"/>
    <n v="0"/>
  </r>
  <r>
    <x v="338"/>
    <n v="0.72017045454545459"/>
    <n v="2.6278409090908506E-3"/>
    <n v="49"/>
    <n v="15269.971719711824"/>
    <n v="55.71883171886833"/>
    <n v="0"/>
    <n v="0"/>
    <m/>
    <n v="21"/>
    <x v="11"/>
    <x v="1"/>
    <n v="0"/>
    <n v="0"/>
  </r>
  <r>
    <x v="339"/>
    <n v="0.72291666666666665"/>
    <n v="2.746212121212066E-3"/>
    <n v="51"/>
    <n v="15328.200408715324"/>
    <n v="58.228689003502168"/>
    <n v="0"/>
    <n v="0"/>
    <m/>
    <n v="22"/>
    <x v="11"/>
    <x v="1"/>
    <n v="0"/>
    <n v="0"/>
  </r>
  <r>
    <x v="340"/>
    <n v="0.72575757575757593"/>
    <n v="2.8409090909092827E-3"/>
    <n v="49"/>
    <n v="15388.43698354654"/>
    <n v="60.236574831214419"/>
    <n v="0"/>
    <n v="0"/>
    <m/>
    <n v="23"/>
    <x v="11"/>
    <x v="1"/>
    <n v="0"/>
    <n v="0"/>
  </r>
  <r>
    <x v="341"/>
    <n v="0.72859848484848522"/>
    <n v="2.8409090909092827E-3"/>
    <n v="49"/>
    <n v="15448.673558377755"/>
    <n v="60.236574831214419"/>
    <n v="0"/>
    <n v="0"/>
    <m/>
    <n v="24"/>
    <x v="11"/>
    <x v="1"/>
    <n v="0"/>
    <n v="0"/>
  </r>
  <r>
    <x v="342"/>
    <n v="0.73136837121212084"/>
    <n v="2.7698863636356208E-3"/>
    <n v="51"/>
    <n v="15507.404218838168"/>
    <n v="58.730660460414335"/>
    <n v="0"/>
    <n v="0"/>
    <m/>
    <n v="25"/>
    <x v="11"/>
    <x v="1"/>
    <n v="0"/>
    <n v="0"/>
  </r>
  <r>
    <x v="343"/>
    <n v="0.73425662878787845"/>
    <n v="2.8882575757576134E-3"/>
    <n v="53"/>
    <n v="15568.644736583234"/>
    <n v="61.240517745064651"/>
    <n v="0"/>
    <n v="0"/>
    <m/>
    <n v="26"/>
    <x v="11"/>
    <x v="1"/>
    <n v="0"/>
    <n v="0"/>
  </r>
  <r>
    <x v="344"/>
    <n v="0.73716856060606051"/>
    <n v="2.9119318181820564E-3"/>
    <n v="54"/>
    <n v="15630.387225785227"/>
    <n v="61.742489201995653"/>
    <n v="0"/>
    <n v="0"/>
    <m/>
    <n v="27"/>
    <x v="11"/>
    <x v="1"/>
    <n v="0"/>
    <n v="0"/>
  </r>
  <r>
    <x v="345"/>
    <n v="0.74000946969696979"/>
    <n v="2.8409090909092827E-3"/>
    <n v="53"/>
    <n v="15690.623800616444"/>
    <n v="60.236574831214419"/>
    <n v="0"/>
    <n v="0"/>
    <m/>
    <n v="28"/>
    <x v="11"/>
    <x v="1"/>
    <n v="0"/>
    <n v="0"/>
  </r>
  <r>
    <x v="346"/>
    <n v="0.74292140151515185"/>
    <n v="2.9119318181820564E-3"/>
    <n v="54"/>
    <n v="15752.366289818439"/>
    <n v="61.742489201995653"/>
    <n v="0"/>
    <n v="0"/>
    <m/>
    <n v="29"/>
    <x v="11"/>
    <x v="1"/>
    <n v="0"/>
    <n v="0"/>
  </r>
  <r>
    <x v="347"/>
    <n v="0.74597537878787845"/>
    <n v="3.0539772727266046E-3"/>
    <n v="53"/>
    <n v="15817.120607761975"/>
    <n v="64.754317943536961"/>
    <n v="0"/>
    <n v="0"/>
    <m/>
    <n v="30"/>
    <x v="11"/>
    <x v="1"/>
    <n v="0"/>
    <n v="0"/>
  </r>
  <r>
    <x v="348"/>
    <n v="0.74902935606060594"/>
    <n v="3.0539772727274928E-3"/>
    <n v="53"/>
    <n v="15881.874925705531"/>
    <n v="64.75431794355579"/>
    <n v="0"/>
    <n v="0"/>
    <m/>
    <n v="31"/>
    <x v="11"/>
    <x v="1"/>
    <n v="0"/>
    <n v="0"/>
  </r>
  <r>
    <x v="349"/>
    <n v="0.752012310606061"/>
    <n v="2.9829545454550521E-3"/>
    <n v="55"/>
    <n v="15945.123329278314"/>
    <n v="63.248403572781605"/>
    <n v="0"/>
    <n v="0"/>
    <m/>
    <n v="1"/>
    <x v="0"/>
    <x v="1"/>
    <n v="0"/>
    <n v="0"/>
  </r>
  <r>
    <x v="350"/>
    <n v="0.75501893939393916"/>
    <n v="3.0066287878781628E-3"/>
    <n v="56"/>
    <n v="16008.873704307998"/>
    <n v="63.750375029684363"/>
    <n v="0"/>
    <n v="0"/>
    <m/>
    <n v="2"/>
    <x v="0"/>
    <x v="1"/>
    <n v="0"/>
    <n v="0"/>
  </r>
  <r>
    <x v="351"/>
    <n v="0.75804924242424221"/>
    <n v="3.0303030303030498E-3"/>
    <n v="57"/>
    <n v="16073.126050794624"/>
    <n v="64.252346486624788"/>
    <n v="0"/>
    <n v="0"/>
    <m/>
    <n v="3"/>
    <x v="0"/>
    <x v="1"/>
    <n v="0"/>
    <n v="0"/>
  </r>
  <r>
    <x v="352"/>
    <n v="0.76110321969696959"/>
    <n v="3.0539772727273817E-3"/>
    <n v="57"/>
    <n v="16137.880368738175"/>
    <n v="64.754317943553431"/>
    <n v="0"/>
    <n v="0"/>
    <m/>
    <n v="4"/>
    <x v="0"/>
    <x v="1"/>
    <n v="0"/>
    <n v="0"/>
  </r>
  <r>
    <x v="353"/>
    <n v="0.76418087121212142"/>
    <n v="3.0776515151518247E-3"/>
    <n v="57"/>
    <n v="16203.136658138659"/>
    <n v="65.256289400484434"/>
    <n v="0"/>
    <n v="0"/>
    <m/>
    <n v="5"/>
    <x v="0"/>
    <x v="1"/>
    <n v="0"/>
    <n v="0"/>
  </r>
  <r>
    <x v="354"/>
    <n v="0.76737689393939401"/>
    <n v="3.1960227272725961E-3"/>
    <n v="56"/>
    <n v="16270.902804823769"/>
    <n v="67.766146685108865"/>
    <n v="0"/>
    <n v="0"/>
    <m/>
    <n v="6"/>
    <x v="0"/>
    <x v="1"/>
    <n v="0"/>
    <n v="0"/>
  </r>
  <r>
    <x v="355"/>
    <n v="0.77052556818181828"/>
    <n v="3.1486742424242653E-3"/>
    <n v="55"/>
    <n v="16337.665008595028"/>
    <n v="66.762203771258612"/>
    <n v="0"/>
    <n v="0"/>
    <m/>
    <n v="7"/>
    <x v="0"/>
    <x v="1"/>
    <n v="0"/>
    <n v="0"/>
  </r>
  <r>
    <x v="356"/>
    <n v="0.77343750000000033"/>
    <n v="2.9119318181820564E-3"/>
    <n v="54"/>
    <n v="16399.407497797023"/>
    <n v="61.742489201995653"/>
    <n v="0"/>
    <n v="0"/>
    <m/>
    <n v="8"/>
    <x v="0"/>
    <x v="1"/>
    <n v="0"/>
    <n v="0"/>
  </r>
  <r>
    <x v="357"/>
    <n v="0.77637310606060561"/>
    <n v="2.9356060606052781E-3"/>
    <n v="55"/>
    <n v="16461.651958455925"/>
    <n v="62.244460658900763"/>
    <n v="0"/>
    <n v="0"/>
    <m/>
    <n v="9"/>
    <x v="0"/>
    <x v="1"/>
    <n v="0"/>
    <n v="0"/>
  </r>
  <r>
    <x v="358"/>
    <n v="0.7794270833333331"/>
    <n v="3.0539772727274928E-3"/>
    <n v="57"/>
    <n v="16526.406276399481"/>
    <n v="64.75431794355579"/>
    <n v="0"/>
    <n v="0"/>
    <m/>
    <n v="10"/>
    <x v="0"/>
    <x v="1"/>
    <n v="0"/>
    <n v="0"/>
  </r>
  <r>
    <x v="359"/>
    <n v="0.78250473484848482"/>
    <n v="3.0776515151517136E-3"/>
    <n v="57"/>
    <n v="16591.662565799961"/>
    <n v="65.256289400482089"/>
    <n v="0"/>
    <n v="0"/>
    <m/>
    <n v="11"/>
    <x v="0"/>
    <x v="1"/>
    <n v="0"/>
    <n v="0"/>
  </r>
  <r>
    <x v="360"/>
    <n v="0.78555871212121242"/>
    <n v="3.0539772727276038E-3"/>
    <n v="57"/>
    <n v="16656.416883743521"/>
    <n v="64.754317943558135"/>
    <n v="0"/>
    <n v="0"/>
    <m/>
    <n v="12"/>
    <x v="0"/>
    <x v="1"/>
    <n v="0"/>
    <n v="0"/>
  </r>
  <r>
    <x v="361"/>
    <n v="0.7887310606060608"/>
    <n v="3.1723484848483752E-3"/>
    <n v="56"/>
    <n v="16723.681058971702"/>
    <n v="67.264175228182566"/>
    <n v="0"/>
    <n v="0"/>
    <m/>
    <n v="13"/>
    <x v="0"/>
    <x v="1"/>
    <n v="0"/>
    <n v="0"/>
  </r>
  <r>
    <x v="362"/>
    <n v="0.79180871212121207"/>
    <n v="3.0776515151512696E-3"/>
    <n v="54"/>
    <n v="16788.937348372176"/>
    <n v="65.256289400472667"/>
    <n v="0"/>
    <n v="0"/>
    <m/>
    <n v="14"/>
    <x v="0"/>
    <x v="1"/>
    <n v="0"/>
    <n v="0"/>
  </r>
  <r>
    <x v="363"/>
    <n v="0.79464962121212135"/>
    <n v="2.8409090909092827E-3"/>
    <n v="53"/>
    <n v="16849.173923203391"/>
    <n v="60.236574831214419"/>
    <n v="0"/>
    <n v="0"/>
    <m/>
    <n v="15"/>
    <x v="0"/>
    <x v="1"/>
    <n v="0"/>
    <n v="0"/>
  </r>
  <r>
    <x v="364"/>
    <n v="0.79760890151515129"/>
    <n v="2.959280303029943E-3"/>
    <n v="55"/>
    <n v="16911.920355319227"/>
    <n v="62.746432115836477"/>
    <n v="0"/>
    <n v="0"/>
    <m/>
    <n v="16"/>
    <x v="0"/>
    <x v="1"/>
    <n v="0"/>
    <n v="0"/>
  </r>
  <r>
    <x v="365"/>
    <n v="0.80068655303030278"/>
    <n v="3.0776515151514916E-3"/>
    <n v="57"/>
    <n v="16977.176644719704"/>
    <n v="65.256289400477371"/>
    <n v="0"/>
    <n v="0"/>
    <m/>
    <n v="17"/>
    <x v="0"/>
    <x v="1"/>
    <n v="0"/>
    <n v="0"/>
  </r>
  <r>
    <x v="366"/>
    <n v="0.80374053030303039"/>
    <n v="3.0539772727276038E-3"/>
    <n v="57"/>
    <n v="17041.930962663264"/>
    <n v="64.754317943558135"/>
    <n v="0"/>
    <n v="0"/>
    <m/>
    <n v="18"/>
    <x v="0"/>
    <x v="1"/>
    <n v="0"/>
    <n v="0"/>
  </r>
  <r>
    <x v="367"/>
    <n v="0.80677083333333366"/>
    <n v="3.0303030303032719E-3"/>
    <n v="57"/>
    <n v="17106.183309149892"/>
    <n v="64.252346486629492"/>
    <n v="0"/>
    <n v="0"/>
    <m/>
    <n v="19"/>
    <x v="0"/>
    <x v="1"/>
    <n v="0"/>
    <n v="0"/>
  </r>
  <r>
    <x v="368"/>
    <n v="0.80989583333333326"/>
    <n v="3.1249999999996003E-3"/>
    <n v="55"/>
    <n v="17172.443541464214"/>
    <n v="66.260232314322906"/>
    <n v="0"/>
    <n v="0"/>
    <m/>
    <n v="20"/>
    <x v="0"/>
    <x v="1"/>
    <n v="0"/>
    <n v="0"/>
  </r>
  <r>
    <x v="369"/>
    <n v="0.81292613636363609"/>
    <n v="3.0303030303028278E-3"/>
    <n v="53"/>
    <n v="17236.695887950835"/>
    <n v="64.25234648662007"/>
    <n v="0"/>
    <n v="0"/>
    <m/>
    <n v="21"/>
    <x v="0"/>
    <x v="1"/>
    <n v="0"/>
    <n v="0"/>
  </r>
  <r>
    <x v="370"/>
    <n v="0.81583806818181837"/>
    <n v="2.9119318181822784E-3"/>
    <n v="54"/>
    <n v="17298.438377152834"/>
    <n v="61.742489202000371"/>
    <n v="0"/>
    <n v="0"/>
    <m/>
    <n v="22"/>
    <x v="0"/>
    <x v="1"/>
    <n v="0"/>
    <n v="0"/>
  </r>
  <r>
    <x v="371"/>
    <n v="0.81886837121212119"/>
    <n v="3.0303030303028278E-3"/>
    <n v="56"/>
    <n v="17362.690723639455"/>
    <n v="64.25234648662007"/>
    <n v="0"/>
    <n v="0"/>
    <m/>
    <n v="23"/>
    <x v="0"/>
    <x v="1"/>
    <n v="0"/>
    <n v="0"/>
  </r>
  <r>
    <x v="372"/>
    <n v="0.82192234848484835"/>
    <n v="3.0539772727271597E-3"/>
    <n v="57"/>
    <n v="17427.445041583003"/>
    <n v="64.754317943548727"/>
    <n v="0"/>
    <n v="0"/>
    <m/>
    <n v="24"/>
    <x v="0"/>
    <x v="1"/>
    <n v="0"/>
    <n v="0"/>
  </r>
  <r>
    <x v="373"/>
    <n v="0.82495265151515129"/>
    <n v="3.0303030303029388E-3"/>
    <n v="57"/>
    <n v="17491.697388069628"/>
    <n v="64.252346486622429"/>
    <n v="0"/>
    <n v="0"/>
    <m/>
    <n v="25"/>
    <x v="0"/>
    <x v="1"/>
    <n v="0"/>
    <n v="0"/>
  </r>
  <r>
    <x v="374"/>
    <n v="0.82800662878787901"/>
    <n v="3.0539772727277148E-3"/>
    <n v="57"/>
    <n v="17556.451706013188"/>
    <n v="64.754317943560494"/>
    <n v="0"/>
    <n v="0"/>
    <m/>
    <n v="26"/>
    <x v="0"/>
    <x v="1"/>
    <n v="0"/>
    <n v="0"/>
  </r>
  <r>
    <x v="375"/>
    <n v="0.83115530303030305"/>
    <n v="3.1486742424240433E-3"/>
    <n v="55"/>
    <n v="17623.213909784441"/>
    <n v="66.762203771253908"/>
    <n v="0"/>
    <n v="0"/>
    <m/>
    <n v="27"/>
    <x v="0"/>
    <x v="1"/>
    <n v="0"/>
    <n v="0"/>
  </r>
  <r>
    <x v="376"/>
    <n v="0.83425662878787865"/>
    <n v="3.1013257575756015E-3"/>
    <n v="54"/>
    <n v="17688.972170641842"/>
    <n v="65.758260857401325"/>
    <n v="0"/>
    <n v="0"/>
    <m/>
    <n v="28"/>
    <x v="0"/>
    <x v="1"/>
    <n v="0"/>
    <n v="0"/>
  </r>
  <r>
    <x v="377"/>
    <n v="0.83723958333333359"/>
    <n v="2.9829545454549411E-3"/>
    <n v="55"/>
    <n v="17752.220574214622"/>
    <n v="63.248403572779253"/>
    <n v="0"/>
    <n v="0"/>
    <m/>
    <n v="1"/>
    <x v="1"/>
    <x v="1"/>
    <n v="0"/>
    <n v="0"/>
  </r>
  <r>
    <x v="378"/>
    <n v="0.84024621212121209"/>
    <n v="3.0066287878784959E-3"/>
    <n v="56"/>
    <n v="17815.970949244314"/>
    <n v="63.750375029691426"/>
    <n v="0"/>
    <n v="0"/>
    <m/>
    <n v="2"/>
    <x v="1"/>
    <x v="1"/>
    <n v="0"/>
    <n v="0"/>
  </r>
  <r>
    <x v="379"/>
    <n v="0.84327651515151492"/>
    <n v="3.0303030303028278E-3"/>
    <n v="57"/>
    <n v="17880.223295730932"/>
    <n v="64.25234648662007"/>
    <n v="0"/>
    <n v="0"/>
    <m/>
    <n v="3"/>
    <x v="1"/>
    <x v="1"/>
    <n v="0"/>
    <n v="0"/>
  </r>
  <r>
    <x v="380"/>
    <n v="0.84633049242424219"/>
    <n v="3.0539772727272707E-3"/>
    <n v="57"/>
    <n v="17944.977613674484"/>
    <n v="64.754317943551087"/>
    <n v="0"/>
    <n v="0"/>
    <m/>
    <n v="4"/>
    <x v="1"/>
    <x v="1"/>
    <n v="0"/>
    <n v="0"/>
  </r>
  <r>
    <x v="381"/>
    <n v="0.84940814393939412"/>
    <n v="3.0776515151519357E-3"/>
    <n v="57"/>
    <n v="18010.233903074972"/>
    <n v="65.256289400486793"/>
    <n v="0"/>
    <n v="0"/>
    <m/>
    <n v="5"/>
    <x v="1"/>
    <x v="1"/>
    <n v="0"/>
    <n v="0"/>
  </r>
  <r>
    <x v="382"/>
    <n v="0.85260416666666683"/>
    <n v="3.1960227272727071E-3"/>
    <n v="56"/>
    <n v="18078.000049760081"/>
    <n v="67.76614668511121"/>
    <n v="0"/>
    <n v="0"/>
    <m/>
    <n v="6"/>
    <x v="1"/>
    <x v="1"/>
    <n v="0"/>
    <n v="0"/>
  </r>
  <r>
    <x v="383"/>
    <n v="0.85575284090909098"/>
    <n v="3.1486742424241543E-3"/>
    <n v="55"/>
    <n v="18144.762253531339"/>
    <n v="66.762203771256267"/>
    <n v="0"/>
    <n v="0"/>
    <m/>
    <n v="7"/>
    <x v="1"/>
    <x v="1"/>
    <n v="0"/>
    <n v="0"/>
  </r>
  <r>
    <x v="384"/>
    <n v="0.85866477272727293"/>
    <n v="2.9119318181819454E-3"/>
    <n v="54"/>
    <n v="18206.50474273333"/>
    <n v="61.742489201993301"/>
    <n v="0"/>
    <n v="0"/>
    <m/>
    <n v="8"/>
    <x v="1"/>
    <x v="1"/>
    <n v="0"/>
    <n v="0"/>
  </r>
  <r>
    <x v="385"/>
    <n v="0.86160037878787854"/>
    <n v="2.9356060606056111E-3"/>
    <n v="55"/>
    <n v="18268.749203392239"/>
    <n v="62.244460658907826"/>
    <n v="0"/>
    <n v="0"/>
    <m/>
    <n v="9"/>
    <x v="1"/>
    <x v="1"/>
    <n v="0"/>
    <n v="0"/>
  </r>
  <r>
    <x v="386"/>
    <n v="0.86465435606060581"/>
    <n v="3.0539772727272707E-3"/>
    <n v="57"/>
    <n v="18333.503521335791"/>
    <n v="64.754317943551087"/>
    <n v="0"/>
    <n v="0"/>
    <m/>
    <n v="10"/>
    <x v="1"/>
    <x v="1"/>
    <n v="0"/>
    <n v="0"/>
  </r>
  <r>
    <x v="387"/>
    <n v="0.86773200757575752"/>
    <n v="3.0776515151517136E-3"/>
    <n v="57"/>
    <n v="18398.759810736272"/>
    <n v="65.256289400482089"/>
    <n v="0"/>
    <n v="0"/>
    <m/>
    <n v="11"/>
    <x v="1"/>
    <x v="1"/>
    <n v="0"/>
    <n v="0"/>
  </r>
  <r>
    <x v="388"/>
    <n v="0.87078598484848513"/>
    <n v="3.0539772727276038E-3"/>
    <n v="57"/>
    <n v="18463.514128679832"/>
    <n v="64.754317943558135"/>
    <n v="0"/>
    <n v="0"/>
    <m/>
    <n v="12"/>
    <x v="1"/>
    <x v="1"/>
    <n v="0"/>
    <n v="0"/>
  </r>
  <r>
    <x v="389"/>
    <n v="0.8739583333333335"/>
    <n v="3.1723484848483752E-3"/>
    <n v="56"/>
    <n v="18530.778303908013"/>
    <n v="67.264175228182566"/>
    <n v="0"/>
    <n v="0"/>
    <m/>
    <n v="13"/>
    <x v="1"/>
    <x v="1"/>
    <n v="0"/>
    <n v="0"/>
  </r>
  <r>
    <x v="390"/>
    <n v="0.87703598484848477"/>
    <n v="3.0776515151512696E-3"/>
    <n v="54"/>
    <n v="18596.034593308486"/>
    <n v="65.256289400472667"/>
    <n v="0"/>
    <n v="0"/>
    <m/>
    <n v="14"/>
    <x v="1"/>
    <x v="1"/>
    <n v="0"/>
    <n v="0"/>
  </r>
  <r>
    <x v="391"/>
    <n v="0.87987689393939406"/>
    <n v="2.8409090909092827E-3"/>
    <n v="53"/>
    <n v="18656.271168139701"/>
    <n v="60.236574831214419"/>
    <n v="0"/>
    <n v="0"/>
    <m/>
    <n v="15"/>
    <x v="1"/>
    <x v="1"/>
    <n v="0"/>
    <n v="0"/>
  </r>
  <r>
    <x v="392"/>
    <n v="0.88283617424242411"/>
    <n v="2.9592803030300541E-3"/>
    <n v="55"/>
    <n v="18719.017600255534"/>
    <n v="62.746432115838829"/>
    <n v="0"/>
    <n v="0"/>
    <m/>
    <n v="16"/>
    <x v="1"/>
    <x v="1"/>
    <n v="0"/>
    <n v="0"/>
  </r>
  <r>
    <x v="393"/>
    <n v="0.88591382575757549"/>
    <n v="3.0776515151513806E-3"/>
    <n v="57"/>
    <n v="18784.273889656015"/>
    <n v="65.256289400475026"/>
    <n v="0"/>
    <n v="0"/>
    <m/>
    <n v="17"/>
    <x v="1"/>
    <x v="1"/>
    <n v="0"/>
    <n v="0"/>
  </r>
  <r>
    <x v="394"/>
    <n v="0.88896780303030309"/>
    <n v="3.0539772727276038E-3"/>
    <n v="57"/>
    <n v="18849.028207599571"/>
    <n v="64.754317943558135"/>
    <n v="0"/>
    <n v="0"/>
    <m/>
    <n v="18"/>
    <x v="1"/>
    <x v="1"/>
    <n v="0"/>
    <n v="0"/>
  </r>
  <r>
    <x v="395"/>
    <n v="0.89199810606060648"/>
    <n v="3.0303030303033829E-3"/>
    <n v="57"/>
    <n v="18913.280554086203"/>
    <n v="64.252346486631851"/>
    <n v="0"/>
    <n v="0"/>
    <m/>
    <n v="19"/>
    <x v="1"/>
    <x v="1"/>
    <n v="0"/>
    <n v="0"/>
  </r>
  <r>
    <x v="396"/>
    <n v="0.89512310606060597"/>
    <n v="3.1249999999994893E-3"/>
    <n v="55"/>
    <n v="18979.540786400525"/>
    <n v="66.260232314320547"/>
    <n v="0"/>
    <n v="0"/>
    <m/>
    <n v="20"/>
    <x v="1"/>
    <x v="1"/>
    <n v="0"/>
    <n v="0"/>
  </r>
  <r>
    <x v="397"/>
    <n v="0.89815340909090891"/>
    <n v="3.0303030303029388E-3"/>
    <n v="53"/>
    <n v="19043.793132887145"/>
    <n v="64.252346486622429"/>
    <n v="0"/>
    <n v="0"/>
    <m/>
    <n v="21"/>
    <x v="1"/>
    <x v="1"/>
    <n v="0"/>
    <n v="0"/>
  </r>
  <r>
    <x v="398"/>
    <n v="0.90106534090909107"/>
    <n v="2.9119318181821674E-3"/>
    <n v="54"/>
    <n v="19105.535622089144"/>
    <n v="61.742489201998019"/>
    <n v="0"/>
    <n v="0"/>
    <m/>
    <n v="22"/>
    <x v="1"/>
    <x v="1"/>
    <n v="0"/>
    <n v="0"/>
  </r>
  <r>
    <x v="399"/>
    <n v="0.90409564393939401"/>
    <n v="3.0303030303029388E-3"/>
    <n v="56"/>
    <n v="19169.787968575769"/>
    <n v="64.252346486622429"/>
    <n v="0"/>
    <n v="0"/>
    <m/>
    <n v="23"/>
    <x v="1"/>
    <x v="1"/>
    <n v="0"/>
    <n v="0"/>
  </r>
  <r>
    <x v="400"/>
    <n v="0.90714962121212106"/>
    <n v="3.0539772727270487E-3"/>
    <n v="57"/>
    <n v="19234.54228651931"/>
    <n v="64.754317943546368"/>
    <n v="0"/>
    <n v="0"/>
    <m/>
    <n v="24"/>
    <x v="1"/>
    <x v="1"/>
    <n v="0"/>
    <n v="0"/>
  </r>
  <r>
    <x v="401"/>
    <n v="0.91017992424242411"/>
    <n v="3.0303030303030498E-3"/>
    <n v="57"/>
    <n v="19298.794633005939"/>
    <n v="64.252346486624788"/>
    <n v="0"/>
    <n v="0"/>
    <m/>
    <n v="25"/>
    <x v="1"/>
    <x v="1"/>
    <n v="0"/>
    <n v="0"/>
  </r>
  <r>
    <x v="402"/>
    <n v="0.91323390151515182"/>
    <n v="3.0539772727277148E-3"/>
    <n v="57"/>
    <n v="19363.548950949495"/>
    <n v="64.754317943560494"/>
    <n v="0"/>
    <n v="0"/>
    <m/>
    <n v="26"/>
    <x v="1"/>
    <x v="1"/>
    <n v="0"/>
    <n v="0"/>
  </r>
  <r>
    <x v="403"/>
    <n v="0.91638257575757576"/>
    <n v="3.1486742424239322E-3"/>
    <n v="55"/>
    <n v="19430.311154720752"/>
    <n v="66.762203771251563"/>
    <n v="0"/>
    <n v="0"/>
    <m/>
    <n v="27"/>
    <x v="1"/>
    <x v="1"/>
    <n v="0"/>
    <n v="0"/>
  </r>
  <r>
    <x v="404"/>
    <n v="0.91948390151515147"/>
    <n v="3.1013257575757125E-3"/>
    <n v="54"/>
    <n v="19496.069415578153"/>
    <n v="65.75826085740367"/>
    <n v="0"/>
    <n v="0"/>
    <m/>
    <n v="28"/>
    <x v="1"/>
    <x v="1"/>
    <n v="0"/>
    <n v="0"/>
  </r>
  <r>
    <x v="405"/>
    <n v="0.9224668560606063"/>
    <n v="2.9829545454548301E-3"/>
    <n v="55"/>
    <n v="19559.317819150932"/>
    <n v="63.248403572776901"/>
    <n v="0"/>
    <n v="0"/>
    <m/>
    <n v="29"/>
    <x v="1"/>
    <x v="1"/>
    <n v="0"/>
    <n v="0"/>
  </r>
  <r>
    <x v="406"/>
    <n v="0.9254734848484848"/>
    <n v="3.0066287878784959E-3"/>
    <n v="56"/>
    <n v="19623.068194180625"/>
    <n v="63.750375029691426"/>
    <n v="0"/>
    <n v="0"/>
    <m/>
    <n v="30"/>
    <x v="1"/>
    <x v="1"/>
    <n v="0"/>
    <n v="0"/>
  </r>
  <r>
    <x v="407"/>
    <n v="0.92850378787878762"/>
    <n v="3.0303030303028278E-3"/>
    <n v="57"/>
    <n v="19687.320540667239"/>
    <n v="64.25234648662007"/>
    <n v="0"/>
    <n v="0"/>
    <m/>
    <n v="31"/>
    <x v="1"/>
    <x v="1"/>
    <n v="0"/>
    <n v="0"/>
  </r>
  <r>
    <x v="408"/>
    <n v="0.93155776515151489"/>
    <n v="3.0539772727272707E-3"/>
    <n v="57"/>
    <n v="19752.074858610795"/>
    <n v="64.754317943551087"/>
    <n v="0"/>
    <n v="0"/>
    <m/>
    <n v="1"/>
    <x v="2"/>
    <x v="1"/>
    <n v="0"/>
    <n v="0"/>
  </r>
  <r>
    <x v="409"/>
    <n v="0.93463541666666683"/>
    <n v="3.0776515151519357E-3"/>
    <n v="57"/>
    <n v="19817.331148011279"/>
    <n v="65.256289400486793"/>
    <n v="0"/>
    <n v="0"/>
    <m/>
    <n v="2"/>
    <x v="2"/>
    <x v="1"/>
    <n v="0"/>
    <n v="0"/>
  </r>
  <r>
    <x v="410"/>
    <n v="0.93783143939393954"/>
    <n v="3.1960227272727071E-3"/>
    <n v="56"/>
    <n v="19885.097294696392"/>
    <n v="67.76614668511121"/>
    <n v="0"/>
    <n v="0"/>
    <m/>
    <n v="3"/>
    <x v="2"/>
    <x v="1"/>
    <n v="0"/>
    <n v="0"/>
  </r>
  <r>
    <x v="411"/>
    <n v="0.94098011363636369"/>
    <n v="3.1486742424241543E-3"/>
    <n v="55"/>
    <n v="19951.859498467649"/>
    <n v="66.762203771256267"/>
    <n v="0"/>
    <n v="0"/>
    <m/>
    <n v="4"/>
    <x v="2"/>
    <x v="1"/>
    <n v="0"/>
    <n v="0"/>
  </r>
  <r>
    <x v="412"/>
    <n v="0.94389204545454564"/>
    <n v="2.9119318181819454E-3"/>
    <n v="54"/>
    <n v="20013.601987669641"/>
    <n v="61.742489201993301"/>
    <n v="0"/>
    <n v="0"/>
    <m/>
    <n v="5"/>
    <x v="2"/>
    <x v="1"/>
    <n v="0"/>
    <n v="0"/>
  </r>
  <r>
    <x v="413"/>
    <n v="0.94682765151515125"/>
    <n v="2.9356060606056111E-3"/>
    <n v="55"/>
    <n v="20075.84644832855"/>
    <n v="62.244460658907826"/>
    <n v="0"/>
    <n v="0"/>
    <m/>
    <n v="6"/>
    <x v="2"/>
    <x v="1"/>
    <n v="0"/>
    <n v="0"/>
  </r>
  <r>
    <x v="414"/>
    <n v="0.94988162878787852"/>
    <n v="3.0539772727272707E-3"/>
    <n v="57"/>
    <n v="20140.600766272099"/>
    <n v="64.754317943551087"/>
    <n v="0"/>
    <n v="0"/>
    <m/>
    <n v="7"/>
    <x v="2"/>
    <x v="1"/>
    <n v="0"/>
    <n v="0"/>
  </r>
  <r>
    <x v="415"/>
    <n v="0.95295928030303034"/>
    <n v="3.0776515151518247E-3"/>
    <n v="57"/>
    <n v="20205.857055672583"/>
    <n v="65.256289400484434"/>
    <n v="0"/>
    <n v="0"/>
    <m/>
    <n v="8"/>
    <x v="2"/>
    <x v="1"/>
    <n v="0"/>
    <n v="0"/>
  </r>
  <r>
    <x v="416"/>
    <n v="0.95601325757575784"/>
    <n v="3.0539772727274928E-3"/>
    <n v="57"/>
    <n v="20270.611373616142"/>
    <n v="64.75431794355579"/>
    <n v="0"/>
    <n v="0"/>
    <m/>
    <n v="9"/>
    <x v="2"/>
    <x v="1"/>
    <n v="0"/>
    <n v="0"/>
  </r>
  <r>
    <x v="417"/>
    <n v="0.95918560606060621"/>
    <n v="3.1723484848483752E-3"/>
    <n v="56"/>
    <n v="20337.875548844324"/>
    <n v="67.264175228182566"/>
    <n v="0"/>
    <n v="0"/>
    <m/>
    <n v="10"/>
    <x v="2"/>
    <x v="1"/>
    <n v="0"/>
    <n v="0"/>
  </r>
  <r>
    <x v="418"/>
    <n v="0.96226325757575748"/>
    <n v="3.0776515151512696E-3"/>
    <n v="54"/>
    <n v="20403.131838244797"/>
    <n v="65.256289400472667"/>
    <n v="0"/>
    <n v="0"/>
    <m/>
    <n v="11"/>
    <x v="2"/>
    <x v="1"/>
    <n v="0"/>
    <n v="0"/>
  </r>
  <r>
    <x v="419"/>
    <n v="0.96510416666666676"/>
    <n v="2.8409090909092827E-3"/>
    <n v="51"/>
    <n v="20463.368413076008"/>
    <n v="60.236574831214419"/>
    <n v="0"/>
    <n v="0"/>
    <m/>
    <n v="12"/>
    <x v="2"/>
    <x v="1"/>
    <n v="0"/>
    <n v="0"/>
  </r>
  <r>
    <x v="420"/>
    <n v="0.96794507575757571"/>
    <n v="2.8409090909089496E-3"/>
    <n v="50"/>
    <n v="20523.604987907216"/>
    <n v="60.236574831207349"/>
    <n v="0"/>
    <n v="0"/>
    <m/>
    <n v="13"/>
    <x v="2"/>
    <x v="1"/>
    <n v="0"/>
    <n v="0"/>
  </r>
  <r>
    <x v="421"/>
    <n v="0.970714962121212"/>
    <n v="2.7698863636362869E-3"/>
    <n v="49"/>
    <n v="20582.335648367647"/>
    <n v="58.73066046042846"/>
    <n v="0"/>
    <n v="0"/>
    <m/>
    <n v="14"/>
    <x v="2"/>
    <x v="1"/>
    <n v="0"/>
    <n v="0"/>
  </r>
  <r>
    <x v="422"/>
    <n v="0.97329545454545463"/>
    <n v="2.5804924242426308E-3"/>
    <n v="46"/>
    <n v="20637.050537172665"/>
    <n v="54.714888805020443"/>
    <n v="0"/>
    <n v="0"/>
    <m/>
    <n v="15"/>
    <x v="2"/>
    <x v="1"/>
    <n v="0"/>
    <n v="0"/>
  </r>
  <r>
    <x v="423"/>
    <n v="0.97568655303030338"/>
    <n v="2.3910984848487526E-3"/>
    <n v="43"/>
    <n v="20687.749654322273"/>
    <n v="50.699117149607723"/>
    <n v="0"/>
    <n v="0"/>
    <m/>
    <n v="16"/>
    <x v="2"/>
    <x v="1"/>
    <n v="0"/>
    <n v="0"/>
  </r>
  <r>
    <x v="424"/>
    <n v="0.97798295454545436"/>
    <n v="2.2964015151509809E-3"/>
    <n v="41"/>
    <n v="20736.440885644159"/>
    <n v="48.691231321883706"/>
    <n v="0"/>
    <n v="0"/>
    <m/>
    <n v="17"/>
    <x v="2"/>
    <x v="1"/>
    <n v="0"/>
    <n v="0"/>
  </r>
  <r>
    <x v="425"/>
    <n v="0.98018465909090868"/>
    <n v="2.2017045454543194E-3"/>
    <n v="39"/>
    <n v="20783.124231138339"/>
    <n v="46.683345494183222"/>
    <n v="0"/>
    <n v="0"/>
    <m/>
    <n v="18"/>
    <x v="2"/>
    <x v="1"/>
    <n v="0"/>
    <n v="0"/>
  </r>
  <r>
    <x v="426"/>
    <n v="0.98226799242424268"/>
    <n v="2.0833333333339921E-3"/>
    <n v="37"/>
    <n v="20827.297719347909"/>
    <n v="44.17348820956822"/>
    <n v="0"/>
    <n v="0"/>
    <m/>
    <n v="19"/>
    <x v="2"/>
    <x v="1"/>
    <n v="0"/>
    <n v="0"/>
  </r>
  <r>
    <x v="427"/>
    <n v="0.98428030303030312"/>
    <n v="2.0123106060604412E-3"/>
    <n v="36"/>
    <n v="20869.96529318668"/>
    <n v="42.667573838770501"/>
    <n v="0"/>
    <n v="0"/>
    <m/>
    <n v="20"/>
    <x v="2"/>
    <x v="1"/>
    <n v="0"/>
    <n v="0"/>
  </r>
  <r>
    <x v="428"/>
    <n v="0.98615056818181801"/>
    <n v="1.8702651515148938E-3"/>
    <n v="34"/>
    <n v="20909.621038283887"/>
    <n v="39.655745097208019"/>
    <n v="0"/>
    <n v="0"/>
    <m/>
    <n v="21"/>
    <x v="2"/>
    <x v="1"/>
    <n v="0"/>
    <n v="0"/>
  </r>
  <r>
    <x v="429"/>
    <n v="0.98783143939393914"/>
    <n v="1.6808712121211267E-3"/>
    <n v="31"/>
    <n v="20945.261011725685"/>
    <n v="35.639973441797643"/>
    <n v="0"/>
    <n v="0"/>
    <m/>
    <n v="22"/>
    <x v="2"/>
    <x v="1"/>
    <n v="0"/>
    <n v="0"/>
  </r>
  <r>
    <x v="430"/>
    <n v="0.98934659090909105"/>
    <n v="1.5151515151519135E-3"/>
    <n v="28"/>
    <n v="20977.387184969008"/>
    <n v="32.126173243320629"/>
    <n v="0"/>
    <n v="0"/>
    <m/>
    <n v="23"/>
    <x v="2"/>
    <x v="1"/>
    <n v="0"/>
    <n v="0"/>
  </r>
  <r>
    <x v="431"/>
    <n v="0.99076704545454564"/>
    <n v="1.4204545454545858E-3"/>
    <n v="26"/>
    <n v="21007.505472384611"/>
    <n v="30.11828741560603"/>
    <n v="0"/>
    <n v="0"/>
    <m/>
    <n v="24"/>
    <x v="2"/>
    <x v="1"/>
    <n v="0"/>
    <n v="0"/>
  </r>
  <r>
    <x v="432"/>
    <n v="0.99214015151515145"/>
    <n v="1.373106060605811E-3"/>
    <n v="25"/>
    <n v="21036.619816886359"/>
    <n v="29.114344501746373"/>
    <n v="0"/>
    <n v="0"/>
    <m/>
    <n v="25"/>
    <x v="2"/>
    <x v="1"/>
    <n v="0"/>
    <n v="0"/>
  </r>
  <r>
    <x v="433"/>
    <n v="0.9933948863636366"/>
    <n v="1.2547348484851506E-3"/>
    <n v="23"/>
    <n v="21063.224304103482"/>
    <n v="26.604487217124309"/>
    <n v="0"/>
    <n v="0"/>
    <m/>
    <n v="26"/>
    <x v="2"/>
    <x v="1"/>
    <n v="0"/>
    <n v="0"/>
  </r>
  <r>
    <x v="434"/>
    <n v="0.99450757575757587"/>
    <n v="1.1126893939392701E-3"/>
    <n v="21"/>
    <n v="21086.816962579036"/>
    <n v="23.59265847555476"/>
    <n v="0"/>
    <n v="0"/>
    <m/>
    <n v="27"/>
    <x v="2"/>
    <x v="1"/>
    <n v="0"/>
    <n v="0"/>
  </r>
  <r>
    <x v="435"/>
    <n v="0.99547821969696959"/>
    <n v="9.7064393939372273E-4"/>
    <n v="19"/>
    <n v="21107.39779231303"/>
    <n v="20.580829733992275"/>
    <n v="0"/>
    <n v="0"/>
    <m/>
    <n v="28"/>
    <x v="2"/>
    <x v="1"/>
    <n v="0"/>
    <n v="0"/>
  </r>
  <r>
    <x v="436"/>
    <n v="0.99628314393939377"/>
    <n v="8.0492424242417648E-4"/>
    <n v="16"/>
    <n v="21124.464821848534"/>
    <n v="17.067029535508201"/>
    <n v="0"/>
    <n v="0"/>
    <m/>
    <n v="29"/>
    <x v="2"/>
    <x v="1"/>
    <n v="0"/>
    <n v="0"/>
  </r>
  <r>
    <x v="437"/>
    <n v="0.99692234848484851"/>
    <n v="6.3920454545474126E-4"/>
    <n v="13"/>
    <n v="21138.018051185565"/>
    <n v="13.55322933702648"/>
    <n v="0"/>
    <n v="0"/>
    <m/>
    <n v="30"/>
    <x v="2"/>
    <x v="1"/>
    <n v="0"/>
    <n v="0"/>
  </r>
  <r>
    <x v="438"/>
    <n v="0.9975142045454547"/>
    <n v="5.9185606060618845E-4"/>
    <n v="12"/>
    <n v="21150.567337608736"/>
    <n v="12.549286423171534"/>
    <n v="0"/>
    <n v="0"/>
    <m/>
    <n v="1"/>
    <x v="3"/>
    <x v="1"/>
    <n v="0"/>
    <n v="0"/>
  </r>
  <r>
    <x v="439"/>
    <n v="0.998058712121212"/>
    <n v="5.4450757575730258E-4"/>
    <n v="11"/>
    <n v="21162.112681118044"/>
    <n v="11.545343509309523"/>
    <n v="0"/>
    <n v="0"/>
    <m/>
    <n v="2"/>
    <x v="3"/>
    <x v="1"/>
    <n v="0"/>
    <n v="0"/>
  </r>
  <r>
    <x v="440"/>
    <n v="0.99843749999999976"/>
    <n v="3.7878787878775633E-4"/>
    <n v="8"/>
    <n v="21170.14422442887"/>
    <n v="8.0315433108254499"/>
    <n v="0"/>
    <n v="0"/>
    <m/>
    <n v="3"/>
    <x v="3"/>
    <x v="1"/>
    <n v="0"/>
    <n v="0"/>
  </r>
  <r>
    <x v="441"/>
    <n v="0.99881628787878796"/>
    <n v="3.7878787878820042E-4"/>
    <n v="8"/>
    <n v="21178.175767739707"/>
    <n v="8.0315433108348664"/>
    <n v="0"/>
    <n v="0"/>
    <m/>
    <n v="4"/>
    <x v="3"/>
    <x v="1"/>
    <n v="0"/>
    <n v="0"/>
  </r>
  <r>
    <x v="442"/>
    <n v="0.99919507575757571"/>
    <n v="3.7878787878775633E-4"/>
    <n v="8"/>
    <n v="21186.20731105053"/>
    <n v="8.0315433108254499"/>
    <n v="0"/>
    <n v="0"/>
    <m/>
    <n v="5"/>
    <x v="3"/>
    <x v="1"/>
    <n v="0"/>
    <n v="0"/>
  </r>
  <r>
    <x v="443"/>
    <n v="0.99947916666666647"/>
    <n v="2.8409090909076173E-4"/>
    <n v="6"/>
    <n v="21192.230968533648"/>
    <n v="6.0236574831179102"/>
    <n v="0"/>
    <n v="0"/>
    <m/>
    <n v="6"/>
    <x v="3"/>
    <x v="1"/>
    <n v="0"/>
    <n v="0"/>
  </r>
  <r>
    <x v="444"/>
    <n v="0.99971590909090902"/>
    <n v="2.3674242424254199E-4"/>
    <n v="5"/>
    <n v="21197.25068310292"/>
    <n v="5.0197145692700254"/>
    <n v="0"/>
    <n v="0"/>
    <m/>
    <n v="7"/>
    <x v="3"/>
    <x v="1"/>
    <n v="0"/>
    <n v="0"/>
  </r>
  <r>
    <x v="445"/>
    <n v="0.99990530303030312"/>
    <n v="1.8939393939410021E-4"/>
    <n v="4"/>
    <n v="21201.266454758337"/>
    <n v="4.0157716554174332"/>
    <n v="0"/>
    <n v="0"/>
    <m/>
    <n v="8"/>
    <x v="3"/>
    <x v="1"/>
    <n v="0"/>
    <n v="0"/>
  </r>
  <r>
    <x v="446"/>
    <n v="1"/>
    <n v="9.4696969696883571E-5"/>
    <n v="2"/>
    <n v="21203.274340586038"/>
    <n v="2.0078858277051852"/>
    <n v="0"/>
    <n v="0"/>
    <m/>
    <n v="9"/>
    <x v="3"/>
    <x v="1"/>
    <n v="0"/>
    <n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20">
  <r>
    <d v="2025-10-14T00:00:00"/>
    <x v="0"/>
    <s v="PILOTO"/>
    <n v="10"/>
    <s v="VENTA DIRECTA"/>
    <n v="304101"/>
    <x v="0"/>
    <s v="PL"/>
    <n v="10"/>
    <m/>
    <n v="10"/>
    <n v="10686.3"/>
    <n v="106863"/>
    <n v="106863"/>
    <n v="9657.5879999999997"/>
    <n v="-1028.712"/>
    <n v="-10287.120500000001"/>
    <n v="-0.10651852774480756"/>
    <m/>
    <n v="295517"/>
    <n v="1420957"/>
    <n v="5284"/>
    <n v="6579000000"/>
    <n v="96575.879500000039"/>
    <n v="10010"/>
    <n v="0.10651852201605613"/>
    <n v="96575.88"/>
    <x v="0"/>
    <n v="10"/>
    <x v="0"/>
  </r>
  <r>
    <d v="2025-10-14T00:00:00"/>
    <x v="0"/>
    <s v="PILOTO"/>
    <n v="10"/>
    <s v="VENTA DIRECTA"/>
    <n v="701040"/>
    <x v="1"/>
    <s v="PL"/>
    <n v="20"/>
    <m/>
    <n v="20"/>
    <n v="7729.1"/>
    <n v="154582"/>
    <n v="154582"/>
    <n v="7835.7259999999997"/>
    <n v="106.626"/>
    <n v="2132.5191"/>
    <n v="1.3607667576169729E-2"/>
    <m/>
    <n v="295517"/>
    <m/>
    <n v="5284"/>
    <n v="6579000000"/>
    <n v="156714.51907999994"/>
    <n v="10010"/>
    <n v="-1.3607673366832799E-2"/>
    <n v="156714.51999999999"/>
    <x v="1"/>
    <n v="20"/>
    <x v="1"/>
  </r>
  <r>
    <d v="2025-10-14T00:00:00"/>
    <x v="0"/>
    <s v="PILOTO"/>
    <n v="10"/>
    <s v="VENTA DIRECTA"/>
    <n v="302044"/>
    <x v="2"/>
    <s v="PZA"/>
    <n v="31"/>
    <m/>
    <n v="31"/>
    <n v="13934.3871"/>
    <n v="431966"/>
    <n v="431966"/>
    <n v="13725.9625"/>
    <n v="-208.4246"/>
    <n v="-6461.1614"/>
    <n v="-1.5184695591140752E-2"/>
    <m/>
    <n v="295517"/>
    <m/>
    <n v="5284"/>
    <n v="6579000000"/>
    <n v="425504.83855400002"/>
    <n v="10010"/>
    <n v="1.5184698340826757E-2"/>
    <n v="425504.83749999997"/>
    <x v="0"/>
    <n v="31"/>
    <x v="2"/>
  </r>
  <r>
    <d v="2025-10-14T00:00:00"/>
    <x v="0"/>
    <s v="PILOTO"/>
    <n v="10"/>
    <s v="VENTA DIRECTA"/>
    <s v="030253X"/>
    <x v="3"/>
    <s v="PZA"/>
    <n v="6"/>
    <m/>
    <n v="6"/>
    <n v="15392.6667"/>
    <n v="92356"/>
    <n v="92356"/>
    <n v="15359.702799999999"/>
    <n v="-32.963900000000002"/>
    <n v="-197.7833"/>
    <n v="-2.1461275734355246E-3"/>
    <m/>
    <n v="295517"/>
    <m/>
    <n v="5284"/>
    <n v="6579000000"/>
    <n v="92158.216710000022"/>
    <n v="10010"/>
    <n v="2.1461287649394267E-3"/>
    <n v="92158.216799999995"/>
    <x v="0"/>
    <n v="6"/>
    <x v="3"/>
  </r>
  <r>
    <d v="2025-10-14T00:00:00"/>
    <x v="0"/>
    <s v="PILOTO"/>
    <n v="10"/>
    <s v="VENTA DIRECTA"/>
    <n v="304014"/>
    <x v="4"/>
    <s v="PL"/>
    <n v="22"/>
    <m/>
    <n v="22"/>
    <n v="20860.272700000001"/>
    <n v="458926"/>
    <n v="458926"/>
    <n v="20894.5723"/>
    <n v="34.299599999999998"/>
    <n v="754.59029999999996"/>
    <n v="1.6415534742433445E-3"/>
    <m/>
    <n v="295517"/>
    <m/>
    <n v="5284"/>
    <n v="6579000000"/>
    <n v="459680.59026999999"/>
    <n v="10010"/>
    <n v="-1.6415554962088629E-3"/>
    <n v="459680.5906"/>
    <x v="1"/>
    <n v="22"/>
    <x v="4"/>
  </r>
  <r>
    <d v="2025-10-14T00:00:00"/>
    <x v="0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5517"/>
    <m/>
    <n v="5284"/>
    <n v="6579000000"/>
    <n v="21212.999999999996"/>
    <n v="10010"/>
    <n v="0"/>
    <n v="21213"/>
    <x v="1"/>
    <n v="1"/>
    <x v="5"/>
  </r>
  <r>
    <d v="2025-10-14T00:00:00"/>
    <x v="0"/>
    <s v="PILOTO"/>
    <n v="10"/>
    <s v="VENTA DIRECTA"/>
    <n v="1901008"/>
    <x v="6"/>
    <s v="M2"/>
    <n v="67"/>
    <m/>
    <n v="67"/>
    <n v="2031.3581999999999"/>
    <n v="136101"/>
    <n v="136101"/>
    <n v="2112.7957999999999"/>
    <n v="81.437600000000003"/>
    <n v="5456.3172000000004"/>
    <n v="3.8544932195633694E-2"/>
    <m/>
    <n v="295517"/>
    <m/>
    <n v="5284"/>
    <n v="6579000000"/>
    <n v="141557.317193"/>
    <n v="10010"/>
    <n v="-3.8544945990521176E-2"/>
    <n v="141557.3186"/>
    <x v="0"/>
    <n v="67"/>
    <x v="6"/>
  </r>
  <r>
    <d v="2025-10-14T00:00:00"/>
    <x v="0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5517"/>
    <m/>
    <n v="5284"/>
    <n v="6579000000"/>
    <n v="18950"/>
    <n v="10010"/>
    <n v="0"/>
    <n v="18950"/>
    <x v="1"/>
    <n v="10"/>
    <x v="7"/>
  </r>
  <r>
    <d v="2025-10-14T00:00:00"/>
    <x v="0"/>
    <s v="PILOTO"/>
    <n v="10"/>
    <s v="FIJACIONES PARA PILOTO"/>
    <n v="407011"/>
    <x v="8"/>
    <s v="UND"/>
    <n v="1000"/>
    <m/>
    <n v="1000"/>
    <n v="481.52199999999999"/>
    <n v="481522"/>
    <n v="481522"/>
    <n v="473.17520000000002"/>
    <n v="-8.3468"/>
    <n v="-8346.76"/>
    <n v="-1.7639891723835923E-2"/>
    <m/>
    <n v="295553"/>
    <n v="1003866"/>
    <n v="5284"/>
    <n v="6579000000"/>
    <n v="473175.23999999993"/>
    <n v="10010"/>
    <n v="1.7639977750313146E-2"/>
    <n v="473175.2"/>
    <x v="0"/>
    <n v="1000"/>
    <x v="8"/>
  </r>
  <r>
    <d v="2025-10-14T00:00:00"/>
    <x v="0"/>
    <s v="PILOTO"/>
    <n v="10"/>
    <s v="FIJACIONES PARA PILOTO"/>
    <n v="407117"/>
    <x v="9"/>
    <s v="UND"/>
    <n v="200"/>
    <m/>
    <n v="200"/>
    <n v="585.07000000000005"/>
    <n v="117014"/>
    <n v="117014"/>
    <n v="585.07209999999998"/>
    <n v="2.0999999999999999E-3"/>
    <n v="0.41060000000000002"/>
    <n v="3.508969518208351E-6"/>
    <m/>
    <n v="295553"/>
    <m/>
    <n v="5284"/>
    <n v="6579000000"/>
    <n v="117014.4106"/>
    <n v="10010"/>
    <n v="-3.589301215914422E-6"/>
    <n v="117014.42"/>
    <x v="1"/>
    <n v="200"/>
    <x v="4"/>
  </r>
  <r>
    <d v="2025-10-14T00:00:00"/>
    <x v="0"/>
    <s v="PILOTO"/>
    <n v="10"/>
    <s v="FIJACIONES PARA PILOTO"/>
    <n v="412249"/>
    <x v="10"/>
    <s v="UND"/>
    <n v="100"/>
    <m/>
    <n v="100"/>
    <n v="1719.72"/>
    <n v="171972"/>
    <n v="171972"/>
    <n v="1719.7191"/>
    <n v="-8.9999999999999998E-4"/>
    <n v="-9.2999999999999999E-2"/>
    <n v="-5.4078600170765824E-7"/>
    <m/>
    <n v="295553"/>
    <m/>
    <n v="5284"/>
    <n v="6579000000"/>
    <n v="171971.90700000001"/>
    <n v="10010"/>
    <n v="5.2334128288826658E-7"/>
    <n v="171971.91"/>
    <x v="1"/>
    <n v="100"/>
    <x v="4"/>
  </r>
  <r>
    <d v="2025-10-14T00:00:00"/>
    <x v="0"/>
    <s v="PILOTO"/>
    <n v="10"/>
    <s v="FIJACIONES PARA PILOTO"/>
    <s v="40814X"/>
    <x v="11"/>
    <s v="CJA"/>
    <n v="1"/>
    <m/>
    <n v="1"/>
    <n v="233358"/>
    <n v="233358"/>
    <n v="233358"/>
    <n v="233358.08790000001"/>
    <n v="8.7900000000000006E-2"/>
    <n v="8.7900000000000006E-2"/>
    <n v="3.7672574700427221E-7"/>
    <m/>
    <n v="295553"/>
    <m/>
    <n v="5284"/>
    <n v="6579000000"/>
    <n v="233358.08791199999"/>
    <n v="10010"/>
    <n v="-3.766743240150547E-7"/>
    <n v="233358.08790000001"/>
    <x v="1"/>
    <n v="1"/>
    <x v="9"/>
  </r>
  <r>
    <d v="2025-11-04T00:00:00"/>
    <x v="1"/>
    <s v="PILOTO"/>
    <n v="11"/>
    <s v="VENTA DIRECTA"/>
    <n v="304002"/>
    <x v="12"/>
    <s v="PL"/>
    <n v="72"/>
    <m/>
    <n v="72"/>
    <n v="21814.9444"/>
    <n v="1570676"/>
    <n v="1570676"/>
    <n v="21246.5072"/>
    <n v="-568.43730000000005"/>
    <n v="-40927.485000000001"/>
    <n v="-2.675438778482607E-2"/>
    <m/>
    <n v="297463"/>
    <n v="4047618"/>
    <n v="5332"/>
    <n v="6579000000"/>
    <n v="1529748.5150160005"/>
    <n v="10010"/>
    <n v="2.6754383421666611E-2"/>
    <n v="1529748.5183999999"/>
    <x v="0"/>
    <n v="72"/>
    <x v="10"/>
  </r>
  <r>
    <d v="2025-11-04T00:00:00"/>
    <x v="1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7463"/>
    <m/>
    <n v="5332"/>
    <n v="6579000000"/>
    <n v="38182.916666999998"/>
    <n v="10010"/>
    <n v="-2.4008118793124654E-5"/>
    <n v="38182.916700000002"/>
    <x v="1"/>
    <n v="1"/>
    <x v="11"/>
  </r>
  <r>
    <d v="2025-11-04T00:00:00"/>
    <x v="1"/>
    <s v="PILOTO"/>
    <n v="11"/>
    <s v="VENTA DIRECTA"/>
    <n v="1901008"/>
    <x v="6"/>
    <s v="M2"/>
    <n v="162"/>
    <m/>
    <n v="162"/>
    <n v="2017.3704"/>
    <n v="326814"/>
    <n v="326814"/>
    <n v="2112.7957999999999"/>
    <n v="95.425399999999996"/>
    <n v="15458.9162"/>
    <n v="4.5165467281837846E-2"/>
    <m/>
    <n v="297463"/>
    <m/>
    <n v="5332"/>
    <n v="6579000000"/>
    <n v="342272.91619800002"/>
    <n v="10010"/>
    <n v="-4.5165462748458632E-2"/>
    <n v="342272.91959999996"/>
    <x v="0"/>
    <n v="162"/>
    <x v="6"/>
  </r>
  <r>
    <d v="2025-11-04T00:00:00"/>
    <x v="1"/>
    <s v="PILOTO"/>
    <n v="11"/>
    <s v="VENTA DIRECTA"/>
    <n v="1901038"/>
    <x v="14"/>
    <s v="M2"/>
    <n v="43"/>
    <m/>
    <n v="43"/>
    <n v="4210.0465000000004"/>
    <n v="181032"/>
    <n v="181032"/>
    <n v="4197.4179000000004"/>
    <n v="-12.6286"/>
    <n v="-543.03139999999996"/>
    <n v="-3.008667948722264E-3"/>
    <m/>
    <n v="297463"/>
    <m/>
    <n v="5332"/>
    <n v="6579000000"/>
    <n v="180488.96862500004"/>
    <n v="10010"/>
    <n v="3.0086592045076104E-3"/>
    <n v="180488.96970000002"/>
    <x v="0"/>
    <n v="43"/>
    <x v="12"/>
  </r>
  <r>
    <d v="2025-11-04T00:00:00"/>
    <x v="1"/>
    <s v="PILOTO"/>
    <n v="11"/>
    <s v="VENTA DIRECTA"/>
    <n v="701040"/>
    <x v="1"/>
    <s v="PL"/>
    <n v="40"/>
    <m/>
    <n v="40"/>
    <n v="7744.8249999999998"/>
    <n v="309793"/>
    <n v="309793"/>
    <n v="7835.7259999999997"/>
    <n v="90.900999999999996"/>
    <n v="3636.0382"/>
    <n v="1.1600833736865771E-2"/>
    <m/>
    <n v="297463"/>
    <m/>
    <n v="5332"/>
    <n v="6579000000"/>
    <n v="313429.03815999988"/>
    <n v="10010"/>
    <n v="-1.1600839539310058E-2"/>
    <n v="313429.03999999998"/>
    <x v="1"/>
    <n v="40"/>
    <x v="1"/>
  </r>
  <r>
    <d v="2025-11-04T00:00:00"/>
    <x v="1"/>
    <s v="PILOTO"/>
    <n v="11"/>
    <s v="VENTA DIRECTA"/>
    <n v="412280"/>
    <x v="15"/>
    <s v="UND"/>
    <n v="4"/>
    <m/>
    <n v="4"/>
    <n v="42900.25"/>
    <n v="171601"/>
    <n v="171601"/>
    <n v="40002.920100000003"/>
    <n v="-2897.3299000000002"/>
    <n v="-11589.319600000001"/>
    <n v="-7.2427960265505589E-2"/>
    <m/>
    <n v="297463"/>
    <m/>
    <n v="5332"/>
    <n v="6579000000"/>
    <n v="160011.680372"/>
    <n v="10010"/>
    <n v="7.2427960077844342E-2"/>
    <n v="160011.68040000001"/>
    <x v="0"/>
    <n v="4"/>
    <x v="13"/>
  </r>
  <r>
    <d v="2025-11-04T00:00:00"/>
    <x v="1"/>
    <s v="PILOTO"/>
    <n v="11"/>
    <s v="VENTA DIRECTA"/>
    <n v="412260"/>
    <x v="16"/>
    <s v="UND"/>
    <n v="16"/>
    <m/>
    <n v="16"/>
    <n v="90595"/>
    <n v="1449520"/>
    <n v="1449520"/>
    <n v="87567.442500000005"/>
    <n v="-3027.5574999999999"/>
    <n v="-48440.920400000003"/>
    <n v="-3.4574008744867088E-2"/>
    <m/>
    <n v="297463"/>
    <m/>
    <n v="5332"/>
    <n v="6579000000"/>
    <n v="1401079.0796479995"/>
    <n v="10010"/>
    <n v="3.4574008484945705E-2"/>
    <n v="1401079.08"/>
    <x v="0"/>
    <n v="16"/>
    <x v="14"/>
  </r>
  <r>
    <d v="2025-11-19T00:00:00"/>
    <x v="2"/>
    <s v="PILOTO"/>
    <n v="11"/>
    <s v="TORNILLOS PARA FABRICAR PILARES COMPUESTOS Y FIJACION DE MUROS EN ESTRUCTURA"/>
    <n v="407011"/>
    <x v="8"/>
    <s v="UND"/>
    <n v="500"/>
    <m/>
    <n v="500"/>
    <n v="481.52199999999999"/>
    <n v="240761"/>
    <n v="240761"/>
    <n v="473.17520000000002"/>
    <n v="-8.3468"/>
    <n v="-4173.38"/>
    <n v="-1.7639891723835923E-2"/>
    <m/>
    <n v="298886"/>
    <n v="240761"/>
    <n v="5332"/>
    <n v="6579000000"/>
    <n v="236587.61999999997"/>
    <n v="10010"/>
    <n v="1.7639977750313146E-2"/>
    <n v="236587.6"/>
    <x v="0"/>
    <n v="500"/>
    <x v="8"/>
  </r>
  <r>
    <d v="2025-11-14T00:00:00"/>
    <x v="3"/>
    <s v="PILOTO"/>
    <n v="11"/>
    <s v="VENTA DIRECTA"/>
    <n v="407185"/>
    <x v="17"/>
    <s v="UND"/>
    <n v="8000"/>
    <m/>
    <n v="8000"/>
    <n v="7.2504999999999997"/>
    <n v="58004"/>
    <n v="58004"/>
    <n v="6.8783000000000003"/>
    <n v="-0.37219999999999998"/>
    <n v="-2977.44"/>
    <n v="-5.4109142930250306E-2"/>
    <m/>
    <n v="298492"/>
    <n v="368311"/>
    <n v="5332"/>
    <n v="6579000000"/>
    <n v="55026.560000000005"/>
    <n v="10010"/>
    <n v="5.4112207958361719E-2"/>
    <n v="55026.400000000001"/>
    <x v="1"/>
    <n v="8000"/>
    <x v="4"/>
  </r>
  <r>
    <d v="2025-11-14T00:00:00"/>
    <x v="3"/>
    <s v="PILOTO"/>
    <n v="11"/>
    <s v="VENTA DIRECTA"/>
    <n v="804070"/>
    <x v="18"/>
    <s v="M2"/>
    <n v="46"/>
    <m/>
    <n v="46"/>
    <n v="6223.4129999999996"/>
    <n v="286277"/>
    <n v="286277"/>
    <n v="6479.9989999999998"/>
    <n v="256.58589999999998"/>
    <n v="11802.9529"/>
    <n v="3.9596600633989981E-2"/>
    <m/>
    <n v="298492"/>
    <m/>
    <n v="5332"/>
    <n v="6579000000"/>
    <n v="298079.95285"/>
    <n v="10010"/>
    <n v="-3.9596611048859767E-2"/>
    <n v="298079.95399999997"/>
    <x v="1"/>
    <n v="46"/>
    <x v="15"/>
  </r>
  <r>
    <d v="2025-11-14T00:00:00"/>
    <x v="3"/>
    <s v="PILOTO"/>
    <n v="11"/>
    <s v="VENTA DIRECTA"/>
    <s v="080460x"/>
    <x v="19"/>
    <s v="RLL"/>
    <n v="1"/>
    <m/>
    <n v="1"/>
    <n v="24030"/>
    <n v="24030"/>
    <n v="24030"/>
    <n v="24029.782599999999"/>
    <n v="-0.21740000000000001"/>
    <n v="-0.21740000000000001"/>
    <n v="-9.0467318630514202E-6"/>
    <m/>
    <n v="298492"/>
    <m/>
    <n v="5332"/>
    <n v="6579000000"/>
    <n v="24029.782609000009"/>
    <n v="10010"/>
    <n v="9.0471064020929622E-6"/>
    <n v="24029.782599999999"/>
    <x v="1"/>
    <n v="1"/>
    <x v="16"/>
  </r>
  <r>
    <d v="2025-11-18T00:00:00"/>
    <x v="4"/>
    <s v="PILOTO"/>
    <n v="11"/>
    <s v="TERMINACIONES "/>
    <n v="1703006"/>
    <x v="20"/>
    <s v="UND"/>
    <n v="1"/>
    <m/>
    <n v="1"/>
    <n v="1662"/>
    <n v="1662"/>
    <n v="1662"/>
    <n v="1662"/>
    <n v="0"/>
    <n v="0"/>
    <n v="0"/>
    <m/>
    <n v="298676"/>
    <n v="375698"/>
    <n v="5332"/>
    <n v="6579000000"/>
    <n v="1662"/>
    <n v="10010"/>
    <n v="0"/>
    <n v="1662"/>
    <x v="1"/>
    <n v="1"/>
    <x v="17"/>
  </r>
  <r>
    <d v="2025-11-18T00:00:00"/>
    <x v="4"/>
    <s v="PILOTO"/>
    <n v="11"/>
    <s v="TERMINACIONES "/>
    <n v="1703046"/>
    <x v="21"/>
    <s v="UND"/>
    <n v="1"/>
    <m/>
    <n v="1"/>
    <n v="3138"/>
    <n v="3138"/>
    <n v="3138"/>
    <n v="3138"/>
    <n v="0"/>
    <n v="0"/>
    <n v="0"/>
    <m/>
    <n v="298676"/>
    <m/>
    <n v="5332"/>
    <n v="6579000000"/>
    <n v="3138"/>
    <n v="10010"/>
    <n v="0"/>
    <n v="3138"/>
    <x v="1"/>
    <n v="1"/>
    <x v="18"/>
  </r>
  <r>
    <d v="2025-11-18T00:00:00"/>
    <x v="4"/>
    <s v="PILOTO"/>
    <n v="11"/>
    <s v="TERMINACIONES "/>
    <n v="1801035"/>
    <x v="22"/>
    <s v="UND"/>
    <n v="1"/>
    <m/>
    <n v="1"/>
    <n v="18126"/>
    <n v="18126"/>
    <n v="18126"/>
    <n v="18126.208299999998"/>
    <n v="0.20830000000000001"/>
    <n v="0.20830000000000001"/>
    <n v="1.1493468251680086E-5"/>
    <m/>
    <n v="298676"/>
    <m/>
    <n v="5332"/>
    <n v="6579000000"/>
    <n v="18126.208332999999"/>
    <n v="10010"/>
    <n v="-1.1491647704303209E-5"/>
    <n v="18126.208299999998"/>
    <x v="1"/>
    <n v="1"/>
    <x v="19"/>
  </r>
  <r>
    <d v="2025-11-18T00:00:00"/>
    <x v="4"/>
    <s v="PILOTO"/>
    <n v="11"/>
    <s v="TERMINACIONES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298676"/>
    <m/>
    <n v="5332"/>
    <n v="6579000000"/>
    <n v="4675.5185190000002"/>
    <n v="10010"/>
    <n v="-0.21206599866945242"/>
    <n v="4675.5185000000001"/>
    <x v="1"/>
    <n v="1"/>
    <x v="20"/>
  </r>
  <r>
    <d v="2025-11-18T00:00:00"/>
    <x v="4"/>
    <s v="PILOTO"/>
    <n v="11"/>
    <s v="TERMINACIONES 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298676"/>
    <m/>
    <n v="5332"/>
    <n v="6579000000"/>
    <n v="9309.8461540000008"/>
    <n v="10010"/>
    <n v="1.6520144016992092E-5"/>
    <n v="9309.8462"/>
    <x v="1"/>
    <n v="1"/>
    <x v="21"/>
  </r>
  <r>
    <d v="2025-11-18T00:00:00"/>
    <x v="4"/>
    <s v="PILOTO"/>
    <n v="11"/>
    <s v="TERMINACIONES "/>
    <n v="1808149"/>
    <x v="25"/>
    <s v="UND"/>
    <n v="1"/>
    <m/>
    <n v="1"/>
    <n v="20303"/>
    <n v="20303"/>
    <n v="20303"/>
    <n v="20303.2"/>
    <n v="0.2"/>
    <n v="0.2"/>
    <n v="9.850663934785038E-6"/>
    <m/>
    <n v="298676"/>
    <m/>
    <n v="5332"/>
    <n v="6579000000"/>
    <n v="20303.2"/>
    <n v="10010"/>
    <n v="-9.850663934785038E-6"/>
    <n v="20303.2"/>
    <x v="1"/>
    <n v="1"/>
    <x v="22"/>
  </r>
  <r>
    <d v="2025-11-18T00:00:00"/>
    <x v="4"/>
    <s v="PILOTO"/>
    <n v="11"/>
    <s v="TERMINACIONES "/>
    <n v="1801020"/>
    <x v="26"/>
    <s v="UND"/>
    <n v="1"/>
    <m/>
    <n v="1"/>
    <n v="30757"/>
    <n v="30757"/>
    <n v="30757"/>
    <n v="30757"/>
    <n v="0"/>
    <n v="0"/>
    <n v="0"/>
    <m/>
    <n v="298676"/>
    <m/>
    <n v="5332"/>
    <n v="6579000000"/>
    <n v="30757"/>
    <n v="10010"/>
    <n v="0"/>
    <n v="30757"/>
    <x v="1"/>
    <n v="1"/>
    <x v="23"/>
  </r>
  <r>
    <d v="2025-11-18T00:00:00"/>
    <x v="4"/>
    <s v="PILOTO"/>
    <n v="11"/>
    <s v="TERMINACIONES "/>
    <n v="4212234"/>
    <x v="27"/>
    <s v="UND"/>
    <n v="1"/>
    <m/>
    <n v="1"/>
    <n v="204000"/>
    <n v="204000"/>
    <n v="204000"/>
    <n v="124909"/>
    <n v="-79091"/>
    <n v="-79091"/>
    <n v="-0.6331889615640186"/>
    <m/>
    <n v="298676"/>
    <m/>
    <n v="5332"/>
    <n v="6579000000"/>
    <n v="124909"/>
    <n v="10010"/>
    <n v="0.6331889615640186"/>
    <n v="124909"/>
    <x v="1"/>
    <n v="1"/>
    <x v="24"/>
  </r>
  <r>
    <d v="2025-11-18T00:00:00"/>
    <x v="4"/>
    <s v="PILOTO"/>
    <n v="11"/>
    <s v="TERMINACIONES "/>
    <n v="5316507"/>
    <x v="28"/>
    <s v="UND"/>
    <n v="1"/>
    <m/>
    <n v="1"/>
    <n v="36777"/>
    <n v="36777"/>
    <n v="36777"/>
    <n v="41419.666700000002"/>
    <n v="4642.6666999999998"/>
    <n v="4642.6666999999998"/>
    <n v="0.11208846040035655"/>
    <m/>
    <n v="298676"/>
    <m/>
    <n v="5332"/>
    <n v="6579000000"/>
    <n v="41419.666666999998"/>
    <n v="10010"/>
    <n v="-0.11208846110777616"/>
    <n v="41419.666700000002"/>
    <x v="1"/>
    <n v="1"/>
    <x v="25"/>
  </r>
  <r>
    <d v="2025-11-18T00:00:00"/>
    <x v="4"/>
    <s v="PILOTO"/>
    <n v="11"/>
    <s v="TERMINACIONES "/>
    <n v="5316509"/>
    <x v="29"/>
    <s v="UND"/>
    <n v="1"/>
    <m/>
    <n v="1"/>
    <n v="15433"/>
    <n v="15433"/>
    <n v="15433"/>
    <n v="15433.3333"/>
    <n v="0.33329999999999999"/>
    <n v="0.33329999999999999"/>
    <n v="2.1598250540455263E-5"/>
    <m/>
    <n v="298676"/>
    <m/>
    <n v="5332"/>
    <n v="6579000000"/>
    <n v="15433.333333"/>
    <n v="10010"/>
    <n v="-2.1596112357674266E-5"/>
    <n v="15433.3333"/>
    <x v="1"/>
    <n v="1"/>
    <x v="26"/>
  </r>
  <r>
    <d v="2025-11-18T00:00:00"/>
    <x v="4"/>
    <s v="PILOTO"/>
    <n v="11"/>
    <s v="TERMINACIONES "/>
    <n v="609008"/>
    <x v="30"/>
    <s v="LTS"/>
    <n v="1"/>
    <m/>
    <n v="1"/>
    <n v="2068"/>
    <n v="2068"/>
    <n v="2068"/>
    <n v="2130.7573000000002"/>
    <n v="62.757300000000001"/>
    <n v="62.757300000000001"/>
    <n v="2.9453053947284105E-2"/>
    <m/>
    <n v="298676"/>
    <m/>
    <n v="5332"/>
    <n v="6579000000"/>
    <n v="2130.75731"/>
    <n v="10010"/>
    <n v="-2.9453049392345252E-2"/>
    <n v="2130.7573000000002"/>
    <x v="1"/>
    <n v="1"/>
    <x v="27"/>
  </r>
  <r>
    <d v="2025-11-18T00:00:00"/>
    <x v="4"/>
    <s v="PILOTO"/>
    <n v="11"/>
    <s v="TERMINACIONES "/>
    <n v="1610023"/>
    <x v="31"/>
    <s v="KG"/>
    <n v="4"/>
    <m/>
    <n v="4"/>
    <n v="1658.75"/>
    <n v="6635"/>
    <n v="6635"/>
    <n v="2109.0585000000001"/>
    <n v="450.30849999999998"/>
    <n v="1801.2342000000001"/>
    <n v="0.21351163708001053"/>
    <m/>
    <n v="298676"/>
    <m/>
    <n v="5332"/>
    <n v="6579000000"/>
    <n v="8436.2341680000009"/>
    <n v="10010"/>
    <n v="-0.21351162141780328"/>
    <n v="8436.2340000000004"/>
    <x v="1"/>
    <n v="4"/>
    <x v="28"/>
  </r>
  <r>
    <d v="2025-11-18T00:00:00"/>
    <x v="4"/>
    <s v="PILOTO"/>
    <n v="11"/>
    <s v="TERMINACIONES "/>
    <n v="5316481"/>
    <x v="32"/>
    <s v="UND"/>
    <n v="1"/>
    <m/>
    <n v="1"/>
    <n v="11769"/>
    <n v="11769"/>
    <n v="11769"/>
    <n v="11769.175800000001"/>
    <n v="0.17580000000000001"/>
    <n v="0.17580000000000001"/>
    <n v="1.493936386279282E-5"/>
    <m/>
    <n v="298676"/>
    <m/>
    <n v="5332"/>
    <n v="6579000000"/>
    <n v="11769.175824"/>
    <n v="10010"/>
    <n v="-1.4937324668129315E-5"/>
    <n v="11769.175800000001"/>
    <x v="1"/>
    <n v="1"/>
    <x v="4"/>
  </r>
  <r>
    <d v="2025-11-18T00:00:00"/>
    <x v="4"/>
    <s v="PILOTO"/>
    <n v="11"/>
    <s v="TERMINACIONES "/>
    <n v="5316479"/>
    <x v="33"/>
    <s v="UND"/>
    <n v="1"/>
    <m/>
    <n v="1"/>
    <n v="10525"/>
    <n v="10525"/>
    <n v="10525"/>
    <n v="10525"/>
    <n v="0"/>
    <n v="0"/>
    <n v="0"/>
    <m/>
    <n v="298676"/>
    <m/>
    <n v="5332"/>
    <n v="6579000000"/>
    <n v="10525"/>
    <n v="10010"/>
    <n v="0"/>
    <n v="10525"/>
    <x v="1"/>
    <n v="1"/>
    <x v="29"/>
  </r>
  <r>
    <d v="2025-11-18T00:00:00"/>
    <x v="4"/>
    <s v="PILOTO"/>
    <n v="11"/>
    <s v="TERMINACIONES "/>
    <n v="5316482"/>
    <x v="34"/>
    <s v="UND"/>
    <n v="1"/>
    <m/>
    <n v="1"/>
    <n v="1511"/>
    <n v="1511"/>
    <n v="1511"/>
    <n v="1511"/>
    <n v="0"/>
    <n v="0"/>
    <n v="0"/>
    <m/>
    <n v="298676"/>
    <m/>
    <n v="5332"/>
    <n v="6579000000"/>
    <n v="1511"/>
    <n v="10010"/>
    <n v="0"/>
    <n v="1511"/>
    <x v="1"/>
    <n v="1"/>
    <x v="30"/>
  </r>
  <r>
    <d v="2025-11-18T00:00:00"/>
    <x v="4"/>
    <s v="PILOTO"/>
    <n v="11"/>
    <s v="TERMINACION PILOTO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298721"/>
    <n v="523808"/>
    <n v="5332"/>
    <n v="6579000000"/>
    <n v="81899.965679999994"/>
    <n v="10010"/>
    <n v="4.0293056526552117E-7"/>
    <n v="81899.967000000004"/>
    <x v="1"/>
    <n v="30"/>
    <x v="31"/>
  </r>
  <r>
    <d v="2025-11-18T00:00:00"/>
    <x v="4"/>
    <s v="PILOTO"/>
    <n v="11"/>
    <s v="TERMINACION PILOTO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298721"/>
    <m/>
    <n v="5332"/>
    <n v="6579000000"/>
    <n v="80999.95815000002"/>
    <n v="10010"/>
    <n v="5.1851878741837811E-7"/>
    <n v="80999.957999999999"/>
    <x v="1"/>
    <n v="30"/>
    <x v="32"/>
  </r>
  <r>
    <d v="2025-11-18T00:00:00"/>
    <x v="4"/>
    <s v="PILOTO"/>
    <n v="11"/>
    <s v="TERMINACION PILOTO"/>
    <n v="404184"/>
    <x v="37"/>
    <s v="UND"/>
    <n v="3"/>
    <m/>
    <n v="3"/>
    <n v="1842.6667"/>
    <n v="5528"/>
    <n v="5528"/>
    <n v="1754.8757000000001"/>
    <n v="-87.790899999999993"/>
    <n v="-263.37279999999998"/>
    <n v="-5.0026867495990605E-2"/>
    <m/>
    <n v="298721"/>
    <m/>
    <n v="5332"/>
    <n v="6579000000"/>
    <n v="5264.6271930000003"/>
    <n v="10010"/>
    <n v="5.0026905039485099E-2"/>
    <n v="5264.6270999999997"/>
    <x v="1"/>
    <n v="3"/>
    <x v="33"/>
  </r>
  <r>
    <d v="2025-11-18T00:00:00"/>
    <x v="4"/>
    <s v="PILOTO"/>
    <n v="11"/>
    <s v="TERMINACION PILOTO"/>
    <n v="601121"/>
    <x v="38"/>
    <s v="GAL"/>
    <n v="1"/>
    <m/>
    <n v="1"/>
    <n v="35000"/>
    <n v="35000"/>
    <n v="35000"/>
    <n v="35000"/>
    <n v="0"/>
    <n v="0"/>
    <n v="0"/>
    <m/>
    <n v="298721"/>
    <m/>
    <n v="5332"/>
    <n v="6579000000"/>
    <n v="35000"/>
    <n v="10010"/>
    <n v="0"/>
    <n v="35000"/>
    <x v="1"/>
    <n v="1"/>
    <x v="34"/>
  </r>
  <r>
    <d v="2025-11-18T00:00:00"/>
    <x v="4"/>
    <s v="PILOTO"/>
    <n v="11"/>
    <s v="TERMINACION PILOTO"/>
    <n v="601122"/>
    <x v="39"/>
    <s v="UND"/>
    <n v="1"/>
    <m/>
    <n v="1"/>
    <n v="12000"/>
    <n v="12000"/>
    <n v="12000"/>
    <n v="12000"/>
    <n v="0"/>
    <n v="0"/>
    <n v="0"/>
    <m/>
    <n v="298721"/>
    <m/>
    <n v="5332"/>
    <n v="6579000000"/>
    <n v="12000"/>
    <n v="10010"/>
    <n v="0"/>
    <n v="12000"/>
    <x v="1"/>
    <n v="1"/>
    <x v="35"/>
  </r>
  <r>
    <d v="2025-11-18T00:00:00"/>
    <x v="4"/>
    <s v="PILOTO"/>
    <n v="11"/>
    <s v="TERMINACION PILOTO"/>
    <n v="601123"/>
    <x v="40"/>
    <s v="GAL"/>
    <n v="1"/>
    <m/>
    <n v="1"/>
    <n v="11428"/>
    <n v="11428"/>
    <n v="11428"/>
    <n v="11427.75"/>
    <n v="-0.25"/>
    <n v="-0.25"/>
    <n v="-2.1876572378639716E-5"/>
    <m/>
    <n v="298721"/>
    <m/>
    <n v="5332"/>
    <n v="6579000000"/>
    <n v="11427.75"/>
    <n v="10010"/>
    <n v="2.1876572378639716E-5"/>
    <n v="11427.75"/>
    <x v="1"/>
    <n v="1"/>
    <x v="36"/>
  </r>
  <r>
    <d v="2025-11-18T00:00:00"/>
    <x v="4"/>
    <s v="PILOTO"/>
    <n v="11"/>
    <s v="TERMINACION PILOTO"/>
    <n v="602060"/>
    <x v="41"/>
    <s v="TIN"/>
    <n v="1"/>
    <m/>
    <n v="1"/>
    <n v="63032"/>
    <n v="63032"/>
    <n v="63032"/>
    <n v="63032"/>
    <n v="0"/>
    <n v="0"/>
    <n v="0"/>
    <m/>
    <n v="298721"/>
    <m/>
    <n v="5332"/>
    <n v="6579000000"/>
    <n v="63032"/>
    <n v="10010"/>
    <n v="0"/>
    <n v="63032"/>
    <x v="1"/>
    <n v="1"/>
    <x v="37"/>
  </r>
  <r>
    <d v="2025-11-18T00:00:00"/>
    <x v="4"/>
    <s v="PILOTO"/>
    <n v="11"/>
    <s v="TERMINACION PILOTO"/>
    <n v="705028"/>
    <x v="42"/>
    <s v="PL"/>
    <n v="6"/>
    <m/>
    <n v="6"/>
    <n v="22927"/>
    <n v="137562"/>
    <n v="137562"/>
    <n v="22927.086200000002"/>
    <n v="8.6199999999999999E-2"/>
    <n v="0.51719999999999999"/>
    <n v="3.7600504146909681E-6"/>
    <m/>
    <n v="298721"/>
    <m/>
    <n v="5332"/>
    <n v="6579000000"/>
    <n v="137562.517242"/>
    <n v="10010"/>
    <n v="-3.7597451001668997E-6"/>
    <n v="137562.5172"/>
    <x v="0"/>
    <n v="6"/>
    <x v="38"/>
  </r>
  <r>
    <d v="2025-11-18T00:00:00"/>
    <x v="4"/>
    <s v="PILOTO"/>
    <n v="11"/>
    <s v="TERMINACION PILOTO"/>
    <n v="1801735"/>
    <x v="43"/>
    <s v="UND"/>
    <n v="1"/>
    <m/>
    <n v="1"/>
    <n v="3958"/>
    <n v="3958"/>
    <n v="3958"/>
    <n v="3495"/>
    <n v="-463"/>
    <n v="-463"/>
    <n v="-0.13247496423462088"/>
    <m/>
    <n v="298721"/>
    <m/>
    <n v="5332"/>
    <n v="6579000000"/>
    <n v="3495"/>
    <n v="10010"/>
    <n v="0.13247496423462088"/>
    <n v="3495"/>
    <x v="1"/>
    <n v="1"/>
    <x v="39"/>
  </r>
  <r>
    <d v="2025-11-18T00:00:00"/>
    <x v="4"/>
    <s v="PILOTO"/>
    <n v="11"/>
    <s v="TERMINACION PILOTO"/>
    <n v="2302119"/>
    <x v="44"/>
    <s v="UND"/>
    <n v="24"/>
    <m/>
    <n v="24"/>
    <n v="3850"/>
    <n v="92400"/>
    <n v="92400"/>
    <n v="3671"/>
    <n v="-179"/>
    <n v="-4296"/>
    <n v="-4.8760555706891855E-2"/>
    <m/>
    <n v="298721"/>
    <m/>
    <n v="5332"/>
    <n v="6579000000"/>
    <n v="88104"/>
    <n v="10010"/>
    <n v="4.8760555706891855E-2"/>
    <n v="88104"/>
    <x v="1"/>
    <n v="24"/>
    <x v="40"/>
  </r>
  <r>
    <d v="2025-11-25T00:00:00"/>
    <x v="5"/>
    <s v="M-00003"/>
    <n v="11"/>
    <s v="VENTA DIRECTA "/>
    <n v="701022"/>
    <x v="45"/>
    <s v="PL"/>
    <n v="15"/>
    <m/>
    <n v="15"/>
    <n v="11151.4"/>
    <n v="167271"/>
    <n v="167271"/>
    <n v="11163.5985"/>
    <n v="12.198499999999999"/>
    <n v="182.9777"/>
    <n v="1.0927041123051074E-3"/>
    <m/>
    <n v="299355"/>
    <n v="213022"/>
    <n v="5332"/>
    <n v="6579000000"/>
    <n v="167453.97764999999"/>
    <n v="10010"/>
    <n v="-1.0927032175154295E-3"/>
    <n v="167453.97750000001"/>
    <x v="1"/>
    <n v="15"/>
    <x v="1"/>
  </r>
  <r>
    <d v="2025-11-25T00:00:00"/>
    <x v="5"/>
    <s v="M-00003"/>
    <n v="11"/>
    <s v="VENTA DIRECTA "/>
    <n v="701015"/>
    <x v="46"/>
    <s v="PL"/>
    <n v="5"/>
    <m/>
    <n v="5"/>
    <n v="9150.2000000000007"/>
    <n v="45751"/>
    <n v="45751"/>
    <n v="9151.2975000000006"/>
    <n v="1.0974999999999999"/>
    <n v="5.4873000000000003"/>
    <n v="1.1992485260560381E-4"/>
    <m/>
    <n v="299355"/>
    <m/>
    <n v="5332"/>
    <n v="6579000000"/>
    <n v="45756.487340000007"/>
    <n v="10010"/>
    <n v="-1.1992834895815096E-4"/>
    <n v="45756.487500000003"/>
    <x v="1"/>
    <n v="5"/>
    <x v="41"/>
  </r>
  <r>
    <d v="2025-10-30T00:00:00"/>
    <x v="6"/>
    <s v="PILOTO"/>
    <n v="10"/>
    <s v="VENTA DIRECTA "/>
    <n v="2502036"/>
    <x v="47"/>
    <s v="UND"/>
    <n v="2"/>
    <m/>
    <n v="2"/>
    <n v="37350"/>
    <n v="74700"/>
    <n v="74700"/>
    <n v="47856.412700000001"/>
    <n v="10506.412700000001"/>
    <n v="21012.825400000002"/>
    <n v="0.21954033128853975"/>
    <m/>
    <n v="297163"/>
    <n v="74700"/>
    <n v="5284"/>
    <n v="6579000000"/>
    <n v="95712.825396"/>
    <n v="10010"/>
    <n v="-0.21954033132115647"/>
    <n v="95712.825400000002"/>
    <x v="1"/>
    <n v="2"/>
    <x v="4"/>
  </r>
  <r>
    <d v="2025-10-24T00:00:00"/>
    <x v="7"/>
    <s v="PILOTO"/>
    <n v="10"/>
    <s v="VENTA DIRECTA "/>
    <n v="302019"/>
    <x v="48"/>
    <s v="PZA"/>
    <n v="6"/>
    <m/>
    <n v="6"/>
    <n v="1661.6667"/>
    <n v="9970"/>
    <n v="9970"/>
    <n v="1660.3430000000001"/>
    <n v="-1.3237000000000001"/>
    <n v="-7.9423000000000004"/>
    <n v="-7.9725255765850588E-4"/>
    <m/>
    <n v="296692"/>
    <n v="9970"/>
    <n v="5284"/>
    <n v="6579000000"/>
    <n v="9962.0577240000002"/>
    <n v="10010"/>
    <n v="7.9724490662466555E-4"/>
    <n v="9962.0580000000009"/>
    <x v="1"/>
    <n v="6"/>
    <x v="42"/>
  </r>
  <r>
    <d v="2025-10-22T00:00:00"/>
    <x v="8"/>
    <s v="PILOTO"/>
    <n v="10"/>
    <s v="VENTA DIRECTA , REVESTIMIENTO CULATA"/>
    <n v="304007"/>
    <x v="49"/>
    <s v="PL"/>
    <n v="72"/>
    <m/>
    <n v="72"/>
    <n v="13290"/>
    <n v="956880"/>
    <n v="956880"/>
    <n v="11444.352999999999"/>
    <n v="-1845.6469999999999"/>
    <n v="-132886.58240000001"/>
    <n v="-0.1612714125868045"/>
    <m/>
    <n v="296397"/>
    <n v="956880"/>
    <n v="5284"/>
    <n v="6579000000"/>
    <n v="823993.41758399969"/>
    <n v="10010"/>
    <n v="0.16127141481916898"/>
    <n v="823993.41599999997"/>
    <x v="0"/>
    <n v="72"/>
    <x v="43"/>
  </r>
  <r>
    <d v="2025-10-21T00:00:00"/>
    <x v="9"/>
    <s v="PILOTO"/>
    <n v="10"/>
    <s v="VENTA DIRECTA "/>
    <n v="5112589"/>
    <x v="50"/>
    <s v="UND"/>
    <n v="10"/>
    <m/>
    <n v="10"/>
    <n v="5505.1"/>
    <n v="55051"/>
    <n v="55051"/>
    <n v="5090.0923000000003"/>
    <n v="-415.0077"/>
    <n v="-4150.0769"/>
    <n v="-8.1532449096795453E-2"/>
    <m/>
    <n v="296285"/>
    <n v="55051"/>
    <n v="5284"/>
    <n v="6579000000"/>
    <n v="50900.92308"/>
    <n v="10010"/>
    <n v="8.1532450796619166E-2"/>
    <n v="50900.923000000003"/>
    <x v="1"/>
    <n v="10"/>
    <x v="44"/>
  </r>
  <r>
    <d v="2025-10-20T00:00:00"/>
    <x v="10"/>
    <s v="PILOTO"/>
    <n v="10"/>
    <s v="VENTA DIRECTA "/>
    <s v="040815X"/>
    <x v="51"/>
    <s v="CJA"/>
    <n v="2"/>
    <m/>
    <n v="2"/>
    <n v="32294"/>
    <n v="64588"/>
    <n v="64588"/>
    <n v="36939.818200000002"/>
    <n v="4645.8181999999997"/>
    <n v="9291.6363999999994"/>
    <n v="0.1257672184283733"/>
    <m/>
    <n v="296137"/>
    <n v="64588"/>
    <n v="5284"/>
    <n v="6579000000"/>
    <n v="73879.636363999962"/>
    <n v="10010"/>
    <n v="-0.12576721885436895"/>
    <n v="73879.636400000003"/>
    <x v="0"/>
    <n v="2"/>
    <x v="45"/>
  </r>
  <r>
    <d v="2025-10-15T00:00:00"/>
    <x v="11"/>
    <s v="PILOTO"/>
    <n v="10"/>
    <s v="VENTA DIRECTA"/>
    <n v="302044"/>
    <x v="2"/>
    <s v="PZA"/>
    <n v="21"/>
    <m/>
    <n v="21"/>
    <n v="13934.380999999999"/>
    <n v="292622"/>
    <n v="292622"/>
    <n v="13725.9625"/>
    <n v="-208.41839999999999"/>
    <n v="-4376.7867999999999"/>
    <n v="-1.518424794360961E-2"/>
    <m/>
    <n v="295732"/>
    <n v="869191"/>
    <n v="5284"/>
    <n v="6579000000"/>
    <n v="288245.21321399999"/>
    <n v="10010"/>
    <n v="1.518425392754787E-2"/>
    <n v="288245.21249999997"/>
    <x v="0"/>
    <n v="21"/>
    <x v="2"/>
  </r>
  <r>
    <d v="2025-10-15T00:00:00"/>
    <x v="11"/>
    <s v="PILOTO"/>
    <n v="10"/>
    <s v="VENTA DIRECTA"/>
    <n v="302039"/>
    <x v="52"/>
    <s v="PZA"/>
    <n v="30"/>
    <m/>
    <n v="30"/>
    <n v="10135.933300000001"/>
    <n v="304078"/>
    <n v="304078"/>
    <n v="9825.5480000000007"/>
    <n v="-310.3854"/>
    <n v="-9311.5612999999994"/>
    <n v="-3.1589625201899743E-2"/>
    <m/>
    <n v="295732"/>
    <m/>
    <n v="5284"/>
    <n v="6579000000"/>
    <n v="294766.43868000002"/>
    <n v="10010"/>
    <n v="3.1589617189799482E-2"/>
    <n v="294766.44"/>
    <x v="1"/>
    <n v="30"/>
    <x v="46"/>
  </r>
  <r>
    <d v="2025-10-15T00:00:00"/>
    <x v="11"/>
    <s v="PILOTO"/>
    <n v="10"/>
    <s v="VENTA DIRECTA"/>
    <s v="030253X"/>
    <x v="3"/>
    <s v="PZA"/>
    <n v="10"/>
    <m/>
    <n v="10"/>
    <n v="15392.6"/>
    <n v="153926"/>
    <n v="153926"/>
    <n v="15359.702799999999"/>
    <n v="-32.897199999999998"/>
    <n v="-328.97210000000001"/>
    <n v="-2.1417872116720926E-3"/>
    <m/>
    <n v="295732"/>
    <m/>
    <n v="5284"/>
    <n v="6579000000"/>
    <n v="153597.02785000004"/>
    <n v="10010"/>
    <n v="2.1417862329993292E-3"/>
    <n v="153597.02799999999"/>
    <x v="0"/>
    <n v="10"/>
    <x v="3"/>
  </r>
  <r>
    <d v="2025-10-15T00:00:00"/>
    <x v="11"/>
    <s v="PILOTO"/>
    <n v="10"/>
    <s v="VENTA DIRECTA"/>
    <n v="307275"/>
    <x v="53"/>
    <s v="PZA"/>
    <n v="80"/>
    <m/>
    <n v="80"/>
    <n v="1482.0625"/>
    <n v="118565"/>
    <n v="118565"/>
    <n v="1482.0600999999999"/>
    <n v="-2.3999999999999998E-3"/>
    <n v="-0.19489999999999999"/>
    <n v="-1.6436580805059599E-6"/>
    <m/>
    <n v="295732"/>
    <m/>
    <n v="5284"/>
    <n v="6579000000"/>
    <n v="118564.80512"/>
    <n v="10010"/>
    <n v="1.6193675277268931E-6"/>
    <n v="118564.80799999999"/>
    <x v="1"/>
    <n v="80"/>
    <x v="4"/>
  </r>
  <r>
    <d v="2025-10-10T00:00:00"/>
    <x v="12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292"/>
    <n v="67012"/>
    <n v="5284"/>
    <n v="6579000000"/>
    <n v="67012.083916000003"/>
    <n v="10010"/>
    <n v="-1.2535052633575928E-6"/>
    <n v="67012.084000000003"/>
    <x v="1"/>
    <n v="4"/>
    <x v="47"/>
  </r>
  <r>
    <d v="2025-10-10T00:00:00"/>
    <x v="12"/>
    <s v="PILOTO"/>
    <n v="10"/>
    <s v="VENTA DIRECTA"/>
    <n v="2502036"/>
    <x v="47"/>
    <s v="UND"/>
    <n v="1"/>
    <m/>
    <n v="1"/>
    <n v="43752"/>
    <n v="43752"/>
    <n v="43752"/>
    <n v="47856.412700000001"/>
    <n v="4104.4126999999999"/>
    <n v="4104.4126999999999"/>
    <n v="8.576515594474407E-2"/>
    <m/>
    <n v="295290"/>
    <n v="43752"/>
    <n v="5284"/>
    <n v="6579000000"/>
    <n v="47856.412698"/>
    <n v="10010"/>
    <n v="-8.5765155982951494E-2"/>
    <n v="47856.412700000001"/>
    <x v="1"/>
    <n v="1"/>
    <x v="4"/>
  </r>
  <r>
    <d v="2025-10-10T00:00:00"/>
    <x v="12"/>
    <s v="PILOTO"/>
    <n v="10"/>
    <s v="VENTA DIRECTA"/>
    <n v="302044"/>
    <x v="2"/>
    <s v="PZA"/>
    <n v="2"/>
    <m/>
    <n v="2"/>
    <n v="13934.5"/>
    <n v="27869"/>
    <n v="27869"/>
    <n v="13725.9625"/>
    <n v="-208.53749999999999"/>
    <n v="-417.07490000000001"/>
    <n v="-1.5192921114525882E-2"/>
    <m/>
    <n v="295268"/>
    <n v="27869"/>
    <n v="5284"/>
    <n v="6579000000"/>
    <n v="27451.925068"/>
    <n v="10010"/>
    <n v="1.5192923629217286E-2"/>
    <n v="27451.924999999999"/>
    <x v="0"/>
    <n v="2"/>
    <x v="2"/>
  </r>
  <r>
    <d v="2025-10-09T00:00:00"/>
    <x v="13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178"/>
    <n v="67012"/>
    <n v="5284"/>
    <n v="6579000000"/>
    <n v="67012.083916000003"/>
    <n v="10010"/>
    <n v="-1.2535052633575928E-6"/>
    <n v="67012.084000000003"/>
    <x v="1"/>
    <n v="4"/>
    <x v="47"/>
  </r>
  <r>
    <d v="2025-11-13T00:00:00"/>
    <x v="14"/>
    <s v="PILOTO"/>
    <n v="11"/>
    <s v="VENTA DIRECTA"/>
    <s v="030210X"/>
    <x v="55"/>
    <s v="PZA"/>
    <n v="2"/>
    <m/>
    <n v="2"/>
    <n v="17998"/>
    <n v="35996"/>
    <n v="35996"/>
    <n v="17998"/>
    <n v="0"/>
    <n v="0"/>
    <n v="0"/>
    <m/>
    <n v="298403"/>
    <n v="35996"/>
    <n v="5332"/>
    <n v="6579000000"/>
    <n v="35996"/>
    <n v="10010"/>
    <n v="0"/>
    <n v="35996"/>
    <x v="1"/>
    <n v="2"/>
    <x v="48"/>
  </r>
  <r>
    <d v="2025-11-24T00:00:00"/>
    <x v="15"/>
    <s v="PILOTO"/>
    <n v="11"/>
    <s v="VENTA DIRECTA"/>
    <n v="1405027"/>
    <x v="56"/>
    <s v="KIT"/>
    <n v="1"/>
    <m/>
    <n v="1"/>
    <n v="20069"/>
    <n v="20069"/>
    <n v="20069"/>
    <n v="20069"/>
    <n v="0"/>
    <n v="0"/>
    <n v="0"/>
    <m/>
    <n v="299157"/>
    <n v="319185"/>
    <n v="5332"/>
    <n v="6579000000"/>
    <n v="20069"/>
    <n v="10010"/>
    <n v="0"/>
    <n v="20069"/>
    <x v="1"/>
    <n v="1"/>
    <x v="49"/>
  </r>
  <r>
    <d v="2025-11-24T00:00:00"/>
    <x v="15"/>
    <s v="PILOTO"/>
    <n v="11"/>
    <s v="VENTA DIRECTA"/>
    <n v="1405026"/>
    <x v="57"/>
    <s v="KIT"/>
    <n v="1"/>
    <m/>
    <n v="1"/>
    <n v="18849"/>
    <n v="18849"/>
    <n v="18849"/>
    <n v="18880.599999999999"/>
    <n v="31.6"/>
    <n v="31.6"/>
    <n v="1.6736756247152393E-3"/>
    <m/>
    <n v="299157"/>
    <m/>
    <n v="5332"/>
    <n v="6579000000"/>
    <n v="18880.599999999999"/>
    <n v="10010"/>
    <n v="-1.6736756247152393E-3"/>
    <n v="18880.599999999999"/>
    <x v="1"/>
    <n v="1"/>
    <x v="50"/>
  </r>
  <r>
    <d v="2025-11-24T00:00:00"/>
    <x v="15"/>
    <s v="PILOTO"/>
    <n v="11"/>
    <s v="VENTA DIRECTA"/>
    <s v="140207X"/>
    <x v="58"/>
    <s v="UND"/>
    <n v="1"/>
    <m/>
    <n v="1"/>
    <n v="17428"/>
    <n v="17428"/>
    <n v="17428"/>
    <n v="17428.4935"/>
    <n v="0.49349999999999999"/>
    <n v="0.49349999999999999"/>
    <n v="2.8316044632830243E-5"/>
    <m/>
    <n v="299157"/>
    <m/>
    <n v="5332"/>
    <n v="6579000000"/>
    <n v="17428.493505999999"/>
    <n v="10010"/>
    <n v="-2.8315700378836228E-5"/>
    <n v="17428.4935"/>
    <x v="1"/>
    <n v="1"/>
    <x v="51"/>
  </r>
  <r>
    <d v="2025-11-24T00:00:00"/>
    <x v="15"/>
    <s v="PILOTO"/>
    <n v="11"/>
    <s v="VENTA DIRECTA"/>
    <s v="140209X"/>
    <x v="59"/>
    <s v="UND"/>
    <n v="5"/>
    <m/>
    <n v="5"/>
    <n v="3021.2"/>
    <n v="15106"/>
    <n v="15106"/>
    <n v="3021.2829000000002"/>
    <n v="8.2900000000000001E-2"/>
    <n v="0.4143"/>
    <n v="2.7428414879995626E-5"/>
    <m/>
    <n v="299157"/>
    <m/>
    <n v="5332"/>
    <n v="6579000000"/>
    <n v="15106.414345000005"/>
    <n v="10010"/>
    <n v="-2.7438675140396863E-5"/>
    <n v="15106.414500000001"/>
    <x v="1"/>
    <n v="5"/>
    <x v="52"/>
  </r>
  <r>
    <d v="2025-11-24T00:00:00"/>
    <x v="15"/>
    <s v="PILOTO"/>
    <n v="11"/>
    <s v="VENTA DIRECTA"/>
    <n v="5316484"/>
    <x v="60"/>
    <s v="UND"/>
    <n v="1"/>
    <m/>
    <n v="1"/>
    <n v="7545"/>
    <n v="7545"/>
    <n v="7545"/>
    <n v="4372.7272999999996"/>
    <n v="-3172.2727"/>
    <n v="-3172.2727"/>
    <n v="-0.72546777536015772"/>
    <m/>
    <n v="299157"/>
    <m/>
    <n v="5332"/>
    <n v="6579000000"/>
    <n v="4372.7272730000004"/>
    <n v="10010"/>
    <n v="0.72546776470602248"/>
    <n v="4372.7272999999996"/>
    <x v="1"/>
    <n v="1"/>
    <x v="53"/>
  </r>
  <r>
    <d v="2025-11-24T00:00:00"/>
    <x v="15"/>
    <s v="PILOTO"/>
    <n v="11"/>
    <s v="VENTA DIRECTA"/>
    <n v="5316483"/>
    <x v="61"/>
    <s v="UND"/>
    <n v="1"/>
    <m/>
    <n v="1"/>
    <n v="7148"/>
    <n v="7148"/>
    <n v="7148"/>
    <n v="3237.6071000000002"/>
    <n v="-3910.3928999999998"/>
    <n v="-3910.3928999999998"/>
    <n v="-1.2078033820300351"/>
    <m/>
    <n v="299157"/>
    <m/>
    <n v="5332"/>
    <n v="6579000000"/>
    <n v="3237.6071430000002"/>
    <n v="10010"/>
    <n v="1.2078034113527858"/>
    <n v="3237.6071000000002"/>
    <x v="1"/>
    <n v="1"/>
    <x v="54"/>
  </r>
  <r>
    <d v="2025-11-24T00:00:00"/>
    <x v="15"/>
    <s v="PILOTO"/>
    <n v="11"/>
    <s v="VENTA DIRECTA"/>
    <n v="1801155"/>
    <x v="62"/>
    <s v="UND"/>
    <n v="1"/>
    <m/>
    <n v="1"/>
    <n v="23734"/>
    <n v="23734"/>
    <n v="23734"/>
    <n v="23733.489799999999"/>
    <n v="-0.51019999999999999"/>
    <n v="-0.51019999999999999"/>
    <n v="-2.1497217829479417E-5"/>
    <m/>
    <n v="299157"/>
    <m/>
    <n v="5332"/>
    <n v="6579000000"/>
    <n v="23733.489796000002"/>
    <n v="10010"/>
    <n v="2.1497049287737822E-5"/>
    <n v="23733.489799999999"/>
    <x v="1"/>
    <n v="1"/>
    <x v="55"/>
  </r>
  <r>
    <d v="2025-11-24T00:00:00"/>
    <x v="15"/>
    <s v="PILOTO"/>
    <n v="11"/>
    <s v="VENTA DIRECTA"/>
    <n v="1801154"/>
    <x v="63"/>
    <s v="UND"/>
    <n v="1"/>
    <m/>
    <n v="1"/>
    <n v="32739"/>
    <n v="32739"/>
    <n v="32739"/>
    <n v="32738.5"/>
    <n v="-0.5"/>
    <n v="-0.5"/>
    <n v="-1.5272538448615544E-5"/>
    <m/>
    <n v="299157"/>
    <m/>
    <n v="5332"/>
    <n v="6579000000"/>
    <n v="32738.5"/>
    <n v="10010"/>
    <n v="1.5272538448615544E-5"/>
    <n v="32738.5"/>
    <x v="1"/>
    <n v="1"/>
    <x v="56"/>
  </r>
  <r>
    <d v="2025-11-24T00:00:00"/>
    <x v="15"/>
    <s v="PILOTO"/>
    <n v="11"/>
    <s v="VENTA DIRECTA"/>
    <n v="1101971"/>
    <x v="64"/>
    <s v="KIT"/>
    <n v="3"/>
    <m/>
    <n v="3"/>
    <n v="44950"/>
    <n v="134850"/>
    <n v="134850"/>
    <n v="44950"/>
    <n v="0"/>
    <n v="0"/>
    <n v="0"/>
    <m/>
    <n v="299157"/>
    <m/>
    <n v="5332"/>
    <n v="6579000000"/>
    <n v="134850"/>
    <n v="10010"/>
    <n v="0"/>
    <n v="134850"/>
    <x v="1"/>
    <n v="3"/>
    <x v="57"/>
  </r>
  <r>
    <d v="2025-11-24T00:00:00"/>
    <x v="15"/>
    <s v="PILOTO"/>
    <n v="11"/>
    <s v="VENTA DIRECTA"/>
    <n v="1802005"/>
    <x v="65"/>
    <s v="UND"/>
    <n v="1"/>
    <m/>
    <n v="1"/>
    <n v="3780"/>
    <n v="3780"/>
    <n v="3780"/>
    <n v="3780.4088000000002"/>
    <n v="0.4088"/>
    <n v="0.4088"/>
    <n v="1.0813407295344464E-4"/>
    <m/>
    <n v="299157"/>
    <m/>
    <n v="5332"/>
    <n v="6579000000"/>
    <n v="3780.4087909999998"/>
    <n v="10010"/>
    <n v="-1.0813645339100778E-4"/>
    <n v="3780.4088000000002"/>
    <x v="1"/>
    <n v="1"/>
    <x v="58"/>
  </r>
  <r>
    <d v="2025-11-24T00:00:00"/>
    <x v="15"/>
    <s v="PILOTO"/>
    <n v="11"/>
    <s v="VENTA DIRECTA"/>
    <n v="1808043"/>
    <x v="66"/>
    <s v="UND"/>
    <n v="1"/>
    <m/>
    <n v="1"/>
    <n v="2780"/>
    <n v="2780"/>
    <n v="2780"/>
    <n v="2779.7273"/>
    <n v="-0.2727"/>
    <n v="-0.2727"/>
    <n v="-9.8112862599535934E-5"/>
    <m/>
    <n v="299157"/>
    <m/>
    <n v="5332"/>
    <n v="6579000000"/>
    <n v="2779.727273"/>
    <n v="10010"/>
    <n v="9.8103148463515169E-5"/>
    <n v="2779.7273"/>
    <x v="1"/>
    <n v="1"/>
    <x v="59"/>
  </r>
  <r>
    <d v="2025-11-24T00:00:00"/>
    <x v="15"/>
    <s v="PILOTO"/>
    <n v="11"/>
    <s v="VENTA DIRECTA"/>
    <n v="1801236"/>
    <x v="67"/>
    <s v="UND"/>
    <n v="1"/>
    <m/>
    <n v="1"/>
    <n v="9269"/>
    <n v="9269"/>
    <n v="9269"/>
    <n v="8938"/>
    <n v="-331"/>
    <n v="-331"/>
    <n v="-3.7032893264712465E-2"/>
    <m/>
    <n v="299157"/>
    <m/>
    <n v="5332"/>
    <n v="6579000000"/>
    <n v="8938"/>
    <n v="10010"/>
    <n v="3.7032893264712465E-2"/>
    <n v="8938"/>
    <x v="1"/>
    <n v="1"/>
    <x v="60"/>
  </r>
  <r>
    <d v="2025-11-24T00:00:00"/>
    <x v="15"/>
    <s v="PILOTO"/>
    <n v="11"/>
    <s v="VENTA DIRECTA"/>
    <n v="1801238"/>
    <x v="68"/>
    <s v="UND"/>
    <n v="1"/>
    <m/>
    <n v="1"/>
    <n v="16615"/>
    <n v="16615"/>
    <n v="16615"/>
    <n v="16615"/>
    <n v="0"/>
    <n v="0"/>
    <n v="0"/>
    <m/>
    <n v="299157"/>
    <m/>
    <n v="5332"/>
    <n v="6579000000"/>
    <n v="16615"/>
    <n v="10010"/>
    <n v="0"/>
    <n v="16615"/>
    <x v="1"/>
    <n v="1"/>
    <x v="61"/>
  </r>
  <r>
    <d v="2025-11-24T00:00:00"/>
    <x v="15"/>
    <s v="PILOTO"/>
    <n v="11"/>
    <s v="VENTA DIRECTA"/>
    <n v="1801011"/>
    <x v="69"/>
    <s v="UND"/>
    <n v="1"/>
    <m/>
    <n v="1"/>
    <n v="9273"/>
    <n v="9273"/>
    <n v="9273"/>
    <n v="9242.4218000000001"/>
    <n v="-30.578199999999999"/>
    <n v="-30.578199999999999"/>
    <n v="-3.3084652231043952E-3"/>
    <m/>
    <n v="299157"/>
    <m/>
    <n v="5332"/>
    <n v="6579000000"/>
    <n v="9242.4217690000005"/>
    <n v="10010"/>
    <n v="3.308461857908273E-3"/>
    <n v="9242.4218000000001"/>
    <x v="1"/>
    <n v="1"/>
    <x v="62"/>
  </r>
  <r>
    <d v="2025-10-08T00:00:00"/>
    <x v="16"/>
    <s v="PILOTO"/>
    <n v="10"/>
    <s v="VENTA DIRECTA"/>
    <n v="407423"/>
    <x v="70"/>
    <s v="UND"/>
    <n v="400"/>
    <m/>
    <n v="400"/>
    <n v="3.2124999999999999"/>
    <n v="1285"/>
    <n v="1285"/>
    <n v="106.6405"/>
    <n v="103.428"/>
    <n v="41371.200799999999"/>
    <n v="0.96987542312499131"/>
    <m/>
    <n v="294980"/>
    <n v="2578440"/>
    <n v="5284"/>
    <n v="6579000000"/>
    <n v="42656.200793513512"/>
    <n v="10010"/>
    <n v="-0.9698754225645978"/>
    <n v="42656.200000000004"/>
    <x v="1"/>
    <n v="400"/>
    <x v="63"/>
  </r>
  <r>
    <d v="2025-10-08T00:00:00"/>
    <x v="16"/>
    <s v="PILOTO"/>
    <n v="10"/>
    <s v="VENTA DIRECTA"/>
    <n v="407170"/>
    <x v="71"/>
    <s v="UND"/>
    <n v="200"/>
    <m/>
    <n v="200"/>
    <n v="5.7249999999999996"/>
    <n v="1145"/>
    <n v="1145"/>
    <n v="4.8802000000000003"/>
    <n v="-0.8448"/>
    <n v="-168.95679999999999"/>
    <n v="-0.1731038134377656"/>
    <m/>
    <n v="294980"/>
    <m/>
    <n v="5284"/>
    <n v="6579000000"/>
    <n v="976.04320000000018"/>
    <n v="10010"/>
    <n v="0.17310765952215057"/>
    <n v="976.04000000000008"/>
    <x v="1"/>
    <n v="200"/>
    <x v="64"/>
  </r>
  <r>
    <d v="2025-10-08T00:00:00"/>
    <x v="16"/>
    <s v="PILOTO"/>
    <n v="10"/>
    <s v="VENTA DIRECTA"/>
    <n v="304014"/>
    <x v="4"/>
    <s v="PL"/>
    <n v="24"/>
    <m/>
    <n v="24"/>
    <n v="20860.25"/>
    <n v="500646"/>
    <n v="500646"/>
    <n v="20894.5723"/>
    <n v="34.322299999999998"/>
    <n v="823.73479999999995"/>
    <n v="1.6426411860384427E-3"/>
    <m/>
    <n v="294980"/>
    <m/>
    <n v="5284"/>
    <n v="6579000000"/>
    <n v="501469.73483999993"/>
    <n v="10010"/>
    <n v="-1.6426419027490604E-3"/>
    <n v="501469.7352"/>
    <x v="1"/>
    <n v="24"/>
    <x v="4"/>
  </r>
  <r>
    <d v="2025-10-08T00:00:00"/>
    <x v="16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4980"/>
    <m/>
    <n v="5284"/>
    <n v="6579000000"/>
    <n v="18950"/>
    <n v="10010"/>
    <n v="0"/>
    <n v="18950"/>
    <x v="1"/>
    <n v="10"/>
    <x v="7"/>
  </r>
  <r>
    <d v="2025-10-08T00:00:00"/>
    <x v="16"/>
    <s v="PILOTO"/>
    <n v="10"/>
    <s v="VENTA DIRECTA"/>
    <n v="701040"/>
    <x v="1"/>
    <s v="PL"/>
    <n v="15"/>
    <m/>
    <n v="15"/>
    <n v="7722.8"/>
    <n v="115842"/>
    <n v="115842"/>
    <n v="7835.7259999999997"/>
    <n v="112.926"/>
    <n v="1693.8893"/>
    <n v="1.4411677317830504E-2"/>
    <m/>
    <n v="294980"/>
    <m/>
    <n v="5284"/>
    <n v="6579000000"/>
    <n v="117535.88930999996"/>
    <n v="10010"/>
    <n v="-1.4411683103773599E-2"/>
    <n v="117535.89"/>
    <x v="1"/>
    <n v="15"/>
    <x v="1"/>
  </r>
  <r>
    <d v="2025-10-08T00:00:00"/>
    <x v="16"/>
    <s v="PILOTO"/>
    <n v="10"/>
    <s v="VENTA DIRECTA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4980"/>
    <m/>
    <n v="5284"/>
    <n v="6579000000"/>
    <n v="171665.29532999994"/>
    <n v="10010"/>
    <n v="0.16127141481916898"/>
    <n v="171665.29499999998"/>
    <x v="0"/>
    <n v="15"/>
    <x v="43"/>
  </r>
  <r>
    <d v="2025-10-08T00:00:00"/>
    <x v="16"/>
    <s v="PILOTO"/>
    <n v="10"/>
    <s v="VENTA DIRECTA"/>
    <n v="304101"/>
    <x v="0"/>
    <s v="PL"/>
    <n v="24"/>
    <m/>
    <n v="24"/>
    <n v="10686.3333"/>
    <n v="256472"/>
    <n v="256472"/>
    <n v="9657.5879999999997"/>
    <n v="-1028.7454"/>
    <n v="-24689.889200000001"/>
    <n v="-0.10652197926225759"/>
    <m/>
    <n v="294980"/>
    <m/>
    <n v="5284"/>
    <n v="6579000000"/>
    <n v="231782.11080000011"/>
    <n v="10010"/>
    <n v="0.10652197008197083"/>
    <n v="231782.11199999999"/>
    <x v="0"/>
    <n v="24"/>
    <x v="0"/>
  </r>
  <r>
    <d v="2025-10-08T00:00:00"/>
    <x v="16"/>
    <s v="PILOTO"/>
    <n v="10"/>
    <s v="VENTA DIRECTA"/>
    <s v="030253X"/>
    <x v="3"/>
    <s v="PZA"/>
    <n v="10"/>
    <m/>
    <n v="10"/>
    <n v="14420.7"/>
    <n v="144207"/>
    <n v="144207"/>
    <n v="15359.702799999999"/>
    <n v="939.00279999999998"/>
    <n v="9390.0278999999991"/>
    <n v="6.1134176757444481E-2"/>
    <m/>
    <n v="294980"/>
    <m/>
    <n v="5284"/>
    <n v="6579000000"/>
    <n v="153597.02785000004"/>
    <n v="10010"/>
    <n v="-6.113417767432313E-2"/>
    <n v="153597.02799999999"/>
    <x v="0"/>
    <n v="10"/>
    <x v="3"/>
  </r>
  <r>
    <d v="2025-10-08T00:00:00"/>
    <x v="16"/>
    <s v="PILOTO"/>
    <n v="10"/>
    <s v="VENTA DIRECTA"/>
    <n v="302019"/>
    <x v="48"/>
    <s v="PZA"/>
    <n v="5"/>
    <m/>
    <n v="5"/>
    <n v="1661.6"/>
    <n v="8308"/>
    <n v="8308"/>
    <n v="1660.3430000000001"/>
    <n v="-1.2569999999999999"/>
    <n v="-6.2851999999999997"/>
    <n v="-7.5710021051466801E-4"/>
    <m/>
    <n v="294980"/>
    <m/>
    <n v="5284"/>
    <n v="6579000000"/>
    <n v="8301.7147700000005"/>
    <n v="10010"/>
    <n v="7.5707248442028808E-4"/>
    <n v="8301.7150000000001"/>
    <x v="1"/>
    <n v="5"/>
    <x v="42"/>
  </r>
  <r>
    <d v="2025-10-08T00:00:00"/>
    <x v="16"/>
    <s v="PILOTO"/>
    <n v="10"/>
    <s v="VENTA DIRECTA"/>
    <n v="302039"/>
    <x v="52"/>
    <s v="PZA"/>
    <n v="20"/>
    <m/>
    <n v="20"/>
    <n v="10135.950000000001"/>
    <n v="202719"/>
    <n v="202719"/>
    <n v="9825.5480000000007"/>
    <n v="-310.40199999999999"/>
    <n v="-6208.0409"/>
    <n v="-3.1591321460138259E-2"/>
    <m/>
    <n v="294980"/>
    <m/>
    <n v="5284"/>
    <n v="6579000000"/>
    <n v="196510.95912000001"/>
    <n v="10010"/>
    <n v="3.159131684054671E-2"/>
    <n v="196510.96000000002"/>
    <x v="1"/>
    <n v="20"/>
    <x v="46"/>
  </r>
  <r>
    <d v="2025-10-08T00:00:00"/>
    <x v="16"/>
    <s v="PILOTO"/>
    <n v="10"/>
    <s v="VENTA DIRECTA"/>
    <n v="302028"/>
    <x v="72"/>
    <s v="PZA"/>
    <n v="110"/>
    <m/>
    <n v="110"/>
    <n v="4435.6000000000004"/>
    <n v="487916"/>
    <n v="487916"/>
    <n v="5123.8024999999998"/>
    <n v="688.20249999999999"/>
    <n v="75702.278000000006"/>
    <n v="0.13431480299513912"/>
    <m/>
    <n v="294980"/>
    <m/>
    <n v="5284"/>
    <n v="6579000000"/>
    <n v="563618.27797000017"/>
    <n v="10010"/>
    <n v="-0.13431479843338995"/>
    <n v="563618.27500000002"/>
    <x v="0"/>
    <n v="110"/>
    <x v="65"/>
  </r>
  <r>
    <d v="2025-10-08T00:00:00"/>
    <x v="16"/>
    <s v="PILOTO"/>
    <n v="10"/>
    <s v="VENTA DIRECTA"/>
    <n v="302044"/>
    <x v="2"/>
    <s v="PZA"/>
    <n v="35"/>
    <m/>
    <n v="35"/>
    <n v="13934.4"/>
    <n v="487704"/>
    <n v="487704"/>
    <n v="13725.9625"/>
    <n v="-208.4375"/>
    <n v="-7295.3113000000003"/>
    <n v="-1.5185635650956191E-2"/>
    <m/>
    <n v="294980"/>
    <m/>
    <n v="5284"/>
    <n v="6579000000"/>
    <n v="480408.68868999998"/>
    <n v="10010"/>
    <n v="1.5185638165629551E-2"/>
    <n v="480408.6875"/>
    <x v="0"/>
    <n v="35"/>
    <x v="2"/>
  </r>
  <r>
    <d v="2025-10-08T00:00:00"/>
    <x v="16"/>
    <s v="PILOTO"/>
    <n v="10"/>
    <s v="VENTA DIRECTA"/>
    <n v="408014"/>
    <x v="73"/>
    <s v="CJA"/>
    <n v="1"/>
    <m/>
    <n v="1"/>
    <n v="14599"/>
    <n v="14599"/>
    <n v="14599"/>
    <n v="16182.1068"/>
    <n v="1583.1068"/>
    <n v="1583.1068"/>
    <n v="9.7830695674161069E-2"/>
    <m/>
    <n v="294980"/>
    <m/>
    <n v="5284"/>
    <n v="6579000000"/>
    <n v="16182.106762000009"/>
    <n v="10010"/>
    <n v="-9.7830697792700247E-2"/>
    <n v="16182.1068"/>
    <x v="1"/>
    <n v="1"/>
    <x v="66"/>
  </r>
  <r>
    <d v="2025-10-08T00:00:00"/>
    <x v="16"/>
    <s v="PILOTO"/>
    <n v="10"/>
    <s v="VENTA DIRECTA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294980"/>
    <m/>
    <n v="5284"/>
    <n v="6579000000"/>
    <n v="17500.092714999999"/>
    <n v="10010"/>
    <n v="-5.2971147976295791E-6"/>
    <n v="17500.092700000001"/>
    <x v="1"/>
    <n v="1"/>
    <x v="67"/>
  </r>
  <r>
    <d v="2025-10-08T00:00:00"/>
    <x v="16"/>
    <s v="PILOTO"/>
    <n v="10"/>
    <s v="VENTA DIRECTA"/>
    <n v="410045"/>
    <x v="75"/>
    <s v="UND"/>
    <n v="20"/>
    <m/>
    <n v="20"/>
    <n v="368"/>
    <n v="7360"/>
    <n v="7360"/>
    <n v="368.00139999999999"/>
    <n v="1.4E-3"/>
    <n v="2.7199999999999998E-2"/>
    <n v="3.6983558871065354E-6"/>
    <m/>
    <n v="294980"/>
    <m/>
    <n v="5284"/>
    <n v="6579000000"/>
    <n v="7360.0272199999981"/>
    <n v="10010"/>
    <n v="-3.8043333530514605E-6"/>
    <n v="7360.0280000000002"/>
    <x v="1"/>
    <n v="20"/>
    <x v="68"/>
  </r>
  <r>
    <d v="2025-10-08T00:00:00"/>
    <x v="16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4980"/>
    <m/>
    <n v="5284"/>
    <n v="6579000000"/>
    <n v="21212.999999999996"/>
    <n v="10010"/>
    <n v="0"/>
    <n v="21213"/>
    <x v="1"/>
    <n v="1"/>
    <x v="5"/>
  </r>
  <r>
    <d v="2025-10-08T00:00:00"/>
    <x v="16"/>
    <s v="PILOTO"/>
    <n v="10"/>
    <s v="VENTA DIRECTA"/>
    <n v="408071"/>
    <x v="76"/>
    <s v="CJA"/>
    <n v="1"/>
    <m/>
    <n v="1"/>
    <n v="23224"/>
    <n v="23224"/>
    <n v="23224"/>
    <n v="23200.297900000001"/>
    <n v="-23.702100000000002"/>
    <n v="-23.702100000000002"/>
    <n v="-1.0216303312478017E-3"/>
    <m/>
    <n v="294980"/>
    <m/>
    <n v="5284"/>
    <n v="6579000000"/>
    <n v="23200.297871999981"/>
    <n v="10010"/>
    <n v="1.0216291231328804E-3"/>
    <n v="23200.297900000001"/>
    <x v="1"/>
    <n v="1"/>
    <x v="69"/>
  </r>
  <r>
    <d v="2025-10-08T00:00:00"/>
    <x v="16"/>
    <s v="PILOTO"/>
    <n v="10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294980"/>
    <m/>
    <n v="5284"/>
    <n v="6579000000"/>
    <n v="69999.923200000048"/>
    <n v="10010"/>
    <n v="1.1428584490190236E-6"/>
    <n v="69999.92"/>
    <x v="1"/>
    <n v="100"/>
    <x v="4"/>
  </r>
  <r>
    <d v="2025-10-14T00:00:00"/>
    <x v="0"/>
    <s v="M-00001"/>
    <n v="10"/>
    <s v="FABRICACION DE TABIQUES MUROS Y CIELOS "/>
    <n v="408071"/>
    <x v="76"/>
    <s v="CJA"/>
    <n v="8"/>
    <m/>
    <n v="8"/>
    <n v="23224.375"/>
    <n v="185795"/>
    <n v="185795"/>
    <n v="23200.297900000001"/>
    <n v="-24.077100000000002"/>
    <n v="-192.61699999999999"/>
    <n v="-1.0377939168219582E-3"/>
    <m/>
    <n v="50236654"/>
    <n v="4959999"/>
    <n v="5284"/>
    <n v="6579000000"/>
    <n v="185602.38297599985"/>
    <n v="10010"/>
    <n v="1.0377927086875297E-3"/>
    <n v="185602.38320000001"/>
    <x v="1"/>
    <n v="8"/>
    <x v="69"/>
  </r>
  <r>
    <d v="2025-10-14T00:00:00"/>
    <x v="0"/>
    <s v="M-00001"/>
    <n v="10"/>
    <s v="FABRICACION DE TABIQUES MUROS Y CIELOS "/>
    <n v="302028"/>
    <x v="72"/>
    <s v="PZA"/>
    <n v="409"/>
    <m/>
    <n v="409"/>
    <n v="4435.6039000000001"/>
    <n v="1814162"/>
    <n v="1814162"/>
    <n v="5123.8024999999998"/>
    <n v="688.19860000000006"/>
    <n v="281473.23349999997"/>
    <n v="0.1343140395034903"/>
    <m/>
    <n v="50236654"/>
    <m/>
    <n v="5284"/>
    <n v="6579000000"/>
    <n v="2095635.2335430009"/>
    <n v="10010"/>
    <n v="-0.13431403727993024"/>
    <n v="2095635.2224999999"/>
    <x v="0"/>
    <n v="409"/>
    <x v="65"/>
  </r>
  <r>
    <d v="2025-10-14T00:00:00"/>
    <x v="0"/>
    <s v="M-00001"/>
    <n v="10"/>
    <s v="FABRICACION DE TABIQUES MUROS Y CIELOS "/>
    <n v="302046"/>
    <x v="78"/>
    <s v="PZA"/>
    <n v="67"/>
    <m/>
    <n v="67"/>
    <n v="9831.4627"/>
    <n v="658708"/>
    <n v="658708"/>
    <n v="10156.5985"/>
    <n v="325.13580000000002"/>
    <n v="21784.097300000001"/>
    <n v="3.201227079019054E-2"/>
    <m/>
    <n v="50236654"/>
    <m/>
    <n v="5284"/>
    <n v="6579000000"/>
    <n v="680492.09728900006"/>
    <n v="10010"/>
    <n v="-3.2012272612725608E-2"/>
    <n v="680492.09950000001"/>
    <x v="0"/>
    <n v="67"/>
    <x v="46"/>
  </r>
  <r>
    <d v="2025-10-14T00:00:00"/>
    <x v="0"/>
    <s v="M-00001"/>
    <n v="10"/>
    <s v="FABRICACION DE TABIQUES MUROS Y CIELOS "/>
    <n v="302039"/>
    <x v="52"/>
    <s v="PZA"/>
    <n v="47"/>
    <m/>
    <n v="47"/>
    <n v="10135.9362"/>
    <n v="476389"/>
    <n v="476389"/>
    <n v="9825.5480000000007"/>
    <n v="-310.38819999999998"/>
    <n v="-14588.2461"/>
    <n v="-3.1589913926706389E-2"/>
    <m/>
    <n v="50236654"/>
    <m/>
    <n v="5284"/>
    <n v="6579000000"/>
    <n v="461800.75393200002"/>
    <n v="10010"/>
    <n v="3.1589912338731582E-2"/>
    <n v="461800.75600000005"/>
    <x v="1"/>
    <n v="47"/>
    <x v="46"/>
  </r>
  <r>
    <d v="2025-10-14T00:00:00"/>
    <x v="0"/>
    <s v="M-00001"/>
    <n v="10"/>
    <s v="FABRICACION DE TABIQUES MUROS Y CIELOS "/>
    <n v="304101"/>
    <x v="0"/>
    <s v="PL"/>
    <n v="61"/>
    <m/>
    <n v="61"/>
    <n v="10686.3115"/>
    <n v="651865"/>
    <n v="651865"/>
    <n v="9657.5879999999997"/>
    <n v="-1028.7235000000001"/>
    <n v="-62752.135000000002"/>
    <n v="-0.10651971597212652"/>
    <m/>
    <n v="50236654"/>
    <m/>
    <n v="5284"/>
    <n v="6579000000"/>
    <n v="589112.86495000031"/>
    <n v="10010"/>
    <n v="0.10651971278957025"/>
    <n v="589112.86800000002"/>
    <x v="0"/>
    <n v="61"/>
    <x v="0"/>
  </r>
  <r>
    <d v="2025-10-14T00:00:00"/>
    <x v="0"/>
    <s v="M-00001"/>
    <n v="10"/>
    <s v="FABRICACION DE TABIQUES MUROS Y CIELOS "/>
    <n v="304007"/>
    <x v="49"/>
    <s v="PL"/>
    <n v="30"/>
    <m/>
    <n v="30"/>
    <n v="13290"/>
    <n v="398700"/>
    <n v="398700"/>
    <n v="11444.352999999999"/>
    <n v="-1845.6469999999999"/>
    <n v="-55369.409299999999"/>
    <n v="-0.1612714125868045"/>
    <m/>
    <n v="50236654"/>
    <m/>
    <n v="5284"/>
    <n v="6579000000"/>
    <n v="343330.59065999987"/>
    <n v="10010"/>
    <n v="0.16127141481916898"/>
    <n v="343330.58999999997"/>
    <x v="0"/>
    <n v="30"/>
    <x v="43"/>
  </r>
  <r>
    <d v="2025-10-14T00:00:00"/>
    <x v="0"/>
    <s v="M-00001"/>
    <n v="10"/>
    <s v="FABRICACION DE TABIQUES MUROS Y CIELOS "/>
    <n v="701040"/>
    <x v="1"/>
    <s v="PL"/>
    <n v="86"/>
    <m/>
    <n v="86"/>
    <n v="4224.0465000000004"/>
    <n v="363268"/>
    <n v="363268"/>
    <n v="7835.7259999999997"/>
    <n v="3611.6794"/>
    <n v="310604.43199999997"/>
    <n v="0.46092467546397442"/>
    <m/>
    <n v="50236654"/>
    <m/>
    <n v="5284"/>
    <n v="6579000000"/>
    <n v="673872.43204399978"/>
    <n v="10010"/>
    <n v="-0.46092468011260213"/>
    <n v="673872.43599999999"/>
    <x v="1"/>
    <n v="86"/>
    <x v="1"/>
  </r>
  <r>
    <d v="2025-10-14T00:00:00"/>
    <x v="0"/>
    <s v="M-00001"/>
    <n v="10"/>
    <s v="FABRICACION DE TABIQUES MUROS Y CIELOS "/>
    <n v="701022"/>
    <x v="45"/>
    <s v="PL"/>
    <n v="16"/>
    <m/>
    <n v="16"/>
    <n v="11071.5625"/>
    <n v="177145"/>
    <n v="177145"/>
    <n v="11163.5985"/>
    <n v="92.036000000000001"/>
    <n v="1472.5762"/>
    <n v="8.2442959514852539E-3"/>
    <m/>
    <n v="50236654"/>
    <m/>
    <n v="5284"/>
    <n v="6579000000"/>
    <n v="178617.57616"/>
    <n v="10010"/>
    <n v="-8.2442950631017465E-3"/>
    <n v="178617.576"/>
    <x v="1"/>
    <n v="16"/>
    <x v="1"/>
  </r>
  <r>
    <d v="2025-10-14T00:00:00"/>
    <x v="0"/>
    <s v="M-00001"/>
    <n v="10"/>
    <s v="FABRICACION DE TABIQUES MUROS Y CIELOS "/>
    <n v="1901505"/>
    <x v="7"/>
    <s v="KG"/>
    <n v="91"/>
    <m/>
    <n v="91"/>
    <n v="1895"/>
    <n v="172445"/>
    <n v="172445"/>
    <n v="1895"/>
    <n v="0"/>
    <n v="0"/>
    <n v="0"/>
    <m/>
    <n v="50236654"/>
    <m/>
    <n v="5284"/>
    <n v="6579000000"/>
    <n v="172445"/>
    <n v="10010"/>
    <n v="0"/>
    <n v="172445"/>
    <x v="1"/>
    <n v="91"/>
    <x v="7"/>
  </r>
  <r>
    <d v="2025-10-14T00:00:00"/>
    <x v="0"/>
    <s v="M-00001"/>
    <n v="10"/>
    <s v="FABRICACION DE TABIQUES MUROS Y CIELOS "/>
    <n v="407170"/>
    <x v="71"/>
    <s v="UND"/>
    <n v="304"/>
    <m/>
    <n v="304"/>
    <n v="5.7270000000000003"/>
    <n v="1741"/>
    <n v="1741"/>
    <n v="4.8802000000000003"/>
    <n v="-0.8468"/>
    <n v="-257.41430000000003"/>
    <n v="-0.17350823902272475"/>
    <m/>
    <n v="50236654"/>
    <m/>
    <n v="5284"/>
    <n v="6579000000"/>
    <n v="1483.5856640000002"/>
    <n v="10010"/>
    <n v="0.17351747879185278"/>
    <n v="1483.5808000000002"/>
    <x v="1"/>
    <n v="304"/>
    <x v="64"/>
  </r>
  <r>
    <d v="2025-10-14T00:00:00"/>
    <x v="0"/>
    <s v="M-00001"/>
    <n v="10"/>
    <s v="FABRICACION DE TABIQUES MUROS Y CIELOS "/>
    <n v="407423"/>
    <x v="70"/>
    <s v="UND"/>
    <n v="1578"/>
    <m/>
    <n v="1578"/>
    <n v="3.2128999999999999"/>
    <n v="5070"/>
    <n v="5070"/>
    <n v="106.6405"/>
    <n v="103.4276"/>
    <n v="163208.7121"/>
    <n v="0.96987141192243664"/>
    <m/>
    <n v="50236654"/>
    <m/>
    <n v="5284"/>
    <n v="6579000000"/>
    <n v="168278.7121304108"/>
    <n v="10010"/>
    <n v="-0.96987167164445021"/>
    <n v="168278.709"/>
    <x v="1"/>
    <n v="1578"/>
    <x v="63"/>
  </r>
  <r>
    <d v="2025-10-14T00:00:00"/>
    <x v="0"/>
    <s v="M-00001"/>
    <n v="10"/>
    <s v="FABRICACION DE TABIQUES MUROS Y CIELOS "/>
    <n v="701015"/>
    <x v="46"/>
    <s v="PL"/>
    <n v="6"/>
    <m/>
    <n v="6"/>
    <n v="9118.5"/>
    <n v="54711"/>
    <n v="54711"/>
    <n v="9151.2975000000006"/>
    <n v="32.797499999999999"/>
    <n v="196.78479999999999"/>
    <n v="3.5839145339429655E-3"/>
    <m/>
    <n v="50236654"/>
    <m/>
    <n v="5284"/>
    <n v="6579000000"/>
    <n v="54907.784807999997"/>
    <n v="10010"/>
    <n v="-3.5839180181827311E-3"/>
    <n v="54907.785000000003"/>
    <x v="1"/>
    <n v="6"/>
    <x v="41"/>
  </r>
  <r>
    <d v="2025-11-25T00:00:00"/>
    <x v="5"/>
    <s v="PILOTO"/>
    <n v="11"/>
    <s v="VENTA DIRECTA"/>
    <n v="704092"/>
    <x v="79"/>
    <s v="UND"/>
    <n v="50"/>
    <m/>
    <n v="50"/>
    <n v="273.48"/>
    <n v="13674"/>
    <n v="13674"/>
    <n v="273.47430000000003"/>
    <n v="-5.7000000000000002E-3"/>
    <n v="-0.28649999999999998"/>
    <n v="-2.0948954280348871E-5"/>
    <m/>
    <n v="299352"/>
    <n v="105172"/>
    <n v="5332"/>
    <n v="6579000000"/>
    <n v="13673.71355"/>
    <n v="10010"/>
    <n v="2.0842909187409083E-5"/>
    <n v="13673.715000000002"/>
    <x v="1"/>
    <n v="50"/>
    <x v="70"/>
  </r>
  <r>
    <d v="2025-11-25T00:00:00"/>
    <x v="5"/>
    <s v="PILOTO"/>
    <n v="11"/>
    <s v="VENTA DIRECTA"/>
    <n v="1101946"/>
    <x v="80"/>
    <s v="KIT"/>
    <n v="1"/>
    <m/>
    <n v="1"/>
    <n v="52060"/>
    <n v="52060"/>
    <n v="52060"/>
    <n v="52385.051299999999"/>
    <n v="325.05130000000003"/>
    <n v="325.05130000000003"/>
    <n v="6.2050389194081221E-3"/>
    <m/>
    <n v="299352"/>
    <m/>
    <n v="5332"/>
    <n v="6579000000"/>
    <n v="52385.051282"/>
    <n v="10010"/>
    <n v="-6.205039260885465E-3"/>
    <n v="52385.051299999999"/>
    <x v="1"/>
    <n v="1"/>
    <x v="71"/>
  </r>
  <r>
    <d v="2025-11-25T00:00:00"/>
    <x v="5"/>
    <s v="PILOTO"/>
    <n v="11"/>
    <s v="VENTA DIRECTA"/>
    <n v="1401065"/>
    <x v="81"/>
    <s v="UND"/>
    <n v="3"/>
    <m/>
    <n v="3"/>
    <n v="13146"/>
    <n v="39438"/>
    <n v="39438"/>
    <n v="13116.498600000001"/>
    <n v="-29.5014"/>
    <n v="-88.504199999999997"/>
    <n v="-2.2491820327916012E-3"/>
    <m/>
    <n v="299352"/>
    <m/>
    <n v="5332"/>
    <n v="6579000000"/>
    <n v="39349.495820999997"/>
    <n v="10010"/>
    <n v="2.2491825676708562E-3"/>
    <n v="39349.495800000004"/>
    <x v="1"/>
    <n v="3"/>
    <x v="72"/>
  </r>
  <r>
    <d v="2025-11-25T00:00:00"/>
    <x v="5"/>
    <s v="PILOTO"/>
    <n v="11"/>
    <s v="VENTA DIRECTA"/>
    <n v="1105121"/>
    <x v="82"/>
    <s v="KIT"/>
    <n v="1"/>
    <m/>
    <n v="1"/>
    <n v="96540"/>
    <n v="96540"/>
    <n v="96540"/>
    <n v="96540.363599999997"/>
    <n v="0.36359999999999998"/>
    <n v="0.36359999999999998"/>
    <n v="3.7666731955315015E-6"/>
    <m/>
    <n v="299276"/>
    <n v="231290"/>
    <n v="5332"/>
    <n v="6579000000"/>
    <n v="96540.363635999995"/>
    <n v="10010"/>
    <n v="-3.7663002959411884E-6"/>
    <n v="96540.363599999997"/>
    <x v="1"/>
    <n v="1"/>
    <x v="73"/>
  </r>
  <r>
    <d v="2025-11-25T00:00:00"/>
    <x v="5"/>
    <s v="PILOTO"/>
    <n v="11"/>
    <s v="VENTA DIRECTA"/>
    <n v="1105122"/>
    <x v="83"/>
    <s v="KIT"/>
    <n v="1"/>
    <m/>
    <n v="1"/>
    <n v="134750"/>
    <n v="134750"/>
    <n v="134750"/>
    <n v="134750"/>
    <n v="0"/>
    <n v="0"/>
    <n v="0"/>
    <m/>
    <n v="299276"/>
    <m/>
    <n v="5332"/>
    <n v="6579000000"/>
    <n v="134750"/>
    <n v="10010"/>
    <n v="0"/>
    <n v="134750"/>
    <x v="1"/>
    <n v="1"/>
    <x v="74"/>
  </r>
  <r>
    <d v="2025-11-25T00:00:00"/>
    <x v="5"/>
    <s v="PILOTO"/>
    <n v="11"/>
    <s v="ENTREGA 3 KIT DE MARCO"/>
    <n v="1801700"/>
    <x v="84"/>
    <s v="UND"/>
    <n v="3"/>
    <m/>
    <n v="3"/>
    <n v="15550.6667"/>
    <n v="46652"/>
    <n v="46652"/>
    <n v="13379.8595"/>
    <n v="-2170.8072000000002"/>
    <n v="-6512.4215000000004"/>
    <n v="-0.16224439143159078"/>
    <m/>
    <n v="299273"/>
    <n v="46652"/>
    <n v="5332"/>
    <n v="6579000000"/>
    <n v="40139.578512"/>
    <n v="10010"/>
    <n v="0.16224439427035831"/>
    <n v="40139.578500000003"/>
    <x v="1"/>
    <n v="3"/>
    <x v="75"/>
  </r>
  <r>
    <d v="2025-11-24T00:00:00"/>
    <x v="15"/>
    <s v="M-00004"/>
    <n v="11"/>
    <s v="PISO"/>
    <n v="1901229"/>
    <x v="85"/>
    <s v="KG"/>
    <n v="47"/>
    <m/>
    <n v="47"/>
    <n v="1898.7872"/>
    <n v="89243"/>
    <n v="89243"/>
    <n v="1896.2317"/>
    <n v="-2.5554999999999999"/>
    <n v="-120.1084"/>
    <n v="-1.3476712749234208E-3"/>
    <m/>
    <n v="299237"/>
    <n v="2091919"/>
    <n v="5332"/>
    <n v="6579000000"/>
    <n v="89122.891639000023"/>
    <n v="10010"/>
    <n v="1.3476728608639642E-3"/>
    <n v="89122.889900000009"/>
    <x v="1"/>
    <n v="47"/>
    <x v="7"/>
  </r>
  <r>
    <d v="2025-11-24T00:00:00"/>
    <x v="15"/>
    <s v="M-00004"/>
    <n v="11"/>
    <s v="PISO"/>
    <n v="304014"/>
    <x v="4"/>
    <s v="PL"/>
    <n v="42"/>
    <m/>
    <n v="42"/>
    <n v="20836.857100000001"/>
    <n v="875148"/>
    <n v="875148"/>
    <n v="20894.5723"/>
    <n v="57.7151"/>
    <n v="2424.0360000000001"/>
    <n v="2.762207397960962E-3"/>
    <m/>
    <n v="299237"/>
    <m/>
    <n v="5332"/>
    <n v="6579000000"/>
    <n v="877572.03596999997"/>
    <n v="10010"/>
    <n v="-2.7622101649813972E-3"/>
    <n v="877572.03659999999"/>
    <x v="1"/>
    <n v="42"/>
    <x v="4"/>
  </r>
  <r>
    <d v="2025-11-24T00:00:00"/>
    <x v="15"/>
    <s v="M-00004"/>
    <n v="11"/>
    <s v="PISO"/>
    <n v="302048"/>
    <x v="86"/>
    <s v="PZA"/>
    <n v="45"/>
    <m/>
    <n v="45"/>
    <n v="13459.7111"/>
    <n v="605687"/>
    <n v="605687"/>
    <n v="13710.695"/>
    <n v="250.9838"/>
    <n v="11294.2732"/>
    <n v="1.8305698624527043E-2"/>
    <m/>
    <n v="299237"/>
    <m/>
    <n v="5332"/>
    <n v="6579000000"/>
    <n v="616981.27324499993"/>
    <n v="10010"/>
    <n v="-1.8305702227348744E-2"/>
    <n v="616981.27500000002"/>
    <x v="0"/>
    <n v="45"/>
    <x v="2"/>
  </r>
  <r>
    <d v="2025-11-24T00:00:00"/>
    <x v="15"/>
    <s v="M-00004"/>
    <n v="11"/>
    <s v="PISO"/>
    <n v="302044"/>
    <x v="2"/>
    <s v="PZA"/>
    <n v="20"/>
    <m/>
    <n v="20"/>
    <n v="13934.4"/>
    <n v="278688"/>
    <n v="278688"/>
    <n v="13725.9625"/>
    <n v="-208.4375"/>
    <n v="-4168.7493000000004"/>
    <n v="-1.5185635650956191E-2"/>
    <m/>
    <n v="299237"/>
    <m/>
    <n v="5332"/>
    <n v="6579000000"/>
    <n v="274519.25068"/>
    <n v="10010"/>
    <n v="1.5185638165629551E-2"/>
    <n v="274519.25"/>
    <x v="0"/>
    <n v="20"/>
    <x v="2"/>
  </r>
  <r>
    <d v="2025-11-24T00:00:00"/>
    <x v="15"/>
    <s v="M-00004"/>
    <n v="11"/>
    <s v="PISO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9237"/>
    <m/>
    <n v="5332"/>
    <n v="6579000000"/>
    <n v="18969.57447"/>
    <n v="10010"/>
    <n v="2.245701458556375E-5"/>
    <n v="18969.574000000001"/>
    <x v="1"/>
    <n v="10"/>
    <x v="42"/>
  </r>
  <r>
    <d v="2025-11-24T00:00:00"/>
    <x v="15"/>
    <s v="M-00004"/>
    <n v="11"/>
    <s v="PISO"/>
    <s v="030253X"/>
    <x v="3"/>
    <s v="PZA"/>
    <n v="14"/>
    <m/>
    <n v="14"/>
    <n v="16013.071400000001"/>
    <n v="224183"/>
    <n v="224183"/>
    <n v="15359.702799999999"/>
    <n v="-653.36860000000001"/>
    <n v="-9147.1610000000001"/>
    <n v="-4.2537844170363361E-2"/>
    <m/>
    <n v="299237"/>
    <m/>
    <n v="5332"/>
    <n v="6579000000"/>
    <n v="215035.83899000005"/>
    <n v="10010"/>
    <n v="4.2537841292085522E-2"/>
    <n v="215035.83919999999"/>
    <x v="0"/>
    <n v="14"/>
    <x v="3"/>
  </r>
  <r>
    <d v="2025-11-24T00:00:00"/>
    <x v="15"/>
    <s v="PILOTO"/>
    <n v="11"/>
    <s v="VENTA DIRECTA"/>
    <n v="408013"/>
    <x v="88"/>
    <s v="CJA"/>
    <n v="1"/>
    <m/>
    <n v="1"/>
    <n v="2698"/>
    <n v="2698"/>
    <n v="2698"/>
    <n v="2520.4767999999999"/>
    <n v="-177.5232"/>
    <n v="-177.5232"/>
    <n v="-7.0432396524597235E-2"/>
    <m/>
    <n v="299130"/>
    <n v="153166"/>
    <n v="5332"/>
    <n v="6579000000"/>
    <n v="2520.47678"/>
    <n v="10010"/>
    <n v="7.0432388030709142E-2"/>
    <n v="2520.4767999999999"/>
    <x v="1"/>
    <n v="1"/>
    <x v="76"/>
  </r>
  <r>
    <d v="2025-11-24T00:00:00"/>
    <x v="15"/>
    <s v="PILOTO"/>
    <n v="11"/>
    <s v="VENTA DIRECTA"/>
    <n v="601047"/>
    <x v="89"/>
    <s v="TIN"/>
    <n v="1"/>
    <m/>
    <n v="1"/>
    <n v="49239"/>
    <n v="49239"/>
    <n v="49239"/>
    <n v="50286.86"/>
    <n v="1047.8599999999999"/>
    <n v="1047.8599999999999"/>
    <n v="2.0837650233082768E-2"/>
    <m/>
    <n v="299130"/>
    <m/>
    <n v="5332"/>
    <n v="6579000000"/>
    <n v="50286.86"/>
    <n v="10010"/>
    <n v="-2.0837650233082768E-2"/>
    <n v="50286.86"/>
    <x v="1"/>
    <n v="1"/>
    <x v="77"/>
  </r>
  <r>
    <d v="2025-11-24T00:00:00"/>
    <x v="15"/>
    <s v="PILOTO"/>
    <n v="11"/>
    <s v="VENTA DIRECTA"/>
    <n v="704091"/>
    <x v="90"/>
    <s v="UND"/>
    <n v="100"/>
    <m/>
    <n v="100"/>
    <n v="175.16"/>
    <n v="17516"/>
    <n v="17516"/>
    <n v="175.1551"/>
    <n v="-4.8999999999999998E-3"/>
    <n v="-0.4914"/>
    <n v="-2.805513737685703E-5"/>
    <m/>
    <n v="299130"/>
    <m/>
    <n v="5332"/>
    <n v="6579000000"/>
    <n v="17515.508600000001"/>
    <n v="10010"/>
    <n v="2.7975205974545605E-5"/>
    <n v="17515.510000000002"/>
    <x v="1"/>
    <n v="100"/>
    <x v="78"/>
  </r>
  <r>
    <d v="2025-11-24T00:00:00"/>
    <x v="15"/>
    <s v="PILOTO"/>
    <n v="11"/>
    <s v="VENTA DIRECTA"/>
    <n v="704107"/>
    <x v="91"/>
    <s v="UND"/>
    <n v="100"/>
    <m/>
    <n v="100"/>
    <n v="236.85"/>
    <n v="23685"/>
    <n v="23685"/>
    <n v="236.85499999999999"/>
    <n v="5.0000000000000001E-3"/>
    <n v="0.50180000000000002"/>
    <n v="2.1185956043400569E-5"/>
    <m/>
    <n v="299130"/>
    <m/>
    <n v="5332"/>
    <n v="6579000000"/>
    <n v="23685.501799999998"/>
    <n v="10010"/>
    <n v="-2.110996179094996E-5"/>
    <n v="23685.5"/>
    <x v="1"/>
    <n v="100"/>
    <x v="79"/>
  </r>
  <r>
    <d v="2025-11-24T00:00:00"/>
    <x v="15"/>
    <s v="PILOTO"/>
    <n v="11"/>
    <s v="VENTA DIRECTA"/>
    <n v="2304003"/>
    <x v="92"/>
    <s v="UND"/>
    <n v="3"/>
    <m/>
    <n v="3"/>
    <n v="1313"/>
    <n v="3939"/>
    <n v="3939"/>
    <n v="1297.1352999999999"/>
    <n v="-15.864699999999999"/>
    <n v="-47.594200000000001"/>
    <n v="-1.2230596503512514E-2"/>
    <m/>
    <n v="299130"/>
    <m/>
    <n v="5332"/>
    <n v="6579000000"/>
    <n v="3891.4057859999998"/>
    <n v="10010"/>
    <n v="1.2230566849888432E-2"/>
    <n v="3891.4058999999997"/>
    <x v="1"/>
    <n v="3"/>
    <x v="80"/>
  </r>
  <r>
    <d v="2025-11-24T00:00:00"/>
    <x v="15"/>
    <s v="PILOTO"/>
    <n v="11"/>
    <s v="VENTA DIRECT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299130"/>
    <m/>
    <n v="5332"/>
    <n v="6579000000"/>
    <n v="5715.0265479999998"/>
    <n v="10010"/>
    <n v="-4.6543965342425642E-6"/>
    <n v="5715.0266000000001"/>
    <x v="1"/>
    <n v="2"/>
    <x v="81"/>
  </r>
  <r>
    <d v="2025-11-24T00:00:00"/>
    <x v="15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130"/>
    <m/>
    <n v="5332"/>
    <n v="6579000000"/>
    <n v="4084.2394119999999"/>
    <n v="10010"/>
    <n v="2.1977311124318537E-2"/>
    <n v="4084.2393999999999"/>
    <x v="1"/>
    <n v="2"/>
    <x v="82"/>
  </r>
  <r>
    <d v="2025-11-24T00:00:00"/>
    <x v="15"/>
    <s v="PILOTO"/>
    <n v="11"/>
    <s v="VENTA DIRECTA"/>
    <n v="2302119"/>
    <x v="44"/>
    <s v="UND"/>
    <n v="12"/>
    <m/>
    <n v="12"/>
    <n v="3850"/>
    <n v="46200"/>
    <n v="46200"/>
    <n v="3671"/>
    <n v="-179"/>
    <n v="-2148"/>
    <n v="-4.8760555706891855E-2"/>
    <m/>
    <n v="299130"/>
    <m/>
    <n v="5332"/>
    <n v="6579000000"/>
    <n v="44052"/>
    <n v="10010"/>
    <n v="4.8760555706891855E-2"/>
    <n v="44052"/>
    <x v="1"/>
    <n v="12"/>
    <x v="40"/>
  </r>
  <r>
    <d v="2025-11-20T00:00:00"/>
    <x v="17"/>
    <s v="PILOTO"/>
    <n v="11"/>
    <s v="VENTA DIRECTA"/>
    <n v="609008"/>
    <x v="30"/>
    <s v="LTS"/>
    <n v="3"/>
    <m/>
    <n v="3"/>
    <n v="2297.3332999999998"/>
    <n v="6892"/>
    <n v="6892"/>
    <n v="2130.7573000000002"/>
    <n v="-166.57599999999999"/>
    <n v="-499.72809999999998"/>
    <n v="-7.8176910411882405E-2"/>
    <m/>
    <n v="299040"/>
    <n v="22568"/>
    <n v="5332"/>
    <n v="6579000000"/>
    <n v="6392.2719299999999"/>
    <n v="10010"/>
    <n v="7.8176899828056229E-2"/>
    <n v="6392.2719000000006"/>
    <x v="1"/>
    <n v="3"/>
    <x v="27"/>
  </r>
  <r>
    <d v="2025-11-20T00:00:00"/>
    <x v="17"/>
    <s v="PILOTO"/>
    <n v="11"/>
    <s v="VENTA DIRECTA"/>
    <n v="617016"/>
    <x v="93"/>
    <s v="UND"/>
    <n v="3"/>
    <m/>
    <n v="3"/>
    <n v="2857.6667000000002"/>
    <n v="8573"/>
    <n v="8573"/>
    <n v="2857.5133000000001"/>
    <n v="-0.15340000000000001"/>
    <n v="-0.4602"/>
    <n v="-5.3680473879963083E-5"/>
    <m/>
    <n v="299040"/>
    <m/>
    <n v="5332"/>
    <n v="6579000000"/>
    <n v="8572.5398219999988"/>
    <n v="10010"/>
    <n v="5.3683039725535823E-5"/>
    <n v="8572.5398999999998"/>
    <x v="1"/>
    <n v="3"/>
    <x v="81"/>
  </r>
  <r>
    <d v="2025-11-20T00:00:00"/>
    <x v="17"/>
    <s v="PILOTO"/>
    <n v="11"/>
    <s v="VENTA DIRECTA"/>
    <n v="617056"/>
    <x v="95"/>
    <s v="UND"/>
    <n v="2"/>
    <m/>
    <n v="2"/>
    <n v="1464.5"/>
    <n v="2929"/>
    <n v="2929"/>
    <n v="1320.5"/>
    <n v="-144"/>
    <n v="-288"/>
    <n v="-0.1090496024233245"/>
    <m/>
    <n v="299040"/>
    <m/>
    <n v="5332"/>
    <n v="6579000000"/>
    <n v="2641"/>
    <n v="10010"/>
    <n v="0.1090496024233245"/>
    <n v="2641"/>
    <x v="1"/>
    <n v="2"/>
    <x v="83"/>
  </r>
  <r>
    <d v="2025-11-20T00:00:00"/>
    <x v="17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040"/>
    <m/>
    <n v="5332"/>
    <n v="6579000000"/>
    <n v="4084.2394119999999"/>
    <n v="10010"/>
    <n v="2.1977311124318537E-2"/>
    <n v="4084.2393999999999"/>
    <x v="1"/>
    <n v="2"/>
    <x v="82"/>
  </r>
  <r>
    <d v="2025-11-20T00:00:00"/>
    <x v="17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9045"/>
    <n v="38182"/>
    <n v="5332"/>
    <n v="6579000000"/>
    <n v="38182.916666999998"/>
    <n v="10010"/>
    <n v="-2.4008118793124654E-5"/>
    <n v="38182.916700000002"/>
    <x v="1"/>
    <n v="1"/>
    <x v="11"/>
  </r>
  <r>
    <d v="2025-11-20T00:00:00"/>
    <x v="17"/>
    <s v="PILOTO"/>
    <n v="11"/>
    <s v="VENTA DIRECTA"/>
    <n v="701183"/>
    <x v="96"/>
    <s v="TRA"/>
    <n v="6"/>
    <m/>
    <n v="6"/>
    <n v="993.66669999999999"/>
    <n v="5962"/>
    <n v="5962"/>
    <n v="996.5"/>
    <n v="2.8332999999999999"/>
    <n v="17"/>
    <n v="2.8432848302392083E-3"/>
    <m/>
    <n v="298950"/>
    <n v="231565"/>
    <n v="5332"/>
    <n v="6579000000"/>
    <n v="5979"/>
    <n v="10010"/>
    <n v="-2.8432513798294112E-3"/>
    <n v="5979"/>
    <x v="1"/>
    <n v="6"/>
    <x v="84"/>
  </r>
  <r>
    <d v="2025-11-20T00:00:00"/>
    <x v="17"/>
    <s v="PILOTO"/>
    <n v="11"/>
    <s v="VENTA DIRECTA"/>
    <s v="080470X"/>
    <x v="97"/>
    <s v="ML"/>
    <n v="1"/>
    <m/>
    <n v="1"/>
    <n v="229"/>
    <n v="229"/>
    <n v="229"/>
    <n v="265.85820000000001"/>
    <n v="36.858199999999997"/>
    <n v="36.858199999999997"/>
    <n v="0.13863845731938129"/>
    <m/>
    <n v="298950"/>
    <m/>
    <n v="5332"/>
    <n v="6579000000"/>
    <n v="265.85816599999998"/>
    <n v="10010"/>
    <n v="-0.13863856747694828"/>
    <n v="265.85820000000001"/>
    <x v="1"/>
    <n v="1"/>
    <x v="85"/>
  </r>
  <r>
    <d v="2025-11-20T00:00:00"/>
    <x v="17"/>
    <s v="PILOTO"/>
    <n v="11"/>
    <s v="VENTA DIRECTA"/>
    <n v="1802517"/>
    <x v="98"/>
    <s v="UND"/>
    <n v="1"/>
    <m/>
    <n v="1"/>
    <n v="2312"/>
    <n v="2312"/>
    <n v="2312"/>
    <n v="2312"/>
    <n v="0"/>
    <n v="0"/>
    <n v="0"/>
    <m/>
    <n v="298950"/>
    <m/>
    <n v="5332"/>
    <n v="6579000000"/>
    <n v="2312"/>
    <n v="10010"/>
    <n v="0"/>
    <n v="2312"/>
    <x v="1"/>
    <n v="1"/>
    <x v="86"/>
  </r>
  <r>
    <d v="2025-11-20T00:00:00"/>
    <x v="17"/>
    <s v="PILOTO"/>
    <n v="1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298950"/>
    <m/>
    <n v="5332"/>
    <n v="6579000000"/>
    <n v="71480.576272000006"/>
    <n v="10010"/>
    <n v="5.9260853972999244E-6"/>
    <n v="71480.576400000005"/>
    <x v="1"/>
    <n v="4"/>
    <x v="87"/>
  </r>
  <r>
    <d v="2025-11-20T00:00:00"/>
    <x v="17"/>
    <s v="PILOTO"/>
    <n v="11"/>
    <s v="VENTA DIRECTA"/>
    <n v="2505059"/>
    <x v="100"/>
    <s v="UND"/>
    <n v="2"/>
    <m/>
    <n v="2"/>
    <n v="75790.5"/>
    <n v="151581"/>
    <n v="151581"/>
    <n v="75790.3125"/>
    <n v="-0.1875"/>
    <n v="-0.375"/>
    <n v="-2.4739309525871135E-6"/>
    <m/>
    <n v="298950"/>
    <m/>
    <n v="5332"/>
    <n v="6579000000"/>
    <n v="151580.625"/>
    <n v="10010"/>
    <n v="2.4739309525871135E-6"/>
    <n v="151580.625"/>
    <x v="1"/>
    <n v="2"/>
    <x v="88"/>
  </r>
  <r>
    <d v="2025-11-05T00:00:00"/>
    <x v="18"/>
    <s v="PILOTO"/>
    <n v="11"/>
    <s v="VENTA DIRECTA"/>
    <n v="408042"/>
    <x v="101"/>
    <s v="CJA"/>
    <n v="4"/>
    <m/>
    <n v="4"/>
    <n v="35000"/>
    <n v="140000"/>
    <n v="140000"/>
    <n v="35000"/>
    <n v="0"/>
    <n v="0"/>
    <n v="8.3153801304950006E-16"/>
    <m/>
    <n v="297518"/>
    <n v="140000"/>
    <n v="5332"/>
    <n v="6579000000"/>
    <n v="140000.00000000012"/>
    <n v="10010"/>
    <n v="0"/>
    <n v="140000"/>
    <x v="1"/>
    <n v="4"/>
    <x v="89"/>
  </r>
  <r>
    <d v="2025-11-18T00:00:00"/>
    <x v="4"/>
    <s v="M-00003"/>
    <n v="11"/>
    <s v="MUROS Y REVESTIMIENTOS"/>
    <n v="410045"/>
    <x v="75"/>
    <s v="UND"/>
    <n v="17"/>
    <m/>
    <n v="17"/>
    <n v="368"/>
    <n v="6256"/>
    <n v="6256"/>
    <n v="368.00139999999999"/>
    <n v="1.4E-3"/>
    <n v="2.3099999999999999E-2"/>
    <n v="3.6983558871065354E-6"/>
    <m/>
    <n v="298782"/>
    <n v="3437276"/>
    <n v="5332"/>
    <n v="6579000000"/>
    <n v="6256.0231369999983"/>
    <n v="10010"/>
    <n v="-3.8043333530514605E-6"/>
    <n v="6256.0237999999999"/>
    <x v="1"/>
    <n v="17"/>
    <x v="68"/>
  </r>
  <r>
    <d v="2025-11-18T00:00:00"/>
    <x v="4"/>
    <s v="M-00003"/>
    <n v="11"/>
    <s v="MUROS Y REVESTIMIENTOS"/>
    <n v="302028"/>
    <x v="72"/>
    <s v="PZA"/>
    <n v="165"/>
    <m/>
    <n v="165"/>
    <n v="4608.8666999999996"/>
    <n v="760463"/>
    <n v="760463"/>
    <n v="5123.8024999999998"/>
    <n v="514.93589999999995"/>
    <n v="84964.417000000001"/>
    <n v="0.10049877168760268"/>
    <m/>
    <n v="298782"/>
    <m/>
    <n v="5332"/>
    <n v="6579000000"/>
    <n v="845427.41695500037"/>
    <n v="10010"/>
    <n v="-0.10049876044207406"/>
    <n v="845427.41249999998"/>
    <x v="0"/>
    <n v="165"/>
    <x v="65"/>
  </r>
  <r>
    <d v="2025-11-18T00:00:00"/>
    <x v="4"/>
    <s v="M-00003"/>
    <n v="11"/>
    <s v="MUROS Y REVESTIMIENTOS"/>
    <n v="302046"/>
    <x v="78"/>
    <s v="PZA"/>
    <n v="30"/>
    <m/>
    <n v="30"/>
    <n v="9959.1332999999995"/>
    <n v="298774"/>
    <n v="298774"/>
    <n v="10156.5985"/>
    <n v="197.46510000000001"/>
    <n v="5923.9539999999997"/>
    <n v="1.9442053784862731E-2"/>
    <m/>
    <n v="298782"/>
    <m/>
    <n v="5332"/>
    <n v="6579000000"/>
    <n v="304697.95401000004"/>
    <n v="10010"/>
    <n v="-1.9442060252751012E-2"/>
    <n v="304697.95500000002"/>
    <x v="0"/>
    <n v="30"/>
    <x v="46"/>
  </r>
  <r>
    <d v="2025-11-18T00:00:00"/>
    <x v="4"/>
    <s v="M-00003"/>
    <n v="11"/>
    <s v="MUROS Y REVESTIMIENTOS"/>
    <n v="304101"/>
    <x v="0"/>
    <s v="PL"/>
    <n v="20"/>
    <m/>
    <n v="20"/>
    <n v="9840.5"/>
    <n v="196810"/>
    <n v="196810"/>
    <n v="9657.5879999999997"/>
    <n v="-182.91200000000001"/>
    <n v="-3658.241"/>
    <n v="-1.8939723971138703E-2"/>
    <m/>
    <n v="298782"/>
    <m/>
    <n v="5332"/>
    <n v="6579000000"/>
    <n v="193151.75900000008"/>
    <n v="10010"/>
    <n v="1.8939718695806889E-2"/>
    <n v="193151.76"/>
    <x v="0"/>
    <n v="20"/>
    <x v="0"/>
  </r>
  <r>
    <d v="2025-11-18T00:00:00"/>
    <x v="4"/>
    <s v="M-00003"/>
    <n v="11"/>
    <s v="MUROS Y REVESTIMIENTOS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8782"/>
    <m/>
    <n v="5332"/>
    <n v="6579000000"/>
    <n v="171665.29532999994"/>
    <n v="10010"/>
    <n v="0.16127141481916898"/>
    <n v="171665.29499999998"/>
    <x v="0"/>
    <n v="15"/>
    <x v="43"/>
  </r>
  <r>
    <d v="2025-11-18T00:00:00"/>
    <x v="4"/>
    <s v="M-00003"/>
    <n v="11"/>
    <s v="MUROS Y REVESTIMIENTOS"/>
    <n v="304002"/>
    <x v="12"/>
    <s v="PL"/>
    <n v="40"/>
    <m/>
    <n v="40"/>
    <n v="21814.95"/>
    <n v="872598"/>
    <n v="872598"/>
    <n v="21246.5072"/>
    <n v="-568.44280000000003"/>
    <n v="-22737.713899999999"/>
    <n v="-2.6754649265713984E-2"/>
    <m/>
    <n v="298782"/>
    <m/>
    <n v="5332"/>
    <n v="6579000000"/>
    <n v="849860.28611999995"/>
    <n v="10010"/>
    <n v="2.6754646994401072E-2"/>
    <n v="849860.28799999994"/>
    <x v="0"/>
    <n v="40"/>
    <x v="10"/>
  </r>
  <r>
    <d v="2025-11-18T00:00:00"/>
    <x v="4"/>
    <s v="M-00003"/>
    <n v="11"/>
    <s v="MUROS Y REVESTIMIENTOS"/>
    <n v="701040"/>
    <x v="1"/>
    <s v="PL"/>
    <n v="40"/>
    <m/>
    <n v="40"/>
    <n v="7744.5749999999998"/>
    <n v="309783"/>
    <n v="309783"/>
    <n v="7835.7259999999997"/>
    <n v="91.150999999999996"/>
    <n v="3646.0382"/>
    <n v="1.1632738885344373E-2"/>
    <m/>
    <n v="298782"/>
    <m/>
    <n v="5332"/>
    <n v="6579000000"/>
    <n v="313429.03815999988"/>
    <n v="10010"/>
    <n v="-1.1632744687601358E-2"/>
    <n v="313429.03999999998"/>
    <x v="1"/>
    <n v="40"/>
    <x v="1"/>
  </r>
  <r>
    <d v="2025-11-18T00:00:00"/>
    <x v="4"/>
    <s v="M-00003"/>
    <n v="11"/>
    <s v="MUROS Y REVESTIMIENTOS"/>
    <n v="1901505"/>
    <x v="7"/>
    <s v="KG"/>
    <n v="47"/>
    <m/>
    <n v="47"/>
    <n v="1895"/>
    <n v="89065"/>
    <n v="89065"/>
    <n v="1895"/>
    <n v="0"/>
    <n v="0"/>
    <n v="0"/>
    <m/>
    <n v="298782"/>
    <m/>
    <n v="5332"/>
    <n v="6579000000"/>
    <n v="89065"/>
    <n v="10010"/>
    <n v="0"/>
    <n v="89065"/>
    <x v="1"/>
    <n v="47"/>
    <x v="7"/>
  </r>
  <r>
    <d v="2025-11-18T00:00:00"/>
    <x v="4"/>
    <s v="M-00003"/>
    <n v="11"/>
    <s v="MUROS Y REVESTIMIENTOS"/>
    <n v="407170"/>
    <x v="71"/>
    <s v="UND"/>
    <n v="300"/>
    <m/>
    <n v="300"/>
    <n v="5.7267000000000001"/>
    <n v="1718"/>
    <n v="1718"/>
    <n v="4.8802000000000003"/>
    <n v="-0.84650000000000003"/>
    <n v="-253.93520000000001"/>
    <n v="-0.17344532837617549"/>
    <m/>
    <n v="298782"/>
    <m/>
    <n v="5332"/>
    <n v="6579000000"/>
    <n v="1464.0648000000003"/>
    <n v="10010"/>
    <n v="0.17345600590139743"/>
    <n v="1464.0600000000002"/>
    <x v="1"/>
    <n v="300"/>
    <x v="64"/>
  </r>
  <r>
    <d v="2025-11-18T00:00:00"/>
    <x v="4"/>
    <s v="M-00003"/>
    <n v="11"/>
    <s v="MUROS Y REVESTIMIENTOS"/>
    <n v="407423"/>
    <x v="70"/>
    <s v="UND"/>
    <n v="630"/>
    <m/>
    <n v="630"/>
    <n v="3.2698"/>
    <n v="2060"/>
    <n v="2060"/>
    <n v="106.6405"/>
    <n v="103.3707"/>
    <n v="65123.516199999998"/>
    <n v="0.96933771682415293"/>
    <m/>
    <n v="298782"/>
    <m/>
    <n v="5332"/>
    <n v="6579000000"/>
    <n v="67183.516249783774"/>
    <n v="10010"/>
    <n v="-0.96933810325345438"/>
    <n v="67183.514999999999"/>
    <x v="1"/>
    <n v="630"/>
    <x v="63"/>
  </r>
  <r>
    <d v="2025-11-18T00:00:00"/>
    <x v="4"/>
    <s v="M-00003"/>
    <n v="11"/>
    <s v="MUROS Y REVESTIMIENTOS"/>
    <n v="304014"/>
    <x v="4"/>
    <s v="PL"/>
    <n v="27"/>
    <m/>
    <n v="27"/>
    <n v="20836.851900000001"/>
    <n v="562595"/>
    <n v="562595"/>
    <n v="20894.5723"/>
    <n v="57.720399999999998"/>
    <n v="1558.4517000000001"/>
    <n v="2.7624606218709211E-3"/>
    <m/>
    <n v="298782"/>
    <m/>
    <n v="5332"/>
    <n v="6579000000"/>
    <n v="564153.45169499994"/>
    <n v="10010"/>
    <n v="-2.7624590334399111E-3"/>
    <n v="564153.45209999999"/>
    <x v="1"/>
    <n v="27"/>
    <x v="4"/>
  </r>
  <r>
    <d v="2025-11-18T00:00:00"/>
    <x v="4"/>
    <s v="M-00003"/>
    <n v="11"/>
    <s v="MUROS Y REVESTIMIENTOS"/>
    <n v="1901008"/>
    <x v="6"/>
    <s v="M2"/>
    <n v="67"/>
    <m/>
    <n v="67"/>
    <n v="2056.7761"/>
    <n v="137804"/>
    <n v="137804"/>
    <n v="2112.7957999999999"/>
    <n v="56.0197"/>
    <n v="3753.3172"/>
    <n v="2.6514469668019489E-2"/>
    <m/>
    <n v="298782"/>
    <m/>
    <n v="5332"/>
    <n v="6579000000"/>
    <n v="141557.317193"/>
    <n v="10010"/>
    <n v="-2.651448852747617E-2"/>
    <n v="141557.3186"/>
    <x v="0"/>
    <n v="67"/>
    <x v="6"/>
  </r>
  <r>
    <d v="2025-11-18T00:00:00"/>
    <x v="4"/>
    <s v="PISO 3"/>
    <n v="11"/>
    <s v="ENTALLADURA"/>
    <n v="302019"/>
    <x v="48"/>
    <s v="PZA"/>
    <n v="6"/>
    <m/>
    <n v="6"/>
    <n v="1660.5"/>
    <n v="9963"/>
    <n v="9963"/>
    <n v="1660.3430000000001"/>
    <n v="-0.157"/>
    <n v="-0.94230000000000003"/>
    <n v="-9.4586482643053187E-5"/>
    <m/>
    <n v="298763"/>
    <n v="9963"/>
    <n v="5332"/>
    <n v="6579000000"/>
    <n v="9962.0577240000002"/>
    <n v="10010"/>
    <n v="9.4558774903694853E-5"/>
    <n v="9962.0580000000009"/>
    <x v="1"/>
    <n v="6"/>
    <x v="42"/>
  </r>
  <r>
    <d v="2025-11-18T00:00:00"/>
    <x v="4"/>
    <s v="PILOTO"/>
    <n v="11"/>
    <s v="VENTA DIRECTA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8759"/>
    <n v="18970"/>
    <n v="5332"/>
    <n v="6579000000"/>
    <n v="18969.57447"/>
    <n v="10010"/>
    <n v="2.245701458556375E-5"/>
    <n v="18969.574000000001"/>
    <x v="1"/>
    <n v="10"/>
    <x v="42"/>
  </r>
  <r>
    <d v="2025-11-14T00:00:00"/>
    <x v="3"/>
    <s v="M-00001-M00002"/>
    <n v="11"/>
    <s v="FORRO PARA REVESTIMIENTO"/>
    <n v="1003500"/>
    <x v="102"/>
    <s v="TRA"/>
    <n v="20"/>
    <m/>
    <n v="20"/>
    <n v="5092.1000000000004"/>
    <n v="101842"/>
    <n v="101842"/>
    <n v="5092.1000000000004"/>
    <n v="0"/>
    <n v="0"/>
    <n v="1.7860896325150001E-16"/>
    <m/>
    <n v="298501"/>
    <n v="101842"/>
    <n v="5332"/>
    <n v="6579000000"/>
    <n v="101842.00000000004"/>
    <n v="10010"/>
    <n v="0"/>
    <n v="101842"/>
    <x v="1"/>
    <n v="20"/>
    <x v="90"/>
  </r>
  <r>
    <d v="2025-11-13T00:00:00"/>
    <x v="14"/>
    <s v="PILOTO"/>
    <n v="11"/>
    <s v="VENTA DIRECTA"/>
    <s v="030210X"/>
    <x v="55"/>
    <s v="PZA"/>
    <n v="1"/>
    <m/>
    <n v="1"/>
    <n v="17998"/>
    <n v="17998"/>
    <n v="17998"/>
    <n v="17998"/>
    <n v="0"/>
    <n v="0"/>
    <n v="0"/>
    <m/>
    <n v="298385"/>
    <n v="17998"/>
    <n v="5332"/>
    <n v="6579000000"/>
    <n v="17998"/>
    <n v="10010"/>
    <n v="0"/>
    <n v="17998"/>
    <x v="1"/>
    <n v="1"/>
    <x v="48"/>
  </r>
  <r>
    <d v="2025-11-12T00:00:00"/>
    <x v="19"/>
    <s v="PILOTO"/>
    <n v="11"/>
    <s v="REVESTIMIENTO Y CUBIERTA"/>
    <n v="409027"/>
    <x v="103"/>
    <s v="TRA"/>
    <n v="11"/>
    <m/>
    <n v="11"/>
    <n v="6315.4544999999998"/>
    <n v="69470"/>
    <n v="69470"/>
    <n v="6469.1027999999997"/>
    <n v="153.64830000000001"/>
    <n v="1690.1313"/>
    <n v="2.3751098904959959E-2"/>
    <m/>
    <n v="298272"/>
    <n v="69470"/>
    <n v="5332"/>
    <n v="6579000000"/>
    <n v="71160.131317000007"/>
    <n v="10010"/>
    <n v="-2.3751098838620997E-2"/>
    <n v="71160.130799999999"/>
    <x v="1"/>
    <n v="11"/>
    <x v="91"/>
  </r>
  <r>
    <d v="2025-11-12T00:00:00"/>
    <x v="19"/>
    <s v="PILOTO"/>
    <n v="11"/>
    <s v="REVESTIMIENTO Y CUBIERTA"/>
    <s v="090721x"/>
    <x v="104"/>
    <s v="M2"/>
    <n v="102"/>
    <m/>
    <n v="102"/>
    <n v="5800.2941000000001"/>
    <n v="591630"/>
    <n v="591630"/>
    <n v="5771.9988999999996"/>
    <n v="-28.295200000000001"/>
    <n v="-2886.1079"/>
    <n v="-4.9021449815536688E-3"/>
    <m/>
    <n v="298260"/>
    <n v="1683728"/>
    <n v="5332"/>
    <n v="6579000000"/>
    <n v="588743.89208400005"/>
    <n v="10010"/>
    <n v="4.9021492363764104E-3"/>
    <n v="588743.88779999991"/>
    <x v="1"/>
    <n v="102"/>
    <x v="4"/>
  </r>
  <r>
    <d v="2025-11-12T00:00:00"/>
    <x v="19"/>
    <s v="PILOTO"/>
    <n v="11"/>
    <s v="REVESTIMIENTO Y CUBIERTA"/>
    <n v="1902003"/>
    <x v="105"/>
    <s v="RLL"/>
    <n v="1"/>
    <m/>
    <n v="1"/>
    <n v="150594"/>
    <n v="150594"/>
    <n v="150594"/>
    <n v="150703.9755"/>
    <n v="109.9755"/>
    <n v="109.9755"/>
    <n v="7.2974491657751685E-4"/>
    <m/>
    <n v="298260"/>
    <m/>
    <n v="5332"/>
    <n v="6579000000"/>
    <n v="150703.97545999996"/>
    <n v="10010"/>
    <n v="-7.2974518180511086E-4"/>
    <n v="150703.9755"/>
    <x v="1"/>
    <n v="1"/>
    <x v="4"/>
  </r>
  <r>
    <d v="2025-11-12T00:00:00"/>
    <x v="19"/>
    <s v="PILOTO"/>
    <n v="11"/>
    <s v="REVESTIMIENTO Y CUBIERTA"/>
    <n v="1901038"/>
    <x v="14"/>
    <s v="M2"/>
    <n v="21"/>
    <m/>
    <n v="21"/>
    <n v="4311.3810000000003"/>
    <n v="90539"/>
    <n v="90539"/>
    <n v="4197.4179000000004"/>
    <n v="-113.9631"/>
    <n v="-2393.2246"/>
    <n v="-2.7150758102908984E-2"/>
    <m/>
    <n v="298260"/>
    <m/>
    <n v="5332"/>
    <n v="6579000000"/>
    <n v="88145.775375000027"/>
    <n v="10010"/>
    <n v="2.7150763329998648E-2"/>
    <n v="88145.775900000008"/>
    <x v="0"/>
    <n v="21"/>
    <x v="12"/>
  </r>
  <r>
    <d v="2025-11-12T00:00:00"/>
    <x v="19"/>
    <s v="PILOTO"/>
    <n v="11"/>
    <s v="REVESTIMIENTO Y CUBIERTA"/>
    <n v="304002"/>
    <x v="12"/>
    <s v="PL"/>
    <n v="35"/>
    <m/>
    <n v="35"/>
    <n v="21814.942899999998"/>
    <n v="763523"/>
    <n v="763523"/>
    <n v="21246.5072"/>
    <n v="-568.4357"/>
    <n v="-19895.249599999999"/>
    <n v="-2.675431307600095E-2"/>
    <m/>
    <n v="298260"/>
    <m/>
    <n v="5332"/>
    <n v="6579000000"/>
    <n v="743627.75035500003"/>
    <n v="10010"/>
    <n v="2.6754312821826928E-2"/>
    <n v="743627.75199999998"/>
    <x v="0"/>
    <n v="35"/>
    <x v="10"/>
  </r>
  <r>
    <d v="2025-11-12T00:00:00"/>
    <x v="19"/>
    <s v="PILOTO"/>
    <n v="11"/>
    <s v="REVESTIMIENTO Y CUBIERTA"/>
    <n v="2302017"/>
    <x v="106"/>
    <s v="TIN"/>
    <n v="1"/>
    <m/>
    <n v="1"/>
    <n v="81127"/>
    <n v="81127"/>
    <n v="81127"/>
    <n v="81197.881599999993"/>
    <n v="70.881600000000006"/>
    <n v="70.881600000000006"/>
    <n v="8.7294862404773484E-4"/>
    <m/>
    <n v="298260"/>
    <m/>
    <n v="5332"/>
    <n v="6579000000"/>
    <n v="81197.881578999979"/>
    <n v="10010"/>
    <n v="-8.7294888244958044E-4"/>
    <n v="81197.881599999993"/>
    <x v="1"/>
    <n v="1"/>
    <x v="4"/>
  </r>
  <r>
    <d v="2025-11-12T00:00:00"/>
    <x v="19"/>
    <s v="PILOTO"/>
    <n v="11"/>
    <s v="REVESTIMIENTO Y CUBIERTA"/>
    <n v="409027"/>
    <x v="103"/>
    <s v="TRA"/>
    <n v="1"/>
    <m/>
    <n v="1"/>
    <n v="6315"/>
    <n v="6315"/>
    <n v="6315"/>
    <n v="6469.1027999999997"/>
    <n v="154.1028"/>
    <n v="154.1028"/>
    <n v="2.3821362968663298E-2"/>
    <m/>
    <n v="298260"/>
    <m/>
    <n v="5332"/>
    <n v="6579000000"/>
    <n v="6469.1028470000001"/>
    <n v="10010"/>
    <n v="-2.3821355876428439E-2"/>
    <n v="6469.1027999999997"/>
    <x v="1"/>
    <n v="1"/>
    <x v="91"/>
  </r>
  <r>
    <d v="2025-11-10T00:00:00"/>
    <x v="20"/>
    <s v="M-00003"/>
    <n v="11"/>
    <s v="PISO"/>
    <n v="2302098"/>
    <x v="5"/>
    <s v="TIN"/>
    <n v="1"/>
    <m/>
    <n v="1"/>
    <n v="21213"/>
    <n v="21213"/>
    <n v="21213"/>
    <n v="21213"/>
    <n v="0"/>
    <n v="0"/>
    <n v="-1.7149761029050001E-16"/>
    <m/>
    <n v="297982"/>
    <n v="3075589"/>
    <n v="5332"/>
    <n v="6579000000"/>
    <n v="21212.999999999996"/>
    <n v="10010"/>
    <n v="0"/>
    <n v="21213"/>
    <x v="1"/>
    <n v="1"/>
    <x v="5"/>
  </r>
  <r>
    <d v="2025-11-10T00:00:00"/>
    <x v="20"/>
    <s v="M-00003"/>
    <n v="11"/>
    <s v="PISO"/>
    <n v="302044"/>
    <x v="2"/>
    <s v="PZA"/>
    <n v="75"/>
    <m/>
    <n v="75"/>
    <n v="13934.4"/>
    <n v="1045080"/>
    <n v="1045080"/>
    <n v="13725.9625"/>
    <n v="-208.4375"/>
    <n v="-15632.8099"/>
    <n v="-1.5185635650956191E-2"/>
    <m/>
    <n v="297982"/>
    <m/>
    <n v="5332"/>
    <n v="6579000000"/>
    <n v="1029447.19005"/>
    <n v="10010"/>
    <n v="1.5185638165629551E-2"/>
    <n v="1029447.1875"/>
    <x v="0"/>
    <n v="75"/>
    <x v="2"/>
  </r>
  <r>
    <d v="2025-11-10T00:00:00"/>
    <x v="20"/>
    <s v="M-00003"/>
    <n v="11"/>
    <s v="PISO"/>
    <s v="030253X"/>
    <x v="3"/>
    <s v="PZA"/>
    <n v="20"/>
    <m/>
    <n v="20"/>
    <n v="15742.7"/>
    <n v="314854"/>
    <n v="314854"/>
    <n v="15359.702799999999"/>
    <n v="-382.99720000000002"/>
    <n v="-7659.9443000000001"/>
    <n v="-2.4935197012667817E-2"/>
    <m/>
    <n v="297982"/>
    <m/>
    <n v="5332"/>
    <n v="6579000000"/>
    <n v="307194.05570000008"/>
    <n v="10010"/>
    <n v="2.4935196011735439E-2"/>
    <n v="307194.05599999998"/>
    <x v="0"/>
    <n v="20"/>
    <x v="3"/>
  </r>
  <r>
    <d v="2025-11-10T00:00:00"/>
    <x v="20"/>
    <s v="M-00003"/>
    <n v="11"/>
    <s v="PISO"/>
    <n v="304101"/>
    <x v="0"/>
    <s v="PL"/>
    <n v="30"/>
    <m/>
    <n v="30"/>
    <n v="9937.2000000000007"/>
    <n v="298116"/>
    <n v="298116"/>
    <n v="9657.5879999999997"/>
    <n v="-279.61200000000002"/>
    <n v="-8388.3615000000009"/>
    <n v="-2.8952576093287968E-2"/>
    <m/>
    <n v="297982"/>
    <m/>
    <n v="5332"/>
    <n v="6579000000"/>
    <n v="289727.63850000012"/>
    <n v="10010"/>
    <n v="2.8952570766116861E-2"/>
    <n v="289727.64"/>
    <x v="0"/>
    <n v="30"/>
    <x v="0"/>
  </r>
  <r>
    <d v="2025-11-10T00:00:00"/>
    <x v="20"/>
    <s v="M-00003"/>
    <n v="11"/>
    <s v="PISO"/>
    <n v="1901505"/>
    <x v="7"/>
    <s v="KG"/>
    <n v="20"/>
    <m/>
    <n v="20"/>
    <n v="1895"/>
    <n v="37900"/>
    <n v="37900"/>
    <n v="1895"/>
    <n v="0"/>
    <n v="0"/>
    <n v="0"/>
    <m/>
    <n v="297982"/>
    <m/>
    <n v="5332"/>
    <n v="6579000000"/>
    <n v="37900"/>
    <n v="10010"/>
    <n v="0"/>
    <n v="37900"/>
    <x v="1"/>
    <n v="20"/>
    <x v="7"/>
  </r>
  <r>
    <d v="2025-11-10T00:00:00"/>
    <x v="20"/>
    <s v="M-00003"/>
    <n v="11"/>
    <s v="PISO"/>
    <n v="304014"/>
    <x v="4"/>
    <s v="PL"/>
    <n v="65"/>
    <m/>
    <n v="65"/>
    <n v="20898.861499999999"/>
    <n v="1358426"/>
    <n v="1358426"/>
    <n v="20894.5723"/>
    <n v="-4.2892999999999999"/>
    <n v="-278.80149999999998"/>
    <n v="-2.0528074961446692E-4"/>
    <m/>
    <n v="297982"/>
    <m/>
    <n v="5332"/>
    <n v="6579000000"/>
    <n v="1358147.1985249999"/>
    <n v="10010"/>
    <n v="2.0527819083424143E-4"/>
    <n v="1358147.1995000001"/>
    <x v="1"/>
    <n v="65"/>
    <x v="4"/>
  </r>
  <r>
    <d v="2025-11-24T00:00:00"/>
    <x v="15"/>
    <s v="PILOTO"/>
    <n v="11"/>
    <s v="VENTA DIRECTA"/>
    <n v="705028"/>
    <x v="42"/>
    <s v="PL"/>
    <n v="3"/>
    <m/>
    <n v="3"/>
    <n v="22927"/>
    <n v="68781"/>
    <n v="68781"/>
    <n v="22927.086200000002"/>
    <n v="8.6199999999999999E-2"/>
    <n v="0.2586"/>
    <n v="3.7600504146909681E-6"/>
    <m/>
    <n v="299186"/>
    <n v="68781"/>
    <n v="5332"/>
    <n v="6579000000"/>
    <n v="68781.258621000001"/>
    <n v="10010"/>
    <n v="-3.7597451001668997E-6"/>
    <n v="68781.258600000001"/>
    <x v="0"/>
    <n v="3"/>
    <x v="38"/>
  </r>
  <r>
    <d v="2025-11-19T00:00:00"/>
    <x v="2"/>
    <s v="PILOTO"/>
    <n v="11"/>
    <s v="REVESTIMIENTO INTERIOR"/>
    <n v="307263"/>
    <x v="107"/>
    <s v="PL"/>
    <n v="7"/>
    <m/>
    <n v="7"/>
    <n v="9514.1429000000007"/>
    <n v="66599"/>
    <n v="66599"/>
    <n v="9514.2178999999996"/>
    <n v="7.51E-2"/>
    <n v="0.52559999999999996"/>
    <n v="7.8925937523716152E-6"/>
    <m/>
    <n v="298806"/>
    <n v="66599"/>
    <n v="5332"/>
    <n v="6579000000"/>
    <n v="66599.525643000001"/>
    <n v="10010"/>
    <n v="-7.8829390694224701E-6"/>
    <n v="66599.525299999994"/>
    <x v="1"/>
    <n v="7"/>
    <x v="4"/>
  </r>
  <r>
    <d v="2025-11-11T00:00:00"/>
    <x v="21"/>
    <s v="PILOTO"/>
    <n v="11"/>
    <s v="VENTA DIRECTA"/>
    <n v="410045"/>
    <x v="75"/>
    <s v="UND"/>
    <n v="50"/>
    <m/>
    <n v="50"/>
    <n v="368"/>
    <n v="18400"/>
    <n v="18400"/>
    <n v="368.00139999999999"/>
    <n v="1.4E-3"/>
    <n v="6.8000000000000005E-2"/>
    <n v="3.6983558871065354E-6"/>
    <m/>
    <n v="298041"/>
    <n v="2356379"/>
    <n v="5332"/>
    <n v="6579000000"/>
    <n v="18400.068049999991"/>
    <n v="10010"/>
    <n v="-3.8043333530514605E-6"/>
    <n v="18400.07"/>
    <x v="1"/>
    <n v="50"/>
    <x v="68"/>
  </r>
  <r>
    <d v="2025-11-11T00:00:00"/>
    <x v="21"/>
    <s v="PILOTO"/>
    <n v="11"/>
    <s v="VENTA DIRECTA"/>
    <n v="302028"/>
    <x v="72"/>
    <s v="PZA"/>
    <n v="350"/>
    <m/>
    <n v="350"/>
    <n v="4764.2857000000004"/>
    <n v="1667500"/>
    <n v="1667500"/>
    <n v="5123.8024999999998"/>
    <n v="359.51679999999999"/>
    <n v="125830.8845"/>
    <n v="7.0166016512112711E-2"/>
    <m/>
    <n v="298041"/>
    <m/>
    <n v="5332"/>
    <n v="6579000000"/>
    <n v="1793330.8844500005"/>
    <n v="10010"/>
    <n v="-7.0166014400437848E-2"/>
    <n v="1793330.875"/>
    <x v="0"/>
    <n v="350"/>
    <x v="65"/>
  </r>
  <r>
    <d v="2025-11-11T00:00:00"/>
    <x v="21"/>
    <s v="PILOTO"/>
    <n v="11"/>
    <s v="VENTA DIRECTA"/>
    <n v="302046"/>
    <x v="78"/>
    <s v="PZA"/>
    <n v="52"/>
    <m/>
    <n v="52"/>
    <n v="10160.6538"/>
    <n v="528354"/>
    <n v="528354"/>
    <n v="10156.5985"/>
    <n v="-4.0553999999999997"/>
    <n v="-210.87970000000001"/>
    <n v="-3.9928517081979015E-4"/>
    <m/>
    <n v="298041"/>
    <m/>
    <n v="5332"/>
    <n v="6579000000"/>
    <n v="528143.12028400006"/>
    <n v="10010"/>
    <n v="3.9927737618061679E-4"/>
    <n v="528143.12199999997"/>
    <x v="0"/>
    <n v="52"/>
    <x v="46"/>
  </r>
  <r>
    <d v="2025-11-11T00:00:00"/>
    <x v="21"/>
    <s v="PILOTO"/>
    <n v="11"/>
    <s v="VENTA DIRECTA"/>
    <n v="1901505"/>
    <x v="7"/>
    <s v="KG"/>
    <n v="75"/>
    <m/>
    <n v="75"/>
    <n v="1895"/>
    <n v="142125"/>
    <n v="142125"/>
    <n v="1895"/>
    <n v="0"/>
    <n v="0"/>
    <n v="0"/>
    <m/>
    <n v="298041"/>
    <m/>
    <n v="5332"/>
    <n v="6579000000"/>
    <n v="142125"/>
    <n v="10010"/>
    <n v="0"/>
    <n v="142125"/>
    <x v="1"/>
    <n v="75"/>
    <x v="7"/>
  </r>
  <r>
    <d v="2025-11-18T00:00:00"/>
    <x v="4"/>
    <s v="PILOTO"/>
    <n v="11"/>
    <s v="VENTA DIRECTA"/>
    <n v="307256"/>
    <x v="87"/>
    <s v="PZA"/>
    <n v="230"/>
    <m/>
    <n v="230"/>
    <n v="1896.9609"/>
    <n v="436301"/>
    <n v="436301"/>
    <n v="1896.9574"/>
    <n v="-3.3999999999999998E-3"/>
    <n v="-0.78720000000000001"/>
    <n v="-1.8042393216142228E-6"/>
    <m/>
    <n v="298785"/>
    <n v="436301"/>
    <n v="5332"/>
    <n v="6579000000"/>
    <n v="436300.21281"/>
    <n v="10010"/>
    <n v="1.8450598838070496E-6"/>
    <n v="436300.20199999999"/>
    <x v="1"/>
    <n v="230"/>
    <x v="42"/>
  </r>
  <r>
    <d v="2026-02-03T00:00:00"/>
    <x v="22"/>
    <s v="PILOTO"/>
    <n v="1"/>
    <s v="VENTA DIRECTA"/>
    <n v="302044"/>
    <x v="2"/>
    <s v="PZA"/>
    <n v="60"/>
    <m/>
    <n v="60"/>
    <n v="13973.5833"/>
    <n v="838415"/>
    <n v="838415"/>
    <n v="13725.9625"/>
    <n v="-247.6208"/>
    <n v="-14857.248"/>
    <n v="-1.8040323126335415E-2"/>
    <m/>
    <n v="305186"/>
    <n v="4812765"/>
    <n v="5614"/>
    <n v="6579000000"/>
    <n v="823557.75204000005"/>
    <n v="10010"/>
    <n v="1.8040323219592112E-2"/>
    <n v="823557.75"/>
    <x v="0"/>
    <n v="60"/>
    <x v="2"/>
  </r>
  <r>
    <d v="2026-02-03T00:00:00"/>
    <x v="22"/>
    <s v="PILOTO"/>
    <n v="1"/>
    <s v="VENTA DIRECTA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86"/>
    <m/>
    <n v="5614"/>
    <n v="6579000000"/>
    <n v="921582.1671000002"/>
    <n v="10010"/>
    <n v="4.6290863127898658E-2"/>
    <n v="921582.16799999995"/>
    <x v="0"/>
    <n v="60"/>
    <x v="3"/>
  </r>
  <r>
    <d v="2026-02-03T00:00:00"/>
    <x v="22"/>
    <s v="PILOTO"/>
    <n v="1"/>
    <s v="VENTA DIRECTA"/>
    <n v="410126"/>
    <x v="108"/>
    <s v="UND"/>
    <n v="30"/>
    <m/>
    <n v="30"/>
    <n v="983.63329999999996"/>
    <n v="29509"/>
    <n v="29509"/>
    <n v="983.61890000000005"/>
    <n v="-1.4500000000000001E-2"/>
    <n v="-0.43359999999999999"/>
    <n v="-1.4693021466334061E-5"/>
    <m/>
    <n v="305186"/>
    <m/>
    <n v="5614"/>
    <n v="6579000000"/>
    <n v="29508.566430000003"/>
    <n v="10010"/>
    <n v="1.4639816294613286E-5"/>
    <n v="29508.567000000003"/>
    <x v="1"/>
    <n v="30"/>
    <x v="4"/>
  </r>
  <r>
    <d v="2026-02-03T00:00:00"/>
    <x v="22"/>
    <s v="PILOTO"/>
    <n v="1"/>
    <s v="VENTA DIRECTA"/>
    <n v="302028"/>
    <x v="72"/>
    <s v="PZA"/>
    <n v="216"/>
    <m/>
    <n v="216"/>
    <n v="5409.8194000000003"/>
    <n v="1168521"/>
    <n v="1168521"/>
    <n v="5123.8024999999998"/>
    <n v="-286.01690000000002"/>
    <n v="-61779.654199999997"/>
    <n v="-5.5821221824469157E-2"/>
    <m/>
    <n v="305186"/>
    <m/>
    <n v="5614"/>
    <n v="6579000000"/>
    <n v="1106741.3458320005"/>
    <n v="10010"/>
    <n v="5.5821218714031333E-2"/>
    <n v="1106741.3399999999"/>
    <x v="0"/>
    <n v="216"/>
    <x v="65"/>
  </r>
  <r>
    <d v="2026-02-03T00:00:00"/>
    <x v="22"/>
    <s v="PILOTO"/>
    <n v="1"/>
    <s v="VENTA DIRECTA"/>
    <n v="302046"/>
    <x v="78"/>
    <s v="PZA"/>
    <n v="144"/>
    <m/>
    <n v="144"/>
    <n v="10271.7014"/>
    <n v="1479125"/>
    <n v="1479125"/>
    <n v="10156.5985"/>
    <n v="-115.10290000000001"/>
    <n v="-16574.820800000001"/>
    <n v="-1.1332821934712706E-2"/>
    <m/>
    <n v="305186"/>
    <m/>
    <n v="5614"/>
    <n v="6579000000"/>
    <n v="1462550.1792480005"/>
    <n v="10010"/>
    <n v="1.133281974275146E-2"/>
    <n v="1462550.1839999999"/>
    <x v="0"/>
    <n v="144"/>
    <x v="46"/>
  </r>
  <r>
    <d v="2026-02-03T00:00:00"/>
    <x v="22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86"/>
    <m/>
    <n v="5614"/>
    <n v="6579000000"/>
    <n v="23200.297871999981"/>
    <n v="10010"/>
    <n v="-1.2840352364673349E-5"/>
    <n v="23200.297900000001"/>
    <x v="1"/>
    <n v="1"/>
    <x v="69"/>
  </r>
  <r>
    <d v="2026-02-03T00:00:00"/>
    <x v="22"/>
    <s v="PILOTO"/>
    <n v="1"/>
    <s v="VENTA DIRECTA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86"/>
    <m/>
    <n v="5614"/>
    <n v="6579000000"/>
    <n v="313429.03815999988"/>
    <n v="10010"/>
    <n v="-1.1731650647304344E-2"/>
    <n v="313429.03999999998"/>
    <x v="1"/>
    <n v="40"/>
    <x v="1"/>
  </r>
  <r>
    <d v="2026-02-03T00:00:00"/>
    <x v="22"/>
    <s v="PILOTO"/>
    <n v="1"/>
    <s v="MATERIAL FORRADO DE PISO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184"/>
    <n v="1355330"/>
    <n v="5614"/>
    <n v="6579000000"/>
    <n v="1358147.1985249999"/>
    <n v="10010"/>
    <n v="-2.0742946722100953E-3"/>
    <n v="1358147.1995000001"/>
    <x v="1"/>
    <n v="65"/>
    <x v="4"/>
  </r>
  <r>
    <d v="2026-02-03T00:00:00"/>
    <x v="23"/>
    <s v="PILOTO"/>
    <n v="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305177"/>
    <n v="78895"/>
    <n v="5614"/>
    <n v="6579000000"/>
    <n v="71480.576272000006"/>
    <n v="10010"/>
    <n v="5.9260853972999244E-6"/>
    <n v="71480.576400000005"/>
    <x v="1"/>
    <n v="4"/>
    <x v="87"/>
  </r>
  <r>
    <d v="2026-02-03T00:00:00"/>
    <x v="23"/>
    <s v="PILOTO"/>
    <n v="1"/>
    <s v="VENTA DIRECTA"/>
    <n v="1802659"/>
    <x v="109"/>
    <s v="UND"/>
    <n v="1"/>
    <m/>
    <n v="1"/>
    <n v="2929"/>
    <n v="2929"/>
    <n v="2929"/>
    <n v="2929.4632000000001"/>
    <n v="0.4632"/>
    <n v="0.4632"/>
    <n v="1.5810337082929147E-4"/>
    <m/>
    <n v="305177"/>
    <m/>
    <n v="5614"/>
    <n v="6579000000"/>
    <n v="2929.463158"/>
    <n v="10010"/>
    <n v="-1.581177056602529E-4"/>
    <n v="2929.4632000000001"/>
    <x v="1"/>
    <n v="1"/>
    <x v="4"/>
  </r>
  <r>
    <d v="2026-02-03T00:00:00"/>
    <x v="23"/>
    <s v="PILOTO"/>
    <n v="1"/>
    <s v="VENTA DIRECTA"/>
    <n v="1802515"/>
    <x v="110"/>
    <s v="UND"/>
    <n v="1"/>
    <m/>
    <n v="1"/>
    <n v="2827"/>
    <n v="2827"/>
    <n v="2827"/>
    <n v="2827.2510000000002"/>
    <n v="0.251"/>
    <n v="0.251"/>
    <n v="8.8795086080183989E-5"/>
    <m/>
    <n v="305177"/>
    <m/>
    <n v="5614"/>
    <n v="6579000000"/>
    <n v="2827.2510459999999"/>
    <n v="10010"/>
    <n v="-8.8778817303523358E-5"/>
    <n v="2827.2510000000002"/>
    <x v="1"/>
    <n v="1"/>
    <x v="4"/>
  </r>
  <r>
    <d v="2026-02-03T00:00:00"/>
    <x v="23"/>
    <s v="PILOTO"/>
    <n v="1"/>
    <s v="VENTA DIRECTA"/>
    <n v="407423"/>
    <x v="70"/>
    <s v="UND"/>
    <n v="500"/>
    <m/>
    <n v="500"/>
    <n v="3.3159999999999998"/>
    <n v="1658"/>
    <n v="1658"/>
    <n v="106.6405"/>
    <n v="103.3245"/>
    <n v="51662.250999999997"/>
    <n v="0.96890487255485491"/>
    <m/>
    <n v="305177"/>
    <m/>
    <n v="5614"/>
    <n v="6579000000"/>
    <n v="53320.250991891888"/>
    <n v="10010"/>
    <n v="-0.96890487197640673"/>
    <n v="53320.25"/>
    <x v="1"/>
    <n v="500"/>
    <x v="63"/>
  </r>
  <r>
    <d v="2026-02-03T00:00:00"/>
    <x v="24"/>
    <s v="PILOTO"/>
    <n v="1"/>
    <s v="VENTA DIRECTA"/>
    <n v="407307"/>
    <x v="111"/>
    <s v="UND"/>
    <n v="30"/>
    <m/>
    <n v="30"/>
    <n v="80.2333"/>
    <n v="2407"/>
    <n v="2407"/>
    <n v="69.472800000000007"/>
    <n v="-10.7606"/>
    <n v="-322.8168"/>
    <n v="-0.1548888515441241"/>
    <m/>
    <n v="305176"/>
    <n v="2792"/>
    <n v="5614"/>
    <n v="6579000000"/>
    <n v="2084.18325"/>
    <n v="10010"/>
    <n v="0.15488795614974482"/>
    <n v="2084.1840000000002"/>
    <x v="1"/>
    <n v="30"/>
    <x v="4"/>
  </r>
  <r>
    <d v="2026-02-03T00:00:00"/>
    <x v="24"/>
    <s v="PILOTO"/>
    <n v="1"/>
    <s v="VENTA DIRECTA"/>
    <n v="407010"/>
    <x v="112"/>
    <s v="UND"/>
    <n v="30"/>
    <m/>
    <n v="30"/>
    <n v="12.833299999999999"/>
    <n v="385"/>
    <n v="385"/>
    <n v="11.501300000000001"/>
    <n v="-1.3321000000000001"/>
    <n v="-39.962200000000003"/>
    <n v="-0.115819773949405"/>
    <m/>
    <n v="305176"/>
    <m/>
    <n v="5614"/>
    <n v="6579000000"/>
    <n v="345.0378"/>
    <n v="10010"/>
    <n v="0.11581299505273307"/>
    <n v="345.03899999999999"/>
    <x v="1"/>
    <n v="30"/>
    <x v="4"/>
  </r>
  <r>
    <d v="2026-02-03T00:00:00"/>
    <x v="24"/>
    <s v="PILOTO"/>
    <n v="1"/>
    <s v="VENTA DIRECTA"/>
    <n v="407307"/>
    <x v="111"/>
    <s v="UND"/>
    <n v="12"/>
    <m/>
    <n v="12"/>
    <n v="80.25"/>
    <n v="963"/>
    <n v="963"/>
    <n v="69.472800000000007"/>
    <n v="-10.777200000000001"/>
    <n v="-129.32669999999999"/>
    <n v="-0.15512875367365131"/>
    <m/>
    <n v="305175"/>
    <n v="1117"/>
    <n v="5614"/>
    <n v="6579000000"/>
    <n v="833.67330000000004"/>
    <n v="10010"/>
    <n v="0.15512833799702894"/>
    <n v="833.67360000000008"/>
    <x v="1"/>
    <n v="12"/>
    <x v="4"/>
  </r>
  <r>
    <d v="2026-02-03T00:00:00"/>
    <x v="24"/>
    <s v="PILOTO"/>
    <n v="1"/>
    <s v="VENTA DIRECTA"/>
    <n v="407010"/>
    <x v="112"/>
    <s v="UND"/>
    <n v="12"/>
    <m/>
    <n v="12"/>
    <n v="12.833299999999999"/>
    <n v="154"/>
    <n v="154"/>
    <n v="11.501300000000001"/>
    <n v="-1.3321000000000001"/>
    <n v="-15.9849"/>
    <n v="-0.115819773949405"/>
    <m/>
    <n v="305175"/>
    <m/>
    <n v="5614"/>
    <n v="6579000000"/>
    <n v="138.01512"/>
    <n v="10010"/>
    <n v="0.11581299505273307"/>
    <n v="138.01560000000001"/>
    <x v="1"/>
    <n v="12"/>
    <x v="4"/>
  </r>
  <r>
    <d v="2026-02-03T00:00:00"/>
    <x v="25"/>
    <s v="PILOTO"/>
    <n v="1"/>
    <s v="VENTA DIRECTA"/>
    <n v="407117"/>
    <x v="9"/>
    <s v="UND"/>
    <n v="40"/>
    <m/>
    <n v="40"/>
    <n v="585.07500000000005"/>
    <n v="23403"/>
    <n v="23403"/>
    <n v="585.07209999999998"/>
    <n v="-2.8999999999999998E-3"/>
    <n v="-0.1179"/>
    <n v="-5.0369864445787697E-6"/>
    <m/>
    <n v="305173"/>
    <n v="210798"/>
    <n v="5614"/>
    <n v="6579000000"/>
    <n v="23402.882119999998"/>
    <n v="10010"/>
    <n v="4.9566540603591396E-6"/>
    <n v="23402.883999999998"/>
    <x v="1"/>
    <n v="40"/>
    <x v="4"/>
  </r>
  <r>
    <d v="2026-02-03T00:00:00"/>
    <x v="25"/>
    <s v="PILOTO"/>
    <n v="1"/>
    <s v="VENTA DIRECTA"/>
    <n v="412302"/>
    <x v="113"/>
    <s v="UND"/>
    <n v="34"/>
    <m/>
    <n v="34"/>
    <n v="4742.4705999999996"/>
    <n v="161244"/>
    <n v="161244"/>
    <n v="4742.4587000000001"/>
    <n v="-1.1900000000000001E-2"/>
    <n v="-0.40529999999999999"/>
    <n v="-2.5137246586385612E-6"/>
    <m/>
    <n v="305173"/>
    <m/>
    <n v="5614"/>
    <n v="6579000000"/>
    <n v="161243.59467799999"/>
    <n v="10010"/>
    <n v="2.5092469438930414E-6"/>
    <n v="161243.59580000001"/>
    <x v="1"/>
    <n v="34"/>
    <x v="4"/>
  </r>
  <r>
    <d v="2026-02-03T00:00:00"/>
    <x v="25"/>
    <s v="PILOTO"/>
    <n v="1"/>
    <s v="VENTA DIRECTA"/>
    <n v="407011"/>
    <x v="8"/>
    <s v="UND"/>
    <n v="48"/>
    <m/>
    <n v="48"/>
    <n v="473.16669999999999"/>
    <n v="22712"/>
    <n v="22712"/>
    <n v="473.17520000000002"/>
    <n v="8.6E-3"/>
    <n v="0.41149999999999998"/>
    <n v="1.8118727711178221E-5"/>
    <m/>
    <n v="305173"/>
    <m/>
    <n v="5614"/>
    <n v="6579000000"/>
    <n v="22712.411519999991"/>
    <n v="10010"/>
    <n v="-1.7963747888787017E-5"/>
    <n v="22712.409599999999"/>
    <x v="0"/>
    <n v="48"/>
    <x v="8"/>
  </r>
  <r>
    <d v="2026-02-03T00:00:00"/>
    <x v="25"/>
    <s v="PILOTO"/>
    <n v="1"/>
    <s v="VENTA DIRECTA"/>
    <n v="407185"/>
    <x v="17"/>
    <s v="UND"/>
    <n v="500"/>
    <m/>
    <n v="500"/>
    <n v="6.8780000000000001"/>
    <n v="3439"/>
    <n v="3439"/>
    <n v="6.8783000000000003"/>
    <n v="2.9999999999999997E-4"/>
    <n v="0.16"/>
    <n v="4.6522988171576785E-5"/>
    <m/>
    <n v="305173"/>
    <m/>
    <n v="5614"/>
    <n v="6579000000"/>
    <n v="3439.1600000000003"/>
    <n v="10010"/>
    <n v="-4.3615428230840323E-5"/>
    <n v="3439.15"/>
    <x v="1"/>
    <n v="500"/>
    <x v="4"/>
  </r>
  <r>
    <d v="2026-02-03T00:00:00"/>
    <x v="26"/>
    <s v="PILOTO"/>
    <n v="1"/>
    <s v="VENTA DIRECTA"/>
    <n v="410126"/>
    <x v="108"/>
    <s v="UND"/>
    <n v="20"/>
    <m/>
    <n v="20"/>
    <n v="983.6"/>
    <n v="19672"/>
    <n v="19672"/>
    <n v="983.61890000000005"/>
    <n v="1.89E-2"/>
    <n v="0.37759999999999999"/>
    <n v="1.9195442833389985E-5"/>
    <m/>
    <n v="305172"/>
    <n v="19672"/>
    <n v="5614"/>
    <n v="6579000000"/>
    <n v="19672.377620000003"/>
    <n v="10010"/>
    <n v="-1.9214758886831637E-5"/>
    <n v="19672.378000000001"/>
    <x v="1"/>
    <n v="20"/>
    <x v="4"/>
  </r>
  <r>
    <d v="2026-02-03T00:00:00"/>
    <x v="26"/>
    <s v="PILOTO"/>
    <n v="1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71"/>
    <n v="70000"/>
    <n v="5614"/>
    <n v="6579000000"/>
    <n v="69999.923200000048"/>
    <n v="10010"/>
    <n v="1.1428584490190236E-6"/>
    <n v="69999.92"/>
    <x v="1"/>
    <n v="100"/>
    <x v="4"/>
  </r>
  <r>
    <d v="2026-02-03T00:00:00"/>
    <x v="26"/>
    <s v="PILOTO"/>
    <n v="1"/>
    <s v="VENTA DIRECTA"/>
    <n v="307256"/>
    <x v="87"/>
    <s v="PZA"/>
    <n v="5"/>
    <m/>
    <n v="5"/>
    <n v="1897"/>
    <n v="9485"/>
    <n v="9485"/>
    <n v="1896.9574"/>
    <n v="-4.2599999999999999E-2"/>
    <n v="-0.21279999999999999"/>
    <n v="-2.2432237511334152E-5"/>
    <m/>
    <n v="305170"/>
    <n v="9485"/>
    <n v="5614"/>
    <n v="6579000000"/>
    <n v="9484.7872349999998"/>
    <n v="10010"/>
    <n v="2.245701458556375E-5"/>
    <n v="9484.7870000000003"/>
    <x v="1"/>
    <n v="5"/>
    <x v="42"/>
  </r>
  <r>
    <d v="2026-02-03T00:00:00"/>
    <x v="27"/>
    <s v="PILOTO"/>
    <n v="1"/>
    <s v="VENTA DIRECTA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305169"/>
    <n v="40067"/>
    <n v="5614"/>
    <n v="6579000000"/>
    <n v="9309.8461540000008"/>
    <n v="10010"/>
    <n v="1.6520144016992092E-5"/>
    <n v="9309.8462"/>
    <x v="1"/>
    <n v="1"/>
    <x v="21"/>
  </r>
  <r>
    <d v="2026-02-03T00:00:00"/>
    <x v="27"/>
    <s v="PILOTO"/>
    <n v="1"/>
    <s v="VENTA DIRECTA"/>
    <n v="1801020"/>
    <x v="26"/>
    <s v="UND"/>
    <n v="1"/>
    <m/>
    <n v="1"/>
    <n v="30757"/>
    <n v="30757"/>
    <n v="30757"/>
    <n v="30757"/>
    <n v="0"/>
    <n v="0"/>
    <n v="0"/>
    <m/>
    <n v="305169"/>
    <m/>
    <n v="5614"/>
    <n v="6579000000"/>
    <n v="30757"/>
    <n v="10010"/>
    <n v="0"/>
    <n v="30757"/>
    <x v="1"/>
    <n v="1"/>
    <x v="23"/>
  </r>
  <r>
    <d v="2026-02-03T00:00:00"/>
    <x v="28"/>
    <s v="PILOTO"/>
    <n v="1"/>
    <s v="VENTA DIRECTA"/>
    <n v="302028"/>
    <x v="72"/>
    <s v="PZA"/>
    <n v="98"/>
    <m/>
    <n v="98"/>
    <n v="5410.5816000000004"/>
    <n v="530237"/>
    <n v="530237"/>
    <n v="5123.8024999999998"/>
    <n v="-286.77910000000003"/>
    <n v="-28104.3524"/>
    <n v="-5.5969976231884447E-2"/>
    <m/>
    <n v="305165"/>
    <n v="770142"/>
    <n v="5614"/>
    <n v="6579000000"/>
    <n v="502132.64764600014"/>
    <n v="10010"/>
    <n v="5.5969975423525921E-2"/>
    <n v="502132.64499999996"/>
    <x v="0"/>
    <n v="98"/>
    <x v="65"/>
  </r>
  <r>
    <d v="2026-02-03T00:00:00"/>
    <x v="28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5"/>
    <m/>
    <n v="5614"/>
    <n v="6579000000"/>
    <n v="106640.50198378378"/>
    <n v="10010"/>
    <n v="-0.96889549467603764"/>
    <n v="106640.5"/>
    <x v="1"/>
    <n v="1000"/>
    <x v="63"/>
  </r>
  <r>
    <d v="2026-02-03T00:00:00"/>
    <x v="28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5"/>
    <m/>
    <n v="5614"/>
    <n v="6579000000"/>
    <n v="236587.61999999997"/>
    <n v="10010"/>
    <n v="1.6907056835812905E-6"/>
    <n v="236587.6"/>
    <x v="0"/>
    <n v="500"/>
    <x v="8"/>
  </r>
  <r>
    <d v="2026-02-03T00:00:00"/>
    <x v="29"/>
    <s v="PILOTO"/>
    <n v="1"/>
    <s v="VENTA DIRECTA"/>
    <n v="302028"/>
    <x v="72"/>
    <s v="PZA"/>
    <n v="120"/>
    <m/>
    <n v="120"/>
    <n v="5412.0333000000001"/>
    <n v="649444"/>
    <n v="649444"/>
    <n v="5123.8024999999998"/>
    <n v="-288.23079999999999"/>
    <n v="-34587.696799999998"/>
    <n v="-5.6253301100987578E-2"/>
    <m/>
    <n v="305164"/>
    <n v="2143215"/>
    <n v="5614"/>
    <n v="6579000000"/>
    <n v="614856.30324000015"/>
    <n v="10010"/>
    <n v="5.6253300161354831E-2"/>
    <n v="614856.29999999993"/>
    <x v="0"/>
    <n v="120"/>
    <x v="65"/>
  </r>
  <r>
    <d v="2026-02-03T00:00:00"/>
    <x v="29"/>
    <s v="PILOTO"/>
    <n v="1"/>
    <s v="VENTA DIRECTA"/>
    <n v="302046"/>
    <x v="78"/>
    <s v="PZA"/>
    <n v="144"/>
    <m/>
    <n v="144"/>
    <n v="10373.4097"/>
    <n v="1493771"/>
    <n v="1493771"/>
    <n v="10156.5985"/>
    <n v="-216.81129999999999"/>
    <n v="-31220.820800000001"/>
    <n v="-2.1346837322226201E-2"/>
    <m/>
    <n v="305164"/>
    <m/>
    <n v="5614"/>
    <n v="6579000000"/>
    <n v="1462550.1792480005"/>
    <n v="10010"/>
    <n v="2.1346831815789519E-2"/>
    <n v="1462550.1839999999"/>
    <x v="0"/>
    <n v="144"/>
    <x v="46"/>
  </r>
  <r>
    <d v="2026-02-03T00:00:00"/>
    <x v="30"/>
    <s v="PILOTO"/>
    <n v="1"/>
    <s v="VENTA DIRECTA"/>
    <n v="302028"/>
    <x v="72"/>
    <s v="PZA"/>
    <n v="250"/>
    <m/>
    <n v="250"/>
    <n v="5413.8320000000003"/>
    <n v="1353458"/>
    <n v="1353458"/>
    <n v="5123.8024999999998"/>
    <n v="-290.02949999999998"/>
    <n v="-72507.368199999997"/>
    <n v="-5.6604342472544825E-2"/>
    <m/>
    <n v="305162"/>
    <n v="1353458"/>
    <n v="5614"/>
    <n v="6579000000"/>
    <n v="1280950.6317500004"/>
    <n v="10010"/>
    <n v="5.6604348040347099E-2"/>
    <n v="1280950.625"/>
    <x v="0"/>
    <n v="250"/>
    <x v="65"/>
  </r>
  <r>
    <d v="2026-02-03T00:00:00"/>
    <x v="31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1"/>
    <n v="26517"/>
    <n v="5614"/>
    <n v="6579000000"/>
    <n v="106640.50198378378"/>
    <n v="10010"/>
    <n v="-0.96889549467603764"/>
    <n v="106640.5"/>
    <x v="1"/>
    <n v="1000"/>
    <x v="63"/>
  </r>
  <r>
    <d v="2026-02-03T00:00:00"/>
    <x v="31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61"/>
    <m/>
    <n v="5614"/>
    <n v="6579000000"/>
    <n v="23200.297871999981"/>
    <n v="10010"/>
    <n v="-1.2840352364673349E-5"/>
    <n v="23200.297900000001"/>
    <x v="1"/>
    <n v="1"/>
    <x v="69"/>
  </r>
  <r>
    <d v="2026-02-03T00:00:00"/>
    <x v="31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0"/>
    <n v="236588"/>
    <n v="5614"/>
    <n v="6579000000"/>
    <n v="236587.61999999997"/>
    <n v="10010"/>
    <n v="1.6907056835812905E-6"/>
    <n v="236587.6"/>
    <x v="0"/>
    <n v="500"/>
    <x v="8"/>
  </r>
  <r>
    <d v="2026-02-03T00:00:00"/>
    <x v="32"/>
    <s v="PILOTO"/>
    <n v="1"/>
    <s v="VENTA DIRECTA"/>
    <s v="081009X"/>
    <x v="114"/>
    <s v="M2"/>
    <n v="40"/>
    <m/>
    <n v="40"/>
    <n v="19818"/>
    <n v="792720"/>
    <n v="792720"/>
    <n v="11882.3879"/>
    <n v="-7935.6121000000003"/>
    <n v="-317424.48330000002"/>
    <n v="-0.66784657582560558"/>
    <m/>
    <n v="305159"/>
    <n v="792720"/>
    <n v="5614"/>
    <n v="6579000000"/>
    <n v="475295.51668"/>
    <n v="10010"/>
    <n v="0.66784657821177518"/>
    <n v="475295.516"/>
    <x v="0"/>
    <n v="40"/>
    <x v="92"/>
  </r>
  <r>
    <d v="2026-02-02T00:00:00"/>
    <x v="33"/>
    <s v="M-00007 -M-00008"/>
    <n v="2"/>
    <s v="PISO"/>
    <n v="407423"/>
    <x v="70"/>
    <s v="UND"/>
    <n v="350"/>
    <m/>
    <n v="350"/>
    <n v="3.3170999999999999"/>
    <n v="1161"/>
    <n v="1161"/>
    <n v="106.6405"/>
    <n v="103.32340000000001"/>
    <n v="36163.1757"/>
    <n v="0.96889415564034687"/>
    <m/>
    <n v="305191"/>
    <n v="4647066"/>
    <n v="5614"/>
    <n v="6579000000"/>
    <n v="37324.175694324324"/>
    <n v="10010"/>
    <n v="-0.9688945569460008"/>
    <n v="37324.175000000003"/>
    <x v="1"/>
    <n v="350"/>
    <x v="63"/>
  </r>
  <r>
    <d v="2026-02-02T00:00:00"/>
    <x v="33"/>
    <s v="STOCK "/>
    <n v="2"/>
    <s v="PISO"/>
    <n v="617057"/>
    <x v="94"/>
    <s v="UND"/>
    <n v="1"/>
    <m/>
    <n v="1"/>
    <n v="2042"/>
    <n v="2042"/>
    <n v="2042"/>
    <n v="2042.1197"/>
    <n v="0.1197"/>
    <n v="0.1197"/>
    <n v="5.8618502944876345E-5"/>
    <m/>
    <n v="305191"/>
    <m/>
    <n v="5614"/>
    <n v="6579000000"/>
    <n v="2042.119706"/>
    <n v="10010"/>
    <n v="-5.8615564993553597E-5"/>
    <n v="2042.1197"/>
    <x v="1"/>
    <n v="1"/>
    <x v="82"/>
  </r>
  <r>
    <d v="2026-02-02T00:00:00"/>
    <x v="33"/>
    <s v="STOCK"/>
    <n v="2"/>
    <s v="PISO"/>
    <n v="2302098"/>
    <x v="5"/>
    <s v="TIN"/>
    <n v="1"/>
    <m/>
    <n v="1"/>
    <n v="21213"/>
    <n v="21213"/>
    <n v="21213"/>
    <n v="21213"/>
    <n v="0"/>
    <n v="0"/>
    <n v="-1.7149761029050001E-16"/>
    <m/>
    <n v="305191"/>
    <m/>
    <n v="5614"/>
    <n v="6579000000"/>
    <n v="21212.999999999996"/>
    <n v="10010"/>
    <n v="0"/>
    <n v="21213"/>
    <x v="1"/>
    <n v="1"/>
    <x v="5"/>
  </r>
  <r>
    <d v="2026-02-02T00:00:00"/>
    <x v="33"/>
    <s v="M-00007 -M-00008"/>
    <n v="2"/>
    <s v="PISO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91"/>
    <m/>
    <n v="5614"/>
    <n v="6579000000"/>
    <n v="69999.923200000048"/>
    <n v="10010"/>
    <n v="1.1428584490190236E-6"/>
    <n v="69999.92"/>
    <x v="1"/>
    <n v="100"/>
    <x v="4"/>
  </r>
  <r>
    <d v="2026-02-02T00:00:00"/>
    <x v="33"/>
    <s v="M-00007 -M-00008"/>
    <n v="2"/>
    <s v="PISO"/>
    <n v="1902003"/>
    <x v="105"/>
    <s v="RLL"/>
    <n v="2"/>
    <m/>
    <n v="2"/>
    <n v="150634.5"/>
    <n v="301269"/>
    <n v="301269"/>
    <n v="150703.9755"/>
    <n v="69.475499999999997"/>
    <n v="138.95089999999999"/>
    <n v="4.6100615320793632E-4"/>
    <m/>
    <n v="305191"/>
    <m/>
    <n v="5614"/>
    <n v="6579000000"/>
    <n v="301407.95091999992"/>
    <n v="10010"/>
    <n v="-4.6100641850685929E-4"/>
    <n v="301407.951"/>
    <x v="1"/>
    <n v="2"/>
    <x v="4"/>
  </r>
  <r>
    <d v="2026-02-02T00:00:00"/>
    <x v="33"/>
    <s v="M-00007 -M-00008"/>
    <n v="2"/>
    <s v="PISO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91"/>
    <m/>
    <n v="5614"/>
    <n v="6579000000"/>
    <n v="313429.03815999988"/>
    <n v="10010"/>
    <n v="-1.1731650647304344E-2"/>
    <n v="313429.03999999998"/>
    <x v="1"/>
    <n v="40"/>
    <x v="1"/>
  </r>
  <r>
    <d v="2026-02-02T00:00:00"/>
    <x v="33"/>
    <s v="M-00007 -M-00008"/>
    <n v="2"/>
    <s v="PISO"/>
    <n v="1901008"/>
    <x v="6"/>
    <s v="M2"/>
    <n v="13"/>
    <m/>
    <n v="13"/>
    <n v="2161.6923000000002"/>
    <n v="28102"/>
    <n v="28102"/>
    <n v="2112.7957999999999"/>
    <n v="-48.896500000000003"/>
    <n v="-635.6549"/>
    <n v="-2.3143045427443359E-2"/>
    <m/>
    <n v="305191"/>
    <m/>
    <n v="5614"/>
    <n v="6579000000"/>
    <n v="27466.345127000001"/>
    <n v="10010"/>
    <n v="2.3143031617158787E-2"/>
    <n v="27466.345399999998"/>
    <x v="0"/>
    <n v="13"/>
    <x v="6"/>
  </r>
  <r>
    <d v="2026-02-02T00:00:00"/>
    <x v="33"/>
    <s v="M-00007 -M-00008"/>
    <n v="2"/>
    <s v="PISO"/>
    <n v="304101"/>
    <x v="0"/>
    <s v="PL"/>
    <n v="168"/>
    <m/>
    <n v="168"/>
    <n v="9774.3155000000006"/>
    <n v="1642085"/>
    <n v="1642085"/>
    <n v="9657.5879999999997"/>
    <n v="-116.72750000000001"/>
    <n v="-19610.224399999999"/>
    <n v="-1.2086612805889315E-2"/>
    <m/>
    <n v="305191"/>
    <m/>
    <n v="5614"/>
    <n v="6579000000"/>
    <n v="1622474.7756000008"/>
    <n v="10010"/>
    <n v="1.2086610031407518E-2"/>
    <n v="1622474.784"/>
    <x v="0"/>
    <n v="168"/>
    <x v="0"/>
  </r>
  <r>
    <d v="2026-02-02T00:00:00"/>
    <x v="33"/>
    <s v="M-00007 -M-00008"/>
    <n v="2"/>
    <s v="PISO"/>
    <n v="307256"/>
    <x v="87"/>
    <s v="PZA"/>
    <n v="235"/>
    <m/>
    <n v="235"/>
    <n v="1896.9574"/>
    <n v="445785"/>
    <n v="445785"/>
    <n v="1896.9574"/>
    <n v="0"/>
    <n v="0"/>
    <n v="1.0094550877456015E-10"/>
    <m/>
    <n v="305191"/>
    <m/>
    <n v="5614"/>
    <n v="6579000000"/>
    <n v="445785.00004499999"/>
    <n v="10010"/>
    <n v="0"/>
    <n v="445784.989"/>
    <x v="1"/>
    <n v="235"/>
    <x v="42"/>
  </r>
  <r>
    <d v="2026-02-02T00:00:00"/>
    <x v="33"/>
    <s v="M-00007 -M-00008"/>
    <n v="2"/>
    <s v="PISO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91"/>
    <m/>
    <n v="5614"/>
    <n v="6579000000"/>
    <n v="921582.1671000002"/>
    <n v="10010"/>
    <n v="4.6290863127898658E-2"/>
    <n v="921582.16799999995"/>
    <x v="0"/>
    <n v="60"/>
    <x v="3"/>
  </r>
  <r>
    <d v="2026-02-02T00:00:00"/>
    <x v="33"/>
    <s v="M-00007 -M-00008"/>
    <n v="2"/>
    <s v="PISO"/>
    <n v="408071"/>
    <x v="76"/>
    <s v="CJA"/>
    <n v="1"/>
    <m/>
    <n v="1"/>
    <n v="23000"/>
    <n v="23000"/>
    <n v="23000"/>
    <n v="23200.297900000001"/>
    <n v="200.2979"/>
    <n v="200.2979"/>
    <n v="8.6334181183818706E-3"/>
    <m/>
    <n v="305191"/>
    <m/>
    <n v="5614"/>
    <n v="6579000000"/>
    <n v="23200.297871999981"/>
    <n v="10010"/>
    <n v="-8.6334193148442876E-3"/>
    <n v="23200.297900000001"/>
    <x v="1"/>
    <n v="1"/>
    <x v="69"/>
  </r>
  <r>
    <d v="2026-02-02T00:00:00"/>
    <x v="33"/>
    <s v="M-00007 -M-00008"/>
    <n v="2"/>
    <s v="PISO"/>
    <n v="302044"/>
    <x v="2"/>
    <s v="PZA"/>
    <n v="60"/>
    <m/>
    <n v="60"/>
    <n v="13973.566699999999"/>
    <n v="838414"/>
    <n v="838414"/>
    <n v="13725.9625"/>
    <n v="-247.60409999999999"/>
    <n v="-14856.248"/>
    <n v="-1.8039108882407159E-2"/>
    <m/>
    <n v="305191"/>
    <m/>
    <n v="5614"/>
    <n v="6579000000"/>
    <n v="823557.75204000005"/>
    <n v="10010"/>
    <n v="1.8039113832636493E-2"/>
    <n v="823557.75"/>
    <x v="0"/>
    <n v="60"/>
    <x v="2"/>
  </r>
  <r>
    <d v="2026-02-05T00:00:00"/>
    <x v="34"/>
    <s v="STOCK"/>
    <n v="2"/>
    <s v="PISO M-00008-M00009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452"/>
    <n v="1442688"/>
    <n v="5614"/>
    <n v="6579000000"/>
    <n v="1358147.1985249999"/>
    <n v="10010"/>
    <n v="-4.1889395362258329E-3"/>
    <n v="1358147.1995000001"/>
    <x v="1"/>
    <n v="65"/>
    <x v="4"/>
  </r>
  <r>
    <d v="2026-02-05T00:00:00"/>
    <x v="34"/>
    <s v="MODULO HUMEDO "/>
    <n v="2"/>
    <s v="STOCK TERRAZA  N° 1  A LA °25"/>
    <n v="407427"/>
    <x v="115"/>
    <s v="CJA"/>
    <n v="4"/>
    <m/>
    <n v="4"/>
    <n v="22557.5"/>
    <n v="90230"/>
    <n v="90230"/>
    <n v="22557.5455"/>
    <n v="4.5499999999999999E-2"/>
    <n v="0.18179999999999999"/>
    <n v="2.0150685317323429E-6"/>
    <m/>
    <n v="305452"/>
    <m/>
    <n v="5614"/>
    <n v="6579000000"/>
    <n v="90230.181819999998"/>
    <n v="10010"/>
    <n v="-2.0170634256362076E-6"/>
    <n v="90230.182000000001"/>
    <x v="1"/>
    <n v="4"/>
    <x v="4"/>
  </r>
  <r>
    <d v="2026-02-05T00:00:00"/>
    <x v="34"/>
    <s v="M-00001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n v="424930"/>
    <n v="5614"/>
    <n v="6579000000"/>
    <n v="212465.07152999999"/>
    <n v="10010"/>
    <n v="-3.3887922999464314E-7"/>
    <n v="212465.07199999999"/>
    <x v="0"/>
    <n v="10"/>
    <x v="10"/>
  </r>
  <r>
    <d v="2026-02-05T00:00:00"/>
    <x v="34"/>
    <s v="M-00002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n v="5614"/>
    <n v="6579000000"/>
    <n v="212465.07152999999"/>
    <n v="10010"/>
    <n v="-3.3887922999464314E-7"/>
    <n v="212465.07199999999"/>
    <x v="0"/>
    <n v="10"/>
    <x v="10"/>
  </r>
  <r>
    <d v="2026-02-05T00:00:00"/>
    <x v="34"/>
    <s v="PISO 8"/>
    <n v="2"/>
    <s v="FIJACION PARA TERRAZAS Y AISLACION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05424"/>
    <n v="1249926"/>
    <n v="5614"/>
    <n v="6579000000"/>
    <n v="22557.545454999999"/>
    <n v="10010"/>
    <n v="2.014846872412716E-5"/>
    <n v="22557.5455"/>
    <x v="1"/>
    <n v="1"/>
    <x v="4"/>
  </r>
  <r>
    <d v="2026-02-05T00:00:00"/>
    <x v="34"/>
    <s v="PISO 8"/>
    <n v="2"/>
    <s v="FIJACION PARA TERRAZAS Y AISLACION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5424"/>
    <m/>
    <n v="5614"/>
    <n v="6579000000"/>
    <n v="946350.47999999986"/>
    <n v="10010"/>
    <n v="6.3401463132796736E-7"/>
    <n v="946350.4"/>
    <x v="0"/>
    <n v="2000"/>
    <x v="8"/>
  </r>
  <r>
    <d v="2026-02-05T00:00:00"/>
    <x v="34"/>
    <s v="PISO 8"/>
    <n v="2"/>
    <s v="FIJACION PARA TERRAZAS Y AISLACION"/>
    <n v="1901008"/>
    <x v="6"/>
    <s v="M2"/>
    <n v="135"/>
    <m/>
    <n v="135"/>
    <n v="2081.6073999999999"/>
    <n v="281017"/>
    <n v="281017"/>
    <n v="2112.7957999999999"/>
    <n v="31.188400000000001"/>
    <n v="4210.4301999999998"/>
    <n v="1.4761659362721034E-2"/>
    <m/>
    <n v="305424"/>
    <m/>
    <n v="5614"/>
    <n v="6579000000"/>
    <n v="285227.43016500003"/>
    <n v="10010"/>
    <n v="-1.4761672661409117E-2"/>
    <n v="285227.43299999996"/>
    <x v="0"/>
    <n v="135"/>
    <x v="6"/>
  </r>
  <r>
    <d v="2026-02-03T00:00:00"/>
    <x v="35"/>
    <s v="M-00009"/>
    <n v="2"/>
    <s v="PISO MOD 9 Y 10"/>
    <n v="302249"/>
    <x v="116"/>
    <s v="PZA"/>
    <n v="264"/>
    <m/>
    <n v="264"/>
    <n v="2320"/>
    <n v="612480"/>
    <n v="612480"/>
    <n v="2226.3090999999999"/>
    <n v="-93.690899999999999"/>
    <n v="-24734.384900000001"/>
    <n v="-4.2083486960545063E-2"/>
    <m/>
    <n v="305227"/>
    <n v="6739879"/>
    <n v="5614"/>
    <n v="6579000000"/>
    <n v="587745.61507199996"/>
    <n v="10010"/>
    <n v="4.2083509428228118E-2"/>
    <n v="587745.60239999997"/>
    <x v="1"/>
    <n v="264"/>
    <x v="4"/>
  </r>
  <r>
    <d v="2026-02-03T00:00:00"/>
    <x v="35"/>
    <s v="STOCK"/>
    <n v="2"/>
    <s v="STOCK  "/>
    <n v="407423"/>
    <x v="70"/>
    <s v="UND"/>
    <n v="4000"/>
    <m/>
    <n v="4000"/>
    <n v="3.3167"/>
    <n v="13267"/>
    <n v="13267"/>
    <n v="106.6405"/>
    <n v="103.32380000000001"/>
    <n v="413295.00790000003"/>
    <n v="0.96889783957970921"/>
    <m/>
    <n v="305227"/>
    <m/>
    <n v="5614"/>
    <n v="6579000000"/>
    <n v="426562.0079351351"/>
    <n v="10010"/>
    <n v="-0.96889830786614839"/>
    <n v="426562"/>
    <x v="1"/>
    <n v="4000"/>
    <x v="63"/>
  </r>
  <r>
    <d v="2026-02-03T00:00:00"/>
    <x v="35"/>
    <s v="STOCK"/>
    <n v="2"/>
    <s v="PISO MOD 9 Y 10"/>
    <n v="408071"/>
    <x v="76"/>
    <s v="CJA"/>
    <n v="2"/>
    <m/>
    <n v="2"/>
    <n v="23200.5"/>
    <n v="46401"/>
    <n v="46401"/>
    <n v="23200.297900000001"/>
    <n v="-0.2021"/>
    <n v="-0.40429999999999999"/>
    <n v="-8.7123019339741494E-6"/>
    <m/>
    <n v="305227"/>
    <m/>
    <n v="5614"/>
    <n v="6579000000"/>
    <n v="46400.595743999962"/>
    <n v="10010"/>
    <n v="8.7110950415256869E-6"/>
    <n v="46400.595800000003"/>
    <x v="1"/>
    <n v="2"/>
    <x v="69"/>
  </r>
  <r>
    <d v="2026-02-03T00:00:00"/>
    <x v="35"/>
    <s v="STOCK"/>
    <n v="2"/>
    <s v="PISO MOD 9 Y 10"/>
    <n v="408042"/>
    <x v="101"/>
    <s v="CJA"/>
    <n v="2"/>
    <m/>
    <n v="2"/>
    <n v="35000"/>
    <n v="70000"/>
    <n v="70000"/>
    <n v="35000"/>
    <n v="0"/>
    <n v="0"/>
    <n v="8.3153801304950006E-16"/>
    <m/>
    <n v="305227"/>
    <m/>
    <n v="5614"/>
    <n v="6579000000"/>
    <n v="70000.000000000058"/>
    <n v="10010"/>
    <n v="0"/>
    <n v="70000"/>
    <x v="1"/>
    <n v="2"/>
    <x v="89"/>
  </r>
  <r>
    <d v="2026-02-03T00:00:00"/>
    <x v="35"/>
    <s v="M-00009"/>
    <n v="2"/>
    <s v="PISO MOD 9 Y 10"/>
    <n v="302048"/>
    <x v="86"/>
    <s v="PZA"/>
    <n v="177"/>
    <m/>
    <n v="177"/>
    <n v="15565.8192"/>
    <n v="2755150"/>
    <n v="2755150"/>
    <n v="13710.695"/>
    <n v="-1855.1242"/>
    <n v="-328356.99190000002"/>
    <n v="-0.13530490272859544"/>
    <m/>
    <n v="305227"/>
    <m/>
    <n v="5614"/>
    <n v="6579000000"/>
    <n v="2426793.008097"/>
    <n v="10010"/>
    <n v="0.13530489883992025"/>
    <n v="2426793.0150000001"/>
    <x v="0"/>
    <n v="177"/>
    <x v="2"/>
  </r>
  <r>
    <d v="2026-02-03T00:00:00"/>
    <x v="35"/>
    <s v="M-00009"/>
    <n v="2"/>
    <s v="PISO MOD 9 Y 10"/>
    <n v="302044"/>
    <x v="2"/>
    <s v="PZA"/>
    <n v="66"/>
    <m/>
    <n v="66"/>
    <n v="13973.575800000001"/>
    <n v="922256"/>
    <n v="922256"/>
    <n v="13725.9625"/>
    <n v="-247.61320000000001"/>
    <n v="-16342.4728"/>
    <n v="-1.8039771197277097E-2"/>
    <m/>
    <n v="305227"/>
    <m/>
    <n v="5614"/>
    <n v="6579000000"/>
    <n v="905913.527244"/>
    <n v="10010"/>
    <n v="1.8039776809823056E-2"/>
    <n v="905913.52500000002"/>
    <x v="0"/>
    <n v="66"/>
    <x v="2"/>
  </r>
  <r>
    <d v="2026-02-03T00:00:00"/>
    <x v="35"/>
    <s v="STOCK"/>
    <n v="2"/>
    <s v="PISO MOD 9 Y 10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227"/>
    <m/>
    <n v="5614"/>
    <n v="6579000000"/>
    <n v="73879.636363999962"/>
    <n v="10010"/>
    <n v="3.2977422720500759E-4"/>
    <n v="73879.636400000003"/>
    <x v="0"/>
    <n v="2"/>
    <x v="45"/>
  </r>
  <r>
    <d v="2026-02-03T00:00:00"/>
    <x v="35"/>
    <s v="M-00009"/>
    <n v="2"/>
    <s v="PISO MOD 9 Y 10"/>
    <n v="1901008"/>
    <x v="6"/>
    <s v="M2"/>
    <n v="189"/>
    <m/>
    <n v="189"/>
    <n v="2081.6032"/>
    <n v="393423"/>
    <n v="393423"/>
    <n v="2112.7957999999999"/>
    <n v="31.192599999999999"/>
    <n v="5895.4022000000004"/>
    <n v="1.4763662776526956E-2"/>
    <m/>
    <n v="305227"/>
    <m/>
    <n v="5614"/>
    <n v="6579000000"/>
    <n v="399318.40223100001"/>
    <n v="10010"/>
    <n v="-1.4763660548738245E-2"/>
    <n v="399318.40619999997"/>
    <x v="0"/>
    <n v="189"/>
    <x v="6"/>
  </r>
  <r>
    <d v="2026-02-03T00:00:00"/>
    <x v="35"/>
    <s v="STOCK"/>
    <n v="2"/>
    <s v="PISO MOD 9 Y 10"/>
    <s v="40814X"/>
    <x v="11"/>
    <s v="CJA"/>
    <n v="2"/>
    <m/>
    <n v="2"/>
    <n v="233358"/>
    <n v="466716"/>
    <n v="466716"/>
    <n v="233358.08790000001"/>
    <n v="8.7900000000000006E-2"/>
    <n v="0.17580000000000001"/>
    <n v="3.7672574700427221E-7"/>
    <m/>
    <n v="305227"/>
    <m/>
    <n v="5614"/>
    <n v="6579000000"/>
    <n v="466716.17582399998"/>
    <n v="10010"/>
    <n v="-3.766743240150547E-7"/>
    <n v="466716.17580000003"/>
    <x v="1"/>
    <n v="2"/>
    <x v="9"/>
  </r>
  <r>
    <d v="2026-02-03T00:00:00"/>
    <x v="35"/>
    <s v="STOCK"/>
    <n v="2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05227"/>
    <m/>
    <n v="5614"/>
    <n v="6579000000"/>
    <n v="30952.44"/>
    <n v="10010"/>
    <n v="-1.453847607703286E-5"/>
    <n v="30952.350000000002"/>
    <x v="1"/>
    <n v="4500"/>
    <x v="4"/>
  </r>
  <r>
    <d v="2026-02-03T00:00:00"/>
    <x v="35"/>
    <s v="M-00009"/>
    <n v="2"/>
    <s v="PISO MOD 9 Y 10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227"/>
    <m/>
    <n v="5614"/>
    <n v="6579000000"/>
    <n v="1358147.1985249999"/>
    <n v="10010"/>
    <n v="-2.0742946722100953E-3"/>
    <n v="1358147.1995000001"/>
    <x v="1"/>
    <n v="65"/>
    <x v="4"/>
  </r>
  <r>
    <d v="2026-02-03T00:00:00"/>
    <x v="36"/>
    <s v="PILOTO"/>
    <n v="1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179"/>
    <n v="1010182"/>
    <n v="5614"/>
    <n v="6579000000"/>
    <n v="2042.119706"/>
    <n v="10010"/>
    <n v="-5.8615564993553597E-5"/>
    <n v="2042.1197"/>
    <x v="1"/>
    <n v="1"/>
    <x v="82"/>
  </r>
  <r>
    <d v="2026-02-03T00:00:00"/>
    <x v="36"/>
    <s v="PILOTO"/>
    <n v="1"/>
    <s v="VENTA DIRECTA "/>
    <s v="040748X"/>
    <x v="117"/>
    <s v="CJA"/>
    <n v="1"/>
    <m/>
    <n v="1"/>
    <n v="55858"/>
    <n v="55858"/>
    <n v="55858"/>
    <n v="55858.301899999999"/>
    <n v="0.3019"/>
    <n v="0.3019"/>
    <n v="5.4045144552528166E-6"/>
    <m/>
    <n v="305179"/>
    <m/>
    <n v="5614"/>
    <n v="6579000000"/>
    <n v="55858.301886999994"/>
    <n v="10010"/>
    <n v="-5.4047471858174779E-6"/>
    <n v="55858.301899999999"/>
    <x v="1"/>
    <n v="1"/>
    <x v="4"/>
  </r>
  <r>
    <d v="2026-02-03T00:00:00"/>
    <x v="36"/>
    <s v="PILOTO"/>
    <n v="1"/>
    <s v="VENTA DIRECTA "/>
    <n v="1902003"/>
    <x v="105"/>
    <s v="RLL"/>
    <n v="1"/>
    <m/>
    <n v="1"/>
    <n v="150634"/>
    <n v="150634"/>
    <n v="150634"/>
    <n v="150703.9755"/>
    <n v="69.975499999999997"/>
    <n v="69.975499999999997"/>
    <n v="4.6432391571867194E-4"/>
    <m/>
    <n v="305179"/>
    <m/>
    <n v="5614"/>
    <n v="6579000000"/>
    <n v="150703.97545999996"/>
    <n v="10010"/>
    <n v="-4.6432418101671421E-4"/>
    <n v="150703.9755"/>
    <x v="1"/>
    <n v="1"/>
    <x v="4"/>
  </r>
  <r>
    <d v="2026-02-03T00:00:00"/>
    <x v="36"/>
    <s v="PILOTO"/>
    <n v="1"/>
    <s v="VENTA DIRECTA "/>
    <n v="1901008"/>
    <x v="6"/>
    <s v="M2"/>
    <n v="67"/>
    <m/>
    <n v="67"/>
    <n v="2097.1343000000002"/>
    <n v="140508"/>
    <n v="140508"/>
    <n v="2112.7957999999999"/>
    <n v="15.6615"/>
    <n v="1049.3172"/>
    <n v="7.4126665707385953E-3"/>
    <m/>
    <n v="305179"/>
    <m/>
    <n v="5614"/>
    <n v="6579000000"/>
    <n v="141557.317193"/>
    <n v="10010"/>
    <n v="-7.412689858622261E-3"/>
    <n v="141557.3186"/>
    <x v="0"/>
    <n v="67"/>
    <x v="6"/>
  </r>
  <r>
    <d v="2026-02-03T00:00:00"/>
    <x v="36"/>
    <s v="PILOTO"/>
    <n v="1"/>
    <s v="VENTA DIRECTA "/>
    <n v="407010"/>
    <x v="112"/>
    <s v="UND"/>
    <n v="40"/>
    <m/>
    <n v="40"/>
    <n v="12.824999999999999"/>
    <n v="513"/>
    <n v="513"/>
    <n v="11.501300000000001"/>
    <n v="-1.3237000000000001"/>
    <n v="-52.949599999999997"/>
    <n v="-0.11509521565463252"/>
    <m/>
    <n v="305179"/>
    <m/>
    <n v="5614"/>
    <n v="6579000000"/>
    <n v="460.05040000000002"/>
    <n v="10010"/>
    <n v="0.11509133750097804"/>
    <n v="460.05200000000002"/>
    <x v="1"/>
    <n v="40"/>
    <x v="4"/>
  </r>
  <r>
    <d v="2026-02-03T00:00:00"/>
    <x v="36"/>
    <s v="PILOTO"/>
    <n v="1"/>
    <s v="VENTA DIRECTA "/>
    <n v="407307"/>
    <x v="111"/>
    <s v="UND"/>
    <n v="40"/>
    <m/>
    <n v="40"/>
    <n v="80.224999999999994"/>
    <n v="3209"/>
    <n v="3209"/>
    <n v="69.472800000000007"/>
    <n v="-10.7522"/>
    <n v="-430.089"/>
    <n v="-0.15476890047936037"/>
    <m/>
    <n v="305179"/>
    <m/>
    <n v="5614"/>
    <n v="6579000000"/>
    <n v="2778.9110000000001"/>
    <n v="10010"/>
    <n v="0.15476848493223228"/>
    <n v="2778.9120000000003"/>
    <x v="1"/>
    <n v="40"/>
    <x v="4"/>
  </r>
  <r>
    <d v="2026-02-03T00:00:00"/>
    <x v="36"/>
    <s v="PILOTO"/>
    <n v="1"/>
    <s v="VENTA DIRECTA "/>
    <n v="701040"/>
    <x v="1"/>
    <s v="PL"/>
    <n v="14"/>
    <m/>
    <n v="14"/>
    <n v="7743.7857000000004"/>
    <n v="108413"/>
    <n v="108413"/>
    <n v="7835.7259999999997"/>
    <n v="91.940200000000004"/>
    <n v="1287.1633999999999"/>
    <n v="1.1733467996969598E-2"/>
    <m/>
    <n v="305179"/>
    <m/>
    <n v="5614"/>
    <n v="6579000000"/>
    <n v="109700.16335599998"/>
    <n v="10010"/>
    <n v="-1.1733475621786584E-2"/>
    <n v="109700.16399999999"/>
    <x v="1"/>
    <n v="14"/>
    <x v="1"/>
  </r>
  <r>
    <d v="2026-02-03T00:00:00"/>
    <x v="36"/>
    <s v="PILOTO"/>
    <n v="1"/>
    <s v="VENTA DIRECTA 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179"/>
    <m/>
    <n v="5614"/>
    <n v="6579000000"/>
    <n v="73879.636363999962"/>
    <n v="10010"/>
    <n v="3.2977422720500759E-4"/>
    <n v="73879.636400000003"/>
    <x v="0"/>
    <n v="2"/>
    <x v="45"/>
  </r>
  <r>
    <d v="2026-02-03T00:00:00"/>
    <x v="36"/>
    <s v="PILOTO"/>
    <n v="1"/>
    <s v="VENTA DIRECTA "/>
    <n v="302044"/>
    <x v="2"/>
    <s v="PZA"/>
    <n v="34"/>
    <m/>
    <n v="34"/>
    <n v="13973.558800000001"/>
    <n v="475101"/>
    <n v="475101"/>
    <n v="13725.9625"/>
    <n v="-247.59630000000001"/>
    <n v="-8418.2738000000008"/>
    <n v="-1.8038537473499736E-2"/>
    <m/>
    <n v="305179"/>
    <m/>
    <n v="5614"/>
    <n v="6579000000"/>
    <n v="466682.72615599999"/>
    <n v="10010"/>
    <n v="1.8038538281013157E-2"/>
    <n v="466682.72499999998"/>
    <x v="0"/>
    <n v="34"/>
    <x v="2"/>
  </r>
  <r>
    <d v="2026-02-04T00:00:00"/>
    <x v="37"/>
    <s v="PILOTO"/>
    <n v="12"/>
    <s v="VENTA DIRECTA "/>
    <n v="404184"/>
    <x v="37"/>
    <s v="UND"/>
    <n v="2"/>
    <m/>
    <n v="2"/>
    <n v="1756"/>
    <n v="3512"/>
    <n v="3512"/>
    <n v="1754.8757000000001"/>
    <n v="-1.1243000000000001"/>
    <n v="-2.2484999999999999"/>
    <n v="-6.4065448062197456E-4"/>
    <m/>
    <n v="305333"/>
    <n v="5732"/>
    <n v="5655"/>
    <n v="6579000000"/>
    <n v="3509.7514620000002"/>
    <n v="10010"/>
    <n v="6.4067215700801391E-4"/>
    <n v="3509.7514000000001"/>
    <x v="1"/>
    <n v="2"/>
    <x v="33"/>
  </r>
  <r>
    <d v="2026-02-04T00:00:00"/>
    <x v="37"/>
    <s v="PILOTO"/>
    <n v="12"/>
    <s v="VENTA DIRECTA "/>
    <n v="404252"/>
    <x v="118"/>
    <s v="UND"/>
    <n v="2"/>
    <m/>
    <n v="2"/>
    <n v="1110"/>
    <n v="2220"/>
    <n v="2220"/>
    <n v="1110.0438999999999"/>
    <n v="4.3900000000000002E-2"/>
    <n v="8.7800000000000003E-2"/>
    <n v="3.9526365532559117E-5"/>
    <m/>
    <n v="305333"/>
    <m/>
    <n v="5655"/>
    <n v="6579000000"/>
    <n v="2220.0877519999999"/>
    <n v="10010"/>
    <n v="-3.9547985444444259E-5"/>
    <n v="2220.0877999999998"/>
    <x v="1"/>
    <n v="2"/>
    <x v="4"/>
  </r>
  <r>
    <d v="2026-02-04T00:00:00"/>
    <x v="37"/>
    <s v="PILOTO"/>
    <n v="12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336"/>
    <n v="4900"/>
    <n v="5655"/>
    <n v="6579000000"/>
    <n v="2042.119706"/>
    <n v="10010"/>
    <n v="-5.8615564993553597E-5"/>
    <n v="2042.1197"/>
    <x v="1"/>
    <n v="1"/>
    <x v="82"/>
  </r>
  <r>
    <d v="2026-02-04T00:00:00"/>
    <x v="37"/>
    <s v="PILOTO"/>
    <n v="12"/>
    <s v="VENTA DIRECTA "/>
    <n v="617016"/>
    <x v="93"/>
    <s v="UND"/>
    <n v="1"/>
    <m/>
    <n v="1"/>
    <n v="2858"/>
    <n v="2858"/>
    <n v="2858"/>
    <n v="2857.5133000000001"/>
    <n v="-0.48670000000000002"/>
    <n v="-0.48670000000000002"/>
    <n v="-1.7033201715236886E-4"/>
    <m/>
    <n v="305336"/>
    <m/>
    <n v="5655"/>
    <n v="6579000000"/>
    <n v="2857.5132739999999"/>
    <n v="10010"/>
    <n v="1.7032291678219938E-4"/>
    <n v="2857.5133000000001"/>
    <x v="1"/>
    <n v="1"/>
    <x v="81"/>
  </r>
  <r>
    <d v="2026-02-04T00:00:00"/>
    <x v="38"/>
    <s v="PILOTO"/>
    <n v="12"/>
    <s v="VENTA DIRECTA 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5338"/>
    <n v="36940"/>
    <n v="5655"/>
    <n v="6579000000"/>
    <n v="36939.818181999981"/>
    <n v="10010"/>
    <n v="4.92151853628979E-6"/>
    <n v="36939.818200000002"/>
    <x v="0"/>
    <n v="1"/>
    <x v="45"/>
  </r>
  <r>
    <d v="2026-02-04T00:00:00"/>
    <x v="38"/>
    <s v="PILOTO"/>
    <n v="12"/>
    <s v="VENTA DIRECTA "/>
    <n v="1610023"/>
    <x v="31"/>
    <s v="KG"/>
    <n v="2"/>
    <m/>
    <n v="2"/>
    <n v="2054.5"/>
    <n v="4109"/>
    <n v="4109"/>
    <n v="2109.0585000000001"/>
    <n v="54.558500000000002"/>
    <n v="109.11709999999999"/>
    <n v="2.5868671216808841E-2"/>
    <m/>
    <n v="305339"/>
    <n v="5950"/>
    <n v="5655"/>
    <n v="6579000000"/>
    <n v="4218.1170840000004"/>
    <n v="10010"/>
    <n v="-2.5868651817860952E-2"/>
    <n v="4218.1170000000002"/>
    <x v="1"/>
    <n v="2"/>
    <x v="28"/>
  </r>
  <r>
    <d v="2026-02-04T00:00:00"/>
    <x v="38"/>
    <s v="PILOTO"/>
    <n v="12"/>
    <s v="VENTA DIRECTA "/>
    <n v="617055"/>
    <x v="119"/>
    <s v="UND"/>
    <n v="2"/>
    <m/>
    <n v="2"/>
    <n v="920.5"/>
    <n v="1841"/>
    <n v="1841"/>
    <n v="920.35379999999998"/>
    <n v="-0.1462"/>
    <n v="-0.29239999999999999"/>
    <n v="-1.5887260205646252E-4"/>
    <m/>
    <n v="305339"/>
    <m/>
    <n v="5655"/>
    <n v="6579000000"/>
    <n v="1840.7075620000001"/>
    <n v="10010"/>
    <n v="1.5885195454185298E-4"/>
    <n v="1840.7076"/>
    <x v="1"/>
    <n v="2"/>
    <x v="4"/>
  </r>
  <r>
    <d v="2026-02-04T00:00:00"/>
    <x v="38"/>
    <s v="PILOTO"/>
    <n v="12"/>
    <s v="VENTA DIRECTA "/>
    <s v="140209X"/>
    <x v="59"/>
    <s v="UND"/>
    <n v="2"/>
    <m/>
    <n v="2"/>
    <n v="3021.5"/>
    <n v="6043"/>
    <n v="6043"/>
    <n v="3021.2829000000002"/>
    <n v="-0.21709999999999999"/>
    <n v="-0.43430000000000002"/>
    <n v="-7.1867153594689249E-5"/>
    <m/>
    <n v="305340"/>
    <n v="12840"/>
    <n v="5655"/>
    <n v="6579000000"/>
    <n v="6042.5657380000011"/>
    <n v="10010"/>
    <n v="7.1856892315461671E-5"/>
    <n v="6042.5658000000003"/>
    <x v="1"/>
    <n v="2"/>
    <x v="52"/>
  </r>
  <r>
    <d v="2026-02-04T00:00:00"/>
    <x v="38"/>
    <s v="PILOTO"/>
    <n v="12"/>
    <s v="VENTA DIRECTA "/>
    <s v="180150x"/>
    <x v="120"/>
    <s v="JGO"/>
    <n v="1"/>
    <m/>
    <n v="1"/>
    <n v="6797"/>
    <n v="6797"/>
    <n v="6797"/>
    <n v="6798.3406999999997"/>
    <n v="1.3407"/>
    <n v="1.3407"/>
    <n v="1.9721179867255589E-4"/>
    <m/>
    <n v="305340"/>
    <m/>
    <n v="5655"/>
    <n v="6579000000"/>
    <n v="6798.3407129999996"/>
    <n v="10010"/>
    <n v="-1.9720988681837357E-4"/>
    <n v="6798.3406999999997"/>
    <x v="1"/>
    <n v="1"/>
    <x v="4"/>
  </r>
  <r>
    <d v="2026-02-04T00:00:00"/>
    <x v="39"/>
    <s v="PILOTO"/>
    <n v="11"/>
    <s v="VENTA DIRECTA "/>
    <n v="304007"/>
    <x v="49"/>
    <s v="PL"/>
    <n v="57"/>
    <m/>
    <n v="57"/>
    <n v="11444.350899999999"/>
    <n v="652328"/>
    <n v="652328"/>
    <n v="11444.352999999999"/>
    <n v="2.0999999999999999E-3"/>
    <n v="0.12230000000000001"/>
    <n v="1.8741181862876885E-7"/>
    <m/>
    <n v="305305"/>
    <n v="652328"/>
    <n v="5655"/>
    <n v="6579000000"/>
    <n v="652328.12225399981"/>
    <n v="10010"/>
    <n v="-1.8349661179624838E-7"/>
    <n v="652328.12099999993"/>
    <x v="0"/>
    <n v="57"/>
    <x v="43"/>
  </r>
  <r>
    <d v="2026-02-04T00:00:00"/>
    <x v="39"/>
    <s v="PILOTO"/>
    <n v="11"/>
    <s v="VENTA DIRECTA "/>
    <n v="307032"/>
    <x v="121"/>
    <s v="TRA"/>
    <n v="60"/>
    <m/>
    <n v="60"/>
    <n v="2378.3332999999998"/>
    <n v="142700"/>
    <n v="142700"/>
    <n v="2378.375"/>
    <n v="4.1700000000000001E-2"/>
    <n v="2.5024999999999999"/>
    <n v="1.75362026372265E-5"/>
    <m/>
    <n v="305311"/>
    <n v="142700"/>
    <n v="5655"/>
    <n v="6579000000"/>
    <n v="142702.50245999999"/>
    <n v="10010"/>
    <n v="-1.7532979450346983E-5"/>
    <n v="142702.5"/>
    <x v="1"/>
    <n v="60"/>
    <x v="4"/>
  </r>
  <r>
    <d v="2026-02-04T00:00:00"/>
    <x v="39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14"/>
    <n v="58587"/>
    <n v="5655"/>
    <n v="6579000000"/>
    <n v="7500.0356400000001"/>
    <n v="10010"/>
    <n v="-4.799976960156248E-6"/>
    <n v="7500.0360000000001"/>
    <x v="1"/>
    <n v="30"/>
    <x v="4"/>
  </r>
  <r>
    <d v="2026-02-04T00:00:00"/>
    <x v="39"/>
    <s v="PILOTO"/>
    <n v="11"/>
    <s v="VENTA DIRECTA "/>
    <n v="601047"/>
    <x v="89"/>
    <s v="TIN"/>
    <n v="1"/>
    <m/>
    <n v="1"/>
    <n v="50187"/>
    <n v="50187"/>
    <n v="50187"/>
    <n v="50286.86"/>
    <n v="99.86"/>
    <n v="99.86"/>
    <n v="1.9858070279194324E-3"/>
    <m/>
    <n v="305314"/>
    <m/>
    <n v="5655"/>
    <n v="6579000000"/>
    <n v="50286.86"/>
    <n v="10010"/>
    <n v="-1.9858070279194324E-3"/>
    <n v="50286.86"/>
    <x v="1"/>
    <n v="1"/>
    <x v="77"/>
  </r>
  <r>
    <d v="2026-02-04T00:00:00"/>
    <x v="39"/>
    <s v="PILOTO"/>
    <n v="11"/>
    <s v="VENTA DIRECTA "/>
    <n v="617007"/>
    <x v="123"/>
    <s v="UND"/>
    <n v="9"/>
    <m/>
    <n v="9"/>
    <n v="100"/>
    <n v="900"/>
    <n v="900"/>
    <n v="99.963800000000006"/>
    <n v="-3.6200000000000003E-2"/>
    <n v="-0.3256"/>
    <n v="-3.6192093937669894E-4"/>
    <m/>
    <n v="305314"/>
    <m/>
    <n v="5655"/>
    <n v="6579000000"/>
    <n v="899.67438900000002"/>
    <n v="10010"/>
    <n v="3.6213109145504462E-4"/>
    <n v="899.67420000000004"/>
    <x v="1"/>
    <n v="9"/>
    <x v="4"/>
  </r>
  <r>
    <d v="2026-02-04T00:00:00"/>
    <x v="40"/>
    <s v="PILOTO"/>
    <n v="11"/>
    <s v="VENTA DIRECTA "/>
    <n v="1405025"/>
    <x v="124"/>
    <s v="UND"/>
    <n v="1"/>
    <m/>
    <n v="1"/>
    <n v="6758"/>
    <n v="6758"/>
    <n v="6758"/>
    <n v="6758.5333000000001"/>
    <n v="0.5333"/>
    <n v="0.5333"/>
    <n v="7.891253526799935E-5"/>
    <m/>
    <n v="305315"/>
    <n v="6758"/>
    <n v="5655"/>
    <n v="6579000000"/>
    <n v="6758.5333330000003"/>
    <n v="10010"/>
    <n v="-7.8907652937073463E-5"/>
    <n v="6758.5333000000001"/>
    <x v="1"/>
    <n v="1"/>
    <x v="4"/>
  </r>
  <r>
    <d v="2026-02-04T00:00:00"/>
    <x v="40"/>
    <s v="PILOTO"/>
    <n v="11"/>
    <s v="VENTA DIRECTA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305322"/>
    <n v="72577"/>
    <n v="5655"/>
    <n v="6579000000"/>
    <n v="4675.5185190000002"/>
    <n v="10010"/>
    <n v="-0.21206599866945242"/>
    <n v="4675.5185000000001"/>
    <x v="1"/>
    <n v="1"/>
    <x v="20"/>
  </r>
  <r>
    <d v="2026-02-04T00:00:00"/>
    <x v="40"/>
    <s v="PILOTO"/>
    <n v="11"/>
    <s v="VENTA DIRECTA "/>
    <n v="1801233"/>
    <x v="125"/>
    <s v="UND"/>
    <n v="1"/>
    <m/>
    <n v="1"/>
    <n v="7404"/>
    <n v="7404"/>
    <n v="7404"/>
    <n v="7404.4101000000001"/>
    <n v="0.41010000000000002"/>
    <n v="0.41010000000000002"/>
    <n v="5.5382129840481465E-5"/>
    <m/>
    <n v="305322"/>
    <m/>
    <n v="5655"/>
    <n v="6579000000"/>
    <n v="7404.4100719999997"/>
    <n v="10010"/>
    <n v="-5.538591116124926E-5"/>
    <n v="7404.4101000000001"/>
    <x v="1"/>
    <n v="1"/>
    <x v="4"/>
  </r>
  <r>
    <d v="2026-02-04T00:00:00"/>
    <x v="40"/>
    <s v="PILOTO"/>
    <n v="11"/>
    <s v="VENTA DIRECTA "/>
    <n v="1801232"/>
    <x v="126"/>
    <s v="UND"/>
    <n v="1"/>
    <m/>
    <n v="1"/>
    <n v="6876"/>
    <n v="6876"/>
    <n v="6876"/>
    <n v="6876.3333000000002"/>
    <n v="0.33329999999999999"/>
    <n v="0.33329999999999999"/>
    <n v="4.8475398712842479E-5"/>
    <m/>
    <n v="305322"/>
    <m/>
    <n v="5655"/>
    <n v="6579000000"/>
    <n v="6876.3333329999996"/>
    <n v="10010"/>
    <n v="-4.8470599876279376E-5"/>
    <n v="6876.3333000000002"/>
    <x v="1"/>
    <n v="1"/>
    <x v="4"/>
  </r>
  <r>
    <d v="2026-02-04T00:00:00"/>
    <x v="4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n v="5655"/>
    <n v="6579000000"/>
    <n v="15783.483871"/>
    <n v="10010"/>
    <n v="3.2698737697621587E-5"/>
    <n v="15783.483899999999"/>
    <x v="1"/>
    <n v="1"/>
    <x v="4"/>
  </r>
  <r>
    <d v="2026-02-04T00:00:00"/>
    <x v="40"/>
    <s v="PILOTO"/>
    <n v="11"/>
    <s v="VENTA DIRECTA "/>
    <n v="1801231"/>
    <x v="128"/>
    <s v="UND"/>
    <n v="1"/>
    <m/>
    <n v="1"/>
    <n v="5709"/>
    <n v="5709"/>
    <n v="5709"/>
    <n v="5708.8"/>
    <n v="-0.2"/>
    <n v="-0.2"/>
    <n v="-3.5033632286963653E-5"/>
    <m/>
    <n v="305322"/>
    <m/>
    <n v="5655"/>
    <n v="6579000000"/>
    <n v="5708.8"/>
    <n v="10010"/>
    <n v="3.5033632286963653E-5"/>
    <n v="5708.8"/>
    <x v="1"/>
    <n v="1"/>
    <x v="4"/>
  </r>
  <r>
    <d v="2026-02-04T00:00:00"/>
    <x v="40"/>
    <s v="PILOTO"/>
    <n v="11"/>
    <s v="VENTA DIRECTA 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05322"/>
    <m/>
    <n v="5655"/>
    <n v="6579000000"/>
    <n v="2906.671096"/>
    <n v="10010"/>
    <n v="1.1315349713972661E-4"/>
    <n v="2906.6711"/>
    <x v="1"/>
    <n v="1"/>
    <x v="4"/>
  </r>
  <r>
    <d v="2026-02-04T00:00:00"/>
    <x v="40"/>
    <s v="PILOTO"/>
    <n v="11"/>
    <s v="VENTA DIRECTA "/>
    <n v="1808003"/>
    <x v="130"/>
    <s v="UND"/>
    <n v="2"/>
    <m/>
    <n v="2"/>
    <n v="169"/>
    <n v="338"/>
    <n v="338"/>
    <n v="167.7449"/>
    <n v="-1.2551000000000001"/>
    <n v="-2.5103"/>
    <n v="-7.4824469433213726E-3"/>
    <m/>
    <n v="305322"/>
    <m/>
    <n v="5655"/>
    <n v="6579000000"/>
    <n v="335.48971600000004"/>
    <n v="10010"/>
    <n v="7.4821946896746119E-3"/>
    <n v="335.4898"/>
    <x v="1"/>
    <n v="2"/>
    <x v="4"/>
  </r>
  <r>
    <d v="2026-02-04T00:00:00"/>
    <x v="4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n v="5655"/>
    <n v="6579000000"/>
    <n v="15783.483871"/>
    <n v="10010"/>
    <n v="3.2698737697621587E-5"/>
    <n v="15783.483899999999"/>
    <x v="1"/>
    <n v="1"/>
    <x v="4"/>
  </r>
  <r>
    <d v="2026-02-04T00:00:00"/>
    <x v="40"/>
    <s v="PILOTO"/>
    <n v="11"/>
    <s v="VENTA DIRECTA "/>
    <n v="1802176"/>
    <x v="131"/>
    <s v="UND"/>
    <n v="1"/>
    <m/>
    <n v="1"/>
    <n v="2199"/>
    <n v="2199"/>
    <n v="2199"/>
    <n v="2199"/>
    <n v="0"/>
    <n v="0"/>
    <n v="0"/>
    <m/>
    <n v="305322"/>
    <m/>
    <n v="5655"/>
    <n v="6579000000"/>
    <n v="2199"/>
    <n v="10010"/>
    <n v="0"/>
    <n v="2199"/>
    <x v="1"/>
    <n v="1"/>
    <x v="4"/>
  </r>
  <r>
    <d v="2026-02-04T00:00:00"/>
    <x v="40"/>
    <s v="PILOTO"/>
    <n v="11"/>
    <s v="VENTA DIRECTA "/>
    <n v="307032"/>
    <x v="121"/>
    <s v="TRA"/>
    <n v="5"/>
    <m/>
    <n v="5"/>
    <n v="2378.4"/>
    <n v="11892"/>
    <n v="11892"/>
    <n v="2378.375"/>
    <n v="-2.5000000000000001E-2"/>
    <n v="-0.12479999999999999"/>
    <n v="-1.049413972567338E-5"/>
    <m/>
    <n v="305322"/>
    <m/>
    <n v="5655"/>
    <n v="6579000000"/>
    <n v="11891.875204999998"/>
    <n v="10010"/>
    <n v="1.0511378567337341E-5"/>
    <n v="11891.875"/>
    <x v="1"/>
    <n v="5"/>
    <x v="4"/>
  </r>
  <r>
    <d v="2026-02-04T00:00:00"/>
    <x v="41"/>
    <s v="M-00003"/>
    <n v="2"/>
    <s v="VENTA DIRECTA "/>
    <n v="701043"/>
    <x v="132"/>
    <s v="PL"/>
    <n v="6"/>
    <m/>
    <n v="6"/>
    <n v="22146.5"/>
    <n v="132879"/>
    <n v="132879"/>
    <n v="22146.362799999999"/>
    <n v="-0.13719999999999999"/>
    <n v="-0.82340000000000002"/>
    <n v="-6.1964125401709252E-6"/>
    <m/>
    <n v="305324"/>
    <n v="138243"/>
    <n v="5655"/>
    <n v="6579000000"/>
    <n v="132878.17663200002"/>
    <n v="10010"/>
    <n v="6.195148216438967E-6"/>
    <n v="132878.17679999999"/>
    <x v="0"/>
    <n v="6"/>
    <x v="93"/>
  </r>
  <r>
    <d v="2026-02-04T00:00:00"/>
    <x v="41"/>
    <s v="M-00004"/>
    <n v="2"/>
    <s v="VENTA DIRECTA "/>
    <n v="407170"/>
    <x v="71"/>
    <s v="UND"/>
    <n v="100"/>
    <m/>
    <n v="100"/>
    <n v="5.73"/>
    <n v="573"/>
    <n v="573"/>
    <n v="4.8802000000000003"/>
    <n v="-0.8498"/>
    <n v="-84.978399999999993"/>
    <n v="-0.17412835825299525"/>
    <m/>
    <n v="305324"/>
    <m/>
    <n v="5655"/>
    <n v="6579000000"/>
    <n v="488.02160000000009"/>
    <n v="10010"/>
    <n v="0.17413220769640589"/>
    <n v="488.02000000000004"/>
    <x v="1"/>
    <n v="100"/>
    <x v="64"/>
  </r>
  <r>
    <d v="2026-02-04T00:00:00"/>
    <x v="41"/>
    <s v="M-00005"/>
    <n v="2"/>
    <s v="VENTA DIRECTA "/>
    <n v="1405006"/>
    <x v="133"/>
    <s v="UND"/>
    <n v="50"/>
    <m/>
    <n v="50"/>
    <n v="35.4"/>
    <n v="1770"/>
    <n v="1770"/>
    <n v="35.197499999999998"/>
    <n v="-0.20250000000000001"/>
    <n v="-10.127000000000001"/>
    <n v="-5.7543925044588988E-3"/>
    <m/>
    <n v="305324"/>
    <m/>
    <n v="5655"/>
    <n v="6579000000"/>
    <n v="1759.8730000000005"/>
    <n v="10010"/>
    <n v="5.7532495205625568E-3"/>
    <n v="1759.875"/>
    <x v="1"/>
    <n v="50"/>
    <x v="4"/>
  </r>
  <r>
    <d v="2026-02-04T00:00:00"/>
    <x v="41"/>
    <s v="M-00006"/>
    <n v="2"/>
    <s v="VENTA DIRECTA "/>
    <s v="140209X"/>
    <x v="59"/>
    <s v="UND"/>
    <n v="1"/>
    <m/>
    <n v="1"/>
    <n v="3021"/>
    <n v="3021"/>
    <n v="3021"/>
    <n v="3021.2829000000002"/>
    <n v="0.28289999999999998"/>
    <n v="0.28289999999999998"/>
    <n v="9.3625460529685186E-5"/>
    <m/>
    <n v="305324"/>
    <m/>
    <n v="5655"/>
    <n v="6579000000"/>
    <n v="3021.2828690000006"/>
    <n v="10010"/>
    <n v="-9.3635720110868878E-5"/>
    <n v="3021.2829000000002"/>
    <x v="1"/>
    <n v="1"/>
    <x v="52"/>
  </r>
  <r>
    <d v="2026-02-04T00:00:00"/>
    <x v="42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7"/>
    <n v="27300"/>
    <n v="5655"/>
    <n v="6579000000"/>
    <n v="27299.988560000002"/>
    <n v="10010"/>
    <n v="4.0293056526552117E-7"/>
    <n v="27299.989000000001"/>
    <x v="1"/>
    <n v="10"/>
    <x v="31"/>
  </r>
  <r>
    <d v="2026-02-09T00:00:00"/>
    <x v="43"/>
    <s v="MUESTRA DE REVESTIMIENTO"/>
    <n v="2"/>
    <s v="MUESTRA"/>
    <n v="602255"/>
    <x v="134"/>
    <s v="TIN"/>
    <n v="1"/>
    <m/>
    <n v="1"/>
    <n v="47890"/>
    <n v="47890"/>
    <n v="47890"/>
    <n v="47889.5"/>
    <n v="-0.5"/>
    <n v="-0.5"/>
    <n v="-1.0440702032804683E-5"/>
    <m/>
    <n v="305654"/>
    <n v="47890"/>
    <n v="5655"/>
    <n v="6579000000"/>
    <n v="47889.5"/>
    <n v="10010"/>
    <n v="1.0440702032804685E-5"/>
    <n v="47889.5"/>
    <x v="1"/>
    <n v="1"/>
    <x v="4"/>
  </r>
  <r>
    <d v="2026-02-10T00:00:00"/>
    <x v="44"/>
    <s v="PILOTO"/>
    <n v="2"/>
    <s v="VENTA DIRECTA "/>
    <n v="302046"/>
    <x v="78"/>
    <s v="PZA"/>
    <n v="504"/>
    <m/>
    <n v="504"/>
    <n v="10905.4226"/>
    <n v="5496333"/>
    <n v="5496333"/>
    <n v="10156.5985"/>
    <n v="-748.82420000000002"/>
    <n v="-377407.3726"/>
    <n v="-7.372784840127683E-2"/>
    <m/>
    <n v="305911"/>
    <n v="5496333"/>
    <n v="5655"/>
    <n v="6579000000"/>
    <n v="5118925.6273680013"/>
    <n v="10010"/>
    <n v="7.3727843037213664E-2"/>
    <n v="5118925.6440000003"/>
    <x v="0"/>
    <n v="504"/>
    <x v="46"/>
  </r>
  <r>
    <d v="2026-02-10T00:00:00"/>
    <x v="44"/>
    <s v="STOCK"/>
    <n v="2"/>
    <s v="MATERIAL EN STOCK "/>
    <n v="701096"/>
    <x v="135"/>
    <s v="PL"/>
    <n v="70"/>
    <m/>
    <n v="70"/>
    <n v="15890.9429"/>
    <n v="1112366"/>
    <n v="1112366"/>
    <n v="16019.885700000001"/>
    <n v="128.94280000000001"/>
    <n v="9025.9979999999996"/>
    <n v="8.0489230942439732E-3"/>
    <m/>
    <n v="305808"/>
    <n v="1112366"/>
    <n v="5655"/>
    <n v="6579000000"/>
    <n v="1121391.9979500002"/>
    <n v="10010"/>
    <n v="-8.048921347797177E-3"/>
    <n v="1121391.9990000001"/>
    <x v="0"/>
    <n v="70"/>
    <x v="94"/>
  </r>
  <r>
    <d v="2026-02-11T00:00:00"/>
    <x v="45"/>
    <s v="STOCK"/>
    <n v="2"/>
    <s v="MATERIAL EN STOCK "/>
    <n v="1901008"/>
    <x v="6"/>
    <s v="M2"/>
    <n v="162"/>
    <m/>
    <n v="162"/>
    <n v="2039.6420000000001"/>
    <n v="330422"/>
    <n v="330422"/>
    <n v="2112.7957999999999"/>
    <n v="73.153800000000004"/>
    <n v="11850.9162"/>
    <n v="3.4624171639524089E-2"/>
    <m/>
    <n v="305971"/>
    <n v="340511"/>
    <n v="5655"/>
    <n v="6579000000"/>
    <n v="342272.91619800002"/>
    <n v="10010"/>
    <n v="-3.4624169548235481E-2"/>
    <n v="342272.91959999996"/>
    <x v="0"/>
    <n v="162"/>
    <x v="6"/>
  </r>
  <r>
    <d v="2026-02-11T00:00:00"/>
    <x v="45"/>
    <s v="STOCK"/>
    <n v="2"/>
    <s v="MATERIAL EN STOCK "/>
    <n v="407423"/>
    <x v="70"/>
    <s v="UND"/>
    <n v="3000"/>
    <m/>
    <n v="3000"/>
    <n v="3.363"/>
    <n v="10089"/>
    <n v="10089"/>
    <n v="106.6405"/>
    <n v="103.2775"/>
    <n v="309832.50599999999"/>
    <n v="0.96846413944571086"/>
    <m/>
    <n v="305971"/>
    <m/>
    <n v="5655"/>
    <n v="6579000000"/>
    <n v="319921.50595135131"/>
    <n v="10010"/>
    <n v="-0.96846413885906391"/>
    <n v="319921.5"/>
    <x v="1"/>
    <n v="3000"/>
    <x v="63"/>
  </r>
  <r>
    <d v="2026-02-11T00:00:00"/>
    <x v="44"/>
    <s v="STOCK"/>
    <n v="2"/>
    <s v="MATERIAL EN STOCK "/>
    <n v="408042"/>
    <x v="101"/>
    <s v="CJA"/>
    <n v="1"/>
    <m/>
    <n v="1"/>
    <n v="35000"/>
    <n v="35000"/>
    <n v="35000"/>
    <n v="35000"/>
    <n v="0"/>
    <n v="0"/>
    <n v="8.3153801304950006E-16"/>
    <m/>
    <n v="305895"/>
    <n v="2086620"/>
    <n v="5655"/>
    <n v="6579000000"/>
    <n v="35000.000000000029"/>
    <n v="10010"/>
    <n v="0"/>
    <n v="35000"/>
    <x v="1"/>
    <n v="1"/>
    <x v="89"/>
  </r>
  <r>
    <d v="2026-02-11T00:00:00"/>
    <x v="44"/>
    <s v="STOCK"/>
    <n v="2"/>
    <s v="MATERIAL EN STOCK "/>
    <n v="302010"/>
    <x v="136"/>
    <s v="PZA"/>
    <n v="420"/>
    <n v="420"/>
    <n v="0"/>
    <n v="6669.6929"/>
    <n v="2801271"/>
    <n v="0"/>
    <n v="6585.1337000000003"/>
    <n v="-84.559100000000001"/>
    <n v="0"/>
    <n v="-1.2840910362233691E-2"/>
    <m/>
    <n v="305895"/>
    <m/>
    <n v="5655"/>
    <n v="6579000000"/>
    <n v="0"/>
    <n v="10010"/>
    <n v="1.2840923791721904E-2"/>
    <n v="0"/>
    <x v="0"/>
    <n v="0"/>
    <x v="95"/>
  </r>
  <r>
    <d v="2026-02-11T00:00:00"/>
    <x v="44"/>
    <s v="STOCK"/>
    <n v="2"/>
    <s v="MATERIAL EN STOCK 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05895"/>
    <m/>
    <n v="5655"/>
    <n v="6579000000"/>
    <n v="139999.8464000001"/>
    <n v="10010"/>
    <n v="1.1428584490190236E-6"/>
    <n v="139999.84"/>
    <x v="1"/>
    <n v="200"/>
    <x v="4"/>
  </r>
  <r>
    <d v="2026-02-11T00:00:00"/>
    <x v="44"/>
    <s v="STOCK"/>
    <n v="2"/>
    <s v="MATERIAL EN STOCK 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895"/>
    <m/>
    <n v="5655"/>
    <n v="6579000000"/>
    <n v="236587.61999999997"/>
    <n v="10010"/>
    <n v="1.6907056835812905E-6"/>
    <n v="236587.6"/>
    <x v="0"/>
    <n v="500"/>
    <x v="8"/>
  </r>
  <r>
    <d v="2026-02-11T00:00:00"/>
    <x v="44"/>
    <s v="STOCK"/>
    <n v="2"/>
    <s v="MATERIAL EN STOCK "/>
    <n v="407307"/>
    <x v="111"/>
    <s v="UND"/>
    <n v="300"/>
    <m/>
    <n v="300"/>
    <n v="80.223299999999995"/>
    <n v="24067"/>
    <n v="24067"/>
    <n v="69.472800000000007"/>
    <n v="-10.7506"/>
    <n v="-3225.1675"/>
    <n v="-0.15474491026640769"/>
    <m/>
    <n v="305895"/>
    <m/>
    <n v="5655"/>
    <n v="6579000000"/>
    <n v="20841.8325"/>
    <n v="10010"/>
    <n v="0.15474401492382611"/>
    <n v="20841.840000000004"/>
    <x v="1"/>
    <n v="300"/>
    <x v="4"/>
  </r>
  <r>
    <d v="2026-02-11T00:00:00"/>
    <x v="44"/>
    <s v="STOCK"/>
    <n v="2"/>
    <s v="MATERIAL EN STOCK "/>
    <n v="407010"/>
    <x v="112"/>
    <s v="UND"/>
    <n v="300"/>
    <m/>
    <n v="300"/>
    <n v="12.83"/>
    <n v="3849"/>
    <n v="3849"/>
    <n v="11.501300000000001"/>
    <n v="-1.3287"/>
    <n v="-398.62200000000001"/>
    <n v="-0.115529950631496"/>
    <m/>
    <n v="305895"/>
    <m/>
    <n v="5655"/>
    <n v="6579000000"/>
    <n v="3450.3780000000002"/>
    <n v="10010"/>
    <n v="0.11552607096589076"/>
    <n v="3450.3900000000003"/>
    <x v="1"/>
    <n v="300"/>
    <x v="4"/>
  </r>
  <r>
    <d v="2026-02-11T00:00:00"/>
    <x v="44"/>
    <s v="STOCK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5895"/>
    <m/>
    <n v="5655"/>
    <n v="6579000000"/>
    <n v="1647115.5040800001"/>
    <n v="10010"/>
    <n v="3.059894707725925E-7"/>
    <n v="1647115.5"/>
    <x v="0"/>
    <n v="120"/>
    <x v="2"/>
  </r>
  <r>
    <d v="2026-02-09T00:00:00"/>
    <x v="43"/>
    <s v="STOCK "/>
    <n v="2"/>
    <s v="CIELO, PARA 10 MOD"/>
    <n v="302010"/>
    <x v="136"/>
    <s v="PZA"/>
    <n v="420"/>
    <m/>
    <n v="420"/>
    <n v="6669.6929"/>
    <n v="2801271"/>
    <n v="2801271"/>
    <n v="6585.1337000000003"/>
    <n v="-84.559100000000001"/>
    <n v="-35514.827100000002"/>
    <n v="-1.2840910362233691E-2"/>
    <m/>
    <n v="305763"/>
    <n v="7936278"/>
    <n v="5655"/>
    <n v="6579000000"/>
    <n v="2765756.1728999964"/>
    <n v="10010"/>
    <n v="1.2840923791721904E-2"/>
    <n v="2765756.1540000001"/>
    <x v="0"/>
    <n v="420"/>
    <x v="95"/>
  </r>
  <r>
    <d v="2026-02-09T00:00:00"/>
    <x v="43"/>
    <s v="STOCK "/>
    <n v="2"/>
    <s v="CIELO, PARA 10 MOD"/>
    <n v="302028"/>
    <x v="72"/>
    <s v="PZA"/>
    <n v="648"/>
    <m/>
    <n v="648"/>
    <n v="5258.1404000000002"/>
    <n v="3407275"/>
    <n v="3407275"/>
    <n v="5123.8024999999998"/>
    <n v="-134.33789999999999"/>
    <n v="-87050.962499999994"/>
    <n v="-2.6218400180504097E-2"/>
    <m/>
    <n v="305763"/>
    <m/>
    <n v="5655"/>
    <n v="6579000000"/>
    <n v="3320224.037496001"/>
    <n v="10010"/>
    <n v="2.6218399323549347E-2"/>
    <n v="3320224.02"/>
    <x v="0"/>
    <n v="648"/>
    <x v="65"/>
  </r>
  <r>
    <d v="2026-02-09T00:00:00"/>
    <x v="43"/>
    <s v="STOCK "/>
    <n v="2"/>
    <s v="CIELO, PARA 10 MOD"/>
    <s v="040813x"/>
    <x v="137"/>
    <s v="CJA"/>
    <n v="1"/>
    <m/>
    <n v="1"/>
    <n v="41452"/>
    <n v="41452"/>
    <n v="41452"/>
    <n v="41451.848700000002"/>
    <n v="-0.15129999999999999"/>
    <n v="-0.15129999999999999"/>
    <n v="-3.6490772933066615E-6"/>
    <m/>
    <n v="305763"/>
    <m/>
    <n v="5655"/>
    <n v="6579000000"/>
    <n v="41451.848739000001"/>
    <n v="10010"/>
    <n v="3.6500181473864699E-6"/>
    <n v="41451.848700000002"/>
    <x v="1"/>
    <n v="1"/>
    <x v="4"/>
  </r>
  <r>
    <d v="2026-02-09T00:00:00"/>
    <x v="43"/>
    <s v="M-00009"/>
    <n v="2"/>
    <s v="PISO M-00009-M00010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763"/>
    <m/>
    <n v="5655"/>
    <n v="6579000000"/>
    <n v="1358147.1985249999"/>
    <n v="10010"/>
    <n v="-4.1889395362258329E-3"/>
    <n v="1358147.1995000001"/>
    <x v="1"/>
    <n v="65"/>
    <x v="4"/>
  </r>
  <r>
    <d v="2026-02-09T00:00:00"/>
    <x v="43"/>
    <s v="STOCK"/>
    <n v="2"/>
    <s v="CIELO, PARA 10 MOD"/>
    <n v="1901008"/>
    <x v="6"/>
    <s v="M2"/>
    <n v="162"/>
    <m/>
    <n v="162"/>
    <n v="2060.6296000000002"/>
    <n v="333822"/>
    <n v="333822"/>
    <n v="2112.7957999999999"/>
    <n v="52.1661"/>
    <n v="8450.9161999999997"/>
    <n v="2.4690578185015615E-2"/>
    <m/>
    <n v="305763"/>
    <m/>
    <n v="5655"/>
    <n v="6579000000"/>
    <n v="342272.91619800002"/>
    <n v="10010"/>
    <n v="-2.469060190293812E-2"/>
    <n v="342272.91959999996"/>
    <x v="0"/>
    <n v="162"/>
    <x v="6"/>
  </r>
  <r>
    <d v="2026-02-04T00:00:00"/>
    <x v="42"/>
    <s v="PILOTO"/>
    <n v="11"/>
    <s v="VENTA DIRECTA 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5325"/>
    <n v="360896"/>
    <n v="5655"/>
    <n v="6579000000"/>
    <n v="6126.3591180000003"/>
    <n v="10010"/>
    <n v="-5.8615564993553597E-5"/>
    <n v="6126.3590999999997"/>
    <x v="1"/>
    <n v="3"/>
    <x v="82"/>
  </r>
  <r>
    <d v="2026-02-04T00:00:00"/>
    <x v="42"/>
    <s v="PILOTO"/>
    <n v="11"/>
    <s v="VENTA DIRECTA "/>
    <n v="304014"/>
    <x v="4"/>
    <s v="PL"/>
    <n v="10"/>
    <m/>
    <n v="10"/>
    <n v="20851"/>
    <n v="208510"/>
    <n v="208510"/>
    <n v="20894.5723"/>
    <n v="43.572299999999998"/>
    <n v="435.72280000000001"/>
    <n v="2.0853398866306767E-3"/>
    <m/>
    <n v="305325"/>
    <m/>
    <n v="5655"/>
    <n v="6579000000"/>
    <n v="208945.72284999999"/>
    <n v="10010"/>
    <n v="-2.0853406030234855E-3"/>
    <n v="208945.723"/>
    <x v="1"/>
    <n v="10"/>
    <x v="4"/>
  </r>
  <r>
    <d v="2026-02-04T00:00:00"/>
    <x v="42"/>
    <s v="PILOTO"/>
    <n v="11"/>
    <s v="VENTA DIRECTA "/>
    <n v="701043"/>
    <x v="132"/>
    <s v="PL"/>
    <n v="3"/>
    <m/>
    <n v="3"/>
    <n v="22146.333299999998"/>
    <n v="66439"/>
    <n v="66439"/>
    <n v="22146.362799999999"/>
    <n v="2.9399999999999999E-2"/>
    <n v="8.8300000000000003E-2"/>
    <n v="1.3292777225479102E-6"/>
    <m/>
    <n v="305325"/>
    <m/>
    <n v="5655"/>
    <n v="6579000000"/>
    <n v="66439.088316000008"/>
    <n v="10010"/>
    <n v="-1.3320471748323826E-6"/>
    <n v="66439.088399999993"/>
    <x v="0"/>
    <n v="3"/>
    <x v="93"/>
  </r>
  <r>
    <d v="2026-02-04T00:00:00"/>
    <x v="42"/>
    <s v="PILOTO"/>
    <n v="11"/>
    <s v="VENTA DIRECTA "/>
    <n v="704079"/>
    <x v="138"/>
    <s v="RLL"/>
    <n v="2"/>
    <m/>
    <n v="2"/>
    <n v="744.5"/>
    <n v="1489"/>
    <n v="1489"/>
    <n v="755.70489999999995"/>
    <n v="11.2049"/>
    <n v="22.409800000000001"/>
    <n v="1.4827060492643472E-2"/>
    <m/>
    <n v="305325"/>
    <m/>
    <n v="5655"/>
    <n v="6579000000"/>
    <n v="1511.409764"/>
    <n v="10010"/>
    <n v="-1.4827083958301651E-2"/>
    <n v="1511.4097999999999"/>
    <x v="1"/>
    <n v="2"/>
    <x v="4"/>
  </r>
  <r>
    <d v="2026-02-04T00:00:00"/>
    <x v="42"/>
    <s v="PILOTO"/>
    <n v="11"/>
    <s v="VENTA DIRECTA 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05325"/>
    <m/>
    <n v="5655"/>
    <n v="6579000000"/>
    <n v="8164.9821430000002"/>
    <n v="10010"/>
    <n v="2.1922889457194073E-6"/>
    <n v="8164.9821000000002"/>
    <x v="1"/>
    <n v="1"/>
    <x v="4"/>
  </r>
  <r>
    <d v="2026-02-04T00:00:00"/>
    <x v="42"/>
    <s v="PILOTO"/>
    <n v="11"/>
    <s v="VENTA DIRECTA 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5325"/>
    <m/>
    <n v="5655"/>
    <n v="6579000000"/>
    <n v="16517.660688"/>
    <n v="10010"/>
    <n v="2.0559812453786519E-5"/>
    <n v="16517.660400000001"/>
    <x v="1"/>
    <n v="12"/>
    <x v="4"/>
  </r>
  <r>
    <d v="2026-02-04T00:00:00"/>
    <x v="42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5"/>
    <m/>
    <n v="5655"/>
    <n v="6579000000"/>
    <n v="27299.988560000002"/>
    <n v="10010"/>
    <n v="4.0293056526552117E-7"/>
    <n v="27299.989000000001"/>
    <x v="1"/>
    <n v="10"/>
    <x v="31"/>
  </r>
  <r>
    <d v="2026-02-04T00:00:00"/>
    <x v="42"/>
    <s v="PILOTO"/>
    <n v="11"/>
    <s v="VENTA DIRECTA "/>
    <n v="1405026"/>
    <x v="57"/>
    <s v="KIT"/>
    <n v="1"/>
    <m/>
    <n v="1"/>
    <n v="18849"/>
    <n v="18849"/>
    <n v="18849"/>
    <n v="18880.599999999999"/>
    <n v="31.6"/>
    <n v="31.6"/>
    <n v="1.6736756247152393E-3"/>
    <m/>
    <n v="305325"/>
    <m/>
    <n v="5655"/>
    <n v="6579000000"/>
    <n v="18880.599999999999"/>
    <n v="10010"/>
    <n v="-1.6736756247152393E-3"/>
    <n v="18880.599999999999"/>
    <x v="1"/>
    <n v="1"/>
    <x v="50"/>
  </r>
  <r>
    <d v="2026-02-04T00:00:00"/>
    <x v="42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25"/>
    <m/>
    <n v="5655"/>
    <n v="6579000000"/>
    <n v="7500.0356400000001"/>
    <n v="10010"/>
    <n v="-4.799976960156248E-6"/>
    <n v="7500.0360000000001"/>
    <x v="1"/>
    <n v="30"/>
    <x v="4"/>
  </r>
  <r>
    <d v="2026-02-09T00:00:00"/>
    <x v="43"/>
    <s v="MUESTRA DE REVESTIMIENTO"/>
    <n v="2"/>
    <s v="MUESTR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5617"/>
    <n v="11589"/>
    <n v="5655"/>
    <n v="6579000000"/>
    <n v="5715.0265479999998"/>
    <n v="10010"/>
    <n v="-4.6543965342425642E-6"/>
    <n v="5715.0266000000001"/>
    <x v="1"/>
    <n v="2"/>
    <x v="81"/>
  </r>
  <r>
    <d v="2026-02-09T00:00:00"/>
    <x v="43"/>
    <s v="MUESTRA DE REVESTIMIENTO"/>
    <n v="2"/>
    <s v="MUESTRA"/>
    <n v="617057"/>
    <x v="94"/>
    <s v="UND"/>
    <n v="1"/>
    <m/>
    <n v="1"/>
    <n v="2042"/>
    <n v="2042"/>
    <n v="2042"/>
    <n v="2042.1197"/>
    <n v="0.1197"/>
    <n v="0.1197"/>
    <n v="5.8618502944876345E-5"/>
    <m/>
    <n v="305617"/>
    <m/>
    <n v="5655"/>
    <n v="6579000000"/>
    <n v="2042.119706"/>
    <n v="10010"/>
    <n v="-5.8615564993553597E-5"/>
    <n v="2042.1197"/>
    <x v="1"/>
    <n v="1"/>
    <x v="82"/>
  </r>
  <r>
    <d v="2026-02-09T00:00:00"/>
    <x v="43"/>
    <s v="MUESTRA DE REVESTIMIENTO"/>
    <n v="2"/>
    <s v="MUESTRA"/>
    <n v="609008"/>
    <x v="30"/>
    <s v="LTS"/>
    <n v="1"/>
    <m/>
    <n v="1"/>
    <n v="2099"/>
    <n v="2099"/>
    <n v="2099"/>
    <n v="2130.7573000000002"/>
    <n v="31.757300000000001"/>
    <n v="31.757300000000001"/>
    <n v="1.4904236090594457E-2"/>
    <m/>
    <n v="305617"/>
    <m/>
    <n v="5655"/>
    <n v="6579000000"/>
    <n v="2130.75731"/>
    <n v="10010"/>
    <n v="-1.4904231467375571E-2"/>
    <n v="2130.7573000000002"/>
    <x v="1"/>
    <n v="1"/>
    <x v="27"/>
  </r>
  <r>
    <d v="2026-02-09T00:00:00"/>
    <x v="43"/>
    <s v="MUESTRA DE REVESTIMIENTO"/>
    <n v="2"/>
    <s v="MUESTRA"/>
    <n v="2304053"/>
    <x v="141"/>
    <s v="UND"/>
    <n v="2"/>
    <m/>
    <n v="2"/>
    <n v="866.5"/>
    <n v="1733"/>
    <n v="1733"/>
    <n v="862"/>
    <n v="-4.5"/>
    <n v="-9"/>
    <n v="-5.2204176334105399E-3"/>
    <m/>
    <n v="305617"/>
    <m/>
    <n v="5655"/>
    <n v="6579000000"/>
    <n v="1724.0000000000002"/>
    <n v="10010"/>
    <n v="5.2204176334106726E-3"/>
    <n v="1724"/>
    <x v="1"/>
    <n v="2"/>
    <x v="4"/>
  </r>
  <r>
    <d v="2026-02-09T00:00:00"/>
    <x v="43"/>
    <s v="MUESTRA DE REVESTIMIENTO"/>
    <n v="2"/>
    <s v="MUESTRA"/>
    <n v="602254"/>
    <x v="142"/>
    <s v="TIN"/>
    <n v="1"/>
    <n v="1"/>
    <n v="0"/>
    <n v="46060"/>
    <n v="46060"/>
    <n v="0"/>
    <n v="46060"/>
    <n v="0"/>
    <n v="0"/>
    <n v="0"/>
    <m/>
    <n v="305617"/>
    <m/>
    <n v="5655"/>
    <n v="6579000000"/>
    <n v="0"/>
    <n v="10010"/>
    <n v="0"/>
    <n v="0"/>
    <x v="1"/>
    <n v="0"/>
    <x v="4"/>
  </r>
  <r>
    <d v="2026-02-13T00:00:00"/>
    <x v="46"/>
    <s v="M-00010-11-14-15"/>
    <n v="2"/>
    <s v="PANELES DE DIVISIONES INTERIORES"/>
    <n v="302028"/>
    <x v="72"/>
    <s v="PZA"/>
    <n v="1080"/>
    <m/>
    <n v="1080"/>
    <n v="5258.1406999999999"/>
    <n v="5678792"/>
    <n v="5678792"/>
    <n v="5123.8024999999998"/>
    <n v="-134.3382"/>
    <n v="-145085.2708"/>
    <n v="-2.6218460417402972E-2"/>
    <m/>
    <n v="306195"/>
    <n v="9954286"/>
    <n v="5694"/>
    <n v="6579000000"/>
    <n v="5533706.7291600015"/>
    <n v="10010"/>
    <n v="2.6218457873815423E-2"/>
    <n v="5533706.7000000002"/>
    <x v="0"/>
    <n v="1080"/>
    <x v="65"/>
  </r>
  <r>
    <d v="2026-02-13T00:00:00"/>
    <x v="46"/>
    <s v="M-00010-11-14-15"/>
    <n v="2"/>
    <s v="PANELES DE DIVISIONES INTERIORES"/>
    <n v="701040"/>
    <x v="1"/>
    <s v="PL"/>
    <n v="80"/>
    <m/>
    <n v="80"/>
    <n v="7744.4"/>
    <n v="619552"/>
    <n v="619552"/>
    <n v="7835.7259999999997"/>
    <n v="91.325999999999993"/>
    <n v="7306.0762999999997"/>
    <n v="1.1655072489279418E-2"/>
    <m/>
    <n v="306195"/>
    <m/>
    <n v="5694"/>
    <n v="6579000000"/>
    <n v="626858.07631999976"/>
    <n v="10010"/>
    <n v="-1.1655078291405292E-2"/>
    <n v="626858.07999999996"/>
    <x v="1"/>
    <n v="80"/>
    <x v="1"/>
  </r>
  <r>
    <d v="2026-02-13T00:00:00"/>
    <x v="46"/>
    <s v="STOCK"/>
    <n v="2"/>
    <s v="STOCK"/>
    <n v="407185"/>
    <x v="17"/>
    <s v="UND"/>
    <n v="200"/>
    <m/>
    <n v="200"/>
    <n v="6.88"/>
    <n v="1376"/>
    <n v="1376"/>
    <n v="6.8783000000000003"/>
    <n v="-1.6999999999999999E-3"/>
    <n v="-0.33600000000000002"/>
    <n v="-2.4424568790045527E-4"/>
    <m/>
    <n v="306195"/>
    <m/>
    <n v="5694"/>
    <n v="6579000000"/>
    <n v="1375.664"/>
    <n v="10010"/>
    <n v="2.4715409330787995E-4"/>
    <n v="1375.66"/>
    <x v="1"/>
    <n v="200"/>
    <x v="4"/>
  </r>
  <r>
    <d v="2026-02-13T00:00:00"/>
    <x v="46"/>
    <s v="M-00010-11-14-15"/>
    <n v="2"/>
    <s v="PANELES DE DIVISIONES INTERIORES"/>
    <n v="701015"/>
    <x v="46"/>
    <s v="PL"/>
    <n v="70"/>
    <m/>
    <n v="70"/>
    <n v="9151.1286"/>
    <n v="640579"/>
    <n v="640579"/>
    <n v="9151.2975000000006"/>
    <n v="0.16889999999999999"/>
    <n v="11.822800000000001"/>
    <n v="1.8456024626002928E-5"/>
    <m/>
    <n v="306195"/>
    <m/>
    <n v="5694"/>
    <n v="6579000000"/>
    <n v="640590.82276000001"/>
    <n v="10010"/>
    <n v="-1.8456399215584046E-5"/>
    <n v="640590.82500000007"/>
    <x v="1"/>
    <n v="70"/>
    <x v="41"/>
  </r>
  <r>
    <d v="2026-02-13T00:00:00"/>
    <x v="46"/>
    <s v="M-00010-11-14-15"/>
    <n v="2"/>
    <s v="PANELES DE DIVISIONES INTERIORES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6195"/>
    <m/>
    <n v="5694"/>
    <n v="6579000000"/>
    <n v="1358147.1985249999"/>
    <n v="10010"/>
    <n v="-4.1889395362258329E-3"/>
    <n v="1358147.1995000001"/>
    <x v="1"/>
    <n v="65"/>
    <x v="4"/>
  </r>
  <r>
    <d v="2026-02-13T00:00:00"/>
    <x v="46"/>
    <s v="M-00010-11-14-15"/>
    <n v="2"/>
    <s v="PANELES DE DIVISIONES INTERIORES"/>
    <n v="304002"/>
    <x v="12"/>
    <s v="PL"/>
    <n v="72"/>
    <m/>
    <n v="72"/>
    <n v="21246.5"/>
    <n v="1529748"/>
    <n v="1529748"/>
    <n v="21246.5072"/>
    <n v="7.1999999999999998E-3"/>
    <n v="0.51500000000000001"/>
    <n v="3.3666710253973922E-7"/>
    <m/>
    <n v="306195"/>
    <m/>
    <n v="5694"/>
    <n v="6579000000"/>
    <n v="1529748.5150160005"/>
    <n v="10010"/>
    <n v="-3.3887922999464314E-7"/>
    <n v="1529748.5183999999"/>
    <x v="0"/>
    <n v="72"/>
    <x v="10"/>
  </r>
  <r>
    <d v="2026-02-13T00:00:00"/>
    <x v="46"/>
    <s v="STOCK"/>
    <n v="2"/>
    <s v="PANELES DE DIVISIONES INTERIORES// STOCK "/>
    <n v="602254"/>
    <x v="142"/>
    <s v="TIN"/>
    <n v="1"/>
    <m/>
    <n v="1"/>
    <n v="46060"/>
    <n v="46060"/>
    <n v="46060"/>
    <n v="46060"/>
    <n v="0"/>
    <n v="0"/>
    <n v="0"/>
    <m/>
    <n v="306195"/>
    <m/>
    <n v="5694"/>
    <n v="6579000000"/>
    <n v="46060"/>
    <n v="10010"/>
    <n v="0"/>
    <n v="46060"/>
    <x v="1"/>
    <n v="1"/>
    <x v="4"/>
  </r>
  <r>
    <d v="2026-02-13T00:00:00"/>
    <x v="46"/>
    <s v="STOCK"/>
    <n v="2"/>
    <s v="PANELES DE DIVISIONES INTERIORES// STOCK "/>
    <n v="412280"/>
    <x v="15"/>
    <s v="UND"/>
    <n v="2"/>
    <m/>
    <n v="2"/>
    <n v="40003"/>
    <n v="80006"/>
    <n v="80006"/>
    <n v="40002.920100000003"/>
    <n v="-7.9899999999999999E-2"/>
    <n v="-0.1598"/>
    <n v="-1.9975291757100736E-6"/>
    <m/>
    <n v="306195"/>
    <m/>
    <n v="5694"/>
    <n v="6579000000"/>
    <n v="80005.840186000001"/>
    <n v="10010"/>
    <n v="1.9973541880757971E-6"/>
    <n v="80005.840200000006"/>
    <x v="0"/>
    <n v="2"/>
    <x v="13"/>
  </r>
  <r>
    <d v="2026-02-13T00:00:00"/>
    <x v="46"/>
    <s v="STOCK"/>
    <n v="2"/>
    <s v="PANELES DE DIVISIONES INTERIORES// STOCK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195"/>
    <m/>
    <n v="5694"/>
    <n v="6579000000"/>
    <n v="5715.0265479999998"/>
    <n v="10010"/>
    <n v="-4.6543965342425642E-6"/>
    <n v="5715.0266000000001"/>
    <x v="1"/>
    <n v="2"/>
    <x v="81"/>
  </r>
  <r>
    <d v="2026-02-13T00:00:00"/>
    <x v="46"/>
    <s v="M-00010-11"/>
    <n v="2"/>
    <s v="PILARES COMPUESTOS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06193"/>
    <n v="473175"/>
    <n v="5694"/>
    <n v="6579000000"/>
    <n v="473175.23999999993"/>
    <n v="10010"/>
    <n v="-4.2267642092535555E-7"/>
    <n v="473175.2"/>
    <x v="0"/>
    <n v="1000"/>
    <x v="8"/>
  </r>
  <r>
    <d v="2026-02-13T00:00:00"/>
    <x v="46"/>
    <s v="M-00009-12-13-14-15-16-17-18-19-20-21-23"/>
    <n v="2"/>
    <s v="MATERIAL EN STOCK "/>
    <n v="302046"/>
    <x v="78"/>
    <s v="PZA"/>
    <n v="379"/>
    <m/>
    <n v="379"/>
    <n v="10358.9604"/>
    <n v="3926046"/>
    <n v="3926046"/>
    <n v="10156.5985"/>
    <n v="-202.36199999999999"/>
    <n v="-76695.180999999997"/>
    <n v="-1.992418582078297E-2"/>
    <m/>
    <n v="306288"/>
    <n v="22243525"/>
    <n v="5694"/>
    <n v="6579000000"/>
    <n v="3849350.8189930008"/>
    <n v="10010"/>
    <n v="1.9924180324741584E-2"/>
    <n v="3849350.8314999999"/>
    <x v="0"/>
    <n v="379"/>
    <x v="46"/>
  </r>
  <r>
    <d v="2026-02-13T00:00:00"/>
    <x v="46"/>
    <s v="M-00009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6288"/>
    <m/>
    <n v="5694"/>
    <n v="6579000000"/>
    <n v="1647115.5040800001"/>
    <n v="10010"/>
    <n v="3.059894707725925E-7"/>
    <n v="1647115.5"/>
    <x v="0"/>
    <n v="120"/>
    <x v="2"/>
  </r>
  <r>
    <d v="2026-02-13T00:00:00"/>
    <x v="46"/>
    <s v="M-00009"/>
    <n v="2"/>
    <s v="MATERIAL EN STOCK "/>
    <n v="302028"/>
    <x v="72"/>
    <s v="PZA"/>
    <n v="840"/>
    <m/>
    <n v="840"/>
    <n v="5258.1405000000004"/>
    <n v="4416838"/>
    <n v="4416838"/>
    <n v="5123.8024999999998"/>
    <n v="-134.33789999999999"/>
    <n v="-112843.87729999999"/>
    <n v="-2.6218408785775259E-2"/>
    <m/>
    <n v="306288"/>
    <m/>
    <n v="5694"/>
    <n v="6579000000"/>
    <n v="4303994.122680001"/>
    <n v="10010"/>
    <n v="2.6218418840304764E-2"/>
    <n v="4303994.0999999996"/>
    <x v="0"/>
    <n v="840"/>
    <x v="65"/>
  </r>
  <r>
    <d v="2026-02-13T00:00:00"/>
    <x v="46"/>
    <s v="M-00009"/>
    <n v="2"/>
    <s v="MATERIAL EN STOCK "/>
    <n v="302010"/>
    <x v="136"/>
    <s v="PZA"/>
    <n v="504"/>
    <m/>
    <n v="504"/>
    <n v="6669.6925000000001"/>
    <n v="3361525"/>
    <n v="3361525"/>
    <n v="6585.1337000000003"/>
    <n v="-84.558700000000002"/>
    <n v="-42617.592499999999"/>
    <n v="-1.2840850101438364E-2"/>
    <m/>
    <n v="306288"/>
    <m/>
    <n v="5694"/>
    <n v="6579000000"/>
    <n v="3318907.4074799959"/>
    <n v="10010"/>
    <n v="1.2840863048839812E-2"/>
    <n v="3318907.3848000001"/>
    <x v="0"/>
    <n v="504"/>
    <x v="95"/>
  </r>
  <r>
    <d v="2026-02-13T00:00:00"/>
    <x v="46"/>
    <s v="M-00009"/>
    <n v="2"/>
    <s v="MATERIAL EN STOCK "/>
    <s v="030253X"/>
    <x v="3"/>
    <s v="PZA"/>
    <n v="60"/>
    <m/>
    <n v="60"/>
    <n v="15045.7667"/>
    <n v="902746"/>
    <n v="902746"/>
    <n v="15359.702799999999"/>
    <n v="313.93610000000001"/>
    <n v="18836.167099999999"/>
    <n v="2.0438944862912378E-2"/>
    <m/>
    <n v="306288"/>
    <m/>
    <n v="5694"/>
    <n v="6579000000"/>
    <n v="921582.1671000002"/>
    <n v="10010"/>
    <n v="-2.0438943649352316E-2"/>
    <n v="921582.16799999995"/>
    <x v="0"/>
    <n v="60"/>
    <x v="3"/>
  </r>
  <r>
    <d v="2026-02-13T00:00:00"/>
    <x v="46"/>
    <s v="M-00009"/>
    <n v="2"/>
    <s v="MATERIAL EN STOCK "/>
    <n v="304007"/>
    <x v="49"/>
    <s v="PL"/>
    <n v="135"/>
    <m/>
    <n v="135"/>
    <n v="11444.355600000001"/>
    <n v="1544988"/>
    <n v="1544988"/>
    <n v="11444.352999999999"/>
    <n v="-2.5000000000000001E-3"/>
    <n v="-0.34200000000000003"/>
    <n v="-2.2138040964642581E-7"/>
    <m/>
    <n v="306288"/>
    <m/>
    <n v="5694"/>
    <n v="6579000000"/>
    <n v="1544987.6579699994"/>
    <n v="10010"/>
    <n v="2.2718628144562506E-7"/>
    <n v="1544987.6549999998"/>
    <x v="0"/>
    <n v="135"/>
    <x v="43"/>
  </r>
  <r>
    <d v="2026-02-13T00:00:00"/>
    <x v="46"/>
    <s v="M-00009"/>
    <n v="2"/>
    <s v="MATERIAL EN STOCK "/>
    <n v="304101"/>
    <x v="0"/>
    <s v="PL"/>
    <n v="168"/>
    <m/>
    <n v="168"/>
    <n v="9703.3570999999993"/>
    <n v="1630164"/>
    <n v="1630164"/>
    <n v="9657.5879999999997"/>
    <n v="-45.769199999999998"/>
    <n v="-7689.2244000000001"/>
    <n v="-4.7391950344224882E-3"/>
    <m/>
    <n v="306288"/>
    <m/>
    <n v="5694"/>
    <n v="6579000000"/>
    <n v="1622474.7756000008"/>
    <n v="10010"/>
    <n v="4.7391853949453559E-3"/>
    <n v="1622474.784"/>
    <x v="0"/>
    <n v="168"/>
    <x v="0"/>
  </r>
  <r>
    <d v="2026-02-13T00:00:00"/>
    <x v="46"/>
    <s v="M-00009"/>
    <n v="2"/>
    <s v="MATERIAL EN STOCK "/>
    <n v="410046"/>
    <x v="143"/>
    <s v="UND"/>
    <n v="258"/>
    <m/>
    <n v="258"/>
    <n v="746"/>
    <n v="192468"/>
    <n v="192468"/>
    <n v="746"/>
    <n v="0"/>
    <n v="0"/>
    <n v="0"/>
    <m/>
    <n v="306288"/>
    <m/>
    <n v="5694"/>
    <n v="6579000000"/>
    <n v="192468"/>
    <n v="10010"/>
    <n v="0"/>
    <n v="192468"/>
    <x v="1"/>
    <n v="258"/>
    <x v="4"/>
  </r>
  <r>
    <d v="2026-02-13T00:00:00"/>
    <x v="46"/>
    <s v="M-00009"/>
    <n v="2"/>
    <s v="MATERIAL EN STOCK "/>
    <n v="410045"/>
    <x v="75"/>
    <s v="UND"/>
    <n v="478"/>
    <m/>
    <n v="478"/>
    <n v="368.00209999999998"/>
    <n v="175905"/>
    <n v="175905"/>
    <n v="368.00139999999999"/>
    <n v="-6.9999999999999999E-4"/>
    <n v="-0.34939999999999999"/>
    <n v="-1.9865421348551057E-6"/>
    <m/>
    <n v="306288"/>
    <m/>
    <n v="5694"/>
    <n v="6579000000"/>
    <n v="175904.65055799996"/>
    <n v="10010"/>
    <n v="1.9021666765257303E-6"/>
    <n v="175904.6692"/>
    <x v="1"/>
    <n v="478"/>
    <x v="68"/>
  </r>
  <r>
    <d v="2026-02-13T00:00:00"/>
    <x v="46"/>
    <s v="STOCK"/>
    <n v="2"/>
    <s v="MATERIAL EN STOCK "/>
    <n v="410126"/>
    <x v="108"/>
    <s v="UND"/>
    <n v="176"/>
    <m/>
    <n v="176"/>
    <n v="983.61929999999995"/>
    <n v="173117"/>
    <n v="173117"/>
    <n v="983.61890000000005"/>
    <n v="-4.0000000000000002E-4"/>
    <n v="-7.6899999999999996E-2"/>
    <n v="-4.4446261298320434E-7"/>
    <m/>
    <n v="306288"/>
    <m/>
    <n v="5694"/>
    <n v="6579000000"/>
    <n v="173116.92305600003"/>
    <n v="10010"/>
    <n v="4.0666156363973055E-7"/>
    <n v="173116.9264"/>
    <x v="1"/>
    <n v="176"/>
    <x v="4"/>
  </r>
  <r>
    <d v="2026-02-13T00:00:00"/>
    <x v="46"/>
    <s v="STOCK"/>
    <n v="2"/>
    <s v="MATERIAL EN STOCK 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06288"/>
    <m/>
    <n v="5694"/>
    <n v="6579000000"/>
    <n v="147759.27272799995"/>
    <n v="10010"/>
    <n v="-1.8462462276418306E-6"/>
    <n v="147759.27280000001"/>
    <x v="0"/>
    <n v="4"/>
    <x v="45"/>
  </r>
  <r>
    <d v="2026-02-13T00:00:00"/>
    <x v="46"/>
    <s v="STOCK"/>
    <n v="2"/>
    <s v="MATERIAL EN STOCK "/>
    <n v="408071"/>
    <x v="76"/>
    <s v="CJA"/>
    <n v="4"/>
    <m/>
    <n v="4"/>
    <n v="23200.25"/>
    <n v="92801"/>
    <n v="92801"/>
    <n v="23200.297900000001"/>
    <n v="4.7899999999999998E-2"/>
    <n v="0.1915"/>
    <n v="2.0634217821303957E-6"/>
    <m/>
    <n v="306288"/>
    <m/>
    <n v="5694"/>
    <n v="6579000000"/>
    <n v="92801.191487999924"/>
    <n v="10010"/>
    <n v="-2.0646286615738307E-6"/>
    <n v="92801.191600000006"/>
    <x v="1"/>
    <n v="4"/>
    <x v="69"/>
  </r>
  <r>
    <d v="2026-02-13T00:00:00"/>
    <x v="46"/>
    <s v="STOCK"/>
    <n v="2"/>
    <s v="STOCK"/>
    <n v="2302098"/>
    <x v="5"/>
    <s v="TIN"/>
    <n v="2"/>
    <m/>
    <n v="2"/>
    <n v="21213"/>
    <n v="42426"/>
    <n v="42426"/>
    <n v="21213"/>
    <n v="0"/>
    <n v="0"/>
    <n v="-1.7149761029050001E-16"/>
    <m/>
    <n v="306288"/>
    <m/>
    <n v="5694"/>
    <n v="6579000000"/>
    <n v="42425.999999999993"/>
    <n v="10010"/>
    <n v="0"/>
    <n v="42426"/>
    <x v="1"/>
    <n v="2"/>
    <x v="5"/>
  </r>
  <r>
    <d v="2026-02-13T00:00:00"/>
    <x v="46"/>
    <s v="M-00009"/>
    <n v="2"/>
    <s v="MATERIAL EN STOCK "/>
    <n v="407423"/>
    <x v="70"/>
    <s v="UND"/>
    <n v="1000"/>
    <m/>
    <n v="1000"/>
    <n v="3.363"/>
    <n v="3363"/>
    <n v="3363"/>
    <n v="106.6405"/>
    <n v="103.2775"/>
    <n v="103277.50199999999"/>
    <n v="0.96846413944571086"/>
    <m/>
    <n v="306288"/>
    <m/>
    <n v="5694"/>
    <n v="6579000000"/>
    <n v="106640.50198378378"/>
    <n v="10010"/>
    <n v="-0.96846413885906391"/>
    <n v="106640.5"/>
    <x v="1"/>
    <n v="1000"/>
    <x v="63"/>
  </r>
  <r>
    <d v="2026-02-13T00:00:00"/>
    <x v="46"/>
    <s v="STOCK"/>
    <n v="2"/>
    <s v="MATERIAL EN STOCK 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06288"/>
    <m/>
    <n v="5694"/>
    <n v="6579000000"/>
    <n v="6878.3200000000006"/>
    <n v="10010"/>
    <n v="-4.3615428230840323E-5"/>
    <n v="6878.3"/>
    <x v="1"/>
    <n v="1000"/>
    <x v="4"/>
  </r>
  <r>
    <d v="2026-02-13T00:00:00"/>
    <x v="46"/>
    <s v="STOCK"/>
    <n v="2"/>
    <s v="MATERIAL EN STOCK "/>
    <n v="1405006"/>
    <x v="133"/>
    <s v="UND"/>
    <n v="1000"/>
    <m/>
    <n v="1000"/>
    <n v="35.404000000000003"/>
    <n v="35404"/>
    <n v="35404"/>
    <n v="35.197499999999998"/>
    <n v="-0.20649999999999999"/>
    <n v="-206.54"/>
    <n v="-5.8680370685838352E-3"/>
    <m/>
    <n v="306288"/>
    <m/>
    <n v="5694"/>
    <n v="6579000000"/>
    <n v="35197.460000000006"/>
    <n v="10010"/>
    <n v="5.8668939555367701E-3"/>
    <n v="35197.5"/>
    <x v="1"/>
    <n v="1000"/>
    <x v="4"/>
  </r>
  <r>
    <d v="2026-02-13T00:00:00"/>
    <x v="46"/>
    <s v="M-00009"/>
    <n v="2"/>
    <s v="MATERIAL EN STOCK 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6288"/>
    <m/>
    <n v="5694"/>
    <n v="6579000000"/>
    <n v="4880.2160000000003"/>
    <n v="10010"/>
    <n v="-4.0981926970292619E-5"/>
    <n v="4880.2000000000007"/>
    <x v="1"/>
    <n v="1000"/>
    <x v="64"/>
  </r>
  <r>
    <d v="2026-02-13T00:00:00"/>
    <x v="46"/>
    <s v="STOCK"/>
    <n v="2"/>
    <s v="MATERIAL EN STOCK 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6288"/>
    <m/>
    <n v="5694"/>
    <n v="6579000000"/>
    <n v="946350.47999999986"/>
    <n v="10010"/>
    <n v="6.3401463132796736E-7"/>
    <n v="946350.4"/>
    <x v="0"/>
    <n v="2000"/>
    <x v="8"/>
  </r>
  <r>
    <d v="2026-02-13T00:00:00"/>
    <x v="46"/>
    <s v="STOCK"/>
    <n v="2"/>
    <s v="MATERIAL EN STOCK "/>
    <n v="407307"/>
    <x v="111"/>
    <s v="UND"/>
    <n v="418"/>
    <m/>
    <n v="418"/>
    <n v="80.222499999999997"/>
    <n v="33533"/>
    <n v="33533"/>
    <n v="69.472800000000007"/>
    <n v="-10.749700000000001"/>
    <n v="-4493.3801000000003"/>
    <n v="-0.1547327429813696"/>
    <m/>
    <n v="306288"/>
    <m/>
    <n v="5694"/>
    <n v="6579000000"/>
    <n v="29039.61995"/>
    <n v="10010"/>
    <n v="0.15473249962575267"/>
    <n v="29039.630400000002"/>
    <x v="1"/>
    <n v="418"/>
    <x v="4"/>
  </r>
  <r>
    <d v="2026-02-13T00:00:00"/>
    <x v="46"/>
    <s v="STOCK"/>
    <n v="2"/>
    <s v="MATERIAL EN STOCK "/>
    <n v="407010"/>
    <x v="112"/>
    <s v="UND"/>
    <n v="500"/>
    <m/>
    <n v="500"/>
    <n v="11.51"/>
    <n v="5755"/>
    <n v="5755"/>
    <n v="11.501300000000001"/>
    <n v="-8.6999999999999994E-3"/>
    <n v="-4.37"/>
    <n v="-7.5991673955718992E-4"/>
    <m/>
    <n v="306288"/>
    <m/>
    <n v="5694"/>
    <n v="6579000000"/>
    <n v="5750.63"/>
    <n v="10010"/>
    <n v="7.5643622894796788E-4"/>
    <n v="5750.6500000000005"/>
    <x v="1"/>
    <n v="500"/>
    <x v="4"/>
  </r>
  <r>
    <d v="2026-02-13T00:00:00"/>
    <x v="46"/>
    <s v="STOCK"/>
    <n v="2"/>
    <s v="MATERIAL EN STOCK "/>
    <n v="408042"/>
    <x v="101"/>
    <s v="CJA"/>
    <n v="2"/>
    <m/>
    <n v="2"/>
    <n v="35000"/>
    <n v="70000"/>
    <n v="70000"/>
    <n v="35000"/>
    <n v="0"/>
    <n v="0"/>
    <n v="8.3153801304950006E-16"/>
    <m/>
    <n v="306288"/>
    <m/>
    <n v="5694"/>
    <n v="6579000000"/>
    <n v="70000.000000000058"/>
    <n v="10010"/>
    <n v="0"/>
    <n v="70000"/>
    <x v="1"/>
    <n v="2"/>
    <x v="89"/>
  </r>
  <r>
    <d v="2026-02-13T00:00:00"/>
    <x v="46"/>
    <s v="M-00009"/>
    <n v="2"/>
    <s v="MATERIAL EN STOCK "/>
    <n v="701043"/>
    <x v="132"/>
    <s v="PL"/>
    <n v="80"/>
    <m/>
    <n v="80"/>
    <n v="22142.412499999999"/>
    <n v="1771393"/>
    <n v="1771393"/>
    <n v="22146.362799999999"/>
    <n v="3.9502999999999999"/>
    <n v="316.02179999999998"/>
    <n v="1.7837114115173131E-4"/>
    <m/>
    <n v="306288"/>
    <m/>
    <n v="5694"/>
    <n v="6579000000"/>
    <n v="1771709.0217599999"/>
    <n v="10010"/>
    <n v="-1.7837240524211159E-4"/>
    <n v="1771709.024"/>
    <x v="0"/>
    <n v="80"/>
    <x v="93"/>
  </r>
  <r>
    <d v="2026-02-13T00:00:00"/>
    <x v="46"/>
    <s v="M-00009"/>
    <n v="2"/>
    <s v="MATERIAL EN STOCK "/>
    <n v="701096"/>
    <x v="135"/>
    <s v="PL"/>
    <n v="70"/>
    <m/>
    <n v="70"/>
    <n v="15886.7"/>
    <n v="1112069"/>
    <n v="1112069"/>
    <n v="16019.885700000001"/>
    <n v="133.1857"/>
    <n v="9322.9979999999996"/>
    <n v="8.3137724961863339E-3"/>
    <m/>
    <n v="306288"/>
    <m/>
    <n v="5694"/>
    <n v="6579000000"/>
    <n v="1121391.9979500002"/>
    <n v="10010"/>
    <n v="-8.3137734247379792E-3"/>
    <n v="1121391.9990000001"/>
    <x v="0"/>
    <n v="70"/>
    <x v="94"/>
  </r>
  <r>
    <d v="2026-02-13T00:00:00"/>
    <x v="46"/>
    <s v="M-00024"/>
    <n v="2"/>
    <s v="MATERIAL EN STOCK "/>
    <n v="701015"/>
    <x v="46"/>
    <s v="PL"/>
    <n v="5"/>
    <m/>
    <n v="5"/>
    <n v="9151.2000000000007"/>
    <n v="45756"/>
    <n v="45756"/>
    <n v="9151.2975000000006"/>
    <n v="9.7500000000000003E-2"/>
    <n v="0.48730000000000001"/>
    <n v="1.0650730165941893E-5"/>
    <m/>
    <n v="306292"/>
    <n v="45756"/>
    <n v="5694"/>
    <n v="6579000000"/>
    <n v="45756.487340000007"/>
    <n v="10010"/>
    <n v="-1.0654226900595733E-5"/>
    <n v="45756.487500000003"/>
    <x v="1"/>
    <n v="5"/>
    <x v="41"/>
  </r>
  <r>
    <d v="2026-02-17T00:00:00"/>
    <x v="47"/>
    <s v="M-00011-12-13-14-15-16"/>
    <n v="2"/>
    <s v="PANELES DE PISO,  PISO 2"/>
    <s v="040748X"/>
    <x v="117"/>
    <s v="CJA"/>
    <n v="3"/>
    <m/>
    <n v="3"/>
    <n v="55858.333299999998"/>
    <n v="167575"/>
    <n v="167575"/>
    <n v="55858.301899999999"/>
    <n v="-3.1399999999999997E-2"/>
    <n v="-9.4299999999999995E-2"/>
    <n v="-5.6296615327130263E-7"/>
    <m/>
    <n v="306413"/>
    <n v="4388048"/>
    <n v="5694"/>
    <n v="6579000000"/>
    <n v="167574.905661"/>
    <n v="10010"/>
    <n v="5.6213667318534545E-7"/>
    <n v="167574.9057"/>
    <x v="1"/>
    <n v="3"/>
    <x v="4"/>
  </r>
  <r>
    <d v="2026-02-17T00:00:00"/>
    <x v="47"/>
    <s v="M-00011-12-13-14-15-16"/>
    <n v="2"/>
    <s v="PANELES DE PISO,  PISO 2"/>
    <n v="2302119"/>
    <x v="44"/>
    <s v="UND"/>
    <n v="12"/>
    <m/>
    <n v="12"/>
    <n v="3670.9167000000002"/>
    <n v="44051"/>
    <n v="44051"/>
    <n v="3671"/>
    <n v="8.3299999999999999E-2"/>
    <n v="1"/>
    <n v="2.2700444928761893E-5"/>
    <m/>
    <n v="306413"/>
    <m/>
    <n v="5694"/>
    <n v="6579000000"/>
    <n v="44052"/>
    <n v="10010"/>
    <n v="-2.2691364750689457E-5"/>
    <n v="44052"/>
    <x v="1"/>
    <n v="12"/>
    <x v="40"/>
  </r>
  <r>
    <d v="2026-02-17T00:00:00"/>
    <x v="47"/>
    <s v="STOCK"/>
    <n v="2"/>
    <s v="PANELES DE PISO,  PISO 2"/>
    <n v="1901505"/>
    <x v="7"/>
    <s v="KG"/>
    <n v="17"/>
    <m/>
    <n v="17"/>
    <n v="1895"/>
    <n v="32215"/>
    <n v="32215"/>
    <n v="1895"/>
    <n v="0"/>
    <n v="0"/>
    <n v="0"/>
    <m/>
    <n v="306413"/>
    <m/>
    <n v="5694"/>
    <n v="6579000000"/>
    <n v="32215"/>
    <n v="10010"/>
    <n v="0"/>
    <n v="32215"/>
    <x v="1"/>
    <n v="17"/>
    <x v="7"/>
  </r>
  <r>
    <d v="2026-02-17T00:00:00"/>
    <x v="47"/>
    <s v="M-00011-12-13-14-15-16"/>
    <n v="2"/>
    <s v="PANELES DE PISO,  PISO 2"/>
    <n v="304014"/>
    <x v="4"/>
    <s v="PL"/>
    <n v="195"/>
    <m/>
    <n v="195"/>
    <n v="20894.574400000001"/>
    <n v="4074442"/>
    <n v="4074442"/>
    <n v="20894.5723"/>
    <n v="-2.0999999999999999E-3"/>
    <n v="-0.40439999999999998"/>
    <n v="-9.9259000434648805E-8"/>
    <m/>
    <n v="306413"/>
    <m/>
    <n v="5694"/>
    <n v="6579000000"/>
    <n v="4074441.5955750002"/>
    <n v="10010"/>
    <n v="1.0050456986474042E-7"/>
    <n v="4074441.5984999998"/>
    <x v="1"/>
    <n v="195"/>
    <x v="4"/>
  </r>
  <r>
    <d v="2026-02-17T00:00:00"/>
    <x v="47"/>
    <s v="STOCK"/>
    <n v="2"/>
    <s v="PANELES DE PISO,  PISO 2"/>
    <n v="2302098"/>
    <x v="5"/>
    <s v="TIN"/>
    <n v="3"/>
    <m/>
    <n v="3"/>
    <n v="21213"/>
    <n v="63639"/>
    <n v="63639"/>
    <n v="21213"/>
    <n v="0"/>
    <n v="0"/>
    <n v="-1.7149761029050001E-16"/>
    <m/>
    <n v="306413"/>
    <m/>
    <n v="5694"/>
    <n v="6579000000"/>
    <n v="63638.999999999985"/>
    <n v="10010"/>
    <n v="0"/>
    <n v="63639"/>
    <x v="1"/>
    <n v="3"/>
    <x v="5"/>
  </r>
  <r>
    <d v="2026-02-17T00:00:00"/>
    <x v="47"/>
    <s v="STOCK"/>
    <n v="2"/>
    <s v="PANELES DE PISO,  PISO 2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6413"/>
    <m/>
    <n v="5694"/>
    <n v="6579000000"/>
    <n v="6126.3591180000003"/>
    <n v="10010"/>
    <n v="-5.8615564993553597E-5"/>
    <n v="6126.3590999999997"/>
    <x v="1"/>
    <n v="3"/>
    <x v="82"/>
  </r>
  <r>
    <d v="2026-02-17T00:00:00"/>
    <x v="47"/>
    <s v="STOCK"/>
    <n v="2"/>
    <s v="MATERIAL EN STOCK "/>
    <n v="1902013"/>
    <x v="144"/>
    <s v="RLL"/>
    <n v="30"/>
    <m/>
    <n v="30"/>
    <n v="48058.833299999998"/>
    <n v="1441765"/>
    <n v="1441765"/>
    <n v="29779"/>
    <n v="-18279.833299999998"/>
    <n v="-548395"/>
    <n v="-0.61384980467219641"/>
    <s v="MATERIAL DIRECTO DESDE SODIMAC"/>
    <n v="306505"/>
    <n v="1441765"/>
    <n v="5694"/>
    <n v="6579000000"/>
    <n v="893370"/>
    <n v="10010"/>
    <n v="0.61384980355283925"/>
    <n v="893370"/>
    <x v="0"/>
    <n v="30"/>
    <x v="4"/>
  </r>
  <r>
    <d v="2026-02-19T00:00:00"/>
    <x v="48"/>
    <s v="M-00012-13-16-17"/>
    <n v="2"/>
    <s v="PISO "/>
    <s v="040748X"/>
    <x v="117"/>
    <s v="CJA"/>
    <n v="6"/>
    <m/>
    <n v="6"/>
    <n v="55858.333299999998"/>
    <n v="335150"/>
    <n v="335150"/>
    <n v="55858.301899999999"/>
    <n v="-3.1399999999999997E-2"/>
    <n v="-0.18870000000000001"/>
    <n v="-5.6296615327130263E-7"/>
    <m/>
    <n v="306701"/>
    <n v="364065"/>
    <n v="5694"/>
    <n v="6579000000"/>
    <n v="335149.81132199999"/>
    <n v="10010"/>
    <n v="5.6213667318534545E-7"/>
    <n v="335149.81140000001"/>
    <x v="1"/>
    <n v="6"/>
    <x v="4"/>
  </r>
  <r>
    <d v="2026-02-19T00:00:00"/>
    <x v="48"/>
    <s v="M-00012-13-16-17"/>
    <n v="2"/>
    <s v="PISO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701"/>
    <m/>
    <n v="5694"/>
    <n v="6579000000"/>
    <n v="5715.0265479999998"/>
    <n v="10010"/>
    <n v="-4.6543965342425642E-6"/>
    <n v="5715.0266000000001"/>
    <x v="1"/>
    <n v="2"/>
    <x v="81"/>
  </r>
  <r>
    <d v="2026-02-19T00:00:00"/>
    <x v="48"/>
    <s v="STOCK"/>
    <n v="2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6701"/>
    <m/>
    <n v="5694"/>
    <n v="6579000000"/>
    <n v="23200.297871999981"/>
    <n v="10010"/>
    <n v="-1.2840352364673349E-5"/>
    <n v="23200.297900000001"/>
    <x v="1"/>
    <n v="1"/>
    <x v="69"/>
  </r>
  <r>
    <d v="2026-02-20T00:00:00"/>
    <x v="49"/>
    <s v="M-00011"/>
    <n v="2"/>
    <s v="FABRICACION "/>
    <n v="408071"/>
    <x v="76"/>
    <s v="CJA"/>
    <n v="6"/>
    <m/>
    <n v="6"/>
    <n v="23200.333299999998"/>
    <n v="139202"/>
    <n v="139202"/>
    <n v="23200.297900000001"/>
    <n v="-3.5499999999999997E-2"/>
    <n v="-0.21279999999999999"/>
    <n v="-1.528486123185517E-6"/>
    <m/>
    <n v="306869"/>
    <n v="4387667"/>
    <n v="5694"/>
    <n v="6579000000"/>
    <n v="139201.78723199989"/>
    <n v="10010"/>
    <n v="1.525842476230686E-6"/>
    <n v="139201.7874"/>
    <x v="1"/>
    <n v="6"/>
    <x v="69"/>
  </r>
  <r>
    <d v="2026-02-20T00:00:00"/>
    <x v="49"/>
    <s v="M-00011"/>
    <n v="2"/>
    <s v="FABRICACION "/>
    <n v="412280"/>
    <x v="15"/>
    <s v="UND"/>
    <n v="33"/>
    <m/>
    <n v="33"/>
    <n v="40002.909099999997"/>
    <n v="1320096"/>
    <n v="1320096"/>
    <n v="40002.920100000003"/>
    <n v="1.0999999999999999E-2"/>
    <n v="0.36309999999999998"/>
    <n v="2.7503219481959026E-7"/>
    <m/>
    <n v="306869"/>
    <m/>
    <n v="5694"/>
    <n v="6579000000"/>
    <n v="1320096.363069"/>
    <n v="10010"/>
    <n v="-2.7497992592493201E-7"/>
    <n v="1320096.3633000001"/>
    <x v="0"/>
    <n v="33"/>
    <x v="13"/>
  </r>
  <r>
    <d v="2026-02-20T00:00:00"/>
    <x v="49"/>
    <s v="M-00011"/>
    <n v="2"/>
    <s v="FABRICACION 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m/>
    <n v="306869"/>
    <m/>
    <n v="5694"/>
    <n v="6579000000"/>
    <n v="1050809.3097359999"/>
    <n v="10010"/>
    <n v="-2.9463005046736822E-7"/>
    <n v="1050809.31"/>
    <x v="0"/>
    <n v="12"/>
    <x v="14"/>
  </r>
  <r>
    <d v="2026-02-20T00:00:00"/>
    <x v="49"/>
    <s v="M-00011"/>
    <n v="2"/>
    <s v="FABRICACION "/>
    <n v="302028"/>
    <x v="72"/>
    <s v="PZA"/>
    <n v="360"/>
    <m/>
    <n v="360"/>
    <n v="5215.4444000000003"/>
    <n v="1877560"/>
    <n v="1877560"/>
    <n v="5123.8024999999998"/>
    <n v="-91.641900000000007"/>
    <n v="-32991.090300000003"/>
    <n v="-1.7885528757506441E-2"/>
    <m/>
    <n v="306869"/>
    <m/>
    <n v="5694"/>
    <n v="6579000000"/>
    <n v="1844568.9097200008"/>
    <n v="10010"/>
    <n v="1.7885525447165564E-2"/>
    <n v="1844568.9"/>
    <x v="0"/>
    <n v="360"/>
    <x v="65"/>
  </r>
  <r>
    <d v="2026-02-23T00:00:00"/>
    <x v="50"/>
    <s v="STOCK"/>
    <n v="2"/>
    <s v="FABRICACION "/>
    <n v="302248"/>
    <x v="145"/>
    <s v="PZA"/>
    <n v="240"/>
    <m/>
    <n v="240"/>
    <n v="2342.1750000000002"/>
    <n v="562122"/>
    <n v="562122"/>
    <n v="2342.1750999999999"/>
    <n v="1E-4"/>
    <n v="3.2899999999999999E-2"/>
    <n v="5.8492636964222354E-8"/>
    <m/>
    <n v="307085"/>
    <n v="562122"/>
    <n v="5728"/>
    <n v="6579000000"/>
    <n v="562122.03288000007"/>
    <n v="10010"/>
    <n v="-4.2695356016518268E-8"/>
    <n v="562122.02399999998"/>
    <x v="1"/>
    <n v="240"/>
    <x v="4"/>
  </r>
  <r>
    <d v="2026-02-25T00:00:00"/>
    <x v="51"/>
    <s v="STOCK"/>
    <n v="2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s v=" "/>
    <n v="307486"/>
    <n v="4024627"/>
    <n v="5728"/>
    <n v="6579000000"/>
    <n v="139999.8464000001"/>
    <n v="10010"/>
    <n v="1.1428584490190236E-6"/>
    <n v="139999.84"/>
    <x v="1"/>
    <n v="200"/>
    <x v="4"/>
  </r>
  <r>
    <d v="2026-02-25T00:00:00"/>
    <x v="51"/>
    <s v="STOCK"/>
    <n v="2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07486"/>
    <m/>
    <n v="5728"/>
    <n v="6579000000"/>
    <n v="106640.50198378378"/>
    <n v="10010"/>
    <n v="-0.96822970634983885"/>
    <n v="106640.5"/>
    <x v="1"/>
    <n v="1000"/>
    <x v="63"/>
  </r>
  <r>
    <d v="2026-02-25T00:00:00"/>
    <x v="51"/>
    <s v="STOCK"/>
    <n v="2"/>
    <s v="STOCK"/>
    <n v="407010"/>
    <x v="112"/>
    <s v="UND"/>
    <n v="400"/>
    <m/>
    <n v="400"/>
    <n v="11.5025"/>
    <n v="4601"/>
    <n v="4601"/>
    <n v="11.501300000000001"/>
    <n v="-1.1999999999999999E-3"/>
    <n v="-0.496"/>
    <n v="-1.0781427426205838E-4"/>
    <m/>
    <n v="307486"/>
    <m/>
    <n v="5728"/>
    <n v="6579000000"/>
    <n v="4600.5039999999999"/>
    <n v="10010"/>
    <n v="1.0433603157895017E-4"/>
    <n v="4600.5200000000004"/>
    <x v="1"/>
    <n v="400"/>
    <x v="4"/>
  </r>
  <r>
    <d v="2026-02-25T00:00:00"/>
    <x v="51"/>
    <s v="M-00003"/>
    <n v="2"/>
    <s v="PISO MODULOS "/>
    <n v="701043"/>
    <x v="132"/>
    <s v="PL"/>
    <n v="77"/>
    <m/>
    <n v="77"/>
    <n v="22146.363600000001"/>
    <n v="1705270"/>
    <n v="1705270"/>
    <n v="22146.362799999999"/>
    <n v="-8.9999999999999998E-4"/>
    <n v="-6.6600000000000006E-2"/>
    <n v="-3.9029597976290718E-8"/>
    <s v=" "/>
    <n v="307486"/>
    <m/>
    <n v="5728"/>
    <n v="6579000000"/>
    <n v="1705269.9334440001"/>
    <n v="10010"/>
    <n v="3.6123313288183514E-8"/>
    <n v="1705269.9356"/>
    <x v="0"/>
    <n v="77"/>
    <x v="93"/>
  </r>
  <r>
    <d v="2026-02-25T00:00:00"/>
    <x v="51"/>
    <s v="STOCK"/>
    <n v="2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07486"/>
    <m/>
    <n v="5728"/>
    <n v="6579000000"/>
    <n v="12252.718236000001"/>
    <n v="10010"/>
    <n v="2.3015301208849542E-5"/>
    <n v="12252.718199999999"/>
    <x v="1"/>
    <n v="6"/>
    <x v="82"/>
  </r>
  <r>
    <d v="2026-02-25T00:00:00"/>
    <x v="51"/>
    <s v="STOCK"/>
    <n v="2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07486"/>
    <m/>
    <n v="5728"/>
    <n v="6579000000"/>
    <n v="16182.106762000009"/>
    <n v="10010"/>
    <n v="-6.5998822847693946E-6"/>
    <n v="16182.1068"/>
    <x v="1"/>
    <n v="1"/>
    <x v="66"/>
  </r>
  <r>
    <d v="2026-02-25T00:00:00"/>
    <x v="51"/>
    <s v="STOCK"/>
    <n v="2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07486"/>
    <m/>
    <n v="5728"/>
    <n v="6579000000"/>
    <n v="49030.713302999997"/>
    <n v="10010"/>
    <n v="5.8473552738814962E-6"/>
    <n v="49030.713300000003"/>
    <x v="1"/>
    <n v="1"/>
    <x v="4"/>
  </r>
  <r>
    <d v="2026-02-25T00:00:00"/>
    <x v="51"/>
    <s v="STOCK"/>
    <n v="2"/>
    <s v="STOCK"/>
    <n v="408042"/>
    <x v="101"/>
    <s v="CJA"/>
    <n v="2"/>
    <m/>
    <n v="2"/>
    <n v="35000"/>
    <n v="70000"/>
    <n v="70000"/>
    <n v="35000"/>
    <n v="0"/>
    <n v="0"/>
    <n v="8.3153801304950006E-16"/>
    <m/>
    <n v="307486"/>
    <m/>
    <n v="5728"/>
    <n v="6579000000"/>
    <n v="70000.000000000058"/>
    <n v="10010"/>
    <n v="0"/>
    <n v="70000"/>
    <x v="1"/>
    <n v="2"/>
    <x v="89"/>
  </r>
  <r>
    <d v="2026-02-25T00:00:00"/>
    <x v="51"/>
    <s v="M-00003"/>
    <n v="2"/>
    <s v="PISO MODULOS "/>
    <n v="302028"/>
    <x v="72"/>
    <s v="PZA"/>
    <n v="395"/>
    <m/>
    <n v="395"/>
    <n v="5123.8024999999998"/>
    <n v="2023902"/>
    <n v="2023902"/>
    <n v="5123.8024999999998"/>
    <n v="0"/>
    <n v="-1.8E-3"/>
    <n v="-9.0666413175354219E-10"/>
    <m/>
    <n v="307486"/>
    <m/>
    <n v="5728"/>
    <n v="6579000000"/>
    <n v="2023901.9981650007"/>
    <n v="10010"/>
    <n v="0"/>
    <n v="2023901.9874999998"/>
    <x v="0"/>
    <n v="395"/>
    <x v="65"/>
  </r>
  <r>
    <d v="2026-02-26T00:00:00"/>
    <x v="52"/>
    <s v="M-00012"/>
    <n v="2"/>
    <s v="STOCK"/>
    <n v="2302118"/>
    <x v="147"/>
    <s v="TIN"/>
    <n v="3"/>
    <m/>
    <n v="3"/>
    <n v="98161.333299999998"/>
    <n v="294484"/>
    <n v="294484"/>
    <n v="101250"/>
    <n v="3088.6667000000002"/>
    <n v="9266"/>
    <n v="3.0505349794238731E-2"/>
    <s v=" "/>
    <n v="307565"/>
    <n v="3152200"/>
    <n v="5728"/>
    <n v="6579000000"/>
    <n v="303750"/>
    <n v="10010"/>
    <n v="-3.0505350123456804E-2"/>
    <n v="303750"/>
    <x v="1"/>
    <n v="3"/>
    <x v="4"/>
  </r>
  <r>
    <d v="2026-02-26T00:00:00"/>
    <x v="52"/>
    <s v="M-00012"/>
    <n v="2"/>
    <s v="STOCK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s v=" "/>
    <n v="307565"/>
    <m/>
    <n v="5728"/>
    <n v="6579000000"/>
    <n v="1050809.3097359999"/>
    <n v="10010"/>
    <n v="-2.9463005046736822E-7"/>
    <n v="1050809.31"/>
    <x v="0"/>
    <n v="12"/>
    <x v="14"/>
  </r>
  <r>
    <d v="2026-02-26T00:00:00"/>
    <x v="52"/>
    <s v="M-00012"/>
    <n v="2"/>
    <s v="STOCK"/>
    <n v="412280"/>
    <x v="15"/>
    <s v="UND"/>
    <n v="45"/>
    <m/>
    <n v="45"/>
    <n v="40002.911099999998"/>
    <n v="1800131"/>
    <n v="1800131"/>
    <n v="40002.920100000003"/>
    <n v="8.9999999999999993E-3"/>
    <n v="0.4042"/>
    <n v="2.245308309330365E-7"/>
    <s v=" "/>
    <n v="307565"/>
    <m/>
    <n v="5728"/>
    <n v="6579000000"/>
    <n v="1800131.4041850001"/>
    <n v="10010"/>
    <n v="-2.2498357577329761E-7"/>
    <n v="1800131.4045000002"/>
    <x v="0"/>
    <n v="45"/>
    <x v="13"/>
  </r>
  <r>
    <d v="2026-02-26T00:00:00"/>
    <x v="52"/>
    <s v="STOCK"/>
    <n v="2"/>
    <s v="MOD-12-13-14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s v=" "/>
    <n v="307565"/>
    <m/>
    <n v="5728"/>
    <n v="6579000000"/>
    <n v="213281.00396756755"/>
    <n v="10010"/>
    <n v="-0.96822970634983885"/>
    <n v="213281"/>
    <x v="1"/>
    <n v="2000"/>
    <x v="63"/>
  </r>
  <r>
    <d v="2026-02-27T00:00:00"/>
    <x v="53"/>
    <s v="M-00009"/>
    <n v="2"/>
    <s v="RECUBRIMIENTO EXTERIOR "/>
    <n v="304101"/>
    <x v="0"/>
    <s v="PL"/>
    <n v="84"/>
    <m/>
    <n v="84"/>
    <n v="9657.5833000000002"/>
    <n v="811237"/>
    <n v="811237"/>
    <n v="9657.5879999999997"/>
    <n v="4.5999999999999999E-3"/>
    <n v="0.38779999999999998"/>
    <n v="4.7803516722821937E-7"/>
    <s v=" "/>
    <n v="307720"/>
    <n v="4596656"/>
    <n v="5728"/>
    <n v="6579000000"/>
    <n v="811237.38780000038"/>
    <n v="10010"/>
    <n v="-4.8666395786425392E-7"/>
    <n v="811237.39199999999"/>
    <x v="0"/>
    <n v="84"/>
    <x v="0"/>
  </r>
  <r>
    <d v="2026-02-27T00:00:00"/>
    <x v="53"/>
    <s v="M-00009"/>
    <n v="2"/>
    <s v="RECUBRIMIENTO EXTERIOR "/>
    <n v="1901038"/>
    <x v="14"/>
    <s v="M2"/>
    <n v="81"/>
    <m/>
    <n v="81"/>
    <n v="4197.4197999999997"/>
    <n v="339991"/>
    <n v="339991"/>
    <n v="4197.4179000000004"/>
    <n v="-1.9E-3"/>
    <n v="-0.15210000000000001"/>
    <n v="-4.4743851442261412E-7"/>
    <s v=" "/>
    <n v="307720"/>
    <m/>
    <n v="5728"/>
    <n v="6579000000"/>
    <n v="339990.84787500009"/>
    <n v="10010"/>
    <n v="4.5265924064784857E-7"/>
    <n v="339990.84990000003"/>
    <x v="0"/>
    <n v="81"/>
    <x v="12"/>
  </r>
  <r>
    <d v="2026-02-27T00:00:00"/>
    <x v="53"/>
    <s v="M-00009"/>
    <n v="2"/>
    <s v="RECUBRIMIENTO EXTERIOR "/>
    <n v="1901008"/>
    <x v="6"/>
    <s v="M2"/>
    <n v="108"/>
    <m/>
    <n v="108"/>
    <n v="2099.7314999999999"/>
    <n v="226771"/>
    <n v="226771"/>
    <n v="2112.7957999999999"/>
    <n v="13.064299999999999"/>
    <n v="1410.9440999999999"/>
    <n v="6.1834170857261745E-3"/>
    <s v=" "/>
    <n v="307720"/>
    <m/>
    <n v="5728"/>
    <n v="6579000000"/>
    <n v="228181.944132"/>
    <n v="10010"/>
    <n v="-6.1834181987677197E-3"/>
    <n v="228181.94639999999"/>
    <x v="0"/>
    <n v="108"/>
    <x v="6"/>
  </r>
  <r>
    <d v="2026-02-27T00:00:00"/>
    <x v="53"/>
    <s v="STOCK"/>
    <n v="2"/>
    <s v="FABRICACION  PILARES"/>
    <n v="701096"/>
    <x v="135"/>
    <s v="PL"/>
    <n v="70"/>
    <m/>
    <n v="70"/>
    <n v="16019.885700000001"/>
    <n v="1121392"/>
    <n v="1121392"/>
    <n v="16019.885700000001"/>
    <n v="0"/>
    <n v="-2E-3"/>
    <n v="-1.8280849054132462E-9"/>
    <s v=" "/>
    <n v="307720"/>
    <m/>
    <n v="5728"/>
    <n v="6579000000"/>
    <n v="1121391.9979500002"/>
    <n v="10010"/>
    <n v="0"/>
    <n v="1121391.9990000001"/>
    <x v="0"/>
    <n v="70"/>
    <x v="94"/>
  </r>
  <r>
    <d v="2026-02-27T00:00:00"/>
    <x v="53"/>
    <s v="STOCK"/>
    <n v="2"/>
    <s v="FABRICACION  PILARES"/>
    <n v="701043"/>
    <x v="132"/>
    <s v="PL"/>
    <n v="40"/>
    <m/>
    <n v="40"/>
    <n v="22146.375"/>
    <n v="885855"/>
    <n v="885855"/>
    <n v="22146.362799999999"/>
    <n v="-1.2200000000000001E-2"/>
    <n v="-0.48909999999999998"/>
    <n v="-5.521448431728661E-7"/>
    <s v=" "/>
    <n v="307720"/>
    <m/>
    <n v="5728"/>
    <n v="6579000000"/>
    <n v="885854.51087999996"/>
    <n v="10010"/>
    <n v="5.5088052657704476E-7"/>
    <n v="885854.51199999999"/>
    <x v="0"/>
    <n v="40"/>
    <x v="93"/>
  </r>
  <r>
    <d v="2026-02-27T00:00:00"/>
    <x v="53"/>
    <s v="STOCK"/>
    <n v="2"/>
    <s v="STOCK"/>
    <s v="040748x"/>
    <x v="117"/>
    <s v="CJA"/>
    <n v="2"/>
    <m/>
    <n v="2"/>
    <n v="55858.5"/>
    <n v="111717"/>
    <n v="111717"/>
    <n v="55858.301899999999"/>
    <n v="-0.1981"/>
    <n v="-0.3962"/>
    <n v="-3.5467064574682333E-6"/>
    <s v=" "/>
    <n v="307720"/>
    <m/>
    <n v="5728"/>
    <n v="6579000000"/>
    <n v="111716.603774"/>
    <n v="10010"/>
    <n v="3.5464737248203372E-6"/>
    <n v="111716.6038"/>
    <x v="1"/>
    <n v="2"/>
    <x v="4"/>
  </r>
  <r>
    <d v="2026-02-27T00:00:00"/>
    <x v="53"/>
    <s v="STOCK"/>
    <n v="2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s v=" "/>
    <n v="307720"/>
    <m/>
    <n v="5728"/>
    <n v="6579000000"/>
    <n v="8101.081000000001"/>
    <n v="10010"/>
    <n v="-1.2344002666275806E-5"/>
    <n v="8101.1"/>
    <x v="1"/>
    <n v="500"/>
    <x v="4"/>
  </r>
  <r>
    <d v="2026-02-27T00:00:00"/>
    <x v="53"/>
    <s v="M-00011"/>
    <n v="2"/>
    <s v="BALCONES"/>
    <n v="701084"/>
    <x v="13"/>
    <s v="PL"/>
    <n v="10"/>
    <m/>
    <n v="10"/>
    <n v="38182.9"/>
    <n v="381829"/>
    <n v="381829"/>
    <n v="38182.916700000002"/>
    <n v="1.67E-2"/>
    <n v="0.16669999999999999"/>
    <n v="4.3650410841026644E-7"/>
    <s v=" "/>
    <n v="307720"/>
    <m/>
    <n v="5728"/>
    <n v="6579000000"/>
    <n v="381829.16666999995"/>
    <n v="10010"/>
    <n v="-4.373683689839246E-7"/>
    <n v="381829.16700000002"/>
    <x v="1"/>
    <n v="10"/>
    <x v="11"/>
  </r>
  <r>
    <d v="2026-02-27T00:00:00"/>
    <x v="53"/>
    <s v="STOCK"/>
    <n v="2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s v=" "/>
    <n v="307720"/>
    <m/>
    <n v="5728"/>
    <n v="6579000000"/>
    <n v="709762.85999999987"/>
    <n v="10010"/>
    <n v="2.1133821040261184E-7"/>
    <n v="709762.8"/>
    <x v="0"/>
    <n v="1500"/>
    <x v="8"/>
  </r>
  <r>
    <d v="2026-03-02T00:00:00"/>
    <x v="54"/>
    <s v="STOCK"/>
    <n v="3"/>
    <s v="STOCK"/>
    <n v="1901008"/>
    <x v="6"/>
    <s v="M2"/>
    <n v="189"/>
    <m/>
    <n v="189"/>
    <n v="2099.7354"/>
    <n v="396850"/>
    <n v="396850"/>
    <n v="2112.7957999999999"/>
    <n v="13.0603"/>
    <n v="2468.4022"/>
    <n v="6.1815388852829072E-3"/>
    <s v=" "/>
    <n v="307874"/>
    <n v="1484091"/>
    <n v="5755"/>
    <n v="6579000000"/>
    <n v="399318.40223100001"/>
    <n v="10010"/>
    <n v="-6.1815723033905338E-3"/>
    <n v="399318.40619999997"/>
    <x v="0"/>
    <n v="189"/>
    <x v="6"/>
  </r>
  <r>
    <d v="2026-03-02T00:00:00"/>
    <x v="54"/>
    <s v="STOCK"/>
    <n v="3"/>
    <s v="STOCK"/>
    <n v="617055"/>
    <x v="119"/>
    <s v="UND"/>
    <n v="1"/>
    <m/>
    <n v="1"/>
    <n v="920"/>
    <n v="920"/>
    <n v="920"/>
    <n v="920.35379999999998"/>
    <n v="0.3538"/>
    <n v="0.3538"/>
    <n v="3.8439674753726718E-4"/>
    <s v=" "/>
    <n v="307874"/>
    <m/>
    <n v="5755"/>
    <n v="6579000000"/>
    <n v="920.35378100000003"/>
    <n v="10010"/>
    <n v="-3.8441738383649673E-4"/>
    <n v="920.35379999999998"/>
    <x v="1"/>
    <n v="1"/>
    <x v="4"/>
  </r>
  <r>
    <d v="2026-03-02T00:00:00"/>
    <x v="54"/>
    <s v="STOCK"/>
    <n v="3"/>
    <s v="STOCK"/>
    <n v="407423"/>
    <x v="70"/>
    <s v="UND"/>
    <n v="3000"/>
    <m/>
    <n v="3000"/>
    <n v="3.3879999999999999"/>
    <n v="10164"/>
    <n v="10164"/>
    <n v="106.6405"/>
    <n v="103.2525"/>
    <n v="309757.50599999999"/>
    <n v="0.96822970694084709"/>
    <s v=" "/>
    <n v="307874"/>
    <m/>
    <n v="5755"/>
    <n v="6579000000"/>
    <n v="319921.50595135131"/>
    <n v="10010"/>
    <n v="-0.96822970634983885"/>
    <n v="319921.5"/>
    <x v="1"/>
    <n v="3000"/>
    <x v="63"/>
  </r>
  <r>
    <d v="2026-03-02T00:00:00"/>
    <x v="54"/>
    <s v="STOCK"/>
    <n v="3"/>
    <s v="STOCK"/>
    <n v="1901086"/>
    <x v="149"/>
    <s v="M2"/>
    <n v="291"/>
    <m/>
    <n v="291"/>
    <n v="3698.134"/>
    <n v="1076157"/>
    <n v="1076157"/>
    <n v="3711.587"/>
    <n v="13.452999999999999"/>
    <n v="3914.8289"/>
    <n v="3.624600536868661E-3"/>
    <s v=" "/>
    <n v="307874"/>
    <m/>
    <n v="5755"/>
    <n v="6579000000"/>
    <n v="1080071.8289310001"/>
    <n v="10010"/>
    <n v="-3.6245950856062313E-3"/>
    <n v="1080071.817"/>
    <x v="0"/>
    <n v="291"/>
    <x v="96"/>
  </r>
  <r>
    <d v="2026-03-03T00:00:00"/>
    <x v="55"/>
    <s v="PILOTO "/>
    <n v="3"/>
    <s v="PILOTO "/>
    <n v="404184"/>
    <x v="37"/>
    <s v="UND"/>
    <n v="2"/>
    <m/>
    <n v="2"/>
    <n v="1752.5"/>
    <n v="3505"/>
    <n v="3505"/>
    <n v="1754.8757000000001"/>
    <n v="2.3757000000000001"/>
    <n v="4.7515000000000001"/>
    <n v="1.3537887373063725E-3"/>
    <s v=" "/>
    <n v="307970"/>
    <n v="4502"/>
    <n v="5755"/>
    <n v="6579000000"/>
    <n v="3509.7514620000002"/>
    <n v="10010"/>
    <n v="-1.3537710961523096E-3"/>
    <n v="3509.7514000000001"/>
    <x v="1"/>
    <n v="2"/>
    <x v="33"/>
  </r>
  <r>
    <d v="2026-03-03T00:00:00"/>
    <x v="55"/>
    <s v="PILOTO "/>
    <n v="3"/>
    <s v="PILOTO "/>
    <n v="701183"/>
    <x v="96"/>
    <s v="TRA"/>
    <n v="1"/>
    <m/>
    <n v="1"/>
    <n v="997"/>
    <n v="997"/>
    <n v="997"/>
    <n v="996.5"/>
    <n v="-0.5"/>
    <n v="-0.5"/>
    <n v="-5.0175614651279475E-4"/>
    <m/>
    <n v="307970"/>
    <m/>
    <n v="5755"/>
    <n v="6579000000"/>
    <n v="996.5"/>
    <n v="10010"/>
    <n v="5.0175614651279475E-4"/>
    <n v="996.5"/>
    <x v="1"/>
    <n v="1"/>
    <x v="84"/>
  </r>
  <r>
    <d v="2026-03-03T00:00:00"/>
    <x v="55"/>
    <s v="STOCK"/>
    <n v="3"/>
    <s v="PISO"/>
    <n v="2302024"/>
    <x v="150"/>
    <s v="GAL"/>
    <n v="2"/>
    <m/>
    <n v="2"/>
    <n v="22292"/>
    <n v="44584"/>
    <n v="44584"/>
    <n v="22292"/>
    <n v="0"/>
    <n v="0"/>
    <n v="0"/>
    <m/>
    <n v="307930"/>
    <n v="150649"/>
    <n v="5755"/>
    <n v="6579000000"/>
    <n v="44584"/>
    <n v="10010"/>
    <n v="0"/>
    <n v="44584"/>
    <x v="1"/>
    <n v="2"/>
    <x v="4"/>
  </r>
  <r>
    <d v="2026-03-03T00:00:00"/>
    <x v="55"/>
    <s v="STOCK"/>
    <n v="3"/>
    <s v="PISO"/>
    <n v="2302098"/>
    <x v="5"/>
    <s v="TIN"/>
    <n v="5"/>
    <m/>
    <n v="5"/>
    <n v="21213"/>
    <n v="106065"/>
    <n v="106065"/>
    <n v="21213"/>
    <n v="0"/>
    <n v="0"/>
    <n v="-1.7149761029050001E-16"/>
    <m/>
    <n v="307930"/>
    <m/>
    <n v="5755"/>
    <n v="6579000000"/>
    <n v="106065"/>
    <n v="10010"/>
    <n v="0"/>
    <n v="106065"/>
    <x v="1"/>
    <n v="5"/>
    <x v="5"/>
  </r>
  <r>
    <d v="2026-03-04T00:00:00"/>
    <x v="56"/>
    <s v="STOCK"/>
    <n v="3"/>
    <s v="STOCK"/>
    <n v="2302024"/>
    <x v="150"/>
    <s v="GAL"/>
    <n v="3"/>
    <m/>
    <n v="3"/>
    <n v="22292"/>
    <n v="66876"/>
    <n v="66876"/>
    <n v="22292"/>
    <n v="0"/>
    <n v="0"/>
    <n v="0"/>
    <m/>
    <n v="308039"/>
    <n v="394031"/>
    <n v="5755"/>
    <n v="6579000000"/>
    <n v="66876"/>
    <n v="10010"/>
    <n v="0"/>
    <n v="66876"/>
    <x v="1"/>
    <n v="3"/>
    <x v="4"/>
  </r>
  <r>
    <d v="2026-03-04T00:00:00"/>
    <x v="56"/>
    <s v="STOCK"/>
    <n v="3"/>
    <s v="STOCK"/>
    <n v="2302098"/>
    <x v="5"/>
    <s v="TIN"/>
    <n v="1"/>
    <m/>
    <n v="1"/>
    <n v="21213"/>
    <n v="21213"/>
    <n v="21213"/>
    <n v="21213"/>
    <n v="0"/>
    <n v="0"/>
    <n v="-1.7149761029050001E-16"/>
    <m/>
    <n v="308039"/>
    <m/>
    <n v="5755"/>
    <n v="6579000000"/>
    <n v="21212.999999999996"/>
    <n v="10010"/>
    <n v="0"/>
    <n v="21213"/>
    <x v="1"/>
    <n v="1"/>
    <x v="5"/>
  </r>
  <r>
    <d v="2026-03-04T00:00:00"/>
    <x v="56"/>
    <s v="STOCK"/>
    <n v="3"/>
    <s v="STOCK"/>
    <n v="810007"/>
    <x v="151"/>
    <s v="TRA"/>
    <n v="30"/>
    <m/>
    <n v="30"/>
    <n v="3274.7332999999999"/>
    <n v="98242"/>
    <n v="98242"/>
    <n v="3274.7246"/>
    <n v="-8.6999999999999994E-3"/>
    <n v="-0.26090000000000002"/>
    <n v="-2.6552868696437327E-6"/>
    <m/>
    <n v="308039"/>
    <m/>
    <n v="5755"/>
    <n v="6579000000"/>
    <n v="98241.739140000005"/>
    <n v="10010"/>
    <n v="2.6567119567436247E-6"/>
    <n v="98241.737999999998"/>
    <x v="1"/>
    <n v="30"/>
    <x v="4"/>
  </r>
  <r>
    <d v="2026-03-04T00:00:00"/>
    <x v="56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039"/>
    <m/>
    <n v="5755"/>
    <n v="6579000000"/>
    <n v="3681.4151240000001"/>
    <n v="10010"/>
    <n v="-1.1278271464732189E-4"/>
    <n v="3681.4151999999999"/>
    <x v="1"/>
    <n v="4"/>
    <x v="4"/>
  </r>
  <r>
    <d v="2026-03-04T00:00:00"/>
    <x v="56"/>
    <s v="STOCK"/>
    <n v="3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8039"/>
    <m/>
    <n v="5755"/>
    <n v="6579000000"/>
    <n v="23200.297871999981"/>
    <n v="10010"/>
    <n v="-1.2840352364673349E-5"/>
    <n v="23200.297900000001"/>
    <x v="1"/>
    <n v="1"/>
    <x v="69"/>
  </r>
  <r>
    <d v="2026-03-04T00:00:00"/>
    <x v="56"/>
    <s v="STOCK"/>
    <n v="3"/>
    <s v="STOCK"/>
    <n v="408042"/>
    <x v="101"/>
    <s v="CJA"/>
    <n v="2"/>
    <m/>
    <n v="2"/>
    <n v="35000"/>
    <n v="70000"/>
    <n v="70000"/>
    <n v="35000"/>
    <n v="0"/>
    <n v="0"/>
    <n v="8.3153801304950006E-16"/>
    <m/>
    <n v="308039"/>
    <m/>
    <n v="5755"/>
    <n v="6579000000"/>
    <n v="70000.000000000058"/>
    <n v="10010"/>
    <n v="0"/>
    <n v="70000"/>
    <x v="1"/>
    <n v="2"/>
    <x v="89"/>
  </r>
  <r>
    <d v="2026-03-04T00:00:00"/>
    <x v="56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8039"/>
    <m/>
    <n v="5755"/>
    <n v="6579000000"/>
    <n v="110819.45454599996"/>
    <n v="10010"/>
    <n v="-4.1012654469409861E-6"/>
    <n v="110819.4546"/>
    <x v="0"/>
    <n v="3"/>
    <x v="45"/>
  </r>
  <r>
    <d v="2026-03-04T00:00:00"/>
    <x v="56"/>
    <s v="MUESTRA   "/>
    <n v="3"/>
    <s v="VENTANA BAÑO"/>
    <n v="412592"/>
    <x v="152"/>
    <s v="UND"/>
    <n v="2"/>
    <m/>
    <n v="2"/>
    <n v="3152.5"/>
    <n v="6305"/>
    <n v="6305"/>
    <n v="3152.2833000000001"/>
    <n v="-0.2167"/>
    <n v="-0.43340000000000001"/>
    <n v="-6.8746042108989522E-5"/>
    <m/>
    <n v="308112"/>
    <n v="6305"/>
    <n v="5755"/>
    <n v="6579000000"/>
    <n v="6304.5665859999999"/>
    <n v="10010"/>
    <n v="6.8743821343705426E-5"/>
    <n v="6304.5666000000001"/>
    <x v="1"/>
    <n v="2"/>
    <x v="4"/>
  </r>
  <r>
    <d v="2026-03-04T00:00:00"/>
    <x v="56"/>
    <s v="MOD-10-11-12-13"/>
    <n v="3"/>
    <s v="PANELES DIVISIONES INTERIORES "/>
    <n v="701096"/>
    <x v="135"/>
    <s v="PL"/>
    <n v="280"/>
    <m/>
    <n v="280"/>
    <n v="16019.885700000001"/>
    <n v="4485568"/>
    <n v="4485568"/>
    <n v="16019.885700000001"/>
    <n v="0"/>
    <n v="-8.2000000000000007E-3"/>
    <n v="-1.8280849054132462E-9"/>
    <m/>
    <n v="308114"/>
    <n v="6485091"/>
    <n v="5755"/>
    <n v="6579000000"/>
    <n v="4485567.9918000009"/>
    <n v="10010"/>
    <n v="0"/>
    <n v="4485567.9960000003"/>
    <x v="0"/>
    <n v="280"/>
    <x v="94"/>
  </r>
  <r>
    <d v="2026-03-04T00:00:00"/>
    <x v="56"/>
    <s v="MOD-10-11-12-13"/>
    <n v="3"/>
    <s v="PANELES DIVISIONES INTERIORES "/>
    <n v="701040"/>
    <x v="1"/>
    <s v="PL"/>
    <n v="80"/>
    <m/>
    <n v="80"/>
    <n v="7835.7250000000004"/>
    <n v="626858"/>
    <n v="626858"/>
    <n v="7835.7259999999997"/>
    <n v="1E-3"/>
    <n v="7.6300000000000007E-2"/>
    <n v="1.217500462579358E-7"/>
    <m/>
    <n v="308114"/>
    <m/>
    <n v="5755"/>
    <n v="6579000000"/>
    <n v="626858.07631999976"/>
    <n v="10010"/>
    <n v="-1.2762059307513204E-7"/>
    <n v="626858.07999999996"/>
    <x v="1"/>
    <n v="80"/>
    <x v="1"/>
  </r>
  <r>
    <d v="2026-03-04T00:00:00"/>
    <x v="56"/>
    <s v="STOCK"/>
    <n v="3"/>
    <s v="PANELES DIVISIONES INTERIORES "/>
    <n v="701015"/>
    <x v="46"/>
    <s v="PL"/>
    <n v="150"/>
    <m/>
    <n v="150"/>
    <n v="9151.1"/>
    <n v="1372665"/>
    <n v="1372665"/>
    <n v="9151.2975000000006"/>
    <n v="0.19750000000000001"/>
    <n v="29.620200000000001"/>
    <n v="2.1578142409947837E-5"/>
    <m/>
    <n v="308114"/>
    <m/>
    <n v="5755"/>
    <n v="6579000000"/>
    <n v="1372694.6202"/>
    <n v="10010"/>
    <n v="-2.1581639106391008E-5"/>
    <n v="1372694.625"/>
    <x v="1"/>
    <n v="150"/>
    <x v="41"/>
  </r>
  <r>
    <d v="2026-03-05T00:00:00"/>
    <x v="57"/>
    <s v="STOCK"/>
    <n v="3"/>
    <s v="STOCK"/>
    <n v="304002"/>
    <x v="12"/>
    <s v="PL"/>
    <n v="216"/>
    <m/>
    <n v="216"/>
    <n v="21271.6574"/>
    <n v="4594678"/>
    <n v="4594678"/>
    <n v="21246.5072"/>
    <n v="-25.150300000000001"/>
    <n v="-5432.4549999999999"/>
    <n v="-1.1837359536932288E-3"/>
    <m/>
    <n v="308223"/>
    <n v="4594678"/>
    <n v="5755"/>
    <n v="6579000000"/>
    <n v="4589245.5450480003"/>
    <n v="10010"/>
    <n v="1.1837333903052093E-3"/>
    <n v="4589245.5552000003"/>
    <x v="0"/>
    <n v="216"/>
    <x v="10"/>
  </r>
  <r>
    <d v="2026-03-06T00:00:00"/>
    <x v="58"/>
    <s v="STOCK"/>
    <n v="3"/>
    <s v="STOCK"/>
    <n v="302010"/>
    <x v="136"/>
    <s v="PZA"/>
    <n v="168"/>
    <m/>
    <n v="168"/>
    <n v="6585.1310000000003"/>
    <n v="1106302"/>
    <n v="1106302"/>
    <n v="6585.1337000000003"/>
    <n v="2.8E-3"/>
    <n v="0.46920000000000001"/>
    <n v="4.2407931983622125E-7"/>
    <m/>
    <n v="308380"/>
    <n v="11208225"/>
    <n v="5755"/>
    <n v="6579000000"/>
    <n v="1106302.4691599987"/>
    <n v="10010"/>
    <n v="-4.10014454225032E-7"/>
    <n v="1106302.4616"/>
    <x v="0"/>
    <n v="168"/>
    <x v="95"/>
  </r>
  <r>
    <d v="2026-03-06T00:00:00"/>
    <x v="58"/>
    <s v="STOCK"/>
    <n v="3"/>
    <s v="STOCK"/>
    <n v="302046"/>
    <x v="78"/>
    <s v="PZA"/>
    <n v="144"/>
    <m/>
    <n v="144"/>
    <n v="10189.9931"/>
    <n v="1467359"/>
    <n v="1467359"/>
    <n v="10156.5985"/>
    <n v="-33.394599999999997"/>
    <n v="-4808.8208000000004"/>
    <n v="-3.2879697532649465E-3"/>
    <m/>
    <n v="308380"/>
    <m/>
    <n v="5755"/>
    <n v="6579000000"/>
    <n v="1462550.1792480005"/>
    <n v="10010"/>
    <n v="3.2879708693810852E-3"/>
    <n v="1462550.1839999999"/>
    <x v="0"/>
    <n v="144"/>
    <x v="46"/>
  </r>
  <r>
    <d v="2026-03-06T00:00:00"/>
    <x v="58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8380"/>
    <m/>
    <n v="5755"/>
    <n v="6579000000"/>
    <n v="142344.40430999998"/>
    <n v="10010"/>
    <n v="-2.8409968182735337E-6"/>
    <n v="142344.4044"/>
    <x v="1"/>
    <n v="6"/>
    <x v="4"/>
  </r>
  <r>
    <d v="2026-03-06T00:00:00"/>
    <x v="58"/>
    <s v="STOCK"/>
    <n v="3"/>
    <s v="STOCK"/>
    <n v="410078"/>
    <x v="154"/>
    <s v="UND"/>
    <n v="100"/>
    <m/>
    <n v="100"/>
    <n v="470.2"/>
    <n v="47020"/>
    <n v="47020"/>
    <n v="470.20119999999997"/>
    <n v="1.1999999999999999E-3"/>
    <n v="0.1202"/>
    <n v="2.5563524612912121E-6"/>
    <m/>
    <n v="308380"/>
    <m/>
    <n v="5755"/>
    <n v="6579000000"/>
    <n v="47020.120200000005"/>
    <n v="10010"/>
    <n v="-2.5520989737648319E-6"/>
    <n v="47020.119999999995"/>
    <x v="1"/>
    <n v="100"/>
    <x v="4"/>
  </r>
  <r>
    <d v="2026-03-06T00:00:00"/>
    <x v="58"/>
    <s v="STOCK"/>
    <n v="3"/>
    <s v="STOCK"/>
    <n v="302028"/>
    <x v="72"/>
    <s v="PZA"/>
    <n v="720"/>
    <m/>
    <n v="720"/>
    <n v="5123.8028000000004"/>
    <n v="3689138"/>
    <n v="3689138"/>
    <n v="5123.8024999999998"/>
    <n v="-2.9999999999999997E-4"/>
    <n v="-0.18060000000000001"/>
    <n v="-4.894368488081774E-8"/>
    <m/>
    <n v="308380"/>
    <m/>
    <n v="5755"/>
    <n v="6579000000"/>
    <n v="3689137.8194400016"/>
    <n v="10010"/>
    <n v="5.8550266253786103E-8"/>
    <n v="3689137.8"/>
    <x v="0"/>
    <n v="720"/>
    <x v="65"/>
  </r>
  <r>
    <d v="2026-03-06T00:00:00"/>
    <x v="58"/>
    <s v="STOCK"/>
    <n v="3"/>
    <s v="STOCK"/>
    <n v="304101"/>
    <x v="0"/>
    <s v="PL"/>
    <n v="84"/>
    <m/>
    <n v="84"/>
    <n v="9643.2738000000008"/>
    <n v="810035"/>
    <n v="810035"/>
    <n v="9657.5879999999997"/>
    <n v="14.3141"/>
    <n v="1202.3878"/>
    <n v="1.4821651690156707E-3"/>
    <m/>
    <n v="308380"/>
    <m/>
    <n v="5755"/>
    <n v="6579000000"/>
    <n v="811237.38780000038"/>
    <n v="10010"/>
    <n v="-1.4821713247654478E-3"/>
    <n v="811237.39199999999"/>
    <x v="0"/>
    <n v="84"/>
    <x v="0"/>
  </r>
  <r>
    <d v="2026-03-06T00:00:00"/>
    <x v="58"/>
    <s v="STOCK"/>
    <n v="3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08380"/>
    <m/>
    <n v="5755"/>
    <n v="6579000000"/>
    <n v="823993.41758399969"/>
    <n v="10010"/>
    <n v="-9.4314025441193054E-3"/>
    <n v="823993.41599999997"/>
    <x v="0"/>
    <n v="72"/>
    <x v="43"/>
  </r>
  <r>
    <d v="2026-03-06T00:00:00"/>
    <x v="58"/>
    <s v="STOCK"/>
    <n v="3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08380"/>
    <m/>
    <n v="5755"/>
    <n v="6579000000"/>
    <n v="140000.00000000012"/>
    <n v="10010"/>
    <n v="0"/>
    <n v="140000"/>
    <x v="1"/>
    <n v="4"/>
    <x v="89"/>
  </r>
  <r>
    <d v="2026-03-06T00:00:00"/>
    <x v="58"/>
    <s v="STOCK"/>
    <n v="3"/>
    <s v="STOCK"/>
    <n v="410126"/>
    <x v="108"/>
    <s v="UND"/>
    <n v="88"/>
    <m/>
    <n v="88"/>
    <n v="983.79549999999995"/>
    <n v="86574"/>
    <n v="86574"/>
    <n v="983.61890000000005"/>
    <n v="-0.17660000000000001"/>
    <n v="-15.538500000000001"/>
    <n v="-1.7951418874238021E-4"/>
    <m/>
    <n v="308380"/>
    <m/>
    <n v="5755"/>
    <n v="6579000000"/>
    <n v="86558.461528000014"/>
    <n v="10010"/>
    <n v="1.7954108039190173E-4"/>
    <n v="86558.463199999998"/>
    <x v="1"/>
    <n v="88"/>
    <x v="4"/>
  </r>
  <r>
    <d v="2026-03-06T00:00:00"/>
    <x v="58"/>
    <s v="STOCK"/>
    <n v="3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08380"/>
    <m/>
    <n v="5755"/>
    <n v="6579000000"/>
    <n v="1182938.1000000001"/>
    <n v="10010"/>
    <n v="0"/>
    <n v="1182938"/>
    <x v="0"/>
    <n v="2500"/>
    <x v="8"/>
  </r>
  <r>
    <d v="2026-03-06T00:00:00"/>
    <x v="58"/>
    <s v="STOCK"/>
    <n v="3"/>
    <s v="STOCK"/>
    <n v="1902013"/>
    <x v="144"/>
    <s v="RLL"/>
    <n v="20"/>
    <m/>
    <n v="20"/>
    <n v="39090"/>
    <n v="781800"/>
    <n v="781800"/>
    <n v="29779"/>
    <n v="-9311"/>
    <n v="-186220"/>
    <n v="-0.31267000235064979"/>
    <s v="COTIZADO CON VOLCAN "/>
    <n v="308380"/>
    <m/>
    <n v="5755"/>
    <n v="6579000000"/>
    <n v="595580"/>
    <n v="10010"/>
    <n v="0.31267000235064979"/>
    <n v="595580"/>
    <x v="0"/>
    <n v="20"/>
    <x v="4"/>
  </r>
  <r>
    <d v="2026-03-06T00:00:00"/>
    <x v="58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380"/>
    <m/>
    <n v="5755"/>
    <n v="6579000000"/>
    <n v="746483.51388648641"/>
    <n v="10010"/>
    <n v="-0.96822970634983885"/>
    <n v="746483.5"/>
    <x v="1"/>
    <n v="7000"/>
    <x v="63"/>
  </r>
  <r>
    <d v="2026-03-06T00:00:00"/>
    <x v="58"/>
    <s v="STOCK"/>
    <n v="3"/>
    <s v="STOCK"/>
    <n v="410045"/>
    <x v="75"/>
    <s v="UND"/>
    <n v="232"/>
    <m/>
    <n v="232"/>
    <n v="368"/>
    <n v="85376"/>
    <n v="85376"/>
    <n v="368.00139999999999"/>
    <n v="1.4E-3"/>
    <n v="0.31580000000000003"/>
    <n v="3.6983558871065354E-6"/>
    <m/>
    <n v="308380"/>
    <m/>
    <n v="5755"/>
    <n v="6579000000"/>
    <n v="85376.31575199998"/>
    <n v="10010"/>
    <n v="-3.8043333530514605E-6"/>
    <n v="85376.324800000002"/>
    <x v="1"/>
    <n v="232"/>
    <x v="68"/>
  </r>
  <r>
    <d v="2026-03-06T00:00:00"/>
    <x v="58"/>
    <s v="STOCK"/>
    <n v="3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8380"/>
    <m/>
    <n v="5755"/>
    <n v="6579000000"/>
    <n v="36939.818181999981"/>
    <n v="10010"/>
    <n v="4.92151853628979E-6"/>
    <n v="36939.818200000002"/>
    <x v="0"/>
    <n v="1"/>
    <x v="45"/>
  </r>
  <r>
    <d v="2026-03-06T00:00:00"/>
    <x v="58"/>
    <s v="STOCK"/>
    <n v="3"/>
    <s v="STOCK"/>
    <n v="2302119"/>
    <x v="44"/>
    <s v="UND"/>
    <n v="24"/>
    <m/>
    <n v="24"/>
    <n v="3670.875"/>
    <n v="88101"/>
    <n v="88101"/>
    <n v="3671"/>
    <n v="0.125"/>
    <n v="3"/>
    <n v="3.4050667393080905E-5"/>
    <m/>
    <n v="308380"/>
    <m/>
    <n v="5755"/>
    <n v="6579000000"/>
    <n v="88104"/>
    <n v="10010"/>
    <n v="-3.4050667393080905E-5"/>
    <n v="88104"/>
    <x v="1"/>
    <n v="24"/>
    <x v="40"/>
  </r>
  <r>
    <d v="2026-03-06T00:00:00"/>
    <x v="58"/>
    <s v="STOCK"/>
    <n v="3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8380"/>
    <m/>
    <n v="5755"/>
    <n v="6579000000"/>
    <n v="4880.2160000000003"/>
    <n v="10010"/>
    <n v="-4.0981926970292619E-5"/>
    <n v="4880.2000000000007"/>
    <x v="1"/>
    <n v="1000"/>
    <x v="64"/>
  </r>
  <r>
    <d v="2026-03-06T00:00:00"/>
    <x v="58"/>
    <s v="STOCK"/>
    <n v="3"/>
    <s v="MODULO NO CONFIRMADO"/>
    <n v="2505058"/>
    <x v="99"/>
    <s v="UND"/>
    <n v="18"/>
    <m/>
    <n v="18"/>
    <n v="16867.4444"/>
    <n v="303614"/>
    <n v="303614"/>
    <n v="17870.144100000001"/>
    <n v="1002.6996"/>
    <n v="18048.593199999999"/>
    <n v="5.6110326796474271E-2"/>
    <m/>
    <n v="308380"/>
    <m/>
    <n v="5755"/>
    <n v="6579000000"/>
    <n v="321662.59322400001"/>
    <n v="10010"/>
    <n v="-5.6110330973772111E-2"/>
    <n v="321662.59380000003"/>
    <x v="1"/>
    <n v="18"/>
    <x v="87"/>
  </r>
  <r>
    <d v="2026-03-06T00:00:00"/>
    <x v="58"/>
    <s v="STOCK"/>
    <n v="3"/>
    <s v="STOCK"/>
    <s v="040748x"/>
    <x v="117"/>
    <s v="CJA"/>
    <n v="5"/>
    <m/>
    <n v="5"/>
    <n v="76394.8"/>
    <n v="381974"/>
    <n v="381974"/>
    <n v="55858.301899999999"/>
    <n v="-20536.498100000001"/>
    <n v="-102682.4906"/>
    <n v="-0.36765346276628408"/>
    <s v="IMPORTACION VIA AREA "/>
    <n v="308380"/>
    <m/>
    <n v="5755"/>
    <n v="6579000000"/>
    <n v="279291.50943499996"/>
    <n v="10010"/>
    <n v="0.36765346244798763"/>
    <n v="279291.50949999999"/>
    <x v="1"/>
    <n v="5"/>
    <x v="4"/>
  </r>
  <r>
    <d v="2026-03-06T00:00:00"/>
    <x v="58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380"/>
    <m/>
    <n v="5755"/>
    <n v="6579000000"/>
    <n v="3681.4151240000001"/>
    <n v="10010"/>
    <n v="-1.1278271464732189E-4"/>
    <n v="3681.4151999999999"/>
    <x v="1"/>
    <n v="4"/>
    <x v="4"/>
  </r>
  <r>
    <d v="2026-03-06T00:00:00"/>
    <x v="58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08380"/>
    <m/>
    <n v="5755"/>
    <n v="6579000000"/>
    <n v="10210.598529999999"/>
    <n v="10010"/>
    <n v="3.9321886958966856E-5"/>
    <n v="10210.5985"/>
    <x v="1"/>
    <n v="5"/>
    <x v="82"/>
  </r>
  <r>
    <d v="2026-03-10T00:00:00"/>
    <x v="59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8572"/>
    <n v="2360964"/>
    <n v="5789"/>
    <n v="6579000000"/>
    <n v="1191160.0000000002"/>
    <n v="10010"/>
    <n v="0"/>
    <n v="1191160"/>
    <x v="0"/>
    <n v="40"/>
    <x v="97"/>
  </r>
  <r>
    <d v="2026-03-10T00:00:00"/>
    <x v="59"/>
    <s v="STOCK"/>
    <n v="3"/>
    <s v="STOCK"/>
    <n v="1901008"/>
    <x v="6"/>
    <s v="M2"/>
    <n v="270"/>
    <m/>
    <n v="270"/>
    <n v="2088.0556000000001"/>
    <n v="563775"/>
    <n v="563775"/>
    <n v="2112.7957999999999"/>
    <n v="24.740200000000002"/>
    <n v="6679.8603000000003"/>
    <n v="1.170970885607983E-2"/>
    <m/>
    <n v="308572"/>
    <m/>
    <n v="5789"/>
    <n v="6579000000"/>
    <n v="570454.86033000005"/>
    <n v="10010"/>
    <n v="-1.1709697643283716E-2"/>
    <n v="570454.86599999992"/>
    <x v="0"/>
    <n v="270"/>
    <x v="6"/>
  </r>
  <r>
    <d v="2026-03-10T00:00:00"/>
    <x v="59"/>
    <s v="STOCK"/>
    <n v="3"/>
    <s v="STOCK"/>
    <n v="1901038"/>
    <x v="14"/>
    <s v="M2"/>
    <n v="81"/>
    <m/>
    <n v="81"/>
    <n v="4196.3703999999998"/>
    <n v="339906"/>
    <n v="339906"/>
    <n v="4197.4179000000004"/>
    <n v="1.0475000000000001"/>
    <n v="84.847899999999996"/>
    <n v="2.4955929117030456E-4"/>
    <m/>
    <n v="308572"/>
    <m/>
    <n v="5789"/>
    <n v="6579000000"/>
    <n v="339990.84787500009"/>
    <n v="10010"/>
    <n v="-2.4955818671297466E-4"/>
    <n v="339990.84990000003"/>
    <x v="0"/>
    <n v="81"/>
    <x v="12"/>
  </r>
  <r>
    <d v="2026-03-10T00:00:00"/>
    <x v="59"/>
    <s v="STOCK"/>
    <n v="3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08572"/>
    <m/>
    <n v="5789"/>
    <n v="6579000000"/>
    <n v="70000.370859999995"/>
    <n v="10010"/>
    <n v="-5.2971147976295791E-6"/>
    <n v="70000.370800000004"/>
    <x v="1"/>
    <n v="4"/>
    <x v="67"/>
  </r>
  <r>
    <d v="2026-03-10T00:00:00"/>
    <x v="59"/>
    <s v="STOCK"/>
    <n v="3"/>
    <s v="STOCK"/>
    <s v="040801X"/>
    <x v="146"/>
    <s v="CJA"/>
    <n v="4"/>
    <m/>
    <n v="4"/>
    <n v="49030.75"/>
    <n v="196123"/>
    <n v="196123"/>
    <n v="49030.713300000003"/>
    <n v="-3.6700000000000003E-2"/>
    <n v="-0.14680000000000001"/>
    <n v="-7.4844923770802403E-7"/>
    <m/>
    <n v="308572"/>
    <m/>
    <n v="5789"/>
    <n v="6579000000"/>
    <n v="196122.85321199999"/>
    <n v="10010"/>
    <n v="7.4851042391273213E-7"/>
    <n v="196122.85320000001"/>
    <x v="1"/>
    <n v="4"/>
    <x v="4"/>
  </r>
  <r>
    <d v="2026-03-10T00:00:00"/>
    <x v="59"/>
    <s v="STOCK"/>
    <n v="3"/>
    <s v="STOCK"/>
    <n v="704046"/>
    <x v="156"/>
    <s v="RLL"/>
    <n v="3"/>
    <m/>
    <n v="3"/>
    <n v="9076"/>
    <n v="27228"/>
    <n v="27228"/>
    <n v="9076.0622000000003"/>
    <n v="6.2199999999999998E-2"/>
    <n v="0.18659999999999999"/>
    <n v="6.8528618084685054E-6"/>
    <m/>
    <n v="308613"/>
    <n v="1051008"/>
    <n v="5789"/>
    <n v="6579000000"/>
    <n v="27228.186591000005"/>
    <n v="10010"/>
    <n v="-6.8531923459386027E-6"/>
    <n v="27228.186600000001"/>
    <x v="1"/>
    <n v="3"/>
    <x v="4"/>
  </r>
  <r>
    <d v="2026-03-10T00:00:00"/>
    <x v="59"/>
    <s v="STOCK"/>
    <n v="3"/>
    <s v="STOCK"/>
    <n v="106022"/>
    <x v="157"/>
    <s v="UND"/>
    <n v="4"/>
    <m/>
    <n v="4"/>
    <n v="3800.75"/>
    <n v="15203"/>
    <n v="15203"/>
    <n v="3800.6911"/>
    <n v="-5.8900000000000001E-2"/>
    <n v="-0.2356"/>
    <n v="-1.5497444666029462E-5"/>
    <m/>
    <n v="308613"/>
    <m/>
    <n v="5789"/>
    <n v="6579000000"/>
    <n v="15202.764396000002"/>
    <n v="10010"/>
    <n v="1.5497181552058829E-5"/>
    <n v="15202.7644"/>
    <x v="1"/>
    <n v="4"/>
    <x v="4"/>
  </r>
  <r>
    <d v="2026-03-10T00:00:00"/>
    <x v="59"/>
    <s v="STOCK"/>
    <n v="3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8613"/>
    <m/>
    <n v="5789"/>
    <n v="6579000000"/>
    <n v="16517.660688"/>
    <n v="10010"/>
    <n v="2.0559812453786519E-5"/>
    <n v="16517.660400000001"/>
    <x v="1"/>
    <n v="12"/>
    <x v="4"/>
  </r>
  <r>
    <d v="2026-03-10T00:00:00"/>
    <x v="59"/>
    <s v="STOCK"/>
    <n v="3"/>
    <s v="STOCK"/>
    <n v="907031"/>
    <x v="158"/>
    <s v="RLL"/>
    <n v="4"/>
    <m/>
    <n v="4"/>
    <n v="154915.75"/>
    <n v="619663"/>
    <n v="619663"/>
    <n v="156269.1667"/>
    <n v="1353.4167"/>
    <n v="5413.6666999999998"/>
    <n v="8.6608042767904996E-3"/>
    <m/>
    <n v="308613"/>
    <m/>
    <n v="5789"/>
    <n v="6579000000"/>
    <n v="625076.66666800017"/>
    <n v="10010"/>
    <n v="-8.6608044861354056E-3"/>
    <n v="625076.66680000001"/>
    <x v="0"/>
    <n v="4"/>
    <x v="98"/>
  </r>
  <r>
    <d v="2026-03-10T00:00:00"/>
    <x v="59"/>
    <s v="STOCK"/>
    <n v="3"/>
    <s v="STOCK"/>
    <n v="2302017"/>
    <x v="106"/>
    <s v="TIN"/>
    <n v="2"/>
    <m/>
    <n v="2"/>
    <n v="81198"/>
    <n v="162396"/>
    <n v="162396"/>
    <n v="81197.881599999993"/>
    <n v="-0.11840000000000001"/>
    <n v="-0.23680000000000001"/>
    <n v="-1.4584247485056449E-6"/>
    <m/>
    <n v="308613"/>
    <m/>
    <n v="5789"/>
    <n v="6579000000"/>
    <n v="162395.76315799996"/>
    <n v="10010"/>
    <n v="1.4581661205143925E-6"/>
    <n v="162395.76319999999"/>
    <x v="1"/>
    <n v="2"/>
    <x v="4"/>
  </r>
  <r>
    <d v="2026-03-10T00:00:00"/>
    <x v="59"/>
    <s v="STOCK"/>
    <n v="3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08613"/>
    <m/>
    <n v="5789"/>
    <n v="6579000000"/>
    <n v="210000.00000000015"/>
    <n v="10010"/>
    <n v="0"/>
    <n v="210000"/>
    <x v="1"/>
    <n v="6"/>
    <x v="89"/>
  </r>
  <r>
    <d v="2026-03-11T00:00:00"/>
    <x v="60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08748"/>
    <n v="8513471"/>
    <n v="5789"/>
    <n v="6579000000"/>
    <n v="90760.621969999993"/>
    <n v="10010"/>
    <n v="4.1648017793510843E-6"/>
    <n v="90760.622000000003"/>
    <x v="1"/>
    <n v="10"/>
    <x v="4"/>
  </r>
  <r>
    <d v="2026-03-11T00:00:00"/>
    <x v="60"/>
    <s v="STOCK"/>
    <n v="3"/>
    <s v="STOCK"/>
    <n v="302028"/>
    <x v="72"/>
    <s v="PZA"/>
    <n v="1320"/>
    <n v="600"/>
    <n v="720"/>
    <n v="4924.4832999999999"/>
    <n v="6500318"/>
    <n v="3545628"/>
    <n v="5123.8024999999998"/>
    <n v="199.3192"/>
    <n v="143509.81940000001"/>
    <n v="3.8900639245238421E-2"/>
    <m/>
    <n v="308748"/>
    <m/>
    <n v="5789"/>
    <n v="6579000000"/>
    <n v="3689137.8194400016"/>
    <n v="10010"/>
    <n v="-3.8900640686287173E-2"/>
    <n v="3689137.8"/>
    <x v="0"/>
    <n v="720"/>
    <x v="65"/>
  </r>
  <r>
    <d v="2026-03-11T00:00:00"/>
    <x v="60"/>
    <s v="STOCK"/>
    <n v="3"/>
    <s v="STOCK"/>
    <n v="304101"/>
    <x v="0"/>
    <s v="PL"/>
    <n v="252"/>
    <m/>
    <n v="252"/>
    <n v="9636.0238000000008"/>
    <n v="2428278"/>
    <n v="2428278"/>
    <n v="9657.5879999999997"/>
    <n v="21.5641"/>
    <n v="5434.1634000000004"/>
    <n v="2.232870214368118E-3"/>
    <m/>
    <n v="308748"/>
    <m/>
    <n v="5789"/>
    <n v="6579000000"/>
    <n v="2433712.1634000018"/>
    <n v="10010"/>
    <n v="-2.2328763662312879E-3"/>
    <n v="2433712.176"/>
    <x v="0"/>
    <n v="252"/>
    <x v="0"/>
  </r>
  <r>
    <d v="2026-03-11T00:00:00"/>
    <x v="60"/>
    <s v="STOCK"/>
    <n v="3"/>
    <s v="STOCK"/>
    <n v="302010"/>
    <x v="136"/>
    <s v="PZA"/>
    <n v="336"/>
    <n v="168"/>
    <n v="168"/>
    <n v="6526.0536000000002"/>
    <n v="2192754"/>
    <n v="1096377"/>
    <n v="6585.1337000000003"/>
    <n v="59.080199999999998"/>
    <n v="9925.4691999999995"/>
    <n v="8.9717499840119685E-3"/>
    <m/>
    <n v="308748"/>
    <m/>
    <n v="5789"/>
    <n v="6579000000"/>
    <n v="1106302.4691599987"/>
    <n v="10010"/>
    <n v="-8.9717388729708136E-3"/>
    <n v="1106302.4616"/>
    <x v="0"/>
    <n v="168"/>
    <x v="95"/>
  </r>
  <r>
    <d v="2026-03-11T00:00:00"/>
    <x v="60"/>
    <s v="STOCK"/>
    <n v="3"/>
    <s v="STOCK"/>
    <n v="407011"/>
    <x v="8"/>
    <s v="UND"/>
    <n v="750"/>
    <m/>
    <n v="750"/>
    <n v="473.17469999999997"/>
    <n v="354881"/>
    <n v="354881"/>
    <n v="473.17520000000002"/>
    <n v="5.9999999999999995E-4"/>
    <n v="0.43"/>
    <n v="1.2116723040073862E-6"/>
    <m/>
    <n v="308748"/>
    <m/>
    <n v="5789"/>
    <n v="6579000000"/>
    <n v="354881.42999999993"/>
    <n v="10010"/>
    <n v="-1.0566910523734548E-6"/>
    <n v="354881.4"/>
    <x v="0"/>
    <n v="750"/>
    <x v="8"/>
  </r>
  <r>
    <d v="2026-03-11T00:00:00"/>
    <x v="60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748"/>
    <m/>
    <n v="5789"/>
    <n v="6579000000"/>
    <n v="746483.51388648641"/>
    <n v="10010"/>
    <n v="-0.96822970634983885"/>
    <n v="746483.5"/>
    <x v="1"/>
    <n v="7000"/>
    <x v="63"/>
  </r>
  <r>
    <d v="2026-03-11T00:00:00"/>
    <x v="60"/>
    <s v="STOCK"/>
    <n v="3"/>
    <s v="STOCK"/>
    <n v="304049"/>
    <x v="159"/>
    <s v="PL"/>
    <n v="65"/>
    <m/>
    <n v="65"/>
    <n v="14982"/>
    <n v="973830"/>
    <n v="973830"/>
    <n v="14982"/>
    <n v="0"/>
    <n v="0"/>
    <n v="-4.8564661688580003E-16"/>
    <m/>
    <n v="308748"/>
    <m/>
    <n v="5789"/>
    <n v="6579000000"/>
    <n v="973829.99999999953"/>
    <n v="10010"/>
    <n v="0"/>
    <n v="973830"/>
    <x v="0"/>
    <n v="65"/>
    <x v="99"/>
  </r>
  <r>
    <d v="2026-03-12T00:00:00"/>
    <x v="61"/>
    <s v="MOD 15"/>
    <n v="3"/>
    <s v="MOD 15"/>
    <n v="1802164"/>
    <x v="160"/>
    <s v="UND"/>
    <n v="1"/>
    <m/>
    <n v="1"/>
    <n v="138041"/>
    <n v="138041"/>
    <n v="138041"/>
    <n v="138041"/>
    <n v="0"/>
    <n v="0"/>
    <n v="0"/>
    <m/>
    <n v="308971"/>
    <n v="138041"/>
    <n v="5789"/>
    <n v="6579000000"/>
    <n v="138041"/>
    <n v="10010"/>
    <n v="0"/>
    <n v="138041"/>
    <x v="1"/>
    <n v="1"/>
    <x v="4"/>
  </r>
  <r>
    <d v="2026-03-13T00:00:00"/>
    <x v="62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046"/>
    <n v="2855219"/>
    <n v="5789"/>
    <n v="6579000000"/>
    <n v="20421.197059999999"/>
    <n v="10010"/>
    <n v="-9.6468390173490395E-6"/>
    <n v="20421.197"/>
    <x v="1"/>
    <n v="10"/>
    <x v="82"/>
  </r>
  <r>
    <d v="2026-03-13T00:00:00"/>
    <x v="62"/>
    <s v="STOCK"/>
    <n v="3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09046"/>
    <m/>
    <n v="5789"/>
    <n v="6579000000"/>
    <n v="20634.960000000003"/>
    <n v="10010"/>
    <n v="0"/>
    <n v="20634.900000000001"/>
    <x v="1"/>
    <n v="3000"/>
    <x v="4"/>
  </r>
  <r>
    <d v="2026-03-13T00:00:00"/>
    <x v="62"/>
    <s v="STOCK"/>
    <n v="3"/>
    <s v="STOCK"/>
    <n v="407423"/>
    <x v="70"/>
    <s v="UND"/>
    <n v="10000"/>
    <m/>
    <n v="10000"/>
    <n v="3.3879999999999999"/>
    <n v="33880"/>
    <n v="33880"/>
    <n v="106.6405"/>
    <n v="103.2525"/>
    <n v="1032525.0198"/>
    <n v="0.96822970694084709"/>
    <m/>
    <n v="309046"/>
    <m/>
    <n v="5789"/>
    <n v="6579000000"/>
    <n v="1066405.0198378379"/>
    <n v="10010"/>
    <n v="-0.96822970634983885"/>
    <n v="1066405"/>
    <x v="1"/>
    <n v="10000"/>
    <x v="63"/>
  </r>
  <r>
    <d v="2026-03-13T00:00:00"/>
    <x v="62"/>
    <s v="STOCK"/>
    <n v="3"/>
    <s v="STOCK"/>
    <n v="2302017"/>
    <x v="106"/>
    <s v="TIN"/>
    <n v="1"/>
    <m/>
    <n v="1"/>
    <n v="81198"/>
    <n v="81198"/>
    <n v="81198"/>
    <n v="81197.881599999993"/>
    <n v="-0.11840000000000001"/>
    <n v="-0.11840000000000001"/>
    <n v="-1.4584247485056449E-6"/>
    <m/>
    <n v="309046"/>
    <m/>
    <n v="5789"/>
    <n v="6579000000"/>
    <n v="81197.881578999979"/>
    <n v="10010"/>
    <n v="1.4581661205143925E-6"/>
    <n v="81197.881599999993"/>
    <x v="1"/>
    <n v="1"/>
    <x v="4"/>
  </r>
  <r>
    <d v="2026-03-13T00:00:00"/>
    <x v="62"/>
    <s v="STOCK"/>
    <n v="3"/>
    <s v="STOCK"/>
    <n v="907031"/>
    <x v="158"/>
    <s v="RLL"/>
    <n v="2"/>
    <m/>
    <n v="2"/>
    <n v="154915.5"/>
    <n v="309831"/>
    <n v="309831"/>
    <n v="156269.1667"/>
    <n v="1353.6667"/>
    <n v="2707.3332999999998"/>
    <n v="8.662404080547902E-3"/>
    <m/>
    <n v="309046"/>
    <m/>
    <n v="5789"/>
    <n v="6579000000"/>
    <n v="312538.33333400008"/>
    <n v="10010"/>
    <n v="-8.6624042898924697E-3"/>
    <n v="312538.3334"/>
    <x v="0"/>
    <n v="2"/>
    <x v="98"/>
  </r>
  <r>
    <d v="2026-03-13T00:00:00"/>
    <x v="62"/>
    <s v="STOCK"/>
    <n v="3"/>
    <s v="STOCK"/>
    <n v="1901008"/>
    <x v="6"/>
    <s v="M2"/>
    <n v="283"/>
    <m/>
    <n v="283"/>
    <n v="2091.7420000000002"/>
    <n v="591963"/>
    <n v="591963"/>
    <n v="2112.7957999999999"/>
    <n v="21.053699999999999"/>
    <n v="5958.2055"/>
    <n v="9.9648672812099204E-3"/>
    <m/>
    <n v="309046"/>
    <m/>
    <n v="5789"/>
    <n v="6579000000"/>
    <n v="597921.20545700006"/>
    <n v="10010"/>
    <n v="-9.9649005360573344E-3"/>
    <n v="597921.21139999991"/>
    <x v="0"/>
    <n v="283"/>
    <x v="6"/>
  </r>
  <r>
    <d v="2026-03-13T00:00:00"/>
    <x v="62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046"/>
    <m/>
    <n v="5789"/>
    <n v="6579000000"/>
    <n v="150703.97545999996"/>
    <n v="10010"/>
    <n v="-8.6099254893249089E-5"/>
    <n v="150703.9755"/>
    <x v="1"/>
    <n v="1"/>
    <x v="4"/>
  </r>
  <r>
    <d v="2026-03-13T00:00:00"/>
    <x v="62"/>
    <s v="STOCK"/>
    <n v="3"/>
    <s v="STOCK"/>
    <n v="609008"/>
    <x v="30"/>
    <s v="LTS"/>
    <n v="1"/>
    <m/>
    <n v="1"/>
    <n v="2395"/>
    <n v="2395"/>
    <n v="2395"/>
    <n v="2130.7573000000002"/>
    <n v="-264.24270000000001"/>
    <n v="-264.24270000000001"/>
    <n v="-0.12401350860553896"/>
    <m/>
    <n v="309046"/>
    <m/>
    <n v="5789"/>
    <n v="6579000000"/>
    <n v="2130.75731"/>
    <n v="10010"/>
    <n v="0.12401351388072201"/>
    <n v="2130.7573000000002"/>
    <x v="1"/>
    <n v="1"/>
    <x v="27"/>
  </r>
  <r>
    <d v="2026-03-13T00:00:00"/>
    <x v="62"/>
    <s v="STOCK"/>
    <n v="3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09046"/>
    <m/>
    <n v="5789"/>
    <n v="6579000000"/>
    <n v="2109.0585420000002"/>
    <n v="10010"/>
    <n v="8.0102804165934655E-2"/>
    <n v="2109.0585000000001"/>
    <x v="1"/>
    <n v="1"/>
    <x v="28"/>
  </r>
  <r>
    <d v="2026-03-13T00:00:00"/>
    <x v="62"/>
    <s v="STOCK"/>
    <n v="3"/>
    <s v="STOCK"/>
    <n v="701096"/>
    <x v="135"/>
    <s v="PL"/>
    <n v="70"/>
    <m/>
    <n v="70"/>
    <n v="16542.171399999999"/>
    <n v="1157952"/>
    <n v="1157952"/>
    <n v="16019.885700000001"/>
    <n v="-522.28570000000002"/>
    <n v="-36560.002"/>
    <n v="-3.260233898300921E-2"/>
    <m/>
    <n v="309046"/>
    <m/>
    <n v="5789"/>
    <n v="6579000000"/>
    <n v="1121391.9979500002"/>
    <n v="10010"/>
    <n v="3.2602336232648556E-2"/>
    <n v="1121391.9990000001"/>
    <x v="0"/>
    <n v="70"/>
    <x v="94"/>
  </r>
  <r>
    <d v="2026-03-13T00:00:00"/>
    <x v="62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09046"/>
    <m/>
    <n v="5789"/>
    <n v="6579000000"/>
    <n v="453321.13050000009"/>
    <n v="10010"/>
    <n v="6.7620643634268493E-2"/>
    <n v="453321.13320000004"/>
    <x v="0"/>
    <n v="108"/>
    <x v="12"/>
  </r>
  <r>
    <d v="2026-03-13T00:00:00"/>
    <x v="62"/>
    <s v="STOCK"/>
    <n v="3"/>
    <s v="STOCK"/>
    <n v="2302119"/>
    <x v="44"/>
    <s v="UND"/>
    <n v="12"/>
    <m/>
    <n v="12"/>
    <n v="3670.8332999999998"/>
    <n v="44050"/>
    <n v="44050"/>
    <n v="3671"/>
    <n v="0.16669999999999999"/>
    <n v="2"/>
    <n v="4.5400889857399923E-5"/>
    <m/>
    <n v="309058"/>
    <n v="7231626"/>
    <n v="5789"/>
    <n v="6579000000"/>
    <n v="44052"/>
    <n v="10010"/>
    <n v="-4.5409970035472349E-5"/>
    <n v="44052"/>
    <x v="1"/>
    <n v="12"/>
    <x v="40"/>
  </r>
  <r>
    <d v="2026-03-13T00:00:00"/>
    <x v="62"/>
    <s v="STOCK"/>
    <n v="3"/>
    <s v="STOCK"/>
    <n v="412280"/>
    <x v="15"/>
    <s v="UND"/>
    <n v="95"/>
    <m/>
    <n v="95"/>
    <n v="39389.852599999998"/>
    <n v="3742036"/>
    <n v="3742036"/>
    <n v="40002.920100000003"/>
    <n v="613.0675"/>
    <n v="58241.408799999997"/>
    <n v="1.532556773344979E-2"/>
    <m/>
    <n v="309058"/>
    <m/>
    <n v="5789"/>
    <n v="6579000000"/>
    <n v="3800277.4088349999"/>
    <n v="10010"/>
    <n v="-1.5325568695171446E-2"/>
    <n v="3800277.4095000001"/>
    <x v="0"/>
    <n v="95"/>
    <x v="13"/>
  </r>
  <r>
    <d v="2026-03-13T00:00:00"/>
    <x v="62"/>
    <s v="STOCK"/>
    <n v="3"/>
    <s v="STOCK"/>
    <n v="412260"/>
    <x v="16"/>
    <s v="UND"/>
    <n v="20"/>
    <m/>
    <n v="20"/>
    <n v="86966.25"/>
    <n v="1739325"/>
    <n v="1739325"/>
    <n v="87567.442500000005"/>
    <n v="601.1925"/>
    <n v="12023.8496"/>
    <n v="6.8654794634549626E-3"/>
    <m/>
    <n v="309058"/>
    <m/>
    <n v="5789"/>
    <n v="6579000000"/>
    <n v="1751348.8495599995"/>
    <n v="10010"/>
    <n v="-6.8654797129652908E-3"/>
    <n v="1751348.85"/>
    <x v="0"/>
    <n v="20"/>
    <x v="14"/>
  </r>
  <r>
    <d v="2026-03-13T00:00:00"/>
    <x v="62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058"/>
    <m/>
    <n v="5789"/>
    <n v="6579000000"/>
    <n v="350000.00000000029"/>
    <n v="10010"/>
    <n v="0"/>
    <n v="350000"/>
    <x v="1"/>
    <n v="10"/>
    <x v="89"/>
  </r>
  <r>
    <d v="2026-03-13T00:00:00"/>
    <x v="62"/>
    <s v="STOCK"/>
    <n v="3"/>
    <s v="STOCK"/>
    <n v="1902003"/>
    <x v="105"/>
    <s v="RLL"/>
    <n v="9"/>
    <m/>
    <n v="9"/>
    <n v="150690.55559999999"/>
    <n v="1356215"/>
    <n v="1356215"/>
    <n v="150703.9755"/>
    <n v="13.4199"/>
    <n v="120.7791"/>
    <n v="8.904811172653985E-5"/>
    <m/>
    <n v="309058"/>
    <m/>
    <n v="5789"/>
    <n v="6579000000"/>
    <n v="1356335.7791399995"/>
    <n v="10010"/>
    <n v="-8.9048082212058537E-5"/>
    <n v="1356335.7794999999"/>
    <x v="1"/>
    <n v="9"/>
    <x v="4"/>
  </r>
  <r>
    <d v="2026-03-17T00:00:00"/>
    <x v="63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344"/>
    <n v="5816811"/>
    <n v="5832"/>
    <n v="6579000000"/>
    <n v="212129.99999999997"/>
    <n v="10010"/>
    <n v="0"/>
    <n v="212130"/>
    <x v="1"/>
    <n v="10"/>
    <x v="5"/>
  </r>
  <r>
    <d v="2026-03-17T00:00:00"/>
    <x v="63"/>
    <s v="STOCK"/>
    <n v="3"/>
    <s v="STOCK"/>
    <n v="5309018"/>
    <x v="77"/>
    <s v="MTS"/>
    <n v="300"/>
    <m/>
    <n v="300"/>
    <n v="700"/>
    <n v="210000"/>
    <n v="210000"/>
    <n v="699.99919999999997"/>
    <n v="-8.0000000000000004E-4"/>
    <n v="-0.23039999999999999"/>
    <n v="-1.0971440602079328E-6"/>
    <m/>
    <n v="309344"/>
    <m/>
    <n v="5832"/>
    <n v="6579000000"/>
    <n v="209999.76960000017"/>
    <n v="10010"/>
    <n v="1.1428584490190236E-6"/>
    <n v="209999.75999999998"/>
    <x v="1"/>
    <n v="300"/>
    <x v="4"/>
  </r>
  <r>
    <d v="2026-03-17T00:00:00"/>
    <x v="63"/>
    <s v="STOCK"/>
    <n v="3"/>
    <s v="STOCK"/>
    <n v="2508169"/>
    <x v="161"/>
    <s v="KIT"/>
    <n v="1"/>
    <m/>
    <n v="1"/>
    <n v="13952"/>
    <n v="13952"/>
    <n v="13952"/>
    <n v="13952"/>
    <n v="0"/>
    <n v="0"/>
    <n v="0"/>
    <m/>
    <n v="309344"/>
    <m/>
    <n v="5832"/>
    <n v="6579000000"/>
    <n v="13952"/>
    <n v="10010"/>
    <n v="0"/>
    <n v="13952"/>
    <x v="1"/>
    <n v="1"/>
    <x v="4"/>
  </r>
  <r>
    <d v="2026-03-17T00:00:00"/>
    <x v="63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344"/>
    <m/>
    <n v="5832"/>
    <n v="6579000000"/>
    <n v="350000.00000000029"/>
    <n v="10010"/>
    <n v="0"/>
    <n v="350000"/>
    <x v="1"/>
    <n v="10"/>
    <x v="89"/>
  </r>
  <r>
    <d v="2026-03-17T00:00:00"/>
    <x v="63"/>
    <s v="STOCK"/>
    <n v="3"/>
    <s v="STOCK"/>
    <n v="302054"/>
    <x v="162"/>
    <s v="PZA"/>
    <n v="864"/>
    <m/>
    <n v="864"/>
    <n v="5712.89"/>
    <n v="4935937"/>
    <n v="4935937"/>
    <n v="5713"/>
    <n v="0.11"/>
    <n v="95"/>
    <n v="1.924622854953053E-5"/>
    <m/>
    <n v="309344"/>
    <m/>
    <n v="5832"/>
    <n v="6579000000"/>
    <n v="4936032"/>
    <n v="10010"/>
    <n v="-1.9254332224693257E-5"/>
    <n v="4936032"/>
    <x v="0"/>
    <n v="864"/>
    <x v="4"/>
  </r>
  <r>
    <d v="2026-03-17T00:00:00"/>
    <x v="63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09344"/>
    <m/>
    <n v="5832"/>
    <n v="6579000000"/>
    <n v="94811.586850000007"/>
    <n v="10010"/>
    <n v="-2.0656758348683237E-4"/>
    <n v="94811.585000000006"/>
    <x v="1"/>
    <n v="50"/>
    <x v="7"/>
  </r>
  <r>
    <d v="2026-03-18T00:00:00"/>
    <x v="64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476"/>
    <n v="6072957"/>
    <n v="5832"/>
    <n v="6579000000"/>
    <n v="917083.44828000001"/>
    <n v="10010"/>
    <n v="-6.0882660265830701E-3"/>
    <n v="917083.44800000009"/>
    <x v="0"/>
    <n v="40"/>
    <x v="38"/>
  </r>
  <r>
    <d v="2026-03-18T00:00:00"/>
    <x v="64"/>
    <s v="STOCK"/>
    <n v="3"/>
    <s v="STOCK"/>
    <n v="302028"/>
    <x v="72"/>
    <s v="PZA"/>
    <n v="240"/>
    <m/>
    <n v="240"/>
    <n v="5100.4542000000001"/>
    <n v="1224109"/>
    <n v="1224109"/>
    <n v="5123.8024999999998"/>
    <n v="23.348400000000002"/>
    <n v="5603.6064999999999"/>
    <n v="4.5568423471241274E-3"/>
    <m/>
    <n v="309476"/>
    <m/>
    <n v="5832"/>
    <n v="6579000000"/>
    <n v="1229712.6064800003"/>
    <n v="10010"/>
    <n v="-4.5568305960270042E-3"/>
    <n v="1229712.5999999999"/>
    <x v="0"/>
    <n v="240"/>
    <x v="65"/>
  </r>
  <r>
    <d v="2026-03-18T00:00:00"/>
    <x v="64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476"/>
    <m/>
    <n v="5832"/>
    <n v="6579000000"/>
    <n v="476280"/>
    <n v="10010"/>
    <n v="-1.9597715419501168E-2"/>
    <n v="476280"/>
    <x v="1"/>
    <n v="9"/>
    <x v="100"/>
  </r>
  <r>
    <d v="2026-03-18T00:00:00"/>
    <x v="64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476"/>
    <m/>
    <n v="5832"/>
    <n v="6579000000"/>
    <n v="466856.99999999994"/>
    <n v="10010"/>
    <n v="5.6119946793133037E-4"/>
    <n v="466857"/>
    <x v="0"/>
    <n v="9"/>
    <x v="57"/>
  </r>
  <r>
    <d v="2026-03-18T00:00:00"/>
    <x v="64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476"/>
    <m/>
    <n v="5832"/>
    <n v="6579000000"/>
    <n v="150703.97545999996"/>
    <n v="10010"/>
    <n v="-8.6099254893249089E-5"/>
    <n v="150703.9755"/>
    <x v="1"/>
    <n v="1"/>
    <x v="4"/>
  </r>
  <r>
    <d v="2026-03-18T00:00:00"/>
    <x v="64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476"/>
    <m/>
    <n v="5832"/>
    <n v="6579000000"/>
    <n v="709762.85999999987"/>
    <n v="10010"/>
    <n v="2.1133821040261184E-7"/>
    <n v="709762.8"/>
    <x v="0"/>
    <n v="1500"/>
    <x v="8"/>
  </r>
  <r>
    <d v="2026-03-18T00:00:00"/>
    <x v="64"/>
    <s v="STOCK"/>
    <n v="3"/>
    <s v="STOCK"/>
    <n v="2302017"/>
    <x v="106"/>
    <s v="TIN"/>
    <n v="2"/>
    <m/>
    <n v="2"/>
    <n v="81199"/>
    <n v="162398"/>
    <n v="162398"/>
    <n v="81197.881599999993"/>
    <n v="-1.1184000000000001"/>
    <n v="-2.2368000000000001"/>
    <n v="-1.3774016985072414E-5"/>
    <m/>
    <n v="309476"/>
    <m/>
    <n v="5832"/>
    <n v="6579000000"/>
    <n v="162395.76315799996"/>
    <n v="10010"/>
    <n v="1.3773758353896009E-5"/>
    <n v="162395.76319999999"/>
    <x v="1"/>
    <n v="2"/>
    <x v="4"/>
  </r>
  <r>
    <d v="2026-03-18T00:00:00"/>
    <x v="64"/>
    <s v="STOCK"/>
    <n v="3"/>
    <s v="STOCK"/>
    <n v="907031"/>
    <x v="158"/>
    <s v="RLL"/>
    <n v="2"/>
    <m/>
    <n v="2"/>
    <n v="154915.5"/>
    <n v="309831"/>
    <n v="309831"/>
    <n v="156269.1667"/>
    <n v="1353.6667"/>
    <n v="2707.3332999999998"/>
    <n v="8.662404080547902E-3"/>
    <m/>
    <n v="309476"/>
    <m/>
    <n v="5832"/>
    <n v="6579000000"/>
    <n v="312538.33333400008"/>
    <n v="10010"/>
    <n v="-8.6624042898924697E-3"/>
    <n v="312538.3334"/>
    <x v="0"/>
    <n v="2"/>
    <x v="98"/>
  </r>
  <r>
    <d v="2026-03-18T00:00:00"/>
    <x v="64"/>
    <s v="STOCK"/>
    <n v="3"/>
    <s v="STOCK"/>
    <n v="1902013"/>
    <x v="144"/>
    <s v="RLL"/>
    <n v="30"/>
    <m/>
    <n v="30"/>
    <n v="39090"/>
    <n v="1172700"/>
    <n v="1172700"/>
    <n v="29779"/>
    <n v="-9311"/>
    <n v="-279330"/>
    <n v="-0.31267000235064979"/>
    <m/>
    <n v="309476"/>
    <m/>
    <n v="5832"/>
    <n v="6579000000"/>
    <n v="893370"/>
    <n v="10010"/>
    <n v="0.31267000235064979"/>
    <n v="893370"/>
    <x v="0"/>
    <n v="30"/>
    <x v="4"/>
  </r>
  <r>
    <d v="2026-03-18T00:00:00"/>
    <x v="64"/>
    <s v="STOCK"/>
    <n v="3"/>
    <s v="STOCK"/>
    <n v="617016"/>
    <x v="93"/>
    <s v="UND"/>
    <n v="12"/>
    <m/>
    <n v="12"/>
    <n v="2864.5832999999998"/>
    <n v="34375"/>
    <n v="34375"/>
    <n v="2857.5133000000001"/>
    <n v="-7.0701000000000001"/>
    <n v="-84.840699999999998"/>
    <n v="-2.4741999967813886E-3"/>
    <m/>
    <n v="309476"/>
    <m/>
    <n v="5832"/>
    <n v="6579000000"/>
    <n v="34290.159287999995"/>
    <n v="10010"/>
    <n v="2.4741792102943873E-3"/>
    <n v="34290.159599999999"/>
    <x v="1"/>
    <n v="12"/>
    <x v="81"/>
  </r>
  <r>
    <d v="2026-03-18T00:00:00"/>
    <x v="64"/>
    <s v="STOCK"/>
    <n v="3"/>
    <s v="STOCK"/>
    <n v="2304053"/>
    <x v="141"/>
    <s v="UND"/>
    <n v="12"/>
    <m/>
    <n v="12"/>
    <n v="893.5"/>
    <n v="10722"/>
    <n v="10722"/>
    <n v="862"/>
    <n v="-31.5"/>
    <n v="-378"/>
    <n v="-3.6542923433874573E-2"/>
    <m/>
    <n v="309476"/>
    <m/>
    <n v="5832"/>
    <n v="6579000000"/>
    <n v="10344.000000000002"/>
    <n v="10010"/>
    <n v="3.6542923433874712E-2"/>
    <n v="10344"/>
    <x v="1"/>
    <n v="12"/>
    <x v="4"/>
  </r>
  <r>
    <d v="2026-03-18T00:00:00"/>
    <x v="64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476"/>
    <m/>
    <n v="5832"/>
    <n v="6579000000"/>
    <n v="20421.197059999999"/>
    <n v="10010"/>
    <n v="-9.6468390173490395E-6"/>
    <n v="20421.197"/>
    <x v="1"/>
    <n v="10"/>
    <x v="82"/>
  </r>
  <r>
    <d v="2026-03-18T00:00:00"/>
    <x v="64"/>
    <s v="STOCK"/>
    <n v="3"/>
    <s v="STOCK"/>
    <n v="2302119"/>
    <x v="44"/>
    <s v="UND"/>
    <n v="60"/>
    <m/>
    <n v="60"/>
    <n v="3670.8667"/>
    <n v="220252"/>
    <n v="220252"/>
    <n v="3671"/>
    <n v="0.1333"/>
    <n v="8"/>
    <n v="3.6320711885919928E-5"/>
    <m/>
    <n v="309476"/>
    <m/>
    <n v="5832"/>
    <n v="6579000000"/>
    <n v="220260"/>
    <n v="10010"/>
    <n v="-3.6311631707971365E-5"/>
    <n v="220260"/>
    <x v="1"/>
    <n v="60"/>
    <x v="40"/>
  </r>
  <r>
    <d v="2026-03-18T00:00:00"/>
    <x v="64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476"/>
    <m/>
    <n v="5832"/>
    <n v="6579000000"/>
    <n v="212129.99999999997"/>
    <n v="10010"/>
    <n v="0"/>
    <n v="212130"/>
    <x v="1"/>
    <n v="10"/>
    <x v="5"/>
  </r>
  <r>
    <d v="2026-03-19T00:00:00"/>
    <x v="65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9584"/>
    <n v="110819"/>
    <n v="5832"/>
    <n v="6579000000"/>
    <n v="110819.45454599996"/>
    <n v="10010"/>
    <n v="-4.1012654469409861E-6"/>
    <n v="110819.4546"/>
    <x v="0"/>
    <n v="3"/>
    <x v="45"/>
  </r>
  <r>
    <d v="2026-03-19T00:00:00"/>
    <x v="65"/>
    <s v="STOCK"/>
    <n v="3"/>
    <s v="STOCK"/>
    <n v="304007"/>
    <x v="49"/>
    <s v="PL"/>
    <n v="216"/>
    <m/>
    <n v="216"/>
    <n v="11336.4167"/>
    <n v="2448666"/>
    <n v="2448666"/>
    <n v="11444.352999999999"/>
    <n v="107.93640000000001"/>
    <n v="23314.252799999998"/>
    <n v="9.4314073609787028E-3"/>
    <m/>
    <n v="309565"/>
    <n v="10478056"/>
    <n v="5832"/>
    <n v="6579000000"/>
    <n v="2471980.2527519991"/>
    <n v="10010"/>
    <n v="-9.4314025441193054E-3"/>
    <n v="2471980.2479999997"/>
    <x v="0"/>
    <n v="216"/>
    <x v="43"/>
  </r>
  <r>
    <d v="2026-03-19T00:00:00"/>
    <x v="65"/>
    <s v="STOCK"/>
    <n v="3"/>
    <s v="STOCK"/>
    <n v="304101"/>
    <x v="0"/>
    <s v="PL"/>
    <n v="252"/>
    <m/>
    <n v="252"/>
    <n v="9624.9127000000008"/>
    <n v="2425478"/>
    <n v="2425478"/>
    <n v="9657.5879999999997"/>
    <n v="32.6753"/>
    <n v="8234.1633999999995"/>
    <n v="3.3833760310002414E-3"/>
    <m/>
    <n v="309565"/>
    <m/>
    <n v="5832"/>
    <n v="6579000000"/>
    <n v="2433712.1634000018"/>
    <n v="10010"/>
    <n v="-3.3833810264011026E-3"/>
    <n v="2433712.176"/>
    <x v="0"/>
    <n v="252"/>
    <x v="0"/>
  </r>
  <r>
    <d v="2026-03-19T00:00:00"/>
    <x v="65"/>
    <s v="STOCK"/>
    <n v="3"/>
    <s v="STOCK"/>
    <n v="701043"/>
    <x v="132"/>
    <s v="PL"/>
    <n v="70"/>
    <m/>
    <n v="70"/>
    <n v="22428.3714"/>
    <n v="1569986"/>
    <n v="1569986"/>
    <n v="22146.362799999999"/>
    <n v="-282.00869999999998"/>
    <n v="-19740.606"/>
    <n v="-1.2733858804479373E-2"/>
    <m/>
    <n v="309565"/>
    <m/>
    <n v="5832"/>
    <n v="6579000000"/>
    <n v="1550245.3940399999"/>
    <n v="10010"/>
    <n v="1.2733856233945604E-2"/>
    <n v="1550245.3959999999"/>
    <x v="0"/>
    <n v="70"/>
    <x v="93"/>
  </r>
  <r>
    <d v="2026-03-19T00:00:00"/>
    <x v="65"/>
    <s v="STOCK"/>
    <n v="3"/>
    <s v="STOCK"/>
    <n v="701096"/>
    <x v="135"/>
    <s v="PL"/>
    <n v="70"/>
    <m/>
    <n v="70"/>
    <n v="16650.114300000001"/>
    <n v="1165508"/>
    <n v="1165508"/>
    <n v="16019.885700000001"/>
    <n v="-630.22860000000003"/>
    <n v="-44116.002"/>
    <n v="-3.9340393128047539E-2"/>
    <m/>
    <n v="309565"/>
    <m/>
    <n v="5832"/>
    <n v="6579000000"/>
    <n v="1121391.9979500002"/>
    <n v="10010"/>
    <n v="3.9340393046624567E-2"/>
    <n v="1121391.9990000001"/>
    <x v="0"/>
    <n v="70"/>
    <x v="94"/>
  </r>
  <r>
    <d v="2026-03-19T00:00:00"/>
    <x v="65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565"/>
    <m/>
    <n v="5832"/>
    <n v="6579000000"/>
    <n v="917083.44828000001"/>
    <n v="10010"/>
    <n v="-6.0882660265830701E-3"/>
    <n v="917083.44800000009"/>
    <x v="0"/>
    <n v="40"/>
    <x v="38"/>
  </r>
  <r>
    <d v="2026-03-19T00:00:00"/>
    <x v="65"/>
    <s v="STOCK"/>
    <n v="3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09565"/>
    <m/>
    <n v="5832"/>
    <n v="6579000000"/>
    <n v="162395.76315799996"/>
    <n v="10010"/>
    <n v="1.9931554470586818E-5"/>
    <n v="162395.76319999999"/>
    <x v="1"/>
    <n v="2"/>
    <x v="4"/>
  </r>
  <r>
    <d v="2026-03-19T00:00:00"/>
    <x v="65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565"/>
    <m/>
    <n v="5832"/>
    <n v="6579000000"/>
    <n v="709762.85999999987"/>
    <n v="10010"/>
    <n v="2.1133821040261184E-7"/>
    <n v="709762.8"/>
    <x v="0"/>
    <n v="1500"/>
    <x v="8"/>
  </r>
  <r>
    <d v="2026-03-19T00:00:00"/>
    <x v="65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565"/>
    <m/>
    <n v="5832"/>
    <n v="6579000000"/>
    <n v="150703.97545999996"/>
    <n v="10010"/>
    <n v="-8.6099254893249089E-5"/>
    <n v="150703.9755"/>
    <x v="1"/>
    <n v="1"/>
    <x v="4"/>
  </r>
  <r>
    <d v="2026-03-19T00:00:00"/>
    <x v="65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565"/>
    <m/>
    <n v="5832"/>
    <n v="6579000000"/>
    <n v="466856.99999999994"/>
    <n v="10010"/>
    <n v="5.6119946793133037E-4"/>
    <n v="466857"/>
    <x v="0"/>
    <n v="9"/>
    <x v="57"/>
  </r>
  <r>
    <d v="2026-03-19T00:00:00"/>
    <x v="65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565"/>
    <m/>
    <n v="5832"/>
    <n v="6579000000"/>
    <n v="476280"/>
    <n v="10010"/>
    <n v="-1.9597715419501168E-2"/>
    <n v="476280"/>
    <x v="1"/>
    <n v="9"/>
    <x v="100"/>
  </r>
  <r>
    <d v="2026-03-20T00:00:00"/>
    <x v="66"/>
    <s v="STOCK"/>
    <n v="3"/>
    <s v="STOCK"/>
    <n v="1801230"/>
    <x v="24"/>
    <s v="UND"/>
    <n v="19"/>
    <m/>
    <n v="19"/>
    <n v="3982.0526"/>
    <n v="75659"/>
    <n v="75659"/>
    <n v="9309.8462"/>
    <n v="5327.7934999999998"/>
    <n v="101228.0769"/>
    <n v="0.5722751412097129"/>
    <m/>
    <n v="309748"/>
    <n v="75659"/>
    <n v="5832"/>
    <n v="6579000000"/>
    <n v="176887.07692600001"/>
    <n v="10010"/>
    <n v="-0.57227514671509827"/>
    <n v="176887.0778"/>
    <x v="1"/>
    <n v="19"/>
    <x v="21"/>
  </r>
  <r>
    <d v="2026-03-20T00:00:00"/>
    <x v="66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9738"/>
    <n v="27811279"/>
    <n v="5832"/>
    <n v="6579000000"/>
    <n v="1191160.0000000002"/>
    <n v="10010"/>
    <n v="0"/>
    <n v="1191160"/>
    <x v="0"/>
    <n v="40"/>
    <x v="97"/>
  </r>
  <r>
    <d v="2026-03-20T00:00:00"/>
    <x v="66"/>
    <s v="STOCK"/>
    <n v="3"/>
    <s v="STOCK"/>
    <n v="302054"/>
    <x v="162"/>
    <s v="PZA"/>
    <n v="1296"/>
    <m/>
    <n v="1296"/>
    <n v="5712.8896999999997"/>
    <n v="7403905"/>
    <n v="7403905"/>
    <n v="5713"/>
    <n v="0.1103"/>
    <n v="143"/>
    <n v="1.9313759176045809E-5"/>
    <m/>
    <n v="309738"/>
    <m/>
    <n v="5832"/>
    <n v="6579000000"/>
    <n v="7404048"/>
    <n v="10010"/>
    <n v="-1.9306844039957885E-5"/>
    <n v="7404048"/>
    <x v="0"/>
    <n v="1296"/>
    <x v="4"/>
  </r>
  <r>
    <d v="2026-03-20T00:00:00"/>
    <x v="66"/>
    <s v="STOCK"/>
    <n v="3"/>
    <s v="STOCK"/>
    <n v="302248"/>
    <x v="145"/>
    <s v="PZA"/>
    <n v="768"/>
    <m/>
    <n v="768"/>
    <n v="2342.1745000000001"/>
    <n v="1798790"/>
    <n v="1798790"/>
    <n v="2342.1750999999999"/>
    <n v="6.9999999999999999E-4"/>
    <n v="0.50519999999999998"/>
    <n v="2.8086428007453636E-7"/>
    <m/>
    <n v="309738"/>
    <m/>
    <n v="5832"/>
    <n v="6579000000"/>
    <n v="1798790.5052159999"/>
    <n v="10010"/>
    <n v="-2.5617213668157762E-7"/>
    <n v="1798790.4767999998"/>
    <x v="1"/>
    <n v="768"/>
    <x v="4"/>
  </r>
  <r>
    <d v="2026-03-20T00:00:00"/>
    <x v="66"/>
    <s v="STOCK"/>
    <n v="3"/>
    <s v="STOCK"/>
    <n v="302046"/>
    <x v="78"/>
    <s v="PZA"/>
    <n v="541"/>
    <m/>
    <n v="541"/>
    <n v="10251.0129"/>
    <n v="5545798"/>
    <n v="5545798"/>
    <n v="10156.5985"/>
    <n v="-94.414500000000004"/>
    <n v="-51078.229399999997"/>
    <n v="-9.2958752193079731E-3"/>
    <m/>
    <n v="309738"/>
    <m/>
    <n v="5832"/>
    <n v="6579000000"/>
    <n v="5494719.7706470005"/>
    <n v="10010"/>
    <n v="9.2958680999351961E-3"/>
    <n v="5494719.7884999998"/>
    <x v="0"/>
    <n v="541"/>
    <x v="46"/>
  </r>
  <r>
    <d v="2026-03-20T00:00:00"/>
    <x v="66"/>
    <s v="STOCK"/>
    <n v="3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09738"/>
    <m/>
    <n v="5832"/>
    <n v="6579000000"/>
    <n v="2459425.2129600006"/>
    <n v="10010"/>
    <n v="-3.2867113828060283E-2"/>
    <n v="2459425.1999999997"/>
    <x v="0"/>
    <n v="480"/>
    <x v="65"/>
  </r>
  <r>
    <d v="2026-03-20T00:00:00"/>
    <x v="66"/>
    <s v="STOCK"/>
    <n v="3"/>
    <s v="STOCK"/>
    <n v="302010"/>
    <x v="136"/>
    <s v="PZA"/>
    <n v="336"/>
    <m/>
    <n v="336"/>
    <n v="6526.0505999999996"/>
    <n v="2192753"/>
    <n v="2192753"/>
    <n v="6585.1337000000003"/>
    <n v="59.083100000000002"/>
    <n v="19851.938300000002"/>
    <n v="8.9722019399769322E-3"/>
    <m/>
    <n v="309738"/>
    <m/>
    <n v="5832"/>
    <n v="6579000000"/>
    <n v="2212604.9383199974"/>
    <n v="10010"/>
    <n v="-8.9721944445867122E-3"/>
    <n v="2212604.9232000001"/>
    <x v="0"/>
    <n v="336"/>
    <x v="95"/>
  </r>
  <r>
    <d v="2026-03-20T00:00:00"/>
    <x v="66"/>
    <s v="STOCK"/>
    <n v="3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09738"/>
    <m/>
    <n v="5832"/>
    <n v="6579000000"/>
    <n v="221638.90909199993"/>
    <n v="10010"/>
    <n v="4.0877299165732523E-7"/>
    <n v="221638.90919999999"/>
    <x v="0"/>
    <n v="6"/>
    <x v="45"/>
  </r>
  <r>
    <d v="2026-03-20T00:00:00"/>
    <x v="66"/>
    <s v="STOCK"/>
    <n v="3"/>
    <s v="STOCK"/>
    <n v="2505058"/>
    <x v="99"/>
    <s v="UND"/>
    <n v="24"/>
    <m/>
    <n v="24"/>
    <n v="16867.458299999998"/>
    <n v="404819"/>
    <n v="404819"/>
    <n v="17870.144100000001"/>
    <n v="1002.6857"/>
    <n v="24064.457600000002"/>
    <n v="5.6109549584559576E-2"/>
    <m/>
    <n v="309738"/>
    <m/>
    <n v="5832"/>
    <n v="6579000000"/>
    <n v="428883.45763199998"/>
    <n v="10010"/>
    <n v="-5.6109553140089273E-2"/>
    <n v="428883.4584"/>
    <x v="1"/>
    <n v="24"/>
    <x v="87"/>
  </r>
  <r>
    <d v="2026-03-20T00:00:00"/>
    <x v="66"/>
    <s v="STOCK"/>
    <n v="3"/>
    <s v="STOCK"/>
    <n v="1902013"/>
    <x v="144"/>
    <s v="RLL"/>
    <n v="10"/>
    <m/>
    <n v="10"/>
    <n v="39090"/>
    <n v="390900"/>
    <n v="390900"/>
    <n v="29779"/>
    <n v="-9311"/>
    <n v="-93110"/>
    <n v="-0.31267000235064979"/>
    <m/>
    <n v="309738"/>
    <m/>
    <n v="5832"/>
    <n v="6579000000"/>
    <n v="297790"/>
    <n v="10010"/>
    <n v="0.31267000235064979"/>
    <n v="297790"/>
    <x v="0"/>
    <n v="10"/>
    <x v="4"/>
  </r>
  <r>
    <d v="2026-03-20T00:00:00"/>
    <x v="66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09738"/>
    <m/>
    <n v="5832"/>
    <n v="6579000000"/>
    <n v="570454.86033000005"/>
    <n v="10010"/>
    <n v="-6.758618130535847E-2"/>
    <n v="570454.86599999992"/>
    <x v="1"/>
    <n v="270"/>
    <x v="101"/>
  </r>
  <r>
    <d v="2026-03-20T00:00:00"/>
    <x v="66"/>
    <s v="STOCK"/>
    <n v="3"/>
    <s v="STOCK"/>
    <n v="1901038"/>
    <x v="14"/>
    <s v="M2"/>
    <n v="81"/>
    <m/>
    <n v="81"/>
    <n v="4481.2469000000001"/>
    <n v="362981"/>
    <n v="362981"/>
    <n v="4197.4179000000004"/>
    <n v="-283.82900000000001"/>
    <n v="-22990.152099999999"/>
    <n v="-6.7619914679151544E-2"/>
    <m/>
    <n v="309738"/>
    <m/>
    <n v="5832"/>
    <n v="6579000000"/>
    <n v="339990.84787500009"/>
    <n v="10010"/>
    <n v="6.7619905084980864E-2"/>
    <n v="339990.84990000003"/>
    <x v="0"/>
    <n v="81"/>
    <x v="12"/>
  </r>
  <r>
    <d v="2026-03-20T00:00:00"/>
    <x v="66"/>
    <s v="STOCK"/>
    <n v="3"/>
    <s v="STOCK"/>
    <n v="1901008"/>
    <x v="6"/>
    <s v="M2"/>
    <n v="135"/>
    <m/>
    <n v="135"/>
    <n v="2066.8741"/>
    <n v="279028"/>
    <n v="279028"/>
    <n v="2112.7957999999999"/>
    <n v="45.921700000000001"/>
    <n v="6199.4301999999998"/>
    <n v="2.1735041967785921E-2"/>
    <m/>
    <n v="309738"/>
    <m/>
    <n v="5832"/>
    <n v="6579000000"/>
    <n v="285227.43016500003"/>
    <n v="10010"/>
    <n v="-2.1735039420278986E-2"/>
    <n v="285227.43299999996"/>
    <x v="0"/>
    <n v="135"/>
    <x v="6"/>
  </r>
  <r>
    <d v="2026-03-20T00:00:00"/>
    <x v="66"/>
    <s v="STOCK"/>
    <n v="3"/>
    <s v="STOCK"/>
    <n v="412301"/>
    <x v="166"/>
    <s v="UND"/>
    <n v="250"/>
    <m/>
    <n v="250"/>
    <n v="388.76"/>
    <n v="97190"/>
    <n v="97190"/>
    <n v="388.75979999999998"/>
    <n v="-2.0000000000000001E-4"/>
    <n v="-5.7500000000000002E-2"/>
    <n v="-5.9162500273045235E-7"/>
    <m/>
    <n v="309738"/>
    <m/>
    <n v="5832"/>
    <n v="6579000000"/>
    <n v="97189.942500000005"/>
    <n v="10010"/>
    <n v="5.1445648445811355E-7"/>
    <n v="97189.95"/>
    <x v="1"/>
    <n v="250"/>
    <x v="4"/>
  </r>
  <r>
    <d v="2026-03-20T00:00:00"/>
    <x v="66"/>
    <s v="STOCK"/>
    <n v="3"/>
    <s v="STOCK"/>
    <n v="408014"/>
    <x v="73"/>
    <s v="CJA"/>
    <n v="3"/>
    <m/>
    <n v="3"/>
    <n v="16182"/>
    <n v="48546"/>
    <n v="48546"/>
    <n v="16182.1068"/>
    <n v="0.10680000000000001"/>
    <n v="0.32029999999999997"/>
    <n v="6.5975340279806539E-6"/>
    <m/>
    <n v="309738"/>
    <m/>
    <n v="5832"/>
    <n v="6579000000"/>
    <n v="48546.320286000016"/>
    <n v="10010"/>
    <n v="-6.5998822847693946E-6"/>
    <n v="48546.320399999997"/>
    <x v="1"/>
    <n v="3"/>
    <x v="66"/>
  </r>
  <r>
    <d v="2026-03-20T00:00:00"/>
    <x v="66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09738"/>
    <m/>
    <n v="5832"/>
    <n v="6579000000"/>
    <n v="959764.51785405388"/>
    <n v="10010"/>
    <n v="-0.96822970634983885"/>
    <n v="959764.5"/>
    <x v="1"/>
    <n v="9000"/>
    <x v="63"/>
  </r>
  <r>
    <d v="2026-03-20T00:00:00"/>
    <x v="66"/>
    <s v="STOCK"/>
    <n v="3"/>
    <s v="STOCK"/>
    <n v="407307"/>
    <x v="111"/>
    <s v="UND"/>
    <n v="320"/>
    <m/>
    <n v="320"/>
    <n v="68.871899999999997"/>
    <n v="22039"/>
    <n v="22039"/>
    <n v="69.472800000000007"/>
    <n v="0.60089999999999999"/>
    <n v="192.28800000000001"/>
    <n v="8.6494313779749803E-3"/>
    <m/>
    <n v="309738"/>
    <m/>
    <n v="5832"/>
    <n v="6579000000"/>
    <n v="22231.288"/>
    <n v="10010"/>
    <n v="-8.649428265450794E-3"/>
    <n v="22231.296000000002"/>
    <x v="1"/>
    <n v="320"/>
    <x v="4"/>
  </r>
  <r>
    <d v="2026-03-20T00:00:00"/>
    <x v="66"/>
    <s v="STOCK"/>
    <n v="3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09738"/>
    <m/>
    <n v="5832"/>
    <n v="6579000000"/>
    <n v="1622474.7756000008"/>
    <n v="10010"/>
    <n v="-3.6720348807590198E-3"/>
    <n v="1622474.784"/>
    <x v="0"/>
    <n v="168"/>
    <x v="0"/>
  </r>
  <r>
    <d v="2026-03-20T00:00:00"/>
    <x v="66"/>
    <s v="STOCK"/>
    <n v="3"/>
    <s v="STOCK"/>
    <n v="302044"/>
    <x v="2"/>
    <s v="PZA"/>
    <n v="240"/>
    <m/>
    <n v="240"/>
    <n v="13725.9625"/>
    <n v="3294231"/>
    <n v="3294231"/>
    <n v="13725.9625"/>
    <n v="0"/>
    <n v="8.2000000000000007E-3"/>
    <n v="2.477057657126727E-9"/>
    <m/>
    <n v="309738"/>
    <m/>
    <n v="5832"/>
    <n v="6579000000"/>
    <n v="3294231.0081600002"/>
    <n v="10010"/>
    <n v="0"/>
    <n v="3294231"/>
    <x v="0"/>
    <n v="240"/>
    <x v="2"/>
  </r>
  <r>
    <d v="2026-03-23T00:00:00"/>
    <x v="67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888"/>
    <n v="679431"/>
    <n v="5886"/>
    <n v="6579000000"/>
    <n v="142344.40430999998"/>
    <n v="10010"/>
    <n v="-2.8409968182735337E-6"/>
    <n v="142344.4044"/>
    <x v="1"/>
    <n v="6"/>
    <x v="4"/>
  </r>
  <r>
    <d v="2026-03-23T00:00:00"/>
    <x v="67"/>
    <s v="STOCK"/>
    <n v="3"/>
    <s v="STOCK"/>
    <n v="412281"/>
    <x v="167"/>
    <s v="UND"/>
    <n v="60"/>
    <m/>
    <n v="60"/>
    <n v="8951.4500000000007"/>
    <n v="537087"/>
    <n v="537087"/>
    <n v="0"/>
    <n v="-8951.4500000000007"/>
    <n v="-537087"/>
    <m/>
    <m/>
    <n v="309888"/>
    <m/>
    <n v="5886"/>
    <n v="6579000000"/>
    <n v="0"/>
    <n v="10010"/>
    <e v="#DIV/0!"/>
    <n v="0"/>
    <x v="1"/>
    <n v="60"/>
    <x v="102"/>
  </r>
  <r>
    <d v="2026-03-23T00:00:00"/>
    <x v="67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913"/>
    <n v="1050904"/>
    <n v="5886"/>
    <n v="6579000000"/>
    <n v="142344.40430999998"/>
    <n v="10010"/>
    <n v="-2.8409968182735337E-6"/>
    <n v="142344.4044"/>
    <x v="1"/>
    <n v="6"/>
    <x v="4"/>
  </r>
  <r>
    <d v="2026-03-23T00:00:00"/>
    <x v="67"/>
    <s v="STOCK"/>
    <n v="3"/>
    <s v="STOCK"/>
    <n v="2304056"/>
    <x v="168"/>
    <s v="UND"/>
    <n v="7"/>
    <m/>
    <n v="7"/>
    <n v="2979.2856999999999"/>
    <n v="20855"/>
    <n v="20855"/>
    <n v="2979"/>
    <n v="-0.28570000000000001"/>
    <n v="-2"/>
    <n v="-9.5909461468352049E-5"/>
    <m/>
    <n v="309913"/>
    <m/>
    <n v="5886"/>
    <n v="6579000000"/>
    <n v="20853"/>
    <n v="10010"/>
    <n v="9.5904665995268925E-5"/>
    <n v="20853"/>
    <x v="1"/>
    <n v="7"/>
    <x v="100"/>
  </r>
  <r>
    <d v="2026-03-23T00:00:00"/>
    <x v="67"/>
    <s v="STOCK"/>
    <n v="3"/>
    <s v="STOCK"/>
    <s v="040748X"/>
    <x v="117"/>
    <s v="CJA"/>
    <n v="6"/>
    <m/>
    <n v="6"/>
    <n v="76394.833299999998"/>
    <n v="458369"/>
    <n v="458369"/>
    <n v="55858.301899999999"/>
    <n v="-20536.5314"/>
    <n v="-123219.1887"/>
    <n v="-0.36765405951434482"/>
    <s v="IMPORTACION VIA AREA "/>
    <n v="309913"/>
    <m/>
    <n v="5886"/>
    <n v="6579000000"/>
    <n v="335149.81132199999"/>
    <n v="10010"/>
    <n v="0.36765405859930017"/>
    <n v="335149.81140000001"/>
    <x v="1"/>
    <n v="6"/>
    <x v="4"/>
  </r>
  <r>
    <d v="2026-03-23T00:00:00"/>
    <x v="67"/>
    <s v="STOCK"/>
    <n v="3"/>
    <s v="STOCK"/>
    <n v="1802162"/>
    <x v="169"/>
    <s v="UND"/>
    <n v="10"/>
    <m/>
    <n v="10"/>
    <n v="42840"/>
    <n v="428400"/>
    <n v="428400"/>
    <n v="42840"/>
    <n v="0"/>
    <n v="0"/>
    <n v="0"/>
    <m/>
    <n v="309913"/>
    <m/>
    <n v="5886"/>
    <n v="6579000000"/>
    <n v="428400"/>
    <n v="10010"/>
    <n v="0"/>
    <n v="428400"/>
    <x v="1"/>
    <n v="10"/>
    <x v="103"/>
  </r>
  <r>
    <d v="2026-03-23T00:00:00"/>
    <x v="67"/>
    <s v="STOCK"/>
    <n v="3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09913"/>
    <m/>
    <n v="5886"/>
    <n v="6579000000"/>
    <n v="935.75959799999998"/>
    <n v="10010"/>
    <n v="2.5679669684433674E-4"/>
    <n v="935.75969999999995"/>
    <x v="1"/>
    <n v="3"/>
    <x v="104"/>
  </r>
  <r>
    <d v="2026-03-24T00:00:00"/>
    <x v="67"/>
    <s v="STOCK"/>
    <n v="3"/>
    <s v="STOCK"/>
    <n v="1802175"/>
    <x v="171"/>
    <s v="UND"/>
    <n v="1"/>
    <m/>
    <n v="1"/>
    <n v="1079"/>
    <n v="1079"/>
    <n v="1079"/>
    <n v="1079"/>
    <n v="0"/>
    <n v="0"/>
    <n v="0"/>
    <m/>
    <n v="310019"/>
    <n v="3182861"/>
    <n v="5886"/>
    <n v="6579000000"/>
    <n v="1079"/>
    <n v="10010"/>
    <n v="0"/>
    <n v="1079"/>
    <x v="1"/>
    <n v="1"/>
    <x v="105"/>
  </r>
  <r>
    <d v="2026-03-24T00:00:00"/>
    <x v="67"/>
    <s v="STOCK"/>
    <n v="3"/>
    <s v="STOCK"/>
    <n v="1802176"/>
    <x v="131"/>
    <s v="UND"/>
    <n v="1"/>
    <m/>
    <n v="1"/>
    <n v="2199"/>
    <n v="2199"/>
    <n v="2199"/>
    <n v="2199"/>
    <n v="0"/>
    <n v="0"/>
    <n v="0"/>
    <m/>
    <n v="310019"/>
    <m/>
    <n v="5886"/>
    <n v="6579000000"/>
    <n v="2199"/>
    <n v="10010"/>
    <n v="0"/>
    <n v="2199"/>
    <x v="1"/>
    <n v="1"/>
    <x v="4"/>
  </r>
  <r>
    <d v="2026-03-24T00:00:00"/>
    <x v="67"/>
    <s v="STOCK"/>
    <n v="3"/>
    <s v="STOCK"/>
    <n v="1802177"/>
    <x v="172"/>
    <s v="UND"/>
    <n v="1"/>
    <m/>
    <n v="1"/>
    <n v="1471"/>
    <n v="1471"/>
    <n v="1471"/>
    <n v="1471"/>
    <n v="0"/>
    <n v="0"/>
    <n v="0"/>
    <m/>
    <n v="310019"/>
    <m/>
    <n v="5886"/>
    <n v="6579000000"/>
    <n v="1471"/>
    <n v="10010"/>
    <n v="0"/>
    <n v="1471"/>
    <x v="1"/>
    <n v="1"/>
    <x v="106"/>
  </r>
  <r>
    <d v="2026-03-24T00:00:00"/>
    <x v="67"/>
    <s v="STOCK"/>
    <n v="3"/>
    <s v="STOCK"/>
    <n v="1802173"/>
    <x v="173"/>
    <s v="UND"/>
    <n v="1"/>
    <m/>
    <n v="1"/>
    <n v="11984"/>
    <n v="11984"/>
    <n v="11984"/>
    <n v="11996"/>
    <n v="12"/>
    <n v="12"/>
    <n v="1.0003334444814941E-3"/>
    <m/>
    <n v="310019"/>
    <m/>
    <n v="5886"/>
    <n v="6579000000"/>
    <n v="11996"/>
    <n v="10010"/>
    <n v="-1.0003334444814939E-3"/>
    <n v="11996"/>
    <x v="1"/>
    <n v="1"/>
    <x v="107"/>
  </r>
  <r>
    <d v="2026-03-24T00:00:00"/>
    <x v="67"/>
    <s v="STOCK"/>
    <n v="3"/>
    <s v="STOCK"/>
    <n v="1808148"/>
    <x v="174"/>
    <s v="UND"/>
    <n v="1"/>
    <m/>
    <n v="1"/>
    <n v="1099"/>
    <n v="1099"/>
    <n v="1099"/>
    <n v="1089"/>
    <n v="-10"/>
    <n v="-10"/>
    <n v="-9.1827364554637279E-3"/>
    <m/>
    <n v="310019"/>
    <m/>
    <n v="5886"/>
    <n v="6579000000"/>
    <n v="1089"/>
    <n v="10010"/>
    <n v="9.1827364554637279E-3"/>
    <n v="1089"/>
    <x v="1"/>
    <n v="1"/>
    <x v="108"/>
  </r>
  <r>
    <d v="2026-03-24T00:00:00"/>
    <x v="67"/>
    <s v="STOCK"/>
    <n v="3"/>
    <s v="STOCK"/>
    <n v="407795"/>
    <x v="175"/>
    <s v="UND"/>
    <n v="1"/>
    <m/>
    <n v="1"/>
    <n v="1611"/>
    <n v="1611"/>
    <n v="1611"/>
    <n v="1610.9336000000001"/>
    <n v="-6.6400000000000001E-2"/>
    <n v="-6.6400000000000001E-2"/>
    <n v="-4.1212126674764554E-5"/>
    <m/>
    <n v="310019"/>
    <m/>
    <n v="5886"/>
    <n v="6579000000"/>
    <n v="1610.93361"/>
    <n v="10010"/>
    <n v="4.1218334511075141E-5"/>
    <n v="1610.9336000000001"/>
    <x v="1"/>
    <n v="1"/>
    <x v="109"/>
  </r>
  <r>
    <d v="2026-03-24T00:00:00"/>
    <x v="67"/>
    <s v="STOCK"/>
    <n v="3"/>
    <s v="STOCK"/>
    <n v="1808145"/>
    <x v="176"/>
    <s v="UND"/>
    <n v="1"/>
    <m/>
    <n v="1"/>
    <n v="16270"/>
    <n v="16270"/>
    <n v="16270"/>
    <n v="17145"/>
    <n v="875"/>
    <n v="875"/>
    <n v="5.1035287255759697E-2"/>
    <m/>
    <n v="310019"/>
    <m/>
    <n v="5886"/>
    <n v="6579000000"/>
    <n v="17145"/>
    <n v="10010"/>
    <n v="-5.1035287255759697E-2"/>
    <n v="17145"/>
    <x v="1"/>
    <n v="1"/>
    <x v="110"/>
  </r>
  <r>
    <d v="2026-03-24T00:00:00"/>
    <x v="67"/>
    <s v="STOCK"/>
    <n v="3"/>
    <s v="STOCK"/>
    <n v="1808144"/>
    <x v="177"/>
    <s v="UND"/>
    <n v="1"/>
    <m/>
    <n v="1"/>
    <n v="23317"/>
    <n v="23317"/>
    <n v="23317"/>
    <n v="23228"/>
    <n v="-89"/>
    <n v="-89"/>
    <n v="-3.8315825727570176E-3"/>
    <m/>
    <n v="310019"/>
    <m/>
    <n v="5886"/>
    <n v="6579000000"/>
    <n v="23228"/>
    <n v="10010"/>
    <n v="3.8315825727570172E-3"/>
    <n v="23228"/>
    <x v="1"/>
    <n v="1"/>
    <x v="111"/>
  </r>
  <r>
    <d v="2026-03-24T00:00:00"/>
    <x v="67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019"/>
    <m/>
    <n v="5886"/>
    <n v="6579000000"/>
    <n v="570454.86033000005"/>
    <n v="10010"/>
    <n v="-2.5056941139318816E-2"/>
    <n v="570454.86599999992"/>
    <x v="0"/>
    <n v="270"/>
    <x v="6"/>
  </r>
  <r>
    <d v="2026-03-24T00:00:00"/>
    <x v="67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019"/>
    <m/>
    <n v="5886"/>
    <n v="6579000000"/>
    <n v="973829.99999999953"/>
    <n v="10010"/>
    <n v="-5.1341609931960842E-5"/>
    <n v="973830"/>
    <x v="0"/>
    <n v="65"/>
    <x v="99"/>
  </r>
  <r>
    <d v="2026-03-24T00:00:00"/>
    <x v="67"/>
    <s v="STOCK"/>
    <n v="3"/>
    <s v="STOCK"/>
    <n v="1902003"/>
    <x v="105"/>
    <s v="RLL"/>
    <n v="2"/>
    <m/>
    <n v="2"/>
    <n v="150690.5"/>
    <n v="301381"/>
    <n v="301381"/>
    <n v="150703.9755"/>
    <n v="13.4755"/>
    <n v="26.950900000000001"/>
    <n v="8.9416752005553395E-5"/>
    <m/>
    <n v="310019"/>
    <m/>
    <n v="5886"/>
    <n v="6579000000"/>
    <n v="301407.95091999992"/>
    <n v="10010"/>
    <n v="-8.9417017403104051E-5"/>
    <n v="301407.951"/>
    <x v="1"/>
    <n v="2"/>
    <x v="4"/>
  </r>
  <r>
    <d v="2026-03-24T00:00:00"/>
    <x v="67"/>
    <s v="STOCK"/>
    <n v="3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0019"/>
    <m/>
    <n v="5886"/>
    <n v="6579000000"/>
    <n v="4218.1170840000004"/>
    <n v="10010"/>
    <n v="8.0102804165934655E-2"/>
    <n v="4218.1170000000002"/>
    <x v="1"/>
    <n v="2"/>
    <x v="28"/>
  </r>
  <r>
    <d v="2026-03-24T00:00:00"/>
    <x v="67"/>
    <s v="STOCK"/>
    <n v="3"/>
    <s v="STOCK"/>
    <n v="1610007"/>
    <x v="178"/>
    <s v="KG"/>
    <n v="2"/>
    <m/>
    <n v="2"/>
    <n v="1624.5"/>
    <n v="3249"/>
    <n v="3249"/>
    <n v="1624.4739999999999"/>
    <n v="-2.5999999999999999E-2"/>
    <n v="-5.1900000000000002E-2"/>
    <n v="-1.59824037865168E-5"/>
    <m/>
    <n v="310019"/>
    <m/>
    <n v="5886"/>
    <n v="6579000000"/>
    <n v="3248.9480739999999"/>
    <n v="10010"/>
    <n v="1.6005180753934691E-5"/>
    <n v="3248.9479999999999"/>
    <x v="1"/>
    <n v="2"/>
    <x v="112"/>
  </r>
  <r>
    <d v="2026-03-24T00:00:00"/>
    <x v="67"/>
    <s v="STOCK"/>
    <n v="3"/>
    <s v="STOCK"/>
    <n v="609008"/>
    <x v="30"/>
    <s v="LTS"/>
    <n v="4"/>
    <m/>
    <n v="4"/>
    <n v="2274.5"/>
    <n v="9098"/>
    <n v="9098"/>
    <n v="2130.7573000000002"/>
    <n v="-143.74270000000001"/>
    <n v="-574.97080000000005"/>
    <n v="-6.7460845646471132E-2"/>
    <m/>
    <n v="310019"/>
    <m/>
    <n v="5886"/>
    <n v="6579000000"/>
    <n v="8523.0292399999998"/>
    <n v="10010"/>
    <n v="6.7460850656243104E-2"/>
    <n v="8523.0292000000009"/>
    <x v="1"/>
    <n v="4"/>
    <x v="27"/>
  </r>
  <r>
    <d v="2026-03-24T00:00:00"/>
    <x v="67"/>
    <s v="STOCK"/>
    <n v="3"/>
    <s v="STOCK"/>
    <n v="1405040"/>
    <x v="179"/>
    <s v="UND"/>
    <n v="2"/>
    <m/>
    <n v="2"/>
    <n v="7568"/>
    <n v="15136"/>
    <n v="15136"/>
    <n v="7568"/>
    <n v="0"/>
    <n v="0"/>
    <n v="0"/>
    <m/>
    <n v="310019"/>
    <m/>
    <n v="5886"/>
    <n v="6579000000"/>
    <n v="15136"/>
    <n v="10010"/>
    <n v="0"/>
    <n v="15136"/>
    <x v="1"/>
    <n v="2"/>
    <x v="113"/>
  </r>
  <r>
    <d v="2026-03-24T00:00:00"/>
    <x v="67"/>
    <s v="STOCK"/>
    <n v="3"/>
    <s v="STOCK"/>
    <n v="1405039"/>
    <x v="180"/>
    <s v="UND"/>
    <n v="15"/>
    <m/>
    <n v="15"/>
    <n v="7596"/>
    <n v="113940"/>
    <n v="113940"/>
    <n v="7596"/>
    <n v="0"/>
    <n v="0"/>
    <n v="0"/>
    <m/>
    <n v="310019"/>
    <m/>
    <n v="5886"/>
    <n v="6579000000"/>
    <n v="113940"/>
    <n v="10010"/>
    <n v="0"/>
    <n v="113940"/>
    <x v="1"/>
    <n v="15"/>
    <x v="114"/>
  </r>
  <r>
    <d v="2026-03-24T00:00:00"/>
    <x v="67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019"/>
    <m/>
    <n v="5886"/>
    <n v="6579000000"/>
    <n v="10210.598529999999"/>
    <n v="10010"/>
    <n v="3.9321886958966856E-5"/>
    <n v="10210.5985"/>
    <x v="1"/>
    <n v="5"/>
    <x v="82"/>
  </r>
  <r>
    <d v="2026-03-24T00:00:00"/>
    <x v="67"/>
    <s v="STOCK"/>
    <n v="3"/>
    <s v="STOCK"/>
    <n v="617055"/>
    <x v="119"/>
    <s v="UND"/>
    <n v="5"/>
    <m/>
    <n v="5"/>
    <n v="920.4"/>
    <n v="4602"/>
    <n v="4602"/>
    <n v="920.35379999999998"/>
    <n v="-4.6199999999999998E-2"/>
    <n v="-0.2311"/>
    <n v="-5.0218732137691882E-5"/>
    <m/>
    <n v="310019"/>
    <m/>
    <n v="5886"/>
    <n v="6579000000"/>
    <n v="4601.7689049999999"/>
    <n v="10010"/>
    <n v="5.0198086866158326E-5"/>
    <n v="4601.7690000000002"/>
    <x v="1"/>
    <n v="5"/>
    <x v="4"/>
  </r>
  <r>
    <d v="2026-03-24T00:00:00"/>
    <x v="67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019"/>
    <m/>
    <n v="5886"/>
    <n v="6579000000"/>
    <n v="14287.56637"/>
    <n v="10010"/>
    <n v="2.4800234525592015E-3"/>
    <n v="14287.566500000001"/>
    <x v="1"/>
    <n v="5"/>
    <x v="81"/>
  </r>
  <r>
    <d v="2026-03-24T00:00:00"/>
    <x v="67"/>
    <s v="STOCK"/>
    <n v="3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0019"/>
    <m/>
    <n v="5886"/>
    <n v="6579000000"/>
    <n v="95779"/>
    <n v="10010"/>
    <n v="1.0440702032804685E-5"/>
    <n v="95779"/>
    <x v="1"/>
    <n v="2"/>
    <x v="4"/>
  </r>
  <r>
    <d v="2026-03-24T00:00:00"/>
    <x v="67"/>
    <s v="STOCK"/>
    <n v="3"/>
    <s v="STOCK"/>
    <n v="602254"/>
    <x v="142"/>
    <s v="TIN"/>
    <n v="2"/>
    <m/>
    <n v="2"/>
    <n v="46060"/>
    <n v="92120"/>
    <n v="92120"/>
    <n v="46060"/>
    <n v="0"/>
    <n v="0"/>
    <n v="0"/>
    <m/>
    <n v="310019"/>
    <m/>
    <n v="5886"/>
    <n v="6579000000"/>
    <n v="92120"/>
    <n v="10010"/>
    <n v="0"/>
    <n v="92120"/>
    <x v="1"/>
    <n v="2"/>
    <x v="4"/>
  </r>
  <r>
    <d v="2026-03-24T00:00:00"/>
    <x v="67"/>
    <s v="STOCK"/>
    <n v="3"/>
    <s v="STOCK"/>
    <n v="907031"/>
    <x v="158"/>
    <s v="RLL"/>
    <n v="6"/>
    <m/>
    <n v="6"/>
    <n v="154915.6667"/>
    <n v="929494"/>
    <n v="929494"/>
    <n v="156269.1667"/>
    <n v="1353.5"/>
    <n v="8121"/>
    <n v="8.6613375447096956E-3"/>
    <m/>
    <n v="310019"/>
    <m/>
    <n v="5886"/>
    <n v="6579000000"/>
    <n v="937615.00000200036"/>
    <n v="10010"/>
    <n v="-8.6613375407472489E-3"/>
    <n v="937615.00020000001"/>
    <x v="0"/>
    <n v="6"/>
    <x v="98"/>
  </r>
  <r>
    <d v="2026-03-24T00:00:00"/>
    <x v="68"/>
    <s v="STOCK"/>
    <n v="3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0064"/>
    <n v="1088092"/>
    <n v="5886"/>
    <n v="6579000000"/>
    <n v="950591.03336"/>
    <n v="10010"/>
    <n v="9.337976586339182E-2"/>
    <n v="950591.03200000001"/>
    <x v="0"/>
    <n v="80"/>
    <x v="92"/>
  </r>
  <r>
    <d v="2026-03-24T00:00:00"/>
    <x v="68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064"/>
    <m/>
    <n v="5886"/>
    <n v="6579000000"/>
    <n v="959764.51785405388"/>
    <n v="10010"/>
    <n v="-0.96822970634983885"/>
    <n v="959764.5"/>
    <x v="1"/>
    <n v="9000"/>
    <x v="63"/>
  </r>
  <r>
    <d v="2026-03-24T00:00:00"/>
    <x v="68"/>
    <s v="STOCK"/>
    <n v="3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0064"/>
    <m/>
    <n v="5886"/>
    <n v="6579000000"/>
    <n v="8101.081000000001"/>
    <n v="10010"/>
    <n v="-1.2344002666275806E-5"/>
    <n v="8101.1"/>
    <x v="1"/>
    <n v="500"/>
    <x v="4"/>
  </r>
  <r>
    <d v="2026-03-24T00:00:00"/>
    <x v="68"/>
    <s v="STOCK"/>
    <n v="3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0064"/>
    <m/>
    <n v="5886"/>
    <n v="6579000000"/>
    <n v="2440.1080000000002"/>
    <n v="10010"/>
    <n v="-4.0981926970292619E-5"/>
    <n v="2440.1000000000004"/>
    <x v="1"/>
    <n v="500"/>
    <x v="64"/>
  </r>
  <r>
    <d v="2026-03-24T00:00:00"/>
    <x v="68"/>
    <s v="STOCK"/>
    <n v="3"/>
    <s v="STOCK"/>
    <n v="1802174"/>
    <x v="181"/>
    <s v="UND"/>
    <n v="1"/>
    <m/>
    <n v="1"/>
    <n v="7702"/>
    <n v="7702"/>
    <n v="7702"/>
    <n v="7709"/>
    <n v="7"/>
    <n v="7"/>
    <n v="9.0802957582046962E-4"/>
    <m/>
    <n v="310064"/>
    <m/>
    <n v="5886"/>
    <n v="6579000000"/>
    <n v="7709"/>
    <n v="10010"/>
    <n v="-9.0802957582046962E-4"/>
    <n v="7709"/>
    <x v="1"/>
    <n v="1"/>
    <x v="115"/>
  </r>
  <r>
    <d v="2026-03-25T00:00:00"/>
    <x v="69"/>
    <s v="STOCK"/>
    <n v="3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0266"/>
    <n v="404380"/>
    <n v="5886"/>
    <n v="6579000000"/>
    <n v="506250"/>
    <n v="10010"/>
    <n v="-0.2012246913580247"/>
    <n v="506250"/>
    <x v="1"/>
    <n v="5"/>
    <x v="4"/>
  </r>
  <r>
    <d v="2026-03-26T00:00:00"/>
    <x v="70"/>
    <s v="STOCK"/>
    <n v="3"/>
    <s v="STOCK"/>
    <n v="410045"/>
    <x v="75"/>
    <s v="UND"/>
    <n v="464"/>
    <m/>
    <n v="464"/>
    <n v="346.90730000000002"/>
    <n v="160965"/>
    <n v="160965"/>
    <n v="368.00139999999999"/>
    <n v="21.094000000000001"/>
    <n v="9787.6314999999995"/>
    <n v="5.7320530979756361E-2"/>
    <m/>
    <n v="310403"/>
    <n v="2133483"/>
    <n v="5886"/>
    <n v="6579000000"/>
    <n v="170752.63150399996"/>
    <n v="10010"/>
    <n v="-5.7320705845140721E-2"/>
    <n v="170752.6496"/>
    <x v="1"/>
    <n v="464"/>
    <x v="68"/>
  </r>
  <r>
    <d v="2026-03-26T00:00:00"/>
    <x v="70"/>
    <s v="STOCK"/>
    <n v="3"/>
    <s v="STOCK"/>
    <n v="701043"/>
    <x v="132"/>
    <s v="PL"/>
    <n v="80"/>
    <m/>
    <n v="80"/>
    <n v="22428.375"/>
    <n v="1794270"/>
    <n v="1794270"/>
    <n v="22146.362799999999"/>
    <n v="-282.01220000000001"/>
    <n v="-22560.978200000001"/>
    <n v="-1.2734020069270794E-2"/>
    <m/>
    <n v="310403"/>
    <m/>
    <n v="5886"/>
    <n v="6579000000"/>
    <n v="1771709.0217599999"/>
    <n v="10010"/>
    <n v="1.2734018788855073E-2"/>
    <n v="1771709.024"/>
    <x v="0"/>
    <n v="80"/>
    <x v="93"/>
  </r>
  <r>
    <d v="2026-03-26T00:00:00"/>
    <x v="70"/>
    <s v="STOCK"/>
    <n v="3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0403"/>
    <m/>
    <n v="5886"/>
    <n v="6579000000"/>
    <n v="139999.8464000001"/>
    <n v="10010"/>
    <n v="1.1428584490190236E-6"/>
    <n v="139999.84"/>
    <x v="1"/>
    <n v="200"/>
    <x v="4"/>
  </r>
  <r>
    <d v="2026-03-26T00:00:00"/>
    <x v="70"/>
    <s v="STOCK"/>
    <n v="3"/>
    <s v="STOCK"/>
    <n v="2302044"/>
    <x v="182"/>
    <s v="SAC"/>
    <n v="1"/>
    <m/>
    <n v="1"/>
    <n v="13092"/>
    <n v="13092"/>
    <n v="13092"/>
    <m/>
    <m/>
    <n v="-13092"/>
    <m/>
    <m/>
    <n v="310403"/>
    <m/>
    <n v="5886"/>
    <n v="6579000000"/>
    <s v=""/>
    <n v="10010"/>
    <e v="#DIV/0!"/>
    <n v="0"/>
    <x v="1"/>
    <n v="1"/>
    <x v="100"/>
  </r>
  <r>
    <d v="2026-03-26T00:00:00"/>
    <x v="70"/>
    <s v="STOCK"/>
    <n v="3"/>
    <s v="STOCK"/>
    <n v="2302045"/>
    <x v="183"/>
    <s v="TIN"/>
    <n v="1"/>
    <m/>
    <n v="1"/>
    <n v="25156"/>
    <n v="25156"/>
    <n v="25156"/>
    <m/>
    <m/>
    <n v="-25156"/>
    <m/>
    <m/>
    <n v="310403"/>
    <m/>
    <n v="5886"/>
    <n v="6579000000"/>
    <s v=""/>
    <n v="10010"/>
    <e v="#DIV/0!"/>
    <n v="0"/>
    <x v="1"/>
    <n v="1"/>
    <x v="100"/>
  </r>
  <r>
    <d v="2026-03-26T00:00:00"/>
    <x v="70"/>
    <s v="STOCK"/>
    <n v="3"/>
    <s v="STOCK"/>
    <n v="304002"/>
    <x v="12"/>
    <s v="PL"/>
    <n v="72"/>
    <m/>
    <n v="72"/>
    <n v="21535.8472"/>
    <n v="1550581"/>
    <n v="1550581"/>
    <n v="21246.5072"/>
    <n v="-289.34010000000001"/>
    <n v="-20832.485000000001"/>
    <n v="-1.3618241677967552E-2"/>
    <m/>
    <n v="310406"/>
    <n v="2464990"/>
    <n v="5886"/>
    <n v="6579000000"/>
    <n v="1529748.5150160005"/>
    <n v="10010"/>
    <n v="1.3618238389790495E-2"/>
    <n v="1529748.5183999999"/>
    <x v="0"/>
    <n v="72"/>
    <x v="10"/>
  </r>
  <r>
    <d v="2026-03-26T00:00:00"/>
    <x v="70"/>
    <s v="STOCK"/>
    <n v="3"/>
    <s v="STOCK"/>
    <n v="1902003"/>
    <x v="105"/>
    <s v="RLL"/>
    <n v="6"/>
    <m/>
    <n v="6"/>
    <n v="150690.5"/>
    <n v="904143"/>
    <n v="904143"/>
    <n v="150703.9755"/>
    <n v="13.4755"/>
    <n v="80.852800000000002"/>
    <n v="8.9416752005553395E-5"/>
    <m/>
    <n v="310406"/>
    <m/>
    <n v="5886"/>
    <n v="6579000000"/>
    <n v="904223.85275999969"/>
    <n v="10010"/>
    <n v="-8.9417017403104051E-5"/>
    <n v="904223.853"/>
    <x v="1"/>
    <n v="6"/>
    <x v="4"/>
  </r>
  <r>
    <d v="2026-03-26T00:00:00"/>
    <x v="70"/>
    <s v="STOCK"/>
    <n v="3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10406"/>
    <m/>
    <n v="5886"/>
    <n v="6579000000"/>
    <n v="106640.50198378378"/>
    <n v="10010"/>
    <n v="-0.96822970634983885"/>
    <n v="106640.5"/>
    <x v="1"/>
    <n v="1000"/>
    <x v="63"/>
  </r>
  <r>
    <d v="2026-03-26T00:00:00"/>
    <x v="70"/>
    <s v="STOCK"/>
    <n v="3"/>
    <s v="STOCK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10406"/>
    <m/>
    <n v="5886"/>
    <n v="6579000000"/>
    <n v="6878.3200000000006"/>
    <n v="10010"/>
    <n v="-4.3615428230840323E-5"/>
    <n v="6878.3"/>
    <x v="1"/>
    <n v="1000"/>
    <x v="4"/>
  </r>
  <r>
    <d v="2026-03-27T00:00:00"/>
    <x v="71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0529"/>
    <n v="12666906"/>
    <n v="5886"/>
    <n v="6579000000"/>
    <n v="94811.586850000007"/>
    <n v="10010"/>
    <n v="-2.0656758348683237E-4"/>
    <n v="94811.585000000006"/>
    <x v="1"/>
    <n v="50"/>
    <x v="7"/>
  </r>
  <r>
    <d v="2026-03-27T00:00:00"/>
    <x v="71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0529"/>
    <m/>
    <n v="5886"/>
    <n v="6579000000"/>
    <n v="570454.86033000005"/>
    <n v="10010"/>
    <n v="-6.758618130535847E-2"/>
    <n v="570454.86599999992"/>
    <x v="1"/>
    <n v="270"/>
    <x v="101"/>
  </r>
  <r>
    <d v="2026-03-27T00:00:00"/>
    <x v="71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529"/>
    <m/>
    <n v="5886"/>
    <n v="6579000000"/>
    <n v="709762.85999999987"/>
    <n v="10010"/>
    <n v="2.1133821040261184E-7"/>
    <n v="709762.8"/>
    <x v="0"/>
    <n v="1500"/>
    <x v="8"/>
  </r>
  <r>
    <d v="2026-03-27T00:00:00"/>
    <x v="71"/>
    <s v="STOCK"/>
    <n v="3"/>
    <s v="STOCK"/>
    <n v="701040"/>
    <x v="1"/>
    <s v="PL"/>
    <n v="80"/>
    <m/>
    <n v="80"/>
    <n v="7968.7250000000004"/>
    <n v="637498"/>
    <n v="637498"/>
    <n v="7835.7259999999997"/>
    <n v="-132.999"/>
    <n v="-10639.923699999999"/>
    <n v="-1.6973417240569652E-2"/>
    <m/>
    <n v="310529"/>
    <m/>
    <n v="5886"/>
    <n v="6579000000"/>
    <n v="626858.07631999976"/>
    <n v="10010"/>
    <n v="1.6973411270378866E-2"/>
    <n v="626858.07999999996"/>
    <x v="1"/>
    <n v="80"/>
    <x v="1"/>
  </r>
  <r>
    <d v="2026-03-27T00:00:00"/>
    <x v="71"/>
    <s v="STOCK"/>
    <n v="3"/>
    <s v="STOCK"/>
    <n v="701096"/>
    <x v="135"/>
    <s v="PL"/>
    <n v="70"/>
    <m/>
    <n v="70"/>
    <n v="16648.771400000001"/>
    <n v="1165414"/>
    <n v="1165414"/>
    <n v="16019.885700000001"/>
    <n v="-628.88570000000004"/>
    <n v="-44022.002"/>
    <n v="-3.9256568738207272E-2"/>
    <m/>
    <n v="310529"/>
    <m/>
    <n v="5886"/>
    <n v="6579000000"/>
    <n v="1121391.9979500002"/>
    <n v="10010"/>
    <n v="3.9256565981616254E-2"/>
    <n v="1121391.9990000001"/>
    <x v="0"/>
    <n v="70"/>
    <x v="94"/>
  </r>
  <r>
    <d v="2026-03-27T00:00:00"/>
    <x v="71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10529"/>
    <m/>
    <n v="5886"/>
    <n v="6579000000"/>
    <n v="453321.13050000009"/>
    <n v="10010"/>
    <n v="6.7620643634268493E-2"/>
    <n v="453321.13320000004"/>
    <x v="0"/>
    <n v="108"/>
    <x v="12"/>
  </r>
  <r>
    <d v="2026-03-27T00:00:00"/>
    <x v="71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529"/>
    <m/>
    <n v="5886"/>
    <n v="6579000000"/>
    <n v="570454.86033000005"/>
    <n v="10010"/>
    <n v="-2.5056941139318816E-2"/>
    <n v="570454.86599999992"/>
    <x v="0"/>
    <n v="270"/>
    <x v="6"/>
  </r>
  <r>
    <d v="2026-03-27T00:00:00"/>
    <x v="71"/>
    <s v="STOCK"/>
    <n v="3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0529"/>
    <m/>
    <n v="5886"/>
    <n v="6579000000"/>
    <n v="601277.10064200009"/>
    <n v="10010"/>
    <n v="-1.59678326279298E-2"/>
    <n v="601277.09400000004"/>
    <x v="0"/>
    <n v="162"/>
    <x v="96"/>
  </r>
  <r>
    <d v="2026-03-27T00:00:00"/>
    <x v="71"/>
    <s v="STOCK"/>
    <n v="3"/>
    <s v="STOCK"/>
    <n v="2302119"/>
    <x v="44"/>
    <s v="UND"/>
    <n v="24"/>
    <m/>
    <n v="24"/>
    <n v="3684.25"/>
    <n v="88422"/>
    <n v="88422"/>
    <n v="3671"/>
    <n v="-13.25"/>
    <n v="-318"/>
    <n v="-3.609370743666576E-3"/>
    <m/>
    <n v="310529"/>
    <m/>
    <n v="5886"/>
    <n v="6579000000"/>
    <n v="88104"/>
    <n v="10010"/>
    <n v="3.609370743666576E-3"/>
    <n v="88104"/>
    <x v="1"/>
    <n v="24"/>
    <x v="40"/>
  </r>
  <r>
    <d v="2026-03-27T00:00:00"/>
    <x v="71"/>
    <s v="STOCK"/>
    <n v="3"/>
    <s v="STOCK"/>
    <n v="412302"/>
    <x v="113"/>
    <s v="UND"/>
    <n v="16"/>
    <m/>
    <n v="16"/>
    <n v="4742.4375"/>
    <n v="75879"/>
    <n v="75879"/>
    <n v="4742.4587000000001"/>
    <n v="2.12E-2"/>
    <n v="0.3387"/>
    <n v="4.4632966750277403E-6"/>
    <m/>
    <n v="310529"/>
    <m/>
    <n v="5886"/>
    <n v="6579000000"/>
    <n v="75879.338671999998"/>
    <n v="10010"/>
    <n v="-4.4702550599197269E-6"/>
    <n v="75879.339200000002"/>
    <x v="1"/>
    <n v="16"/>
    <x v="4"/>
  </r>
  <r>
    <d v="2026-03-27T00:00:00"/>
    <x v="71"/>
    <s v="STOCK"/>
    <n v="3"/>
    <s v="STOCK"/>
    <n v="404745"/>
    <x v="184"/>
    <s v="UND"/>
    <n v="10"/>
    <m/>
    <n v="10"/>
    <n v="8826"/>
    <n v="88260"/>
    <n v="88260"/>
    <m/>
    <m/>
    <n v="-88260"/>
    <m/>
    <m/>
    <n v="310529"/>
    <m/>
    <n v="5886"/>
    <n v="6579000000"/>
    <s v=""/>
    <n v="10010"/>
    <e v="#DIV/0!"/>
    <n v="0"/>
    <x v="1"/>
    <n v="10"/>
    <x v="100"/>
  </r>
  <r>
    <d v="2026-03-27T00:00:00"/>
    <x v="71"/>
    <s v="STOCK"/>
    <n v="3"/>
    <s v="STOCK"/>
    <n v="412313"/>
    <x v="153"/>
    <s v="CJA"/>
    <n v="2"/>
    <m/>
    <n v="2"/>
    <n v="23724"/>
    <n v="47448"/>
    <n v="47448"/>
    <n v="23724.0674"/>
    <n v="6.7400000000000002E-2"/>
    <n v="0.1348"/>
    <n v="2.8403645506871342E-6"/>
    <m/>
    <n v="310529"/>
    <m/>
    <n v="5886"/>
    <n v="6579000000"/>
    <n v="47448.134769999997"/>
    <n v="10010"/>
    <n v="-2.8409968182735337E-6"/>
    <n v="47448.1348"/>
    <x v="1"/>
    <n v="2"/>
    <x v="4"/>
  </r>
  <r>
    <d v="2026-03-27T00:00:00"/>
    <x v="71"/>
    <s v="STOCK"/>
    <n v="3"/>
    <s v="STOCK"/>
    <n v="407185"/>
    <x v="17"/>
    <s v="UND"/>
    <n v="4000"/>
    <m/>
    <n v="4000"/>
    <n v="6.8783000000000003"/>
    <n v="27513"/>
    <n v="27513"/>
    <n v="6.8783000000000003"/>
    <n v="1E-4"/>
    <n v="0.28000000000000003"/>
    <n v="1.0176903662524352E-5"/>
    <m/>
    <n v="310529"/>
    <m/>
    <n v="5886"/>
    <n v="6579000000"/>
    <n v="27513.279999999999"/>
    <n v="10010"/>
    <n v="0"/>
    <n v="27513.200000000001"/>
    <x v="1"/>
    <n v="4000"/>
    <x v="4"/>
  </r>
  <r>
    <d v="2026-03-27T00:00:00"/>
    <x v="71"/>
    <s v="STOCK"/>
    <n v="3"/>
    <s v="STOCK"/>
    <n v="412280"/>
    <x v="15"/>
    <s v="UND"/>
    <n v="60"/>
    <m/>
    <n v="60"/>
    <n v="39389.85"/>
    <n v="2363391"/>
    <n v="2363391"/>
    <n v="40002.920100000003"/>
    <n v="613.07010000000002"/>
    <n v="36784.205600000001"/>
    <n v="1.5325633518121133E-2"/>
    <m/>
    <n v="310529"/>
    <m/>
    <n v="5886"/>
    <n v="6579000000"/>
    <n v="2400175.2055799998"/>
    <n v="10010"/>
    <n v="-1.5325633690426626E-2"/>
    <n v="2400175.2060000002"/>
    <x v="0"/>
    <n v="60"/>
    <x v="13"/>
  </r>
  <r>
    <d v="2026-03-27T00:00:00"/>
    <x v="71"/>
    <s v="STOCK"/>
    <n v="3"/>
    <s v="STOCK"/>
    <n v="412260"/>
    <x v="16"/>
    <s v="UND"/>
    <n v="60"/>
    <m/>
    <n v="60"/>
    <n v="86746.9"/>
    <n v="5204814"/>
    <n v="5204814"/>
    <n v="87567.442500000005"/>
    <n v="820.54250000000002"/>
    <n v="49232.548699999999"/>
    <n v="9.3704058812284895E-3"/>
    <m/>
    <n v="310529"/>
    <m/>
    <n v="5886"/>
    <n v="6579000000"/>
    <n v="5254046.5486799991"/>
    <n v="10010"/>
    <n v="-9.3704061301094922E-3"/>
    <n v="5254046.5500000007"/>
    <x v="0"/>
    <n v="60"/>
    <x v="14"/>
  </r>
  <r>
    <d v="2026-03-27T00:00:00"/>
    <x v="71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533"/>
    <n v="973780"/>
    <n v="5886"/>
    <n v="6579000000"/>
    <n v="973829.99999999953"/>
    <n v="10010"/>
    <n v="-5.1341609931960842E-5"/>
    <n v="973830"/>
    <x v="0"/>
    <n v="65"/>
    <x v="99"/>
  </r>
  <r>
    <d v="2026-03-27T00:00:00"/>
    <x v="71"/>
    <s v="STOCK"/>
    <n v="3"/>
    <s v="STOCK"/>
    <n v="412630"/>
    <x v="185"/>
    <s v="UND"/>
    <n v="6"/>
    <m/>
    <n v="6"/>
    <n v="150300"/>
    <n v="901800"/>
    <n v="901800"/>
    <n v="148200"/>
    <n v="-2100"/>
    <n v="-12600"/>
    <n v="-1.417004048582996E-2"/>
    <m/>
    <n v="310542"/>
    <n v="959579"/>
    <n v="5886"/>
    <n v="6579000000"/>
    <n v="889200"/>
    <n v="10010"/>
    <n v="1.417004048582996E-2"/>
    <n v="889200"/>
    <x v="1"/>
    <n v="6"/>
    <x v="4"/>
  </r>
  <r>
    <d v="2026-03-27T00:00:00"/>
    <x v="71"/>
    <s v="STOCK"/>
    <n v="3"/>
    <s v="STOCK"/>
    <n v="608013"/>
    <x v="186"/>
    <s v="UND"/>
    <n v="3"/>
    <m/>
    <n v="3"/>
    <n v="8471.6666999999998"/>
    <n v="25415"/>
    <n v="25415"/>
    <n v="8471"/>
    <n v="-0.66669999999999996"/>
    <n v="-2"/>
    <n v="-7.8699878015117493E-5"/>
    <m/>
    <n v="310542"/>
    <m/>
    <n v="5886"/>
    <n v="6579000000"/>
    <n v="25413"/>
    <n v="10010"/>
    <n v="7.8703813009062005E-5"/>
    <n v="25413"/>
    <x v="1"/>
    <n v="3"/>
    <x v="116"/>
  </r>
  <r>
    <d v="2026-03-27T00:00:00"/>
    <x v="71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542"/>
    <m/>
    <n v="5886"/>
    <n v="6579000000"/>
    <n v="32364.213524000013"/>
    <n v="10010"/>
    <n v="-6.5998822847693946E-6"/>
    <n v="32364.213599999999"/>
    <x v="1"/>
    <n v="2"/>
    <x v="66"/>
  </r>
  <r>
    <d v="2026-03-27T00:00:00"/>
    <x v="71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0545"/>
    <n v="350000"/>
    <n v="5886"/>
    <n v="6579000000"/>
    <n v="350000.00000000029"/>
    <n v="10010"/>
    <n v="0"/>
    <n v="350000"/>
    <x v="1"/>
    <n v="10"/>
    <x v="89"/>
  </r>
  <r>
    <d v="2026-03-27T00:00:00"/>
    <x v="71"/>
    <s v="STOCK"/>
    <n v="3"/>
    <s v="STOCK"/>
    <n v="408017"/>
    <x v="187"/>
    <s v="CJA"/>
    <n v="2"/>
    <m/>
    <n v="2"/>
    <n v="17300"/>
    <n v="34600"/>
    <n v="34600"/>
    <m/>
    <m/>
    <n v="-34600"/>
    <m/>
    <m/>
    <n v="310596"/>
    <n v="34600"/>
    <n v="5886"/>
    <n v="6579000000"/>
    <s v=""/>
    <n v="10010"/>
    <e v="#DIV/0!"/>
    <n v="0"/>
    <x v="1"/>
    <n v="2"/>
    <x v="100"/>
  </r>
  <r>
    <d v="2026-03-30T00:00:00"/>
    <x v="72"/>
    <s v="STOCK"/>
    <n v="3"/>
    <s v="STOCK"/>
    <n v="701096"/>
    <x v="135"/>
    <s v="PL"/>
    <n v="210"/>
    <m/>
    <n v="210"/>
    <n v="16648.7762"/>
    <n v="3496243"/>
    <n v="3496243"/>
    <n v="16019.885700000001"/>
    <n v="-628.89049999999997"/>
    <n v="-132067.0061"/>
    <n v="-3.9256865987816643E-2"/>
    <m/>
    <n v="310726"/>
    <n v="9934725"/>
    <n v="5886"/>
    <n v="6579000000"/>
    <n v="3364175.9938500007"/>
    <n v="10010"/>
    <n v="3.9256865609222133E-2"/>
    <n v="3364175.997"/>
    <x v="0"/>
    <n v="210"/>
    <x v="94"/>
  </r>
  <r>
    <d v="2026-03-30T00:00:00"/>
    <x v="72"/>
    <s v="STOCK"/>
    <n v="3"/>
    <s v="STOCK"/>
    <n v="302046"/>
    <x v="78"/>
    <s v="PZA"/>
    <n v="168"/>
    <m/>
    <n v="168"/>
    <n v="10122.2798"/>
    <n v="1700543"/>
    <n v="1700543"/>
    <n v="10156.5985"/>
    <n v="34.3187"/>
    <n v="5765.5424999999996"/>
    <n v="3.3789565676683696E-3"/>
    <m/>
    <n v="310726"/>
    <m/>
    <n v="5886"/>
    <n v="6579000000"/>
    <n v="1706308.5424560003"/>
    <n v="10010"/>
    <n v="-3.3789560550217482E-3"/>
    <n v="1706308.548"/>
    <x v="0"/>
    <n v="168"/>
    <x v="46"/>
  </r>
  <r>
    <d v="2026-03-30T00:00:00"/>
    <x v="72"/>
    <s v="STOCK"/>
    <n v="3"/>
    <s v="STOCK"/>
    <n v="1902013"/>
    <x v="144"/>
    <s v="RLL"/>
    <n v="15"/>
    <m/>
    <n v="15"/>
    <n v="39090"/>
    <n v="586350"/>
    <n v="586350"/>
    <n v="29779"/>
    <n v="-9311"/>
    <n v="-139665"/>
    <n v="-0.31267000235064979"/>
    <m/>
    <n v="310726"/>
    <m/>
    <n v="5886"/>
    <n v="6579000000"/>
    <n v="446685"/>
    <n v="10010"/>
    <n v="0.31267000235064979"/>
    <n v="446685"/>
    <x v="0"/>
    <n v="15"/>
    <x v="4"/>
  </r>
  <r>
    <d v="2026-03-30T00:00:00"/>
    <x v="72"/>
    <s v="STOCK"/>
    <n v="3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0726"/>
    <m/>
    <n v="5886"/>
    <n v="6579000000"/>
    <n v="73879.636363999962"/>
    <n v="10010"/>
    <n v="4.92151853628979E-6"/>
    <n v="73879.636400000003"/>
    <x v="0"/>
    <n v="2"/>
    <x v="45"/>
  </r>
  <r>
    <d v="2026-03-30T00:00:00"/>
    <x v="72"/>
    <s v="STOCK"/>
    <n v="3"/>
    <s v="STOCK"/>
    <s v="040748x"/>
    <x v="117"/>
    <s v="CJA"/>
    <n v="6"/>
    <m/>
    <n v="6"/>
    <n v="57355.333299999998"/>
    <n v="344132"/>
    <n v="344132"/>
    <n v="55858.301899999999"/>
    <n v="-1497.0314000000001"/>
    <n v="-8982.1887000000006"/>
    <n v="-2.6800518378840097E-2"/>
    <m/>
    <n v="310726"/>
    <m/>
    <n v="5886"/>
    <n v="6579000000"/>
    <n v="335149.81132199999"/>
    <n v="10010"/>
    <n v="2.6800517543122803E-2"/>
    <n v="335149.81140000001"/>
    <x v="1"/>
    <n v="6"/>
    <x v="4"/>
  </r>
  <r>
    <d v="2026-03-30T00:00:00"/>
    <x v="72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26"/>
    <m/>
    <n v="5886"/>
    <n v="6579000000"/>
    <n v="194000"/>
    <n v="10010"/>
    <n v="0"/>
    <n v="194000"/>
    <x v="1"/>
    <n v="10"/>
    <x v="117"/>
  </r>
  <r>
    <d v="2026-03-30T00:00:00"/>
    <x v="72"/>
    <s v="STOCK"/>
    <n v="3"/>
    <s v="STOCK"/>
    <n v="2302098"/>
    <x v="5"/>
    <s v="TIN"/>
    <n v="8"/>
    <m/>
    <n v="8"/>
    <n v="21213"/>
    <n v="169704"/>
    <n v="169704"/>
    <n v="21213"/>
    <n v="0"/>
    <n v="0"/>
    <n v="-1.7149761029050001E-16"/>
    <m/>
    <n v="310726"/>
    <m/>
    <n v="5886"/>
    <n v="6579000000"/>
    <n v="169703.99999999997"/>
    <n v="10010"/>
    <n v="0"/>
    <n v="169704"/>
    <x v="1"/>
    <n v="8"/>
    <x v="5"/>
  </r>
  <r>
    <d v="2026-03-30T00:00:00"/>
    <x v="72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726"/>
    <m/>
    <n v="5886"/>
    <n v="6579000000"/>
    <n v="973829.99999999953"/>
    <n v="10010"/>
    <n v="-5.1341609931960842E-5"/>
    <n v="973830"/>
    <x v="0"/>
    <n v="65"/>
    <x v="99"/>
  </r>
  <r>
    <d v="2026-03-30T00:00:00"/>
    <x v="72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726"/>
    <m/>
    <n v="5886"/>
    <n v="6579000000"/>
    <n v="32364.213524000013"/>
    <n v="10010"/>
    <n v="-6.5998822847693946E-6"/>
    <n v="32364.213599999999"/>
    <x v="1"/>
    <n v="2"/>
    <x v="66"/>
  </r>
  <r>
    <d v="2026-03-30T00:00:00"/>
    <x v="72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10726"/>
    <m/>
    <n v="5886"/>
    <n v="6579000000"/>
    <n v="90760.621969999993"/>
    <n v="10010"/>
    <n v="4.1648017793510843E-6"/>
    <n v="90760.622000000003"/>
    <x v="1"/>
    <n v="10"/>
    <x v="4"/>
  </r>
  <r>
    <d v="2026-03-30T00:00:00"/>
    <x v="72"/>
    <s v="STOCK"/>
    <n v="3"/>
    <s v="STOCK"/>
    <n v="410045"/>
    <x v="75"/>
    <s v="UND"/>
    <n v="696"/>
    <m/>
    <n v="696"/>
    <n v="346.90660000000003"/>
    <n v="241447"/>
    <n v="241447"/>
    <n v="368.00139999999999"/>
    <n v="21.094799999999999"/>
    <n v="14681.9473"/>
    <n v="5.7322483121462146E-2"/>
    <m/>
    <n v="310726"/>
    <m/>
    <n v="5886"/>
    <n v="6579000000"/>
    <n v="256128.94725599996"/>
    <n v="10010"/>
    <n v="-5.7322608011817253E-2"/>
    <n v="256128.97440000001"/>
    <x v="1"/>
    <n v="696"/>
    <x v="68"/>
  </r>
  <r>
    <d v="2026-03-30T00:00:00"/>
    <x v="72"/>
    <s v="STOCK"/>
    <n v="3"/>
    <s v="STOCK"/>
    <n v="410126"/>
    <x v="108"/>
    <s v="UND"/>
    <n v="264"/>
    <m/>
    <n v="264"/>
    <n v="983.84849999999994"/>
    <n v="259736"/>
    <n v="259736"/>
    <n v="983.61890000000005"/>
    <n v="-0.2296"/>
    <n v="-60.615400000000001"/>
    <n v="-2.3342765467387495E-4"/>
    <m/>
    <n v="310726"/>
    <m/>
    <n v="5886"/>
    <n v="6579000000"/>
    <n v="259675.38458400001"/>
    <n v="10010"/>
    <n v="2.3342373758768891E-4"/>
    <n v="259675.38960000002"/>
    <x v="1"/>
    <n v="264"/>
    <x v="4"/>
  </r>
  <r>
    <d v="2026-03-30T00:00:00"/>
    <x v="72"/>
    <s v="STOCK"/>
    <n v="3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0726"/>
    <m/>
    <n v="5886"/>
    <n v="6579000000"/>
    <n v="763658.3333399999"/>
    <n v="10010"/>
    <n v="2.4280054540726018E-2"/>
    <n v="763658.33400000003"/>
    <x v="1"/>
    <n v="20"/>
    <x v="11"/>
  </r>
  <r>
    <d v="2026-03-30T00:00:00"/>
    <x v="72"/>
    <s v="STOCK"/>
    <n v="3"/>
    <s v="STOCK"/>
    <n v="407049"/>
    <x v="148"/>
    <s v="UND"/>
    <n v="155"/>
    <m/>
    <n v="155"/>
    <n v="16.2"/>
    <n v="2511"/>
    <n v="2511"/>
    <n v="16.202200000000001"/>
    <n v="2.2000000000000001E-3"/>
    <n v="0.33510000000000001"/>
    <n v="1.3343898178539354E-4"/>
    <m/>
    <n v="310726"/>
    <m/>
    <n v="5886"/>
    <n v="6579000000"/>
    <n v="2511.33511"/>
    <n v="10010"/>
    <n v="-1.357840293294724E-4"/>
    <n v="2511.3410000000003"/>
    <x v="1"/>
    <n v="155"/>
    <x v="4"/>
  </r>
  <r>
    <d v="2026-03-30T00:00:00"/>
    <x v="72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726"/>
    <m/>
    <n v="5886"/>
    <n v="6579000000"/>
    <n v="959764.51785405388"/>
    <n v="10010"/>
    <n v="-0.96822970634983885"/>
    <n v="959764.5"/>
    <x v="1"/>
    <n v="9000"/>
    <x v="63"/>
  </r>
  <r>
    <d v="2026-03-30T00:00:00"/>
    <x v="72"/>
    <s v="STOCK"/>
    <n v="3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0726"/>
    <m/>
    <n v="5886"/>
    <n v="6579000000"/>
    <n v="35000.185429999998"/>
    <n v="10010"/>
    <n v="-5.2971147976295791E-6"/>
    <n v="35000.185400000002"/>
    <x v="1"/>
    <n v="2"/>
    <x v="67"/>
  </r>
  <r>
    <d v="2026-03-30T00:00:00"/>
    <x v="72"/>
    <s v="STOCK"/>
    <n v="3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0726"/>
    <m/>
    <n v="5886"/>
    <n v="6579000000"/>
    <n v="921582.1671000002"/>
    <n v="10010"/>
    <n v="-1.8229519378380471E-7"/>
    <n v="921582.16799999995"/>
    <x v="0"/>
    <n v="60"/>
    <x v="3"/>
  </r>
  <r>
    <d v="2026-03-30T00:00:00"/>
    <x v="72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31"/>
    <n v="194000"/>
    <n v="5886"/>
    <n v="6579000000"/>
    <n v="194000"/>
    <n v="10010"/>
    <n v="0"/>
    <n v="194000"/>
    <x v="1"/>
    <n v="10"/>
    <x v="117"/>
  </r>
  <r>
    <d v="2026-03-30T00:00:00"/>
    <x v="72"/>
    <s v="STOCK"/>
    <n v="3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0742"/>
    <n v="873104"/>
    <n v="5886"/>
    <n v="6579000000"/>
    <n v="10545.292710000002"/>
    <n v="10010"/>
    <n v="8.0197633209320524E-2"/>
    <n v="10545.2925"/>
    <x v="1"/>
    <n v="5"/>
    <x v="28"/>
  </r>
  <r>
    <d v="2026-03-30T00:00:00"/>
    <x v="72"/>
    <s v="STOCK"/>
    <n v="3"/>
    <s v="STOCK"/>
    <n v="609008"/>
    <x v="30"/>
    <s v="LTS"/>
    <n v="5"/>
    <m/>
    <n v="5"/>
    <n v="2274.6"/>
    <n v="11373"/>
    <n v="11373"/>
    <n v="2130.7573000000002"/>
    <n v="-143.84270000000001"/>
    <n v="-719.21339999999998"/>
    <n v="-6.7507777316976547E-2"/>
    <m/>
    <n v="310742"/>
    <m/>
    <n v="5886"/>
    <n v="6579000000"/>
    <n v="10653.786550000001"/>
    <n v="10010"/>
    <n v="6.750778232696876E-2"/>
    <n v="10653.786500000002"/>
    <x v="1"/>
    <n v="5"/>
    <x v="27"/>
  </r>
  <r>
    <d v="2026-03-30T00:00:00"/>
    <x v="72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742"/>
    <m/>
    <n v="5886"/>
    <n v="6579000000"/>
    <n v="14287.56637"/>
    <n v="10010"/>
    <n v="2.4800234525592015E-3"/>
    <n v="14287.566500000001"/>
    <x v="1"/>
    <n v="5"/>
    <x v="81"/>
  </r>
  <r>
    <d v="2026-03-30T00:00:00"/>
    <x v="72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742"/>
    <m/>
    <n v="5886"/>
    <n v="6579000000"/>
    <n v="10210.598529999999"/>
    <n v="10010"/>
    <n v="3.9321886958966856E-5"/>
    <n v="10210.5985"/>
    <x v="1"/>
    <n v="5"/>
    <x v="82"/>
  </r>
  <r>
    <d v="2026-03-30T00:00:00"/>
    <x v="72"/>
    <s v="STOCK"/>
    <n v="3"/>
    <s v="STOCK"/>
    <n v="2304053"/>
    <x v="141"/>
    <s v="UND"/>
    <n v="24"/>
    <m/>
    <n v="24"/>
    <n v="893.5"/>
    <n v="21444"/>
    <n v="21444"/>
    <n v="862"/>
    <n v="-31.5"/>
    <n v="-756"/>
    <n v="-3.6542923433874573E-2"/>
    <m/>
    <n v="310742"/>
    <m/>
    <n v="5886"/>
    <n v="6579000000"/>
    <n v="20688.000000000004"/>
    <n v="10010"/>
    <n v="3.6542923433874712E-2"/>
    <n v="20688"/>
    <x v="1"/>
    <n v="24"/>
    <x v="4"/>
  </r>
  <r>
    <d v="2026-03-30T00:00:00"/>
    <x v="72"/>
    <s v="STOCK"/>
    <n v="3"/>
    <s v="STOCK"/>
    <n v="907031"/>
    <x v="158"/>
    <s v="RLL"/>
    <n v="4"/>
    <m/>
    <n v="4"/>
    <n v="154915.75"/>
    <n v="619663"/>
    <n v="619663"/>
    <n v="156269.1667"/>
    <n v="1353.4167"/>
    <n v="5413.6666999999998"/>
    <n v="8.6608042767904996E-3"/>
    <m/>
    <n v="310742"/>
    <m/>
    <n v="5886"/>
    <n v="6579000000"/>
    <n v="625076.66666800017"/>
    <n v="10010"/>
    <n v="-8.6608044861354056E-3"/>
    <n v="625076.66680000001"/>
    <x v="0"/>
    <n v="4"/>
    <x v="98"/>
  </r>
  <r>
    <d v="2026-03-30T00:00:00"/>
    <x v="72"/>
    <s v="STOCK"/>
    <n v="3"/>
    <s v="STOCK"/>
    <n v="704021"/>
    <x v="189"/>
    <s v="UND"/>
    <n v="60"/>
    <m/>
    <n v="60"/>
    <n v="487"/>
    <n v="29220"/>
    <n v="29220"/>
    <n v="487"/>
    <n v="0"/>
    <n v="0"/>
    <n v="0"/>
    <m/>
    <n v="310742"/>
    <m/>
    <n v="5886"/>
    <n v="6579000000"/>
    <n v="29220"/>
    <n v="10010"/>
    <n v="0"/>
    <n v="29220"/>
    <x v="1"/>
    <n v="60"/>
    <x v="118"/>
  </r>
  <r>
    <d v="2026-03-30T00:00:00"/>
    <x v="72"/>
    <s v="STOCK"/>
    <n v="3"/>
    <s v="STOCK"/>
    <n v="307033"/>
    <x v="190"/>
    <s v="UND"/>
    <n v="75"/>
    <m/>
    <n v="75"/>
    <n v="1889.6267"/>
    <n v="141722"/>
    <n v="141722"/>
    <n v="1889.0535"/>
    <n v="-0.57310000000000005"/>
    <n v="-42.984200000000001"/>
    <n v="-3.0339143561454527E-4"/>
    <m/>
    <n v="310742"/>
    <m/>
    <n v="5886"/>
    <n v="6579000000"/>
    <n v="141679.01579999999"/>
    <n v="10010"/>
    <n v="3.0343238028994024E-4"/>
    <n v="141679.01250000001"/>
    <x v="1"/>
    <n v="75"/>
    <x v="4"/>
  </r>
  <r>
    <d v="2026-03-30T00:00:00"/>
    <x v="72"/>
    <s v="STOCK"/>
    <n v="3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0742"/>
    <m/>
    <n v="5886"/>
    <n v="6579000000"/>
    <n v="13756.64"/>
    <n v="10010"/>
    <n v="2.9076952153807463E-5"/>
    <n v="13756.6"/>
    <x v="1"/>
    <n v="2000"/>
    <x v="4"/>
  </r>
  <r>
    <d v="2026-03-31T00:00:00"/>
    <x v="73"/>
    <s v="STOCK"/>
    <n v="3"/>
    <s v="STOCK"/>
    <n v="302048"/>
    <x v="86"/>
    <s v="PZA"/>
    <n v="108"/>
    <m/>
    <n v="108"/>
    <n v="13789.1389"/>
    <n v="1489227"/>
    <n v="1489227"/>
    <n v="13710.695"/>
    <n v="-78.443899999999999"/>
    <n v="-8471.9441999999999"/>
    <n v="-5.7213677433582176E-3"/>
    <m/>
    <n v="310862"/>
    <n v="2893944"/>
    <n v="5886"/>
    <n v="6579000000"/>
    <n v="1480755.0557880001"/>
    <n v="10010"/>
    <n v="5.7213656929864035E-3"/>
    <n v="1480755.06"/>
    <x v="0"/>
    <n v="108"/>
    <x v="2"/>
  </r>
  <r>
    <d v="2026-03-31T00:00:00"/>
    <x v="73"/>
    <s v="STOCK"/>
    <n v="3"/>
    <s v="STOCK"/>
    <n v="302028"/>
    <x v="72"/>
    <s v="PZA"/>
    <n v="120"/>
    <m/>
    <n v="120"/>
    <n v="4955.3999999999996"/>
    <n v="594648"/>
    <n v="594648"/>
    <n v="5123.8024999999998"/>
    <n v="168.4025"/>
    <n v="20208.303199999998"/>
    <n v="3.2866709072529789E-2"/>
    <m/>
    <n v="310862"/>
    <m/>
    <n v="5886"/>
    <n v="6579000000"/>
    <n v="614856.30324000015"/>
    <n v="10010"/>
    <n v="-3.2866703976197398E-2"/>
    <n v="614856.29999999993"/>
    <x v="0"/>
    <n v="120"/>
    <x v="65"/>
  </r>
  <r>
    <d v="2026-03-31T00:00:00"/>
    <x v="73"/>
    <s v="STOCK"/>
    <n v="3"/>
    <s v="STOCK"/>
    <n v="412301"/>
    <x v="166"/>
    <s v="UND"/>
    <n v="2000"/>
    <m/>
    <n v="2000"/>
    <n v="388.76"/>
    <n v="777520"/>
    <n v="777520"/>
    <n v="388.75979999999998"/>
    <n v="-2.0000000000000001E-4"/>
    <n v="-0.46"/>
    <n v="-5.9162500273045235E-7"/>
    <m/>
    <n v="310862"/>
    <m/>
    <n v="5886"/>
    <n v="6579000000"/>
    <n v="777519.54"/>
    <n v="10010"/>
    <n v="5.1445648445811355E-7"/>
    <n v="777519.6"/>
    <x v="1"/>
    <n v="2000"/>
    <x v="4"/>
  </r>
  <r>
    <d v="2026-03-31T00:00:00"/>
    <x v="73"/>
    <s v="STOCK"/>
    <n v="3"/>
    <s v="STOCK"/>
    <s v="70508X"/>
    <x v="191"/>
    <s v="UND"/>
    <n v="1"/>
    <m/>
    <n v="1"/>
    <n v="31553"/>
    <n v="31553"/>
    <n v="31553"/>
    <m/>
    <m/>
    <n v="-31553"/>
    <m/>
    <m/>
    <n v="310862"/>
    <m/>
    <n v="5886"/>
    <n v="6579000000"/>
    <s v=""/>
    <n v="10010"/>
    <e v="#DIV/0!"/>
    <n v="0"/>
    <x v="1"/>
    <n v="1"/>
    <x v="100"/>
  </r>
  <r>
    <d v="2026-03-31T00:00:00"/>
    <x v="73"/>
    <s v="STOCK"/>
    <n v="3"/>
    <s v="STOCK"/>
    <n v="701183"/>
    <x v="96"/>
    <s v="TRA"/>
    <n v="1"/>
    <m/>
    <n v="1"/>
    <n v="996"/>
    <n v="996"/>
    <n v="996"/>
    <n v="996.5"/>
    <n v="0.5"/>
    <n v="0.5"/>
    <n v="5.0175614651279475E-4"/>
    <m/>
    <n v="310862"/>
    <m/>
    <n v="5886"/>
    <n v="6579000000"/>
    <n v="996.5"/>
    <n v="10010"/>
    <n v="-5.0175614651279475E-4"/>
    <n v="996.5"/>
    <x v="1"/>
    <n v="1"/>
    <x v="84"/>
  </r>
  <r>
    <d v="2026-03-31T00:00:00"/>
    <x v="73"/>
    <s v="STOCK"/>
    <n v="3"/>
    <s v="STOCK"/>
    <n v="602254"/>
    <x v="142"/>
    <s v="TIN"/>
    <n v="1"/>
    <m/>
    <n v="1"/>
    <n v="46060"/>
    <n v="46060"/>
    <n v="46060"/>
    <n v="46060"/>
    <n v="0"/>
    <n v="0"/>
    <n v="0"/>
    <m/>
    <n v="310907"/>
    <n v="894529"/>
    <n v="5886"/>
    <n v="6579000000"/>
    <n v="46060"/>
    <n v="10010"/>
    <n v="0"/>
    <n v="46060"/>
    <x v="1"/>
    <n v="1"/>
    <x v="4"/>
  </r>
  <r>
    <d v="2026-03-31T00:00:00"/>
    <x v="73"/>
    <s v="STOCK"/>
    <n v="3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0907"/>
    <m/>
    <n v="5886"/>
    <n v="6579000000"/>
    <n v="47889.5"/>
    <n v="10010"/>
    <n v="1.0440702032804685E-5"/>
    <n v="47889.5"/>
    <x v="1"/>
    <n v="1"/>
    <x v="4"/>
  </r>
  <r>
    <d v="2026-03-31T00:00:00"/>
    <x v="73"/>
    <s v="STOCK"/>
    <n v="3"/>
    <s v="STOCK"/>
    <n v="1405040"/>
    <x v="179"/>
    <s v="UND"/>
    <n v="12"/>
    <m/>
    <n v="12"/>
    <n v="7568"/>
    <n v="90816"/>
    <n v="90816"/>
    <n v="7568"/>
    <n v="0"/>
    <n v="0"/>
    <n v="0"/>
    <m/>
    <n v="310907"/>
    <m/>
    <n v="5886"/>
    <n v="6579000000"/>
    <n v="90816"/>
    <n v="10010"/>
    <n v="0"/>
    <n v="90816"/>
    <x v="1"/>
    <n v="12"/>
    <x v="113"/>
  </r>
  <r>
    <d v="2026-03-31T00:00:00"/>
    <x v="73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907"/>
    <m/>
    <n v="5886"/>
    <n v="6579000000"/>
    <n v="709762.85999999987"/>
    <n v="10010"/>
    <n v="2.1133821040261184E-7"/>
    <n v="709762.8"/>
    <x v="0"/>
    <n v="1500"/>
    <x v="8"/>
  </r>
  <r>
    <d v="2026-04-01T00:00:00"/>
    <x v="74"/>
    <s v="STOCK"/>
    <n v="4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11004"/>
    <n v="6292847"/>
    <n v="5947"/>
    <n v="6579000000"/>
    <n v="1191160.0000000002"/>
    <n v="10010"/>
    <n v="0"/>
    <n v="1191160"/>
    <x v="0"/>
    <n v="40"/>
    <x v="97"/>
  </r>
  <r>
    <d v="2026-04-01T00:00:00"/>
    <x v="74"/>
    <s v="STOCK"/>
    <n v="4"/>
    <s v="STOCK"/>
    <n v="412260"/>
    <x v="16"/>
    <s v="UND"/>
    <n v="52"/>
    <m/>
    <n v="52"/>
    <n v="86746.9038"/>
    <n v="4510839"/>
    <n v="4510839"/>
    <n v="87567.442500000005"/>
    <n v="820.53859999999997"/>
    <n v="42668.008900000001"/>
    <n v="9.37036195903845E-3"/>
    <m/>
    <n v="311004"/>
    <m/>
    <n v="5947"/>
    <n v="6579000000"/>
    <n v="4553507.0088559994"/>
    <n v="10010"/>
    <n v="-9.3703627349857183E-3"/>
    <n v="4553507.01"/>
    <x v="0"/>
    <n v="52"/>
    <x v="14"/>
  </r>
  <r>
    <d v="2026-04-01T00:00:00"/>
    <x v="74"/>
    <s v="STOCK"/>
    <n v="4"/>
    <s v="STOCK"/>
    <n v="412280"/>
    <x v="15"/>
    <s v="UND"/>
    <n v="15"/>
    <m/>
    <n v="15"/>
    <n v="39389.866699999999"/>
    <n v="590848"/>
    <n v="590848"/>
    <n v="40002.920100000003"/>
    <n v="613.05340000000001"/>
    <n v="9195.8014000000003"/>
    <n v="1.5325216881869797E-2"/>
    <m/>
    <n v="311004"/>
    <m/>
    <n v="5947"/>
    <n v="6579000000"/>
    <n v="600043.80139499996"/>
    <n v="10010"/>
    <n v="-1.5325216220902941E-2"/>
    <n v="600043.80150000006"/>
    <x v="0"/>
    <n v="15"/>
    <x v="13"/>
  </r>
  <r>
    <d v="2026-04-01T00:00:00"/>
    <x v="74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1009"/>
    <n v="420245"/>
    <n v="5947"/>
    <n v="6579000000"/>
    <n v="9708"/>
    <n v="10010"/>
    <n v="0"/>
    <n v="9708"/>
    <x v="1"/>
    <n v="4"/>
    <x v="119"/>
  </r>
  <r>
    <d v="2026-04-01T00:00:00"/>
    <x v="74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1009"/>
    <m/>
    <n v="5947"/>
    <n v="6579000000"/>
    <n v="12764"/>
    <n v="10010"/>
    <n v="-7.8345346286430584E-5"/>
    <n v="12764"/>
    <x v="1"/>
    <n v="4"/>
    <x v="120"/>
  </r>
  <r>
    <d v="2026-04-01T00:00:00"/>
    <x v="74"/>
    <s v="STOCK"/>
    <n v="4"/>
    <s v="STOCK"/>
    <n v="701183"/>
    <x v="96"/>
    <s v="TRA"/>
    <n v="1"/>
    <m/>
    <n v="1"/>
    <n v="997"/>
    <n v="997"/>
    <n v="997"/>
    <n v="996.5"/>
    <n v="-0.5"/>
    <n v="-0.5"/>
    <n v="-5.0175614651279475E-4"/>
    <m/>
    <n v="311009"/>
    <m/>
    <n v="5947"/>
    <n v="6579000000"/>
    <n v="996.5"/>
    <n v="10010"/>
    <n v="5.0175614651279475E-4"/>
    <n v="996.5"/>
    <x v="1"/>
    <n v="1"/>
    <x v="84"/>
  </r>
  <r>
    <d v="2026-04-01T00:00:00"/>
    <x v="74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009"/>
    <m/>
    <n v="5947"/>
    <n v="6579000000"/>
    <n v="24350"/>
    <n v="10010"/>
    <n v="0"/>
    <n v="24350"/>
    <x v="1"/>
    <n v="50"/>
    <x v="118"/>
  </r>
  <r>
    <d v="2026-04-01T00:00:00"/>
    <x v="74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009"/>
    <m/>
    <n v="5947"/>
    <n v="6579000000"/>
    <n v="18890.53544"/>
    <n v="10010"/>
    <n v="2.8929831791419546E-4"/>
    <n v="18890.535"/>
    <x v="1"/>
    <n v="10"/>
    <x v="4"/>
  </r>
  <r>
    <d v="2026-04-01T00:00:00"/>
    <x v="74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1009"/>
    <m/>
    <n v="5947"/>
    <n v="6579000000"/>
    <n v="1866.9503550000009"/>
    <n v="10010"/>
    <n v="2.6567390328128124E-5"/>
    <n v="1866.9503999999999"/>
    <x v="1"/>
    <n v="1"/>
    <x v="4"/>
  </r>
  <r>
    <d v="2026-04-01T00:00:00"/>
    <x v="74"/>
    <s v="STOCK"/>
    <n v="4"/>
    <s v="STOCK"/>
    <n v="2302024"/>
    <x v="150"/>
    <s v="GAL"/>
    <n v="2"/>
    <m/>
    <n v="2"/>
    <n v="20916.5"/>
    <n v="41833"/>
    <n v="41833"/>
    <n v="22292"/>
    <n v="1375.5"/>
    <n v="2751"/>
    <n v="6.1703750224295709E-2"/>
    <m/>
    <n v="311009"/>
    <m/>
    <n v="5947"/>
    <n v="6579000000"/>
    <n v="44584"/>
    <n v="10010"/>
    <n v="-6.1703750224295709E-2"/>
    <n v="44584"/>
    <x v="1"/>
    <n v="2"/>
    <x v="4"/>
  </r>
  <r>
    <d v="2026-04-01T00:00:00"/>
    <x v="74"/>
    <s v="STOCK"/>
    <n v="4"/>
    <s v="STOCK"/>
    <n v="907031"/>
    <x v="158"/>
    <s v="RLL"/>
    <n v="2"/>
    <m/>
    <n v="2"/>
    <n v="154915.5"/>
    <n v="309831"/>
    <n v="309831"/>
    <n v="156269.1667"/>
    <n v="1353.6667"/>
    <n v="2707.3332999999998"/>
    <n v="8.662404080547902E-3"/>
    <m/>
    <n v="311009"/>
    <m/>
    <n v="5947"/>
    <n v="6579000000"/>
    <n v="312538.33333400008"/>
    <n v="10010"/>
    <n v="-8.6624042898924697E-3"/>
    <n v="312538.3334"/>
    <x v="0"/>
    <n v="2"/>
    <x v="98"/>
  </r>
  <r>
    <d v="2026-04-01T00:00:00"/>
    <x v="74"/>
    <s v="STOCK"/>
    <n v="4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1068"/>
    <n v="5584698"/>
    <n v="5947"/>
    <n v="6579000000"/>
    <n v="2921489.9999999986"/>
    <n v="10010"/>
    <n v="-5.1688693098400854E-5"/>
    <n v="2921490"/>
    <x v="0"/>
    <n v="195"/>
    <x v="99"/>
  </r>
  <r>
    <d v="2026-04-01T00:00:00"/>
    <x v="74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068"/>
    <m/>
    <n v="5947"/>
    <n v="6579000000"/>
    <n v="959764.51785405388"/>
    <n v="10010"/>
    <n v="-0.96822970634983885"/>
    <n v="959764.5"/>
    <x v="1"/>
    <n v="9000"/>
    <x v="63"/>
  </r>
  <r>
    <d v="2026-04-01T00:00:00"/>
    <x v="74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068"/>
    <m/>
    <n v="5947"/>
    <n v="6579000000"/>
    <n v="70000.000000000058"/>
    <n v="10010"/>
    <n v="0"/>
    <n v="70000"/>
    <x v="1"/>
    <n v="2"/>
    <x v="89"/>
  </r>
  <r>
    <d v="2026-04-01T00:00:00"/>
    <x v="74"/>
    <s v="STOCK"/>
    <n v="4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11068"/>
    <m/>
    <n v="5947"/>
    <n v="6579000000"/>
    <n v="1622474.7756000008"/>
    <n v="10010"/>
    <n v="-3.6720348807590198E-3"/>
    <n v="1622474.784"/>
    <x v="0"/>
    <n v="168"/>
    <x v="0"/>
  </r>
  <r>
    <d v="2026-04-01T00:00:00"/>
    <x v="74"/>
    <s v="STOCK"/>
    <n v="4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1068"/>
    <m/>
    <n v="5947"/>
    <n v="6579000000"/>
    <n v="946350.47999999986"/>
    <n v="10010"/>
    <n v="-4.2267642092535555E-7"/>
    <n v="946350.4"/>
    <x v="0"/>
    <n v="2000"/>
    <x v="8"/>
  </r>
  <r>
    <d v="2026-04-02T00:00:00"/>
    <x v="75"/>
    <s v="STOCK"/>
    <n v="4"/>
    <s v="STOCK"/>
    <n v="106022"/>
    <x v="157"/>
    <s v="UND"/>
    <n v="5"/>
    <m/>
    <n v="5"/>
    <n v="3800.4"/>
    <n v="19002"/>
    <n v="19002"/>
    <n v="3800.6911"/>
    <n v="0.29110000000000003"/>
    <n v="1.4555"/>
    <n v="7.659107052322059E-5"/>
    <m/>
    <n v="311098"/>
    <n v="2383022"/>
    <n v="5947"/>
    <n v="6579000000"/>
    <n v="19003.455494999998"/>
    <n v="10010"/>
    <n v="-7.6591333612961826E-5"/>
    <n v="19003.4555"/>
    <x v="1"/>
    <n v="5"/>
    <x v="4"/>
  </r>
  <r>
    <d v="2026-04-02T00:00:00"/>
    <x v="75"/>
    <s v="STOCK"/>
    <n v="4"/>
    <s v="STOCK"/>
    <s v="70508x"/>
    <x v="191"/>
    <s v="UND"/>
    <n v="2"/>
    <n v="2"/>
    <n v="0"/>
    <n v="31553"/>
    <n v="63106"/>
    <n v="0"/>
    <m/>
    <m/>
    <n v="0"/>
    <m/>
    <m/>
    <n v="311098"/>
    <m/>
    <n v="5947"/>
    <n v="6579000000"/>
    <s v=""/>
    <n v="10010"/>
    <e v="#DIV/0!"/>
    <n v="0"/>
    <x v="1"/>
    <n v="0"/>
    <x v="100"/>
  </r>
  <r>
    <d v="2026-04-02T00:00:00"/>
    <x v="75"/>
    <s v="STOCK"/>
    <n v="4"/>
    <s v="STOCK"/>
    <n v="701183"/>
    <x v="96"/>
    <s v="TRA"/>
    <n v="2"/>
    <m/>
    <n v="2"/>
    <n v="996.5"/>
    <n v="1993"/>
    <n v="1993"/>
    <n v="996.5"/>
    <n v="0"/>
    <n v="0"/>
    <n v="0"/>
    <m/>
    <n v="311098"/>
    <m/>
    <n v="5947"/>
    <n v="6579000000"/>
    <n v="1993"/>
    <n v="10010"/>
    <n v="0"/>
    <n v="1993"/>
    <x v="1"/>
    <n v="2"/>
    <x v="84"/>
  </r>
  <r>
    <d v="2026-04-02T00:00:00"/>
    <x v="75"/>
    <s v="STOCK"/>
    <n v="4"/>
    <s v="STOCK"/>
    <n v="907031"/>
    <x v="158"/>
    <s v="RLL"/>
    <n v="4"/>
    <m/>
    <n v="4"/>
    <n v="154915.75"/>
    <n v="619663"/>
    <n v="619663"/>
    <n v="156269.1667"/>
    <n v="1353.4167"/>
    <n v="5413.6666999999998"/>
    <n v="8.6608042767904996E-3"/>
    <m/>
    <n v="311098"/>
    <m/>
    <n v="5947"/>
    <n v="6579000000"/>
    <n v="625076.66666800017"/>
    <n v="10010"/>
    <n v="-8.6608044861354056E-3"/>
    <n v="625076.66680000001"/>
    <x v="0"/>
    <n v="4"/>
    <x v="98"/>
  </r>
  <r>
    <d v="2026-04-02T00:00:00"/>
    <x v="75"/>
    <s v="STOCK"/>
    <n v="4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1098"/>
    <m/>
    <n v="5947"/>
    <n v="6579000000"/>
    <n v="13756.64"/>
    <n v="10010"/>
    <n v="2.9076952153807463E-5"/>
    <n v="13756.6"/>
    <x v="1"/>
    <n v="2000"/>
    <x v="4"/>
  </r>
  <r>
    <d v="2026-04-02T00:00:00"/>
    <x v="75"/>
    <s v="STOCK"/>
    <n v="4"/>
    <s v="STOCK"/>
    <n v="704079"/>
    <x v="138"/>
    <s v="RLL"/>
    <n v="10"/>
    <m/>
    <n v="10"/>
    <n v="755.7"/>
    <n v="7557"/>
    <n v="7557"/>
    <n v="755.70489999999995"/>
    <n v="4.8999999999999998E-3"/>
    <n v="4.8800000000000003E-2"/>
    <n v="6.460193808768214E-6"/>
    <m/>
    <n v="311098"/>
    <m/>
    <n v="5947"/>
    <n v="6579000000"/>
    <n v="7557.04882"/>
    <n v="10010"/>
    <n v="-6.4840124761753799E-6"/>
    <n v="7557.0489999999991"/>
    <x v="1"/>
    <n v="10"/>
    <x v="4"/>
  </r>
  <r>
    <d v="2026-04-02T00:00:00"/>
    <x v="75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1098"/>
    <m/>
    <n v="5947"/>
    <n v="6579000000"/>
    <n v="95779"/>
    <n v="10010"/>
    <n v="1.0440702032804685E-5"/>
    <n v="95779"/>
    <x v="1"/>
    <n v="2"/>
    <x v="4"/>
  </r>
  <r>
    <d v="2026-04-02T00:00:00"/>
    <x v="75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1098"/>
    <m/>
    <n v="5947"/>
    <n v="6579000000"/>
    <n v="92120"/>
    <n v="10010"/>
    <n v="0"/>
    <n v="92120"/>
    <x v="1"/>
    <n v="2"/>
    <x v="4"/>
  </r>
  <r>
    <d v="2026-04-02T00:00:00"/>
    <x v="75"/>
    <s v="STOCK"/>
    <n v="4"/>
    <s v="STOCK"/>
    <n v="2302017"/>
    <x v="106"/>
    <s v="TIN"/>
    <n v="4"/>
    <m/>
    <n v="4"/>
    <n v="81199.5"/>
    <n v="324798"/>
    <n v="324798"/>
    <n v="81197.881599999993"/>
    <n v="-1.6184000000000001"/>
    <n v="-6.4737"/>
    <n v="-1.9931813103355797E-5"/>
    <m/>
    <n v="311098"/>
    <m/>
    <n v="5947"/>
    <n v="6579000000"/>
    <n v="324791.52631599992"/>
    <n v="10010"/>
    <n v="1.9931554470586818E-5"/>
    <n v="324791.52639999997"/>
    <x v="1"/>
    <n v="4"/>
    <x v="4"/>
  </r>
  <r>
    <d v="2026-04-02T00:00:00"/>
    <x v="75"/>
    <s v="STOCK"/>
    <n v="4"/>
    <s v="STOCK"/>
    <n v="1801735"/>
    <x v="43"/>
    <s v="UND"/>
    <n v="3"/>
    <m/>
    <n v="3"/>
    <n v="3863"/>
    <n v="11589"/>
    <n v="11589"/>
    <n v="3495"/>
    <n v="-368"/>
    <n v="-1104"/>
    <n v="-0.10529327610872675"/>
    <m/>
    <n v="311098"/>
    <m/>
    <n v="5947"/>
    <n v="6579000000"/>
    <n v="10485"/>
    <n v="10010"/>
    <n v="0.10529327610872675"/>
    <n v="10485"/>
    <x v="1"/>
    <n v="3"/>
    <x v="39"/>
  </r>
  <r>
    <d v="2026-04-02T00:00:00"/>
    <x v="75"/>
    <s v="STOCK"/>
    <n v="4"/>
    <s v="STOCK"/>
    <n v="1405040"/>
    <x v="179"/>
    <s v="UND"/>
    <n v="14"/>
    <m/>
    <n v="14"/>
    <n v="7568"/>
    <n v="105952"/>
    <n v="105952"/>
    <n v="7568"/>
    <n v="0"/>
    <n v="0"/>
    <n v="0"/>
    <m/>
    <n v="311098"/>
    <m/>
    <n v="5947"/>
    <n v="6579000000"/>
    <n v="105952"/>
    <n v="10010"/>
    <n v="0"/>
    <n v="105952"/>
    <x v="1"/>
    <n v="14"/>
    <x v="113"/>
  </r>
  <r>
    <d v="2026-04-02T00:00:00"/>
    <x v="75"/>
    <s v="STOCK"/>
    <n v="4"/>
    <s v="STOCK"/>
    <n v="1405039"/>
    <x v="180"/>
    <s v="UND"/>
    <n v="7"/>
    <m/>
    <n v="7"/>
    <n v="7596"/>
    <n v="53172"/>
    <n v="53172"/>
    <n v="7596"/>
    <n v="0"/>
    <n v="0"/>
    <n v="0"/>
    <m/>
    <n v="311098"/>
    <m/>
    <n v="5947"/>
    <n v="6579000000"/>
    <n v="53172"/>
    <n v="10010"/>
    <n v="0"/>
    <n v="53172"/>
    <x v="1"/>
    <n v="7"/>
    <x v="114"/>
  </r>
  <r>
    <d v="2026-04-02T00:00:00"/>
    <x v="75"/>
    <s v="STOCK"/>
    <n v="4"/>
    <s v="STOCK"/>
    <n v="1803045"/>
    <x v="164"/>
    <s v="KIT"/>
    <n v="10"/>
    <m/>
    <n v="10"/>
    <n v="51886.400000000001"/>
    <n v="518864"/>
    <n v="518864"/>
    <n v="51873"/>
    <n v="-13.4"/>
    <n v="-134"/>
    <n v="-2.5832321246137166E-4"/>
    <m/>
    <n v="311098"/>
    <m/>
    <n v="5947"/>
    <n v="6579000000"/>
    <n v="518729.99999999994"/>
    <n v="10010"/>
    <n v="2.5832321246123136E-4"/>
    <n v="518730"/>
    <x v="0"/>
    <n v="10"/>
    <x v="57"/>
  </r>
  <r>
    <d v="2026-04-02T00:00:00"/>
    <x v="75"/>
    <s v="STOCK"/>
    <n v="4"/>
    <s v="STOCK"/>
    <n v="1803044"/>
    <x v="163"/>
    <s v="KIT"/>
    <n v="10"/>
    <m/>
    <n v="10"/>
    <n v="51877.5"/>
    <n v="518775"/>
    <n v="518775"/>
    <n v="52920"/>
    <n v="1042.5"/>
    <n v="10425"/>
    <n v="1.9699546485260771E-2"/>
    <m/>
    <n v="311098"/>
    <m/>
    <n v="5947"/>
    <n v="6579000000"/>
    <n v="529200"/>
    <n v="10010"/>
    <n v="-1.9699546485260771E-2"/>
    <n v="529200"/>
    <x v="1"/>
    <n v="10"/>
    <x v="100"/>
  </r>
  <r>
    <d v="2026-04-02T00:00:00"/>
    <x v="75"/>
    <s v="STOCK"/>
    <n v="4"/>
    <s v="STOCK"/>
    <n v="704046"/>
    <x v="156"/>
    <s v="RLL"/>
    <n v="8"/>
    <m/>
    <n v="8"/>
    <n v="9076"/>
    <n v="72608"/>
    <n v="72608"/>
    <n v="9076.0622000000003"/>
    <n v="6.2199999999999998E-2"/>
    <n v="0.49759999999999999"/>
    <n v="6.8528618084685054E-6"/>
    <m/>
    <n v="311103"/>
    <n v="5658072"/>
    <n v="5947"/>
    <n v="6579000000"/>
    <n v="72608.497576000009"/>
    <n v="10010"/>
    <n v="-6.8531923459386027E-6"/>
    <n v="72608.497600000002"/>
    <x v="1"/>
    <n v="8"/>
    <x v="4"/>
  </r>
  <r>
    <d v="2026-04-02T00:00:00"/>
    <x v="75"/>
    <s v="STOCK"/>
    <n v="4"/>
    <s v="STOCK"/>
    <n v="2304016"/>
    <x v="195"/>
    <s v="UND"/>
    <n v="12"/>
    <m/>
    <n v="12"/>
    <n v="3479.0832999999998"/>
    <n v="41749"/>
    <n v="41749"/>
    <m/>
    <m/>
    <n v="-41749"/>
    <m/>
    <m/>
    <n v="311103"/>
    <m/>
    <n v="5947"/>
    <n v="6579000000"/>
    <s v=""/>
    <n v="10010"/>
    <e v="#DIV/0!"/>
    <n v="0"/>
    <x v="1"/>
    <n v="12"/>
    <x v="100"/>
  </r>
  <r>
    <d v="2026-04-02T00:00:00"/>
    <x v="75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1103"/>
    <m/>
    <n v="5947"/>
    <n v="6579000000"/>
    <n v="4601.7689049999999"/>
    <n v="10010"/>
    <n v="3.1559819712810445E-2"/>
    <n v="4601.7690000000002"/>
    <x v="1"/>
    <n v="5"/>
    <x v="4"/>
  </r>
  <r>
    <d v="2026-04-02T00:00:00"/>
    <x v="75"/>
    <s v="STOCK"/>
    <n v="4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1103"/>
    <m/>
    <n v="5947"/>
    <n v="6579000000"/>
    <n v="301407.95091999992"/>
    <n v="10010"/>
    <n v="3.2198553381891068E-4"/>
    <n v="301407.951"/>
    <x v="1"/>
    <n v="2"/>
    <x v="4"/>
  </r>
  <r>
    <d v="2026-04-02T00:00:00"/>
    <x v="75"/>
    <s v="STOCK"/>
    <n v="4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1103"/>
    <m/>
    <n v="5947"/>
    <n v="6579000000"/>
    <n v="446685"/>
    <n v="10010"/>
    <n v="0.31116782632056145"/>
    <n v="446685"/>
    <x v="0"/>
    <n v="15"/>
    <x v="4"/>
  </r>
  <r>
    <d v="2026-04-02T00:00:00"/>
    <x v="75"/>
    <s v="STOCK"/>
    <n v="4"/>
    <s v="STOCK"/>
    <n v="407222"/>
    <x v="196"/>
    <s v="UND"/>
    <n v="500"/>
    <m/>
    <n v="500"/>
    <n v="17.463999999999999"/>
    <n v="8732"/>
    <n v="8732"/>
    <m/>
    <m/>
    <n v="-8732"/>
    <m/>
    <m/>
    <n v="311103"/>
    <m/>
    <n v="5947"/>
    <n v="6579000000"/>
    <s v=""/>
    <n v="10010"/>
    <e v="#DIV/0!"/>
    <n v="0"/>
    <x v="1"/>
    <n v="500"/>
    <x v="100"/>
  </r>
  <r>
    <d v="2026-04-02T00:00:00"/>
    <x v="75"/>
    <s v="STOCK"/>
    <n v="4"/>
    <s v="STOCK"/>
    <n v="407307"/>
    <x v="111"/>
    <s v="UND"/>
    <n v="500"/>
    <m/>
    <n v="500"/>
    <n v="68.872"/>
    <n v="34436"/>
    <n v="34436"/>
    <n v="69.472800000000007"/>
    <n v="0.6008"/>
    <n v="300.38749999999999"/>
    <n v="8.6476321120035685E-3"/>
    <m/>
    <n v="311103"/>
    <m/>
    <n v="5947"/>
    <n v="6579000000"/>
    <n v="34736.387499999997"/>
    <n v="10010"/>
    <n v="-8.6479888531915596E-3"/>
    <n v="34736.400000000001"/>
    <x v="1"/>
    <n v="500"/>
    <x v="4"/>
  </r>
  <r>
    <d v="2026-04-02T00:00:00"/>
    <x v="75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1103"/>
    <m/>
    <n v="5947"/>
    <n v="6579000000"/>
    <n v="139999.8464000001"/>
    <n v="10010"/>
    <n v="1.1428584490190236E-6"/>
    <n v="139999.84"/>
    <x v="1"/>
    <n v="200"/>
    <x v="4"/>
  </r>
  <r>
    <d v="2026-04-02T00:00:00"/>
    <x v="75"/>
    <s v="STOCK"/>
    <n v="4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11103"/>
    <m/>
    <n v="5947"/>
    <n v="6579000000"/>
    <n v="935.75959799999998"/>
    <n v="10010"/>
    <n v="2.5679669684433674E-4"/>
    <n v="935.75969999999995"/>
    <x v="1"/>
    <n v="3"/>
    <x v="104"/>
  </r>
  <r>
    <d v="2026-04-02T00:00:00"/>
    <x v="75"/>
    <s v="STOCK"/>
    <n v="4"/>
    <s v="STOCK"/>
    <n v="302048"/>
    <x v="86"/>
    <s v="PZA"/>
    <n v="324"/>
    <m/>
    <n v="324"/>
    <n v="13789.1358"/>
    <n v="4467680"/>
    <n v="4467680"/>
    <n v="13710.695"/>
    <n v="-78.440799999999996"/>
    <n v="-25414.832600000002"/>
    <n v="-5.7211426329782395E-3"/>
    <m/>
    <n v="311103"/>
    <m/>
    <n v="5947"/>
    <n v="6579000000"/>
    <n v="4442265.1673639994"/>
    <n v="10010"/>
    <n v="5.7211395921213555E-3"/>
    <n v="4442265.18"/>
    <x v="0"/>
    <n v="324"/>
    <x v="2"/>
  </r>
  <r>
    <d v="2026-04-02T00:00:00"/>
    <x v="75"/>
    <s v="STOCK"/>
    <n v="4"/>
    <s v="STOCK"/>
    <n v="304002"/>
    <x v="12"/>
    <s v="PL"/>
    <n v="72"/>
    <m/>
    <n v="72"/>
    <n v="21604.1528"/>
    <n v="1555499"/>
    <n v="1555499"/>
    <n v="21246.5072"/>
    <n v="-357.6456"/>
    <n v="-25750.485000000001"/>
    <n v="-1.6833149194938408E-2"/>
    <m/>
    <n v="311106"/>
    <n v="1555499"/>
    <n v="5947"/>
    <n v="6579000000"/>
    <n v="1529748.5150160005"/>
    <n v="10010"/>
    <n v="1.6833147991496683E-2"/>
    <n v="1529748.5183999999"/>
    <x v="0"/>
    <n v="72"/>
    <x v="10"/>
  </r>
  <r>
    <d v="2026-04-02T00:00:00"/>
    <x v="75"/>
    <s v="STOCK"/>
    <n v="4"/>
    <s v="STOCK"/>
    <n v="307032"/>
    <x v="121"/>
    <s v="TRA"/>
    <n v="5"/>
    <m/>
    <n v="5"/>
    <n v="2280"/>
    <n v="11400"/>
    <n v="11400"/>
    <n v="2378.375"/>
    <n v="98.375"/>
    <n v="491.87520000000001"/>
    <n v="4.1362291187952219E-2"/>
    <m/>
    <n v="311185"/>
    <n v="58878"/>
    <n v="5947"/>
    <n v="6579000000"/>
    <n v="11891.875204999998"/>
    <n v="10010"/>
    <n v="-4.1362274662321966E-2"/>
    <n v="11891.875"/>
    <x v="1"/>
    <n v="5"/>
    <x v="4"/>
  </r>
  <r>
    <d v="2026-04-02T00:00:00"/>
    <x v="75"/>
    <s v="STOCK"/>
    <n v="4"/>
    <s v="STOCK"/>
    <n v="307096"/>
    <x v="197"/>
    <s v="TRA"/>
    <n v="20"/>
    <m/>
    <n v="20"/>
    <n v="1795.6"/>
    <n v="35912"/>
    <n v="35912"/>
    <n v="2095.3501000000001"/>
    <n v="299.75009999999997"/>
    <n v="5995.0025999999998"/>
    <n v="0.14305491232773293"/>
    <m/>
    <n v="311185"/>
    <m/>
    <n v="5947"/>
    <n v="6579000000"/>
    <n v="41907.002579999971"/>
    <n v="10010"/>
    <n v="-0.14305490046746852"/>
    <n v="41907.002"/>
    <x v="0"/>
    <n v="20"/>
    <x v="121"/>
  </r>
  <r>
    <d v="2026-04-02T00:00:00"/>
    <x v="75"/>
    <s v="STOCK"/>
    <n v="4"/>
    <s v="STOCK"/>
    <n v="704022"/>
    <x v="198"/>
    <s v="UND"/>
    <n v="4"/>
    <m/>
    <n v="4"/>
    <n v="258.5"/>
    <n v="1034"/>
    <n v="1034"/>
    <n v="306"/>
    <n v="47.5"/>
    <n v="190"/>
    <n v="0.15522875816993481"/>
    <m/>
    <n v="311185"/>
    <m/>
    <n v="5947"/>
    <n v="6579000000"/>
    <n v="1224.0000000000002"/>
    <n v="10010"/>
    <n v="-0.15522875816993464"/>
    <n v="1224"/>
    <x v="1"/>
    <n v="4"/>
    <x v="122"/>
  </r>
  <r>
    <d v="2026-04-02T00:00:00"/>
    <x v="75"/>
    <s v="STOCK"/>
    <n v="4"/>
    <s v="STOCK"/>
    <n v="704024"/>
    <x v="199"/>
    <s v="UND"/>
    <n v="4"/>
    <m/>
    <n v="4"/>
    <n v="318"/>
    <n v="1272"/>
    <n v="1272"/>
    <n v="363"/>
    <n v="45"/>
    <n v="180"/>
    <n v="0.12396694214876032"/>
    <m/>
    <n v="311185"/>
    <m/>
    <n v="5947"/>
    <n v="6579000000"/>
    <n v="1452"/>
    <n v="10010"/>
    <n v="-0.12396694214876033"/>
    <n v="1452"/>
    <x v="1"/>
    <n v="4"/>
    <x v="123"/>
  </r>
  <r>
    <d v="2026-04-02T00:00:00"/>
    <x v="75"/>
    <s v="STOCK"/>
    <n v="4"/>
    <s v="STOCK"/>
    <n v="704025"/>
    <x v="200"/>
    <s v="UND"/>
    <n v="2"/>
    <m/>
    <n v="2"/>
    <n v="580"/>
    <n v="1160"/>
    <n v="1160"/>
    <n v="580"/>
    <n v="0"/>
    <n v="0"/>
    <n v="0"/>
    <m/>
    <n v="311185"/>
    <m/>
    <n v="5947"/>
    <n v="6579000000"/>
    <n v="1160"/>
    <n v="10010"/>
    <n v="0"/>
    <n v="1160"/>
    <x v="1"/>
    <n v="2"/>
    <x v="124"/>
  </r>
  <r>
    <d v="2026-04-02T00:00:00"/>
    <x v="75"/>
    <s v="STOCK"/>
    <n v="4"/>
    <s v="STOCK"/>
    <n v="307031"/>
    <x v="36"/>
    <s v="UND"/>
    <n v="3"/>
    <m/>
    <n v="3"/>
    <n v="2700"/>
    <n v="8100"/>
    <n v="8100"/>
    <n v="2699.9985999999999"/>
    <n v="-1.4E-3"/>
    <n v="-4.1999999999999997E-3"/>
    <n v="-5.1666693335944687E-7"/>
    <m/>
    <n v="311185"/>
    <m/>
    <n v="5947"/>
    <n v="6579000000"/>
    <n v="8099.995815000002"/>
    <n v="10010"/>
    <n v="5.1851878741837811E-7"/>
    <n v="8099.9957999999997"/>
    <x v="1"/>
    <n v="3"/>
    <x v="32"/>
  </r>
  <r>
    <d v="2026-04-02T00:00:00"/>
    <x v="75"/>
    <s v="STOCK"/>
    <n v="4"/>
    <s v="STOCK"/>
    <n v="1103074"/>
    <x v="192"/>
    <s v="UND"/>
    <n v="24"/>
    <m/>
    <n v="24"/>
    <n v="2426.9167000000002"/>
    <n v="58246"/>
    <n v="58246"/>
    <n v="2427"/>
    <n v="8.3299999999999999E-2"/>
    <n v="2"/>
    <n v="3.4335942865053532E-5"/>
    <m/>
    <n v="311194"/>
    <n v="103087"/>
    <n v="5947"/>
    <n v="6579000000"/>
    <n v="58248"/>
    <n v="10010"/>
    <n v="-3.4322208487754839E-5"/>
    <n v="58248"/>
    <x v="1"/>
    <n v="24"/>
    <x v="119"/>
  </r>
  <r>
    <d v="2026-04-02T00:00:00"/>
    <x v="75"/>
    <s v="STOCK"/>
    <n v="4"/>
    <s v="STOCK"/>
    <n v="1103076"/>
    <x v="193"/>
    <s v="UND"/>
    <n v="8"/>
    <m/>
    <n v="8"/>
    <n v="3190.75"/>
    <n v="25526"/>
    <n v="25526"/>
    <n v="3191"/>
    <n v="0.25"/>
    <n v="2"/>
    <n v="7.8345346286430597E-5"/>
    <m/>
    <n v="311194"/>
    <m/>
    <n v="5947"/>
    <n v="6579000000"/>
    <n v="25528"/>
    <n v="10010"/>
    <n v="-7.8345346286430584E-5"/>
    <n v="25528"/>
    <x v="1"/>
    <n v="8"/>
    <x v="120"/>
  </r>
  <r>
    <d v="2026-04-02T00:00:00"/>
    <x v="75"/>
    <s v="STOCK"/>
    <n v="4"/>
    <s v="STOCK"/>
    <n v="1801735"/>
    <x v="43"/>
    <s v="UND"/>
    <n v="5"/>
    <m/>
    <n v="5"/>
    <n v="3863"/>
    <n v="19315"/>
    <n v="19315"/>
    <n v="3495"/>
    <n v="-368"/>
    <n v="-1840"/>
    <n v="-0.10529327610872675"/>
    <m/>
    <n v="311194"/>
    <m/>
    <n v="5947"/>
    <n v="6579000000"/>
    <n v="17475"/>
    <n v="10010"/>
    <n v="0.10529327610872675"/>
    <n v="17475"/>
    <x v="1"/>
    <n v="5"/>
    <x v="39"/>
  </r>
  <r>
    <d v="2026-04-06T00:00:00"/>
    <x v="76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1251"/>
    <n v="1591863"/>
    <n v="5947"/>
    <n v="6579000000"/>
    <n v="473175.23999999993"/>
    <n v="10010"/>
    <n v="-4.2267642092535555E-7"/>
    <n v="473175.2"/>
    <x v="0"/>
    <n v="1000"/>
    <x v="8"/>
  </r>
  <r>
    <d v="2026-04-06T00:00:00"/>
    <x v="76"/>
    <s v="STOCK"/>
    <n v="4"/>
    <s v="STOCK"/>
    <n v="1901008"/>
    <x v="6"/>
    <s v="M2"/>
    <n v="135"/>
    <m/>
    <n v="135"/>
    <n v="2059.2963"/>
    <n v="278005"/>
    <n v="278005"/>
    <n v="2112.7957999999999"/>
    <n v="53.499499999999998"/>
    <n v="7222.4301999999998"/>
    <n v="2.5321653533890348E-2"/>
    <m/>
    <n v="311251"/>
    <m/>
    <n v="5947"/>
    <n v="6579000000"/>
    <n v="285227.43016500003"/>
    <n v="10010"/>
    <n v="-2.5321661468656793E-2"/>
    <n v="285227.43299999996"/>
    <x v="0"/>
    <n v="135"/>
    <x v="6"/>
  </r>
  <r>
    <d v="2026-04-06T00:00:00"/>
    <x v="76"/>
    <s v="STOCK"/>
    <n v="4"/>
    <s v="STOCK"/>
    <n v="1901038"/>
    <x v="14"/>
    <s v="M2"/>
    <n v="54"/>
    <m/>
    <n v="54"/>
    <n v="4480.6481000000003"/>
    <n v="241955"/>
    <n v="241955"/>
    <n v="4197.4179000000004"/>
    <n v="-283.2303"/>
    <n v="-15294.4347"/>
    <n v="-6.7477263780449007E-2"/>
    <m/>
    <n v="311251"/>
    <m/>
    <n v="5947"/>
    <n v="6579000000"/>
    <n v="226660.56525000004"/>
    <n v="10010"/>
    <n v="6.747724595161228E-2"/>
    <n v="226660.56660000002"/>
    <x v="0"/>
    <n v="54"/>
    <x v="12"/>
  </r>
  <r>
    <d v="2026-04-06T00:00:00"/>
    <x v="76"/>
    <s v="STOCK"/>
    <n v="4"/>
    <s v="STOCK"/>
    <n v="1901086"/>
    <x v="149"/>
    <s v="M2"/>
    <n v="81"/>
    <m/>
    <n v="81"/>
    <n v="3652.3209999999999"/>
    <n v="295838"/>
    <n v="295838"/>
    <n v="3711.587"/>
    <n v="59.266100000000002"/>
    <n v="4800.5502999999999"/>
    <n v="1.5967846824282306E-2"/>
    <m/>
    <n v="311251"/>
    <m/>
    <n v="5947"/>
    <n v="6579000000"/>
    <n v="300638.55032100005"/>
    <n v="10010"/>
    <n v="-1.59678326279298E-2"/>
    <n v="300638.54700000002"/>
    <x v="0"/>
    <n v="81"/>
    <x v="96"/>
  </r>
  <r>
    <d v="2026-04-06T00:00:00"/>
    <x v="76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1251"/>
    <m/>
    <n v="5947"/>
    <n v="6579000000"/>
    <n v="36939.818181999981"/>
    <n v="10010"/>
    <n v="4.92151853628979E-6"/>
    <n v="36939.818200000002"/>
    <x v="0"/>
    <n v="1"/>
    <x v="45"/>
  </r>
  <r>
    <d v="2026-04-06T00:00:00"/>
    <x v="76"/>
    <s v="STOCK"/>
    <n v="4"/>
    <s v="STOCK"/>
    <n v="1901466"/>
    <x v="165"/>
    <s v="M2"/>
    <n v="135"/>
    <m/>
    <n v="135"/>
    <n v="1970"/>
    <n v="265950"/>
    <n v="265950"/>
    <n v="2112.7957999999999"/>
    <n v="142.79580000000001"/>
    <n v="19277.430199999999"/>
    <n v="6.7586172037690365E-2"/>
    <m/>
    <n v="311251"/>
    <m/>
    <n v="5947"/>
    <n v="6579000000"/>
    <n v="285227.43016500003"/>
    <n v="10010"/>
    <n v="-6.758618130535847E-2"/>
    <n v="285227.43299999996"/>
    <x v="1"/>
    <n v="135"/>
    <x v="101"/>
  </r>
  <r>
    <d v="2026-04-06T00:00:00"/>
    <x v="76"/>
    <s v="STOCK"/>
    <n v="4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1291"/>
    <n v="1506116"/>
    <n v="5947"/>
    <n v="6579000000"/>
    <n v="3267"/>
    <n v="10010"/>
    <n v="8.8766758494031144E-3"/>
    <n v="3267"/>
    <x v="1"/>
    <n v="3"/>
    <x v="108"/>
  </r>
  <r>
    <d v="2026-04-06T00:00:00"/>
    <x v="76"/>
    <s v="STOCK"/>
    <n v="4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1291"/>
    <m/>
    <n v="5947"/>
    <n v="6579000000"/>
    <n v="51435"/>
    <n v="10010"/>
    <n v="-5.1054727325750962E-2"/>
    <n v="51435"/>
    <x v="1"/>
    <n v="3"/>
    <x v="110"/>
  </r>
  <r>
    <d v="2026-04-06T00:00:00"/>
    <x v="76"/>
    <s v="STOCK"/>
    <n v="4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1291"/>
    <m/>
    <n v="5947"/>
    <n v="6579000000"/>
    <n v="69684"/>
    <n v="10010"/>
    <n v="3.8172335112795584E-3"/>
    <n v="69684"/>
    <x v="1"/>
    <n v="3"/>
    <x v="111"/>
  </r>
  <r>
    <d v="2026-04-06T00:00:00"/>
    <x v="76"/>
    <s v="STOCK"/>
    <n v="4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1291"/>
    <m/>
    <n v="5947"/>
    <n v="6579000000"/>
    <n v="4832.8008300000001"/>
    <n v="10010"/>
    <n v="4.1218334511075141E-5"/>
    <n v="4832.8008"/>
    <x v="1"/>
    <n v="3"/>
    <x v="109"/>
  </r>
  <r>
    <d v="2026-04-06T00:00:00"/>
    <x v="76"/>
    <s v="STOCK"/>
    <n v="4"/>
    <s v="STOCK"/>
    <n v="1808146"/>
    <x v="201"/>
    <s v="UND"/>
    <n v="3"/>
    <m/>
    <n v="3"/>
    <n v="3325.3332999999998"/>
    <n v="9976"/>
    <n v="9976"/>
    <n v="3404"/>
    <n v="78.666700000000006"/>
    <n v="236"/>
    <n v="2.3110066588327413E-2"/>
    <m/>
    <n v="311291"/>
    <m/>
    <n v="5947"/>
    <n v="6579000000"/>
    <n v="10212"/>
    <n v="10010"/>
    <n v="-2.3110076380728619E-2"/>
    <n v="10212"/>
    <x v="1"/>
    <n v="3"/>
    <x v="125"/>
  </r>
  <r>
    <d v="2026-04-06T00:00:00"/>
    <x v="76"/>
    <s v="STOCK"/>
    <n v="4"/>
    <s v="STOCK"/>
    <n v="2508988"/>
    <x v="202"/>
    <s v="KIT"/>
    <n v="2"/>
    <m/>
    <n v="2"/>
    <n v="145847"/>
    <n v="291694"/>
    <n v="291694"/>
    <m/>
    <m/>
    <n v="-291694"/>
    <m/>
    <m/>
    <n v="311291"/>
    <m/>
    <n v="5947"/>
    <n v="6579000000"/>
    <s v=""/>
    <n v="10010"/>
    <e v="#DIV/0!"/>
    <n v="0"/>
    <x v="1"/>
    <n v="2"/>
    <x v="100"/>
  </r>
  <r>
    <d v="2026-04-06T00:00:00"/>
    <x v="76"/>
    <s v="STOCK"/>
    <n v="4"/>
    <s v="STOCK"/>
    <n v="2508987"/>
    <x v="203"/>
    <s v="UND"/>
    <n v="2"/>
    <m/>
    <n v="2"/>
    <n v="145847"/>
    <n v="291694"/>
    <n v="291694"/>
    <n v="145847"/>
    <n v="0"/>
    <n v="0"/>
    <n v="0"/>
    <m/>
    <n v="311291"/>
    <m/>
    <n v="5947"/>
    <n v="6579000000"/>
    <n v="291694"/>
    <n v="10010"/>
    <n v="0"/>
    <n v="291694"/>
    <x v="1"/>
    <n v="2"/>
    <x v="126"/>
  </r>
  <r>
    <d v="2026-04-06T00:00:00"/>
    <x v="76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1291"/>
    <m/>
    <n v="5947"/>
    <n v="6579000000"/>
    <n v="499636"/>
    <n v="10010"/>
    <n v="0"/>
    <n v="499636"/>
    <x v="1"/>
    <n v="4"/>
    <x v="24"/>
  </r>
  <r>
    <d v="2026-04-06T00:00:00"/>
    <x v="76"/>
    <s v="STOCK"/>
    <n v="4"/>
    <s v="STOCK"/>
    <n v="5316509"/>
    <x v="29"/>
    <s v="UND"/>
    <n v="2"/>
    <m/>
    <n v="2"/>
    <n v="14578"/>
    <n v="29156"/>
    <n v="29156"/>
    <n v="15433.3333"/>
    <n v="855.33330000000001"/>
    <n v="1710.6667"/>
    <n v="5.5421166286294225E-2"/>
    <m/>
    <n v="311291"/>
    <m/>
    <n v="5947"/>
    <n v="6579000000"/>
    <n v="30866.666666000001"/>
    <n v="10010"/>
    <n v="-5.5421164266568401E-2"/>
    <n v="30866.6666"/>
    <x v="1"/>
    <n v="2"/>
    <x v="26"/>
  </r>
  <r>
    <d v="2026-04-06T00:00:00"/>
    <x v="76"/>
    <s v="STOCK"/>
    <n v="4"/>
    <s v="STOCK"/>
    <n v="5316508"/>
    <x v="204"/>
    <s v="UND"/>
    <n v="2"/>
    <m/>
    <n v="2"/>
    <n v="14634"/>
    <n v="29268"/>
    <n v="29268"/>
    <m/>
    <m/>
    <n v="-29268"/>
    <m/>
    <m/>
    <n v="311291"/>
    <m/>
    <n v="5947"/>
    <n v="6579000000"/>
    <s v=""/>
    <n v="10010"/>
    <e v="#DIV/0!"/>
    <n v="0"/>
    <x v="1"/>
    <n v="2"/>
    <x v="100"/>
  </r>
  <r>
    <d v="2026-04-06T00:00:00"/>
    <x v="76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1291"/>
    <m/>
    <n v="5947"/>
    <n v="6579000000"/>
    <n v="165678.66666799999"/>
    <n v="10010"/>
    <n v="2.0111219291491002E-6"/>
    <n v="165678.66680000001"/>
    <x v="1"/>
    <n v="4"/>
    <x v="25"/>
  </r>
  <r>
    <d v="2026-04-06T00:00:00"/>
    <x v="76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1291"/>
    <m/>
    <n v="5947"/>
    <n v="6579000000"/>
    <n v="55476"/>
    <n v="10010"/>
    <n v="0"/>
    <n v="55476"/>
    <x v="1"/>
    <n v="4"/>
    <x v="127"/>
  </r>
  <r>
    <d v="2026-04-06T00:00:00"/>
    <x v="76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1291"/>
    <m/>
    <n v="5947"/>
    <n v="6579000000"/>
    <n v="6648"/>
    <n v="10010"/>
    <n v="1.5042117930204573E-4"/>
    <n v="6648"/>
    <x v="1"/>
    <n v="4"/>
    <x v="17"/>
  </r>
  <r>
    <d v="2026-04-06T00:00:00"/>
    <x v="76"/>
    <s v="STOCK"/>
    <n v="4"/>
    <s v="STOCK"/>
    <n v="5316484"/>
    <x v="60"/>
    <s v="UND"/>
    <n v="3"/>
    <m/>
    <n v="3"/>
    <n v="4283.3333000000002"/>
    <n v="12850"/>
    <n v="12850"/>
    <n v="4372.7272999999996"/>
    <n v="89.393900000000002"/>
    <n v="268.18180000000001"/>
    <n v="2.0443520504615609E-2"/>
    <m/>
    <n v="311294"/>
    <n v="266655"/>
    <n v="5947"/>
    <n v="6579000000"/>
    <n v="13118.181818999999"/>
    <n v="10010"/>
    <n v="-2.0443534176027702E-2"/>
    <n v="13118.1819"/>
    <x v="1"/>
    <n v="3"/>
    <x v="53"/>
  </r>
  <r>
    <d v="2026-04-06T00:00:00"/>
    <x v="76"/>
    <s v="STOCK"/>
    <n v="4"/>
    <s v="STOCK"/>
    <n v="5316483"/>
    <x v="61"/>
    <s v="UND"/>
    <n v="3"/>
    <m/>
    <n v="3"/>
    <n v="2984"/>
    <n v="8952"/>
    <n v="8952"/>
    <n v="3237.6071000000002"/>
    <n v="253.6071"/>
    <n v="760.82140000000004"/>
    <n v="7.8331660327696576E-2"/>
    <m/>
    <n v="311294"/>
    <m/>
    <n v="5947"/>
    <n v="6579000000"/>
    <n v="9712.8214289999996"/>
    <n v="10010"/>
    <n v="-7.8331648086637867E-2"/>
    <n v="9712.8212999999996"/>
    <x v="1"/>
    <n v="3"/>
    <x v="54"/>
  </r>
  <r>
    <d v="2026-04-06T00:00:00"/>
    <x v="76"/>
    <s v="STOCK"/>
    <n v="4"/>
    <s v="STOCK"/>
    <n v="2304002"/>
    <x v="140"/>
    <s v="UND"/>
    <n v="3"/>
    <m/>
    <n v="3"/>
    <n v="1376.3333"/>
    <n v="4129"/>
    <n v="4129"/>
    <n v="1376.4717000000001"/>
    <n v="0.1384"/>
    <n v="0.41520000000000001"/>
    <n v="1.0054014496176978E-4"/>
    <m/>
    <n v="311294"/>
    <m/>
    <n v="5947"/>
    <n v="6579000000"/>
    <n v="4129.415172"/>
    <n v="10010"/>
    <n v="-1.0054692733606286E-4"/>
    <n v="4129.4151000000002"/>
    <x v="1"/>
    <n v="3"/>
    <x v="4"/>
  </r>
  <r>
    <d v="2026-04-06T00:00:00"/>
    <x v="76"/>
    <s v="STOCK"/>
    <n v="4"/>
    <s v="STOCK"/>
    <n v="1802170"/>
    <x v="206"/>
    <s v="UND"/>
    <n v="3"/>
    <m/>
    <n v="3"/>
    <n v="2043"/>
    <n v="6129"/>
    <n v="6129"/>
    <n v="2043"/>
    <n v="0"/>
    <n v="0"/>
    <n v="0"/>
    <m/>
    <n v="311294"/>
    <m/>
    <n v="5947"/>
    <n v="6579000000"/>
    <n v="6129"/>
    <n v="10010"/>
    <n v="0"/>
    <n v="6129"/>
    <x v="1"/>
    <n v="3"/>
    <x v="4"/>
  </r>
  <r>
    <d v="2026-04-06T00:00:00"/>
    <x v="76"/>
    <s v="STOCK"/>
    <n v="4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1294"/>
    <m/>
    <n v="5947"/>
    <n v="6579000000"/>
    <n v="32223"/>
    <n v="10010"/>
    <n v="-1.0241132110604227E-3"/>
    <n v="32223"/>
    <x v="1"/>
    <n v="3"/>
    <x v="128"/>
  </r>
  <r>
    <d v="2026-04-06T00:00:00"/>
    <x v="76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1294"/>
    <m/>
    <n v="5947"/>
    <n v="6579000000"/>
    <n v="5748"/>
    <n v="10010"/>
    <n v="8.176774530271394E-3"/>
    <n v="5748"/>
    <x v="1"/>
    <n v="3"/>
    <x v="129"/>
  </r>
  <r>
    <d v="2026-04-06T00:00:00"/>
    <x v="76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1294"/>
    <m/>
    <n v="5947"/>
    <n v="6579000000"/>
    <n v="8720.0132880000001"/>
    <n v="10010"/>
    <n v="-1.5137591589929127E-6"/>
    <n v="8720.0133000000005"/>
    <x v="1"/>
    <n v="3"/>
    <x v="4"/>
  </r>
  <r>
    <d v="2026-04-06T00:00:00"/>
    <x v="76"/>
    <s v="STOCK"/>
    <n v="4"/>
    <s v="STOCK"/>
    <n v="1808003"/>
    <x v="130"/>
    <s v="UND"/>
    <n v="3"/>
    <m/>
    <n v="3"/>
    <n v="167.66669999999999"/>
    <n v="503"/>
    <n v="503"/>
    <n v="167.7449"/>
    <n v="7.8200000000000006E-2"/>
    <n v="0.2346"/>
    <n v="4.6613251974236255E-4"/>
    <m/>
    <n v="311294"/>
    <m/>
    <n v="5947"/>
    <n v="6579000000"/>
    <n v="503.23457400000007"/>
    <n v="10010"/>
    <n v="-4.6618406878545695E-4"/>
    <n v="503.23469999999998"/>
    <x v="1"/>
    <n v="3"/>
    <x v="4"/>
  </r>
  <r>
    <d v="2026-04-06T00:00:00"/>
    <x v="76"/>
    <s v="STOCK"/>
    <n v="4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1294"/>
    <m/>
    <n v="5947"/>
    <n v="6579000000"/>
    <n v="6936"/>
    <n v="10010"/>
    <n v="1.4416089965388451E-4"/>
    <n v="6936"/>
    <x v="1"/>
    <n v="3"/>
    <x v="86"/>
  </r>
  <r>
    <d v="2026-04-06T00:00:00"/>
    <x v="76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1294"/>
    <m/>
    <n v="5947"/>
    <n v="6579000000"/>
    <n v="9105"/>
    <n v="10010"/>
    <n v="-8.7864909390452024E-4"/>
    <n v="9105"/>
    <x v="1"/>
    <n v="3"/>
    <x v="130"/>
  </r>
  <r>
    <d v="2026-04-06T00:00:00"/>
    <x v="76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1294"/>
    <m/>
    <n v="5947"/>
    <n v="6579000000"/>
    <n v="10896"/>
    <n v="10010"/>
    <n v="-0.11104991740088099"/>
    <n v="10896"/>
    <x v="1"/>
    <n v="3"/>
    <x v="131"/>
  </r>
  <r>
    <d v="2026-04-06T00:00:00"/>
    <x v="76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1294"/>
    <m/>
    <n v="5947"/>
    <n v="6579000000"/>
    <n v="47350.451612999997"/>
    <n v="10010"/>
    <n v="0.28816089203220857"/>
    <n v="47350.451699999998"/>
    <x v="1"/>
    <n v="3"/>
    <x v="4"/>
  </r>
  <r>
    <d v="2026-04-06T00:00:00"/>
    <x v="76"/>
    <s v="STOCK"/>
    <n v="4"/>
    <s v="STOCK"/>
    <n v="1802177"/>
    <x v="172"/>
    <s v="UND"/>
    <n v="3"/>
    <m/>
    <n v="3"/>
    <n v="1471"/>
    <n v="4413"/>
    <n v="4413"/>
    <n v="1471"/>
    <n v="0"/>
    <n v="0"/>
    <n v="0"/>
    <m/>
    <n v="311294"/>
    <m/>
    <n v="5947"/>
    <n v="6579000000"/>
    <n v="4413"/>
    <n v="10010"/>
    <n v="0"/>
    <n v="4413"/>
    <x v="1"/>
    <n v="3"/>
    <x v="106"/>
  </r>
  <r>
    <d v="2026-04-06T00:00:00"/>
    <x v="76"/>
    <s v="STOCK"/>
    <n v="4"/>
    <s v="STOCK"/>
    <n v="1802176"/>
    <x v="131"/>
    <s v="UND"/>
    <n v="3"/>
    <m/>
    <n v="3"/>
    <n v="2199"/>
    <n v="6597"/>
    <n v="6597"/>
    <n v="2199"/>
    <n v="0"/>
    <n v="0"/>
    <n v="0"/>
    <m/>
    <n v="311294"/>
    <m/>
    <n v="5947"/>
    <n v="6579000000"/>
    <n v="6597"/>
    <n v="10010"/>
    <n v="0"/>
    <n v="6597"/>
    <x v="1"/>
    <n v="3"/>
    <x v="4"/>
  </r>
  <r>
    <d v="2026-04-06T00:00:00"/>
    <x v="76"/>
    <s v="STOCK"/>
    <n v="4"/>
    <s v="STOCK"/>
    <n v="1802175"/>
    <x v="171"/>
    <s v="UND"/>
    <n v="3"/>
    <m/>
    <n v="3"/>
    <n v="1079"/>
    <n v="3237"/>
    <n v="3237"/>
    <n v="1079"/>
    <n v="0"/>
    <n v="0"/>
    <n v="0"/>
    <m/>
    <n v="311294"/>
    <m/>
    <n v="5947"/>
    <n v="6579000000"/>
    <n v="3237"/>
    <n v="10010"/>
    <n v="0"/>
    <n v="3237"/>
    <x v="1"/>
    <n v="3"/>
    <x v="105"/>
  </r>
  <r>
    <d v="2026-04-06T00:00:00"/>
    <x v="76"/>
    <s v="STOCK"/>
    <n v="4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1294"/>
    <m/>
    <n v="5947"/>
    <n v="6579000000"/>
    <n v="23127"/>
    <n v="10010"/>
    <n v="-9.5126475548063763E-4"/>
    <n v="23127"/>
    <x v="1"/>
    <n v="3"/>
    <x v="115"/>
  </r>
  <r>
    <d v="2026-04-06T00:00:00"/>
    <x v="76"/>
    <s v="STOCK"/>
    <n v="4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1294"/>
    <m/>
    <n v="5947"/>
    <n v="6579000000"/>
    <n v="35988"/>
    <n v="10010"/>
    <n v="-9.4475658552852914E-4"/>
    <n v="35988"/>
    <x v="1"/>
    <n v="3"/>
    <x v="107"/>
  </r>
  <r>
    <d v="2026-04-06T00:00:00"/>
    <x v="76"/>
    <s v="STOCK"/>
    <n v="4"/>
    <s v="STOCK"/>
    <n v="1802165"/>
    <x v="211"/>
    <s v="UND"/>
    <n v="3"/>
    <m/>
    <n v="3"/>
    <n v="9122"/>
    <n v="27366"/>
    <n v="27366"/>
    <n v="9122"/>
    <n v="0"/>
    <n v="0"/>
    <n v="0"/>
    <m/>
    <n v="311294"/>
    <m/>
    <n v="5947"/>
    <n v="6579000000"/>
    <n v="27366"/>
    <n v="10010"/>
    <n v="0"/>
    <n v="27366"/>
    <x v="1"/>
    <n v="3"/>
    <x v="132"/>
  </r>
  <r>
    <d v="2026-04-06T00:00:00"/>
    <x v="76"/>
    <s v="STOCK"/>
    <n v="4"/>
    <s v="STOCK"/>
    <n v="1701071"/>
    <x v="212"/>
    <s v="UND"/>
    <n v="3"/>
    <n v="3"/>
    <n v="0"/>
    <n v="7390"/>
    <n v="22170"/>
    <n v="0"/>
    <n v="7389.9802"/>
    <n v="-1.9800000000000002E-2"/>
    <n v="0"/>
    <n v="-2.6833630867758671E-6"/>
    <m/>
    <n v="311294"/>
    <m/>
    <n v="5947"/>
    <n v="6579000000"/>
    <n v="0"/>
    <n v="10010"/>
    <n v="2.6793035250665508E-6"/>
    <n v="0"/>
    <x v="1"/>
    <n v="0"/>
    <x v="4"/>
  </r>
  <r>
    <d v="2026-04-06T00:00:00"/>
    <x v="76"/>
    <s v="STOCK"/>
    <n v="4"/>
    <s v="STOCK"/>
    <s v="080460x"/>
    <x v="19"/>
    <s v="RLL"/>
    <n v="4"/>
    <n v="4"/>
    <n v="0"/>
    <n v="24029.75"/>
    <n v="96119"/>
    <n v="0"/>
    <n v="24029.782599999999"/>
    <n v="3.2599999999999997E-2"/>
    <n v="0"/>
    <n v="1.3570243451452403E-6"/>
    <m/>
    <n v="311326"/>
    <n v="949037"/>
    <n v="5947"/>
    <n v="6579000000"/>
    <n v="0"/>
    <n v="10010"/>
    <n v="-1.3566498100002763E-6"/>
    <n v="0"/>
    <x v="1"/>
    <n v="0"/>
    <x v="16"/>
  </r>
  <r>
    <d v="2026-04-06T00:00:00"/>
    <x v="76"/>
    <s v="STOCK"/>
    <n v="4"/>
    <s v="STOCK"/>
    <n v="907031"/>
    <x v="158"/>
    <s v="RLL"/>
    <n v="4"/>
    <m/>
    <n v="4"/>
    <n v="154915.5"/>
    <n v="619662"/>
    <n v="619662"/>
    <n v="156269.1667"/>
    <n v="1353.6667"/>
    <n v="5414.6666999999998"/>
    <n v="8.662404080547902E-3"/>
    <m/>
    <n v="311326"/>
    <m/>
    <n v="5947"/>
    <n v="6579000000"/>
    <n v="625076.66666800017"/>
    <n v="10010"/>
    <n v="-8.6624042898924697E-3"/>
    <n v="625076.66680000001"/>
    <x v="0"/>
    <n v="4"/>
    <x v="98"/>
  </r>
  <r>
    <d v="2026-04-06T00:00:00"/>
    <x v="76"/>
    <s v="STOCK"/>
    <n v="4"/>
    <s v="STOCK"/>
    <n v="2302024"/>
    <x v="150"/>
    <s v="GAL"/>
    <n v="4"/>
    <m/>
    <n v="4"/>
    <n v="20704.25"/>
    <n v="82817"/>
    <n v="82817"/>
    <n v="22292"/>
    <n v="1587.75"/>
    <n v="6351"/>
    <n v="7.1225103176027274E-2"/>
    <m/>
    <n v="311326"/>
    <m/>
    <n v="5947"/>
    <n v="6579000000"/>
    <n v="89168"/>
    <n v="10010"/>
    <n v="-7.1225103176027274E-2"/>
    <n v="89168"/>
    <x v="1"/>
    <n v="4"/>
    <x v="4"/>
  </r>
  <r>
    <d v="2026-04-06T00:00:00"/>
    <x v="76"/>
    <s v="STOCK"/>
    <n v="4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1326"/>
    <m/>
    <n v="5947"/>
    <n v="6579000000"/>
    <n v="3733.9007100000017"/>
    <n v="10010"/>
    <n v="2.6567390328128124E-5"/>
    <n v="3733.9007999999999"/>
    <x v="1"/>
    <n v="2"/>
    <x v="4"/>
  </r>
  <r>
    <d v="2026-04-06T00:00:00"/>
    <x v="76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326"/>
    <m/>
    <n v="5947"/>
    <n v="6579000000"/>
    <n v="18890.53544"/>
    <n v="10010"/>
    <n v="2.8929831791419546E-4"/>
    <n v="18890.535"/>
    <x v="1"/>
    <n v="10"/>
    <x v="4"/>
  </r>
  <r>
    <d v="2026-04-06T00:00:00"/>
    <x v="76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326"/>
    <m/>
    <n v="5947"/>
    <n v="6579000000"/>
    <n v="24350"/>
    <n v="10010"/>
    <n v="0"/>
    <n v="24350"/>
    <x v="1"/>
    <n v="50"/>
    <x v="118"/>
  </r>
  <r>
    <d v="2026-04-06T00:00:00"/>
    <x v="76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1326"/>
    <m/>
    <n v="5947"/>
    <n v="6579000000"/>
    <n v="63820"/>
    <n v="10010"/>
    <n v="-7.8345346286430584E-5"/>
    <n v="63820"/>
    <x v="1"/>
    <n v="20"/>
    <x v="120"/>
  </r>
  <r>
    <d v="2026-04-06T00:00:00"/>
    <x v="76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1326"/>
    <m/>
    <n v="5947"/>
    <n v="6579000000"/>
    <n v="48540"/>
    <n v="10010"/>
    <n v="-2.0601565719069593E-5"/>
    <n v="48540"/>
    <x v="1"/>
    <n v="20"/>
    <x v="119"/>
  </r>
  <r>
    <d v="2026-04-06T00:00:00"/>
    <x v="76"/>
    <s v="STOCK"/>
    <n v="4"/>
    <s v="STOCK"/>
    <n v="1801735"/>
    <x v="43"/>
    <s v="UND"/>
    <n v="20"/>
    <m/>
    <n v="20"/>
    <n v="3862.95"/>
    <n v="77259"/>
    <n v="77259"/>
    <n v="3495"/>
    <n v="-367.95"/>
    <n v="-7359"/>
    <n v="-0.1052789699570815"/>
    <m/>
    <n v="311326"/>
    <m/>
    <n v="5947"/>
    <n v="6579000000"/>
    <n v="69900"/>
    <n v="10010"/>
    <n v="0.1052789699570815"/>
    <n v="69900"/>
    <x v="1"/>
    <n v="20"/>
    <x v="39"/>
  </r>
  <r>
    <d v="2026-04-06T00:00:00"/>
    <x v="76"/>
    <s v="STOCK"/>
    <n v="4"/>
    <s v="STOCK"/>
    <n v="701183"/>
    <x v="96"/>
    <s v="TRA"/>
    <n v="10"/>
    <m/>
    <n v="10"/>
    <n v="996.5"/>
    <n v="9965"/>
    <n v="9965"/>
    <n v="996.5"/>
    <n v="0"/>
    <n v="0"/>
    <n v="0"/>
    <m/>
    <n v="311326"/>
    <m/>
    <n v="5947"/>
    <n v="6579000000"/>
    <n v="9965"/>
    <n v="10010"/>
    <n v="0"/>
    <n v="9965"/>
    <x v="1"/>
    <n v="10"/>
    <x v="84"/>
  </r>
  <r>
    <d v="2026-04-06T00:00:00"/>
    <x v="76"/>
    <s v="STOCK"/>
    <n v="4"/>
    <s v="STOCK"/>
    <n v="1701071"/>
    <x v="212"/>
    <s v="UND"/>
    <n v="1"/>
    <n v="1"/>
    <n v="0"/>
    <n v="7390"/>
    <n v="7390"/>
    <n v="0"/>
    <n v="7389.9802"/>
    <n v="-1.9800000000000002E-2"/>
    <n v="0"/>
    <n v="-2.6833630867758671E-6"/>
    <m/>
    <n v="311333"/>
    <n v="1255070"/>
    <n v="5947"/>
    <n v="6579000000"/>
    <n v="0"/>
    <n v="10010"/>
    <n v="2.6793035250665508E-6"/>
    <n v="0"/>
    <x v="1"/>
    <n v="0"/>
    <x v="4"/>
  </r>
  <r>
    <d v="2026-04-06T00:00:00"/>
    <x v="76"/>
    <s v="STOCK"/>
    <n v="4"/>
    <s v="STOCK"/>
    <n v="1802165"/>
    <x v="211"/>
    <s v="UND"/>
    <n v="1"/>
    <m/>
    <n v="1"/>
    <n v="9122"/>
    <n v="9122"/>
    <n v="9122"/>
    <n v="9122"/>
    <n v="0"/>
    <n v="0"/>
    <n v="0"/>
    <m/>
    <n v="311333"/>
    <m/>
    <n v="5947"/>
    <n v="6579000000"/>
    <n v="9122"/>
    <n v="10010"/>
    <n v="0"/>
    <n v="9122"/>
    <x v="1"/>
    <n v="1"/>
    <x v="132"/>
  </r>
  <r>
    <d v="2026-04-06T00:00:00"/>
    <x v="76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1333"/>
    <m/>
    <n v="5947"/>
    <n v="6579000000"/>
    <n v="15783.483871"/>
    <n v="10010"/>
    <n v="0.28818200904300989"/>
    <n v="15783.483899999999"/>
    <x v="1"/>
    <n v="1"/>
    <x v="4"/>
  </r>
  <r>
    <d v="2026-04-06T00:00:00"/>
    <x v="76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1333"/>
    <m/>
    <n v="5947"/>
    <n v="6579000000"/>
    <n v="3632"/>
    <n v="10010"/>
    <n v="-0.11095814977973568"/>
    <n v="3632"/>
    <x v="1"/>
    <n v="1"/>
    <x v="131"/>
  </r>
  <r>
    <d v="2026-04-06T00:00:00"/>
    <x v="76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1333"/>
    <m/>
    <n v="5947"/>
    <n v="6579000000"/>
    <n v="3035"/>
    <n v="10010"/>
    <n v="-9.8846787479406925E-4"/>
    <n v="3035"/>
    <x v="1"/>
    <n v="1"/>
    <x v="130"/>
  </r>
  <r>
    <d v="2026-04-06T00:00:00"/>
    <x v="76"/>
    <s v="STOCK"/>
    <n v="4"/>
    <s v="STOCK"/>
    <n v="1802517"/>
    <x v="98"/>
    <s v="UND"/>
    <n v="1"/>
    <m/>
    <n v="1"/>
    <n v="2313"/>
    <n v="2313"/>
    <n v="2313"/>
    <n v="2312"/>
    <n v="-1"/>
    <n v="-1"/>
    <n v="-4.3252595155709344E-4"/>
    <m/>
    <n v="311333"/>
    <m/>
    <n v="5947"/>
    <n v="6579000000"/>
    <n v="2312"/>
    <n v="10010"/>
    <n v="4.3252595155709344E-4"/>
    <n v="2312"/>
    <x v="1"/>
    <n v="1"/>
    <x v="86"/>
  </r>
  <r>
    <d v="2026-04-06T00:00:00"/>
    <x v="76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1333"/>
    <m/>
    <n v="5947"/>
    <n v="6579000000"/>
    <n v="1006.469148"/>
    <n v="10010"/>
    <n v="-4.6618406878545695E-4"/>
    <n v="1006.4694"/>
    <x v="1"/>
    <n v="6"/>
    <x v="4"/>
  </r>
  <r>
    <d v="2026-04-06T00:00:00"/>
    <x v="76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1333"/>
    <m/>
    <n v="5947"/>
    <n v="6579000000"/>
    <n v="2906.671096"/>
    <n v="10010"/>
    <n v="1.1315349713972661E-4"/>
    <n v="2906.6711"/>
    <x v="1"/>
    <n v="1"/>
    <x v="4"/>
  </r>
  <r>
    <d v="2026-04-06T00:00:00"/>
    <x v="76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1333"/>
    <m/>
    <n v="5947"/>
    <n v="6579000000"/>
    <n v="1916"/>
    <n v="10010"/>
    <n v="8.350730688935281E-3"/>
    <n v="1916"/>
    <x v="1"/>
    <n v="1"/>
    <x v="129"/>
  </r>
  <r>
    <d v="2026-04-06T00:00:00"/>
    <x v="76"/>
    <s v="STOCK"/>
    <n v="4"/>
    <s v="STOCK"/>
    <n v="1802169"/>
    <x v="207"/>
    <s v="UND"/>
    <n v="1"/>
    <m/>
    <n v="1"/>
    <n v="10730"/>
    <n v="10730"/>
    <n v="10730"/>
    <n v="10741"/>
    <n v="11"/>
    <n v="11"/>
    <n v="1.0241132110604227E-3"/>
    <m/>
    <n v="311333"/>
    <m/>
    <n v="5947"/>
    <n v="6579000000"/>
    <n v="10741"/>
    <n v="10010"/>
    <n v="-1.0241132110604227E-3"/>
    <n v="10741"/>
    <x v="1"/>
    <n v="1"/>
    <x v="128"/>
  </r>
  <r>
    <d v="2026-04-06T00:00:00"/>
    <x v="76"/>
    <s v="STOCK"/>
    <n v="4"/>
    <s v="STOCK"/>
    <n v="1802170"/>
    <x v="206"/>
    <s v="UND"/>
    <n v="1"/>
    <m/>
    <n v="1"/>
    <n v="2043"/>
    <n v="2043"/>
    <n v="2043"/>
    <n v="2043"/>
    <n v="0"/>
    <n v="0"/>
    <n v="0"/>
    <m/>
    <n v="311333"/>
    <m/>
    <n v="5947"/>
    <n v="6579000000"/>
    <n v="2043"/>
    <n v="10010"/>
    <n v="0"/>
    <n v="2043"/>
    <x v="1"/>
    <n v="1"/>
    <x v="4"/>
  </r>
  <r>
    <d v="2026-04-06T00:00:00"/>
    <x v="76"/>
    <s v="STOCK"/>
    <n v="4"/>
    <s v="STOCK"/>
    <n v="5316483"/>
    <x v="61"/>
    <s v="UND"/>
    <n v="1"/>
    <m/>
    <n v="1"/>
    <n v="2984"/>
    <n v="2984"/>
    <n v="2984"/>
    <n v="3237.6071000000002"/>
    <n v="253.6071"/>
    <n v="253.6071"/>
    <n v="7.8331660327696576E-2"/>
    <m/>
    <n v="311333"/>
    <m/>
    <n v="5947"/>
    <n v="6579000000"/>
    <n v="3237.6071430000002"/>
    <n v="10010"/>
    <n v="-7.8331648086637867E-2"/>
    <n v="3237.6071000000002"/>
    <x v="1"/>
    <n v="1"/>
    <x v="54"/>
  </r>
  <r>
    <d v="2026-04-06T00:00:00"/>
    <x v="76"/>
    <s v="STOCK"/>
    <n v="4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1333"/>
    <m/>
    <n v="5947"/>
    <n v="6579000000"/>
    <n v="4372.7272730000004"/>
    <n v="10010"/>
    <n v="-2.0519756628774807E-2"/>
    <n v="4372.7272999999996"/>
    <x v="1"/>
    <n v="1"/>
    <x v="53"/>
  </r>
  <r>
    <d v="2026-04-06T00:00:00"/>
    <x v="76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333"/>
    <m/>
    <n v="5947"/>
    <n v="6579000000"/>
    <n v="1191160.0000000002"/>
    <n v="10010"/>
    <n v="-2.5185533429842369E-6"/>
    <n v="1191160"/>
    <x v="0"/>
    <n v="40"/>
    <x v="97"/>
  </r>
  <r>
    <d v="2026-04-06T00:00:00"/>
    <x v="76"/>
    <s v="STOCK"/>
    <n v="4"/>
    <s v="STOCK"/>
    <n v="409011"/>
    <x v="213"/>
    <s v="TRA"/>
    <n v="1"/>
    <m/>
    <n v="1"/>
    <n v="13713"/>
    <n v="13713"/>
    <n v="13713"/>
    <n v="13713.2695"/>
    <n v="0.26950000000000002"/>
    <n v="0.26950000000000002"/>
    <n v="1.9652789578827916E-5"/>
    <m/>
    <n v="311356"/>
    <n v="533391"/>
    <n v="5947"/>
    <n v="6579000000"/>
    <n v="13713.269504"/>
    <n v="10010"/>
    <n v="-1.9652497896313836E-5"/>
    <n v="13713.2695"/>
    <x v="1"/>
    <n v="1"/>
    <x v="4"/>
  </r>
  <r>
    <d v="2026-04-06T00:00:00"/>
    <x v="76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1356"/>
    <m/>
    <n v="5947"/>
    <n v="6579000000"/>
    <n v="475295.51668"/>
    <n v="10010"/>
    <n v="9.3378713886288892E-2"/>
    <n v="475295.516"/>
    <x v="0"/>
    <n v="40"/>
    <x v="92"/>
  </r>
  <r>
    <d v="2026-04-07T00:00:00"/>
    <x v="77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417"/>
    <n v="5466566"/>
    <n v="5947"/>
    <n v="6579000000"/>
    <n v="30952.44"/>
    <n v="10010"/>
    <n v="-1.453847607703286E-5"/>
    <n v="30952.350000000002"/>
    <x v="1"/>
    <n v="4500"/>
    <x v="4"/>
  </r>
  <r>
    <d v="2026-04-07T00:00:00"/>
    <x v="77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417"/>
    <m/>
    <n v="5947"/>
    <n v="6579000000"/>
    <n v="959764.51785405388"/>
    <n v="10010"/>
    <n v="-0.96822970634983885"/>
    <n v="959764.5"/>
    <x v="1"/>
    <n v="9000"/>
    <x v="63"/>
  </r>
  <r>
    <d v="2026-04-07T00:00:00"/>
    <x v="77"/>
    <s v="STOCK"/>
    <n v="4"/>
    <s v="STOCK"/>
    <n v="704046"/>
    <x v="156"/>
    <s v="RLL"/>
    <n v="16"/>
    <m/>
    <n v="16"/>
    <n v="9076.0625"/>
    <n v="145217"/>
    <n v="145217"/>
    <n v="9076.0622000000003"/>
    <n v="-2.9999999999999997E-4"/>
    <n v="-4.7999999999999996E-3"/>
    <n v="-3.3384522088675367E-8"/>
    <m/>
    <n v="311417"/>
    <m/>
    <n v="5947"/>
    <n v="6579000000"/>
    <n v="145216.99515200002"/>
    <n v="10010"/>
    <n v="3.3053982342399563E-8"/>
    <n v="145216.9952"/>
    <x v="1"/>
    <n v="16"/>
    <x v="4"/>
  </r>
  <r>
    <d v="2026-04-07T00:00:00"/>
    <x v="77"/>
    <s v="STOCK"/>
    <n v="4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1417"/>
    <m/>
    <n v="5947"/>
    <n v="6579000000"/>
    <n v="506250"/>
    <n v="10010"/>
    <n v="-0.2012246913580247"/>
    <n v="506250"/>
    <x v="1"/>
    <n v="5"/>
    <x v="4"/>
  </r>
  <r>
    <d v="2026-04-07T00:00:00"/>
    <x v="77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1417"/>
    <m/>
    <n v="5947"/>
    <n v="6579000000"/>
    <n v="59888"/>
    <n v="10010"/>
    <n v="0"/>
    <n v="59888"/>
    <x v="1"/>
    <n v="4"/>
    <x v="133"/>
  </r>
  <r>
    <d v="2026-04-07T00:00:00"/>
    <x v="77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1417"/>
    <m/>
    <n v="5947"/>
    <n v="6579000000"/>
    <n v="614388.11140000017"/>
    <n v="10010"/>
    <n v="-1.8229519378380471E-7"/>
    <n v="614388.11199999996"/>
    <x v="0"/>
    <n v="40"/>
    <x v="3"/>
  </r>
  <r>
    <d v="2026-04-07T00:00:00"/>
    <x v="77"/>
    <s v="STOCK"/>
    <n v="4"/>
    <s v="STOCK"/>
    <s v="040748X"/>
    <x v="117"/>
    <s v="CJA"/>
    <n v="3"/>
    <m/>
    <n v="3"/>
    <n v="57355.333299999998"/>
    <n v="172066"/>
    <n v="172066"/>
    <n v="55858.301899999999"/>
    <n v="-1497.0314000000001"/>
    <n v="-4491.0942999999997"/>
    <n v="-2.6800518378840097E-2"/>
    <m/>
    <n v="311417"/>
    <m/>
    <n v="5947"/>
    <n v="6579000000"/>
    <n v="167574.905661"/>
    <n v="10010"/>
    <n v="2.6800517543122803E-2"/>
    <n v="167574.9057"/>
    <x v="1"/>
    <n v="3"/>
    <x v="4"/>
  </r>
  <r>
    <d v="2026-04-07T00:00:00"/>
    <x v="77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417"/>
    <m/>
    <n v="5947"/>
    <n v="6579000000"/>
    <n v="142344.40430999998"/>
    <n v="10010"/>
    <n v="-2.8409968182735337E-6"/>
    <n v="142344.4044"/>
    <x v="1"/>
    <n v="6"/>
    <x v="4"/>
  </r>
  <r>
    <d v="2026-04-07T00:00:00"/>
    <x v="77"/>
    <s v="STOCK"/>
    <n v="4"/>
    <s v="STOCK"/>
    <n v="404745"/>
    <x v="184"/>
    <s v="UND"/>
    <n v="15"/>
    <m/>
    <n v="15"/>
    <n v="8826"/>
    <n v="132390"/>
    <n v="132390"/>
    <m/>
    <m/>
    <n v="-132390"/>
    <m/>
    <m/>
    <n v="311417"/>
    <m/>
    <n v="5947"/>
    <n v="6579000000"/>
    <s v=""/>
    <n v="10010"/>
    <e v="#DIV/0!"/>
    <n v="0"/>
    <x v="1"/>
    <n v="15"/>
    <x v="100"/>
  </r>
  <r>
    <d v="2026-04-07T00:00:00"/>
    <x v="77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1417"/>
    <m/>
    <n v="5947"/>
    <n v="6579000000"/>
    <n v="18702.074076000001"/>
    <n v="10010"/>
    <n v="7.1859730637361369E-2"/>
    <n v="18702.074000000001"/>
    <x v="1"/>
    <n v="4"/>
    <x v="20"/>
  </r>
  <r>
    <d v="2026-04-07T00:00:00"/>
    <x v="77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1417"/>
    <m/>
    <n v="5947"/>
    <n v="6579000000"/>
    <n v="150703.97545999996"/>
    <n v="10010"/>
    <n v="3.186677713090557E-4"/>
    <n v="150703.9755"/>
    <x v="1"/>
    <n v="1"/>
    <x v="4"/>
  </r>
  <r>
    <d v="2026-04-07T00:00:00"/>
    <x v="77"/>
    <s v="STOCK"/>
    <n v="4"/>
    <s v="STOCK"/>
    <n v="304101"/>
    <x v="0"/>
    <s v="PL"/>
    <n v="168"/>
    <m/>
    <n v="168"/>
    <n v="9619.5951999999997"/>
    <n v="1616092"/>
    <n v="1616092"/>
    <n v="9657.5879999999997"/>
    <n v="37.992699999999999"/>
    <n v="6382.7755999999999"/>
    <n v="3.9339752432455037E-3"/>
    <m/>
    <n v="311417"/>
    <m/>
    <n v="5947"/>
    <n v="6579000000"/>
    <n v="1622474.7756000008"/>
    <n v="10010"/>
    <n v="-3.9339843447452911E-3"/>
    <n v="1622474.784"/>
    <x v="0"/>
    <n v="168"/>
    <x v="0"/>
  </r>
  <r>
    <d v="2026-04-07T00:00:00"/>
    <x v="77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1417"/>
    <m/>
    <n v="5947"/>
    <n v="6579000000"/>
    <n v="1947659.9999999993"/>
    <n v="10010"/>
    <n v="-5.1855560005389863E-5"/>
    <n v="1947660"/>
    <x v="0"/>
    <n v="130"/>
    <x v="99"/>
  </r>
  <r>
    <d v="2026-04-07T00:00:00"/>
    <x v="77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1453"/>
    <n v="501776"/>
    <n v="5947"/>
    <n v="6579000000"/>
    <n v="63638.999999999985"/>
    <n v="10010"/>
    <n v="0"/>
    <n v="63639"/>
    <x v="1"/>
    <n v="3"/>
    <x v="5"/>
  </r>
  <r>
    <d v="2026-04-07T00:00:00"/>
    <x v="77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1453"/>
    <m/>
    <n v="5947"/>
    <n v="6579000000"/>
    <n v="28575.132740000001"/>
    <n v="10010"/>
    <n v="2.3400416019060161E-3"/>
    <n v="28575.133000000002"/>
    <x v="1"/>
    <n v="10"/>
    <x v="81"/>
  </r>
  <r>
    <d v="2026-04-07T00:00:00"/>
    <x v="77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1453"/>
    <m/>
    <n v="5947"/>
    <n v="6579000000"/>
    <n v="20421.197059999999"/>
    <n v="10010"/>
    <n v="-9.6468390173490395E-6"/>
    <n v="20421.197"/>
    <x v="1"/>
    <n v="10"/>
    <x v="82"/>
  </r>
  <r>
    <d v="2026-04-07T00:00:00"/>
    <x v="77"/>
    <s v="STOCK"/>
    <n v="4"/>
    <s v="STOCK"/>
    <n v="617055"/>
    <x v="119"/>
    <s v="UND"/>
    <n v="10"/>
    <m/>
    <n v="10"/>
    <n v="949.4"/>
    <n v="9494"/>
    <n v="9494"/>
    <n v="920.35379999999998"/>
    <n v="-29.046199999999999"/>
    <n v="-290.4622"/>
    <n v="-3.1559841008574015E-2"/>
    <m/>
    <n v="311453"/>
    <m/>
    <n v="5947"/>
    <n v="6579000000"/>
    <n v="9203.5378099999998"/>
    <n v="10010"/>
    <n v="3.1559819712810445E-2"/>
    <n v="9203.5380000000005"/>
    <x v="1"/>
    <n v="10"/>
    <x v="4"/>
  </r>
  <r>
    <d v="2026-04-07T00:00:00"/>
    <x v="77"/>
    <s v="STOCK"/>
    <n v="4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11453"/>
    <m/>
    <n v="5947"/>
    <n v="6579000000"/>
    <n v="20634.960000000003"/>
    <n v="10010"/>
    <n v="0"/>
    <n v="20634.900000000001"/>
    <x v="1"/>
    <n v="3000"/>
    <x v="4"/>
  </r>
  <r>
    <d v="2026-04-07T00:00:00"/>
    <x v="77"/>
    <s v="STOCK"/>
    <n v="4"/>
    <s v="STOCK"/>
    <n v="404252"/>
    <x v="118"/>
    <s v="UND"/>
    <n v="6"/>
    <m/>
    <n v="6"/>
    <n v="1110"/>
    <n v="6660"/>
    <n v="6660"/>
    <n v="1110.0438999999999"/>
    <n v="4.3900000000000002E-2"/>
    <n v="0.26329999999999998"/>
    <n v="3.9526365532559117E-5"/>
    <m/>
    <n v="311453"/>
    <m/>
    <n v="5947"/>
    <n v="6579000000"/>
    <n v="6660.2632560000002"/>
    <n v="10010"/>
    <n v="-3.9547985444444259E-5"/>
    <n v="6660.2633999999998"/>
    <x v="1"/>
    <n v="6"/>
    <x v="4"/>
  </r>
  <r>
    <d v="2026-04-07T00:00:00"/>
    <x v="77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453"/>
    <m/>
    <n v="5947"/>
    <n v="6579000000"/>
    <n v="20688.000000000004"/>
    <n v="10010"/>
    <n v="1.5999651972157764E-2"/>
    <n v="20688"/>
    <x v="1"/>
    <n v="24"/>
    <x v="4"/>
  </r>
  <r>
    <d v="2026-04-07T00:00:00"/>
    <x v="77"/>
    <s v="STOCK"/>
    <n v="4"/>
    <s v="STOCK"/>
    <n v="2302119"/>
    <x v="44"/>
    <s v="UND"/>
    <n v="48"/>
    <m/>
    <n v="48"/>
    <n v="3684.25"/>
    <n v="176844"/>
    <n v="176844"/>
    <n v="3671"/>
    <n v="-13.25"/>
    <n v="-636"/>
    <n v="-3.609370743666576E-3"/>
    <m/>
    <n v="311453"/>
    <m/>
    <n v="5947"/>
    <n v="6579000000"/>
    <n v="176208"/>
    <n v="10010"/>
    <n v="3.609370743666576E-3"/>
    <n v="176208"/>
    <x v="1"/>
    <n v="48"/>
    <x v="40"/>
  </r>
  <r>
    <d v="2026-04-07T00:00:00"/>
    <x v="77"/>
    <s v="STOCK"/>
    <n v="4"/>
    <s v="STOCK"/>
    <n v="307096"/>
    <x v="197"/>
    <s v="TRA"/>
    <n v="86"/>
    <m/>
    <n v="86"/>
    <n v="1795.6047000000001"/>
    <n v="154422"/>
    <n v="154422"/>
    <n v="2095.3501000000001"/>
    <n v="299.74549999999999"/>
    <n v="25778.111099999998"/>
    <n v="0.14305269257327446"/>
    <m/>
    <n v="311453"/>
    <m/>
    <n v="5947"/>
    <n v="6579000000"/>
    <n v="180200.11109399988"/>
    <n v="10010"/>
    <n v="-0.1430526574055572"/>
    <n v="180200.10860000001"/>
    <x v="0"/>
    <n v="86"/>
    <x v="121"/>
  </r>
  <r>
    <d v="2026-04-07T00:00:00"/>
    <x v="77"/>
    <s v="STOCK"/>
    <n v="4"/>
    <s v="STOCK"/>
    <n v="304002"/>
    <x v="12"/>
    <s v="PL"/>
    <n v="216"/>
    <m/>
    <n v="216"/>
    <n v="21611.3704"/>
    <n v="4668056"/>
    <n v="4668056"/>
    <n v="21246.5072"/>
    <n v="-364.86320000000001"/>
    <n v="-78810.455000000002"/>
    <n v="-1.7172856448493829E-2"/>
    <m/>
    <n v="311496"/>
    <n v="4668056"/>
    <n v="5947"/>
    <n v="6579000000"/>
    <n v="4589245.5450480003"/>
    <n v="10010"/>
    <n v="1.7172855592941873E-2"/>
    <n v="4589245.5552000003"/>
    <x v="0"/>
    <n v="216"/>
    <x v="10"/>
  </r>
  <r>
    <d v="2026-04-08T00:00:00"/>
    <x v="78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1605"/>
    <n v="9556"/>
    <n v="5947"/>
    <n v="6579000000"/>
    <n v="9172"/>
    <n v="10010"/>
    <n v="-3.2054077627562148E-2"/>
    <n v="9172"/>
    <x v="1"/>
    <n v="4"/>
    <x v="134"/>
  </r>
  <r>
    <d v="2026-04-08T00:00:00"/>
    <x v="78"/>
    <s v="STOCK"/>
    <n v="4"/>
    <s v="STOCK"/>
    <n v="407423"/>
    <x v="70"/>
    <s v="UND"/>
    <n v="200"/>
    <m/>
    <n v="200"/>
    <n v="3.39"/>
    <n v="678"/>
    <n v="678"/>
    <n v="106.6405"/>
    <n v="103.2505"/>
    <n v="20650.100399999999"/>
    <n v="0.96821095234045795"/>
    <m/>
    <n v="311605"/>
    <m/>
    <n v="5947"/>
    <n v="6579000000"/>
    <n v="21328.100396756756"/>
    <n v="10010"/>
    <n v="-0.96821095174910099"/>
    <n v="21328.100000000002"/>
    <x v="1"/>
    <n v="200"/>
    <x v="63"/>
  </r>
  <r>
    <d v="2026-04-08T00:00:00"/>
    <x v="78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1645"/>
    <n v="1360364"/>
    <n v="5947"/>
    <n v="6579000000"/>
    <n v="350000.00000000029"/>
    <n v="10010"/>
    <n v="0"/>
    <n v="350000"/>
    <x v="1"/>
    <n v="10"/>
    <x v="89"/>
  </r>
  <r>
    <d v="2026-04-08T00:00:00"/>
    <x v="78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1645"/>
    <m/>
    <n v="5947"/>
    <n v="6579000000"/>
    <n v="22804.146594000005"/>
    <n v="10010"/>
    <n v="-1.3797490672151356E-4"/>
    <n v="22804.1466"/>
    <x v="1"/>
    <n v="6"/>
    <x v="4"/>
  </r>
  <r>
    <d v="2026-04-08T00:00:00"/>
    <x v="78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645"/>
    <m/>
    <n v="5947"/>
    <n v="6579000000"/>
    <n v="20688.000000000004"/>
    <n v="10010"/>
    <n v="1.5999651972157764E-2"/>
    <n v="20688"/>
    <x v="1"/>
    <n v="24"/>
    <x v="4"/>
  </r>
  <r>
    <d v="2026-04-08T00:00:00"/>
    <x v="78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1645"/>
    <m/>
    <n v="5947"/>
    <n v="6579000000"/>
    <n v="904223.85275999969"/>
    <n v="10010"/>
    <n v="3.208793917981145E-4"/>
    <n v="904223.853"/>
    <x v="1"/>
    <n v="6"/>
    <x v="4"/>
  </r>
  <r>
    <d v="2026-04-08T00:00:00"/>
    <x v="78"/>
    <s v="STOCK"/>
    <n v="4"/>
    <s v="STOCK"/>
    <n v="307031"/>
    <x v="36"/>
    <s v="UND"/>
    <n v="4"/>
    <m/>
    <n v="4"/>
    <n v="2700"/>
    <n v="10800"/>
    <n v="10800"/>
    <n v="2699.9985999999999"/>
    <n v="-1.4E-3"/>
    <n v="-5.5999999999999999E-3"/>
    <n v="-5.1666693335944687E-7"/>
    <m/>
    <n v="311645"/>
    <m/>
    <n v="5947"/>
    <n v="6579000000"/>
    <n v="10799.994420000005"/>
    <n v="10010"/>
    <n v="5.1851878741837811E-7"/>
    <n v="10799.9944"/>
    <x v="1"/>
    <n v="4"/>
    <x v="32"/>
  </r>
  <r>
    <d v="2026-04-08T00:00:00"/>
    <x v="78"/>
    <s v="STOCK"/>
    <n v="4"/>
    <s v="STOCK"/>
    <n v="704022"/>
    <x v="198"/>
    <s v="UND"/>
    <n v="5"/>
    <m/>
    <n v="5"/>
    <n v="258.39999999999998"/>
    <n v="1292"/>
    <n v="1292"/>
    <n v="306"/>
    <n v="47.6"/>
    <n v="238"/>
    <n v="0.15555555555555578"/>
    <m/>
    <n v="311645"/>
    <m/>
    <n v="5947"/>
    <n v="6579000000"/>
    <n v="1530.0000000000002"/>
    <n v="10010"/>
    <n v="-0.15555555555555564"/>
    <n v="1530"/>
    <x v="1"/>
    <n v="5"/>
    <x v="122"/>
  </r>
  <r>
    <d v="2026-04-08T00:00:00"/>
    <x v="78"/>
    <s v="STOCK"/>
    <n v="4"/>
    <s v="STOCK"/>
    <n v="704024"/>
    <x v="199"/>
    <s v="UND"/>
    <n v="1"/>
    <m/>
    <n v="1"/>
    <n v="318"/>
    <n v="318"/>
    <n v="318"/>
    <n v="363"/>
    <n v="45"/>
    <n v="45"/>
    <n v="0.12396694214876032"/>
    <m/>
    <n v="311645"/>
    <m/>
    <n v="5947"/>
    <n v="6579000000"/>
    <n v="363"/>
    <n v="10010"/>
    <n v="-0.12396694214876033"/>
    <n v="363"/>
    <x v="1"/>
    <n v="1"/>
    <x v="123"/>
  </r>
  <r>
    <d v="2026-04-08T00:00:00"/>
    <x v="78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1645"/>
    <m/>
    <n v="5947"/>
    <n v="6579000000"/>
    <n v="50286.86"/>
    <n v="10010"/>
    <n v="-1.3261118312020289E-2"/>
    <n v="50286.86"/>
    <x v="1"/>
    <n v="1"/>
    <x v="77"/>
  </r>
  <r>
    <d v="2026-04-08T00:00:00"/>
    <x v="78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1717"/>
    <n v="3112037"/>
    <n v="5947"/>
    <n v="6579000000"/>
    <n v="3059497.0300320005"/>
    <n v="10010"/>
    <n v="1.7172747339854508E-2"/>
    <n v="3059497.0367999999"/>
    <x v="0"/>
    <n v="144"/>
    <x v="10"/>
  </r>
  <r>
    <d v="2026-04-09T00:00:00"/>
    <x v="79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748"/>
    <n v="2205325"/>
    <n v="5947"/>
    <n v="6579000000"/>
    <n v="1191160.0000000002"/>
    <n v="10010"/>
    <n v="-2.5185533429842369E-6"/>
    <n v="1191160"/>
    <x v="0"/>
    <n v="40"/>
    <x v="97"/>
  </r>
  <r>
    <d v="2026-04-09T00:00:00"/>
    <x v="79"/>
    <s v="STOCK"/>
    <n v="4"/>
    <s v="STOCK"/>
    <n v="408017"/>
    <x v="187"/>
    <s v="CJA"/>
    <n v="2"/>
    <m/>
    <n v="2"/>
    <n v="17300"/>
    <n v="34600"/>
    <n v="34600"/>
    <m/>
    <m/>
    <n v="-34600"/>
    <m/>
    <m/>
    <n v="311748"/>
    <m/>
    <n v="5947"/>
    <n v="6579000000"/>
    <s v=""/>
    <n v="10010"/>
    <e v="#DIV/0!"/>
    <n v="0"/>
    <x v="1"/>
    <n v="2"/>
    <x v="100"/>
  </r>
  <r>
    <d v="2026-04-09T00:00:00"/>
    <x v="79"/>
    <s v="STOCK"/>
    <n v="4"/>
    <s v="STOCK"/>
    <n v="701043"/>
    <x v="132"/>
    <s v="PL"/>
    <n v="40"/>
    <m/>
    <n v="40"/>
    <n v="22739.200000000001"/>
    <n v="909568"/>
    <n v="909568"/>
    <n v="22146.362799999999"/>
    <n v="-592.83720000000005"/>
    <n v="-23713.489099999999"/>
    <n v="-2.6769056124626201E-2"/>
    <m/>
    <n v="311748"/>
    <m/>
    <n v="5947"/>
    <n v="6579000000"/>
    <n v="885854.51087999996"/>
    <n v="10010"/>
    <n v="2.6769054826465761E-2"/>
    <n v="885854.51199999999"/>
    <x v="0"/>
    <n v="40"/>
    <x v="93"/>
  </r>
  <r>
    <d v="2026-04-09T00:00:00"/>
    <x v="79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748"/>
    <m/>
    <n v="5947"/>
    <n v="6579000000"/>
    <n v="70000.000000000058"/>
    <n v="10010"/>
    <n v="0"/>
    <n v="70000"/>
    <x v="1"/>
    <n v="2"/>
    <x v="89"/>
  </r>
  <r>
    <d v="2026-04-09T00:00:00"/>
    <x v="79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1863"/>
    <n v="11299664"/>
    <n v="5947"/>
    <n v="6579000000"/>
    <n v="10545.292710000002"/>
    <n v="10010"/>
    <n v="8.0197633209320524E-2"/>
    <n v="10545.2925"/>
    <x v="1"/>
    <n v="5"/>
    <x v="28"/>
  </r>
  <r>
    <d v="2026-04-09T00:00:00"/>
    <x v="79"/>
    <s v="STOCK"/>
    <n v="4"/>
    <s v="STOCK"/>
    <n v="1610007"/>
    <x v="178"/>
    <s v="KG"/>
    <n v="5"/>
    <m/>
    <n v="5"/>
    <n v="1624.4"/>
    <n v="8122"/>
    <n v="8122"/>
    <n v="1624.4739999999999"/>
    <n v="7.3999999999999996E-2"/>
    <n v="0.37019999999999997"/>
    <n v="4.5575982326310345E-5"/>
    <m/>
    <n v="311863"/>
    <m/>
    <n v="5947"/>
    <n v="6579000000"/>
    <n v="8122.3701849999998"/>
    <n v="10010"/>
    <n v="-4.5553206760983405E-5"/>
    <n v="8122.37"/>
    <x v="1"/>
    <n v="5"/>
    <x v="112"/>
  </r>
  <r>
    <d v="2026-04-09T00:00:00"/>
    <x v="79"/>
    <s v="STOCK"/>
    <n v="4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1863"/>
    <m/>
    <n v="5947"/>
    <n v="6579000000"/>
    <n v="534314.19551999995"/>
    <n v="10010"/>
    <n v="-3.5933914109194611E-7"/>
    <n v="534314.18400000001"/>
    <x v="1"/>
    <n v="240"/>
    <x v="4"/>
  </r>
  <r>
    <d v="2026-04-09T00:00:00"/>
    <x v="79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863"/>
    <m/>
    <n v="5947"/>
    <n v="6579000000"/>
    <n v="142344.40430999998"/>
    <n v="10010"/>
    <n v="-2.8409968182735337E-6"/>
    <n v="142344.4044"/>
    <x v="1"/>
    <n v="6"/>
    <x v="4"/>
  </r>
  <r>
    <d v="2026-04-09T00:00:00"/>
    <x v="79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863"/>
    <m/>
    <n v="5947"/>
    <n v="6579000000"/>
    <n v="30952.44"/>
    <n v="10010"/>
    <n v="-1.453847607703286E-5"/>
    <n v="30952.350000000002"/>
    <x v="1"/>
    <n v="4500"/>
    <x v="4"/>
  </r>
  <r>
    <d v="2026-04-09T00:00:00"/>
    <x v="79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863"/>
    <m/>
    <n v="5947"/>
    <n v="6579000000"/>
    <n v="959764.51785405388"/>
    <n v="10010"/>
    <n v="-0.96822970634983885"/>
    <n v="959764.5"/>
    <x v="1"/>
    <n v="9000"/>
    <x v="63"/>
  </r>
  <r>
    <d v="2026-04-09T00:00:00"/>
    <x v="79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1863"/>
    <m/>
    <n v="5947"/>
    <n v="6579000000"/>
    <n v="601277.10064200009"/>
    <n v="10010"/>
    <n v="-1.59678326279298E-2"/>
    <n v="601277.09400000004"/>
    <x v="0"/>
    <n v="162"/>
    <x v="96"/>
  </r>
  <r>
    <d v="2026-04-09T00:00:00"/>
    <x v="79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1863"/>
    <m/>
    <n v="5947"/>
    <n v="6579000000"/>
    <n v="453321.13050000009"/>
    <n v="10010"/>
    <n v="6.7479461599475155E-2"/>
    <n v="453321.13320000004"/>
    <x v="0"/>
    <n v="108"/>
    <x v="12"/>
  </r>
  <r>
    <d v="2026-04-09T00:00:00"/>
    <x v="79"/>
    <s v="STOCK"/>
    <n v="4"/>
    <s v="STOCK"/>
    <n v="1901008"/>
    <x v="6"/>
    <s v="M2"/>
    <n v="270"/>
    <m/>
    <n v="270"/>
    <n v="2049.8332999999998"/>
    <n v="553455"/>
    <n v="553455"/>
    <n v="2112.7957999999999"/>
    <n v="62.962400000000002"/>
    <n v="16999.8603"/>
    <n v="2.9800535523820049E-2"/>
    <m/>
    <n v="311863"/>
    <m/>
    <n v="5947"/>
    <n v="6579000000"/>
    <n v="570454.86033000005"/>
    <n v="10010"/>
    <n v="-2.9800560943939822E-2"/>
    <n v="570454.86599999992"/>
    <x v="0"/>
    <n v="270"/>
    <x v="6"/>
  </r>
  <r>
    <d v="2026-04-09T00:00:00"/>
    <x v="79"/>
    <s v="STOCK"/>
    <n v="4"/>
    <s v="STOCK"/>
    <n v="602258"/>
    <x v="216"/>
    <s v="TIN"/>
    <n v="4"/>
    <m/>
    <n v="4"/>
    <n v="84000"/>
    <n v="336000"/>
    <n v="336000"/>
    <n v="84000"/>
    <n v="0"/>
    <n v="0"/>
    <n v="0"/>
    <m/>
    <n v="311863"/>
    <m/>
    <n v="5947"/>
    <n v="6579000000"/>
    <n v="336000"/>
    <n v="10010"/>
    <n v="0"/>
    <n v="336000"/>
    <x v="1"/>
    <n v="4"/>
    <x v="135"/>
  </r>
  <r>
    <d v="2026-04-09T00:00:00"/>
    <x v="79"/>
    <s v="STOCK"/>
    <n v="4"/>
    <s v="STOCK"/>
    <n v="602257"/>
    <x v="217"/>
    <s v="TIN"/>
    <n v="4"/>
    <m/>
    <n v="4"/>
    <n v="118000"/>
    <n v="472000"/>
    <n v="472000"/>
    <n v="118000"/>
    <n v="0"/>
    <n v="0"/>
    <n v="1.233213154946E-16"/>
    <m/>
    <n v="311863"/>
    <m/>
    <n v="5947"/>
    <n v="6579000000"/>
    <n v="472000.00000000006"/>
    <n v="10010"/>
    <n v="0"/>
    <n v="472000"/>
    <x v="1"/>
    <n v="4"/>
    <x v="136"/>
  </r>
  <r>
    <d v="2026-04-09T00:00:00"/>
    <x v="79"/>
    <s v="STOCK"/>
    <n v="4"/>
    <s v="STOCK"/>
    <n v="602256"/>
    <x v="218"/>
    <s v="TIN"/>
    <n v="2"/>
    <m/>
    <n v="2"/>
    <n v="59000"/>
    <n v="118000"/>
    <n v="118000"/>
    <n v="59000"/>
    <n v="0"/>
    <n v="0"/>
    <n v="0"/>
    <m/>
    <n v="311863"/>
    <m/>
    <n v="5947"/>
    <n v="6579000000"/>
    <n v="118000"/>
    <n v="10010"/>
    <n v="0"/>
    <n v="118000"/>
    <x v="1"/>
    <n v="2"/>
    <x v="4"/>
  </r>
  <r>
    <d v="2026-04-09T00:00:00"/>
    <x v="79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1863"/>
    <m/>
    <n v="5947"/>
    <n v="6579000000"/>
    <n v="3564912"/>
    <n v="10010"/>
    <n v="-8.2919866970068257E-2"/>
    <n v="3564912"/>
    <x v="0"/>
    <n v="624"/>
    <x v="4"/>
  </r>
  <r>
    <d v="2026-04-09T00:00:00"/>
    <x v="79"/>
    <s v="STOCK"/>
    <n v="4"/>
    <s v="STOCK"/>
    <n v="302028"/>
    <x v="72"/>
    <s v="PZA"/>
    <n v="240"/>
    <m/>
    <n v="240"/>
    <n v="4955.3999999999996"/>
    <n v="1189296"/>
    <n v="1189296"/>
    <n v="5123.8024999999998"/>
    <n v="168.4025"/>
    <n v="40416.606500000002"/>
    <n v="3.2866709072529789E-2"/>
    <m/>
    <n v="311863"/>
    <m/>
    <n v="5947"/>
    <n v="6579000000"/>
    <n v="1229712.6064800003"/>
    <n v="10010"/>
    <n v="-3.2866703976197398E-2"/>
    <n v="1229712.5999999999"/>
    <x v="0"/>
    <n v="240"/>
    <x v="65"/>
  </r>
  <r>
    <d v="2026-04-09T00:00:00"/>
    <x v="79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1863"/>
    <m/>
    <n v="5947"/>
    <n v="6579000000"/>
    <n v="2961510.1115760002"/>
    <n v="10010"/>
    <n v="-5.7529811581396841E-2"/>
    <n v="2961510.12"/>
    <x v="0"/>
    <n v="216"/>
    <x v="2"/>
  </r>
  <r>
    <d v="2026-04-09T00:00:00"/>
    <x v="79"/>
    <s v="STOCK"/>
    <n v="4"/>
    <s v="STOCK"/>
    <s v="030253X"/>
    <x v="3"/>
    <s v="PZA"/>
    <n v="48"/>
    <m/>
    <n v="48"/>
    <n v="15359.7083"/>
    <n v="737266"/>
    <n v="737266"/>
    <n v="15359.702799999999"/>
    <n v="-5.4999999999999997E-3"/>
    <n v="-0.26629999999999998"/>
    <n v="-3.6122660760245355E-7"/>
    <m/>
    <n v="311863"/>
    <m/>
    <n v="5947"/>
    <n v="6579000000"/>
    <n v="737265.73368000018"/>
    <n v="10010"/>
    <n v="3.5807984521162076E-7"/>
    <n v="737265.73439999996"/>
    <x v="0"/>
    <n v="48"/>
    <x v="3"/>
  </r>
  <r>
    <d v="2026-04-09T00:00:00"/>
    <x v="79"/>
    <s v="STOCK"/>
    <n v="4"/>
    <s v="STOCK"/>
    <n v="1103105"/>
    <x v="219"/>
    <s v="ML"/>
    <n v="72"/>
    <m/>
    <n v="72"/>
    <n v="1200"/>
    <n v="86400"/>
    <n v="86400"/>
    <n v="5092"/>
    <n v="3892"/>
    <n v="280224"/>
    <n v="0.76433621366849946"/>
    <m/>
    <n v="311897"/>
    <n v="172800"/>
    <n v="6000"/>
    <n v="6579000000"/>
    <n v="366624"/>
    <n v="10010"/>
    <n v="-0.76433621366849958"/>
    <n v="366624"/>
    <x v="1"/>
    <n v="72"/>
    <x v="100"/>
  </r>
  <r>
    <d v="2026-04-09T00:00:00"/>
    <x v="79"/>
    <s v="STOCK"/>
    <n v="4"/>
    <s v="STOCK"/>
    <n v="1103107"/>
    <x v="220"/>
    <s v="ML"/>
    <n v="72"/>
    <m/>
    <n v="72"/>
    <n v="1200"/>
    <n v="86400"/>
    <n v="86400"/>
    <n v="5092"/>
    <n v="3892"/>
    <n v="280224"/>
    <n v="0.76433621366849946"/>
    <m/>
    <n v="311897"/>
    <m/>
    <n v="6000"/>
    <n v="6579000000"/>
    <n v="366624"/>
    <n v="10010"/>
    <n v="-0.76433621366849958"/>
    <n v="366624"/>
    <x v="1"/>
    <n v="72"/>
    <x v="100"/>
  </r>
  <r>
    <d v="2026-04-09T00:00:00"/>
    <x v="79"/>
    <s v="STOCK"/>
    <n v="4"/>
    <s v="STOCK"/>
    <n v="1103086"/>
    <x v="221"/>
    <s v="UND"/>
    <n v="25"/>
    <m/>
    <n v="25"/>
    <n v="10466"/>
    <n v="261650"/>
    <n v="261650"/>
    <n v="10466"/>
    <n v="0"/>
    <n v="0"/>
    <n v="0"/>
    <m/>
    <n v="311900"/>
    <n v="507675"/>
    <n v="6000"/>
    <n v="6579000000"/>
    <n v="261650"/>
    <n v="10010"/>
    <n v="0"/>
    <n v="261650"/>
    <x v="1"/>
    <n v="25"/>
    <x v="137"/>
  </r>
  <r>
    <d v="2026-04-09T00:00:00"/>
    <x v="79"/>
    <s v="STOCK"/>
    <n v="4"/>
    <s v="STOCK"/>
    <n v="1103087"/>
    <x v="222"/>
    <s v="UND"/>
    <n v="25"/>
    <m/>
    <n v="25"/>
    <n v="9841"/>
    <n v="246025"/>
    <n v="246025"/>
    <n v="9841"/>
    <n v="0"/>
    <n v="0"/>
    <n v="0"/>
    <m/>
    <n v="311900"/>
    <m/>
    <n v="6000"/>
    <n v="6579000000"/>
    <n v="246025"/>
    <n v="10010"/>
    <n v="0"/>
    <n v="246025"/>
    <x v="1"/>
    <n v="25"/>
    <x v="137"/>
  </r>
  <r>
    <d v="2026-04-10T00:00:00"/>
    <x v="80"/>
    <s v="STOCK"/>
    <n v="4"/>
    <s v="STOCK"/>
    <n v="2304008"/>
    <x v="223"/>
    <s v="UND"/>
    <n v="24"/>
    <m/>
    <n v="24"/>
    <n v="1651.9167"/>
    <n v="39646"/>
    <n v="39646"/>
    <m/>
    <m/>
    <n v="-39646"/>
    <m/>
    <m/>
    <n v="311946"/>
    <n v="2282650"/>
    <n v="5947"/>
    <n v="6579000000"/>
    <s v=""/>
    <n v="10010"/>
    <e v="#DIV/0!"/>
    <n v="0"/>
    <x v="1"/>
    <n v="24"/>
    <x v="100"/>
  </r>
  <r>
    <d v="2026-04-10T00:00:00"/>
    <x v="80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1946"/>
    <m/>
    <n v="5947"/>
    <n v="6579000000"/>
    <n v="1529748.5150160005"/>
    <n v="10010"/>
    <n v="1.7172417873936391E-2"/>
    <n v="1529748.5183999999"/>
    <x v="0"/>
    <n v="72"/>
    <x v="10"/>
  </r>
  <r>
    <d v="2026-04-10T00:00:00"/>
    <x v="8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1946"/>
    <m/>
    <n v="5947"/>
    <n v="6579000000"/>
    <n v="34391.599999999999"/>
    <n v="10010"/>
    <n v="1.4538476076903731E-5"/>
    <n v="34391.5"/>
    <x v="1"/>
    <n v="5000"/>
    <x v="4"/>
  </r>
  <r>
    <d v="2026-04-10T00:00:00"/>
    <x v="80"/>
    <s v="STOCK"/>
    <n v="4"/>
    <s v="STOCK"/>
    <n v="907031"/>
    <x v="158"/>
    <s v="RLL"/>
    <n v="4"/>
    <m/>
    <n v="4"/>
    <n v="154915.75"/>
    <n v="619663"/>
    <n v="619663"/>
    <n v="156269.1667"/>
    <n v="1353.4167"/>
    <n v="5413.6666999999998"/>
    <n v="8.6608042767904996E-3"/>
    <m/>
    <n v="311946"/>
    <m/>
    <n v="5947"/>
    <n v="6579000000"/>
    <n v="625076.66666800017"/>
    <n v="10010"/>
    <n v="-8.6608044861354056E-3"/>
    <n v="625076.66680000001"/>
    <x v="0"/>
    <n v="4"/>
    <x v="98"/>
  </r>
  <r>
    <d v="2026-04-10T00:00:00"/>
    <x v="8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1946"/>
    <m/>
    <n v="5947"/>
    <n v="6579000000"/>
    <n v="16517.660688"/>
    <n v="10010"/>
    <n v="2.0559812453786519E-5"/>
    <n v="16517.660400000001"/>
    <x v="1"/>
    <n v="12"/>
    <x v="4"/>
  </r>
  <r>
    <d v="2026-04-10T00:00:00"/>
    <x v="80"/>
    <s v="STOCK"/>
    <n v="4"/>
    <s v="STOCK"/>
    <s v="081010x"/>
    <x v="224"/>
    <s v="RLL"/>
    <n v="50"/>
    <m/>
    <n v="50"/>
    <n v="328.26"/>
    <n v="16413"/>
    <n v="16413"/>
    <m/>
    <m/>
    <n v="-16413"/>
    <m/>
    <m/>
    <n v="311946"/>
    <m/>
    <n v="5947"/>
    <n v="6579000000"/>
    <s v=""/>
    <n v="10010"/>
    <e v="#DIV/0!"/>
    <n v="0"/>
    <x v="1"/>
    <n v="50"/>
    <x v="100"/>
  </r>
  <r>
    <d v="2026-04-10T00:00:00"/>
    <x v="8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2024"/>
    <n v="5354918"/>
    <n v="6000"/>
    <n v="6579000000"/>
    <n v="210000.00000000015"/>
    <n v="10010"/>
    <n v="0"/>
    <n v="210000"/>
    <x v="1"/>
    <n v="6"/>
    <x v="89"/>
  </r>
  <r>
    <d v="2026-04-10T00:00:00"/>
    <x v="80"/>
    <s v="STOCK"/>
    <n v="4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2024"/>
    <m/>
    <n v="6000"/>
    <n v="6579000000"/>
    <n v="1182938.1000000001"/>
    <n v="10010"/>
    <n v="0"/>
    <n v="1182938"/>
    <x v="0"/>
    <n v="2500"/>
    <x v="8"/>
  </r>
  <r>
    <d v="2026-04-10T00:00:00"/>
    <x v="80"/>
    <s v="STOCK"/>
    <n v="4"/>
    <s v="STOCK"/>
    <n v="304101"/>
    <x v="0"/>
    <s v="PL"/>
    <n v="168"/>
    <m/>
    <n v="168"/>
    <n v="9614.2320999999993"/>
    <n v="1615191"/>
    <n v="1615191"/>
    <n v="9657.5879999999997"/>
    <n v="43.355800000000002"/>
    <n v="7283.7755999999999"/>
    <n v="4.4892997472377669E-3"/>
    <m/>
    <n v="312024"/>
    <m/>
    <n v="6000"/>
    <n v="6579000000"/>
    <n v="1622474.7756000008"/>
    <n v="10010"/>
    <n v="-4.4893093389364383E-3"/>
    <n v="1622474.784"/>
    <x v="0"/>
    <n v="168"/>
    <x v="0"/>
  </r>
  <r>
    <d v="2026-04-10T00:00:00"/>
    <x v="8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024"/>
    <m/>
    <n v="6000"/>
    <n v="6579000000"/>
    <n v="1947659.9999999993"/>
    <n v="10010"/>
    <n v="-5.1855560005389863E-5"/>
    <n v="1947660"/>
    <x v="0"/>
    <n v="130"/>
    <x v="99"/>
  </r>
  <r>
    <d v="2026-04-10T00:00:00"/>
    <x v="80"/>
    <s v="STOCK"/>
    <n v="4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2024"/>
    <m/>
    <n v="6000"/>
    <n v="6579000000"/>
    <n v="17598.730000000003"/>
    <n v="10010"/>
    <n v="1.4205554371827188E-5"/>
    <n v="17598.75"/>
    <x v="1"/>
    <n v="500"/>
    <x v="4"/>
  </r>
  <r>
    <d v="2026-04-10T00:00:00"/>
    <x v="80"/>
    <s v="STOCK"/>
    <n v="4"/>
    <s v="STOCK"/>
    <n v="2302118"/>
    <x v="147"/>
    <s v="TIN"/>
    <n v="3"/>
    <m/>
    <n v="3"/>
    <n v="80876"/>
    <n v="242628"/>
    <n v="242628"/>
    <n v="101250"/>
    <n v="20374"/>
    <n v="61122"/>
    <n v="0.2012246913580247"/>
    <m/>
    <n v="312024"/>
    <m/>
    <n v="6000"/>
    <n v="6579000000"/>
    <n v="303750"/>
    <n v="10010"/>
    <n v="-0.2012246913580247"/>
    <n v="303750"/>
    <x v="1"/>
    <n v="3"/>
    <x v="4"/>
  </r>
  <r>
    <d v="2026-04-10T00:00:00"/>
    <x v="80"/>
    <s v="STOCK"/>
    <n v="4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2024"/>
    <m/>
    <n v="6000"/>
    <n v="6579000000"/>
    <n v="94811.586850000007"/>
    <n v="10010"/>
    <n v="-2.0656758348683237E-4"/>
    <n v="94811.585000000006"/>
    <x v="1"/>
    <n v="50"/>
    <x v="7"/>
  </r>
  <r>
    <d v="2026-04-10T00:00:00"/>
    <x v="80"/>
    <s v="STOCK"/>
    <n v="4"/>
    <s v="STOCK"/>
    <n v="2302119"/>
    <x v="44"/>
    <s v="UND"/>
    <n v="12"/>
    <m/>
    <n v="12"/>
    <n v="3684.25"/>
    <n v="44211"/>
    <n v="44211"/>
    <n v="3671"/>
    <n v="-13.25"/>
    <n v="-159"/>
    <n v="-3.609370743666576E-3"/>
    <m/>
    <n v="312024"/>
    <m/>
    <n v="6000"/>
    <n v="6579000000"/>
    <n v="44052"/>
    <n v="10010"/>
    <n v="3.609370743666576E-3"/>
    <n v="44052"/>
    <x v="1"/>
    <n v="12"/>
    <x v="40"/>
  </r>
  <r>
    <d v="2026-04-10T00:00:00"/>
    <x v="80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028"/>
    <n v="214779"/>
    <n v="6000"/>
    <n v="6579000000"/>
    <n v="53999.972100000014"/>
    <n v="10010"/>
    <n v="5.1851878741837811E-7"/>
    <n v="53999.971999999994"/>
    <x v="1"/>
    <n v="20"/>
    <x v="32"/>
  </r>
  <r>
    <d v="2026-04-10T00:00:00"/>
    <x v="80"/>
    <s v="STOCK"/>
    <n v="4"/>
    <s v="STOCK"/>
    <n v="704024"/>
    <x v="199"/>
    <s v="UND"/>
    <n v="20"/>
    <m/>
    <n v="20"/>
    <n v="317.95"/>
    <n v="6359"/>
    <n v="6359"/>
    <n v="363"/>
    <n v="45.05"/>
    <n v="901"/>
    <n v="0.12410468319559231"/>
    <m/>
    <n v="312028"/>
    <m/>
    <n v="6000"/>
    <n v="6579000000"/>
    <n v="7260"/>
    <n v="10010"/>
    <n v="-0.12410468319559231"/>
    <n v="7260"/>
    <x v="1"/>
    <n v="20"/>
    <x v="123"/>
  </r>
  <r>
    <d v="2026-04-10T00:00:00"/>
    <x v="80"/>
    <s v="STOCK"/>
    <n v="4"/>
    <s v="STOCK"/>
    <n v="704022"/>
    <x v="198"/>
    <s v="UND"/>
    <n v="20"/>
    <m/>
    <n v="20"/>
    <n v="258.39999999999998"/>
    <n v="5168"/>
    <n v="5168"/>
    <n v="306"/>
    <n v="47.6"/>
    <n v="952"/>
    <n v="0.15555555555555578"/>
    <m/>
    <n v="312028"/>
    <m/>
    <n v="6000"/>
    <n v="6579000000"/>
    <n v="6120.0000000000009"/>
    <n v="10010"/>
    <n v="-0.15555555555555564"/>
    <n v="6120"/>
    <x v="1"/>
    <n v="20"/>
    <x v="122"/>
  </r>
  <r>
    <d v="2026-04-10T00:00:00"/>
    <x v="8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2028"/>
    <m/>
    <n v="6000"/>
    <n v="6579000000"/>
    <n v="34391.599999999999"/>
    <n v="10010"/>
    <n v="1.4538476076903731E-5"/>
    <n v="34391.5"/>
    <x v="1"/>
    <n v="5000"/>
    <x v="4"/>
  </r>
  <r>
    <d v="2026-04-10T00:00:00"/>
    <x v="80"/>
    <s v="STOCK"/>
    <n v="4"/>
    <s v="STOCK"/>
    <n v="609008"/>
    <x v="30"/>
    <s v="LTS"/>
    <n v="3"/>
    <m/>
    <n v="3"/>
    <n v="2308.6667000000002"/>
    <n v="6926"/>
    <n v="6926"/>
    <n v="2130.7573000000002"/>
    <n v="-177.90940000000001"/>
    <n v="-533.72810000000004"/>
    <n v="-8.3495833069166636E-2"/>
    <m/>
    <n v="312028"/>
    <m/>
    <n v="6000"/>
    <n v="6579000000"/>
    <n v="6392.2719299999999"/>
    <n v="10010"/>
    <n v="8.3495853798083899E-2"/>
    <n v="6392.2719000000006"/>
    <x v="1"/>
    <n v="3"/>
    <x v="27"/>
  </r>
  <r>
    <d v="2026-04-10T00:00:00"/>
    <x v="80"/>
    <s v="STOCK"/>
    <n v="4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2028"/>
    <m/>
    <n v="6000"/>
    <n v="6579000000"/>
    <n v="6327.1756260000002"/>
    <n v="10010"/>
    <n v="8.0102804165934655E-2"/>
    <n v="6327.1755000000003"/>
    <x v="1"/>
    <n v="3"/>
    <x v="28"/>
  </r>
  <r>
    <d v="2026-04-10T00:00:00"/>
    <x v="80"/>
    <s v="STOCK"/>
    <n v="4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2028"/>
    <m/>
    <n v="6000"/>
    <n v="6579000000"/>
    <n v="14287.56637"/>
    <n v="10010"/>
    <n v="2.3400416019060161E-3"/>
    <n v="14287.566500000001"/>
    <x v="1"/>
    <n v="5"/>
    <x v="81"/>
  </r>
  <r>
    <d v="2026-04-10T00:00:00"/>
    <x v="80"/>
    <s v="STOCK"/>
    <n v="4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2028"/>
    <m/>
    <n v="6000"/>
    <n v="6579000000"/>
    <n v="10210.598529999999"/>
    <n v="10010"/>
    <n v="3.9321886958966856E-5"/>
    <n v="10210.5985"/>
    <x v="1"/>
    <n v="5"/>
    <x v="82"/>
  </r>
  <r>
    <d v="2026-04-10T00:00:00"/>
    <x v="80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2028"/>
    <m/>
    <n v="6000"/>
    <n v="6579000000"/>
    <n v="4601.7689049999999"/>
    <n v="10010"/>
    <n v="3.1559819712810445E-2"/>
    <n v="4601.7690000000002"/>
    <x v="1"/>
    <n v="5"/>
    <x v="4"/>
  </r>
  <r>
    <d v="2026-04-10T00:00:00"/>
    <x v="8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28"/>
    <m/>
    <n v="6000"/>
    <n v="6579000000"/>
    <n v="50286.86"/>
    <n v="10010"/>
    <n v="-1.3261118312020289E-2"/>
    <n v="50286.86"/>
    <x v="1"/>
    <n v="1"/>
    <x v="77"/>
  </r>
  <r>
    <d v="2026-04-10T00:00:00"/>
    <x v="80"/>
    <s v="STOCK"/>
    <n v="4"/>
    <s v="STOCK"/>
    <n v="404252"/>
    <x v="118"/>
    <s v="UND"/>
    <n v="20"/>
    <m/>
    <n v="20"/>
    <n v="1110.05"/>
    <n v="22201"/>
    <n v="22201"/>
    <n v="1110.0438999999999"/>
    <n v="-6.1000000000000004E-3"/>
    <n v="-0.1225"/>
    <n v="-5.5168990455290766E-6"/>
    <m/>
    <n v="312028"/>
    <m/>
    <n v="6000"/>
    <n v="6579000000"/>
    <n v="22200.877519999998"/>
    <n v="10010"/>
    <n v="5.4952781597740329E-6"/>
    <n v="22200.877999999997"/>
    <x v="1"/>
    <n v="20"/>
    <x v="4"/>
  </r>
  <r>
    <d v="2026-04-13T00:00:00"/>
    <x v="81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075"/>
    <n v="279873"/>
    <n v="6000"/>
    <n v="6579000000"/>
    <n v="104767.50644999991"/>
    <n v="10010"/>
    <n v="-0.14305490046746852"/>
    <n v="104767.505"/>
    <x v="0"/>
    <n v="50"/>
    <x v="121"/>
  </r>
  <r>
    <d v="2026-04-13T00:00:00"/>
    <x v="81"/>
    <s v="STOCK"/>
    <n v="4"/>
    <s v="STOCK"/>
    <n v="2304053"/>
    <x v="141"/>
    <s v="UND"/>
    <n v="48"/>
    <m/>
    <n v="48"/>
    <n v="969.22919999999999"/>
    <n v="46523"/>
    <n v="46523"/>
    <n v="862"/>
    <n v="-107.22920000000001"/>
    <n v="-5147"/>
    <n v="-0.12439578499613284"/>
    <m/>
    <n v="312075"/>
    <m/>
    <n v="6000"/>
    <n v="6579000000"/>
    <n v="41376.000000000007"/>
    <n v="10010"/>
    <n v="0.12439582366589326"/>
    <n v="41376"/>
    <x v="1"/>
    <n v="48"/>
    <x v="4"/>
  </r>
  <r>
    <d v="2026-04-13T00:00:00"/>
    <x v="81"/>
    <s v="STOCK"/>
    <n v="4"/>
    <s v="STOCK"/>
    <n v="602254"/>
    <x v="142"/>
    <s v="TIN"/>
    <n v="1"/>
    <m/>
    <n v="1"/>
    <n v="46060"/>
    <n v="46060"/>
    <n v="46060"/>
    <n v="46060"/>
    <n v="0"/>
    <n v="0"/>
    <n v="0"/>
    <m/>
    <n v="312075"/>
    <m/>
    <n v="6000"/>
    <n v="6579000000"/>
    <n v="46060"/>
    <n v="10010"/>
    <n v="0"/>
    <n v="46060"/>
    <x v="1"/>
    <n v="1"/>
    <x v="4"/>
  </r>
  <r>
    <d v="2026-04-13T00:00:00"/>
    <x v="81"/>
    <s v="STOCK"/>
    <n v="4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2075"/>
    <m/>
    <n v="6000"/>
    <n v="6579000000"/>
    <n v="47889.5"/>
    <n v="10010"/>
    <n v="1.0440702032804685E-5"/>
    <n v="47889.5"/>
    <x v="1"/>
    <n v="1"/>
    <x v="4"/>
  </r>
  <r>
    <d v="2026-04-13T00:00:00"/>
    <x v="81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75"/>
    <m/>
    <n v="6000"/>
    <n v="6579000000"/>
    <n v="50286.86"/>
    <n v="10010"/>
    <n v="-1.3261118312020289E-2"/>
    <n v="50286.86"/>
    <x v="1"/>
    <n v="1"/>
    <x v="77"/>
  </r>
  <r>
    <d v="2026-04-13T00:00:00"/>
    <x v="81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173"/>
    <n v="202728"/>
    <n v="6000"/>
    <n v="6579000000"/>
    <s v=""/>
    <n v="10010"/>
    <e v="#DIV/0!"/>
    <n v="0"/>
    <x v="1"/>
    <n v="1"/>
    <x v="100"/>
  </r>
  <r>
    <d v="2026-04-13T00:00:00"/>
    <x v="81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173"/>
    <m/>
    <n v="6000"/>
    <n v="6579000000"/>
    <n v="13476"/>
    <n v="10010"/>
    <n v="-1.4766993173048382E-2"/>
    <n v="13476"/>
    <x v="1"/>
    <n v="2"/>
    <x v="138"/>
  </r>
  <r>
    <d v="2026-04-13T00:00:00"/>
    <x v="81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173"/>
    <m/>
    <n v="6000"/>
    <n v="6579000000"/>
    <n v="9596"/>
    <n v="10010"/>
    <n v="-5.2105043768236768E-3"/>
    <n v="9596"/>
    <x v="1"/>
    <n v="2"/>
    <x v="139"/>
  </r>
  <r>
    <d v="2026-04-13T00:00:00"/>
    <x v="81"/>
    <s v="STOCK"/>
    <n v="4"/>
    <s v="STOCK"/>
    <n v="2508992"/>
    <x v="228"/>
    <s v="UND"/>
    <n v="4"/>
    <m/>
    <n v="4"/>
    <n v="5052.75"/>
    <n v="20211"/>
    <n v="20211"/>
    <n v="5084"/>
    <n v="31.25"/>
    <n v="125"/>
    <n v="6.1467348544453184E-3"/>
    <m/>
    <n v="312173"/>
    <m/>
    <n v="6000"/>
    <n v="6579000000"/>
    <n v="20336"/>
    <n v="10010"/>
    <n v="-6.1467348544453184E-3"/>
    <n v="20336"/>
    <x v="1"/>
    <n v="4"/>
    <x v="140"/>
  </r>
  <r>
    <d v="2026-04-13T00:00:00"/>
    <x v="81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173"/>
    <m/>
    <n v="6000"/>
    <n v="6579000000"/>
    <n v="2820"/>
    <n v="10010"/>
    <n v="7.411347517730496E-2"/>
    <n v="2820"/>
    <x v="1"/>
    <n v="2"/>
    <x v="141"/>
  </r>
  <r>
    <d v="2026-04-13T00:00:00"/>
    <x v="81"/>
    <s v="STOCK"/>
    <n v="4"/>
    <s v="STOCK"/>
    <n v="2508994"/>
    <x v="230"/>
    <s v="UND"/>
    <n v="2"/>
    <m/>
    <n v="2"/>
    <n v="1785.5"/>
    <n v="3571"/>
    <n v="3571"/>
    <n v="1598"/>
    <n v="-187.5"/>
    <n v="-375"/>
    <n v="-0.11733416770963705"/>
    <m/>
    <n v="312173"/>
    <m/>
    <n v="6000"/>
    <n v="6579000000"/>
    <n v="3196"/>
    <n v="10010"/>
    <n v="0.11733416770963705"/>
    <n v="3196"/>
    <x v="1"/>
    <n v="2"/>
    <x v="142"/>
  </r>
  <r>
    <d v="2026-04-13T00:00:00"/>
    <x v="81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2173"/>
    <m/>
    <n v="6000"/>
    <n v="6579000000"/>
    <n v="47567.500819999994"/>
    <n v="10010"/>
    <n v="-4.1320229148052806E-2"/>
    <n v="47567.5"/>
    <x v="1"/>
    <n v="20"/>
    <x v="4"/>
  </r>
  <r>
    <d v="2026-04-13T00:00:00"/>
    <x v="81"/>
    <s v="STOCK"/>
    <n v="4"/>
    <s v="STOCK"/>
    <n v="704021"/>
    <x v="189"/>
    <s v="UND"/>
    <n v="10"/>
    <m/>
    <n v="10"/>
    <n v="487"/>
    <n v="4870"/>
    <n v="4870"/>
    <n v="487"/>
    <n v="0"/>
    <n v="0"/>
    <n v="0"/>
    <m/>
    <n v="312173"/>
    <m/>
    <n v="6000"/>
    <n v="6579000000"/>
    <n v="4870"/>
    <n v="10010"/>
    <n v="0"/>
    <n v="4870"/>
    <x v="1"/>
    <n v="10"/>
    <x v="118"/>
  </r>
  <r>
    <d v="2026-04-13T00:00:00"/>
    <x v="81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2174"/>
    <n v="284522"/>
    <n v="6000"/>
    <n v="6579000000"/>
    <n v="136499.94280000002"/>
    <n v="10010"/>
    <n v="4.0293056526552117E-7"/>
    <n v="136499.94500000001"/>
    <x v="1"/>
    <n v="50"/>
    <x v="31"/>
  </r>
  <r>
    <d v="2026-04-13T00:00:00"/>
    <x v="81"/>
    <s v="STOCK"/>
    <n v="4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2174"/>
    <m/>
    <n v="6000"/>
    <n v="6579000000"/>
    <n v="36300"/>
    <n v="10010"/>
    <n v="-0.12415977961432505"/>
    <n v="36300"/>
    <x v="1"/>
    <n v="100"/>
    <x v="123"/>
  </r>
  <r>
    <d v="2026-04-13T00:00:00"/>
    <x v="81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2174"/>
    <m/>
    <n v="6000"/>
    <n v="6579000000"/>
    <n v="30600.000000000007"/>
    <n v="10010"/>
    <n v="-0.15558823529411769"/>
    <n v="30600"/>
    <x v="1"/>
    <n v="100"/>
    <x v="122"/>
  </r>
  <r>
    <d v="2026-04-13T00:00:00"/>
    <x v="81"/>
    <s v="STOCK"/>
    <n v="4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2174"/>
    <m/>
    <n v="6000"/>
    <n v="6579000000"/>
    <n v="58000"/>
    <n v="10010"/>
    <n v="-1.7241379310348748E-4"/>
    <n v="58000"/>
    <x v="1"/>
    <n v="100"/>
    <x v="124"/>
  </r>
  <r>
    <d v="2026-04-13T00:00:00"/>
    <x v="81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174"/>
    <m/>
    <n v="6000"/>
    <n v="6579000000"/>
    <n v="32400"/>
    <n v="10010"/>
    <n v="0"/>
    <n v="32400"/>
    <x v="1"/>
    <n v="100"/>
    <x v="143"/>
  </r>
  <r>
    <d v="2026-04-13T00:00:00"/>
    <x v="81"/>
    <s v="STOCK"/>
    <n v="4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2176"/>
    <n v="1428674"/>
    <n v="6000"/>
    <n v="6579000000"/>
    <n v="56700"/>
    <n v="10010"/>
    <n v="-3.354497354497351E-2"/>
    <n v="56700"/>
    <x v="1"/>
    <n v="100"/>
    <x v="4"/>
  </r>
  <r>
    <d v="2026-04-13T00:00:00"/>
    <x v="81"/>
    <s v="STOCK"/>
    <n v="4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2176"/>
    <m/>
    <n v="6000"/>
    <n v="6579000000"/>
    <n v="763658.3333399999"/>
    <n v="10010"/>
    <n v="2.4280054540726018E-2"/>
    <n v="763658.33400000003"/>
    <x v="1"/>
    <n v="20"/>
    <x v="11"/>
  </r>
  <r>
    <d v="2026-04-13T00:00:00"/>
    <x v="81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176"/>
    <m/>
    <n v="6000"/>
    <n v="6579000000"/>
    <n v="601277.10064200009"/>
    <n v="10010"/>
    <n v="-1.59678326279298E-2"/>
    <n v="601277.09400000004"/>
    <x v="0"/>
    <n v="162"/>
    <x v="96"/>
  </r>
  <r>
    <d v="2026-04-14T00:00:00"/>
    <x v="82"/>
    <s v="STOCK"/>
    <n v="4"/>
    <s v="STOCK"/>
    <n v="704092"/>
    <x v="79"/>
    <s v="UND"/>
    <n v="4"/>
    <m/>
    <n v="4"/>
    <n v="273.5"/>
    <n v="1094"/>
    <n v="1094"/>
    <n v="273.47430000000003"/>
    <n v="-2.5700000000000001E-2"/>
    <n v="-0.10290000000000001"/>
    <n v="-9.4081976728306371E-5"/>
    <m/>
    <n v="312204"/>
    <n v="8074"/>
    <n v="6000"/>
    <n v="6579000000"/>
    <n v="1093.8970839999999"/>
    <n v="10010"/>
    <n v="9.397592388013088E-5"/>
    <n v="1093.8972000000001"/>
    <x v="1"/>
    <n v="4"/>
    <x v="70"/>
  </r>
  <r>
    <d v="2026-04-14T00:00:00"/>
    <x v="82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204"/>
    <m/>
    <n v="6000"/>
    <n v="6579000000"/>
    <n v="6758.5333330000003"/>
    <n v="10010"/>
    <n v="3.2768455842334898E-2"/>
    <n v="6758.5333000000001"/>
    <x v="1"/>
    <n v="1"/>
    <x v="4"/>
  </r>
  <r>
    <d v="2026-04-14T00:00:00"/>
    <x v="82"/>
    <s v="STOCK"/>
    <n v="4"/>
    <s v="STOCK"/>
    <n v="304012"/>
    <x v="233"/>
    <s v="PL"/>
    <n v="20"/>
    <m/>
    <n v="20"/>
    <n v="6004.45"/>
    <n v="120089"/>
    <n v="120089"/>
    <n v="0"/>
    <n v="-6004.45"/>
    <n v="-120089"/>
    <m/>
    <m/>
    <n v="312294"/>
    <n v="120089"/>
    <n v="6000"/>
    <n v="6579000000"/>
    <n v="0"/>
    <n v="10010"/>
    <e v="#DIV/0!"/>
    <n v="0"/>
    <x v="1"/>
    <n v="20"/>
    <x v="100"/>
  </r>
  <r>
    <d v="2026-04-14T00:00:00"/>
    <x v="82"/>
    <s v="STOCK"/>
    <n v="4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2301"/>
    <n v="17884466"/>
    <n v="6000"/>
    <n v="6579000000"/>
    <n v="1121391.9979500002"/>
    <n v="10010"/>
    <n v="2.0783100843222619E-2"/>
    <n v="1121391.9990000001"/>
    <x v="0"/>
    <n v="70"/>
    <x v="94"/>
  </r>
  <r>
    <d v="2026-04-14T00:00:00"/>
    <x v="82"/>
    <s v="STOCK"/>
    <n v="4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12301"/>
    <m/>
    <n v="6000"/>
    <n v="6579000000"/>
    <n v="140000.00000000012"/>
    <n v="10010"/>
    <n v="0"/>
    <n v="140000"/>
    <x v="1"/>
    <n v="4"/>
    <x v="89"/>
  </r>
  <r>
    <d v="2026-04-14T00:00:00"/>
    <x v="82"/>
    <s v="STOCK"/>
    <n v="4"/>
    <s v="STOCK"/>
    <n v="2302045"/>
    <x v="183"/>
    <s v="TIN"/>
    <n v="1"/>
    <m/>
    <n v="1"/>
    <n v="25156"/>
    <n v="25156"/>
    <n v="25156"/>
    <m/>
    <m/>
    <n v="-25156"/>
    <m/>
    <m/>
    <n v="312301"/>
    <m/>
    <n v="6000"/>
    <n v="6579000000"/>
    <s v=""/>
    <n v="10010"/>
    <e v="#DIV/0!"/>
    <n v="0"/>
    <x v="1"/>
    <n v="1"/>
    <x v="100"/>
  </r>
  <r>
    <d v="2026-04-14T00:00:00"/>
    <x v="82"/>
    <s v="STOCK"/>
    <n v="4"/>
    <s v="STOCK"/>
    <n v="2302044"/>
    <x v="182"/>
    <s v="SAC"/>
    <n v="1"/>
    <m/>
    <n v="1"/>
    <n v="13092"/>
    <n v="13092"/>
    <n v="13092"/>
    <m/>
    <m/>
    <n v="-13092"/>
    <m/>
    <m/>
    <n v="312301"/>
    <m/>
    <n v="6000"/>
    <n v="6579000000"/>
    <s v=""/>
    <n v="10010"/>
    <e v="#DIV/0!"/>
    <n v="0"/>
    <x v="1"/>
    <n v="1"/>
    <x v="100"/>
  </r>
  <r>
    <d v="2026-04-14T00:00:00"/>
    <x v="82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301"/>
    <m/>
    <n v="6000"/>
    <n v="6579000000"/>
    <n v="2433712.1634000018"/>
    <n v="10010"/>
    <n v="-4.4891022478904738E-3"/>
    <n v="2433712.176"/>
    <x v="0"/>
    <n v="252"/>
    <x v="0"/>
  </r>
  <r>
    <d v="2026-04-14T00:00:00"/>
    <x v="82"/>
    <s v="STOCK"/>
    <n v="4"/>
    <s v="STOCK"/>
    <n v="412280"/>
    <x v="15"/>
    <s v="UND"/>
    <n v="32"/>
    <m/>
    <n v="32"/>
    <n v="39389.843800000002"/>
    <n v="1260475"/>
    <n v="1260475"/>
    <n v="40002.920100000003"/>
    <n v="613.07629999999995"/>
    <n v="19618.442999999999"/>
    <n v="1.5325789756715317E-2"/>
    <m/>
    <n v="312301"/>
    <m/>
    <n v="6000"/>
    <n v="6579000000"/>
    <n v="1280093.442976"/>
    <n v="10010"/>
    <n v="-1.5325788679111968E-2"/>
    <n v="1280093.4432000001"/>
    <x v="0"/>
    <n v="32"/>
    <x v="13"/>
  </r>
  <r>
    <d v="2026-04-14T00:00:00"/>
    <x v="82"/>
    <s v="STOCK"/>
    <n v="4"/>
    <s v="STOCK"/>
    <n v="412260"/>
    <x v="16"/>
    <s v="UND"/>
    <n v="128"/>
    <m/>
    <n v="128"/>
    <n v="86746.898400000005"/>
    <n v="11103603"/>
    <n v="11103603"/>
    <n v="87567.442500000005"/>
    <n v="820.54399999999998"/>
    <n v="105029.6372"/>
    <n v="9.3704237246181096E-3"/>
    <m/>
    <n v="312301"/>
    <m/>
    <n v="6000"/>
    <n v="6579000000"/>
    <n v="11208632.637183998"/>
    <n v="10010"/>
    <n v="-9.3704244017403966E-3"/>
    <n v="11208632.640000001"/>
    <x v="0"/>
    <n v="128"/>
    <x v="14"/>
  </r>
  <r>
    <d v="2026-04-14T00:00:00"/>
    <x v="82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2301"/>
    <m/>
    <n v="6000"/>
    <n v="6579000000"/>
    <n v="1782456"/>
    <n v="10010"/>
    <n v="-8.2919866970068257E-2"/>
    <n v="1782456"/>
    <x v="0"/>
    <n v="312"/>
    <x v="4"/>
  </r>
  <r>
    <d v="2026-04-14T00:00:00"/>
    <x v="82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301"/>
    <m/>
    <n v="6000"/>
    <n v="6579000000"/>
    <n v="139999.8464000001"/>
    <n v="10010"/>
    <n v="1.1428584490190236E-6"/>
    <n v="139999.84"/>
    <x v="1"/>
    <n v="200"/>
    <x v="4"/>
  </r>
  <r>
    <d v="2026-04-14T00:00:00"/>
    <x v="82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2203"/>
    <n v="3112037"/>
    <n v="6000"/>
    <n v="6579000000"/>
    <n v="3059497.0300320005"/>
    <n v="10010"/>
    <n v="1.7172747339854508E-2"/>
    <n v="3059497.0367999999"/>
    <x v="0"/>
    <n v="144"/>
    <x v="10"/>
  </r>
  <r>
    <d v="2026-04-14T00:00:00"/>
    <x v="82"/>
    <s v="STOCK"/>
    <n v="4"/>
    <s v="STOCK"/>
    <n v="5316509"/>
    <x v="29"/>
    <s v="UND"/>
    <n v="4"/>
    <m/>
    <n v="4"/>
    <n v="14578"/>
    <n v="58312"/>
    <n v="58312"/>
    <n v="15433.3333"/>
    <n v="855.33330000000001"/>
    <n v="3421.3332999999998"/>
    <n v="5.5421166286294225E-2"/>
    <m/>
    <n v="312317"/>
    <n v="800594"/>
    <n v="6000"/>
    <n v="6579000000"/>
    <n v="61733.333332000002"/>
    <n v="10010"/>
    <n v="-5.5421164266568401E-2"/>
    <n v="61733.333200000001"/>
    <x v="1"/>
    <n v="4"/>
    <x v="26"/>
  </r>
  <r>
    <d v="2026-04-14T00:00:00"/>
    <x v="82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2317"/>
    <m/>
    <n v="6000"/>
    <n v="6579000000"/>
    <n v="165678.66666799999"/>
    <n v="10010"/>
    <n v="2.0111219291491002E-6"/>
    <n v="165678.66680000001"/>
    <x v="1"/>
    <n v="4"/>
    <x v="25"/>
  </r>
  <r>
    <d v="2026-04-14T00:00:00"/>
    <x v="82"/>
    <s v="STOCK"/>
    <n v="4"/>
    <s v="STOCK"/>
    <n v="5316484"/>
    <x v="60"/>
    <s v="UND"/>
    <n v="4"/>
    <m/>
    <n v="4"/>
    <n v="4283.5"/>
    <n v="17134"/>
    <n v="17134"/>
    <n v="4372.7272999999996"/>
    <n v="89.2273"/>
    <n v="356.90910000000002"/>
    <n v="2.0405405466502876E-2"/>
    <m/>
    <n v="312317"/>
    <m/>
    <n v="6000"/>
    <n v="6579000000"/>
    <n v="17490.909092000002"/>
    <n v="10010"/>
    <n v="-2.0405411515142864E-2"/>
    <n v="17490.909199999998"/>
    <x v="1"/>
    <n v="4"/>
    <x v="53"/>
  </r>
  <r>
    <d v="2026-04-14T00:00:00"/>
    <x v="82"/>
    <s v="STOCK"/>
    <n v="4"/>
    <s v="STOCK"/>
    <n v="5316483"/>
    <x v="61"/>
    <s v="UND"/>
    <n v="4"/>
    <m/>
    <n v="4"/>
    <n v="2984.25"/>
    <n v="11937"/>
    <n v="11937"/>
    <n v="3237.6071000000002"/>
    <n v="253.3571"/>
    <n v="1013.4286"/>
    <n v="7.8254442805941196E-2"/>
    <m/>
    <n v="312317"/>
    <m/>
    <n v="6000"/>
    <n v="6579000000"/>
    <n v="12950.428572000001"/>
    <n v="10010"/>
    <n v="-7.8254430563856919E-2"/>
    <n v="12950.428400000001"/>
    <x v="1"/>
    <n v="4"/>
    <x v="54"/>
  </r>
  <r>
    <d v="2026-04-14T00:00:00"/>
    <x v="82"/>
    <s v="STOCK"/>
    <n v="4"/>
    <s v="STOCK"/>
    <n v="2505426"/>
    <x v="234"/>
    <s v="UND"/>
    <n v="8"/>
    <m/>
    <n v="8"/>
    <n v="1683.875"/>
    <n v="13471"/>
    <n v="13471"/>
    <n v="1684"/>
    <n v="0.125"/>
    <n v="1"/>
    <n v="7.4228028503562949E-5"/>
    <m/>
    <n v="312317"/>
    <m/>
    <n v="6000"/>
    <n v="6579000000"/>
    <n v="13472"/>
    <n v="10010"/>
    <n v="-7.4228028503562949E-5"/>
    <n v="13472"/>
    <x v="1"/>
    <n v="8"/>
    <x v="100"/>
  </r>
  <r>
    <d v="2026-04-14T00:00:00"/>
    <x v="82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2317"/>
    <m/>
    <n v="6000"/>
    <n v="6579000000"/>
    <n v="9172"/>
    <n v="10010"/>
    <n v="-3.2054077627562148E-2"/>
    <n v="9172"/>
    <x v="1"/>
    <n v="4"/>
    <x v="134"/>
  </r>
  <r>
    <d v="2026-04-14T00:00:00"/>
    <x v="82"/>
    <s v="STOCK"/>
    <n v="4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2317"/>
    <m/>
    <n v="6000"/>
    <n v="6579000000"/>
    <n v="20424"/>
    <n v="10010"/>
    <n v="-2.3110076380728619E-2"/>
    <n v="20424"/>
    <x v="1"/>
    <n v="6"/>
    <x v="125"/>
  </r>
  <r>
    <d v="2026-04-14T00:00:00"/>
    <x v="82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2317"/>
    <m/>
    <n v="6000"/>
    <n v="6579000000"/>
    <n v="68580"/>
    <n v="10010"/>
    <n v="-5.1049868766404202E-2"/>
    <n v="68580"/>
    <x v="1"/>
    <n v="4"/>
    <x v="110"/>
  </r>
  <r>
    <d v="2026-04-14T00:00:00"/>
    <x v="82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2317"/>
    <m/>
    <n v="6000"/>
    <n v="6579000000"/>
    <n v="92912"/>
    <n v="10010"/>
    <n v="3.8208197003616324E-3"/>
    <n v="92912"/>
    <x v="1"/>
    <n v="4"/>
    <x v="111"/>
  </r>
  <r>
    <d v="2026-04-14T00:00:00"/>
    <x v="82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2317"/>
    <m/>
    <n v="6000"/>
    <n v="6579000000"/>
    <n v="8796"/>
    <n v="10010"/>
    <n v="0"/>
    <n v="8796"/>
    <x v="1"/>
    <n v="4"/>
    <x v="4"/>
  </r>
  <r>
    <d v="2026-04-14T00:00:00"/>
    <x v="82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2317"/>
    <m/>
    <n v="6000"/>
    <n v="6579000000"/>
    <n v="4316"/>
    <n v="10010"/>
    <n v="0"/>
    <n v="4316"/>
    <x v="1"/>
    <n v="4"/>
    <x v="105"/>
  </r>
  <r>
    <d v="2026-04-14T00:00:00"/>
    <x v="82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2317"/>
    <m/>
    <n v="6000"/>
    <n v="6579000000"/>
    <n v="30836"/>
    <n v="10010"/>
    <n v="-9.4045920352834353E-4"/>
    <n v="30836"/>
    <x v="1"/>
    <n v="4"/>
    <x v="115"/>
  </r>
  <r>
    <d v="2026-04-14T00:00:00"/>
    <x v="82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2317"/>
    <m/>
    <n v="6000"/>
    <n v="6579000000"/>
    <n v="47984"/>
    <n v="10010"/>
    <n v="-9.5865288429476496E-4"/>
    <n v="47984"/>
    <x v="1"/>
    <n v="4"/>
    <x v="107"/>
  </r>
  <r>
    <d v="2026-04-14T00:00:00"/>
    <x v="82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2317"/>
    <m/>
    <n v="6000"/>
    <n v="6579000000"/>
    <n v="42964"/>
    <n v="10010"/>
    <n v="-1.0241132110604227E-3"/>
    <n v="42964"/>
    <x v="1"/>
    <n v="4"/>
    <x v="128"/>
  </r>
  <r>
    <d v="2026-04-14T00:00:00"/>
    <x v="82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2317"/>
    <m/>
    <n v="6000"/>
    <n v="6579000000"/>
    <n v="59888"/>
    <n v="10010"/>
    <n v="0"/>
    <n v="59888"/>
    <x v="1"/>
    <n v="4"/>
    <x v="133"/>
  </r>
  <r>
    <d v="2026-04-14T00:00:00"/>
    <x v="82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2317"/>
    <m/>
    <n v="6000"/>
    <n v="6579000000"/>
    <n v="55476"/>
    <n v="10010"/>
    <n v="0"/>
    <n v="55476"/>
    <x v="1"/>
    <n v="4"/>
    <x v="127"/>
  </r>
  <r>
    <d v="2026-04-14T00:00:00"/>
    <x v="82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2317"/>
    <m/>
    <n v="6000"/>
    <n v="6579000000"/>
    <n v="36488"/>
    <n v="10010"/>
    <n v="0"/>
    <n v="36488"/>
    <x v="1"/>
    <n v="4"/>
    <x v="132"/>
  </r>
  <r>
    <d v="2026-04-14T00:00:00"/>
    <x v="82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2317"/>
    <m/>
    <n v="6000"/>
    <n v="6579000000"/>
    <n v="18702.074076000001"/>
    <n v="10010"/>
    <n v="7.1859730637361369E-2"/>
    <n v="18702.074000000001"/>
    <x v="1"/>
    <n v="4"/>
    <x v="20"/>
  </r>
  <r>
    <d v="2026-04-14T00:00:00"/>
    <x v="82"/>
    <s v="STOCK"/>
    <n v="4"/>
    <s v="STOCK"/>
    <n v="1801161"/>
    <x v="235"/>
    <s v="UND"/>
    <n v="3"/>
    <m/>
    <n v="3"/>
    <n v="5760"/>
    <n v="17280"/>
    <n v="17280"/>
    <n v="5760"/>
    <n v="0"/>
    <n v="0"/>
    <n v="0"/>
    <m/>
    <n v="312317"/>
    <m/>
    <n v="6000"/>
    <n v="6579000000"/>
    <n v="17280"/>
    <n v="10010"/>
    <n v="0"/>
    <n v="17280"/>
    <x v="1"/>
    <n v="3"/>
    <x v="100"/>
  </r>
  <r>
    <d v="2026-04-14T00:00:00"/>
    <x v="82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2317"/>
    <m/>
    <n v="6000"/>
    <n v="6579000000"/>
    <n v="6648"/>
    <n v="10010"/>
    <n v="1.5042117930204573E-4"/>
    <n v="6648"/>
    <x v="1"/>
    <n v="4"/>
    <x v="17"/>
  </r>
  <r>
    <d v="2026-04-14T00:00:00"/>
    <x v="82"/>
    <s v="STOCK"/>
    <n v="4"/>
    <s v="STOCK"/>
    <n v="1701154"/>
    <x v="236"/>
    <s v="UND"/>
    <n v="8"/>
    <m/>
    <n v="8"/>
    <n v="1229.625"/>
    <n v="9837"/>
    <n v="9837"/>
    <n v="1230"/>
    <n v="0.375"/>
    <n v="3"/>
    <n v="3.048780487804878E-4"/>
    <m/>
    <n v="312317"/>
    <m/>
    <n v="6000"/>
    <n v="6579000000"/>
    <n v="9840"/>
    <n v="10010"/>
    <n v="-3.048780487804878E-4"/>
    <n v="9840"/>
    <x v="1"/>
    <n v="8"/>
    <x v="100"/>
  </r>
  <r>
    <d v="2026-04-14T00:00:00"/>
    <x v="82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2317"/>
    <m/>
    <n v="6000"/>
    <n v="6579000000"/>
    <n v="6443.7344400000002"/>
    <n v="10010"/>
    <n v="4.1218334511075141E-5"/>
    <n v="6443.7344000000003"/>
    <x v="1"/>
    <n v="4"/>
    <x v="109"/>
  </r>
  <r>
    <d v="2026-04-15T00:00:00"/>
    <x v="83"/>
    <s v="STOCK"/>
    <n v="4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2350"/>
    <n v="661966"/>
    <n v="6000"/>
    <n v="6579000000"/>
    <n v="24170.262952000005"/>
    <n v="10010"/>
    <n v="-1.0889413897703603E-5"/>
    <n v="24170.263200000001"/>
    <x v="1"/>
    <n v="8"/>
    <x v="52"/>
  </r>
  <r>
    <d v="2026-04-15T00:00:00"/>
    <x v="83"/>
    <s v="STOCK"/>
    <n v="4"/>
    <s v="STOCK"/>
    <n v="1405040"/>
    <x v="179"/>
    <s v="UND"/>
    <n v="6"/>
    <m/>
    <n v="6"/>
    <n v="7577.3333000000002"/>
    <n v="45464"/>
    <n v="45464"/>
    <n v="7568"/>
    <n v="-9.3332999999999995"/>
    <n v="-56"/>
    <n v="-1.233262861169798E-3"/>
    <m/>
    <n v="312350"/>
    <m/>
    <n v="6000"/>
    <n v="6579000000"/>
    <n v="45408"/>
    <n v="10010"/>
    <n v="1.2332584566596505E-3"/>
    <n v="45408"/>
    <x v="1"/>
    <n v="6"/>
    <x v="113"/>
  </r>
  <r>
    <d v="2026-04-15T00:00:00"/>
    <x v="83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2350"/>
    <m/>
    <n v="6000"/>
    <n v="6579000000"/>
    <n v="28575.132740000001"/>
    <n v="10010"/>
    <n v="2.3400416019060161E-3"/>
    <n v="28575.133000000002"/>
    <x v="1"/>
    <n v="10"/>
    <x v="81"/>
  </r>
  <r>
    <d v="2026-04-15T00:00:00"/>
    <x v="83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2350"/>
    <m/>
    <n v="6000"/>
    <n v="6579000000"/>
    <n v="20421.197059999999"/>
    <n v="10010"/>
    <n v="-9.6468390173490395E-6"/>
    <n v="20421.197"/>
    <x v="1"/>
    <n v="10"/>
    <x v="82"/>
  </r>
  <r>
    <d v="2026-04-15T00:00:00"/>
    <x v="83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2350"/>
    <m/>
    <n v="6000"/>
    <n v="6579000000"/>
    <n v="10545.292710000002"/>
    <n v="10010"/>
    <n v="8.0197633209320524E-2"/>
    <n v="10545.2925"/>
    <x v="1"/>
    <n v="5"/>
    <x v="28"/>
  </r>
  <r>
    <d v="2026-04-15T00:00:00"/>
    <x v="83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350"/>
    <m/>
    <n v="6000"/>
    <n v="6579000000"/>
    <n v="53999.972100000014"/>
    <n v="10010"/>
    <n v="5.1851878741837811E-7"/>
    <n v="53999.971999999994"/>
    <x v="1"/>
    <n v="20"/>
    <x v="32"/>
  </r>
  <r>
    <d v="2026-04-15T00:00:00"/>
    <x v="83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350"/>
    <m/>
    <n v="6000"/>
    <n v="6579000000"/>
    <n v="104767.50644999991"/>
    <n v="10010"/>
    <n v="-0.14305490046746852"/>
    <n v="104767.505"/>
    <x v="0"/>
    <n v="50"/>
    <x v="121"/>
  </r>
  <r>
    <d v="2026-04-15T00:00:00"/>
    <x v="83"/>
    <s v="STOCK"/>
    <n v="4"/>
    <s v="STOCK"/>
    <n v="2508994"/>
    <x v="230"/>
    <s v="UND"/>
    <n v="3"/>
    <m/>
    <n v="3"/>
    <n v="1785.3333"/>
    <n v="5356"/>
    <n v="5356"/>
    <n v="1598"/>
    <n v="-187.33330000000001"/>
    <n v="-562"/>
    <n v="-0.11722987067167288"/>
    <m/>
    <n v="312350"/>
    <m/>
    <n v="6000"/>
    <n v="6579000000"/>
    <n v="4794"/>
    <n v="10010"/>
    <n v="0.11722984981226534"/>
    <n v="4794"/>
    <x v="1"/>
    <n v="3"/>
    <x v="142"/>
  </r>
  <r>
    <d v="2026-04-15T00:00:00"/>
    <x v="83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2350"/>
    <m/>
    <n v="6000"/>
    <n v="6579000000"/>
    <n v="4230"/>
    <n v="10010"/>
    <n v="7.3995248226950361E-2"/>
    <n v="4230"/>
    <x v="1"/>
    <n v="3"/>
    <x v="141"/>
  </r>
  <r>
    <d v="2026-04-15T00:00:00"/>
    <x v="83"/>
    <s v="STOCK"/>
    <n v="4"/>
    <s v="STOCK"/>
    <n v="2508992"/>
    <x v="228"/>
    <s v="UND"/>
    <n v="3"/>
    <m/>
    <n v="3"/>
    <n v="5053"/>
    <n v="15159"/>
    <n v="15159"/>
    <n v="5084"/>
    <n v="31"/>
    <n v="93"/>
    <n v="6.0975609756097563E-3"/>
    <m/>
    <n v="312350"/>
    <m/>
    <n v="6000"/>
    <n v="6579000000"/>
    <n v="15252"/>
    <n v="10010"/>
    <n v="-6.0975609756097563E-3"/>
    <n v="15252"/>
    <x v="1"/>
    <n v="3"/>
    <x v="140"/>
  </r>
  <r>
    <d v="2026-04-15T00:00:00"/>
    <x v="83"/>
    <s v="STOCK"/>
    <n v="4"/>
    <s v="STOCK"/>
    <n v="2508991"/>
    <x v="227"/>
    <s v="UND"/>
    <n v="3"/>
    <m/>
    <n v="3"/>
    <n v="4772.6666999999998"/>
    <n v="14318"/>
    <n v="14318"/>
    <n v="4798"/>
    <n v="25.333300000000001"/>
    <n v="76"/>
    <n v="5.2799777685145948E-3"/>
    <m/>
    <n v="312350"/>
    <m/>
    <n v="6000"/>
    <n v="6579000000"/>
    <n v="14394"/>
    <n v="10010"/>
    <n v="-5.2799708211755392E-3"/>
    <n v="14394"/>
    <x v="1"/>
    <n v="3"/>
    <x v="139"/>
  </r>
  <r>
    <d v="2026-04-15T00:00:00"/>
    <x v="83"/>
    <s v="STOCK"/>
    <n v="4"/>
    <s v="STOCK"/>
    <n v="2508990"/>
    <x v="226"/>
    <s v="UND"/>
    <n v="3"/>
    <m/>
    <n v="3"/>
    <n v="6638.6666999999998"/>
    <n v="19916"/>
    <n v="19916"/>
    <n v="6738"/>
    <n v="99.333299999999994"/>
    <n v="298"/>
    <n v="1.4742257841100182E-2"/>
    <m/>
    <n v="312350"/>
    <m/>
    <n v="6000"/>
    <n v="6579000000"/>
    <n v="20214"/>
    <n v="10010"/>
    <n v="-1.4742252894033872E-2"/>
    <n v="20214"/>
    <x v="1"/>
    <n v="3"/>
    <x v="138"/>
  </r>
  <r>
    <d v="2026-04-15T00:00:00"/>
    <x v="83"/>
    <s v="STOCK"/>
    <n v="4"/>
    <s v="STOCK"/>
    <n v="1405025"/>
    <x v="124"/>
    <s v="UND"/>
    <n v="3"/>
    <m/>
    <n v="3"/>
    <n v="6980"/>
    <n v="20940"/>
    <n v="20940"/>
    <n v="6758.5333000000001"/>
    <n v="-221.4667"/>
    <n v="-664.4"/>
    <n v="-3.2768450799619618E-2"/>
    <m/>
    <n v="312350"/>
    <m/>
    <n v="6000"/>
    <n v="6579000000"/>
    <n v="20275.599998999998"/>
    <n v="10010"/>
    <n v="3.2768455842334898E-2"/>
    <n v="20275.599900000001"/>
    <x v="1"/>
    <n v="3"/>
    <x v="4"/>
  </r>
  <r>
    <d v="2026-04-15T00:00:00"/>
    <x v="83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350"/>
    <m/>
    <n v="6000"/>
    <n v="6579000000"/>
    <s v=""/>
    <n v="10010"/>
    <e v="#DIV/0!"/>
    <n v="0"/>
    <x v="1"/>
    <n v="1"/>
    <x v="100"/>
  </r>
  <r>
    <d v="2026-04-15T00:00:00"/>
    <x v="83"/>
    <s v="STOCK"/>
    <n v="4"/>
    <s v="STOCK"/>
    <n v="2508985"/>
    <x v="237"/>
    <s v="KIT"/>
    <n v="2"/>
    <m/>
    <n v="2"/>
    <n v="102622"/>
    <n v="205244"/>
    <n v="205244"/>
    <n v="102622"/>
    <n v="0"/>
    <n v="0"/>
    <n v="0"/>
    <m/>
    <n v="312350"/>
    <m/>
    <n v="6000"/>
    <n v="6579000000"/>
    <n v="205244"/>
    <n v="10010"/>
    <n v="0"/>
    <n v="205244"/>
    <x v="1"/>
    <n v="2"/>
    <x v="144"/>
  </r>
  <r>
    <d v="2026-04-15T00:00:00"/>
    <x v="83"/>
    <s v="STOCK"/>
    <n v="4"/>
    <s v="STOCK"/>
    <n v="407307"/>
    <x v="111"/>
    <s v="UND"/>
    <n v="1000"/>
    <m/>
    <n v="1000"/>
    <n v="68.873000000000005"/>
    <n v="68873"/>
    <n v="68873"/>
    <n v="69.472800000000007"/>
    <n v="0.5998"/>
    <n v="599.77499999999998"/>
    <n v="8.6332379842318663E-3"/>
    <m/>
    <n v="312412"/>
    <n v="4491098"/>
    <n v="6000"/>
    <n v="6579000000"/>
    <n v="69472.774999999994"/>
    <n v="10010"/>
    <n v="-8.6335947305996273E-3"/>
    <n v="69472.800000000003"/>
    <x v="1"/>
    <n v="1000"/>
    <x v="4"/>
  </r>
  <r>
    <d v="2026-04-15T00:00:00"/>
    <x v="83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412"/>
    <m/>
    <n v="6000"/>
    <n v="6579000000"/>
    <n v="601277.10064200009"/>
    <n v="10010"/>
    <n v="-1.59678326279298E-2"/>
    <n v="601277.09400000004"/>
    <x v="0"/>
    <n v="162"/>
    <x v="96"/>
  </r>
  <r>
    <d v="2026-04-15T00:00:00"/>
    <x v="83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2412"/>
    <m/>
    <n v="6000"/>
    <n v="6579000000"/>
    <n v="453321.13050000009"/>
    <n v="10010"/>
    <n v="6.7479461599475155E-2"/>
    <n v="453321.13320000004"/>
    <x v="0"/>
    <n v="108"/>
    <x v="12"/>
  </r>
  <r>
    <d v="2026-04-15T00:00:00"/>
    <x v="83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412"/>
    <m/>
    <n v="6000"/>
    <n v="6579000000"/>
    <n v="570454.86033000005"/>
    <n v="10010"/>
    <n v="-3.3104902991571636E-2"/>
    <n v="570454.86599999992"/>
    <x v="0"/>
    <n v="270"/>
    <x v="6"/>
  </r>
  <r>
    <d v="2026-04-15T00:00:00"/>
    <x v="83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2412"/>
    <m/>
    <n v="6000"/>
    <n v="6579000000"/>
    <n v="150703.97545999996"/>
    <n v="10010"/>
    <n v="3.186677713090557E-4"/>
    <n v="150703.9755"/>
    <x v="1"/>
    <n v="1"/>
    <x v="4"/>
  </r>
  <r>
    <d v="2026-04-15T00:00:00"/>
    <x v="83"/>
    <s v="STOCK"/>
    <n v="4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2412"/>
    <m/>
    <n v="6000"/>
    <n v="6579000000"/>
    <n v="297790"/>
    <n v="10010"/>
    <n v="0.31116894455824584"/>
    <n v="297790"/>
    <x v="0"/>
    <n v="10"/>
    <x v="4"/>
  </r>
  <r>
    <d v="2026-04-15T00:00:00"/>
    <x v="83"/>
    <s v="STOCK"/>
    <n v="4"/>
    <s v="STOCK"/>
    <n v="2304016"/>
    <x v="195"/>
    <s v="UND"/>
    <n v="24"/>
    <m/>
    <n v="24"/>
    <n v="3479.0417000000002"/>
    <n v="83497"/>
    <n v="83497"/>
    <m/>
    <m/>
    <n v="-83497"/>
    <m/>
    <m/>
    <n v="312412"/>
    <m/>
    <n v="6000"/>
    <n v="6579000000"/>
    <s v=""/>
    <n v="10010"/>
    <e v="#DIV/0!"/>
    <n v="0"/>
    <x v="1"/>
    <n v="24"/>
    <x v="100"/>
  </r>
  <r>
    <d v="2026-04-15T00:00:00"/>
    <x v="83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412"/>
    <m/>
    <n v="6000"/>
    <n v="6579000000"/>
    <n v="88104"/>
    <n v="10010"/>
    <n v="-1.8500953418687602E-3"/>
    <n v="88104"/>
    <x v="1"/>
    <n v="24"/>
    <x v="40"/>
  </r>
  <r>
    <d v="2026-04-15T00:00:00"/>
    <x v="83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2412"/>
    <m/>
    <n v="6000"/>
    <n v="6579000000"/>
    <n v="86558.461528000014"/>
    <n v="10010"/>
    <n v="2.3728702244330655E-4"/>
    <n v="86558.463199999998"/>
    <x v="1"/>
    <n v="88"/>
    <x v="4"/>
  </r>
  <r>
    <d v="2026-04-15T00:00:00"/>
    <x v="83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2412"/>
    <m/>
    <n v="6000"/>
    <n v="6579000000"/>
    <n v="96234"/>
    <n v="10010"/>
    <n v="0"/>
    <n v="96234"/>
    <x v="1"/>
    <n v="129"/>
    <x v="4"/>
  </r>
  <r>
    <d v="2026-04-15T00:00:00"/>
    <x v="83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2412"/>
    <m/>
    <n v="6000"/>
    <n v="6579000000"/>
    <n v="85376.31575199998"/>
    <n v="10010"/>
    <n v="-5.7326412345170455E-2"/>
    <n v="85376.324800000002"/>
    <x v="1"/>
    <n v="232"/>
    <x v="68"/>
  </r>
  <r>
    <d v="2026-04-15T00:00:00"/>
    <x v="83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2412"/>
    <m/>
    <n v="6000"/>
    <n v="6579000000"/>
    <n v="1771709.0217599999"/>
    <n v="10010"/>
    <n v="2.6765668265851812E-2"/>
    <n v="1771709.024"/>
    <x v="0"/>
    <n v="80"/>
    <x v="93"/>
  </r>
  <r>
    <d v="2026-04-16T00:00:00"/>
    <x v="84"/>
    <s v="STOCK"/>
    <n v="4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2565"/>
    <n v="2189074"/>
    <n v="6000"/>
    <n v="6579000000"/>
    <n v="1529748.5150160005"/>
    <n v="10010"/>
    <n v="1.7173072099116601E-2"/>
    <n v="1529748.5183999999"/>
    <x v="0"/>
    <n v="72"/>
    <x v="10"/>
  </r>
  <r>
    <d v="2026-04-16T00:00:00"/>
    <x v="84"/>
    <s v="STOCK"/>
    <n v="4"/>
    <s v="STOCK"/>
    <n v="307096"/>
    <x v="197"/>
    <s v="TRA"/>
    <n v="2"/>
    <m/>
    <n v="2"/>
    <n v="1795.5"/>
    <n v="3591"/>
    <n v="3591"/>
    <n v="2095.3501000000001"/>
    <n v="299.8501"/>
    <n v="599.70029999999997"/>
    <n v="0.14310263704858786"/>
    <m/>
    <n v="312565"/>
    <m/>
    <n v="6000"/>
    <n v="6579000000"/>
    <n v="4190.7002579999971"/>
    <n v="10010"/>
    <n v="-0.14310262518898398"/>
    <n v="4190.7002000000002"/>
    <x v="0"/>
    <n v="2"/>
    <x v="121"/>
  </r>
  <r>
    <d v="2026-04-16T00:00:00"/>
    <x v="84"/>
    <s v="STOCK"/>
    <n v="4"/>
    <s v="STOCK"/>
    <n v="704021"/>
    <x v="189"/>
    <s v="UND"/>
    <n v="30"/>
    <m/>
    <n v="30"/>
    <n v="487"/>
    <n v="14610"/>
    <n v="14610"/>
    <n v="487"/>
    <n v="0"/>
    <n v="0"/>
    <n v="0"/>
    <m/>
    <n v="312565"/>
    <m/>
    <n v="6000"/>
    <n v="6579000000"/>
    <n v="14610"/>
    <n v="10010"/>
    <n v="0"/>
    <n v="14610"/>
    <x v="1"/>
    <n v="30"/>
    <x v="118"/>
  </r>
  <r>
    <d v="2026-04-16T00:00:00"/>
    <x v="84"/>
    <s v="STOCK"/>
    <n v="4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12565"/>
    <m/>
    <n v="6000"/>
    <n v="6579000000"/>
    <n v="143668.5"/>
    <n v="10010"/>
    <n v="1.0440702032804685E-5"/>
    <n v="143668.5"/>
    <x v="1"/>
    <n v="3"/>
    <x v="4"/>
  </r>
  <r>
    <d v="2026-04-16T00:00:00"/>
    <x v="84"/>
    <s v="STOCK"/>
    <n v="4"/>
    <s v="STOCK"/>
    <n v="602254"/>
    <x v="142"/>
    <s v="TIN"/>
    <n v="3"/>
    <m/>
    <n v="3"/>
    <n v="46060"/>
    <n v="138180"/>
    <n v="138180"/>
    <n v="46060"/>
    <n v="0"/>
    <n v="0"/>
    <n v="0"/>
    <m/>
    <n v="312565"/>
    <m/>
    <n v="6000"/>
    <n v="6579000000"/>
    <n v="138180"/>
    <n v="10010"/>
    <n v="0"/>
    <n v="138180"/>
    <x v="1"/>
    <n v="3"/>
    <x v="4"/>
  </r>
  <r>
    <d v="2026-04-16T00:00:00"/>
    <x v="84"/>
    <s v="STOCK"/>
    <n v="4"/>
    <s v="STOCK"/>
    <n v="2505058"/>
    <x v="99"/>
    <s v="UND"/>
    <n v="9"/>
    <m/>
    <n v="9"/>
    <n v="16650.4444"/>
    <n v="149854"/>
    <n v="149854"/>
    <n v="17870.144100000001"/>
    <n v="1219.6995999999999"/>
    <n v="10977.2966"/>
    <n v="6.8253485753350343E-2"/>
    <m/>
    <n v="312565"/>
    <m/>
    <n v="6000"/>
    <n v="6579000000"/>
    <n v="160831.29661200001"/>
    <n v="10010"/>
    <n v="-6.8253489908903467E-2"/>
    <n v="160831.29690000002"/>
    <x v="1"/>
    <n v="9"/>
    <x v="87"/>
  </r>
  <r>
    <d v="2026-04-16T00:00:00"/>
    <x v="84"/>
    <s v="STOCK"/>
    <n v="4"/>
    <s v="STOCK"/>
    <n v="412016"/>
    <x v="238"/>
    <s v="UND"/>
    <n v="10"/>
    <m/>
    <n v="10"/>
    <n v="4210.3"/>
    <n v="42103"/>
    <n v="42103"/>
    <m/>
    <m/>
    <n v="-42103"/>
    <m/>
    <m/>
    <n v="312565"/>
    <m/>
    <n v="6000"/>
    <n v="6579000000"/>
    <s v=""/>
    <n v="10010"/>
    <e v="#DIV/0!"/>
    <n v="0"/>
    <x v="1"/>
    <n v="10"/>
    <x v="100"/>
  </r>
  <r>
    <d v="2026-04-16T00:00:00"/>
    <x v="84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565"/>
    <m/>
    <n v="6000"/>
    <n v="6579000000"/>
    <n v="88104"/>
    <n v="10010"/>
    <n v="-1.8500953418687602E-3"/>
    <n v="88104"/>
    <x v="1"/>
    <n v="24"/>
    <x v="40"/>
  </r>
  <r>
    <d v="2026-04-16T00:00:00"/>
    <x v="84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2565"/>
    <m/>
    <n v="6000"/>
    <n v="6579000000"/>
    <n v="2594.270524"/>
    <n v="10010"/>
    <n v="-1.0430677509116867E-4"/>
    <n v="2594.2705999999998"/>
    <x v="1"/>
    <n v="2"/>
    <x v="80"/>
  </r>
  <r>
    <d v="2026-04-16T00:00:00"/>
    <x v="84"/>
    <s v="STOCK"/>
    <n v="4"/>
    <s v="STOCK"/>
    <n v="2304053"/>
    <x v="141"/>
    <s v="UND"/>
    <n v="24"/>
    <m/>
    <n v="24"/>
    <n v="984.125"/>
    <n v="23619"/>
    <n v="23619"/>
    <n v="862"/>
    <n v="-122.125"/>
    <n v="-2931"/>
    <n v="-0.14167633410672839"/>
    <m/>
    <n v="312565"/>
    <m/>
    <n v="6000"/>
    <n v="6579000000"/>
    <n v="20688.000000000004"/>
    <n v="10010"/>
    <n v="0.14167633410672853"/>
    <n v="20688"/>
    <x v="1"/>
    <n v="24"/>
    <x v="4"/>
  </r>
  <r>
    <d v="2026-04-16T00:00:00"/>
    <x v="84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565"/>
    <m/>
    <n v="6000"/>
    <n v="6579000000"/>
    <n v="16517.660688"/>
    <n v="10010"/>
    <n v="2.0559812453786519E-5"/>
    <n v="16517.660400000001"/>
    <x v="1"/>
    <n v="12"/>
    <x v="4"/>
  </r>
  <r>
    <d v="2026-04-16T00:00:00"/>
    <x v="84"/>
    <s v="STOCK"/>
    <n v="4"/>
    <s v="STOCK"/>
    <n v="412132"/>
    <x v="239"/>
    <s v="UND"/>
    <n v="10"/>
    <m/>
    <n v="10"/>
    <n v="1037.5"/>
    <n v="10375"/>
    <n v="10375"/>
    <m/>
    <m/>
    <n v="-10375"/>
    <m/>
    <m/>
    <n v="312565"/>
    <m/>
    <n v="6000"/>
    <n v="6579000000"/>
    <s v=""/>
    <n v="10010"/>
    <e v="#DIV/0!"/>
    <n v="0"/>
    <x v="1"/>
    <n v="10"/>
    <x v="100"/>
  </r>
  <r>
    <d v="2026-04-16T00:00:00"/>
    <x v="84"/>
    <s v="STOCK"/>
    <n v="4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12556"/>
    <n v="7161558"/>
    <n v="6000"/>
    <n v="6579000000"/>
    <n v="2459425.2129600006"/>
    <n v="10010"/>
    <n v="-3.2867113828060283E-2"/>
    <n v="2459425.1999999997"/>
    <x v="0"/>
    <n v="480"/>
    <x v="65"/>
  </r>
  <r>
    <d v="2026-04-16T00:00:00"/>
    <x v="84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556"/>
    <m/>
    <n v="6000"/>
    <n v="6579000000"/>
    <n v="3564912"/>
    <n v="10010"/>
    <n v="-8.2919866970068257E-2"/>
    <n v="3564912"/>
    <x v="0"/>
    <n v="624"/>
    <x v="4"/>
  </r>
  <r>
    <d v="2026-04-16T00:00:00"/>
    <x v="84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2556"/>
    <m/>
    <n v="6000"/>
    <n v="6579000000"/>
    <n v="959764.51785405388"/>
    <n v="10010"/>
    <n v="-0.96822970634983885"/>
    <n v="959764.5"/>
    <x v="1"/>
    <n v="9000"/>
    <x v="63"/>
  </r>
  <r>
    <d v="2026-04-16T00:00:00"/>
    <x v="84"/>
    <s v="STOCK"/>
    <n v="4"/>
    <s v="STOCK"/>
    <n v="407011"/>
    <x v="8"/>
    <s v="UND"/>
    <n v="3000"/>
    <m/>
    <n v="3000"/>
    <n v="473.17529999999999"/>
    <n v="1419526"/>
    <n v="1419526"/>
    <n v="473.17520000000002"/>
    <n v="-1E-4"/>
    <n v="-0.28000000000000003"/>
    <n v="-1.9724897997357141E-7"/>
    <m/>
    <n v="312556"/>
    <m/>
    <n v="6000"/>
    <n v="6579000000"/>
    <n v="1419525.7199999995"/>
    <n v="10010"/>
    <n v="2.1133821040261184E-7"/>
    <n v="1419525.6"/>
    <x v="0"/>
    <n v="3000"/>
    <x v="8"/>
  </r>
  <r>
    <d v="2026-04-16T00:00:00"/>
    <x v="84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2556"/>
    <m/>
    <n v="6000"/>
    <n v="6579000000"/>
    <n v="63638.999999999985"/>
    <n v="10010"/>
    <n v="0"/>
    <n v="63639"/>
    <x v="1"/>
    <n v="3"/>
    <x v="5"/>
  </r>
  <r>
    <d v="2026-04-16T00:00:00"/>
    <x v="84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2622"/>
    <n v="562070"/>
    <n v="6000"/>
    <n v="6579000000"/>
    <n v="475295.51668"/>
    <n v="10010"/>
    <n v="9.3378713886288892E-2"/>
    <n v="475295.516"/>
    <x v="0"/>
    <n v="40"/>
    <x v="92"/>
  </r>
  <r>
    <d v="2026-04-16T00:00:00"/>
    <x v="84"/>
    <s v="STOCK"/>
    <n v="4"/>
    <s v="STOCK"/>
    <n v="2302024"/>
    <x v="150"/>
    <s v="GAL"/>
    <n v="1"/>
    <m/>
    <n v="1"/>
    <n v="21730"/>
    <n v="21730"/>
    <n v="21730"/>
    <n v="22292"/>
    <n v="562"/>
    <n v="562"/>
    <n v="2.5210837968778037E-2"/>
    <m/>
    <n v="312622"/>
    <m/>
    <n v="6000"/>
    <n v="6579000000"/>
    <n v="22292"/>
    <n v="10010"/>
    <n v="-2.5210837968778037E-2"/>
    <n v="22292"/>
    <x v="1"/>
    <n v="1"/>
    <x v="4"/>
  </r>
  <r>
    <d v="2026-04-16T00:00:00"/>
    <x v="84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622"/>
    <m/>
    <n v="6000"/>
    <n v="6579000000"/>
    <n v="3778.52441"/>
    <n v="10010"/>
    <n v="-4.4335957064721834E-2"/>
    <n v="3778.5244999999995"/>
    <x v="1"/>
    <n v="5"/>
    <x v="4"/>
  </r>
  <r>
    <d v="2026-04-16T00:00:00"/>
    <x v="84"/>
    <s v="STOCK"/>
    <n v="4"/>
    <s v="STOCK"/>
    <n v="617007"/>
    <x v="123"/>
    <s v="UND"/>
    <n v="4"/>
    <m/>
    <n v="4"/>
    <n v="100"/>
    <n v="400"/>
    <n v="400"/>
    <n v="99.963800000000006"/>
    <n v="-3.6200000000000003E-2"/>
    <n v="-0.1447"/>
    <n v="-3.6192093937669894E-4"/>
    <m/>
    <n v="312622"/>
    <m/>
    <n v="6000"/>
    <n v="6579000000"/>
    <n v="399.85528399999998"/>
    <n v="10010"/>
    <n v="3.6213109145504462E-4"/>
    <n v="399.85520000000002"/>
    <x v="1"/>
    <n v="4"/>
    <x v="4"/>
  </r>
  <r>
    <d v="2026-04-16T00:00:00"/>
    <x v="84"/>
    <s v="STOCK"/>
    <n v="4"/>
    <s v="STOCK"/>
    <n v="404252"/>
    <x v="118"/>
    <s v="UND"/>
    <n v="15"/>
    <m/>
    <n v="15"/>
    <n v="1110.0667000000001"/>
    <n v="16651"/>
    <n v="16651"/>
    <n v="1110.0438999999999"/>
    <n v="-2.2800000000000001E-2"/>
    <n v="-0.34189999999999998"/>
    <n v="-2.0531320571558476E-5"/>
    <m/>
    <n v="312622"/>
    <m/>
    <n v="6000"/>
    <n v="6579000000"/>
    <n v="16650.65814"/>
    <n v="10010"/>
    <n v="2.0539728203711989E-5"/>
    <n v="16650.658499999998"/>
    <x v="1"/>
    <n v="15"/>
    <x v="4"/>
  </r>
  <r>
    <d v="2026-04-17T00:00:00"/>
    <x v="85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693"/>
    <n v="86890"/>
    <n v="6000"/>
    <n v="6579000000"/>
    <n v="6758.5333330000003"/>
    <n v="10010"/>
    <n v="3.2768455842334898E-2"/>
    <n v="6758.5333000000001"/>
    <x v="1"/>
    <n v="1"/>
    <x v="4"/>
  </r>
  <r>
    <d v="2026-04-17T00:00:00"/>
    <x v="85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693"/>
    <m/>
    <n v="6000"/>
    <n v="6579000000"/>
    <n v="13476"/>
    <n v="10010"/>
    <n v="-1.4766993173048382E-2"/>
    <n v="13476"/>
    <x v="1"/>
    <n v="2"/>
    <x v="138"/>
  </r>
  <r>
    <d v="2026-04-17T00:00:00"/>
    <x v="85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693"/>
    <m/>
    <n v="6000"/>
    <n v="6579000000"/>
    <n v="9596"/>
    <n v="10010"/>
    <n v="-5.2105043768236768E-3"/>
    <n v="9596"/>
    <x v="1"/>
    <n v="2"/>
    <x v="139"/>
  </r>
  <r>
    <d v="2026-04-17T00:00:00"/>
    <x v="85"/>
    <s v="STOCK"/>
    <n v="4"/>
    <s v="STOCK"/>
    <n v="2508992"/>
    <x v="228"/>
    <s v="UND"/>
    <n v="2"/>
    <m/>
    <n v="2"/>
    <n v="5053"/>
    <n v="10106"/>
    <n v="10106"/>
    <n v="5084"/>
    <n v="31"/>
    <n v="62"/>
    <n v="6.0975609756097563E-3"/>
    <m/>
    <n v="312693"/>
    <m/>
    <n v="6000"/>
    <n v="6579000000"/>
    <n v="10168"/>
    <n v="10010"/>
    <n v="-6.0975609756097563E-3"/>
    <n v="10168"/>
    <x v="1"/>
    <n v="2"/>
    <x v="140"/>
  </r>
  <r>
    <d v="2026-04-17T00:00:00"/>
    <x v="85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693"/>
    <m/>
    <n v="6000"/>
    <n v="6579000000"/>
    <n v="2820"/>
    <n v="10010"/>
    <n v="7.411347517730496E-2"/>
    <n v="2820"/>
    <x v="1"/>
    <n v="2"/>
    <x v="141"/>
  </r>
  <r>
    <d v="2026-04-17T00:00:00"/>
    <x v="85"/>
    <s v="STOCK"/>
    <n v="4"/>
    <s v="STOCK"/>
    <n v="2508994"/>
    <x v="230"/>
    <s v="UND"/>
    <n v="1"/>
    <m/>
    <n v="1"/>
    <n v="1785"/>
    <n v="1785"/>
    <n v="1785"/>
    <n v="1598"/>
    <n v="-187"/>
    <n v="-187"/>
    <n v="-0.11702127659574468"/>
    <m/>
    <n v="312693"/>
    <m/>
    <n v="6000"/>
    <n v="6579000000"/>
    <n v="1598"/>
    <n v="10010"/>
    <n v="0.11702127659574468"/>
    <n v="1598"/>
    <x v="1"/>
    <n v="1"/>
    <x v="142"/>
  </r>
  <r>
    <d v="2026-04-17T00:00:00"/>
    <x v="85"/>
    <s v="STOCK"/>
    <n v="4"/>
    <s v="STOCK"/>
    <n v="609008"/>
    <x v="30"/>
    <s v="LTS"/>
    <n v="2"/>
    <m/>
    <n v="2"/>
    <n v="2187"/>
    <n v="4374"/>
    <n v="4374"/>
    <n v="2130.7573000000002"/>
    <n v="-56.242699999999999"/>
    <n v="-112.4854"/>
    <n v="-2.6395633954201959E-2"/>
    <m/>
    <n v="312693"/>
    <m/>
    <n v="6000"/>
    <n v="6579000000"/>
    <n v="4261.5146199999999"/>
    <n v="10010"/>
    <n v="2.6395638771248033E-2"/>
    <n v="4261.5146000000004"/>
    <x v="1"/>
    <n v="2"/>
    <x v="27"/>
  </r>
  <r>
    <d v="2026-04-17T00:00:00"/>
    <x v="85"/>
    <s v="STOCK"/>
    <n v="4"/>
    <s v="STOCK"/>
    <n v="307033"/>
    <x v="190"/>
    <s v="UND"/>
    <n v="20"/>
    <m/>
    <n v="20"/>
    <n v="1889.65"/>
    <n v="37793"/>
    <n v="37793"/>
    <n v="1889.0535"/>
    <n v="-0.59650000000000003"/>
    <n v="-11.9291"/>
    <n v="-3.1574330007462016E-4"/>
    <m/>
    <n v="312693"/>
    <m/>
    <n v="6000"/>
    <n v="6579000000"/>
    <n v="37781.070879999999"/>
    <n v="10010"/>
    <n v="3.1576659951669208E-4"/>
    <n v="37781.07"/>
    <x v="1"/>
    <n v="20"/>
    <x v="4"/>
  </r>
  <r>
    <d v="2026-04-17T00:00:00"/>
    <x v="85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706"/>
    <n v="12567741"/>
    <n v="6000"/>
    <n v="6579000000"/>
    <n v="3778.52441"/>
    <n v="10010"/>
    <n v="-4.4335957064721834E-2"/>
    <n v="3778.5244999999995"/>
    <x v="1"/>
    <n v="5"/>
    <x v="4"/>
  </r>
  <r>
    <d v="2026-04-17T00:00:00"/>
    <x v="85"/>
    <s v="STOCK"/>
    <n v="4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2706"/>
    <m/>
    <n v="6000"/>
    <n v="6579000000"/>
    <n v="1559.59933"/>
    <n v="10010"/>
    <n v="2.5679669684433674E-4"/>
    <n v="1559.5994999999998"/>
    <x v="1"/>
    <n v="5"/>
    <x v="104"/>
  </r>
  <r>
    <d v="2026-04-17T00:00:00"/>
    <x v="85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706"/>
    <m/>
    <n v="6000"/>
    <n v="6579000000"/>
    <n v="3564912"/>
    <n v="10010"/>
    <n v="-8.2919866970068257E-2"/>
    <n v="3564912"/>
    <x v="0"/>
    <n v="624"/>
    <x v="4"/>
  </r>
  <r>
    <d v="2026-04-17T00:00:00"/>
    <x v="85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706"/>
    <m/>
    <n v="6000"/>
    <n v="6579000000"/>
    <n v="2433712.1634000018"/>
    <n v="10010"/>
    <n v="-4.4891022478904738E-3"/>
    <n v="2433712.176"/>
    <x v="0"/>
    <n v="252"/>
    <x v="0"/>
  </r>
  <r>
    <d v="2026-04-17T00:00:00"/>
    <x v="85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2706"/>
    <m/>
    <n v="6000"/>
    <n v="6579000000"/>
    <n v="499636"/>
    <n v="10010"/>
    <n v="0"/>
    <n v="499636"/>
    <x v="1"/>
    <n v="4"/>
    <x v="24"/>
  </r>
  <r>
    <d v="2026-04-17T00:00:00"/>
    <x v="85"/>
    <s v="STOCK"/>
    <n v="4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2706"/>
    <m/>
    <n v="6000"/>
    <n v="6579000000"/>
    <n v="1482000"/>
    <n v="10010"/>
    <n v="1.417004048582996E-2"/>
    <n v="1482000"/>
    <x v="1"/>
    <n v="10"/>
    <x v="4"/>
  </r>
  <r>
    <d v="2026-04-17T00:00:00"/>
    <x v="85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706"/>
    <m/>
    <n v="6000"/>
    <n v="6579000000"/>
    <n v="1947659.9999999993"/>
    <n v="10010"/>
    <n v="-5.1855560005389863E-5"/>
    <n v="1947660"/>
    <x v="0"/>
    <n v="130"/>
    <x v="99"/>
  </r>
  <r>
    <d v="2026-04-17T00:00:00"/>
    <x v="85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2706"/>
    <m/>
    <n v="6000"/>
    <n v="6579000000"/>
    <n v="2242783.9959000004"/>
    <n v="10010"/>
    <n v="2.0782651401813682E-2"/>
    <n v="2242783.9980000001"/>
    <x v="0"/>
    <n v="140"/>
    <x v="94"/>
  </r>
  <r>
    <d v="2026-04-17T00:00:00"/>
    <x v="85"/>
    <s v="STOCK"/>
    <n v="4"/>
    <s v="STOCK"/>
    <n v="701040"/>
    <x v="1"/>
    <s v="PL"/>
    <n v="80"/>
    <m/>
    <n v="80"/>
    <n v="7886.0375000000004"/>
    <n v="630883"/>
    <n v="630883"/>
    <n v="7835.7259999999997"/>
    <n v="-50.311500000000002"/>
    <n v="-4024.9236999999998"/>
    <n v="-6.42078938127226E-3"/>
    <m/>
    <n v="312706"/>
    <m/>
    <n v="6000"/>
    <n v="6579000000"/>
    <n v="626858.07631999976"/>
    <n v="10010"/>
    <n v="6.4207834730311787E-3"/>
    <n v="626858.07999999996"/>
    <x v="1"/>
    <n v="80"/>
    <x v="1"/>
  </r>
  <r>
    <d v="2026-04-17T00:00:00"/>
    <x v="85"/>
    <s v="STOCK"/>
    <n v="4"/>
    <s v="STOCK"/>
    <s v="V01"/>
    <x v="240"/>
    <s v="UND"/>
    <n v="27"/>
    <m/>
    <n v="27"/>
    <n v="202875.81479999999"/>
    <n v="5477647"/>
    <n v="5477647"/>
    <n v="205500"/>
    <n v="2624.1851999999999"/>
    <n v="70853"/>
    <n v="1.2769757592142078E-2"/>
    <m/>
    <m/>
    <n v="9988928"/>
    <n v="6014"/>
    <n v="6579000000"/>
    <n v="5548500"/>
    <n v="10010"/>
    <n v="-1.2769757664233612E-2"/>
    <n v="5548500"/>
    <x v="0"/>
    <n v="27"/>
    <x v="145"/>
  </r>
  <r>
    <d v="2026-04-17T00:00:00"/>
    <x v="85"/>
    <s v="STOCK"/>
    <n v="4"/>
    <s v="STOCK"/>
    <s v="V03"/>
    <x v="241"/>
    <s v="UND"/>
    <n v="9"/>
    <m/>
    <n v="9"/>
    <n v="119752.3333"/>
    <n v="1077771"/>
    <n v="1077771"/>
    <n v="101229"/>
    <n v="-18523.333299999998"/>
    <n v="-166710"/>
    <n v="-0.18298445438889377"/>
    <m/>
    <m/>
    <m/>
    <n v="6014"/>
    <n v="6579000000"/>
    <n v="911061"/>
    <n v="10010"/>
    <n v="0.18298445405960742"/>
    <n v="911061"/>
    <x v="0"/>
    <n v="9"/>
    <x v="4"/>
  </r>
  <r>
    <d v="2026-04-17T00:00:00"/>
    <x v="85"/>
    <s v="STOCK"/>
    <n v="4"/>
    <s v="STOCK"/>
    <s v="V05"/>
    <x v="242"/>
    <s v="UND"/>
    <n v="9"/>
    <m/>
    <n v="9"/>
    <n v="381501.11109999998"/>
    <n v="3433510"/>
    <n v="3433510"/>
    <n v="350139"/>
    <n v="-31362.111099999998"/>
    <n v="-282259"/>
    <n v="-8.9570459477839162E-2"/>
    <m/>
    <m/>
    <m/>
    <n v="6014"/>
    <n v="6579000000"/>
    <n v="3151251"/>
    <n v="10010"/>
    <n v="8.957045944610563E-2"/>
    <n v="3151251"/>
    <x v="0"/>
    <n v="9"/>
    <x v="146"/>
  </r>
  <r>
    <d v="2026-04-17T00:00:00"/>
    <x v="85"/>
    <s v="STOCK"/>
    <n v="4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2760"/>
    <n v="7700013"/>
    <n v="6000"/>
    <n v="6579000000"/>
    <n v="3412617.0849120007"/>
    <n v="10010"/>
    <n v="-3.3789560550217482E-3"/>
    <n v="3412617.0959999999"/>
    <x v="0"/>
    <n v="336"/>
    <x v="46"/>
  </r>
  <r>
    <d v="2026-04-17T00:00:00"/>
    <x v="85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2760"/>
    <m/>
    <n v="6000"/>
    <n v="6579000000"/>
    <n v="2961510.1115760002"/>
    <n v="10010"/>
    <n v="-5.7529811581396841E-2"/>
    <n v="2961510.12"/>
    <x v="0"/>
    <n v="216"/>
    <x v="2"/>
  </r>
  <r>
    <d v="2026-04-17T00:00:00"/>
    <x v="85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760"/>
    <m/>
    <n v="6000"/>
    <n v="6579000000"/>
    <n v="570454.86033000005"/>
    <n v="10010"/>
    <n v="-3.3104902991571636E-2"/>
    <n v="570454.86599999992"/>
    <x v="0"/>
    <n v="270"/>
    <x v="6"/>
  </r>
  <r>
    <d v="2026-04-17T00:00:00"/>
    <x v="85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760"/>
    <m/>
    <n v="6000"/>
    <n v="6579000000"/>
    <n v="139999.8464000001"/>
    <n v="10010"/>
    <n v="1.1428584490190236E-6"/>
    <n v="139999.84"/>
    <x v="1"/>
    <n v="200"/>
    <x v="4"/>
  </r>
  <r>
    <d v="2026-04-17T00:00:00"/>
    <x v="85"/>
    <s v="STOCK"/>
    <n v="4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12760"/>
    <m/>
    <n v="6000"/>
    <n v="6579000000"/>
    <n v="823993.41758399969"/>
    <n v="10010"/>
    <n v="-9.4314025441193054E-3"/>
    <n v="823993.41599999997"/>
    <x v="0"/>
    <n v="72"/>
    <x v="43"/>
  </r>
  <r>
    <d v="2026-04-20T00:00:00"/>
    <x v="86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2883"/>
    <n v="628026"/>
    <n v="6045"/>
    <n v="6579000000"/>
    <n v="102622"/>
    <n v="10010"/>
    <n v="0"/>
    <n v="102622"/>
    <x v="1"/>
    <n v="1"/>
    <x v="144"/>
  </r>
  <r>
    <d v="2026-04-20T00:00:00"/>
    <x v="86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2883"/>
    <m/>
    <n v="6045"/>
    <n v="6579000000"/>
    <n v="145847"/>
    <n v="10010"/>
    <n v="-2.2729298511453784E-2"/>
    <n v="145847"/>
    <x v="1"/>
    <n v="1"/>
    <x v="126"/>
  </r>
  <r>
    <d v="2026-04-20T00:00:00"/>
    <x v="86"/>
    <s v="STOCK"/>
    <n v="4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2883"/>
    <m/>
    <n v="6045"/>
    <n v="6579000000"/>
    <n v="4624"/>
    <n v="10010"/>
    <n v="2.1626297577854672E-4"/>
    <n v="4624"/>
    <x v="1"/>
    <n v="2"/>
    <x v="86"/>
  </r>
  <r>
    <d v="2026-04-20T00:00:00"/>
    <x v="86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2883"/>
    <m/>
    <n v="6045"/>
    <n v="6579000000"/>
    <s v=""/>
    <n v="10010"/>
    <e v="#DIV/0!"/>
    <n v="0"/>
    <x v="1"/>
    <n v="12"/>
    <x v="100"/>
  </r>
  <r>
    <d v="2026-04-20T00:00:00"/>
    <x v="86"/>
    <s v="STOCK"/>
    <n v="4"/>
    <s v="STOCK"/>
    <n v="2302119"/>
    <x v="44"/>
    <s v="UND"/>
    <n v="12"/>
    <m/>
    <n v="12"/>
    <n v="3664.1667000000002"/>
    <n v="43970"/>
    <n v="43970"/>
    <n v="3671"/>
    <n v="6.8333000000000004"/>
    <n v="82"/>
    <n v="1.8614364841551309E-3"/>
    <m/>
    <n v="312883"/>
    <m/>
    <n v="6045"/>
    <n v="6579000000"/>
    <n v="44052"/>
    <n v="10010"/>
    <n v="-1.8614274039770583E-3"/>
    <n v="44052"/>
    <x v="1"/>
    <n v="12"/>
    <x v="40"/>
  </r>
  <r>
    <d v="2026-04-20T00:00:00"/>
    <x v="86"/>
    <s v="STOCK"/>
    <n v="4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2883"/>
    <m/>
    <n v="6045"/>
    <n v="6579000000"/>
    <n v="80999.95815000002"/>
    <n v="10010"/>
    <n v="5.1851878741837811E-7"/>
    <n v="80999.957999999999"/>
    <x v="1"/>
    <n v="30"/>
    <x v="32"/>
  </r>
  <r>
    <d v="2026-04-20T00:00:00"/>
    <x v="86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883"/>
    <m/>
    <n v="6045"/>
    <n v="6579000000"/>
    <n v="16517.660688"/>
    <n v="10010"/>
    <n v="2.0559812453786519E-5"/>
    <n v="16517.660400000001"/>
    <x v="1"/>
    <n v="12"/>
    <x v="4"/>
  </r>
  <r>
    <d v="2026-04-20T00:00:00"/>
    <x v="86"/>
    <s v="STOCK"/>
    <n v="4"/>
    <s v="STOCK"/>
    <n v="2304053"/>
    <x v="141"/>
    <s v="UND"/>
    <n v="24"/>
    <m/>
    <n v="24"/>
    <n v="988.625"/>
    <n v="23727"/>
    <n v="23727"/>
    <n v="862"/>
    <n v="-126.625"/>
    <n v="-3039"/>
    <n v="-0.14689675174013905"/>
    <m/>
    <n v="312883"/>
    <m/>
    <n v="6045"/>
    <n v="6579000000"/>
    <n v="20688.000000000004"/>
    <n v="10010"/>
    <n v="0.14689675174013922"/>
    <n v="20688"/>
    <x v="1"/>
    <n v="24"/>
    <x v="4"/>
  </r>
  <r>
    <d v="2026-04-20T00:00:00"/>
    <x v="86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883"/>
    <m/>
    <n v="6045"/>
    <n v="6579000000"/>
    <n v="104767.50644999991"/>
    <n v="10010"/>
    <n v="-0.14305490046746852"/>
    <n v="104767.505"/>
    <x v="0"/>
    <n v="50"/>
    <x v="121"/>
  </r>
  <r>
    <d v="2026-04-20T00:00:00"/>
    <x v="86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2883"/>
    <m/>
    <n v="6045"/>
    <n v="6579000000"/>
    <n v="94452.677199999991"/>
    <n v="10010"/>
    <n v="2.9988563055514597E-4"/>
    <n v="94452.675000000003"/>
    <x v="1"/>
    <n v="50"/>
    <x v="4"/>
  </r>
  <r>
    <d v="2026-04-20T00:00:00"/>
    <x v="86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960"/>
    <n v="55399"/>
    <n v="6045"/>
    <n v="6579000000"/>
    <n v="16517.660688"/>
    <n v="10010"/>
    <n v="2.0559812453786519E-5"/>
    <n v="16517.660400000001"/>
    <x v="1"/>
    <n v="12"/>
    <x v="4"/>
  </r>
  <r>
    <d v="2026-04-20T00:00:00"/>
    <x v="86"/>
    <s v="STOCK"/>
    <n v="4"/>
    <s v="STOCK"/>
    <n v="407049"/>
    <x v="148"/>
    <s v="UND"/>
    <n v="400"/>
    <m/>
    <n v="400"/>
    <n v="16.202500000000001"/>
    <n v="6481"/>
    <n v="6481"/>
    <n v="16.202200000000001"/>
    <n v="-2.9999999999999997E-4"/>
    <n v="-0.13519999999999999"/>
    <n v="-2.0861413433545681E-5"/>
    <m/>
    <n v="312960"/>
    <m/>
    <n v="6045"/>
    <n v="6579000000"/>
    <n v="6480.8648000000003"/>
    <n v="10010"/>
    <n v="1.8516003999413709E-5"/>
    <n v="6480.88"/>
    <x v="1"/>
    <n v="400"/>
    <x v="4"/>
  </r>
  <r>
    <d v="2026-04-20T00:00:00"/>
    <x v="86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960"/>
    <m/>
    <n v="6045"/>
    <n v="6579000000"/>
    <n v="32400"/>
    <n v="10010"/>
    <n v="0"/>
    <n v="32400"/>
    <x v="1"/>
    <n v="100"/>
    <x v="143"/>
  </r>
  <r>
    <d v="2026-04-20T00:00:00"/>
    <x v="86"/>
    <s v="STOCK"/>
    <n v="4"/>
    <s v="STOCK"/>
    <n v="304012"/>
    <x v="233"/>
    <s v="PL"/>
    <n v="10"/>
    <m/>
    <n v="10"/>
    <n v="6004.4"/>
    <n v="60044"/>
    <n v="60044"/>
    <n v="0"/>
    <n v="-6004.4"/>
    <n v="-60044"/>
    <m/>
    <m/>
    <n v="312993"/>
    <n v="2283886"/>
    <n v="6045"/>
    <n v="6579000000"/>
    <n v="0"/>
    <n v="10010"/>
    <e v="#DIV/0!"/>
    <n v="0"/>
    <x v="1"/>
    <n v="10"/>
    <x v="100"/>
  </r>
  <r>
    <d v="2026-04-20T00:00:00"/>
    <x v="86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2993"/>
    <m/>
    <n v="6045"/>
    <n v="6579000000"/>
    <n v="3632"/>
    <n v="10010"/>
    <n v="-0.11095814977973568"/>
    <n v="3632"/>
    <x v="1"/>
    <n v="1"/>
    <x v="131"/>
  </r>
  <r>
    <d v="2026-04-20T00:00:00"/>
    <x v="86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2993"/>
    <m/>
    <n v="6045"/>
    <n v="6579000000"/>
    <s v=""/>
    <n v="10010"/>
    <e v="#DIV/0!"/>
    <n v="0"/>
    <x v="1"/>
    <n v="1"/>
    <x v="100"/>
  </r>
  <r>
    <d v="2026-04-20T00:00:00"/>
    <x v="86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2993"/>
    <m/>
    <n v="6045"/>
    <n v="6579000000"/>
    <n v="12764"/>
    <n v="10010"/>
    <n v="-7.8345346286430584E-5"/>
    <n v="12764"/>
    <x v="1"/>
    <n v="4"/>
    <x v="120"/>
  </r>
  <r>
    <d v="2026-04-20T00:00:00"/>
    <x v="86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2993"/>
    <m/>
    <n v="6045"/>
    <n v="6579000000"/>
    <n v="9708"/>
    <n v="10010"/>
    <n v="0"/>
    <n v="9708"/>
    <x v="1"/>
    <n v="4"/>
    <x v="119"/>
  </r>
  <r>
    <d v="2026-04-20T00:00:00"/>
    <x v="86"/>
    <s v="STOCK"/>
    <n v="4"/>
    <s v="STOCK"/>
    <n v="907031"/>
    <x v="158"/>
    <s v="RLL"/>
    <n v="5"/>
    <m/>
    <n v="5"/>
    <n v="154915.6"/>
    <n v="774578"/>
    <n v="774578"/>
    <n v="156269.1667"/>
    <n v="1353.5667000000001"/>
    <n v="6767.8333000000002"/>
    <n v="8.6617641590449046E-3"/>
    <m/>
    <n v="312993"/>
    <m/>
    <n v="6045"/>
    <n v="6579000000"/>
    <n v="781345.83333500021"/>
    <n v="10010"/>
    <n v="-8.6617643683896076E-3"/>
    <n v="781345.83349999995"/>
    <x v="0"/>
    <n v="5"/>
    <x v="98"/>
  </r>
  <r>
    <d v="2026-04-20T00:00:00"/>
    <x v="86"/>
    <s v="STOCK"/>
    <n v="4"/>
    <s v="STOCK"/>
    <n v="2302017"/>
    <x v="106"/>
    <s v="TIN"/>
    <n v="4"/>
    <m/>
    <n v="4"/>
    <n v="81199.75"/>
    <n v="324799"/>
    <n v="324799"/>
    <n v="81197.881599999993"/>
    <n v="-1.8684000000000001"/>
    <n v="-7.4737"/>
    <n v="-2.3010711162497491E-5"/>
    <m/>
    <n v="312993"/>
    <m/>
    <n v="6045"/>
    <n v="6579000000"/>
    <n v="324791.52631599992"/>
    <n v="10010"/>
    <n v="2.3010452528932222E-5"/>
    <n v="324791.52639999997"/>
    <x v="1"/>
    <n v="4"/>
    <x v="4"/>
  </r>
  <r>
    <d v="2026-04-20T00:00:00"/>
    <x v="86"/>
    <s v="STOCK"/>
    <n v="4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2993"/>
    <m/>
    <n v="6045"/>
    <n v="6579000000"/>
    <n v="8436.2341680000009"/>
    <n v="10010"/>
    <n v="8.0221340470167088E-2"/>
    <n v="8436.2340000000004"/>
    <x v="1"/>
    <n v="4"/>
    <x v="28"/>
  </r>
  <r>
    <d v="2026-04-20T00:00:00"/>
    <x v="86"/>
    <s v="STOCK"/>
    <n v="4"/>
    <s v="STOCK"/>
    <n v="609008"/>
    <x v="30"/>
    <s v="LTS"/>
    <n v="4"/>
    <m/>
    <n v="4"/>
    <n v="2185.25"/>
    <n v="8741"/>
    <n v="8741"/>
    <n v="2130.7573000000002"/>
    <n v="-54.492699999999999"/>
    <n v="-217.9708"/>
    <n v="-2.557432972035658E-2"/>
    <m/>
    <n v="312993"/>
    <m/>
    <n v="6045"/>
    <n v="6579000000"/>
    <n v="8523.0292399999998"/>
    <n v="10010"/>
    <n v="2.5574334533548133E-2"/>
    <n v="8523.0292000000009"/>
    <x v="1"/>
    <n v="4"/>
    <x v="27"/>
  </r>
  <r>
    <d v="2026-04-20T00:00:00"/>
    <x v="86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2993"/>
    <m/>
    <n v="6045"/>
    <n v="6579000000"/>
    <n v="904223.85275999969"/>
    <n v="10010"/>
    <n v="3.208793917981145E-4"/>
    <n v="904223.853"/>
    <x v="1"/>
    <n v="6"/>
    <x v="4"/>
  </r>
  <r>
    <d v="2026-04-20T00:00:00"/>
    <x v="86"/>
    <s v="STOCK"/>
    <n v="4"/>
    <s v="STOCK"/>
    <n v="810007"/>
    <x v="151"/>
    <s v="TRA"/>
    <n v="10"/>
    <m/>
    <n v="10"/>
    <n v="3372.1"/>
    <n v="33721"/>
    <n v="33721"/>
    <n v="3274.7246"/>
    <n v="-97.375399999999999"/>
    <n v="-973.75360000000001"/>
    <n v="-2.9735435117216644E-2"/>
    <m/>
    <n v="312993"/>
    <m/>
    <n v="6045"/>
    <n v="6579000000"/>
    <n v="32747.24638"/>
    <n v="10010"/>
    <n v="2.9735447066296782E-2"/>
    <n v="32747.245999999999"/>
    <x v="1"/>
    <n v="10"/>
    <x v="4"/>
  </r>
  <r>
    <d v="2026-04-21T00:00:00"/>
    <x v="87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025"/>
    <n v="58141"/>
    <n v="6045"/>
    <n v="6579000000"/>
    <n v="25900.857144000001"/>
    <n v="10010"/>
    <n v="-7.8293039325247393E-2"/>
    <n v="25900.856800000001"/>
    <x v="1"/>
    <n v="8"/>
    <x v="54"/>
  </r>
  <r>
    <d v="2026-04-21T00:00:00"/>
    <x v="87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025"/>
    <m/>
    <n v="6045"/>
    <n v="6579000000"/>
    <n v="34981.818184000003"/>
    <n v="10010"/>
    <n v="-2.0405411515142864E-2"/>
    <n v="34981.818399999996"/>
    <x v="1"/>
    <n v="8"/>
    <x v="53"/>
  </r>
  <r>
    <d v="2026-04-21T00:00:00"/>
    <x v="87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3071"/>
    <n v="2922060"/>
    <n v="6045"/>
    <n v="6579000000"/>
    <n v="139999.8464000001"/>
    <n v="10010"/>
    <n v="1.1428584490190236E-6"/>
    <n v="139999.84"/>
    <x v="1"/>
    <n v="200"/>
    <x v="4"/>
  </r>
  <r>
    <d v="2026-04-21T00:00:00"/>
    <x v="87"/>
    <s v="STOCK"/>
    <n v="4"/>
    <s v="STOCK"/>
    <n v="617019"/>
    <x v="243"/>
    <s v="UND"/>
    <n v="5"/>
    <m/>
    <n v="5"/>
    <n v="93"/>
    <n v="465"/>
    <n v="465"/>
    <m/>
    <m/>
    <n v="-465"/>
    <m/>
    <m/>
    <n v="313071"/>
    <m/>
    <n v="6045"/>
    <n v="6579000000"/>
    <s v=""/>
    <n v="10010"/>
    <e v="#DIV/0!"/>
    <n v="0"/>
    <x v="1"/>
    <n v="5"/>
    <x v="100"/>
  </r>
  <r>
    <d v="2026-04-21T00:00:00"/>
    <x v="87"/>
    <s v="STOCK"/>
    <n v="4"/>
    <s v="STOCK"/>
    <n v="304101"/>
    <x v="0"/>
    <s v="PL"/>
    <n v="84"/>
    <m/>
    <n v="84"/>
    <n v="9614.2381000000005"/>
    <n v="807596"/>
    <n v="807596"/>
    <n v="9657.5879999999997"/>
    <n v="43.349899999999998"/>
    <n v="3641.3878"/>
    <n v="4.4886834048360087E-3"/>
    <m/>
    <n v="313071"/>
    <m/>
    <n v="6045"/>
    <n v="6579000000"/>
    <n v="811237.38780000038"/>
    <n v="10010"/>
    <n v="-4.4886880657985465E-3"/>
    <n v="811237.39199999999"/>
    <x v="0"/>
    <n v="84"/>
    <x v="0"/>
  </r>
  <r>
    <d v="2026-04-21T00:00:00"/>
    <x v="87"/>
    <s v="STOCK"/>
    <n v="4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3071"/>
    <m/>
    <n v="6045"/>
    <n v="6579000000"/>
    <n v="73879.636363999962"/>
    <n v="10010"/>
    <n v="4.92151853628979E-6"/>
    <n v="73879.636400000003"/>
    <x v="0"/>
    <n v="2"/>
    <x v="45"/>
  </r>
  <r>
    <d v="2026-04-21T00:00:00"/>
    <x v="87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3071"/>
    <m/>
    <n v="6045"/>
    <n v="6579000000"/>
    <n v="16517.660688"/>
    <n v="10010"/>
    <n v="2.0559812453786519E-5"/>
    <n v="16517.660400000001"/>
    <x v="1"/>
    <n v="12"/>
    <x v="4"/>
  </r>
  <r>
    <d v="2026-04-21T00:00:00"/>
    <x v="87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3071"/>
    <m/>
    <n v="6045"/>
    <n v="6579000000"/>
    <n v="959764.51785405388"/>
    <n v="10010"/>
    <n v="-0.96822970634983885"/>
    <n v="959764.5"/>
    <x v="1"/>
    <n v="9000"/>
    <x v="63"/>
  </r>
  <r>
    <d v="2026-04-21T00:00:00"/>
    <x v="87"/>
    <s v="STOCK"/>
    <n v="4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3071"/>
    <m/>
    <n v="6045"/>
    <n v="6579000000"/>
    <n v="2440.1080000000002"/>
    <n v="10010"/>
    <n v="-4.0981926970292619E-5"/>
    <n v="2440.1000000000004"/>
    <x v="1"/>
    <n v="500"/>
    <x v="64"/>
  </r>
  <r>
    <d v="2026-04-21T00:00:00"/>
    <x v="87"/>
    <s v="STOCK"/>
    <n v="4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3071"/>
    <m/>
    <n v="6045"/>
    <n v="6579000000"/>
    <n v="709762.85999999987"/>
    <n v="10010"/>
    <n v="2.1133821040261184E-7"/>
    <n v="709762.8"/>
    <x v="0"/>
    <n v="1500"/>
    <x v="8"/>
  </r>
  <r>
    <d v="2026-04-21T00:00:00"/>
    <x v="87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071"/>
    <m/>
    <n v="6045"/>
    <n v="6579000000"/>
    <n v="595580"/>
    <n v="10010"/>
    <n v="0.31116894455824584"/>
    <n v="595580"/>
    <x v="0"/>
    <n v="20"/>
    <x v="4"/>
  </r>
  <r>
    <d v="2026-04-21T00:00:00"/>
    <x v="87"/>
    <s v="STOCK"/>
    <n v="4"/>
    <s v="STOCK"/>
    <n v="1103107"/>
    <x v="220"/>
    <s v="ML"/>
    <n v="150"/>
    <m/>
    <n v="150"/>
    <n v="1200"/>
    <n v="180000"/>
    <n v="180000"/>
    <n v="5092"/>
    <n v="3892"/>
    <n v="583800"/>
    <n v="0.76433621366849946"/>
    <m/>
    <n v="313071"/>
    <m/>
    <n v="6045"/>
    <n v="6579000000"/>
    <n v="763800"/>
    <n v="10010"/>
    <n v="-0.76433621366849958"/>
    <n v="763800"/>
    <x v="1"/>
    <n v="150"/>
    <x v="100"/>
  </r>
  <r>
    <d v="2026-04-21T00:00:00"/>
    <x v="87"/>
    <s v="STOCK"/>
    <n v="4"/>
    <s v="STOCK"/>
    <n v="1103105"/>
    <x v="219"/>
    <s v="ML"/>
    <n v="150"/>
    <m/>
    <n v="150"/>
    <n v="1200"/>
    <n v="180000"/>
    <n v="180000"/>
    <n v="5092"/>
    <n v="3892"/>
    <n v="583800"/>
    <n v="0.76433621366849946"/>
    <m/>
    <n v="313071"/>
    <m/>
    <n v="6045"/>
    <n v="6579000000"/>
    <n v="763800"/>
    <n v="10010"/>
    <n v="-0.76433621366849958"/>
    <n v="763800"/>
    <x v="1"/>
    <n v="150"/>
    <x v="100"/>
  </r>
  <r>
    <d v="2026-04-21T00:00:00"/>
    <x v="87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3101"/>
    <n v="844943"/>
    <n v="6045"/>
    <n v="6579000000"/>
    <n v="350000.00000000029"/>
    <n v="10010"/>
    <n v="0"/>
    <n v="350000"/>
    <x v="1"/>
    <n v="10"/>
    <x v="89"/>
  </r>
  <r>
    <d v="2026-04-21T00:00:00"/>
    <x v="87"/>
    <s v="STOCK"/>
    <n v="4"/>
    <s v="STOCK"/>
    <n v="307096"/>
    <x v="197"/>
    <s v="TRA"/>
    <n v="60"/>
    <m/>
    <n v="60"/>
    <n v="1795.6"/>
    <n v="107736"/>
    <n v="107736"/>
    <n v="2095.3501000000001"/>
    <n v="299.75009999999997"/>
    <n v="17985.007699999998"/>
    <n v="0.14305491232773293"/>
    <m/>
    <n v="313101"/>
    <m/>
    <n v="6045"/>
    <n v="6579000000"/>
    <n v="125721.00773999991"/>
    <n v="10010"/>
    <n v="-0.14305490046746852"/>
    <n v="125721.00600000001"/>
    <x v="0"/>
    <n v="60"/>
    <x v="121"/>
  </r>
  <r>
    <d v="2026-04-21T00:00:00"/>
    <x v="87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101"/>
    <m/>
    <n v="6045"/>
    <n v="6579000000"/>
    <n v="134999.93025000003"/>
    <n v="10010"/>
    <n v="5.1851878741837811E-7"/>
    <n v="134999.93"/>
    <x v="1"/>
    <n v="50"/>
    <x v="32"/>
  </r>
  <r>
    <d v="2026-04-21T00:00:00"/>
    <x v="87"/>
    <s v="STOCK"/>
    <n v="4"/>
    <s v="STOCK"/>
    <n v="307032"/>
    <x v="121"/>
    <s v="TRA"/>
    <n v="30"/>
    <m/>
    <n v="30"/>
    <n v="2280.1"/>
    <n v="68403"/>
    <n v="68403"/>
    <n v="2378.375"/>
    <n v="98.275000000000006"/>
    <n v="2948.2512000000002"/>
    <n v="4.1320245674407875E-2"/>
    <m/>
    <n v="313101"/>
    <m/>
    <n v="6045"/>
    <n v="6579000000"/>
    <n v="71351.251229999994"/>
    <n v="10010"/>
    <n v="-4.1320229148052806E-2"/>
    <n v="71351.25"/>
    <x v="1"/>
    <n v="30"/>
    <x v="4"/>
  </r>
  <r>
    <d v="2026-04-21T00:00:00"/>
    <x v="87"/>
    <s v="STOCK"/>
    <n v="4"/>
    <s v="STOCK"/>
    <n v="2508990"/>
    <x v="226"/>
    <s v="UND"/>
    <n v="1"/>
    <m/>
    <n v="1"/>
    <n v="6639"/>
    <n v="6639"/>
    <n v="6639"/>
    <n v="6738"/>
    <n v="99"/>
    <n v="99"/>
    <n v="1.469278717720392E-2"/>
    <m/>
    <n v="313101"/>
    <m/>
    <n v="6045"/>
    <n v="6579000000"/>
    <n v="6738"/>
    <n v="10010"/>
    <n v="-1.4692787177203919E-2"/>
    <n v="6738"/>
    <x v="1"/>
    <n v="1"/>
    <x v="138"/>
  </r>
  <r>
    <d v="2026-04-21T00:00:00"/>
    <x v="87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3101"/>
    <m/>
    <n v="6045"/>
    <n v="6579000000"/>
    <n v="4230"/>
    <n v="10010"/>
    <n v="7.3995248226950361E-2"/>
    <n v="4230"/>
    <x v="1"/>
    <n v="3"/>
    <x v="141"/>
  </r>
  <r>
    <d v="2026-04-21T00:00:00"/>
    <x v="87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101"/>
    <m/>
    <n v="6045"/>
    <n v="6579000000"/>
    <s v=""/>
    <n v="10010"/>
    <e v="#DIV/0!"/>
    <n v="0"/>
    <x v="1"/>
    <n v="1"/>
    <x v="100"/>
  </r>
  <r>
    <d v="2026-04-21T00:00:00"/>
    <x v="87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3101"/>
    <m/>
    <n v="6045"/>
    <n v="6579000000"/>
    <n v="70000.000000000058"/>
    <n v="10010"/>
    <n v="0"/>
    <n v="70000"/>
    <x v="1"/>
    <n v="2"/>
    <x v="89"/>
  </r>
  <r>
    <d v="2026-04-21T00:00:00"/>
    <x v="87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098"/>
    <n v="6649"/>
    <n v="6045"/>
    <n v="6579000000"/>
    <n v="6648"/>
    <n v="10010"/>
    <n v="1.5042117930204573E-4"/>
    <n v="6648"/>
    <x v="1"/>
    <n v="4"/>
    <x v="17"/>
  </r>
  <r>
    <d v="2026-04-22T00:00:00"/>
    <x v="88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3172"/>
    <n v="4811837"/>
    <n v="6045"/>
    <n v="6579000000"/>
    <n v="96234"/>
    <n v="10010"/>
    <n v="0"/>
    <n v="96234"/>
    <x v="1"/>
    <n v="129"/>
    <x v="4"/>
  </r>
  <r>
    <d v="2026-04-22T00:00:00"/>
    <x v="88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3172"/>
    <m/>
    <n v="6045"/>
    <n v="6579000000"/>
    <n v="614388.11140000017"/>
    <n v="10010"/>
    <n v="-1.8229519378380471E-7"/>
    <n v="614388.11199999996"/>
    <x v="0"/>
    <n v="40"/>
    <x v="3"/>
  </r>
  <r>
    <d v="2026-04-22T00:00:00"/>
    <x v="88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3172"/>
    <m/>
    <n v="6045"/>
    <n v="6579000000"/>
    <n v="1782456"/>
    <n v="10010"/>
    <n v="-8.2919866970068257E-2"/>
    <n v="1782456"/>
    <x v="0"/>
    <n v="312"/>
    <x v="4"/>
  </r>
  <r>
    <d v="2026-04-22T00:00:00"/>
    <x v="88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3172"/>
    <m/>
    <n v="6045"/>
    <n v="6579000000"/>
    <n v="36939.818181999981"/>
    <n v="10010"/>
    <n v="4.92151853628979E-6"/>
    <n v="36939.818200000002"/>
    <x v="0"/>
    <n v="1"/>
    <x v="45"/>
  </r>
  <r>
    <d v="2026-04-22T00:00:00"/>
    <x v="88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3172"/>
    <m/>
    <n v="6045"/>
    <n v="6579000000"/>
    <n v="85376.31575199998"/>
    <n v="10010"/>
    <n v="-5.7326412345170455E-2"/>
    <n v="85376.324800000002"/>
    <x v="1"/>
    <n v="232"/>
    <x v="68"/>
  </r>
  <r>
    <d v="2026-04-22T00:00:00"/>
    <x v="88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3172"/>
    <m/>
    <n v="6045"/>
    <n v="6579000000"/>
    <n v="86558.461528000014"/>
    <n v="10010"/>
    <n v="2.3728702244330655E-4"/>
    <n v="86558.463199999998"/>
    <x v="1"/>
    <n v="88"/>
    <x v="4"/>
  </r>
  <r>
    <d v="2026-04-22T00:00:00"/>
    <x v="88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3172"/>
    <m/>
    <n v="6045"/>
    <n v="6579000000"/>
    <n v="1947659.9999999993"/>
    <n v="10010"/>
    <n v="-5.1855560005389863E-5"/>
    <n v="1947660"/>
    <x v="0"/>
    <n v="130"/>
    <x v="99"/>
  </r>
  <r>
    <d v="2026-04-22T00:00:00"/>
    <x v="88"/>
    <s v="STOCK"/>
    <n v="4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13172"/>
    <m/>
    <n v="6045"/>
    <n v="6579000000"/>
    <n v="105000.00000000007"/>
    <n v="10010"/>
    <n v="0"/>
    <n v="105000"/>
    <x v="1"/>
    <n v="3"/>
    <x v="89"/>
  </r>
  <r>
    <d v="2026-04-22T00:00:00"/>
    <x v="88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3172"/>
    <m/>
    <n v="6045"/>
    <n v="6579000000"/>
    <n v="210000.00000000015"/>
    <n v="10010"/>
    <n v="0"/>
    <n v="210000"/>
    <x v="1"/>
    <n v="6"/>
    <x v="89"/>
  </r>
  <r>
    <d v="2026-04-23T00:00:00"/>
    <x v="89"/>
    <s v="STOCK"/>
    <n v="4"/>
    <s v="STOCK"/>
    <n v="2508993"/>
    <x v="229"/>
    <s v="UND"/>
    <n v="8"/>
    <m/>
    <n v="8"/>
    <n v="1514.375"/>
    <n v="12115"/>
    <n v="12115"/>
    <n v="1410"/>
    <n v="-104.375"/>
    <n v="-835"/>
    <n v="-7.402482269503545E-2"/>
    <m/>
    <n v="313341"/>
    <n v="4080882"/>
    <n v="6045"/>
    <n v="6579000000"/>
    <n v="11280"/>
    <n v="10010"/>
    <n v="7.4024822695035464E-2"/>
    <n v="11280"/>
    <x v="1"/>
    <n v="8"/>
    <x v="141"/>
  </r>
  <r>
    <d v="2026-04-23T00:00:00"/>
    <x v="89"/>
    <s v="STOCK"/>
    <n v="4"/>
    <s v="STOCK"/>
    <n v="2508992"/>
    <x v="228"/>
    <s v="UND"/>
    <n v="6"/>
    <m/>
    <n v="6"/>
    <n v="5052.8333000000002"/>
    <n v="30317"/>
    <n v="30317"/>
    <n v="5084"/>
    <n v="31.166699999999999"/>
    <n v="187"/>
    <n v="6.1303435615001909E-3"/>
    <m/>
    <n v="313341"/>
    <m/>
    <n v="6045"/>
    <n v="6579000000"/>
    <n v="30504"/>
    <n v="10010"/>
    <n v="-6.1303501180172632E-3"/>
    <n v="30504"/>
    <x v="1"/>
    <n v="6"/>
    <x v="140"/>
  </r>
  <r>
    <d v="2026-04-23T00:00:00"/>
    <x v="89"/>
    <s v="STOCK"/>
    <n v="4"/>
    <s v="STOCK"/>
    <n v="2508991"/>
    <x v="227"/>
    <s v="UND"/>
    <n v="8"/>
    <m/>
    <n v="8"/>
    <n v="4772.875"/>
    <n v="38183"/>
    <n v="38183"/>
    <n v="4798"/>
    <n v="25.125"/>
    <n v="201"/>
    <n v="5.2365568987077947E-3"/>
    <m/>
    <n v="313341"/>
    <m/>
    <n v="6045"/>
    <n v="6579000000"/>
    <n v="38384"/>
    <n v="10010"/>
    <n v="-5.2365568987077947E-3"/>
    <n v="38384"/>
    <x v="1"/>
    <n v="8"/>
    <x v="139"/>
  </r>
  <r>
    <d v="2026-04-23T00:00:00"/>
    <x v="89"/>
    <s v="STOCK"/>
    <n v="4"/>
    <s v="STOCK"/>
    <n v="2508990"/>
    <x v="226"/>
    <s v="UND"/>
    <n v="8"/>
    <m/>
    <n v="8"/>
    <n v="6638.625"/>
    <n v="53109"/>
    <n v="53109"/>
    <n v="6738"/>
    <n v="99.375"/>
    <n v="795"/>
    <n v="1.4748441674087266E-2"/>
    <m/>
    <n v="313341"/>
    <m/>
    <n v="6045"/>
    <n v="6579000000"/>
    <n v="53904"/>
    <n v="10010"/>
    <n v="-1.4748441674087266E-2"/>
    <n v="53904"/>
    <x v="1"/>
    <n v="8"/>
    <x v="138"/>
  </r>
  <r>
    <d v="2026-04-23T00:00:00"/>
    <x v="89"/>
    <s v="STOCK"/>
    <n v="4"/>
    <s v="STOCK"/>
    <n v="1405025"/>
    <x v="124"/>
    <s v="UND"/>
    <n v="4"/>
    <m/>
    <n v="4"/>
    <n v="6980"/>
    <n v="27920"/>
    <n v="27920"/>
    <n v="6758.5333000000001"/>
    <n v="-221.4667"/>
    <n v="-885.86670000000004"/>
    <n v="-3.2768450799619618E-2"/>
    <m/>
    <n v="313341"/>
    <m/>
    <n v="6045"/>
    <n v="6579000000"/>
    <n v="27034.133332000001"/>
    <n v="10010"/>
    <n v="3.2768455842334898E-2"/>
    <n v="27034.1332"/>
    <x v="1"/>
    <n v="4"/>
    <x v="4"/>
  </r>
  <r>
    <d v="2026-04-23T00:00:00"/>
    <x v="89"/>
    <s v="STOCK"/>
    <n v="4"/>
    <s v="STOCK"/>
    <n v="1405040"/>
    <x v="179"/>
    <s v="UND"/>
    <n v="15"/>
    <m/>
    <n v="15"/>
    <n v="7577.3333000000002"/>
    <n v="113660"/>
    <n v="113660"/>
    <n v="7568"/>
    <n v="-9.3332999999999995"/>
    <n v="-140"/>
    <n v="-1.233262861169798E-3"/>
    <m/>
    <n v="313341"/>
    <m/>
    <n v="6045"/>
    <n v="6579000000"/>
    <n v="113520"/>
    <n v="10010"/>
    <n v="1.2332584566596505E-3"/>
    <n v="113520"/>
    <x v="1"/>
    <n v="15"/>
    <x v="113"/>
  </r>
  <r>
    <d v="2026-04-23T00:00:00"/>
    <x v="89"/>
    <s v="STOCK"/>
    <n v="4"/>
    <s v="STOCK"/>
    <n v="1405039"/>
    <x v="180"/>
    <s v="UND"/>
    <n v="4"/>
    <m/>
    <n v="4"/>
    <n v="7660"/>
    <n v="30640"/>
    <n v="30640"/>
    <n v="7596"/>
    <n v="-64"/>
    <n v="-256"/>
    <n v="-8.4254870984728798E-3"/>
    <m/>
    <n v="313341"/>
    <m/>
    <n v="6045"/>
    <n v="6579000000"/>
    <n v="30384"/>
    <n v="10010"/>
    <n v="8.4254870984728798E-3"/>
    <n v="30384"/>
    <x v="1"/>
    <n v="4"/>
    <x v="114"/>
  </r>
  <r>
    <d v="2026-04-23T00:00:00"/>
    <x v="89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341"/>
    <m/>
    <n v="6045"/>
    <n v="6579000000"/>
    <n v="134999.93025000003"/>
    <n v="10010"/>
    <n v="5.1851878741837811E-7"/>
    <n v="134999.93"/>
    <x v="1"/>
    <n v="50"/>
    <x v="32"/>
  </r>
  <r>
    <d v="2026-04-23T00:00:00"/>
    <x v="89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3341"/>
    <m/>
    <n v="6045"/>
    <n v="6579000000"/>
    <n v="1529748.5150160005"/>
    <n v="10010"/>
    <n v="1.7172417873936391E-2"/>
    <n v="1529748.5183999999"/>
    <x v="0"/>
    <n v="72"/>
    <x v="10"/>
  </r>
  <r>
    <d v="2026-04-23T00:00:00"/>
    <x v="89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3341"/>
    <m/>
    <n v="6045"/>
    <n v="6579000000"/>
    <n v="1866.9503550000009"/>
    <n v="10010"/>
    <n v="2.6567390328128124E-5"/>
    <n v="1866.9503999999999"/>
    <x v="1"/>
    <n v="1"/>
    <x v="4"/>
  </r>
  <r>
    <d v="2026-04-23T00:00:00"/>
    <x v="89"/>
    <s v="STOCK"/>
    <n v="4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13341"/>
    <m/>
    <n v="6045"/>
    <n v="6579000000"/>
    <n v="56671.606319999999"/>
    <n v="10010"/>
    <n v="3.0692619346142256E-4"/>
    <n v="56671.604999999996"/>
    <x v="1"/>
    <n v="30"/>
    <x v="4"/>
  </r>
  <r>
    <d v="2026-04-23T00:00:00"/>
    <x v="89"/>
    <s v="STOCK"/>
    <n v="4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3341"/>
    <m/>
    <n v="6045"/>
    <n v="6579000000"/>
    <n v="466856.99999999994"/>
    <n v="10010"/>
    <n v="1.6493358780096941E-4"/>
    <n v="466857"/>
    <x v="0"/>
    <n v="9"/>
    <x v="57"/>
  </r>
  <r>
    <d v="2026-04-23T00:00:00"/>
    <x v="89"/>
    <s v="STOCK"/>
    <n v="4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3341"/>
    <m/>
    <n v="6045"/>
    <n v="6579000000"/>
    <n v="476280"/>
    <n v="10010"/>
    <n v="-1.9729990551776301E-2"/>
    <n v="476280"/>
    <x v="1"/>
    <n v="9"/>
    <x v="100"/>
  </r>
  <r>
    <d v="2026-04-23T00:00:00"/>
    <x v="89"/>
    <s v="STOCK"/>
    <n v="4"/>
    <s v="STOCK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m/>
    <n v="313341"/>
    <m/>
    <n v="6045"/>
    <n v="6579000000"/>
    <n v="213281.00396756755"/>
    <n v="10010"/>
    <n v="-0.96822970634983885"/>
    <n v="213281"/>
    <x v="1"/>
    <n v="2000"/>
    <x v="63"/>
  </r>
  <r>
    <d v="2026-04-23T00:00:00"/>
    <x v="89"/>
    <s v="STOCK"/>
    <n v="4"/>
    <s v="STOCK"/>
    <n v="704079"/>
    <x v="138"/>
    <s v="RLL"/>
    <n v="20"/>
    <m/>
    <n v="20"/>
    <n v="722.3"/>
    <n v="14446"/>
    <n v="14446"/>
    <n v="755.70489999999995"/>
    <n v="33.404899999999998"/>
    <n v="668.09760000000006"/>
    <n v="4.4203607513547918E-2"/>
    <m/>
    <n v="313341"/>
    <m/>
    <n v="6045"/>
    <n v="6579000000"/>
    <n v="15114.09764"/>
    <n v="10010"/>
    <n v="-4.4203630279491375E-2"/>
    <n v="15114.097999999998"/>
    <x v="1"/>
    <n v="20"/>
    <x v="4"/>
  </r>
  <r>
    <d v="2026-04-23T00:00:00"/>
    <x v="89"/>
    <s v="STOCK"/>
    <n v="4"/>
    <s v="STOCK"/>
    <n v="404184"/>
    <x v="37"/>
    <s v="UND"/>
    <n v="21"/>
    <m/>
    <n v="21"/>
    <n v="1752.4286"/>
    <n v="36801"/>
    <n v="36801"/>
    <n v="1754.8757000000001"/>
    <n v="2.4472"/>
    <n v="51.3904"/>
    <n v="1.3944916601212919E-3"/>
    <m/>
    <n v="313341"/>
    <m/>
    <n v="6045"/>
    <n v="6579000000"/>
    <n v="36852.390351000002"/>
    <n v="10010"/>
    <n v="-1.3944577385168028E-3"/>
    <n v="36852.3897"/>
    <x v="1"/>
    <n v="21"/>
    <x v="33"/>
  </r>
  <r>
    <d v="2026-04-23T00:00:00"/>
    <x v="89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3341"/>
    <m/>
    <n v="6045"/>
    <n v="6579000000"/>
    <n v="88104"/>
    <n v="10010"/>
    <n v="2.4175973849087443E-3"/>
    <n v="88104"/>
    <x v="1"/>
    <n v="24"/>
    <x v="40"/>
  </r>
  <r>
    <d v="2026-04-23T00:00:00"/>
    <x v="89"/>
    <s v="STOCK"/>
    <n v="4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3341"/>
    <m/>
    <n v="6045"/>
    <n v="6579000000"/>
    <n v="19146"/>
    <n v="10010"/>
    <n v="-5.2240676903860547E-5"/>
    <n v="19146"/>
    <x v="1"/>
    <n v="6"/>
    <x v="120"/>
  </r>
  <r>
    <d v="2026-04-23T00:00:00"/>
    <x v="89"/>
    <s v="STOCK"/>
    <n v="4"/>
    <s v="STOCK"/>
    <n v="1103074"/>
    <x v="192"/>
    <s v="UND"/>
    <n v="6"/>
    <m/>
    <n v="6"/>
    <n v="2427"/>
    <n v="14562"/>
    <n v="14562"/>
    <n v="2427"/>
    <n v="0"/>
    <n v="0"/>
    <n v="0"/>
    <m/>
    <n v="313341"/>
    <m/>
    <n v="6045"/>
    <n v="6579000000"/>
    <n v="14562"/>
    <n v="10010"/>
    <n v="0"/>
    <n v="14562"/>
    <x v="1"/>
    <n v="6"/>
    <x v="119"/>
  </r>
  <r>
    <d v="2026-04-23T00:00:00"/>
    <x v="89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3341"/>
    <m/>
    <n v="6045"/>
    <n v="6579000000"/>
    <n v="917083.44828000001"/>
    <n v="10010"/>
    <n v="-6.0882660265830701E-3"/>
    <n v="917083.44800000009"/>
    <x v="0"/>
    <n v="40"/>
    <x v="38"/>
  </r>
  <r>
    <d v="2026-04-23T00:00:00"/>
    <x v="89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3346"/>
    <n v="1198548"/>
    <n v="6045"/>
    <n v="6579000000"/>
    <n v="22804.146594000005"/>
    <n v="10010"/>
    <n v="-1.3797490672151356E-4"/>
    <n v="22804.1466"/>
    <x v="1"/>
    <n v="6"/>
    <x v="4"/>
  </r>
  <r>
    <d v="2026-04-23T00:00:00"/>
    <x v="89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3346"/>
    <m/>
    <n v="6045"/>
    <n v="6579000000"/>
    <n v="475295.51668"/>
    <n v="10010"/>
    <n v="9.3378713886288892E-2"/>
    <n v="475295.516"/>
    <x v="0"/>
    <n v="40"/>
    <x v="92"/>
  </r>
  <r>
    <d v="2026-04-23T00:00:00"/>
    <x v="89"/>
    <s v="STOCK"/>
    <n v="4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3346"/>
    <m/>
    <n v="6045"/>
    <n v="6579000000"/>
    <n v="50286.86"/>
    <n v="10010"/>
    <n v="-1.5627541667942689E-2"/>
    <n v="50286.86"/>
    <x v="1"/>
    <n v="1"/>
    <x v="77"/>
  </r>
  <r>
    <d v="2026-04-23T00:00:00"/>
    <x v="89"/>
    <s v="STOCK"/>
    <n v="4"/>
    <s v="STOCK"/>
    <n v="2304002"/>
    <x v="140"/>
    <s v="UND"/>
    <n v="24"/>
    <m/>
    <n v="24"/>
    <n v="1376.5"/>
    <n v="33036"/>
    <n v="33036"/>
    <n v="1376.4717000000001"/>
    <n v="-2.8299999999999999E-2"/>
    <n v="-0.67859999999999998"/>
    <n v="-2.0542376212302997E-5"/>
    <m/>
    <n v="313346"/>
    <m/>
    <n v="6045"/>
    <n v="6579000000"/>
    <n v="33035.321376"/>
    <n v="10010"/>
    <n v="2.0559812453786519E-5"/>
    <n v="33035.320800000001"/>
    <x v="1"/>
    <n v="24"/>
    <x v="4"/>
  </r>
  <r>
    <d v="2026-04-23T00:00:00"/>
    <x v="89"/>
    <s v="STOCK"/>
    <n v="4"/>
    <s v="STOCK"/>
    <n v="2304053"/>
    <x v="141"/>
    <s v="UND"/>
    <n v="47"/>
    <m/>
    <n v="47"/>
    <n v="1003.5744999999999"/>
    <n v="47168"/>
    <n v="47168"/>
    <n v="862"/>
    <n v="-141.5745"/>
    <n v="-6654"/>
    <n v="-0.16423952214049442"/>
    <m/>
    <n v="313346"/>
    <m/>
    <n v="6045"/>
    <n v="6579000000"/>
    <n v="40514.000000000007"/>
    <n v="10010"/>
    <n v="0.16423955916473312"/>
    <n v="40514"/>
    <x v="1"/>
    <n v="47"/>
    <x v="4"/>
  </r>
  <r>
    <d v="2026-04-23T00:00:00"/>
    <x v="89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3346"/>
    <m/>
    <n v="6045"/>
    <n v="6579000000"/>
    <s v=""/>
    <n v="10010"/>
    <e v="#DIV/0!"/>
    <n v="0"/>
    <x v="1"/>
    <n v="12"/>
    <x v="100"/>
  </r>
  <r>
    <d v="2026-04-23T00:00:00"/>
    <x v="89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3346"/>
    <m/>
    <n v="6045"/>
    <n v="6579000000"/>
    <s v=""/>
    <n v="10010"/>
    <e v="#DIV/0!"/>
    <n v="0"/>
    <x v="1"/>
    <n v="1"/>
    <x v="100"/>
  </r>
  <r>
    <d v="2026-04-23T00:00:00"/>
    <x v="89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3346"/>
    <m/>
    <n v="6045"/>
    <n v="6579000000"/>
    <n v="145847"/>
    <n v="10010"/>
    <n v="-2.2729298511453784E-2"/>
    <n v="145847"/>
    <x v="1"/>
    <n v="1"/>
    <x v="126"/>
  </r>
  <r>
    <d v="2026-04-23T00:00:00"/>
    <x v="89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346"/>
    <m/>
    <n v="6045"/>
    <n v="6579000000"/>
    <s v=""/>
    <n v="10010"/>
    <e v="#DIV/0!"/>
    <n v="0"/>
    <x v="1"/>
    <n v="1"/>
    <x v="100"/>
  </r>
  <r>
    <d v="2026-04-23T00:00:00"/>
    <x v="89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3346"/>
    <m/>
    <n v="6045"/>
    <n v="6579000000"/>
    <n v="102622"/>
    <n v="10010"/>
    <n v="0"/>
    <n v="102622"/>
    <x v="1"/>
    <n v="1"/>
    <x v="144"/>
  </r>
  <r>
    <d v="2026-04-23T00:00:00"/>
    <x v="89"/>
    <s v="STOCK"/>
    <n v="4"/>
    <s v="STOCK"/>
    <n v="2508994"/>
    <x v="230"/>
    <s v="UND"/>
    <n v="4"/>
    <m/>
    <n v="4"/>
    <n v="1785.25"/>
    <n v="7141"/>
    <n v="7141"/>
    <n v="1598"/>
    <n v="-187.25"/>
    <n v="-749"/>
    <n v="-0.11717772215269086"/>
    <m/>
    <n v="313346"/>
    <m/>
    <n v="6045"/>
    <n v="6579000000"/>
    <n v="6392"/>
    <n v="10010"/>
    <n v="0.11717772215269086"/>
    <n v="6392"/>
    <x v="1"/>
    <n v="4"/>
    <x v="142"/>
  </r>
  <r>
    <d v="2026-04-23T00:00:00"/>
    <x v="89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349"/>
    <n v="10322887"/>
    <n v="6045"/>
    <n v="6579000000"/>
    <n v="595580"/>
    <n v="10010"/>
    <n v="0.31116894455824584"/>
    <n v="595580"/>
    <x v="0"/>
    <n v="20"/>
    <x v="4"/>
  </r>
  <r>
    <d v="2026-04-23T00:00:00"/>
    <x v="89"/>
    <s v="STOCK"/>
    <n v="4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3349"/>
    <m/>
    <n v="6045"/>
    <n v="6579000000"/>
    <n v="58589.263160000002"/>
    <n v="10010"/>
    <n v="-0.16481285718147953"/>
    <n v="58589.264000000003"/>
    <x v="1"/>
    <n v="20"/>
    <x v="4"/>
  </r>
  <r>
    <d v="2026-04-23T00:00:00"/>
    <x v="89"/>
    <s v="STOCK"/>
    <n v="4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3349"/>
    <m/>
    <n v="6045"/>
    <n v="6579000000"/>
    <n v="45608.293188000011"/>
    <n v="10010"/>
    <n v="-1.1605784011229058E-4"/>
    <n v="45608.2932"/>
    <x v="1"/>
    <n v="12"/>
    <x v="4"/>
  </r>
  <r>
    <d v="2026-04-23T00:00:00"/>
    <x v="89"/>
    <s v="STOCK"/>
    <n v="4"/>
    <s v="STOCK"/>
    <n v="704041"/>
    <x v="244"/>
    <s v="RLL"/>
    <n v="12"/>
    <m/>
    <n v="12"/>
    <n v="7993.25"/>
    <n v="95919"/>
    <n v="95919"/>
    <m/>
    <m/>
    <n v="-95919"/>
    <m/>
    <m/>
    <n v="313349"/>
    <m/>
    <n v="6045"/>
    <n v="6579000000"/>
    <s v=""/>
    <n v="10010"/>
    <e v="#DIV/0!"/>
    <n v="0"/>
    <x v="1"/>
    <n v="12"/>
    <x v="100"/>
  </r>
  <r>
    <d v="2026-04-23T00:00:00"/>
    <x v="89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3349"/>
    <m/>
    <n v="6045"/>
    <n v="6579000000"/>
    <n v="9721.2972000000009"/>
    <n v="10010"/>
    <n v="-3.0860006665908791E-5"/>
    <n v="9721.3200000000015"/>
    <x v="1"/>
    <n v="600"/>
    <x v="4"/>
  </r>
  <r>
    <d v="2026-04-23T00:00:00"/>
    <x v="89"/>
    <s v="STOCK"/>
    <n v="4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3349"/>
    <m/>
    <n v="6045"/>
    <n v="6579000000"/>
    <n v="335149.81132199999"/>
    <n v="10010"/>
    <n v="0.10268001720259956"/>
    <n v="335149.81140000001"/>
    <x v="1"/>
    <n v="6"/>
    <x v="4"/>
  </r>
  <r>
    <d v="2026-04-23T00:00:00"/>
    <x v="89"/>
    <s v="STOCK"/>
    <n v="4"/>
    <s v="STOCK"/>
    <s v="040801x"/>
    <x v="146"/>
    <s v="CJA"/>
    <n v="3"/>
    <m/>
    <n v="3"/>
    <n v="49030.666700000002"/>
    <n v="147092"/>
    <n v="147092"/>
    <n v="49030.713300000003"/>
    <n v="4.6600000000000003E-2"/>
    <n v="0.1399"/>
    <n v="9.511657122270364E-7"/>
    <m/>
    <n v="313349"/>
    <m/>
    <n v="6045"/>
    <n v="6579000000"/>
    <n v="147092.13990900002"/>
    <n v="10010"/>
    <n v="-9.504246800645691E-7"/>
    <n v="147092.13990000001"/>
    <x v="1"/>
    <n v="3"/>
    <x v="4"/>
  </r>
  <r>
    <d v="2026-04-23T00:00:00"/>
    <x v="89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3349"/>
    <m/>
    <n v="6045"/>
    <n v="6579000000"/>
    <n v="142344.40430999998"/>
    <n v="10010"/>
    <n v="-2.8409968182735337E-6"/>
    <n v="142344.4044"/>
    <x v="1"/>
    <n v="6"/>
    <x v="4"/>
  </r>
  <r>
    <d v="2026-04-23T00:00:00"/>
    <x v="89"/>
    <s v="STOCK"/>
    <n v="4"/>
    <s v="STOCK"/>
    <n v="407011"/>
    <x v="8"/>
    <s v="UND"/>
    <n v="4000"/>
    <m/>
    <n v="4000"/>
    <n v="473.17529999999999"/>
    <n v="1892701"/>
    <n v="1892701"/>
    <n v="473.17520000000002"/>
    <n v="0"/>
    <n v="-0.04"/>
    <n v="-2.1133819445918739E-8"/>
    <m/>
    <n v="313349"/>
    <m/>
    <n v="6045"/>
    <n v="6579000000"/>
    <n v="1892700.9599999995"/>
    <n v="10010"/>
    <n v="2.1133821040261184E-7"/>
    <n v="1892700.8"/>
    <x v="0"/>
    <n v="4000"/>
    <x v="8"/>
  </r>
  <r>
    <d v="2026-04-23T00:00:00"/>
    <x v="89"/>
    <s v="STOCK"/>
    <n v="4"/>
    <s v="STOCK"/>
    <n v="302054"/>
    <x v="162"/>
    <s v="PZA"/>
    <n v="1296"/>
    <m/>
    <n v="1296"/>
    <n v="5239.2785000000003"/>
    <n v="6790105"/>
    <n v="6790105"/>
    <n v="5713"/>
    <n v="473.72149999999999"/>
    <n v="613943"/>
    <n v="8.2919910837963254E-2"/>
    <m/>
    <n v="313349"/>
    <m/>
    <n v="6045"/>
    <n v="6579000000"/>
    <n v="7404048"/>
    <n v="10010"/>
    <n v="-8.2919919481883361E-2"/>
    <n v="7404048"/>
    <x v="0"/>
    <n v="1296"/>
    <x v="4"/>
  </r>
  <r>
    <d v="2026-04-23T00:00:00"/>
    <x v="89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3354"/>
    <n v="6899890"/>
    <n v="6045"/>
    <n v="6579000000"/>
    <n v="2242783.9959000004"/>
    <n v="10010"/>
    <n v="2.0782651401813682E-2"/>
    <n v="2242783.9980000001"/>
    <x v="0"/>
    <n v="140"/>
    <x v="94"/>
  </r>
  <r>
    <d v="2026-04-23T00:00:00"/>
    <x v="89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3354"/>
    <m/>
    <n v="6045"/>
    <n v="6579000000"/>
    <n v="1771709.0217599999"/>
    <n v="10010"/>
    <n v="2.6765668265851812E-2"/>
    <n v="1771709.024"/>
    <x v="0"/>
    <n v="80"/>
    <x v="93"/>
  </r>
  <r>
    <d v="2026-04-23T00:00:00"/>
    <x v="89"/>
    <s v="STOCK"/>
    <n v="4"/>
    <s v="STOCK"/>
    <n v="701040"/>
    <x v="1"/>
    <s v="PL"/>
    <n v="120"/>
    <m/>
    <n v="120"/>
    <n v="7885.8"/>
    <n v="946296"/>
    <n v="946296"/>
    <n v="7835.7259999999997"/>
    <n v="-50.073999999999998"/>
    <n v="-6008.8855000000003"/>
    <n v="-6.3904794902175655E-3"/>
    <m/>
    <n v="313354"/>
    <m/>
    <n v="6045"/>
    <n v="6579000000"/>
    <n v="940287.11447999964"/>
    <n v="10010"/>
    <n v="6.39047358215442E-3"/>
    <n v="940287.12"/>
    <x v="1"/>
    <n v="120"/>
    <x v="1"/>
  </r>
  <r>
    <d v="2026-04-23T00:00:00"/>
    <x v="89"/>
    <s v="STOCK"/>
    <n v="4"/>
    <s v="STOCK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313354"/>
    <m/>
    <n v="6045"/>
    <n v="6579000000"/>
    <n v="17500.092714999999"/>
    <n v="10010"/>
    <n v="-5.2971147976295791E-6"/>
    <n v="17500.092700000001"/>
    <x v="1"/>
    <n v="1"/>
    <x v="67"/>
  </r>
  <r>
    <d v="2026-04-23T00:00:00"/>
    <x v="89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3354"/>
    <m/>
    <n v="6045"/>
    <n v="6579000000"/>
    <n v="16182.106762000009"/>
    <n v="10010"/>
    <n v="-6.5998822847693946E-6"/>
    <n v="16182.1068"/>
    <x v="1"/>
    <n v="1"/>
    <x v="66"/>
  </r>
  <r>
    <d v="2026-04-23T00:00:00"/>
    <x v="89"/>
    <s v="STOCK"/>
    <n v="4"/>
    <s v="STOCK"/>
    <n v="1901505"/>
    <x v="7"/>
    <s v="KG"/>
    <n v="47"/>
    <m/>
    <n v="47"/>
    <n v="1895"/>
    <n v="89065"/>
    <n v="89065"/>
    <n v="1895"/>
    <n v="0"/>
    <n v="0"/>
    <n v="0"/>
    <m/>
    <n v="313354"/>
    <m/>
    <n v="6045"/>
    <n v="6579000000"/>
    <n v="89065"/>
    <n v="10010"/>
    <n v="0"/>
    <n v="89065"/>
    <x v="1"/>
    <n v="47"/>
    <x v="7"/>
  </r>
  <r>
    <d v="2026-04-23T00:00:00"/>
    <x v="89"/>
    <s v="STOCK"/>
    <n v="4"/>
    <s v="STOCK"/>
    <n v="1901086"/>
    <x v="149"/>
    <s v="M2"/>
    <n v="121"/>
    <m/>
    <n v="121"/>
    <n v="3614.8182000000002"/>
    <n v="437393"/>
    <n v="437393"/>
    <n v="3711.587"/>
    <n v="96.768900000000002"/>
    <n v="11709.031999999999"/>
    <n v="2.6072097491682732E-2"/>
    <m/>
    <n v="313354"/>
    <m/>
    <n v="6045"/>
    <n v="6579000000"/>
    <n v="449102.031961"/>
    <n v="10010"/>
    <n v="-2.6072081834535962E-2"/>
    <n v="449102.027"/>
    <x v="0"/>
    <n v="121"/>
    <x v="96"/>
  </r>
  <r>
    <d v="2026-04-23T00:00:00"/>
    <x v="89"/>
    <s v="STOCK"/>
    <n v="4"/>
    <s v="STOCK"/>
    <n v="1901038"/>
    <x v="14"/>
    <s v="M2"/>
    <n v="162"/>
    <m/>
    <n v="162"/>
    <n v="4277.2469000000001"/>
    <n v="692914"/>
    <n v="692914"/>
    <n v="4197.4179000000004"/>
    <n v="-79.828999999999994"/>
    <n v="-12932.3042"/>
    <n v="-1.9018606428421337E-2"/>
    <m/>
    <n v="313354"/>
    <m/>
    <n v="6045"/>
    <n v="6579000000"/>
    <n v="679981.69575000019"/>
    <n v="10010"/>
    <n v="1.9018597123722114E-2"/>
    <n v="679981.69980000006"/>
    <x v="0"/>
    <n v="162"/>
    <x v="12"/>
  </r>
  <r>
    <d v="2026-04-23T00:00:00"/>
    <x v="89"/>
    <s v="STOCK"/>
    <n v="4"/>
    <s v="STOCK"/>
    <n v="1901008"/>
    <x v="6"/>
    <s v="M2"/>
    <n v="202"/>
    <m/>
    <n v="202"/>
    <n v="2041.6683"/>
    <n v="412417"/>
    <n v="412417"/>
    <n v="2112.7957999999999"/>
    <n v="71.127499999999998"/>
    <n v="14367.7474"/>
    <n v="3.3665091001829822E-2"/>
    <m/>
    <n v="313354"/>
    <m/>
    <n v="6045"/>
    <n v="6579000000"/>
    <n v="426784.74735800002"/>
    <n v="10010"/>
    <n v="-3.3665108573199466E-2"/>
    <n v="426784.75159999996"/>
    <x v="0"/>
    <n v="202"/>
    <x v="6"/>
  </r>
  <r>
    <d v="2026-04-23T00:00:00"/>
    <x v="89"/>
    <s v="STOCK"/>
    <n v="4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3354"/>
    <m/>
    <n v="6045"/>
    <n v="6579000000"/>
    <n v="127277.99999999996"/>
    <n v="10010"/>
    <n v="0"/>
    <n v="127278"/>
    <x v="1"/>
    <n v="6"/>
    <x v="5"/>
  </r>
  <r>
    <d v="2026-04-23T00:00:00"/>
    <x v="89"/>
    <s v="STOCK"/>
    <n v="4"/>
    <s v="STOCK"/>
    <n v="617016"/>
    <x v="93"/>
    <s v="UND"/>
    <n v="12"/>
    <m/>
    <n v="12"/>
    <n v="2864.25"/>
    <n v="34371"/>
    <n v="34371"/>
    <n v="2857.5133000000001"/>
    <n v="-6.7366999999999999"/>
    <n v="-80.840699999999998"/>
    <n v="-2.3575484535089822E-3"/>
    <m/>
    <n v="313354"/>
    <m/>
    <n v="6045"/>
    <n v="6579000000"/>
    <n v="34290.159287999995"/>
    <n v="10010"/>
    <n v="2.3575393332377239E-3"/>
    <n v="34290.159599999999"/>
    <x v="1"/>
    <n v="12"/>
    <x v="81"/>
  </r>
  <r>
    <d v="2026-04-23T00:00:00"/>
    <x v="89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3354"/>
    <m/>
    <n v="6045"/>
    <n v="6579000000"/>
    <n v="12252.718236000001"/>
    <n v="10010"/>
    <n v="2.3015301208849542E-5"/>
    <n v="12252.718199999999"/>
    <x v="1"/>
    <n v="6"/>
    <x v="82"/>
  </r>
  <r>
    <d v="2026-04-23T00:00:00"/>
    <x v="89"/>
    <s v="STOCK"/>
    <n v="4"/>
    <s v="STOCK"/>
    <n v="617055"/>
    <x v="119"/>
    <s v="UND"/>
    <n v="6"/>
    <m/>
    <n v="6"/>
    <n v="949.33330000000001"/>
    <n v="5696"/>
    <n v="5696"/>
    <n v="920.35379999999998"/>
    <n v="-28.979600000000001"/>
    <n v="-173.87729999999999"/>
    <n v="-3.1487405095294921E-2"/>
    <m/>
    <n v="313354"/>
    <m/>
    <n v="6045"/>
    <n v="6579000000"/>
    <n v="5522.1226860000006"/>
    <n v="10010"/>
    <n v="3.1487347583070806E-2"/>
    <n v="5522.1228000000001"/>
    <x v="1"/>
    <n v="6"/>
    <x v="4"/>
  </r>
  <r>
    <d v="2026-04-23T00:00:00"/>
    <x v="89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3366"/>
    <n v="89780"/>
    <n v="6045"/>
    <n v="6579000000"/>
    <n v="104767.50644999991"/>
    <n v="10010"/>
    <n v="-0.14305490046746852"/>
    <n v="104767.505"/>
    <x v="0"/>
    <n v="50"/>
    <x v="121"/>
  </r>
  <r>
    <d v="2026-04-23T00:00:00"/>
    <x v="89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3388"/>
    <n v="43172"/>
    <n v="6045"/>
    <n v="6579000000"/>
    <n v="3632"/>
    <n v="10010"/>
    <n v="-0.11095814977973568"/>
    <n v="3632"/>
    <x v="1"/>
    <n v="1"/>
    <x v="131"/>
  </r>
  <r>
    <d v="2026-04-23T00:00:00"/>
    <x v="89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3388"/>
    <m/>
    <n v="6045"/>
    <n v="6579000000"/>
    <n v="3035"/>
    <n v="10010"/>
    <n v="-9.8846787479406925E-4"/>
    <n v="3035"/>
    <x v="1"/>
    <n v="1"/>
    <x v="130"/>
  </r>
  <r>
    <d v="2026-04-23T00:00:00"/>
    <x v="89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3388"/>
    <m/>
    <n v="6045"/>
    <n v="6579000000"/>
    <n v="1916"/>
    <n v="10010"/>
    <n v="8.350730688935281E-3"/>
    <n v="1916"/>
    <x v="1"/>
    <n v="1"/>
    <x v="129"/>
  </r>
  <r>
    <d v="2026-04-23T00:00:00"/>
    <x v="89"/>
    <s v="STOCK"/>
    <n v="4"/>
    <s v="STOCK"/>
    <n v="1808003"/>
    <x v="130"/>
    <s v="UND"/>
    <n v="2"/>
    <m/>
    <n v="2"/>
    <n v="167.5"/>
    <n v="335"/>
    <n v="335"/>
    <n v="167.7449"/>
    <n v="0.24490000000000001"/>
    <n v="0.48970000000000002"/>
    <n v="1.459704952625266E-3"/>
    <m/>
    <n v="313388"/>
    <m/>
    <n v="6045"/>
    <n v="6579000000"/>
    <n v="335.48971600000004"/>
    <n v="10010"/>
    <n v="-1.4599549673343347E-3"/>
    <n v="335.4898"/>
    <x v="1"/>
    <n v="2"/>
    <x v="4"/>
  </r>
  <r>
    <d v="2026-04-23T00:00:00"/>
    <x v="89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3388"/>
    <m/>
    <n v="6045"/>
    <n v="6579000000"/>
    <n v="2906.671096"/>
    <n v="10010"/>
    <n v="1.1315349713972661E-4"/>
    <n v="2906.6711"/>
    <x v="1"/>
    <n v="1"/>
    <x v="4"/>
  </r>
  <r>
    <d v="2026-04-23T00:00:00"/>
    <x v="89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3388"/>
    <m/>
    <n v="6045"/>
    <n v="6579000000"/>
    <n v="15783.483871"/>
    <n v="10010"/>
    <n v="0.28818200904300989"/>
    <n v="15783.483899999999"/>
    <x v="1"/>
    <n v="1"/>
    <x v="4"/>
  </r>
  <r>
    <d v="2026-04-23T00:00:00"/>
    <x v="89"/>
    <s v="STOCK"/>
    <n v="4"/>
    <s v="STOCK"/>
    <n v="609008"/>
    <x v="30"/>
    <s v="LTS"/>
    <n v="5"/>
    <m/>
    <n v="5"/>
    <n v="2281"/>
    <n v="11405"/>
    <n v="11405"/>
    <n v="2130.7573000000002"/>
    <n v="-150.24270000000001"/>
    <n v="-751.21349999999995"/>
    <n v="-7.051140422932542E-2"/>
    <m/>
    <n v="313388"/>
    <m/>
    <n v="6045"/>
    <n v="6579000000"/>
    <n v="10653.786550000001"/>
    <n v="10010"/>
    <n v="7.0511409253414162E-2"/>
    <n v="10653.786500000002"/>
    <x v="1"/>
    <n v="5"/>
    <x v="27"/>
  </r>
  <r>
    <d v="2026-04-23T00:00:00"/>
    <x v="89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3401"/>
    <n v="544397"/>
    <n v="6045"/>
    <n v="6579000000"/>
    <n v="55476"/>
    <n v="10010"/>
    <n v="0"/>
    <n v="55476"/>
    <x v="1"/>
    <n v="4"/>
    <x v="127"/>
  </r>
  <r>
    <d v="2026-04-23T00:00:00"/>
    <x v="89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401"/>
    <m/>
    <n v="6045"/>
    <n v="6579000000"/>
    <n v="6648"/>
    <n v="10010"/>
    <n v="1.5042117930204573E-4"/>
    <n v="6648"/>
    <x v="1"/>
    <n v="4"/>
    <x v="17"/>
  </r>
  <r>
    <d v="2026-04-23T00:00:00"/>
    <x v="89"/>
    <s v="STOCK"/>
    <n v="4"/>
    <s v="STOCK"/>
    <n v="5316508"/>
    <x v="204"/>
    <s v="UND"/>
    <n v="4"/>
    <m/>
    <n v="4"/>
    <n v="14633.75"/>
    <n v="58535"/>
    <n v="58535"/>
    <m/>
    <m/>
    <n v="-58535"/>
    <m/>
    <m/>
    <n v="313401"/>
    <m/>
    <n v="6045"/>
    <n v="6579000000"/>
    <s v=""/>
    <n v="10010"/>
    <e v="#DIV/0!"/>
    <n v="0"/>
    <x v="1"/>
    <n v="4"/>
    <x v="100"/>
  </r>
  <r>
    <d v="2026-04-23T00:00:00"/>
    <x v="89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3401"/>
    <m/>
    <n v="6045"/>
    <n v="6579000000"/>
    <n v="165678.66666799999"/>
    <n v="10010"/>
    <n v="2.0111219291491002E-6"/>
    <n v="165678.66680000001"/>
    <x v="1"/>
    <n v="4"/>
    <x v="25"/>
  </r>
  <r>
    <d v="2026-04-23T00:00:00"/>
    <x v="89"/>
    <s v="STOCK"/>
    <n v="4"/>
    <s v="STOCK"/>
    <n v="2505426"/>
    <x v="234"/>
    <s v="UND"/>
    <n v="4"/>
    <m/>
    <n v="4"/>
    <n v="1847.25"/>
    <n v="7389"/>
    <n v="7389"/>
    <n v="1684"/>
    <n v="-163.25"/>
    <n v="-653"/>
    <n v="-9.6941805225653196E-2"/>
    <m/>
    <n v="313401"/>
    <m/>
    <n v="6045"/>
    <n v="6579000000"/>
    <n v="6736"/>
    <n v="10010"/>
    <n v="9.694180522565321E-2"/>
    <n v="6736"/>
    <x v="1"/>
    <n v="4"/>
    <x v="100"/>
  </r>
  <r>
    <d v="2026-04-23T00:00:00"/>
    <x v="89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3401"/>
    <m/>
    <n v="6045"/>
    <n v="6579000000"/>
    <n v="8796"/>
    <n v="10010"/>
    <n v="0"/>
    <n v="8796"/>
    <x v="1"/>
    <n v="4"/>
    <x v="4"/>
  </r>
  <r>
    <d v="2026-04-23T00:00:00"/>
    <x v="89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3401"/>
    <m/>
    <n v="6045"/>
    <n v="6579000000"/>
    <n v="36488"/>
    <n v="10010"/>
    <n v="0"/>
    <n v="36488"/>
    <x v="1"/>
    <n v="4"/>
    <x v="132"/>
  </r>
  <r>
    <d v="2026-04-23T00:00:00"/>
    <x v="89"/>
    <s v="STOCK"/>
    <n v="4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3401"/>
    <m/>
    <n v="6045"/>
    <n v="6579000000"/>
    <n v="4920"/>
    <n v="10010"/>
    <n v="-2.032520325203252E-4"/>
    <n v="4920"/>
    <x v="1"/>
    <n v="4"/>
    <x v="100"/>
  </r>
  <r>
    <d v="2026-04-23T00:00:00"/>
    <x v="89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3401"/>
    <m/>
    <n v="6045"/>
    <n v="6579000000"/>
    <n v="4316"/>
    <n v="10010"/>
    <n v="0"/>
    <n v="4316"/>
    <x v="1"/>
    <n v="4"/>
    <x v="105"/>
  </r>
  <r>
    <d v="2026-04-23T00:00:00"/>
    <x v="89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3401"/>
    <m/>
    <n v="6045"/>
    <n v="6579000000"/>
    <n v="30836"/>
    <n v="10010"/>
    <n v="-9.4045920352834353E-4"/>
    <n v="30836"/>
    <x v="1"/>
    <n v="4"/>
    <x v="115"/>
  </r>
  <r>
    <d v="2026-04-23T00:00:00"/>
    <x v="89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3401"/>
    <m/>
    <n v="6045"/>
    <n v="6579000000"/>
    <n v="47984"/>
    <n v="10010"/>
    <n v="-9.5865288429476496E-4"/>
    <n v="47984"/>
    <x v="1"/>
    <n v="4"/>
    <x v="107"/>
  </r>
  <r>
    <d v="2026-04-23T00:00:00"/>
    <x v="89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401"/>
    <m/>
    <n v="6045"/>
    <n v="6579000000"/>
    <n v="34981.818184000003"/>
    <n v="10010"/>
    <n v="-2.0405411515142864E-2"/>
    <n v="34981.818399999996"/>
    <x v="1"/>
    <n v="8"/>
    <x v="53"/>
  </r>
  <r>
    <d v="2026-04-23T00:00:00"/>
    <x v="89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401"/>
    <m/>
    <n v="6045"/>
    <n v="6579000000"/>
    <n v="25900.857144000001"/>
    <n v="10010"/>
    <n v="-7.8293039325247393E-2"/>
    <n v="25900.856800000001"/>
    <x v="1"/>
    <n v="8"/>
    <x v="54"/>
  </r>
  <r>
    <d v="2026-04-23T00:00:00"/>
    <x v="89"/>
    <s v="STOCK"/>
    <n v="4"/>
    <s v="STOCK"/>
    <n v="1802170"/>
    <x v="206"/>
    <s v="UND"/>
    <n v="8"/>
    <m/>
    <n v="8"/>
    <n v="2043"/>
    <n v="16344"/>
    <n v="16344"/>
    <n v="2043"/>
    <n v="0"/>
    <n v="0"/>
    <n v="0"/>
    <m/>
    <n v="313401"/>
    <m/>
    <n v="6045"/>
    <n v="6579000000"/>
    <n v="16344"/>
    <n v="10010"/>
    <n v="0"/>
    <n v="16344"/>
    <x v="1"/>
    <n v="8"/>
    <x v="4"/>
  </r>
  <r>
    <d v="2026-04-23T00:00:00"/>
    <x v="89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3401"/>
    <m/>
    <n v="6045"/>
    <n v="6579000000"/>
    <n v="42964"/>
    <n v="10010"/>
    <n v="-1.0241132110604227E-3"/>
    <n v="42964"/>
    <x v="1"/>
    <n v="4"/>
    <x v="128"/>
  </r>
  <r>
    <d v="2026-04-23T00:00:00"/>
    <x v="89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3405"/>
    <n v="433713"/>
    <n v="6045"/>
    <n v="6579000000"/>
    <n v="171360"/>
    <n v="10010"/>
    <n v="0"/>
    <n v="171360"/>
    <x v="1"/>
    <n v="4"/>
    <x v="103"/>
  </r>
  <r>
    <d v="2026-04-23T00:00:00"/>
    <x v="89"/>
    <s v="STOCK"/>
    <n v="4"/>
    <s v="STOCK"/>
    <n v="1801229"/>
    <x v="23"/>
    <s v="UND"/>
    <n v="4"/>
    <m/>
    <n v="4"/>
    <n v="5177.5"/>
    <n v="20710"/>
    <n v="20710"/>
    <n v="4675.5185000000001"/>
    <n v="-501.98149999999998"/>
    <n v="-2007.9259"/>
    <n v="-0.10736380980207594"/>
    <m/>
    <n v="313405"/>
    <m/>
    <n v="6045"/>
    <n v="6579000000"/>
    <n v="18702.074076000001"/>
    <n v="10010"/>
    <n v="0.10736381430209288"/>
    <n v="18702.074000000001"/>
    <x v="1"/>
    <n v="4"/>
    <x v="20"/>
  </r>
  <r>
    <d v="2026-04-23T00:00:00"/>
    <x v="89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3405"/>
    <m/>
    <n v="6045"/>
    <n v="6579000000"/>
    <n v="59888"/>
    <n v="10010"/>
    <n v="0"/>
    <n v="59888"/>
    <x v="1"/>
    <n v="4"/>
    <x v="133"/>
  </r>
  <r>
    <d v="2026-04-23T00:00:00"/>
    <x v="89"/>
    <s v="STOCK"/>
    <n v="4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3405"/>
    <m/>
    <n v="6045"/>
    <n v="6579000000"/>
    <n v="5445"/>
    <n v="10010"/>
    <n v="8.815426997245095E-3"/>
    <n v="5445"/>
    <x v="1"/>
    <n v="5"/>
    <x v="108"/>
  </r>
  <r>
    <d v="2026-04-23T00:00:00"/>
    <x v="89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3405"/>
    <m/>
    <n v="6045"/>
    <n v="6579000000"/>
    <n v="68580"/>
    <n v="10010"/>
    <n v="-5.1049868766404202E-2"/>
    <n v="68580"/>
    <x v="1"/>
    <n v="4"/>
    <x v="110"/>
  </r>
  <r>
    <d v="2026-04-23T00:00:00"/>
    <x v="89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3405"/>
    <m/>
    <n v="6045"/>
    <n v="6579000000"/>
    <n v="92912"/>
    <n v="10010"/>
    <n v="3.8208197003616324E-3"/>
    <n v="92912"/>
    <x v="1"/>
    <n v="4"/>
    <x v="111"/>
  </r>
  <r>
    <d v="2026-04-23T00:00:00"/>
    <x v="89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3405"/>
    <m/>
    <n v="6045"/>
    <n v="6579000000"/>
    <n v="6443.7344400000002"/>
    <n v="10010"/>
    <n v="4.1218334511075141E-5"/>
    <n v="6443.7344000000003"/>
    <x v="1"/>
    <n v="4"/>
    <x v="109"/>
  </r>
  <r>
    <d v="2026-04-23T00:00:00"/>
    <x v="89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3405"/>
    <m/>
    <n v="6045"/>
    <n v="6579000000"/>
    <n v="9172"/>
    <n v="10010"/>
    <n v="-3.2054077627562148E-2"/>
    <n v="9172"/>
    <x v="1"/>
    <n v="4"/>
    <x v="134"/>
  </r>
  <r>
    <d v="2026-04-23T00:00:00"/>
    <x v="89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3405"/>
    <m/>
    <n v="6045"/>
    <n v="6579000000"/>
    <n v="2594.270524"/>
    <n v="10010"/>
    <n v="-1.0430677509116867E-4"/>
    <n v="2594.2705999999998"/>
    <x v="1"/>
    <n v="2"/>
    <x v="80"/>
  </r>
  <r>
    <d v="2026-04-23T00:00:00"/>
    <x v="89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3449"/>
    <n v="25839"/>
    <n v="6045"/>
    <n v="6579000000"/>
    <n v="30600.000000000007"/>
    <n v="10010"/>
    <n v="-0.15558823529411769"/>
    <n v="30600"/>
    <x v="1"/>
    <n v="100"/>
    <x v="122"/>
  </r>
  <r>
    <d v="2025-11-20T00:00:00"/>
    <x v="17"/>
    <s v="PILOTO"/>
    <n v="11"/>
    <s v="PILOTO"/>
    <s v="L01003B000R35"/>
    <x v="245"/>
    <s v="UND"/>
    <n v="4"/>
    <m/>
    <n v="4"/>
    <n v="32067"/>
    <n v="128268"/>
    <n v="128268"/>
    <m/>
    <m/>
    <n v="-128268"/>
    <m/>
    <m/>
    <n v="2886094"/>
    <n v="128268"/>
    <m/>
    <n v="6579000000"/>
    <s v=""/>
    <n v="10010"/>
    <e v="#DIV/0!"/>
    <n v="0"/>
    <x v="1"/>
    <n v="4"/>
    <x v="100"/>
  </r>
  <r>
    <d v="2025-11-20T00:00:00"/>
    <x v="17"/>
    <s v="PILOTO"/>
    <n v="11"/>
    <s v="PILOTO"/>
    <n v="145122"/>
    <x v="246"/>
    <s v="UND"/>
    <n v="1"/>
    <m/>
    <n v="1"/>
    <n v="30966"/>
    <n v="30966"/>
    <n v="30966"/>
    <m/>
    <m/>
    <n v="-30966"/>
    <m/>
    <m/>
    <n v="143546508"/>
    <n v="30966"/>
    <m/>
    <n v="6579000000"/>
    <s v=""/>
    <n v="10010"/>
    <e v="#DIV/0!"/>
    <n v="0"/>
    <x v="1"/>
    <n v="1"/>
    <x v="100"/>
  </r>
  <r>
    <d v="2025-11-20T00:00:00"/>
    <x v="17"/>
    <s v="PILOTO"/>
    <n v="11"/>
    <s v="PILOTO"/>
    <n v="7749309"/>
    <x v="247"/>
    <s v="UND"/>
    <n v="1"/>
    <m/>
    <n v="1"/>
    <n v="5492"/>
    <n v="5492"/>
    <n v="5492"/>
    <m/>
    <m/>
    <n v="-5492"/>
    <m/>
    <m/>
    <n v="143546508"/>
    <n v="5492"/>
    <m/>
    <n v="6579000000"/>
    <s v=""/>
    <n v="10010"/>
    <e v="#DIV/0!"/>
    <n v="0"/>
    <x v="1"/>
    <n v="1"/>
    <x v="100"/>
  </r>
  <r>
    <d v="2025-11-21T00:00:00"/>
    <x v="90"/>
    <s v="PILOTO"/>
    <n v="11"/>
    <s v="PILOTO"/>
    <m/>
    <x v="248"/>
    <s v="UND"/>
    <n v="3"/>
    <m/>
    <n v="3"/>
    <n v="30672.333299999998"/>
    <n v="92017"/>
    <n v="92017"/>
    <m/>
    <m/>
    <n v="-92017"/>
    <m/>
    <m/>
    <n v="67568"/>
    <n v="102438"/>
    <m/>
    <n v="6579000000"/>
    <s v=""/>
    <n v="10010"/>
    <e v="#DIV/0!"/>
    <n v="0"/>
    <x v="1"/>
    <n v="3"/>
    <x v="100"/>
  </r>
  <r>
    <d v="2025-11-21T00:00:00"/>
    <x v="90"/>
    <s v="PILOTO"/>
    <n v="11"/>
    <s v="PILOTO"/>
    <m/>
    <x v="249"/>
    <s v="UND"/>
    <n v="2"/>
    <m/>
    <n v="2"/>
    <n v="2059"/>
    <n v="4118"/>
    <n v="4118"/>
    <m/>
    <m/>
    <n v="-4118"/>
    <m/>
    <m/>
    <n v="67568"/>
    <m/>
    <m/>
    <n v="6579000000"/>
    <s v=""/>
    <n v="10010"/>
    <e v="#DIV/0!"/>
    <n v="0"/>
    <x v="1"/>
    <n v="2"/>
    <x v="100"/>
  </r>
  <r>
    <d v="2025-11-21T00:00:00"/>
    <x v="90"/>
    <s v="PILOTO"/>
    <n v="11"/>
    <s v="PILOTO"/>
    <m/>
    <x v="250"/>
    <s v="UND"/>
    <n v="2"/>
    <m/>
    <n v="2"/>
    <n v="3151.5"/>
    <n v="6303"/>
    <n v="6303"/>
    <m/>
    <m/>
    <n v="-6303"/>
    <m/>
    <m/>
    <n v="67568"/>
    <m/>
    <m/>
    <n v="6579000000"/>
    <s v=""/>
    <n v="10010"/>
    <e v="#DIV/0!"/>
    <n v="0"/>
    <x v="1"/>
    <n v="2"/>
    <x v="100"/>
  </r>
  <r>
    <d v="2025-12-02T00:00:00"/>
    <x v="38"/>
    <s v="PILOTO"/>
    <n v="12"/>
    <s v="PILOTO"/>
    <m/>
    <x v="251"/>
    <s v="UND"/>
    <n v="2"/>
    <m/>
    <n v="2"/>
    <n v="6764"/>
    <n v="13528"/>
    <n v="13528"/>
    <m/>
    <m/>
    <n v="-13528"/>
    <m/>
    <m/>
    <n v="218679"/>
    <n v="23318"/>
    <m/>
    <n v="6579000000"/>
    <s v=""/>
    <n v="10010"/>
    <e v="#DIV/0!"/>
    <n v="0"/>
    <x v="1"/>
    <n v="2"/>
    <x v="100"/>
  </r>
  <r>
    <d v="2025-12-02T00:00:00"/>
    <x v="38"/>
    <s v="PILOTO"/>
    <n v="12"/>
    <s v="PILOTO"/>
    <m/>
    <x v="252"/>
    <s v="G25"/>
    <n v="1"/>
    <m/>
    <n v="1"/>
    <n v="9790"/>
    <n v="9790"/>
    <n v="9790"/>
    <m/>
    <m/>
    <n v="-9790"/>
    <m/>
    <m/>
    <n v="218679"/>
    <m/>
    <m/>
    <n v="6579000000"/>
    <s v=""/>
    <n v="10010"/>
    <e v="#DIV/0!"/>
    <n v="0"/>
    <x v="1"/>
    <n v="1"/>
    <x v="100"/>
  </r>
  <r>
    <d v="2025-12-10T00:00:00"/>
    <x v="91"/>
    <s v="PILOTO"/>
    <n v="12"/>
    <s v="PILOTO"/>
    <m/>
    <x v="253"/>
    <s v=""/>
    <n v="1"/>
    <m/>
    <n v="1"/>
    <n v="23529"/>
    <n v="23529"/>
    <n v="23529"/>
    <m/>
    <m/>
    <n v="-23529"/>
    <m/>
    <m/>
    <n v="1882"/>
    <n v="23529"/>
    <m/>
    <n v="6579000000"/>
    <s v=""/>
    <n v="10010"/>
    <e v="#DIV/0!"/>
    <n v="0"/>
    <x v="1"/>
    <n v="1"/>
    <x v="100"/>
  </r>
  <r>
    <d v="2025-12-17T00:00:00"/>
    <x v="92"/>
    <s v="PILOTO"/>
    <n v="12"/>
    <s v="PILOTO"/>
    <m/>
    <x v="254"/>
    <s v=""/>
    <n v="1"/>
    <m/>
    <n v="1"/>
    <n v="15126"/>
    <n v="15126"/>
    <n v="15126"/>
    <m/>
    <m/>
    <n v="-15126"/>
    <m/>
    <m/>
    <n v="1890"/>
    <n v="15126"/>
    <m/>
    <n v="6579000000"/>
    <s v=""/>
    <n v="10010"/>
    <e v="#DIV/0!"/>
    <n v="0"/>
    <x v="1"/>
    <n v="1"/>
    <x v="100"/>
  </r>
  <r>
    <d v="2026-03-20T00:00:00"/>
    <x v="66"/>
    <s v="STOCK"/>
    <n v="3"/>
    <s v="STOCK"/>
    <n v="404732"/>
    <x v="255"/>
    <s v="PL"/>
    <n v="432"/>
    <m/>
    <n v="432"/>
    <n v="17666.949100000002"/>
    <n v="7632122"/>
    <n v="7632122"/>
    <m/>
    <m/>
    <n v="-7632122"/>
    <m/>
    <m/>
    <n v="309760"/>
    <n v="7632122"/>
    <n v="6078"/>
    <n v="6579000000"/>
    <s v=""/>
    <n v="10010"/>
    <e v="#DIV/0!"/>
    <n v="0"/>
    <x v="1"/>
    <n v="432"/>
    <x v="100"/>
  </r>
  <r>
    <d v="2026-04-23T00:00:00"/>
    <x v="89"/>
    <s v="STOCK"/>
    <n v="4"/>
    <s v="STOCK"/>
    <n v="404731"/>
    <x v="256"/>
    <s v="0"/>
    <n v="200"/>
    <m/>
    <n v="200"/>
    <n v="24582"/>
    <n v="4916400"/>
    <n v="4916400"/>
    <m/>
    <m/>
    <n v="-4916400"/>
    <m/>
    <m/>
    <n v="313492"/>
    <n v="4916400"/>
    <n v="6104"/>
    <n v="6579000000"/>
    <s v=""/>
    <n v="10010"/>
    <e v="#DIV/0!"/>
    <n v="0"/>
    <x v="1"/>
    <n v="200"/>
    <x v="100"/>
  </r>
  <r>
    <d v="2026-04-23T00:00:00"/>
    <x v="89"/>
    <s v="STOCK"/>
    <n v="4"/>
    <s v="STOCK"/>
    <s v="V01"/>
    <x v="240"/>
    <s v="UND"/>
    <n v="30"/>
    <m/>
    <n v="30"/>
    <n v="202875.8"/>
    <n v="6086274"/>
    <n v="6086274"/>
    <n v="205500"/>
    <n v="2624.2"/>
    <n v="78726"/>
    <n v="1.2769829683698351E-2"/>
    <m/>
    <m/>
    <n v="11098809"/>
    <n v="6046"/>
    <n v="6579000000"/>
    <n v="6165000"/>
    <n v="10010"/>
    <n v="-1.2769829683698353E-2"/>
    <n v="6165000"/>
    <x v="0"/>
    <n v="30"/>
    <x v="145"/>
  </r>
  <r>
    <d v="2026-04-23T00:00:00"/>
    <x v="89"/>
    <s v="STOCK"/>
    <n v="4"/>
    <s v="STOCK"/>
    <s v="V03"/>
    <x v="241"/>
    <s v="UND"/>
    <n v="10"/>
    <m/>
    <n v="10"/>
    <n v="119752.4"/>
    <n v="1197524"/>
    <n v="1197524"/>
    <n v="101229"/>
    <n v="-18523.400000000001"/>
    <n v="-185234"/>
    <n v="-0.18298511296170064"/>
    <m/>
    <m/>
    <m/>
    <n v="6046"/>
    <n v="6579000000"/>
    <n v="1012290"/>
    <n v="10010"/>
    <n v="0.18298511296170064"/>
    <n v="1012290"/>
    <x v="0"/>
    <n v="10"/>
    <x v="4"/>
  </r>
  <r>
    <d v="2026-04-23T00:00:00"/>
    <x v="89"/>
    <s v="STOCK"/>
    <n v="4"/>
    <s v="STOCK"/>
    <s v="V05"/>
    <x v="242"/>
    <s v="UND"/>
    <n v="10"/>
    <m/>
    <n v="10"/>
    <n v="381501.1"/>
    <n v="3815011"/>
    <n v="3815011"/>
    <n v="350139"/>
    <n v="-31362.1"/>
    <n v="-313621"/>
    <n v="-8.9570427744410014E-2"/>
    <m/>
    <m/>
    <m/>
    <n v="6046"/>
    <n v="6579000000"/>
    <n v="3501390"/>
    <n v="10010"/>
    <n v="8.9570427744410014E-2"/>
    <n v="3501390"/>
    <x v="0"/>
    <n v="10"/>
    <x v="146"/>
  </r>
  <r>
    <d v="2026-03-24T00:00:00"/>
    <x v="68"/>
    <s v="STOCK"/>
    <n v="3"/>
    <s v="STOCK"/>
    <s v="geotextil"/>
    <x v="257"/>
    <s v="UND"/>
    <n v="2"/>
    <m/>
    <n v="2"/>
    <n v="58900"/>
    <n v="117800"/>
    <n v="117800"/>
    <n v="58900"/>
    <n v="0"/>
    <n v="0"/>
    <n v="-1.2353068954470001E-16"/>
    <m/>
    <n v="351754"/>
    <n v="117800"/>
    <n v="6079"/>
    <n v="6579000000"/>
    <n v="117800"/>
    <n v="10010"/>
    <n v="0"/>
    <n v="117800"/>
    <x v="1"/>
    <n v="2"/>
    <x v="4"/>
  </r>
  <r>
    <d v="2026-04-30T00:00:00"/>
    <x v="93"/>
    <s v="STOCK"/>
    <n v="4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4073"/>
    <n v="3337857"/>
    <n v="6076"/>
    <n v="6579000000"/>
    <n v="65494.492760000001"/>
    <n v="10010"/>
    <n v="2.9720178606775109E-2"/>
    <n v="65494.491999999998"/>
    <x v="1"/>
    <n v="20"/>
    <x v="4"/>
  </r>
  <r>
    <d v="2026-04-30T00:00:00"/>
    <x v="93"/>
    <s v="STOCK"/>
    <n v="4"/>
    <s v="STOCK"/>
    <n v="704021"/>
    <x v="189"/>
    <s v="UND"/>
    <n v="200"/>
    <m/>
    <n v="200"/>
    <n v="487"/>
    <n v="97400"/>
    <n v="97400"/>
    <n v="487"/>
    <n v="0"/>
    <n v="0"/>
    <n v="0"/>
    <m/>
    <n v="314073"/>
    <m/>
    <n v="6076"/>
    <n v="6579000000"/>
    <n v="97400"/>
    <n v="10010"/>
    <n v="0"/>
    <n v="97400"/>
    <x v="1"/>
    <n v="200"/>
    <x v="118"/>
  </r>
  <r>
    <d v="2026-04-30T00:00:00"/>
    <x v="93"/>
    <s v="STOCK"/>
    <n v="4"/>
    <s v="STOCK"/>
    <n v="2508994"/>
    <x v="230"/>
    <s v="UND"/>
    <n v="5"/>
    <m/>
    <n v="5"/>
    <n v="1785.2"/>
    <n v="8926"/>
    <n v="8926"/>
    <n v="1598"/>
    <n v="-187.2"/>
    <n v="-936"/>
    <n v="-0.11714643304130164"/>
    <m/>
    <n v="314073"/>
    <m/>
    <n v="6076"/>
    <n v="6579000000"/>
    <n v="7990"/>
    <n v="10010"/>
    <n v="0.11714643304130165"/>
    <n v="7990"/>
    <x v="1"/>
    <n v="5"/>
    <x v="142"/>
  </r>
  <r>
    <d v="2026-04-30T00:00:00"/>
    <x v="93"/>
    <s v="STOCK"/>
    <n v="4"/>
    <s v="STOCK"/>
    <n v="2508993"/>
    <x v="229"/>
    <s v="UND"/>
    <n v="11"/>
    <m/>
    <n v="11"/>
    <n v="1479.3635999999999"/>
    <n v="16273"/>
    <n v="16273"/>
    <n v="1410"/>
    <n v="-69.363600000000005"/>
    <n v="-763"/>
    <n v="-4.9194068343004438E-2"/>
    <m/>
    <n v="314073"/>
    <m/>
    <n v="6076"/>
    <n v="6579000000"/>
    <n v="15510"/>
    <n v="10010"/>
    <n v="4.9194042553191424E-2"/>
    <n v="15510"/>
    <x v="1"/>
    <n v="11"/>
    <x v="141"/>
  </r>
  <r>
    <d v="2026-04-30T00:00:00"/>
    <x v="93"/>
    <s v="STOCK"/>
    <n v="4"/>
    <s v="STOCK"/>
    <n v="2508992"/>
    <x v="228"/>
    <s v="UND"/>
    <n v="8"/>
    <m/>
    <n v="8"/>
    <n v="5065.5"/>
    <n v="40524"/>
    <n v="40524"/>
    <n v="5084"/>
    <n v="18.5"/>
    <n v="148"/>
    <n v="3.638867033831629E-3"/>
    <m/>
    <n v="314073"/>
    <m/>
    <n v="6076"/>
    <n v="6579000000"/>
    <n v="40672"/>
    <n v="10010"/>
    <n v="-3.6388670338316285E-3"/>
    <n v="40672"/>
    <x v="1"/>
    <n v="8"/>
    <x v="140"/>
  </r>
  <r>
    <d v="2026-04-30T00:00:00"/>
    <x v="93"/>
    <s v="STOCK"/>
    <n v="4"/>
    <s v="STOCK"/>
    <n v="2508991"/>
    <x v="227"/>
    <s v="UND"/>
    <n v="11"/>
    <m/>
    <n v="11"/>
    <n v="4781.2727000000004"/>
    <n v="52594"/>
    <n v="52594"/>
    <n v="4798"/>
    <n v="16.7273"/>
    <n v="184"/>
    <n v="3.4863011103111663E-3"/>
    <m/>
    <n v="314073"/>
    <m/>
    <n v="6076"/>
    <n v="6579000000"/>
    <n v="52778"/>
    <n v="10010"/>
    <n v="-3.4863067944976155E-3"/>
    <n v="52778"/>
    <x v="1"/>
    <n v="11"/>
    <x v="139"/>
  </r>
  <r>
    <d v="2026-04-30T00:00:00"/>
    <x v="93"/>
    <s v="STOCK"/>
    <n v="4"/>
    <s v="STOCK"/>
    <n v="2508990"/>
    <x v="226"/>
    <s v="UND"/>
    <n v="11"/>
    <m/>
    <n v="11"/>
    <n v="6671.9090999999999"/>
    <n v="73391"/>
    <n v="73391"/>
    <n v="6738"/>
    <n v="66.090900000000005"/>
    <n v="727"/>
    <n v="9.8086834507137149E-3"/>
    <m/>
    <n v="314073"/>
    <m/>
    <n v="6076"/>
    <n v="6579000000"/>
    <n v="74118"/>
    <n v="10010"/>
    <n v="-9.8086821015138242E-3"/>
    <n v="74118"/>
    <x v="1"/>
    <n v="11"/>
    <x v="138"/>
  </r>
  <r>
    <d v="2026-04-30T00:00:00"/>
    <x v="93"/>
    <s v="STOCK"/>
    <n v="4"/>
    <s v="STOCK"/>
    <n v="1405025"/>
    <x v="124"/>
    <s v="UND"/>
    <n v="5"/>
    <m/>
    <n v="5"/>
    <n v="6980"/>
    <n v="34900"/>
    <n v="34900"/>
    <n v="6758.5333000000001"/>
    <n v="-221.4667"/>
    <n v="-1107.3333"/>
    <n v="-3.2768450799619618E-2"/>
    <m/>
    <n v="314073"/>
    <m/>
    <n v="6076"/>
    <n v="6579000000"/>
    <n v="33792.666665000004"/>
    <n v="10010"/>
    <n v="3.2768455842334898E-2"/>
    <n v="33792.666499999999"/>
    <x v="1"/>
    <n v="5"/>
    <x v="4"/>
  </r>
  <r>
    <d v="2026-04-30T00:00:00"/>
    <x v="93"/>
    <s v="STOCK"/>
    <n v="4"/>
    <s v="STOCK"/>
    <n v="2508988"/>
    <x v="202"/>
    <s v="KIT"/>
    <n v="3"/>
    <m/>
    <n v="3"/>
    <n v="142675.6667"/>
    <n v="428027"/>
    <n v="428027"/>
    <m/>
    <m/>
    <n v="-428027"/>
    <m/>
    <m/>
    <n v="314073"/>
    <m/>
    <n v="6076"/>
    <n v="6579000000"/>
    <s v=""/>
    <n v="10010"/>
    <e v="#DIV/0!"/>
    <n v="0"/>
    <x v="1"/>
    <n v="3"/>
    <x v="100"/>
  </r>
  <r>
    <d v="2026-04-30T00:00:00"/>
    <x v="93"/>
    <s v="STOCK"/>
    <n v="4"/>
    <s v="STOCK"/>
    <n v="2508987"/>
    <x v="203"/>
    <s v="UND"/>
    <n v="3"/>
    <m/>
    <n v="3"/>
    <n v="142531.6667"/>
    <n v="427595"/>
    <n v="427595"/>
    <n v="145847"/>
    <n v="3315.3332999999998"/>
    <n v="9946"/>
    <n v="2.2731584011555551E-2"/>
    <m/>
    <n v="314073"/>
    <m/>
    <n v="6076"/>
    <n v="6579000000"/>
    <n v="437541"/>
    <n v="10010"/>
    <n v="-2.2731583783005469E-2"/>
    <n v="437541"/>
    <x v="1"/>
    <n v="3"/>
    <x v="126"/>
  </r>
  <r>
    <d v="2026-04-30T00:00:00"/>
    <x v="93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4073"/>
    <m/>
    <n v="6076"/>
    <n v="6579000000"/>
    <s v=""/>
    <n v="10010"/>
    <e v="#DIV/0!"/>
    <n v="0"/>
    <x v="1"/>
    <n v="1"/>
    <x v="100"/>
  </r>
  <r>
    <d v="2026-04-30T00:00:00"/>
    <x v="93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4073"/>
    <m/>
    <n v="6076"/>
    <n v="6579000000"/>
    <n v="102622"/>
    <n v="10010"/>
    <n v="0"/>
    <n v="102622"/>
    <x v="1"/>
    <n v="1"/>
    <x v="144"/>
  </r>
  <r>
    <d v="2026-04-30T00:00:00"/>
    <x v="93"/>
    <s v="STOCK"/>
    <n v="4"/>
    <s v="STOCK"/>
    <n v="2304002"/>
    <x v="140"/>
    <s v="UND"/>
    <n v="33"/>
    <m/>
    <n v="33"/>
    <n v="1376.4848"/>
    <n v="45424"/>
    <n v="45424"/>
    <n v="1376.4717000000001"/>
    <n v="-1.3100000000000001E-2"/>
    <n v="-0.43309999999999998"/>
    <n v="-9.5348742874023072E-6"/>
    <m/>
    <n v="314073"/>
    <m/>
    <n v="6076"/>
    <n v="6579000000"/>
    <n v="45423.566892000003"/>
    <n v="10010"/>
    <n v="9.5170863301402145E-6"/>
    <n v="45423.566100000004"/>
    <x v="1"/>
    <n v="33"/>
    <x v="4"/>
  </r>
  <r>
    <d v="2026-04-30T00:00:00"/>
    <x v="93"/>
    <s v="STOCK"/>
    <n v="4"/>
    <s v="STOCK"/>
    <n v="307096"/>
    <x v="197"/>
    <s v="TRA"/>
    <n v="150"/>
    <m/>
    <n v="150"/>
    <n v="1795.6"/>
    <n v="269340"/>
    <n v="269340"/>
    <n v="2095.3501000000001"/>
    <n v="299.75009999999997"/>
    <n v="44962.5193"/>
    <n v="0.14305491232773293"/>
    <m/>
    <n v="314073"/>
    <m/>
    <n v="6076"/>
    <n v="6579000000"/>
    <n v="314302.51934999978"/>
    <n v="10010"/>
    <n v="-0.14305490046746852"/>
    <n v="314302.51500000001"/>
    <x v="0"/>
    <n v="150"/>
    <x v="121"/>
  </r>
  <r>
    <d v="2026-04-30T00:00:00"/>
    <x v="93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073"/>
    <m/>
    <n v="6076"/>
    <n v="6579000000"/>
    <n v="94452.677199999991"/>
    <n v="10010"/>
    <n v="2.9988563055514597E-4"/>
    <n v="94452.675000000003"/>
    <x v="1"/>
    <n v="50"/>
    <x v="4"/>
  </r>
  <r>
    <d v="2026-04-30T00:00:00"/>
    <x v="93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4073"/>
    <m/>
    <n v="6076"/>
    <n v="6579000000"/>
    <n v="136499.94280000002"/>
    <n v="10010"/>
    <n v="4.0293056526552117E-7"/>
    <n v="136499.94500000001"/>
    <x v="1"/>
    <n v="50"/>
    <x v="31"/>
  </r>
  <r>
    <d v="2026-04-30T00:00:00"/>
    <x v="93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73"/>
    <m/>
    <n v="6076"/>
    <n v="6579000000"/>
    <n v="88104"/>
    <n v="10010"/>
    <n v="2.4175973849087443E-3"/>
    <n v="88104"/>
    <x v="1"/>
    <n v="24"/>
    <x v="40"/>
  </r>
  <r>
    <d v="2026-04-30T00:00:00"/>
    <x v="93"/>
    <s v="STOCK"/>
    <n v="4"/>
    <s v="STOCK"/>
    <s v="081010x"/>
    <x v="224"/>
    <s v="RLL"/>
    <n v="50"/>
    <m/>
    <n v="50"/>
    <n v="328.26"/>
    <n v="16413"/>
    <n v="16413"/>
    <m/>
    <m/>
    <n v="-16413"/>
    <m/>
    <m/>
    <n v="314073"/>
    <m/>
    <n v="6076"/>
    <n v="6579000000"/>
    <s v=""/>
    <n v="10010"/>
    <e v="#DIV/0!"/>
    <n v="0"/>
    <x v="1"/>
    <n v="50"/>
    <x v="100"/>
  </r>
  <r>
    <d v="2026-04-30T00:00:00"/>
    <x v="93"/>
    <s v="STOCK"/>
    <n v="4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4073"/>
    <m/>
    <n v="6076"/>
    <n v="6579000000"/>
    <n v="950591.03336"/>
    <n v="10010"/>
    <n v="9.337976586339182E-2"/>
    <n v="950591.03200000001"/>
    <x v="0"/>
    <n v="80"/>
    <x v="92"/>
  </r>
  <r>
    <d v="2026-04-30T00:00:00"/>
    <x v="93"/>
    <s v="STOCK"/>
    <n v="4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4073"/>
    <m/>
    <n v="6076"/>
    <n v="6579000000"/>
    <n v="61200.000000000015"/>
    <n v="10010"/>
    <n v="-0.15560457516339873"/>
    <n v="61200"/>
    <x v="1"/>
    <n v="200"/>
    <x v="122"/>
  </r>
  <r>
    <d v="2026-04-30T00:00:00"/>
    <x v="93"/>
    <s v="STOCK"/>
    <n v="4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073"/>
    <m/>
    <n v="6076"/>
    <n v="6579000000"/>
    <n v="72600"/>
    <n v="10010"/>
    <n v="-0.12415977961432505"/>
    <n v="72600"/>
    <x v="1"/>
    <n v="200"/>
    <x v="123"/>
  </r>
  <r>
    <d v="2026-04-30T00:00:00"/>
    <x v="93"/>
    <s v="STOCK"/>
    <n v="4"/>
    <s v="STOCK"/>
    <n v="1103076"/>
    <x v="193"/>
    <s v="UND"/>
    <n v="10"/>
    <m/>
    <n v="10"/>
    <n v="3190.8"/>
    <n v="31908"/>
    <n v="31908"/>
    <n v="3191"/>
    <n v="0.2"/>
    <n v="2"/>
    <n v="6.2676277029087462E-5"/>
    <m/>
    <n v="314073"/>
    <m/>
    <n v="6076"/>
    <n v="6579000000"/>
    <n v="31910"/>
    <n v="10010"/>
    <n v="-6.2676277029087462E-5"/>
    <n v="31910"/>
    <x v="1"/>
    <n v="10"/>
    <x v="120"/>
  </r>
  <r>
    <d v="2026-04-30T00:00:00"/>
    <x v="93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3"/>
    <m/>
    <n v="6076"/>
    <n v="6579000000"/>
    <n v="48540"/>
    <n v="10010"/>
    <n v="-2.0601565719069593E-5"/>
    <n v="48540"/>
    <x v="1"/>
    <n v="20"/>
    <x v="119"/>
  </r>
  <r>
    <d v="2026-04-30T00:00:00"/>
    <x v="93"/>
    <s v="STOCK"/>
    <n v="4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4077"/>
    <n v="144263"/>
    <n v="6076"/>
    <n v="6579000000"/>
    <n v="44052"/>
    <n v="10010"/>
    <n v="2.4289566875511357E-3"/>
    <n v="44052"/>
    <x v="1"/>
    <n v="12"/>
    <x v="40"/>
  </r>
  <r>
    <d v="2026-04-30T00:00:00"/>
    <x v="93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077"/>
    <m/>
    <n v="6076"/>
    <n v="6579000000"/>
    <n v="10653.786550000001"/>
    <n v="10010"/>
    <n v="2.1420881674322961E-2"/>
    <n v="10653.786500000002"/>
    <x v="1"/>
    <n v="5"/>
    <x v="27"/>
  </r>
  <r>
    <d v="2026-04-30T00:00:00"/>
    <x v="93"/>
    <s v="STOCK"/>
    <n v="4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4077"/>
    <m/>
    <n v="6076"/>
    <n v="6579000000"/>
    <n v="4218.1170840000004"/>
    <n v="10010"/>
    <n v="8.0102804165934655E-2"/>
    <n v="4218.1170000000002"/>
    <x v="1"/>
    <n v="2"/>
    <x v="28"/>
  </r>
  <r>
    <d v="2026-04-30T00:00:00"/>
    <x v="93"/>
    <s v="STOCK"/>
    <n v="4"/>
    <s v="STOCK"/>
    <n v="2302017"/>
    <x v="106"/>
    <s v="TIN"/>
    <n v="1"/>
    <m/>
    <n v="1"/>
    <n v="81200"/>
    <n v="81200"/>
    <n v="81200"/>
    <n v="81197.881599999993"/>
    <n v="-2.1183999999999998"/>
    <n v="-2.1183999999999998"/>
    <n v="-2.6089609221639184E-5"/>
    <m/>
    <n v="314077"/>
    <m/>
    <n v="6076"/>
    <n v="6579000000"/>
    <n v="81197.881578999979"/>
    <n v="10010"/>
    <n v="2.6089350587277627E-5"/>
    <n v="81197.881599999993"/>
    <x v="1"/>
    <n v="1"/>
    <x v="4"/>
  </r>
  <r>
    <d v="2026-04-30T00:00:00"/>
    <x v="93"/>
    <s v="STOCK"/>
    <n v="4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4077"/>
    <m/>
    <n v="6076"/>
    <n v="6579000000"/>
    <n v="106640.50198378378"/>
    <n v="10010"/>
    <n v="-0.96749827692105728"/>
    <n v="106640.5"/>
    <x v="1"/>
    <n v="1000"/>
    <x v="63"/>
  </r>
  <r>
    <d v="2026-04-30T00:00:00"/>
    <x v="89"/>
    <s v="STOCK"/>
    <n v="4"/>
    <s v="STOCK"/>
    <n v="810007"/>
    <x v="151"/>
    <s v="TRA"/>
    <n v="12"/>
    <m/>
    <n v="12"/>
    <n v="3372.0832999999998"/>
    <n v="40465"/>
    <n v="40465"/>
    <n v="3274.7246"/>
    <n v="-97.358699999999999"/>
    <n v="-1168.3043"/>
    <n v="-2.9730345630768529E-2"/>
    <m/>
    <n v="314076"/>
    <n v="375857"/>
    <n v="6076"/>
    <n v="6579000000"/>
    <n v="39296.695656000004"/>
    <n v="10010"/>
    <n v="2.9730347400816474E-2"/>
    <n v="39296.695200000002"/>
    <x v="1"/>
    <n v="12"/>
    <x v="4"/>
  </r>
  <r>
    <d v="2026-04-30T00:00:00"/>
    <x v="89"/>
    <s v="STOCK"/>
    <n v="4"/>
    <s v="STOCK"/>
    <n v="404184"/>
    <x v="37"/>
    <s v="UND"/>
    <n v="12"/>
    <m/>
    <n v="12"/>
    <n v="1752.4167"/>
    <n v="21029"/>
    <n v="21029"/>
    <n v="1754.8757000000001"/>
    <n v="2.4590999999999998"/>
    <n v="29.508800000000001"/>
    <n v="1.4012754805903373E-3"/>
    <m/>
    <n v="314076"/>
    <m/>
    <n v="6076"/>
    <n v="6579000000"/>
    <n v="21058.508772000001"/>
    <n v="10010"/>
    <n v="-1.4012388455775301E-3"/>
    <n v="21058.508399999999"/>
    <x v="1"/>
    <n v="12"/>
    <x v="33"/>
  </r>
  <r>
    <d v="2026-04-30T00:00:00"/>
    <x v="89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6"/>
    <m/>
    <n v="6076"/>
    <n v="6579000000"/>
    <n v="48540"/>
    <n v="10010"/>
    <n v="-2.0601565719069593E-5"/>
    <n v="48540"/>
    <x v="1"/>
    <n v="20"/>
    <x v="119"/>
  </r>
  <r>
    <d v="2026-04-30T00:00:00"/>
    <x v="89"/>
    <s v="STOCK"/>
    <n v="4"/>
    <s v="STOCK"/>
    <n v="1103076"/>
    <x v="193"/>
    <s v="UND"/>
    <n v="28"/>
    <m/>
    <n v="28"/>
    <n v="3190.75"/>
    <n v="89341"/>
    <n v="89341"/>
    <n v="3191"/>
    <n v="0.25"/>
    <n v="7"/>
    <n v="7.8345346286430597E-5"/>
    <m/>
    <n v="314076"/>
    <m/>
    <n v="6076"/>
    <n v="6579000000"/>
    <n v="89348"/>
    <n v="10010"/>
    <n v="-7.8345346286430584E-5"/>
    <n v="89348"/>
    <x v="1"/>
    <n v="28"/>
    <x v="120"/>
  </r>
  <r>
    <d v="2026-04-30T00:00:00"/>
    <x v="89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4076"/>
    <m/>
    <n v="6076"/>
    <n v="6579000000"/>
    <n v="171360"/>
    <n v="10010"/>
    <n v="0"/>
    <n v="171360"/>
    <x v="1"/>
    <n v="4"/>
    <x v="103"/>
  </r>
  <r>
    <d v="2026-04-30T00:00:00"/>
    <x v="89"/>
    <s v="STOCK"/>
    <n v="4"/>
    <s v="STOCK"/>
    <s v="081010x"/>
    <x v="224"/>
    <s v="RLL"/>
    <n v="1"/>
    <m/>
    <n v="1"/>
    <n v="328"/>
    <n v="328"/>
    <n v="328"/>
    <m/>
    <m/>
    <n v="-328"/>
    <m/>
    <m/>
    <n v="314076"/>
    <m/>
    <n v="6076"/>
    <n v="6579000000"/>
    <s v=""/>
    <n v="10010"/>
    <e v="#DIV/0!"/>
    <n v="0"/>
    <x v="1"/>
    <n v="1"/>
    <x v="100"/>
  </r>
  <r>
    <d v="2026-04-30T00:00:00"/>
    <x v="89"/>
    <s v="STOCK"/>
    <n v="4"/>
    <s v="STOCK"/>
    <n v="2304008"/>
    <x v="223"/>
    <s v="UND"/>
    <n v="2"/>
    <m/>
    <n v="2"/>
    <n v="2397.5"/>
    <n v="4795"/>
    <n v="4795"/>
    <m/>
    <m/>
    <n v="-4795"/>
    <m/>
    <m/>
    <n v="314076"/>
    <m/>
    <n v="6076"/>
    <n v="6579000000"/>
    <s v=""/>
    <n v="10010"/>
    <e v="#DIV/0!"/>
    <n v="0"/>
    <x v="1"/>
    <n v="2"/>
    <x v="100"/>
  </r>
  <r>
    <d v="2026-04-30T00:00:00"/>
    <x v="93"/>
    <s v="STOCK"/>
    <n v="4"/>
    <s v="STOCK"/>
    <n v="412260"/>
    <x v="16"/>
    <s v="UND"/>
    <n v="32"/>
    <m/>
    <n v="32"/>
    <n v="86746.906199999998"/>
    <n v="2775901"/>
    <n v="2775901"/>
    <n v="87567.442500000005"/>
    <n v="820.53620000000001"/>
    <n v="26257.159299999999"/>
    <n v="9.3703345076696764E-3"/>
    <m/>
    <n v="314089"/>
    <n v="7140010"/>
    <n v="6076"/>
    <n v="6579000000"/>
    <n v="2802158.159295999"/>
    <n v="10010"/>
    <n v="-9.3703353275391942E-3"/>
    <n v="2802158.16"/>
    <x v="0"/>
    <n v="32"/>
    <x v="14"/>
  </r>
  <r>
    <d v="2026-04-30T00:00:00"/>
    <x v="93"/>
    <s v="STOCK"/>
    <n v="4"/>
    <s v="STOCK"/>
    <n v="412280"/>
    <x v="15"/>
    <s v="UND"/>
    <n v="96"/>
    <m/>
    <n v="96"/>
    <n v="39389.854200000002"/>
    <n v="3781426"/>
    <n v="3781426"/>
    <n v="40002.920100000003"/>
    <n v="613.06590000000006"/>
    <n v="58854.3289"/>
    <n v="1.5325529359058345E-2"/>
    <m/>
    <n v="314089"/>
    <m/>
    <n v="6076"/>
    <n v="6579000000"/>
    <n v="3840280.3289279998"/>
    <n v="10010"/>
    <n v="-1.5325528698091251E-2"/>
    <n v="3840280.3296000003"/>
    <x v="0"/>
    <n v="96"/>
    <x v="13"/>
  </r>
  <r>
    <d v="2026-04-30T00:00:00"/>
    <x v="93"/>
    <s v="STOCK"/>
    <n v="4"/>
    <s v="STOCK"/>
    <n v="1901086"/>
    <x v="149"/>
    <s v="M2"/>
    <n v="162"/>
    <m/>
    <n v="162"/>
    <n v="3596.8085999999998"/>
    <n v="582683"/>
    <n v="582683"/>
    <n v="3711.587"/>
    <n v="114.7784"/>
    <n v="18594.100600000002"/>
    <n v="3.0924345234745545E-2"/>
    <m/>
    <n v="314089"/>
    <m/>
    <n v="6076"/>
    <n v="6579000000"/>
    <n v="601277.10064200009"/>
    <n v="10010"/>
    <n v="-3.0924345839124921E-2"/>
    <n v="601277.09400000004"/>
    <x v="0"/>
    <n v="162"/>
    <x v="96"/>
  </r>
  <r>
    <d v="2026-04-30T00:00:00"/>
    <x v="94"/>
    <s v="STOCK"/>
    <n v="4"/>
    <s v="STOCK"/>
    <n v="302044"/>
    <x v="2"/>
    <s v="PZA"/>
    <n v="120"/>
    <m/>
    <n v="120"/>
    <n v="13443.433300000001"/>
    <n v="1613212"/>
    <n v="1613212"/>
    <n v="13725.9625"/>
    <n v="282.5292"/>
    <n v="33903.504099999998"/>
    <n v="2.058356198822681E-2"/>
    <m/>
    <n v="314093"/>
    <n v="12397659"/>
    <n v="6076"/>
    <n v="6579000000"/>
    <n v="1647115.5040800001"/>
    <n v="10010"/>
    <n v="-2.0583561990643574E-2"/>
    <n v="1647115.5"/>
    <x v="0"/>
    <n v="120"/>
    <x v="2"/>
  </r>
  <r>
    <d v="2026-04-30T00:00:00"/>
    <x v="94"/>
    <s v="STOCK"/>
    <n v="4"/>
    <s v="STOCK"/>
    <n v="1901505"/>
    <x v="7"/>
    <s v="KG"/>
    <n v="48"/>
    <m/>
    <n v="48"/>
    <n v="1895"/>
    <n v="90960"/>
    <n v="90960"/>
    <n v="1895"/>
    <n v="0"/>
    <n v="0"/>
    <n v="0"/>
    <m/>
    <n v="314093"/>
    <m/>
    <n v="6076"/>
    <n v="6579000000"/>
    <n v="90960"/>
    <n v="10010"/>
    <n v="0"/>
    <n v="90960"/>
    <x v="1"/>
    <n v="48"/>
    <x v="7"/>
  </r>
  <r>
    <d v="2026-04-30T00:00:00"/>
    <x v="94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4093"/>
    <m/>
    <n v="6076"/>
    <n v="6579000000"/>
    <n v="614388.11140000017"/>
    <n v="10010"/>
    <n v="-1.8229519378380471E-7"/>
    <n v="614388.11199999996"/>
    <x v="0"/>
    <n v="40"/>
    <x v="3"/>
  </r>
  <r>
    <d v="2026-04-30T00:00:00"/>
    <x v="94"/>
    <s v="STOCK"/>
    <n v="4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093"/>
    <m/>
    <n v="6076"/>
    <n v="6579000000"/>
    <n v="959764.51785405388"/>
    <n v="10010"/>
    <n v="-0.96749640146098337"/>
    <n v="959764.5"/>
    <x v="1"/>
    <n v="9000"/>
    <x v="63"/>
  </r>
  <r>
    <d v="2026-04-30T00:00:00"/>
    <x v="94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4093"/>
    <m/>
    <n v="6076"/>
    <n v="6579000000"/>
    <n v="63638.999999999985"/>
    <n v="10010"/>
    <n v="0"/>
    <n v="63639"/>
    <x v="1"/>
    <n v="3"/>
    <x v="5"/>
  </r>
  <r>
    <d v="2026-04-30T00:00:00"/>
    <x v="94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4093"/>
    <m/>
    <n v="6076"/>
    <n v="6579000000"/>
    <n v="16182.106762000009"/>
    <n v="10010"/>
    <n v="-6.5998822847693946E-6"/>
    <n v="16182.1068"/>
    <x v="1"/>
    <n v="1"/>
    <x v="66"/>
  </r>
  <r>
    <d v="2026-04-30T00:00:00"/>
    <x v="94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4093"/>
    <m/>
    <n v="6076"/>
    <n v="6579000000"/>
    <n v="85376.31575199998"/>
    <n v="10010"/>
    <n v="-5.7326412345170455E-2"/>
    <n v="85376.324800000002"/>
    <x v="1"/>
    <n v="232"/>
    <x v="68"/>
  </r>
  <r>
    <d v="2026-04-30T00:00:00"/>
    <x v="94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4093"/>
    <m/>
    <n v="6076"/>
    <n v="6579000000"/>
    <n v="36939.818181999981"/>
    <n v="10010"/>
    <n v="4.92151853628979E-6"/>
    <n v="36939.818200000002"/>
    <x v="0"/>
    <n v="1"/>
    <x v="45"/>
  </r>
  <r>
    <d v="2026-04-30T00:00:00"/>
    <x v="94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093"/>
    <m/>
    <n v="6076"/>
    <n v="6579000000"/>
    <n v="1947659.9999999993"/>
    <n v="10010"/>
    <n v="-5.1855560005389863E-5"/>
    <n v="1947660"/>
    <x v="0"/>
    <n v="130"/>
    <x v="99"/>
  </r>
  <r>
    <d v="2026-04-30T00:00:00"/>
    <x v="94"/>
    <s v="STOCK"/>
    <n v="4"/>
    <s v="STOCK"/>
    <n v="412313"/>
    <x v="153"/>
    <s v="CJA"/>
    <n v="3"/>
    <m/>
    <n v="3"/>
    <n v="23724"/>
    <n v="71172"/>
    <n v="71172"/>
    <n v="23724.0674"/>
    <n v="6.7400000000000002E-2"/>
    <n v="0.20219999999999999"/>
    <n v="2.8403645506871342E-6"/>
    <m/>
    <n v="314093"/>
    <m/>
    <n v="6076"/>
    <n v="6579000000"/>
    <n v="71172.202154999992"/>
    <n v="10010"/>
    <n v="-2.8409968182735337E-6"/>
    <n v="71172.2022"/>
    <x v="1"/>
    <n v="3"/>
    <x v="4"/>
  </r>
  <r>
    <d v="2026-04-30T00:00:00"/>
    <x v="94"/>
    <s v="STOCK"/>
    <n v="4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4093"/>
    <m/>
    <n v="6076"/>
    <n v="6579000000"/>
    <n v="5347368"/>
    <n v="10010"/>
    <n v="-0.19905100647645715"/>
    <n v="5347368"/>
    <x v="0"/>
    <n v="936"/>
    <x v="4"/>
  </r>
  <r>
    <d v="2026-04-30T00:00:00"/>
    <x v="94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093"/>
    <m/>
    <n v="6076"/>
    <n v="6579000000"/>
    <n v="2242783.9959000004"/>
    <n v="10010"/>
    <n v="2.0782651401813682E-2"/>
    <n v="2242783.9980000001"/>
    <x v="0"/>
    <n v="140"/>
    <x v="94"/>
  </r>
  <r>
    <d v="2026-04-30T00:00:00"/>
    <x v="94"/>
    <s v="STOCK"/>
    <n v="4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4093"/>
    <m/>
    <n v="6076"/>
    <n v="6579000000"/>
    <n v="885854.51087999996"/>
    <n v="10010"/>
    <n v="2.6765668265851812E-2"/>
    <n v="885854.51199999999"/>
    <x v="0"/>
    <n v="40"/>
    <x v="93"/>
  </r>
  <r>
    <d v="2026-04-30T00:00:00"/>
    <x v="94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093"/>
    <m/>
    <n v="6076"/>
    <n v="6579000000"/>
    <n v="350000.00000000029"/>
    <n v="10010"/>
    <n v="0"/>
    <n v="350000"/>
    <x v="1"/>
    <n v="10"/>
    <x v="89"/>
  </r>
  <r>
    <d v="2026-04-30T00:00:00"/>
    <x v="94"/>
    <s v="STOCK"/>
    <n v="4"/>
    <s v="STOCK"/>
    <n v="2103113"/>
    <x v="258"/>
    <s v="UND"/>
    <n v="3"/>
    <m/>
    <n v="3"/>
    <n v="2078"/>
    <n v="6234"/>
    <n v="6234"/>
    <m/>
    <m/>
    <n v="-6234"/>
    <m/>
    <m/>
    <n v="314096"/>
    <n v="6234"/>
    <n v="6076"/>
    <n v="6579000000"/>
    <s v=""/>
    <n v="10010"/>
    <e v="#DIV/0!"/>
    <n v="0"/>
    <x v="1"/>
    <n v="3"/>
    <x v="100"/>
  </r>
  <r>
    <d v="2026-04-30T00:00:00"/>
    <x v="94"/>
    <s v="STOCK"/>
    <n v="4"/>
    <s v="STOCK"/>
    <n v="2302098"/>
    <x v="5"/>
    <s v="TIN"/>
    <n v="2"/>
    <m/>
    <n v="2"/>
    <n v="21213"/>
    <n v="42426"/>
    <n v="42426"/>
    <n v="21213"/>
    <n v="0"/>
    <n v="0"/>
    <n v="-1.7149761029050001E-16"/>
    <m/>
    <n v="314098"/>
    <n v="610172"/>
    <n v="6076"/>
    <n v="6579000000"/>
    <n v="42425.999999999993"/>
    <n v="10010"/>
    <n v="0"/>
    <n v="42426"/>
    <x v="1"/>
    <n v="2"/>
    <x v="5"/>
  </r>
  <r>
    <d v="2026-04-30T00:00:00"/>
    <x v="94"/>
    <s v="STOCK"/>
    <n v="4"/>
    <s v="STOCK"/>
    <n v="2302024"/>
    <x v="150"/>
    <s v="GAL"/>
    <n v="2"/>
    <m/>
    <n v="2"/>
    <n v="22521.5"/>
    <n v="45043"/>
    <n v="45043"/>
    <n v="22292"/>
    <n v="-229.5"/>
    <n v="-459"/>
    <n v="-1.0295173156289252E-2"/>
    <m/>
    <n v="314098"/>
    <m/>
    <n v="6076"/>
    <n v="6579000000"/>
    <n v="44584"/>
    <n v="10010"/>
    <n v="1.0295173156289252E-2"/>
    <n v="44584"/>
    <x v="1"/>
    <n v="2"/>
    <x v="4"/>
  </r>
  <r>
    <d v="2026-04-30T00:00:00"/>
    <x v="94"/>
    <s v="STOCK"/>
    <n v="4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14098"/>
    <m/>
    <n v="6076"/>
    <n v="6579000000"/>
    <n v="162395.76315799996"/>
    <n v="10010"/>
    <n v="1.9931554470586818E-5"/>
    <n v="162395.76319999999"/>
    <x v="1"/>
    <n v="2"/>
    <x v="4"/>
  </r>
  <r>
    <d v="2026-04-30T00:00:00"/>
    <x v="94"/>
    <s v="STOCK"/>
    <n v="4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098"/>
    <m/>
    <n v="6076"/>
    <n v="6579000000"/>
    <n v="17145.079643999998"/>
    <n v="10010"/>
    <n v="2.3283881128392811E-3"/>
    <n v="17145.0798"/>
    <x v="1"/>
    <n v="6"/>
    <x v="81"/>
  </r>
  <r>
    <d v="2026-04-30T00:00:00"/>
    <x v="94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4098"/>
    <m/>
    <n v="6076"/>
    <n v="6579000000"/>
    <n v="12252.718236000001"/>
    <n v="10010"/>
    <n v="2.3015301208849542E-5"/>
    <n v="12252.718199999999"/>
    <x v="1"/>
    <n v="6"/>
    <x v="82"/>
  </r>
  <r>
    <d v="2026-04-30T00:00:00"/>
    <x v="94"/>
    <s v="STOCK"/>
    <n v="4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098"/>
    <m/>
    <n v="6076"/>
    <n v="6579000000"/>
    <n v="213281.00396756755"/>
    <n v="10010"/>
    <n v="-0.96749827692105728"/>
    <n v="213281"/>
    <x v="1"/>
    <n v="2000"/>
    <x v="63"/>
  </r>
  <r>
    <d v="2026-04-30T00:00:00"/>
    <x v="94"/>
    <s v="STOCK"/>
    <n v="4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098"/>
    <m/>
    <n v="6076"/>
    <n v="6579000000"/>
    <n v="20634.960000000003"/>
    <n v="10010"/>
    <n v="-8.9062704447319896E-2"/>
    <n v="20634.900000000001"/>
    <x v="1"/>
    <n v="3000"/>
    <x v="4"/>
  </r>
  <r>
    <d v="2026-04-30T00:00:00"/>
    <x v="94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98"/>
    <m/>
    <n v="6076"/>
    <n v="6579000000"/>
    <n v="88104"/>
    <n v="10010"/>
    <n v="2.4175973849087443E-3"/>
    <n v="88104"/>
    <x v="1"/>
    <n v="24"/>
    <x v="40"/>
  </r>
  <r>
    <d v="2026-04-30T00:00:00"/>
    <x v="94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098"/>
    <m/>
    <n v="6076"/>
    <n v="6579000000"/>
    <n v="63820"/>
    <n v="10010"/>
    <n v="-7.8345346286430584E-5"/>
    <n v="63820"/>
    <x v="1"/>
    <n v="20"/>
    <x v="120"/>
  </r>
  <r>
    <d v="2026-04-30T00:00:00"/>
    <x v="94"/>
    <s v="STOCK"/>
    <n v="4"/>
    <s v="STOCK"/>
    <n v="907031"/>
    <x v="158"/>
    <s v="RLL"/>
    <n v="1"/>
    <m/>
    <n v="1"/>
    <n v="153005"/>
    <n v="153005"/>
    <n v="153005"/>
    <n v="156269.1667"/>
    <n v="3264.1667000000002"/>
    <n v="3264.1667000000002"/>
    <n v="2.0888104394616625E-2"/>
    <m/>
    <n v="314098"/>
    <m/>
    <n v="6076"/>
    <n v="6579000000"/>
    <n v="156269.16666700004"/>
    <n v="10010"/>
    <n v="-2.0888104601379444E-2"/>
    <n v="156269.1667"/>
    <x v="0"/>
    <n v="1"/>
    <x v="98"/>
  </r>
  <r>
    <d v="2026-04-30T00:00:00"/>
    <x v="94"/>
    <s v="STOCK"/>
    <n v="4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4104"/>
    <n v="179029"/>
    <n v="6076"/>
    <n v="6579000000"/>
    <n v="0"/>
    <n v="10010"/>
    <e v="#DIV/0!"/>
    <n v="0"/>
    <x v="1"/>
    <n v="20"/>
    <x v="102"/>
  </r>
  <r>
    <d v="2026-04-30T00:00:00"/>
    <x v="95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09"/>
    <n v="653127"/>
    <n v="6076"/>
    <n v="6579000000"/>
    <n v="88104"/>
    <n v="10010"/>
    <n v="2.4175973849087443E-3"/>
    <n v="88104"/>
    <x v="1"/>
    <n v="24"/>
    <x v="40"/>
  </r>
  <r>
    <d v="2026-04-30T00:00:00"/>
    <x v="95"/>
    <s v="STOCK"/>
    <n v="4"/>
    <s v="STOCK"/>
    <n v="907034"/>
    <x v="158"/>
    <s v="RLL"/>
    <n v="4"/>
    <m/>
    <n v="4"/>
    <n v="114865.25"/>
    <n v="459461"/>
    <n v="459461"/>
    <n v="156269.1667"/>
    <n v="41403.916700000002"/>
    <n v="165615.6667"/>
    <n v="0.26495256582016091"/>
    <m/>
    <n v="314109"/>
    <m/>
    <n v="6076"/>
    <n v="6579000000"/>
    <n v="625076.66666800005"/>
    <n v="10010"/>
    <n v="-0.2649525659753838"/>
    <n v="625076.66680000001"/>
    <x v="1"/>
    <n v="4"/>
    <x v="100"/>
  </r>
  <r>
    <d v="2026-04-30T00:00:00"/>
    <x v="95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109"/>
    <m/>
    <n v="6076"/>
    <n v="6579000000"/>
    <n v="5748"/>
    <n v="10010"/>
    <n v="8.176774530271394E-3"/>
    <n v="5748"/>
    <x v="1"/>
    <n v="3"/>
    <x v="129"/>
  </r>
  <r>
    <d v="2026-04-30T00:00:00"/>
    <x v="95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109"/>
    <m/>
    <n v="6076"/>
    <n v="6579000000"/>
    <n v="8720.0132880000001"/>
    <n v="10010"/>
    <n v="-1.5137591589929127E-6"/>
    <n v="8720.0133000000005"/>
    <x v="1"/>
    <n v="3"/>
    <x v="4"/>
  </r>
  <r>
    <d v="2026-04-30T00:00:00"/>
    <x v="95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109"/>
    <m/>
    <n v="6076"/>
    <n v="6579000000"/>
    <n v="1006.469148"/>
    <n v="10010"/>
    <n v="-4.6618406878545695E-4"/>
    <n v="1006.4694"/>
    <x v="1"/>
    <n v="6"/>
    <x v="4"/>
  </r>
  <r>
    <d v="2026-04-30T00:00:00"/>
    <x v="95"/>
    <s v="STOCK"/>
    <n v="4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4109"/>
    <m/>
    <n v="6076"/>
    <n v="6579000000"/>
    <n v="6936"/>
    <n v="10010"/>
    <n v="2.883650519032089E-4"/>
    <n v="6936"/>
    <x v="1"/>
    <n v="3"/>
    <x v="86"/>
  </r>
  <r>
    <d v="2026-04-30T00:00:00"/>
    <x v="95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109"/>
    <m/>
    <n v="6076"/>
    <n v="6579000000"/>
    <n v="9105"/>
    <n v="10010"/>
    <n v="-8.7864909390452024E-4"/>
    <n v="9105"/>
    <x v="1"/>
    <n v="3"/>
    <x v="130"/>
  </r>
  <r>
    <d v="2026-04-30T00:00:00"/>
    <x v="95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109"/>
    <m/>
    <n v="6076"/>
    <n v="6579000000"/>
    <n v="10896"/>
    <n v="10010"/>
    <n v="-0.11104991740088099"/>
    <n v="10896"/>
    <x v="1"/>
    <n v="3"/>
    <x v="131"/>
  </r>
  <r>
    <d v="2026-04-30T00:00:00"/>
    <x v="95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109"/>
    <m/>
    <n v="6076"/>
    <n v="6579000000"/>
    <n v="47350.451612999997"/>
    <n v="10010"/>
    <n v="0.28816089203220857"/>
    <n v="47350.451699999998"/>
    <x v="1"/>
    <n v="3"/>
    <x v="4"/>
  </r>
  <r>
    <d v="2026-04-30T00:00:00"/>
    <x v="95"/>
    <s v="STOCK"/>
    <n v="4"/>
    <s v="STOCK"/>
    <n v="412132"/>
    <x v="239"/>
    <s v="UND"/>
    <n v="3"/>
    <m/>
    <n v="3"/>
    <n v="1037.3333"/>
    <n v="3112"/>
    <n v="3112"/>
    <m/>
    <m/>
    <n v="-3112"/>
    <m/>
    <m/>
    <n v="314109"/>
    <m/>
    <n v="6076"/>
    <n v="6579000000"/>
    <s v=""/>
    <n v="10010"/>
    <e v="#DIV/0!"/>
    <n v="0"/>
    <x v="1"/>
    <n v="3"/>
    <x v="100"/>
  </r>
  <r>
    <d v="2026-04-30T00:00:00"/>
    <x v="95"/>
    <s v="STOCK"/>
    <n v="4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112"/>
    <n v="7087292"/>
    <n v="6076"/>
    <n v="6579000000"/>
    <n v="4000292.0093"/>
    <n v="10010"/>
    <n v="-1.5325383708675866E-2"/>
    <n v="4000292.0100000002"/>
    <x v="0"/>
    <n v="100"/>
    <x v="13"/>
  </r>
  <r>
    <d v="2026-04-30T00:00:00"/>
    <x v="95"/>
    <s v="STOCK"/>
    <n v="4"/>
    <s v="STOCK"/>
    <n v="412281"/>
    <x v="167"/>
    <s v="UND"/>
    <n v="28"/>
    <m/>
    <n v="28"/>
    <n v="8951.4285999999993"/>
    <n v="250640"/>
    <n v="250640"/>
    <n v="0"/>
    <n v="-8951.4285999999993"/>
    <n v="-250640"/>
    <m/>
    <m/>
    <n v="314112"/>
    <m/>
    <n v="6076"/>
    <n v="6579000000"/>
    <n v="0"/>
    <n v="10010"/>
    <e v="#DIV/0!"/>
    <n v="0"/>
    <x v="1"/>
    <n v="28"/>
    <x v="102"/>
  </r>
  <r>
    <d v="2026-04-30T00:00:00"/>
    <x v="95"/>
    <s v="STOCK"/>
    <n v="4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4112"/>
    <m/>
    <n v="6076"/>
    <n v="6579000000"/>
    <n v="2433712.1634000018"/>
    <n v="10010"/>
    <n v="-3.7889377761818536E-3"/>
    <n v="2433712.176"/>
    <x v="0"/>
    <n v="252"/>
    <x v="0"/>
  </r>
  <r>
    <d v="2026-04-30T00:00:00"/>
    <x v="95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4112"/>
    <m/>
    <n v="6076"/>
    <n v="6579000000"/>
    <n v="473175.23999999993"/>
    <n v="10010"/>
    <n v="-4.2267642092535555E-7"/>
    <n v="473175.2"/>
    <x v="0"/>
    <n v="1000"/>
    <x v="8"/>
  </r>
  <r>
    <d v="2026-04-30T00:00:00"/>
    <x v="95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4147"/>
    <n v="1627202"/>
    <n v="6076"/>
    <n v="6579000000"/>
    <n v="210000.00000000015"/>
    <n v="10010"/>
    <n v="0"/>
    <n v="210000"/>
    <x v="1"/>
    <n v="6"/>
    <x v="89"/>
  </r>
  <r>
    <d v="2026-04-30T00:00:00"/>
    <x v="95"/>
    <s v="STOCK"/>
    <n v="4"/>
    <s v="STOCK"/>
    <n v="304012"/>
    <x v="233"/>
    <s v="PL"/>
    <n v="5"/>
    <m/>
    <n v="5"/>
    <n v="6004.4"/>
    <n v="30022"/>
    <n v="30022"/>
    <n v="0"/>
    <n v="-6004.4"/>
    <n v="-30022"/>
    <m/>
    <m/>
    <n v="314147"/>
    <m/>
    <n v="6076"/>
    <n v="6579000000"/>
    <n v="0"/>
    <n v="10010"/>
    <e v="#DIV/0!"/>
    <n v="0"/>
    <x v="1"/>
    <n v="5"/>
    <x v="100"/>
  </r>
  <r>
    <d v="2026-04-30T00:00:00"/>
    <x v="95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4147"/>
    <m/>
    <n v="6076"/>
    <n v="6579000000"/>
    <n v="47567.500819999994"/>
    <n v="10010"/>
    <n v="-4.1320229148052806E-2"/>
    <n v="47567.5"/>
    <x v="1"/>
    <n v="20"/>
    <x v="4"/>
  </r>
  <r>
    <d v="2026-04-30T00:00:00"/>
    <x v="95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4147"/>
    <m/>
    <n v="6076"/>
    <n v="6579000000"/>
    <n v="917083.44828000001"/>
    <n v="10010"/>
    <n v="-6.0882660265830701E-3"/>
    <n v="917083.44800000009"/>
    <x v="0"/>
    <n v="40"/>
    <x v="38"/>
  </r>
  <r>
    <d v="2026-04-30T00:00:00"/>
    <x v="95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4147"/>
    <m/>
    <n v="6076"/>
    <n v="6579000000"/>
    <n v="95779"/>
    <n v="10010"/>
    <n v="1.0440702032804685E-5"/>
    <n v="95779"/>
    <x v="1"/>
    <n v="2"/>
    <x v="4"/>
  </r>
  <r>
    <d v="2026-04-30T00:00:00"/>
    <x v="95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4147"/>
    <m/>
    <n v="6076"/>
    <n v="6579000000"/>
    <n v="92120"/>
    <n v="10010"/>
    <n v="0"/>
    <n v="92120"/>
    <x v="1"/>
    <n v="2"/>
    <x v="4"/>
  </r>
  <r>
    <d v="2026-04-30T00:00:00"/>
    <x v="95"/>
    <s v="STOCK"/>
    <n v="4"/>
    <s v="STOCK"/>
    <n v="404184"/>
    <x v="37"/>
    <s v="UND"/>
    <n v="40"/>
    <m/>
    <n v="40"/>
    <n v="1752.45"/>
    <n v="70098"/>
    <n v="70098"/>
    <n v="1754.8757000000001"/>
    <n v="2.4257"/>
    <n v="97.029200000000003"/>
    <n v="1.3822807832767512E-3"/>
    <m/>
    <n v="314147"/>
    <m/>
    <n v="6076"/>
    <n v="6579000000"/>
    <n v="70195.029240000003"/>
    <n v="10010"/>
    <n v="-1.3822631426260025E-3"/>
    <n v="70195.028000000006"/>
    <x v="1"/>
    <n v="40"/>
    <x v="33"/>
  </r>
  <r>
    <d v="2026-04-30T00:00:00"/>
    <x v="95"/>
    <s v="STOCK"/>
    <n v="4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147"/>
    <m/>
    <n v="6076"/>
    <n v="6579000000"/>
    <n v="132156"/>
    <n v="10010"/>
    <n v="2.4213838191228334E-3"/>
    <n v="132156"/>
    <x v="1"/>
    <n v="36"/>
    <x v="40"/>
  </r>
  <r>
    <d v="2026-04-30T00:00:00"/>
    <x v="95"/>
    <s v="STOCK"/>
    <n v="4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4147"/>
    <m/>
    <n v="6076"/>
    <n v="6579000000"/>
    <n v="533202.50991891895"/>
    <n v="10010"/>
    <n v="-0.96749640146098337"/>
    <n v="533202.5"/>
    <x v="1"/>
    <n v="5000"/>
    <x v="63"/>
  </r>
  <r>
    <d v="2026-04-30T00:00:00"/>
    <x v="95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147"/>
    <m/>
    <n v="6076"/>
    <n v="6579000000"/>
    <n v="10653.786550000001"/>
    <n v="10010"/>
    <n v="2.1420881674322961E-2"/>
    <n v="10653.786500000002"/>
    <x v="1"/>
    <n v="5"/>
    <x v="27"/>
  </r>
  <r>
    <d v="2026-04-30T00:00:00"/>
    <x v="95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147"/>
    <m/>
    <n v="6076"/>
    <n v="6579000000"/>
    <n v="10545.292710000002"/>
    <n v="10010"/>
    <n v="8.0197633209320524E-2"/>
    <n v="10545.2925"/>
    <x v="1"/>
    <n v="5"/>
    <x v="28"/>
  </r>
  <r>
    <d v="2026-04-30T00:00:00"/>
    <x v="96"/>
    <s v="STOCK"/>
    <n v="4"/>
    <s v="STOCK"/>
    <n v="4212234"/>
    <x v="27"/>
    <s v="UND"/>
    <n v="5"/>
    <m/>
    <n v="5"/>
    <n v="124909"/>
    <n v="624545"/>
    <n v="624545"/>
    <n v="124909"/>
    <n v="0"/>
    <n v="0"/>
    <n v="0"/>
    <m/>
    <n v="314168"/>
    <n v="2287760"/>
    <n v="6076"/>
    <n v="6579000000"/>
    <n v="624545"/>
    <n v="10010"/>
    <n v="0"/>
    <n v="624545"/>
    <x v="1"/>
    <n v="5"/>
    <x v="24"/>
  </r>
  <r>
    <d v="2026-04-30T00:00:00"/>
    <x v="96"/>
    <s v="STOCK"/>
    <n v="4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168"/>
    <m/>
    <n v="6076"/>
    <n v="6579000000"/>
    <n v="71496"/>
    <n v="10010"/>
    <n v="6.1807653575025177E-2"/>
    <n v="71496"/>
    <x v="1"/>
    <n v="24"/>
    <x v="100"/>
  </r>
  <r>
    <d v="2026-04-30T00:00:00"/>
    <x v="96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68"/>
    <m/>
    <n v="6076"/>
    <n v="6579000000"/>
    <n v="88104"/>
    <n v="10010"/>
    <n v="2.4175973849087443E-3"/>
    <n v="88104"/>
    <x v="1"/>
    <n v="24"/>
    <x v="40"/>
  </r>
  <r>
    <d v="2026-04-30T00:00:00"/>
    <x v="96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4168"/>
    <m/>
    <n v="6076"/>
    <n v="6579000000"/>
    <n v="9721.2972000000009"/>
    <n v="10010"/>
    <n v="-3.0860006665908791E-5"/>
    <n v="9721.3200000000015"/>
    <x v="1"/>
    <n v="600"/>
    <x v="4"/>
  </r>
  <r>
    <d v="2026-04-30T00:00:00"/>
    <x v="96"/>
    <s v="STOCK"/>
    <n v="4"/>
    <s v="STOCK"/>
    <n v="412302"/>
    <x v="113"/>
    <s v="UND"/>
    <n v="15"/>
    <m/>
    <n v="15"/>
    <n v="4742.4666999999999"/>
    <n v="71137"/>
    <n v="71137"/>
    <n v="4742.4587000000001"/>
    <n v="-8.0000000000000002E-3"/>
    <n v="-0.12"/>
    <n v="-1.6868184264903889E-6"/>
    <m/>
    <n v="314168"/>
    <m/>
    <n v="6076"/>
    <n v="6579000000"/>
    <n v="71136.880004999999"/>
    <n v="10010"/>
    <n v="1.6868887018058429E-6"/>
    <n v="71136.880499999999"/>
    <x v="1"/>
    <n v="15"/>
    <x v="4"/>
  </r>
  <r>
    <d v="2026-04-30T00:00:00"/>
    <x v="96"/>
    <s v="STOCK"/>
    <n v="4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4168"/>
    <m/>
    <n v="6076"/>
    <n v="6579000000"/>
    <n v="22557.545454999999"/>
    <n v="10010"/>
    <n v="2.014846872412716E-5"/>
    <n v="22557.5455"/>
    <x v="1"/>
    <n v="1"/>
    <x v="4"/>
  </r>
  <r>
    <d v="2026-04-30T00:00:00"/>
    <x v="96"/>
    <s v="STOCK"/>
    <n v="4"/>
    <s v="STOCK"/>
    <n v="302048"/>
    <x v="86"/>
    <s v="PZA"/>
    <n v="108"/>
    <m/>
    <n v="108"/>
    <n v="12921.9167"/>
    <n v="1395567"/>
    <n v="1395567"/>
    <n v="13710.695"/>
    <n v="788.77829999999994"/>
    <n v="85188.055800000002"/>
    <n v="5.7530146836247832E-2"/>
    <m/>
    <n v="314168"/>
    <m/>
    <n v="6076"/>
    <n v="6579000000"/>
    <n v="1480755.0557880001"/>
    <n v="10010"/>
    <n v="-5.7530147085906293E-2"/>
    <n v="1480755.06"/>
    <x v="0"/>
    <n v="108"/>
    <x v="2"/>
  </r>
  <r>
    <d v="2026-04-30T00:00:00"/>
    <x v="96"/>
    <s v="STOCK"/>
    <n v="4"/>
    <s v="STOCK"/>
    <n v="101010"/>
    <x v="259"/>
    <s v="KG"/>
    <n v="322"/>
    <m/>
    <n v="322"/>
    <n v="5828.6553000000004"/>
    <n v="1876827"/>
    <n v="1876827"/>
    <n v="5828.66"/>
    <n v="4.7000000000000002E-3"/>
    <n v="1.52"/>
    <n v="8.098768660638016E-7"/>
    <m/>
    <n v="44204"/>
    <n v="1876827"/>
    <m/>
    <n v="6579000000"/>
    <n v="1876828.52"/>
    <n v="10010"/>
    <n v="-8.0636029541992917E-7"/>
    <n v="1876828.52"/>
    <x v="1"/>
    <n v="322"/>
    <x v="100"/>
  </r>
  <r>
    <d v="2026-05-04T00:00:00"/>
    <x v="97"/>
    <s v="STOCK"/>
    <n v="5"/>
    <s v="STOCK"/>
    <s v="081010x"/>
    <x v="224"/>
    <s v="RLL"/>
    <n v="49"/>
    <m/>
    <n v="49"/>
    <n v="328.26530000000002"/>
    <n v="16085"/>
    <n v="16085"/>
    <m/>
    <m/>
    <n v="-16085"/>
    <m/>
    <m/>
    <n v="314276"/>
    <n v="16085"/>
    <n v="6116"/>
    <n v="6579000000"/>
    <s v=""/>
    <n v="10010"/>
    <e v="#DIV/0!"/>
    <n v="0"/>
    <x v="1"/>
    <n v="49"/>
    <x v="100"/>
  </r>
  <r>
    <d v="2026-05-04T00:00:00"/>
    <x v="97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4262"/>
    <n v="596032"/>
    <n v="6116"/>
    <n v="6579000000"/>
    <n v="3267"/>
    <n v="10010"/>
    <n v="8.8766758494031144E-3"/>
    <n v="3267"/>
    <x v="1"/>
    <n v="3"/>
    <x v="108"/>
  </r>
  <r>
    <d v="2026-05-04T00:00:00"/>
    <x v="97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4262"/>
    <m/>
    <n v="6116"/>
    <n v="6579000000"/>
    <n v="51435"/>
    <n v="10010"/>
    <n v="-5.1054727325750962E-2"/>
    <n v="51435"/>
    <x v="1"/>
    <n v="3"/>
    <x v="110"/>
  </r>
  <r>
    <d v="2026-05-04T00:00:00"/>
    <x v="97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4262"/>
    <m/>
    <n v="6116"/>
    <n v="6579000000"/>
    <n v="69684"/>
    <n v="10010"/>
    <n v="3.8172335112795584E-3"/>
    <n v="69684"/>
    <x v="1"/>
    <n v="3"/>
    <x v="111"/>
  </r>
  <r>
    <d v="2026-05-04T00:00:00"/>
    <x v="97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4262"/>
    <m/>
    <n v="6116"/>
    <n v="6579000000"/>
    <n v="4832.8008300000001"/>
    <n v="10010"/>
    <n v="4.1218334511075141E-5"/>
    <n v="4832.8008"/>
    <x v="1"/>
    <n v="3"/>
    <x v="109"/>
  </r>
  <r>
    <d v="2026-05-04T00:00:00"/>
    <x v="97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4262"/>
    <m/>
    <n v="6116"/>
    <n v="6579000000"/>
    <n v="6879"/>
    <n v="10010"/>
    <n v="-3.1981378107282937E-2"/>
    <n v="6879"/>
    <x v="1"/>
    <n v="3"/>
    <x v="134"/>
  </r>
  <r>
    <d v="2026-05-04T00:00:00"/>
    <x v="97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4262"/>
    <m/>
    <n v="6116"/>
    <n v="6579000000"/>
    <n v="41607"/>
    <n v="10010"/>
    <n v="0"/>
    <n v="41607"/>
    <x v="1"/>
    <n v="3"/>
    <x v="127"/>
  </r>
  <r>
    <d v="2026-05-04T00:00:00"/>
    <x v="97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4262"/>
    <m/>
    <n v="6116"/>
    <n v="6579000000"/>
    <n v="4986"/>
    <n v="10010"/>
    <n v="2.0054151624549239E-4"/>
    <n v="4986"/>
    <x v="1"/>
    <n v="3"/>
    <x v="17"/>
  </r>
  <r>
    <d v="2026-05-04T00:00:00"/>
    <x v="97"/>
    <s v="STOCK"/>
    <n v="5"/>
    <s v="STOCK"/>
    <n v="5316508"/>
    <x v="204"/>
    <s v="UND"/>
    <n v="3"/>
    <m/>
    <n v="3"/>
    <n v="14589.6667"/>
    <n v="43769"/>
    <n v="43769"/>
    <m/>
    <m/>
    <n v="-43769"/>
    <m/>
    <m/>
    <n v="314262"/>
    <m/>
    <n v="6116"/>
    <n v="6579000000"/>
    <s v=""/>
    <n v="10010"/>
    <e v="#DIV/0!"/>
    <n v="0"/>
    <x v="1"/>
    <n v="3"/>
    <x v="100"/>
  </r>
  <r>
    <d v="2026-05-04T00:00:00"/>
    <x v="97"/>
    <s v="STOCK"/>
    <n v="5"/>
    <s v="STOCK"/>
    <n v="5316507"/>
    <x v="28"/>
    <s v="UND"/>
    <n v="3"/>
    <m/>
    <n v="3"/>
    <n v="41419.666700000002"/>
    <n v="124259"/>
    <n v="124259"/>
    <n v="41419.666700000002"/>
    <n v="0"/>
    <n v="0"/>
    <n v="8.0477095303173876E-12"/>
    <m/>
    <n v="314262"/>
    <m/>
    <n v="6116"/>
    <n v="6579000000"/>
    <n v="124259.00000099999"/>
    <n v="10010"/>
    <n v="0"/>
    <n v="124259.0001"/>
    <x v="1"/>
    <n v="3"/>
    <x v="25"/>
  </r>
  <r>
    <d v="2026-05-04T00:00:00"/>
    <x v="97"/>
    <s v="STOCK"/>
    <n v="5"/>
    <s v="STOCK"/>
    <n v="2505426"/>
    <x v="234"/>
    <s v="UND"/>
    <n v="3"/>
    <m/>
    <n v="3"/>
    <n v="1847"/>
    <n v="5541"/>
    <n v="5541"/>
    <n v="1684"/>
    <n v="-163"/>
    <n v="-489"/>
    <n v="-9.6793349168646084E-2"/>
    <m/>
    <n v="314262"/>
    <m/>
    <n v="6116"/>
    <n v="6579000000"/>
    <n v="5052"/>
    <n v="10010"/>
    <n v="9.6793349168646084E-2"/>
    <n v="5052"/>
    <x v="1"/>
    <n v="3"/>
    <x v="100"/>
  </r>
  <r>
    <d v="2026-05-04T00:00:00"/>
    <x v="97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4262"/>
    <m/>
    <n v="6116"/>
    <n v="6579000000"/>
    <n v="6597"/>
    <n v="10010"/>
    <n v="0"/>
    <n v="6597"/>
    <x v="1"/>
    <n v="3"/>
    <x v="4"/>
  </r>
  <r>
    <d v="2026-05-04T00:00:00"/>
    <x v="97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4262"/>
    <m/>
    <n v="6116"/>
    <n v="6579000000"/>
    <n v="27366"/>
    <n v="10010"/>
    <n v="0"/>
    <n v="27366"/>
    <x v="1"/>
    <n v="3"/>
    <x v="132"/>
  </r>
  <r>
    <d v="2026-05-04T00:00:00"/>
    <x v="97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4262"/>
    <m/>
    <n v="6116"/>
    <n v="6579000000"/>
    <n v="3690"/>
    <n v="10010"/>
    <n v="-2.7097560975610435E-4"/>
    <n v="3690"/>
    <x v="1"/>
    <n v="3"/>
    <x v="100"/>
  </r>
  <r>
    <d v="2026-05-04T00:00:00"/>
    <x v="97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4262"/>
    <m/>
    <n v="6116"/>
    <n v="6579000000"/>
    <n v="3237"/>
    <n v="10010"/>
    <n v="0"/>
    <n v="3237"/>
    <x v="1"/>
    <n v="3"/>
    <x v="105"/>
  </r>
  <r>
    <d v="2026-05-04T00:00:00"/>
    <x v="97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4262"/>
    <m/>
    <n v="6116"/>
    <n v="6579000000"/>
    <n v="23127"/>
    <n v="10010"/>
    <n v="-9.5126475548063763E-4"/>
    <n v="23127"/>
    <x v="1"/>
    <n v="3"/>
    <x v="115"/>
  </r>
  <r>
    <d v="2026-05-04T00:00:00"/>
    <x v="97"/>
    <s v="STOCK"/>
    <n v="5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4262"/>
    <m/>
    <n v="6116"/>
    <n v="6579000000"/>
    <n v="35988"/>
    <n v="10010"/>
    <n v="-9.4475658552852914E-4"/>
    <n v="35988"/>
    <x v="1"/>
    <n v="3"/>
    <x v="107"/>
  </r>
  <r>
    <d v="2026-05-04T00:00:00"/>
    <x v="97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4262"/>
    <m/>
    <n v="6116"/>
    <n v="6579000000"/>
    <n v="26236.363638000003"/>
    <n v="10010"/>
    <n v="-2.0405411515142864E-2"/>
    <n v="26236.363799999999"/>
    <x v="1"/>
    <n v="6"/>
    <x v="53"/>
  </r>
  <r>
    <d v="2026-05-04T00:00:00"/>
    <x v="97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4262"/>
    <m/>
    <n v="6116"/>
    <n v="6579000000"/>
    <n v="19425.642857999999"/>
    <n v="10010"/>
    <n v="-7.8280159442447456E-2"/>
    <n v="19425.642599999999"/>
    <x v="1"/>
    <n v="6"/>
    <x v="54"/>
  </r>
  <r>
    <d v="2026-05-04T00:00:00"/>
    <x v="97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4262"/>
    <m/>
    <n v="6116"/>
    <n v="6579000000"/>
    <n v="6129"/>
    <n v="10010"/>
    <n v="0"/>
    <n v="6129"/>
    <x v="1"/>
    <n v="3"/>
    <x v="4"/>
  </r>
  <r>
    <d v="2026-05-04T00:00:00"/>
    <x v="97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4262"/>
    <m/>
    <n v="6116"/>
    <n v="6579000000"/>
    <n v="32223"/>
    <n v="10010"/>
    <n v="-1.0241132110604227E-3"/>
    <n v="32223"/>
    <x v="1"/>
    <n v="3"/>
    <x v="128"/>
  </r>
  <r>
    <d v="2026-05-04T00:00:00"/>
    <x v="97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4262"/>
    <m/>
    <n v="6116"/>
    <n v="6579000000"/>
    <n v="14026.555557"/>
    <n v="10010"/>
    <n v="0.10739946810177302"/>
    <n v="14026.5555"/>
    <x v="1"/>
    <n v="3"/>
    <x v="20"/>
  </r>
  <r>
    <d v="2026-05-04T00:00:00"/>
    <x v="97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4262"/>
    <m/>
    <n v="6116"/>
    <n v="6579000000"/>
    <n v="44916"/>
    <n v="10010"/>
    <n v="0"/>
    <n v="44916"/>
    <x v="1"/>
    <n v="3"/>
    <x v="133"/>
  </r>
  <r>
    <d v="2026-05-04T00:00:00"/>
    <x v="97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299"/>
    <n v="2994427"/>
    <n v="6116"/>
    <n v="6579000000"/>
    <n v="1622474.7756000008"/>
    <n v="10010"/>
    <n v="-3.7891448672276291E-3"/>
    <n v="1622474.784"/>
    <x v="0"/>
    <n v="168"/>
    <x v="0"/>
  </r>
  <r>
    <d v="2026-05-04T00:00:00"/>
    <x v="97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4299"/>
    <m/>
    <n v="6116"/>
    <n v="6579000000"/>
    <n v="1106302.4691599987"/>
    <n v="10010"/>
    <n v="1.413404863746349E-2"/>
    <n v="1106302.4616"/>
    <x v="0"/>
    <n v="168"/>
    <x v="95"/>
  </r>
  <r>
    <d v="2026-05-04T00:00:00"/>
    <x v="97"/>
    <s v="STOCK"/>
    <n v="5"/>
    <s v="STOCK"/>
    <n v="1801230"/>
    <x v="24"/>
    <s v="UND"/>
    <n v="20"/>
    <m/>
    <n v="20"/>
    <n v="3982.05"/>
    <n v="79641"/>
    <n v="79641"/>
    <n v="9309.8462"/>
    <n v="5327.7961999999998"/>
    <n v="106555.9231"/>
    <n v="0.572275423875925"/>
    <m/>
    <n v="314299"/>
    <m/>
    <n v="6116"/>
    <n v="6579000000"/>
    <n v="186196.92308000001"/>
    <n v="10010"/>
    <n v="-0.57227542598931436"/>
    <n v="186196.924"/>
    <x v="1"/>
    <n v="20"/>
    <x v="21"/>
  </r>
  <r>
    <d v="2026-05-04T00:00:00"/>
    <x v="97"/>
    <s v="STOCK"/>
    <n v="5"/>
    <s v="STOCK"/>
    <n v="404745"/>
    <x v="184"/>
    <s v="UND"/>
    <n v="20"/>
    <m/>
    <n v="20"/>
    <n v="8826"/>
    <n v="176520"/>
    <n v="176520"/>
    <m/>
    <m/>
    <n v="-176520"/>
    <m/>
    <m/>
    <n v="314299"/>
    <m/>
    <n v="6116"/>
    <n v="6579000000"/>
    <s v=""/>
    <n v="10010"/>
    <e v="#DIV/0!"/>
    <n v="0"/>
    <x v="1"/>
    <n v="20"/>
    <x v="100"/>
  </r>
  <r>
    <d v="2026-05-04T00:00:00"/>
    <x v="97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364"/>
    <n v="1860603"/>
    <n v="6116"/>
    <n v="6579000000"/>
    <n v="5748"/>
    <n v="10010"/>
    <n v="8.176774530271394E-3"/>
    <n v="5748"/>
    <x v="1"/>
    <n v="3"/>
    <x v="129"/>
  </r>
  <r>
    <d v="2026-05-04T00:00:00"/>
    <x v="97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364"/>
    <m/>
    <n v="6116"/>
    <n v="6579000000"/>
    <n v="8720.0132880000001"/>
    <n v="10010"/>
    <n v="-1.5137591589929127E-6"/>
    <n v="8720.0133000000005"/>
    <x v="1"/>
    <n v="3"/>
    <x v="4"/>
  </r>
  <r>
    <d v="2026-05-04T00:00:00"/>
    <x v="97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364"/>
    <m/>
    <n v="6116"/>
    <n v="6579000000"/>
    <n v="1006.469148"/>
    <n v="10010"/>
    <n v="-4.6618406878545695E-4"/>
    <n v="1006.4694"/>
    <x v="1"/>
    <n v="6"/>
    <x v="4"/>
  </r>
  <r>
    <d v="2026-05-04T00:00:00"/>
    <x v="97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364"/>
    <m/>
    <n v="6116"/>
    <n v="6579000000"/>
    <n v="9105"/>
    <n v="10010"/>
    <n v="-8.7864909390452024E-4"/>
    <n v="9105"/>
    <x v="1"/>
    <n v="3"/>
    <x v="130"/>
  </r>
  <r>
    <d v="2026-05-04T00:00:00"/>
    <x v="97"/>
    <s v="STOCK"/>
    <n v="5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364"/>
    <m/>
    <n v="6116"/>
    <n v="6579000000"/>
    <n v="10896"/>
    <n v="10010"/>
    <n v="-0.11104991740088099"/>
    <n v="10896"/>
    <x v="1"/>
    <n v="3"/>
    <x v="131"/>
  </r>
  <r>
    <d v="2026-05-04T00:00:00"/>
    <x v="97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364"/>
    <m/>
    <n v="6116"/>
    <n v="6579000000"/>
    <n v="47350.451612999997"/>
    <n v="10010"/>
    <n v="0.28816089203220857"/>
    <n v="47350.451699999998"/>
    <x v="1"/>
    <n v="3"/>
    <x v="4"/>
  </r>
  <r>
    <d v="2026-05-04T00:00:00"/>
    <x v="97"/>
    <s v="STOCK"/>
    <n v="5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4364"/>
    <m/>
    <n v="6116"/>
    <n v="6579000000"/>
    <n v="1529748.5150160005"/>
    <n v="10010"/>
    <n v="1.7173072099116601E-2"/>
    <n v="1529748.5183999999"/>
    <x v="0"/>
    <n v="72"/>
    <x v="10"/>
  </r>
  <r>
    <d v="2026-05-04T00:00:00"/>
    <x v="97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364"/>
    <m/>
    <n v="6116"/>
    <n v="6579000000"/>
    <n v="3778.52441"/>
    <n v="10010"/>
    <n v="-4.4335957064721834E-2"/>
    <n v="3778.5244999999995"/>
    <x v="1"/>
    <n v="5"/>
    <x v="4"/>
  </r>
  <r>
    <d v="2026-05-04T00:00:00"/>
    <x v="97"/>
    <s v="STOCK"/>
    <n v="5"/>
    <s v="STOCK"/>
    <n v="617019"/>
    <x v="243"/>
    <s v="UND"/>
    <n v="5"/>
    <m/>
    <n v="5"/>
    <n v="93"/>
    <n v="465"/>
    <n v="465"/>
    <m/>
    <m/>
    <n v="-465"/>
    <m/>
    <m/>
    <n v="314364"/>
    <m/>
    <n v="6116"/>
    <n v="6579000000"/>
    <s v=""/>
    <n v="10010"/>
    <e v="#DIV/0!"/>
    <n v="0"/>
    <x v="1"/>
    <n v="5"/>
    <x v="100"/>
  </r>
  <r>
    <d v="2026-05-04T00:00:00"/>
    <x v="97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364"/>
    <m/>
    <n v="6116"/>
    <n v="6579000000"/>
    <n v="63820"/>
    <n v="10010"/>
    <n v="-7.8345346286430584E-5"/>
    <n v="63820"/>
    <x v="1"/>
    <n v="20"/>
    <x v="120"/>
  </r>
  <r>
    <d v="2026-05-04T00:00:00"/>
    <x v="97"/>
    <s v="STOCK"/>
    <n v="5"/>
    <s v="STOCK"/>
    <n v="1103074"/>
    <x v="192"/>
    <s v="UND"/>
    <n v="4"/>
    <m/>
    <n v="4"/>
    <n v="2427"/>
    <n v="9708"/>
    <n v="9708"/>
    <n v="2427"/>
    <n v="0"/>
    <n v="0"/>
    <n v="0"/>
    <m/>
    <n v="314364"/>
    <m/>
    <n v="6116"/>
    <n v="6579000000"/>
    <n v="9708"/>
    <n v="10010"/>
    <n v="0"/>
    <n v="9708"/>
    <x v="1"/>
    <n v="4"/>
    <x v="119"/>
  </r>
  <r>
    <d v="2026-05-04T00:00:00"/>
    <x v="97"/>
    <s v="STOCK"/>
    <n v="5"/>
    <s v="STOCK"/>
    <n v="609008"/>
    <x v="30"/>
    <s v="LTS"/>
    <n v="4"/>
    <m/>
    <n v="4"/>
    <n v="2176.25"/>
    <n v="8705"/>
    <n v="8705"/>
    <n v="2130.7573000000002"/>
    <n v="-45.492699999999999"/>
    <n v="-181.9708"/>
    <n v="-2.1350479374866036E-2"/>
    <m/>
    <n v="314364"/>
    <m/>
    <n v="6116"/>
    <n v="6579000000"/>
    <n v="8523.0292399999998"/>
    <n v="10010"/>
    <n v="2.1350484168234356E-2"/>
    <n v="8523.0292000000009"/>
    <x v="1"/>
    <n v="4"/>
    <x v="27"/>
  </r>
  <r>
    <d v="2026-05-04T00:00:00"/>
    <x v="97"/>
    <s v="STOCK"/>
    <n v="5"/>
    <s v="STOCK"/>
    <n v="601047"/>
    <x v="89"/>
    <s v="TIN"/>
    <n v="2"/>
    <m/>
    <n v="2"/>
    <n v="49501.5"/>
    <n v="99003"/>
    <n v="99003"/>
    <n v="50286.86"/>
    <n v="785.36"/>
    <n v="1570.72"/>
    <n v="1.5617598712665706E-2"/>
    <m/>
    <n v="314364"/>
    <m/>
    <n v="6116"/>
    <n v="6579000000"/>
    <n v="100573.72"/>
    <n v="10010"/>
    <n v="-1.5617598712665706E-2"/>
    <n v="100573.72"/>
    <x v="1"/>
    <n v="2"/>
    <x v="77"/>
  </r>
  <r>
    <d v="2026-05-04T00:00:00"/>
    <x v="97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364"/>
    <m/>
    <n v="6116"/>
    <n v="6579000000"/>
    <n v="17145.079643999998"/>
    <n v="10010"/>
    <n v="2.3283881128392811E-3"/>
    <n v="17145.0798"/>
    <x v="1"/>
    <n v="6"/>
    <x v="81"/>
  </r>
  <r>
    <d v="2026-05-04T00:00:00"/>
    <x v="97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364"/>
    <m/>
    <n v="6116"/>
    <n v="6579000000"/>
    <n v="8168.4788239999998"/>
    <n v="10010"/>
    <n v="-0.16838861110834979"/>
    <n v="8168.4787999999999"/>
    <x v="1"/>
    <n v="4"/>
    <x v="82"/>
  </r>
  <r>
    <d v="2026-05-05T00:00:00"/>
    <x v="98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4498"/>
    <n v="5432201"/>
    <n v="6116"/>
    <n v="6579000000"/>
    <n v="466856.99999999994"/>
    <n v="10010"/>
    <n v="1.6493358780096941E-4"/>
    <n v="466857"/>
    <x v="0"/>
    <n v="9"/>
    <x v="57"/>
  </r>
  <r>
    <d v="2026-05-05T00:00:00"/>
    <x v="98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4498"/>
    <m/>
    <n v="6116"/>
    <n v="6579000000"/>
    <n v="476280"/>
    <n v="10010"/>
    <n v="-1.9729990551776301E-2"/>
    <n v="476280"/>
    <x v="1"/>
    <n v="9"/>
    <x v="100"/>
  </r>
  <r>
    <d v="2026-05-05T00:00:00"/>
    <x v="98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498"/>
    <m/>
    <n v="6116"/>
    <n v="6579000000"/>
    <n v="10545.292710000002"/>
    <n v="10010"/>
    <n v="8.0197633209320524E-2"/>
    <n v="10545.2925"/>
    <x v="1"/>
    <n v="5"/>
    <x v="28"/>
  </r>
  <r>
    <d v="2026-05-05T00:00:00"/>
    <x v="98"/>
    <s v="STOCK"/>
    <n v="5"/>
    <s v="STOCK"/>
    <n v="2508988"/>
    <x v="202"/>
    <s v="KIT"/>
    <n v="5"/>
    <m/>
    <n v="5"/>
    <n v="142675.6"/>
    <n v="713378"/>
    <n v="713378"/>
    <m/>
    <m/>
    <n v="-713378"/>
    <m/>
    <m/>
    <n v="314498"/>
    <m/>
    <n v="6116"/>
    <n v="6579000000"/>
    <s v=""/>
    <n v="10010"/>
    <e v="#DIV/0!"/>
    <n v="0"/>
    <x v="1"/>
    <n v="5"/>
    <x v="100"/>
  </r>
  <r>
    <d v="2026-05-05T00:00:00"/>
    <x v="98"/>
    <s v="STOCK"/>
    <n v="5"/>
    <s v="STOCK"/>
    <n v="2508987"/>
    <x v="203"/>
    <s v="UND"/>
    <n v="5"/>
    <m/>
    <n v="5"/>
    <n v="142531.4"/>
    <n v="712657"/>
    <n v="712657"/>
    <n v="145847"/>
    <n v="3315.6"/>
    <n v="16578"/>
    <n v="2.2733412411636893E-2"/>
    <m/>
    <n v="314498"/>
    <m/>
    <n v="6116"/>
    <n v="6579000000"/>
    <n v="729235"/>
    <n v="10010"/>
    <n v="-2.2733412411636893E-2"/>
    <n v="729235"/>
    <x v="1"/>
    <n v="5"/>
    <x v="126"/>
  </r>
  <r>
    <d v="2026-05-05T00:00:00"/>
    <x v="98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4498"/>
    <m/>
    <n v="6116"/>
    <n v="6579000000"/>
    <n v="1507039.7545999996"/>
    <n v="10010"/>
    <n v="3.2065842881489145E-4"/>
    <n v="1507039.7549999999"/>
    <x v="1"/>
    <n v="10"/>
    <x v="4"/>
  </r>
  <r>
    <d v="2026-05-05T00:00:00"/>
    <x v="98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4498"/>
    <m/>
    <n v="6116"/>
    <n v="6579000000"/>
    <n v="1562691.6666700002"/>
    <n v="10010"/>
    <n v="-0.26495224601463241"/>
    <n v="1562691.6669999999"/>
    <x v="1"/>
    <n v="10"/>
    <x v="100"/>
  </r>
  <r>
    <d v="2026-05-05T00:00:00"/>
    <x v="98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4498"/>
    <m/>
    <n v="6116"/>
    <n v="6579000000"/>
    <n v="176208"/>
    <n v="10010"/>
    <n v="2.4175973849087443E-3"/>
    <n v="176208"/>
    <x v="1"/>
    <n v="48"/>
    <x v="40"/>
  </r>
  <r>
    <d v="2026-05-05T00:00:00"/>
    <x v="98"/>
    <s v="STOCK"/>
    <n v="5"/>
    <s v="STOCK"/>
    <n v="1405039"/>
    <x v="180"/>
    <s v="UND"/>
    <n v="10"/>
    <m/>
    <n v="10"/>
    <n v="7660.1"/>
    <n v="76601"/>
    <n v="76601"/>
    <n v="7596"/>
    <n v="-64.099999999999994"/>
    <n v="-641"/>
    <n v="-8.4386519220642914E-3"/>
    <m/>
    <n v="314498"/>
    <m/>
    <n v="6116"/>
    <n v="6579000000"/>
    <n v="75960"/>
    <n v="10010"/>
    <n v="8.4386519220642914E-3"/>
    <n v="75960"/>
    <x v="1"/>
    <n v="10"/>
    <x v="114"/>
  </r>
  <r>
    <d v="2026-05-05T00:00:00"/>
    <x v="98"/>
    <s v="STOCK"/>
    <n v="5"/>
    <s v="STOCK"/>
    <n v="1405040"/>
    <x v="179"/>
    <s v="UND"/>
    <n v="20"/>
    <m/>
    <n v="20"/>
    <n v="7577.35"/>
    <n v="151547"/>
    <n v="151547"/>
    <n v="7568"/>
    <n v="-9.35"/>
    <n v="-187"/>
    <n v="-1.2354651162791181E-3"/>
    <m/>
    <n v="314498"/>
    <m/>
    <n v="6116"/>
    <n v="6579000000"/>
    <n v="151360"/>
    <n v="10010"/>
    <n v="1.2354651162791179E-3"/>
    <n v="151360"/>
    <x v="1"/>
    <n v="20"/>
    <x v="113"/>
  </r>
  <r>
    <d v="2026-05-05T00:00:00"/>
    <x v="98"/>
    <s v="STOCK"/>
    <n v="5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4475"/>
    <n v="10485464"/>
    <n v="6116"/>
    <n v="6579000000"/>
    <n v="56700"/>
    <n v="10010"/>
    <n v="-3.354497354497351E-2"/>
    <n v="56700"/>
    <x v="1"/>
    <n v="100"/>
    <x v="4"/>
  </r>
  <r>
    <d v="2026-05-05T00:00:00"/>
    <x v="98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475"/>
    <m/>
    <n v="6116"/>
    <n v="6579000000"/>
    <n v="1947659.9999999993"/>
    <n v="10010"/>
    <n v="-5.1855560005389863E-5"/>
    <n v="1947660"/>
    <x v="0"/>
    <n v="130"/>
    <x v="99"/>
  </r>
  <r>
    <d v="2026-05-05T00:00:00"/>
    <x v="98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4475"/>
    <m/>
    <n v="6116"/>
    <n v="6579000000"/>
    <n v="1182938.1000000001"/>
    <n v="10010"/>
    <n v="0"/>
    <n v="1182938"/>
    <x v="0"/>
    <n v="2500"/>
    <x v="8"/>
  </r>
  <r>
    <d v="2026-05-05T00:00:00"/>
    <x v="98"/>
    <s v="STOCK"/>
    <n v="5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4475"/>
    <m/>
    <n v="6116"/>
    <n v="6579000000"/>
    <n v="335149.81132199999"/>
    <n v="10010"/>
    <n v="0.10268001720259956"/>
    <n v="335149.81140000001"/>
    <x v="1"/>
    <n v="6"/>
    <x v="4"/>
  </r>
  <r>
    <d v="2026-05-05T00:00:00"/>
    <x v="98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4475"/>
    <m/>
    <n v="6116"/>
    <n v="6579000000"/>
    <n v="426784.74735800002"/>
    <n v="10010"/>
    <n v="-6.5278244116161135E-2"/>
    <n v="426784.75159999996"/>
    <x v="1"/>
    <n v="202"/>
    <x v="101"/>
  </r>
  <r>
    <d v="2026-05-05T00:00:00"/>
    <x v="98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475"/>
    <m/>
    <n v="6116"/>
    <n v="6579000000"/>
    <n v="449102.031961"/>
    <n v="10010"/>
    <n v="-2.6920452086937413E-2"/>
    <n v="449102.027"/>
    <x v="0"/>
    <n v="121"/>
    <x v="96"/>
  </r>
  <r>
    <d v="2026-05-05T00:00:00"/>
    <x v="98"/>
    <s v="STOCK"/>
    <n v="5"/>
    <s v="STOCK"/>
    <n v="1901038"/>
    <x v="14"/>
    <s v="M2"/>
    <n v="75"/>
    <m/>
    <n v="75"/>
    <n v="4311.4666999999999"/>
    <n v="323360"/>
    <n v="323360"/>
    <n v="4197.4179000000004"/>
    <n v="-114.0488"/>
    <n v="-8553.6594000000005"/>
    <n v="-2.717117882066131E-2"/>
    <m/>
    <n v="314475"/>
    <m/>
    <n v="6116"/>
    <n v="6579000000"/>
    <n v="314806.34062500007"/>
    <n v="10010"/>
    <n v="2.7171180644176403E-2"/>
    <n v="314806.34250000003"/>
    <x v="0"/>
    <n v="75"/>
    <x v="12"/>
  </r>
  <r>
    <d v="2026-05-05T00:00:00"/>
    <x v="98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475"/>
    <m/>
    <n v="6116"/>
    <n v="6579000000"/>
    <n v="285227.43016500003"/>
    <n v="10010"/>
    <n v="-3.9005473221785054E-2"/>
    <n v="285227.43299999996"/>
    <x v="0"/>
    <n v="135"/>
    <x v="6"/>
  </r>
  <r>
    <d v="2026-05-05T00:00:00"/>
    <x v="98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4475"/>
    <m/>
    <n v="6116"/>
    <n v="6579000000"/>
    <n v="297790"/>
    <n v="10010"/>
    <n v="0.31116894455824584"/>
    <n v="297790"/>
    <x v="0"/>
    <n v="10"/>
    <x v="4"/>
  </r>
  <r>
    <d v="2026-05-05T00:00:00"/>
    <x v="98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475"/>
    <m/>
    <n v="6116"/>
    <n v="6579000000"/>
    <n v="3412617.0849120007"/>
    <n v="10010"/>
    <n v="-3.3789560550217482E-3"/>
    <n v="3412617.0959999999"/>
    <x v="0"/>
    <n v="336"/>
    <x v="46"/>
  </r>
  <r>
    <d v="2026-05-05T00:00:00"/>
    <x v="98"/>
    <s v="STOCK"/>
    <n v="5"/>
    <s v="STOCK"/>
    <n v="302010"/>
    <x v="136"/>
    <s v="PZA"/>
    <n v="84"/>
    <m/>
    <n v="84"/>
    <n v="6678.2142999999996"/>
    <n v="560970"/>
    <n v="560970"/>
    <n v="6585.1337000000003"/>
    <n v="-93.080500000000001"/>
    <n v="-7818.7654000000002"/>
    <n v="-1.4134950681141182E-2"/>
    <m/>
    <n v="314475"/>
    <m/>
    <n v="6116"/>
    <n v="6579000000"/>
    <n v="553151.23457999935"/>
    <n v="10010"/>
    <n v="1.4134959780695009E-2"/>
    <n v="553151.23080000002"/>
    <x v="0"/>
    <n v="84"/>
    <x v="95"/>
  </r>
  <r>
    <d v="2026-05-05T00:00:00"/>
    <x v="98"/>
    <s v="STOCK"/>
    <n v="5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4475"/>
    <m/>
    <n v="6116"/>
    <n v="6579000000"/>
    <n v="1121391.9979500002"/>
    <n v="10010"/>
    <n v="2.0783100843222619E-2"/>
    <n v="1121391.9990000001"/>
    <x v="0"/>
    <n v="70"/>
    <x v="94"/>
  </r>
  <r>
    <d v="2026-05-06T00:00:00"/>
    <x v="99"/>
    <s v="STOCK"/>
    <n v="5"/>
    <s v="STOCK"/>
    <n v="1805340"/>
    <x v="188"/>
    <s v="UND"/>
    <n v="20"/>
    <m/>
    <n v="20"/>
    <n v="19400"/>
    <n v="388000"/>
    <n v="388000"/>
    <n v="19400"/>
    <n v="0"/>
    <n v="0"/>
    <n v="0"/>
    <m/>
    <n v="314535"/>
    <n v="388000"/>
    <n v="6116"/>
    <n v="6579000000"/>
    <n v="388000"/>
    <n v="10010"/>
    <n v="0"/>
    <n v="388000"/>
    <x v="1"/>
    <n v="20"/>
    <x v="117"/>
  </r>
  <r>
    <d v="2026-05-06T00:00:00"/>
    <x v="99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598"/>
    <n v="323466"/>
    <n v="6116"/>
    <n v="6579000000"/>
    <n v="88104"/>
    <n v="10010"/>
    <n v="2.4175973849087443E-3"/>
    <n v="88104"/>
    <x v="1"/>
    <n v="24"/>
    <x v="40"/>
  </r>
  <r>
    <d v="2026-05-06T00:00:00"/>
    <x v="99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4598"/>
    <m/>
    <n v="6116"/>
    <n v="6579000000"/>
    <n v="214441.72881599999"/>
    <n v="10010"/>
    <n v="-7.444786637170997E-2"/>
    <n v="214441.7292"/>
    <x v="1"/>
    <n v="12"/>
    <x v="87"/>
  </r>
  <r>
    <d v="2026-05-06T00:00:00"/>
    <x v="99"/>
    <s v="STOCK"/>
    <n v="5"/>
    <s v="STOCK"/>
    <n v="412132"/>
    <x v="239"/>
    <s v="UND"/>
    <n v="4"/>
    <m/>
    <n v="4"/>
    <n v="1037.5"/>
    <n v="4150"/>
    <n v="4150"/>
    <m/>
    <m/>
    <n v="-4150"/>
    <m/>
    <m/>
    <n v="314598"/>
    <m/>
    <n v="6116"/>
    <n v="6579000000"/>
    <s v=""/>
    <n v="10010"/>
    <e v="#DIV/0!"/>
    <n v="0"/>
    <x v="1"/>
    <n v="4"/>
    <x v="100"/>
  </r>
  <r>
    <d v="2026-05-06T00:00:00"/>
    <x v="99"/>
    <s v="STOCK"/>
    <n v="5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598"/>
    <m/>
    <n v="6116"/>
    <n v="6579000000"/>
    <n v="20634.960000000003"/>
    <n v="10010"/>
    <n v="-8.9062704447319896E-2"/>
    <n v="20634.900000000001"/>
    <x v="1"/>
    <n v="3000"/>
    <x v="4"/>
  </r>
  <r>
    <d v="2026-05-06T00:00:00"/>
    <x v="99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598"/>
    <m/>
    <n v="6116"/>
    <n v="6579000000"/>
    <n v="213281.00396756755"/>
    <n v="10010"/>
    <n v="-0.96749827692105728"/>
    <n v="213281"/>
    <x v="1"/>
    <n v="2000"/>
    <x v="63"/>
  </r>
  <r>
    <d v="2026-05-06T00:00:00"/>
    <x v="99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598"/>
    <m/>
    <n v="6116"/>
    <n v="6579000000"/>
    <n v="8168.4788239999998"/>
    <n v="10010"/>
    <n v="-0.16838861110834979"/>
    <n v="8168.4787999999999"/>
    <x v="1"/>
    <n v="4"/>
    <x v="82"/>
  </r>
  <r>
    <d v="2026-05-06T00:00:00"/>
    <x v="99"/>
    <s v="STOCK"/>
    <n v="5"/>
    <s v="STOCK"/>
    <n v="407166"/>
    <x v="260"/>
    <s v="UND"/>
    <n v="150"/>
    <m/>
    <n v="150"/>
    <n v="3.98"/>
    <n v="597"/>
    <n v="597"/>
    <n v="107"/>
    <n v="103.02"/>
    <n v="15453"/>
    <n v="0.96280373831775701"/>
    <m/>
    <n v="314630"/>
    <n v="4104761"/>
    <n v="6116"/>
    <n v="6579000000"/>
    <n v="16050"/>
    <n v="10010"/>
    <n v="-0.96280373831775701"/>
    <n v="16050"/>
    <x v="1"/>
    <n v="150"/>
    <x v="100"/>
  </r>
  <r>
    <d v="2026-05-06T00:00:00"/>
    <x v="99"/>
    <s v="STOCK"/>
    <n v="5"/>
    <s v="STOCK"/>
    <s v="70508x"/>
    <x v="191"/>
    <s v="UND"/>
    <n v="2"/>
    <m/>
    <n v="2"/>
    <n v="31553"/>
    <n v="63106"/>
    <n v="63106"/>
    <m/>
    <m/>
    <n v="-63106"/>
    <m/>
    <m/>
    <n v="314630"/>
    <m/>
    <n v="6116"/>
    <n v="6579000000"/>
    <s v=""/>
    <n v="10010"/>
    <e v="#DIV/0!"/>
    <n v="0"/>
    <x v="1"/>
    <n v="2"/>
    <x v="100"/>
  </r>
  <r>
    <d v="2026-05-06T00:00:00"/>
    <x v="99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4630"/>
    <m/>
    <n v="6116"/>
    <n v="6579000000"/>
    <n v="1229712.6064800003"/>
    <n v="10010"/>
    <n v="-3.5754364068482349E-2"/>
    <n v="1229712.5999999999"/>
    <x v="0"/>
    <n v="240"/>
    <x v="65"/>
  </r>
  <r>
    <d v="2026-05-06T00:00:00"/>
    <x v="99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4630"/>
    <m/>
    <n v="6116"/>
    <n v="6579000000"/>
    <n v="3564912"/>
    <n v="10010"/>
    <n v="-0.19905091895676522"/>
    <n v="3564912"/>
    <x v="0"/>
    <n v="624"/>
    <x v="4"/>
  </r>
  <r>
    <d v="2026-05-06T00:00:00"/>
    <x v="99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637"/>
    <n v="809141"/>
    <n v="6116"/>
    <n v="6579000000"/>
    <n v="823993.41758399969"/>
    <n v="10010"/>
    <n v="-1.8024924606921761E-2"/>
    <n v="823993.41599999997"/>
    <x v="0"/>
    <n v="72"/>
    <x v="43"/>
  </r>
  <r>
    <d v="2026-05-07T00:00:00"/>
    <x v="1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776"/>
    <n v="1421435"/>
    <n v="6116"/>
    <n v="6579000000"/>
    <n v="71496"/>
    <n v="10010"/>
    <n v="6.1807653575025177E-2"/>
    <n v="71496"/>
    <x v="1"/>
    <n v="24"/>
    <x v="100"/>
  </r>
  <r>
    <d v="2026-05-07T00:00:00"/>
    <x v="1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776"/>
    <m/>
    <n v="6116"/>
    <n v="6579000000"/>
    <n v="15565.623143999999"/>
    <n v="10010"/>
    <n v="2.4207189489081083E-5"/>
    <n v="15565.623599999999"/>
    <x v="1"/>
    <n v="12"/>
    <x v="80"/>
  </r>
  <r>
    <d v="2026-05-07T00:00:00"/>
    <x v="100"/>
    <s v="STOCK"/>
    <n v="5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4776"/>
    <m/>
    <n v="6116"/>
    <n v="6579000000"/>
    <n v="9580"/>
    <n v="10010"/>
    <n v="8.1419624217118521E-3"/>
    <n v="9580"/>
    <x v="1"/>
    <n v="5"/>
    <x v="129"/>
  </r>
  <r>
    <d v="2026-05-07T00:00:00"/>
    <x v="100"/>
    <s v="STOCK"/>
    <n v="5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4776"/>
    <m/>
    <n v="6116"/>
    <n v="6579000000"/>
    <n v="14533.35548"/>
    <n v="10010"/>
    <n v="-2.4460971865759066E-5"/>
    <n v="14533.3555"/>
    <x v="1"/>
    <n v="5"/>
    <x v="4"/>
  </r>
  <r>
    <d v="2026-05-07T00:00:00"/>
    <x v="100"/>
    <s v="STOCK"/>
    <n v="5"/>
    <s v="STOCK"/>
    <n v="1808003"/>
    <x v="130"/>
    <s v="UND"/>
    <n v="10"/>
    <m/>
    <n v="10"/>
    <n v="167.7"/>
    <n v="1677"/>
    <n v="1677"/>
    <n v="167.7449"/>
    <n v="4.4900000000000002E-2"/>
    <n v="0.4486"/>
    <n v="2.6741803316578181E-4"/>
    <m/>
    <n v="314776"/>
    <m/>
    <n v="6116"/>
    <n v="6579000000"/>
    <n v="1677.4485800000002"/>
    <n v="10010"/>
    <n v="-2.6766834639987622E-4"/>
    <n v="1677.4490000000001"/>
    <x v="1"/>
    <n v="10"/>
    <x v="4"/>
  </r>
  <r>
    <d v="2026-05-07T00:00:00"/>
    <x v="100"/>
    <s v="STOCK"/>
    <n v="5"/>
    <s v="STOCK"/>
    <n v="1802172"/>
    <x v="209"/>
    <s v="UND"/>
    <n v="5"/>
    <m/>
    <n v="5"/>
    <n v="3032.4"/>
    <n v="15162"/>
    <n v="15162"/>
    <n v="3035"/>
    <n v="2.6"/>
    <n v="13"/>
    <n v="8.5667215815483E-4"/>
    <m/>
    <n v="314776"/>
    <m/>
    <n v="6116"/>
    <n v="6579000000"/>
    <n v="15175"/>
    <n v="10010"/>
    <n v="-8.5667215815483E-4"/>
    <n v="15175"/>
    <x v="1"/>
    <n v="5"/>
    <x v="130"/>
  </r>
  <r>
    <d v="2026-05-07T00:00:00"/>
    <x v="100"/>
    <s v="STOCK"/>
    <n v="5"/>
    <s v="STOCK"/>
    <n v="1802171"/>
    <x v="210"/>
    <s v="UND"/>
    <n v="5"/>
    <m/>
    <n v="5"/>
    <n v="3228.6"/>
    <n v="16143"/>
    <n v="16143"/>
    <n v="3632"/>
    <n v="403.4"/>
    <n v="2017"/>
    <n v="0.11106828193832602"/>
    <m/>
    <n v="314776"/>
    <m/>
    <n v="6116"/>
    <n v="6579000000"/>
    <n v="18160"/>
    <n v="10010"/>
    <n v="-0.11106828193832602"/>
    <n v="18160"/>
    <x v="1"/>
    <n v="5"/>
    <x v="131"/>
  </r>
  <r>
    <d v="2026-05-07T00:00:00"/>
    <x v="100"/>
    <s v="STOCK"/>
    <n v="5"/>
    <s v="STOCK"/>
    <n v="1206002"/>
    <x v="127"/>
    <s v="UND"/>
    <n v="5"/>
    <m/>
    <n v="5"/>
    <n v="20331.8"/>
    <n v="101659"/>
    <n v="101659"/>
    <n v="15783.483899999999"/>
    <n v="-4548.3161"/>
    <n v="-22741.580600000001"/>
    <n v="-0.28816933993621724"/>
    <m/>
    <n v="314776"/>
    <m/>
    <n v="6116"/>
    <n v="6579000000"/>
    <n v="78917.419354999991"/>
    <n v="10010"/>
    <n v="0.28816933756938162"/>
    <n v="78917.419499999989"/>
    <x v="1"/>
    <n v="5"/>
    <x v="4"/>
  </r>
  <r>
    <d v="2026-05-07T00:00:00"/>
    <x v="1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776"/>
    <m/>
    <n v="6116"/>
    <n v="6579000000"/>
    <n v="3778.52441"/>
    <n v="10010"/>
    <n v="-4.4335957064721834E-2"/>
    <n v="3778.5244999999995"/>
    <x v="1"/>
    <n v="5"/>
    <x v="4"/>
  </r>
  <r>
    <d v="2026-05-07T00:00:00"/>
    <x v="100"/>
    <s v="STOCK"/>
    <n v="5"/>
    <s v="STOCK"/>
    <n v="2304008"/>
    <x v="223"/>
    <s v="UND"/>
    <n v="24"/>
    <m/>
    <n v="24"/>
    <n v="2397.625"/>
    <n v="57543"/>
    <n v="57543"/>
    <m/>
    <m/>
    <n v="-57543"/>
    <m/>
    <m/>
    <n v="314776"/>
    <m/>
    <n v="6116"/>
    <n v="6579000000"/>
    <s v=""/>
    <n v="10010"/>
    <e v="#DIV/0!"/>
    <n v="0"/>
    <x v="1"/>
    <n v="24"/>
    <x v="100"/>
  </r>
  <r>
    <d v="2026-05-07T00:00:00"/>
    <x v="1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776"/>
    <m/>
    <n v="6116"/>
    <n v="6579000000"/>
    <n v="94452.677199999991"/>
    <n v="10010"/>
    <n v="2.9988563055514597E-4"/>
    <n v="94452.675000000003"/>
    <x v="1"/>
    <n v="50"/>
    <x v="4"/>
  </r>
  <r>
    <d v="2026-05-07T00:00:00"/>
    <x v="100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776"/>
    <m/>
    <n v="6116"/>
    <n v="6579000000"/>
    <n v="146674.5090299999"/>
    <n v="10010"/>
    <n v="-0.14305490046746852"/>
    <n v="146674.50700000001"/>
    <x v="0"/>
    <n v="70"/>
    <x v="121"/>
  </r>
  <r>
    <d v="2026-05-07T00:00:00"/>
    <x v="1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776"/>
    <m/>
    <n v="6116"/>
    <n v="6579000000"/>
    <n v="8168.4788239999998"/>
    <n v="10010"/>
    <n v="-0.16838861110834979"/>
    <n v="8168.4787999999999"/>
    <x v="1"/>
    <n v="4"/>
    <x v="82"/>
  </r>
  <r>
    <d v="2026-05-07T00:00:00"/>
    <x v="100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4776"/>
    <m/>
    <n v="6116"/>
    <n v="6579000000"/>
    <n v="11430.053096"/>
    <n v="10010"/>
    <n v="2.3575393332377239E-3"/>
    <n v="11430.0532"/>
    <x v="1"/>
    <n v="4"/>
    <x v="81"/>
  </r>
  <r>
    <d v="2026-05-07T00:00:00"/>
    <x v="1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4776"/>
    <m/>
    <n v="6116"/>
    <n v="6579000000"/>
    <n v="1866.9503550000009"/>
    <n v="10010"/>
    <n v="2.6567390328128124E-5"/>
    <n v="1866.9503999999999"/>
    <x v="1"/>
    <n v="1"/>
    <x v="4"/>
  </r>
  <r>
    <d v="2026-05-07T00:00:00"/>
    <x v="1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4776"/>
    <m/>
    <n v="6116"/>
    <n v="6579000000"/>
    <n v="475295.51668"/>
    <n v="10010"/>
    <n v="9.3378713886288892E-2"/>
    <n v="475295.516"/>
    <x v="0"/>
    <n v="40"/>
    <x v="92"/>
  </r>
  <r>
    <d v="2026-05-07T00:00:00"/>
    <x v="1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776"/>
    <m/>
    <n v="6116"/>
    <n v="6579000000"/>
    <n v="350000.00000000029"/>
    <n v="10010"/>
    <n v="0"/>
    <n v="350000"/>
    <x v="1"/>
    <n v="10"/>
    <x v="89"/>
  </r>
  <r>
    <d v="2026-05-07T00:00:00"/>
    <x v="100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773"/>
    <n v="19592390"/>
    <n v="6116"/>
    <n v="6579000000"/>
    <n v="823993.41758399969"/>
    <n v="10010"/>
    <n v="-1.8024924606921761E-2"/>
    <n v="823993.41599999997"/>
    <x v="0"/>
    <n v="72"/>
    <x v="43"/>
  </r>
  <r>
    <d v="2026-05-07T00:00:00"/>
    <x v="100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773"/>
    <m/>
    <n v="6116"/>
    <n v="6579000000"/>
    <n v="3412617.0849120007"/>
    <n v="10010"/>
    <n v="-3.3789560550217482E-3"/>
    <n v="3412617.0959999999"/>
    <x v="0"/>
    <n v="336"/>
    <x v="46"/>
  </r>
  <r>
    <d v="2026-05-07T00:00:00"/>
    <x v="100"/>
    <s v="STOCK"/>
    <n v="5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4773"/>
    <m/>
    <n v="6116"/>
    <n v="6579000000"/>
    <n v="82279.617024000006"/>
    <n v="10010"/>
    <n v="8.6842689119469241E-2"/>
    <n v="82279.616999999998"/>
    <x v="1"/>
    <n v="6"/>
    <x v="4"/>
  </r>
  <r>
    <d v="2026-05-07T00:00:00"/>
    <x v="100"/>
    <s v="STOCK"/>
    <n v="5"/>
    <s v="STOCK"/>
    <s v="040748x"/>
    <x v="117"/>
    <s v="CJA"/>
    <n v="2"/>
    <m/>
    <n v="2"/>
    <n v="61594"/>
    <n v="123188"/>
    <n v="123188"/>
    <n v="55858.301899999999"/>
    <n v="-5735.6980999999996"/>
    <n v="-11471.396199999999"/>
    <n v="-0.10268300179628062"/>
    <m/>
    <n v="314773"/>
    <m/>
    <n v="6116"/>
    <n v="6579000000"/>
    <n v="111716.603774"/>
    <n v="10010"/>
    <n v="0.10268300153965119"/>
    <n v="111716.6038"/>
    <x v="1"/>
    <n v="2"/>
    <x v="4"/>
  </r>
  <r>
    <d v="2026-05-07T00:00:00"/>
    <x v="1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4773"/>
    <m/>
    <n v="6116"/>
    <n v="6579000000"/>
    <n v="106065"/>
    <n v="10010"/>
    <n v="0"/>
    <n v="106065"/>
    <x v="1"/>
    <n v="5"/>
    <x v="5"/>
  </r>
  <r>
    <d v="2026-05-07T00:00:00"/>
    <x v="100"/>
    <s v="STOCK"/>
    <n v="5"/>
    <s v="STOCK"/>
    <n v="412313"/>
    <x v="153"/>
    <s v="CJA"/>
    <n v="4"/>
    <m/>
    <n v="4"/>
    <n v="23724"/>
    <n v="94896"/>
    <n v="94896"/>
    <n v="23724.0674"/>
    <n v="6.7400000000000002E-2"/>
    <n v="0.26950000000000002"/>
    <n v="2.8403645506871342E-6"/>
    <m/>
    <n v="314773"/>
    <m/>
    <n v="6116"/>
    <n v="6579000000"/>
    <n v="94896.269539999994"/>
    <n v="10010"/>
    <n v="-2.8409968182735337E-6"/>
    <n v="94896.2696"/>
    <x v="1"/>
    <n v="4"/>
    <x v="4"/>
  </r>
  <r>
    <d v="2026-05-07T00:00:00"/>
    <x v="100"/>
    <s v="STOCK"/>
    <n v="5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4773"/>
    <m/>
    <n v="6116"/>
    <n v="6579000000"/>
    <n v="709762.85999999987"/>
    <n v="10010"/>
    <n v="2.1133821040261184E-7"/>
    <n v="709762.8"/>
    <x v="0"/>
    <n v="1500"/>
    <x v="8"/>
  </r>
  <r>
    <d v="2026-05-07T00:00:00"/>
    <x v="100"/>
    <s v="STOCK"/>
    <n v="5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4773"/>
    <m/>
    <n v="6116"/>
    <n v="6579000000"/>
    <n v="921582.1671000002"/>
    <n v="10010"/>
    <n v="-1.8229519378380471E-7"/>
    <n v="921582.16799999995"/>
    <x v="0"/>
    <n v="60"/>
    <x v="3"/>
  </r>
  <r>
    <d v="2026-05-07T00:00:00"/>
    <x v="1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773"/>
    <m/>
    <n v="6116"/>
    <n v="6579000000"/>
    <n v="959764.51785405388"/>
    <n v="10010"/>
    <n v="-0.96749640146098337"/>
    <n v="959764.5"/>
    <x v="1"/>
    <n v="9000"/>
    <x v="63"/>
  </r>
  <r>
    <d v="2026-05-07T00:00:00"/>
    <x v="100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4773"/>
    <m/>
    <n v="6116"/>
    <n v="6579000000"/>
    <n v="446685"/>
    <n v="10010"/>
    <n v="0.31116782632056145"/>
    <n v="446685"/>
    <x v="0"/>
    <n v="15"/>
    <x v="4"/>
  </r>
  <r>
    <d v="2026-05-07T00:00:00"/>
    <x v="1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773"/>
    <m/>
    <n v="6116"/>
    <n v="6579000000"/>
    <n v="1947659.9999999993"/>
    <n v="10010"/>
    <n v="-5.1855560005389863E-5"/>
    <n v="1947660"/>
    <x v="0"/>
    <n v="130"/>
    <x v="99"/>
  </r>
  <r>
    <d v="2026-05-07T00:00:00"/>
    <x v="100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4773"/>
    <m/>
    <n v="6116"/>
    <n v="6579000000"/>
    <n v="209999.76960000017"/>
    <n v="10010"/>
    <n v="2.4467885106154486E-2"/>
    <n v="209999.75999999998"/>
    <x v="1"/>
    <n v="300"/>
    <x v="4"/>
  </r>
  <r>
    <d v="2026-05-07T00:00:00"/>
    <x v="1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4773"/>
    <m/>
    <n v="6116"/>
    <n v="6579000000"/>
    <n v="150703.97545999996"/>
    <n v="10010"/>
    <n v="3.186677713090557E-4"/>
    <n v="150703.9755"/>
    <x v="1"/>
    <n v="1"/>
    <x v="4"/>
  </r>
  <r>
    <d v="2026-05-07T00:00:00"/>
    <x v="100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4773"/>
    <m/>
    <n v="6116"/>
    <n v="6579000000"/>
    <n v="85376.31575199998"/>
    <n v="10010"/>
    <n v="-8.7006734213511128E-2"/>
    <n v="85376.324800000002"/>
    <x v="1"/>
    <n v="232"/>
    <x v="68"/>
  </r>
  <r>
    <d v="2026-05-07T00:00:00"/>
    <x v="100"/>
    <s v="STOCK"/>
    <n v="5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4773"/>
    <m/>
    <n v="6116"/>
    <n v="6579000000"/>
    <n v="73879.636363999962"/>
    <n v="10010"/>
    <n v="4.92151853628979E-6"/>
    <n v="73879.636400000003"/>
    <x v="0"/>
    <n v="2"/>
    <x v="45"/>
  </r>
  <r>
    <d v="2026-05-07T00:00:00"/>
    <x v="100"/>
    <s v="STOCK"/>
    <n v="5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4773"/>
    <m/>
    <n v="6116"/>
    <n v="6579000000"/>
    <n v="1771709.0217599999"/>
    <n v="10010"/>
    <n v="2.6765668265851812E-2"/>
    <n v="1771709.024"/>
    <x v="0"/>
    <n v="80"/>
    <x v="93"/>
  </r>
  <r>
    <d v="2026-05-07T00:00:00"/>
    <x v="1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773"/>
    <m/>
    <n v="6116"/>
    <n v="6579000000"/>
    <n v="1622474.7756000008"/>
    <n v="10010"/>
    <n v="-3.7891448672276291E-3"/>
    <n v="1622474.784"/>
    <x v="0"/>
    <n v="168"/>
    <x v="0"/>
  </r>
  <r>
    <d v="2026-05-07T00:00:00"/>
    <x v="100"/>
    <s v="STOCK"/>
    <n v="5"/>
    <s v="STOCK"/>
    <n v="412281"/>
    <x v="167"/>
    <s v="UND"/>
    <n v="10"/>
    <m/>
    <n v="10"/>
    <n v="8951.4"/>
    <n v="89514"/>
    <n v="89514"/>
    <n v="0"/>
    <n v="-8951.4"/>
    <n v="-89514"/>
    <m/>
    <m/>
    <n v="314773"/>
    <m/>
    <n v="6116"/>
    <n v="6579000000"/>
    <n v="0"/>
    <n v="10010"/>
    <e v="#DIV/0!"/>
    <n v="0"/>
    <x v="1"/>
    <n v="10"/>
    <x v="102"/>
  </r>
  <r>
    <d v="2026-05-07T00:00:00"/>
    <x v="100"/>
    <s v="STOCK"/>
    <n v="5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773"/>
    <m/>
    <n v="6116"/>
    <n v="6579000000"/>
    <n v="4000292.0093"/>
    <n v="10010"/>
    <n v="-1.5325383708675866E-2"/>
    <n v="4000292.0100000002"/>
    <x v="0"/>
    <n v="100"/>
    <x v="13"/>
  </r>
  <r>
    <d v="2026-05-07T00:00:00"/>
    <x v="100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4773"/>
    <m/>
    <n v="6116"/>
    <n v="6579000000"/>
    <n v="2961510.1115760002"/>
    <n v="10010"/>
    <n v="-5.7529811581396841E-2"/>
    <n v="2961510.12"/>
    <x v="0"/>
    <n v="216"/>
    <x v="2"/>
  </r>
  <r>
    <d v="2026-05-07T00:00:00"/>
    <x v="100"/>
    <s v="STOCK"/>
    <n v="5"/>
    <s v="STOCK"/>
    <n v="1902014"/>
    <x v="155"/>
    <s v="PL"/>
    <n v="160"/>
    <m/>
    <n v="160"/>
    <n v="29778.875"/>
    <n v="4764620"/>
    <n v="4764620"/>
    <n v="29779"/>
    <n v="0.125"/>
    <n v="20"/>
    <n v="4.1975889050551708E-6"/>
    <m/>
    <n v="314799"/>
    <n v="4764620"/>
    <n v="6116"/>
    <n v="6579000000"/>
    <n v="4764640.0000000009"/>
    <n v="10010"/>
    <n v="-4.1975889049330066E-6"/>
    <n v="4764640"/>
    <x v="0"/>
    <n v="160"/>
    <x v="97"/>
  </r>
  <r>
    <d v="2026-04-09T00:00:00"/>
    <x v="79"/>
    <s v="STOCK"/>
    <n v="4"/>
    <s v="STOCK"/>
    <n v="1207210"/>
    <x v="261"/>
    <s v="M3"/>
    <n v="44"/>
    <m/>
    <n v="44.29"/>
    <n v="57000"/>
    <n v="2524530"/>
    <n v="2524530"/>
    <m/>
    <m/>
    <n v="-2524530"/>
    <m/>
    <m/>
    <n v="31491"/>
    <n v="2524530"/>
    <n v="5861"/>
    <n v="6579000000"/>
    <s v=""/>
    <n v="10010"/>
    <e v="#DIV/0!"/>
    <n v="0"/>
    <x v="1"/>
    <n v="44"/>
    <x v="100"/>
  </r>
  <r>
    <d v="2026-04-27T00:00:00"/>
    <x v="93"/>
    <s v="STOCK"/>
    <n v="4"/>
    <s v="STOCK"/>
    <n v="1207210"/>
    <x v="262"/>
    <s v="M3"/>
    <n v="42"/>
    <m/>
    <n v="41.63"/>
    <n v="60000"/>
    <n v="2497800"/>
    <n v="2497800"/>
    <m/>
    <m/>
    <n v="-2497800"/>
    <m/>
    <m/>
    <n v="881"/>
    <n v="2497800"/>
    <n v="6051"/>
    <n v="6579000000"/>
    <s v=""/>
    <n v="10010"/>
    <e v="#DIV/0!"/>
    <n v="0"/>
    <x v="1"/>
    <n v="42"/>
    <x v="100"/>
  </r>
  <r>
    <d v="2026-05-08T00:00:00"/>
    <x v="101"/>
    <s v="STOCK"/>
    <n v="5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4846"/>
    <n v="69697"/>
    <n v="6116"/>
    <n v="6579000000"/>
    <n v="24170.262952000005"/>
    <n v="10010"/>
    <n v="-1.0889413897703603E-5"/>
    <n v="24170.263200000001"/>
    <x v="1"/>
    <n v="8"/>
    <x v="52"/>
  </r>
  <r>
    <d v="2026-05-08T00:00:00"/>
    <x v="101"/>
    <s v="STOCK"/>
    <n v="5"/>
    <s v="STOCK"/>
    <n v="1802659"/>
    <x v="109"/>
    <s v="UND"/>
    <n v="8"/>
    <m/>
    <n v="8"/>
    <n v="2446.625"/>
    <n v="19573"/>
    <n v="19573"/>
    <n v="2929.4632000000001"/>
    <n v="482.83819999999997"/>
    <n v="3862.7053000000001"/>
    <n v="0.16482137919414655"/>
    <m/>
    <n v="314846"/>
    <m/>
    <n v="6116"/>
    <n v="6579000000"/>
    <n v="23435.705264"/>
    <n v="10010"/>
    <n v="-0.16482139116818403"/>
    <n v="23435.705600000001"/>
    <x v="1"/>
    <n v="8"/>
    <x v="4"/>
  </r>
  <r>
    <d v="2026-05-08T00:00:00"/>
    <x v="101"/>
    <s v="STOCK"/>
    <n v="5"/>
    <s v="STOCK"/>
    <n v="412016"/>
    <x v="238"/>
    <s v="UND"/>
    <n v="4"/>
    <m/>
    <n v="4"/>
    <n v="4210.25"/>
    <n v="16841"/>
    <n v="16841"/>
    <m/>
    <m/>
    <n v="-16841"/>
    <m/>
    <m/>
    <n v="314846"/>
    <m/>
    <n v="6116"/>
    <n v="6579000000"/>
    <s v=""/>
    <n v="10010"/>
    <e v="#DIV/0!"/>
    <n v="0"/>
    <x v="1"/>
    <n v="4"/>
    <x v="100"/>
  </r>
  <r>
    <d v="2026-05-08T00:00:00"/>
    <x v="101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846"/>
    <m/>
    <n v="6116"/>
    <n v="6579000000"/>
    <n v="8436.2341680000009"/>
    <n v="10010"/>
    <n v="8.0221340470167088E-2"/>
    <n v="8436.2340000000004"/>
    <x v="1"/>
    <n v="4"/>
    <x v="28"/>
  </r>
  <r>
    <d v="2026-05-08T00:00:00"/>
    <x v="101"/>
    <s v="STOCK"/>
    <n v="5"/>
    <s v="STOCK"/>
    <n v="1901008"/>
    <x v="6"/>
    <s v="M2"/>
    <n v="270"/>
    <m/>
    <n v="270"/>
    <n v="2030.3851999999999"/>
    <n v="548204"/>
    <n v="548204"/>
    <n v="2112.7957999999999"/>
    <n v="82.410600000000002"/>
    <n v="22250.8603"/>
    <n v="3.9005470681989077E-2"/>
    <m/>
    <n v="314834"/>
    <n v="548204"/>
    <n v="6116"/>
    <n v="6579000000"/>
    <n v="570454.86033000005"/>
    <n v="10010"/>
    <n v="-3.9005473221785054E-2"/>
    <n v="570454.86599999992"/>
    <x v="0"/>
    <n v="270"/>
    <x v="6"/>
  </r>
  <r>
    <d v="2026-05-08T00:00:00"/>
    <x v="101"/>
    <s v="STOCK"/>
    <n v="5"/>
    <s v="STOCK"/>
    <n v="1801230"/>
    <x v="24"/>
    <s v="UND"/>
    <n v="78"/>
    <m/>
    <n v="78"/>
    <n v="3554.4872"/>
    <n v="277250"/>
    <n v="277250"/>
    <n v="9309.8462"/>
    <n v="5755.3590000000004"/>
    <n v="448918"/>
    <n v="0.61820129777762389"/>
    <m/>
    <n v="314800"/>
    <n v="277250"/>
    <n v="6116"/>
    <n v="6579000000"/>
    <n v="726168.00001200021"/>
    <n v="10010"/>
    <n v="-0.61820129746074648"/>
    <n v="726168.00359999994"/>
    <x v="1"/>
    <n v="78"/>
    <x v="21"/>
  </r>
  <r>
    <d v="2026-05-08T00:00:00"/>
    <x v="101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922"/>
    <n v="6976655"/>
    <n v="6116"/>
    <n v="6579000000"/>
    <n v="15565.623143999999"/>
    <n v="10010"/>
    <n v="2.4207189489081083E-5"/>
    <n v="15565.623599999999"/>
    <x v="1"/>
    <n v="12"/>
    <x v="80"/>
  </r>
  <r>
    <d v="2026-05-08T00:00:00"/>
    <x v="101"/>
    <s v="STOCK"/>
    <n v="5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922"/>
    <m/>
    <n v="6116"/>
    <n v="6579000000"/>
    <n v="2242783.9959000004"/>
    <n v="10010"/>
    <n v="2.0782651401813682E-2"/>
    <n v="2242783.9980000001"/>
    <x v="0"/>
    <n v="140"/>
    <x v="94"/>
  </r>
  <r>
    <d v="2026-05-08T00:00:00"/>
    <x v="101"/>
    <s v="STOCK"/>
    <n v="5"/>
    <s v="STOCK"/>
    <n v="701040"/>
    <x v="1"/>
    <s v="PL"/>
    <n v="80"/>
    <m/>
    <n v="80"/>
    <n v="7885.8125"/>
    <n v="630865"/>
    <n v="630865"/>
    <n v="7835.7259999999997"/>
    <n v="-50.086500000000001"/>
    <n v="-4006.9236999999998"/>
    <n v="-6.3920747476414724E-3"/>
    <m/>
    <n v="314922"/>
    <m/>
    <n v="6116"/>
    <n v="6579000000"/>
    <n v="626858.07631999976"/>
    <n v="10010"/>
    <n v="6.392068839568962E-3"/>
    <n v="626858.07999999996"/>
    <x v="1"/>
    <n v="80"/>
    <x v="1"/>
  </r>
  <r>
    <d v="2026-05-08T00:00:00"/>
    <x v="101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922"/>
    <m/>
    <n v="6116"/>
    <n v="6579000000"/>
    <n v="1622474.7756000008"/>
    <n v="10010"/>
    <n v="-3.7891448672276291E-3"/>
    <n v="1622474.784"/>
    <x v="0"/>
    <n v="168"/>
    <x v="0"/>
  </r>
  <r>
    <d v="2026-05-08T00:00:00"/>
    <x v="101"/>
    <s v="STOCK"/>
    <n v="5"/>
    <s v="STOCK"/>
    <n v="304007"/>
    <x v="49"/>
    <s v="PL"/>
    <n v="144"/>
    <m/>
    <n v="144"/>
    <n v="11238.0764"/>
    <n v="1618283"/>
    <n v="1618283"/>
    <n v="11444.352999999999"/>
    <n v="206.2766"/>
    <n v="29703.835200000001"/>
    <n v="1.8024315810126805E-2"/>
    <m/>
    <n v="314922"/>
    <m/>
    <n v="6116"/>
    <n v="6579000000"/>
    <n v="1647986.8351679994"/>
    <n v="10010"/>
    <n v="-1.8024312951549052E-2"/>
    <n v="1647986.8319999999"/>
    <x v="0"/>
    <n v="144"/>
    <x v="43"/>
  </r>
  <r>
    <d v="2026-05-08T00:00:00"/>
    <x v="101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922"/>
    <m/>
    <n v="6116"/>
    <n v="6579000000"/>
    <n v="449102.031961"/>
    <n v="10010"/>
    <n v="-2.6920452086937413E-2"/>
    <n v="449102.027"/>
    <x v="0"/>
    <n v="121"/>
    <x v="96"/>
  </r>
  <r>
    <d v="2026-05-08T00:00:00"/>
    <x v="101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922"/>
    <m/>
    <n v="6116"/>
    <n v="6579000000"/>
    <n v="285227.43016500003"/>
    <n v="10010"/>
    <n v="-3.9005473221785054E-2"/>
    <n v="285227.43299999996"/>
    <x v="0"/>
    <n v="135"/>
    <x v="6"/>
  </r>
  <r>
    <d v="2026-05-08T00:00:00"/>
    <x v="101"/>
    <s v="STOCK"/>
    <n v="5"/>
    <s v="STOCK"/>
    <n v="704079"/>
    <x v="138"/>
    <s v="RLL"/>
    <n v="4"/>
    <m/>
    <n v="4"/>
    <n v="722.25"/>
    <n v="2889"/>
    <n v="2889"/>
    <n v="755.70489999999995"/>
    <n v="33.454900000000002"/>
    <n v="133.81950000000001"/>
    <n v="4.4269770907739085E-2"/>
    <m/>
    <n v="314922"/>
    <m/>
    <n v="6116"/>
    <n v="6579000000"/>
    <n v="3022.819528"/>
    <n v="10010"/>
    <n v="-4.4269793672106601E-2"/>
    <n v="3022.8195999999998"/>
    <x v="1"/>
    <n v="4"/>
    <x v="4"/>
  </r>
  <r>
    <d v="2026-05-08T00:00:00"/>
    <x v="101"/>
    <s v="STOCK"/>
    <n v="5"/>
    <s v="STOCK"/>
    <n v="707023"/>
    <x v="263"/>
    <s v="UND"/>
    <n v="2"/>
    <m/>
    <n v="2"/>
    <n v="16734.5"/>
    <n v="33469"/>
    <n v="33469"/>
    <m/>
    <m/>
    <n v="-33469"/>
    <m/>
    <m/>
    <n v="314922"/>
    <m/>
    <n v="6116"/>
    <n v="6579000000"/>
    <s v=""/>
    <n v="10010"/>
    <e v="#DIV/0!"/>
    <n v="0"/>
    <x v="1"/>
    <n v="2"/>
    <x v="100"/>
  </r>
  <r>
    <d v="2026-05-08T00:00:00"/>
    <x v="101"/>
    <s v="STOCK"/>
    <n v="5"/>
    <s v="STOCK"/>
    <n v="608013"/>
    <x v="186"/>
    <s v="UND"/>
    <n v="2"/>
    <m/>
    <n v="2"/>
    <n v="8471.5"/>
    <n v="16943"/>
    <n v="16943"/>
    <n v="8471"/>
    <n v="-0.5"/>
    <n v="-1"/>
    <n v="-5.9024908511391805E-5"/>
    <m/>
    <n v="314922"/>
    <m/>
    <n v="6116"/>
    <n v="6579000000"/>
    <n v="16942"/>
    <n v="10010"/>
    <n v="5.9024908511391805E-5"/>
    <n v="16942"/>
    <x v="1"/>
    <n v="2"/>
    <x v="116"/>
  </r>
  <r>
    <d v="2026-05-08T00:00:00"/>
    <x v="101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4922"/>
    <m/>
    <n v="6116"/>
    <n v="6579000000"/>
    <n v="20688.000000000004"/>
    <n v="10010"/>
    <n v="0.18551821345707656"/>
    <n v="20688"/>
    <x v="1"/>
    <n v="24"/>
    <x v="4"/>
  </r>
  <r>
    <d v="2026-05-08T00:00:00"/>
    <x v="101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922"/>
    <m/>
    <n v="6116"/>
    <n v="6579000000"/>
    <n v="8436.2341680000009"/>
    <n v="10010"/>
    <n v="8.0221340470167088E-2"/>
    <n v="8436.2340000000004"/>
    <x v="1"/>
    <n v="4"/>
    <x v="28"/>
  </r>
  <r>
    <d v="2026-05-08T00:00:00"/>
    <x v="101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4922"/>
    <m/>
    <n v="6116"/>
    <n v="6579000000"/>
    <n v="8164.9821430000002"/>
    <n v="10010"/>
    <n v="2.1922889457194073E-6"/>
    <n v="8164.9821000000002"/>
    <x v="1"/>
    <n v="1"/>
    <x v="4"/>
  </r>
  <r>
    <d v="2026-05-11T00:00:00"/>
    <x v="102"/>
    <s v="STOCK"/>
    <n v="5"/>
    <s v="STOCK"/>
    <n v="404252"/>
    <x v="118"/>
    <s v="UND"/>
    <n v="40"/>
    <m/>
    <n v="40"/>
    <n v="1110.05"/>
    <n v="44402"/>
    <n v="44402"/>
    <n v="1110.0438999999999"/>
    <n v="-6.1000000000000004E-3"/>
    <n v="-0.245"/>
    <n v="-5.5168990455290766E-6"/>
    <m/>
    <n v="314974"/>
    <n v="704709"/>
    <n v="6161"/>
    <n v="6579000000"/>
    <n v="44401.755039999996"/>
    <n v="10010"/>
    <n v="5.4952781597740329E-6"/>
    <n v="44401.755999999994"/>
    <x v="1"/>
    <n v="40"/>
    <x v="4"/>
  </r>
  <r>
    <d v="2026-05-11T00:00:00"/>
    <x v="102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4974"/>
    <m/>
    <n v="6161"/>
    <n v="6579000000"/>
    <n v="41376.000000000007"/>
    <n v="10010"/>
    <n v="0.18551821345707656"/>
    <n v="41376"/>
    <x v="1"/>
    <n v="48"/>
    <x v="4"/>
  </r>
  <r>
    <d v="2026-05-11T00:00:00"/>
    <x v="102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974"/>
    <m/>
    <n v="6161"/>
    <n v="6579000000"/>
    <n v="132156"/>
    <n v="10010"/>
    <n v="2.4213838191228334E-3"/>
    <n v="132156"/>
    <x v="1"/>
    <n v="36"/>
    <x v="40"/>
  </r>
  <r>
    <d v="2026-05-11T00:00:00"/>
    <x v="102"/>
    <s v="STOCK"/>
    <n v="5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4974"/>
    <m/>
    <n v="6161"/>
    <n v="6579000000"/>
    <n v="34391.599999999999"/>
    <n v="10010"/>
    <n v="-8.9077242923396804E-2"/>
    <n v="34391.5"/>
    <x v="1"/>
    <n v="5000"/>
    <x v="4"/>
  </r>
  <r>
    <d v="2026-05-11T00:00:00"/>
    <x v="102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974"/>
    <m/>
    <n v="6161"/>
    <n v="6579000000"/>
    <n v="146674.5090299999"/>
    <n v="10010"/>
    <n v="-0.14305490046746852"/>
    <n v="146674.50700000001"/>
    <x v="0"/>
    <n v="70"/>
    <x v="121"/>
  </r>
  <r>
    <d v="2026-05-11T00:00:00"/>
    <x v="102"/>
    <s v="STOCK"/>
    <n v="5"/>
    <s v="STOCK"/>
    <n v="307032"/>
    <x v="121"/>
    <s v="TRA"/>
    <n v="50"/>
    <m/>
    <n v="50"/>
    <n v="2280.1"/>
    <n v="114005"/>
    <n v="114005"/>
    <n v="2378.375"/>
    <n v="98.275000000000006"/>
    <n v="4913.7520000000004"/>
    <n v="4.1320245674407875E-2"/>
    <m/>
    <n v="314974"/>
    <m/>
    <n v="6161"/>
    <n v="6579000000"/>
    <n v="118918.75205"/>
    <n v="10010"/>
    <n v="-4.1320229148052806E-2"/>
    <n v="118918.75"/>
    <x v="1"/>
    <n v="50"/>
    <x v="4"/>
  </r>
  <r>
    <d v="2026-05-11T00:00:00"/>
    <x v="102"/>
    <s v="STOCK"/>
    <n v="5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974"/>
    <m/>
    <n v="6161"/>
    <n v="6579000000"/>
    <n v="72600"/>
    <n v="10010"/>
    <n v="-0.12415977961432505"/>
    <n v="72600"/>
    <x v="1"/>
    <n v="200"/>
    <x v="123"/>
  </r>
  <r>
    <d v="2026-05-11T00:00:00"/>
    <x v="102"/>
    <s v="STOCK"/>
    <n v="5"/>
    <s v="STOCK"/>
    <n v="704022"/>
    <x v="198"/>
    <s v="UND"/>
    <n v="181"/>
    <m/>
    <n v="181"/>
    <n v="258.38670000000002"/>
    <n v="46768"/>
    <n v="46768"/>
    <n v="306"/>
    <n v="47.613300000000002"/>
    <n v="8618"/>
    <n v="0.15559888780558287"/>
    <m/>
    <n v="314974"/>
    <m/>
    <n v="6161"/>
    <n v="6579000000"/>
    <n v="55386.000000000007"/>
    <n v="10010"/>
    <n v="-0.15559901960784309"/>
    <n v="55386"/>
    <x v="1"/>
    <n v="181"/>
    <x v="122"/>
  </r>
  <r>
    <d v="2026-05-11T00:00:00"/>
    <x v="102"/>
    <s v="STOCK"/>
    <n v="5"/>
    <s v="STOCK"/>
    <n v="704021"/>
    <x v="189"/>
    <s v="UND"/>
    <n v="200"/>
    <m/>
    <n v="200"/>
    <n v="487"/>
    <n v="97400"/>
    <n v="97400"/>
    <n v="487"/>
    <n v="0"/>
    <n v="0"/>
    <n v="0"/>
    <m/>
    <n v="314974"/>
    <m/>
    <n v="6161"/>
    <n v="6579000000"/>
    <n v="97400"/>
    <n v="10010"/>
    <n v="0"/>
    <n v="97400"/>
    <x v="1"/>
    <n v="200"/>
    <x v="118"/>
  </r>
  <r>
    <d v="2026-05-11T00:00:00"/>
    <x v="102"/>
    <s v="STOCK"/>
    <n v="5"/>
    <s v="STOCK"/>
    <n v="106022"/>
    <x v="157"/>
    <s v="UND"/>
    <n v="5"/>
    <m/>
    <n v="5"/>
    <n v="3800.2"/>
    <n v="19001"/>
    <n v="19001"/>
    <n v="3800.6911"/>
    <n v="0.49109999999999998"/>
    <n v="2.4554999999999998"/>
    <n v="1.2921307920287753E-4"/>
    <m/>
    <n v="314980"/>
    <n v="52829"/>
    <n v="6161"/>
    <n v="6579000000"/>
    <n v="19003.455494999998"/>
    <n v="10010"/>
    <n v="-1.292133422787734E-4"/>
    <n v="19003.4555"/>
    <x v="1"/>
    <n v="5"/>
    <x v="4"/>
  </r>
  <r>
    <d v="2026-05-11T00:00:00"/>
    <x v="102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4980"/>
    <m/>
    <n v="6161"/>
    <n v="6579000000"/>
    <n v="33035.321376"/>
    <n v="10010"/>
    <n v="2.3994899422923075E-2"/>
    <n v="33035.320800000001"/>
    <x v="1"/>
    <n v="24"/>
    <x v="4"/>
  </r>
  <r>
    <d v="2026-05-11T00:00:00"/>
    <x v="102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4982"/>
    <n v="2000708"/>
    <n v="6161"/>
    <n v="6579000000"/>
    <n v="16517.660688"/>
    <n v="10010"/>
    <n v="2.3994899422923075E-2"/>
    <n v="16517.660400000001"/>
    <x v="1"/>
    <n v="12"/>
    <x v="4"/>
  </r>
  <r>
    <d v="2026-05-11T00:00:00"/>
    <x v="102"/>
    <s v="STOCK"/>
    <n v="5"/>
    <s v="STOCK"/>
    <n v="412280"/>
    <x v="15"/>
    <s v="UND"/>
    <n v="44"/>
    <m/>
    <n v="44"/>
    <n v="39389.863599999997"/>
    <n v="1733154"/>
    <n v="1733154"/>
    <n v="40002.920100000003"/>
    <n v="613.05650000000003"/>
    <n v="26974.484100000001"/>
    <n v="1.5325292633915443E-2"/>
    <m/>
    <n v="314982"/>
    <m/>
    <n v="6161"/>
    <n v="6579000000"/>
    <n v="1760128.4840919999"/>
    <n v="10010"/>
    <n v="-1.5325293715245703E-2"/>
    <n v="1760128.4844000002"/>
    <x v="0"/>
    <n v="44"/>
    <x v="13"/>
  </r>
  <r>
    <d v="2026-05-11T00:00:00"/>
    <x v="102"/>
    <s v="STOCK"/>
    <n v="5"/>
    <s v="STOCK"/>
    <n v="412281"/>
    <x v="167"/>
    <s v="UND"/>
    <n v="28"/>
    <m/>
    <n v="28"/>
    <n v="8951.4285999999993"/>
    <n v="250640"/>
    <n v="250640"/>
    <n v="33"/>
    <n v="-8918.4285999999993"/>
    <n v="-249716"/>
    <n v="-270.25541125541122"/>
    <m/>
    <n v="314982"/>
    <m/>
    <n v="6161"/>
    <n v="6579000000"/>
    <n v="924"/>
    <n v="10010"/>
    <n v="270.25541212121209"/>
    <n v="924"/>
    <x v="1"/>
    <n v="28"/>
    <x v="102"/>
  </r>
  <r>
    <d v="2026-05-11T00:00:00"/>
    <x v="102"/>
    <s v="STOCK"/>
    <n v="5"/>
    <s v="STOCK"/>
    <n v="1901038"/>
    <x v="14"/>
    <s v="M2"/>
    <n v="75"/>
    <m/>
    <n v="75"/>
    <n v="4596.6532999999999"/>
    <n v="344749"/>
    <n v="344749"/>
    <n v="4197.4179000000004"/>
    <n v="-399.2355"/>
    <n v="-29942.6594"/>
    <n v="-9.5114537132744384E-2"/>
    <m/>
    <n v="315028"/>
    <n v="344749"/>
    <n v="6161"/>
    <n v="6579000000"/>
    <n v="314806.34062500007"/>
    <n v="10010"/>
    <n v="9.5114522668805393E-2"/>
    <n v="314806.34250000003"/>
    <x v="0"/>
    <n v="75"/>
    <x v="12"/>
  </r>
  <r>
    <d v="2026-05-11T00:00:00"/>
    <x v="102"/>
    <s v="STOCK"/>
    <n v="5"/>
    <s v="STOCK"/>
    <n v="1901038"/>
    <x v="14"/>
    <s v="M2"/>
    <n v="54"/>
    <m/>
    <n v="54"/>
    <n v="4560.1666999999998"/>
    <n v="246249"/>
    <n v="246249"/>
    <n v="4197.4179000000004"/>
    <n v="-362.74880000000002"/>
    <n v="-19588.434700000002"/>
    <n v="-8.6421891379272295E-2"/>
    <m/>
    <n v="315029"/>
    <n v="246249"/>
    <n v="6161"/>
    <n v="6579000000"/>
    <n v="226660.56525000004"/>
    <n v="10010"/>
    <n v="8.6421892849887397E-2"/>
    <n v="226660.56660000002"/>
    <x v="0"/>
    <n v="54"/>
    <x v="12"/>
  </r>
  <r>
    <d v="2026-05-11T00:00:00"/>
    <x v="102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065"/>
    <n v="28195"/>
    <n v="6161"/>
    <n v="6579000000"/>
    <n v="30952.44"/>
    <n v="10010"/>
    <n v="-8.9077242923396804E-2"/>
    <n v="30952.350000000002"/>
    <x v="1"/>
    <n v="4500"/>
    <x v="4"/>
  </r>
  <r>
    <d v="2026-05-11T00:00:00"/>
    <x v="102"/>
    <s v="STOCK"/>
    <n v="5"/>
    <s v="STOCK"/>
    <n v="2304008"/>
    <x v="223"/>
    <s v="UND"/>
    <n v="2"/>
    <m/>
    <n v="2"/>
    <n v="2550"/>
    <n v="5100"/>
    <n v="5100"/>
    <m/>
    <m/>
    <n v="-5100"/>
    <m/>
    <m/>
    <n v="315088"/>
    <n v="2301490"/>
    <n v="6161"/>
    <n v="6579000000"/>
    <s v=""/>
    <n v="10010"/>
    <e v="#DIV/0!"/>
    <n v="0"/>
    <x v="1"/>
    <n v="2"/>
    <x v="100"/>
  </r>
  <r>
    <d v="2026-05-11T00:00:00"/>
    <x v="102"/>
    <s v="STOCK"/>
    <n v="5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5088"/>
    <m/>
    <n v="6161"/>
    <n v="6579000000"/>
    <n v="19146"/>
    <n v="10010"/>
    <n v="-5.2240676903860547E-5"/>
    <n v="19146"/>
    <x v="1"/>
    <n v="6"/>
    <x v="120"/>
  </r>
  <r>
    <d v="2026-05-11T00:00:00"/>
    <x v="102"/>
    <s v="STOCK"/>
    <n v="5"/>
    <s v="STOCK"/>
    <n v="705028"/>
    <x v="42"/>
    <s v="PL"/>
    <n v="20"/>
    <m/>
    <n v="20"/>
    <n v="22787.5"/>
    <n v="455750"/>
    <n v="455750"/>
    <n v="22927.086200000002"/>
    <n v="139.58619999999999"/>
    <n v="2791.7240999999999"/>
    <n v="6.0882663300398992E-3"/>
    <m/>
    <n v="315088"/>
    <m/>
    <n v="6161"/>
    <n v="6579000000"/>
    <n v="458541.72414000001"/>
    <n v="10010"/>
    <n v="-6.0882660265830701E-3"/>
    <n v="458541.72400000005"/>
    <x v="0"/>
    <n v="20"/>
    <x v="38"/>
  </r>
  <r>
    <d v="2026-05-11T00:00:00"/>
    <x v="102"/>
    <s v="STOCK"/>
    <n v="5"/>
    <s v="STOCK"/>
    <n v="704021"/>
    <x v="189"/>
    <s v="UND"/>
    <n v="18"/>
    <m/>
    <n v="18"/>
    <n v="487"/>
    <n v="8766"/>
    <n v="8766"/>
    <n v="487"/>
    <n v="0"/>
    <n v="0"/>
    <n v="0"/>
    <m/>
    <n v="315088"/>
    <m/>
    <n v="6161"/>
    <n v="6579000000"/>
    <n v="8766"/>
    <n v="10010"/>
    <n v="0"/>
    <n v="8766"/>
    <x v="1"/>
    <n v="18"/>
    <x v="118"/>
  </r>
  <r>
    <d v="2026-05-11T00:00:00"/>
    <x v="102"/>
    <s v="STOCK"/>
    <n v="5"/>
    <s v="STOCK"/>
    <n v="307033"/>
    <x v="190"/>
    <s v="UND"/>
    <n v="15"/>
    <m/>
    <n v="15"/>
    <n v="1889.6"/>
    <n v="28344"/>
    <n v="28344"/>
    <n v="1889.0535"/>
    <n v="-0.54649999999999999"/>
    <n v="-8.1967999999999996"/>
    <n v="-2.8927501908862502E-4"/>
    <m/>
    <n v="315088"/>
    <m/>
    <n v="6161"/>
    <n v="6579000000"/>
    <n v="28335.803159999999"/>
    <n v="10010"/>
    <n v="2.8929831791419546E-4"/>
    <n v="28335.802499999998"/>
    <x v="1"/>
    <n v="15"/>
    <x v="4"/>
  </r>
  <r>
    <d v="2026-05-11T00:00:00"/>
    <x v="102"/>
    <s v="STOCK"/>
    <n v="5"/>
    <s v="STOCK"/>
    <n v="404252"/>
    <x v="118"/>
    <s v="UND"/>
    <n v="7"/>
    <m/>
    <n v="7"/>
    <n v="1110"/>
    <n v="7770"/>
    <n v="7770"/>
    <n v="1110.0438999999999"/>
    <n v="4.3900000000000002E-2"/>
    <n v="0.30709999999999998"/>
    <n v="3.9526365532559117E-5"/>
    <m/>
    <n v="315088"/>
    <m/>
    <n v="6161"/>
    <n v="6579000000"/>
    <n v="7770.3071319999999"/>
    <n v="10010"/>
    <n v="-3.9547985444444259E-5"/>
    <n v="7770.3072999999995"/>
    <x v="1"/>
    <n v="7"/>
    <x v="4"/>
  </r>
  <r>
    <d v="2026-05-11T00:00:00"/>
    <x v="102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088"/>
    <m/>
    <n v="6161"/>
    <n v="6579000000"/>
    <n v="58000"/>
    <n v="10010"/>
    <n v="-1.7241379310348748E-4"/>
    <n v="58000"/>
    <x v="1"/>
    <n v="100"/>
    <x v="124"/>
  </r>
  <r>
    <d v="2026-05-11T00:00:00"/>
    <x v="102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088"/>
    <m/>
    <n v="6161"/>
    <n v="6579000000"/>
    <n v="32400"/>
    <n v="10010"/>
    <n v="0"/>
    <n v="32400"/>
    <x v="1"/>
    <n v="100"/>
    <x v="143"/>
  </r>
  <r>
    <d v="2026-05-11T00:00:00"/>
    <x v="102"/>
    <s v="STOCK"/>
    <n v="5"/>
    <s v="STOCK"/>
    <n v="307030"/>
    <x v="35"/>
    <s v="UND"/>
    <n v="100"/>
    <m/>
    <n v="100"/>
    <n v="2730"/>
    <n v="273000"/>
    <n v="273000"/>
    <n v="2729.9989"/>
    <n v="-1.1000000000000001E-3"/>
    <n v="-0.1144"/>
    <n v="-4.190477945900508E-7"/>
    <m/>
    <n v="315088"/>
    <m/>
    <n v="6161"/>
    <n v="6579000000"/>
    <n v="272999.88560000004"/>
    <n v="10010"/>
    <n v="4.0293056526552117E-7"/>
    <n v="272999.89"/>
    <x v="1"/>
    <n v="100"/>
    <x v="31"/>
  </r>
  <r>
    <d v="2026-05-11T00:00:00"/>
    <x v="102"/>
    <s v="STOCK"/>
    <n v="5"/>
    <s v="STOCK"/>
    <n v="704024"/>
    <x v="199"/>
    <s v="UND"/>
    <n v="7"/>
    <m/>
    <n v="7"/>
    <n v="318"/>
    <n v="2226"/>
    <n v="2226"/>
    <n v="363"/>
    <n v="45"/>
    <n v="315"/>
    <n v="0.12396694214876032"/>
    <m/>
    <n v="315088"/>
    <m/>
    <n v="6161"/>
    <n v="6579000000"/>
    <n v="2541"/>
    <n v="10010"/>
    <n v="-0.12396694214876033"/>
    <n v="2541"/>
    <x v="1"/>
    <n v="7"/>
    <x v="123"/>
  </r>
  <r>
    <d v="2026-05-11T00:00:00"/>
    <x v="102"/>
    <s v="STOCK"/>
    <n v="5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5088"/>
    <m/>
    <n v="6161"/>
    <n v="6579000000"/>
    <n v="80999.95815000002"/>
    <n v="10010"/>
    <n v="5.1851878741837811E-7"/>
    <n v="80999.957999999999"/>
    <x v="1"/>
    <n v="30"/>
    <x v="32"/>
  </r>
  <r>
    <d v="2026-05-11T00:00:00"/>
    <x v="102"/>
    <s v="STOCK"/>
    <n v="5"/>
    <s v="STOCK"/>
    <n v="307096"/>
    <x v="197"/>
    <s v="TRA"/>
    <n v="41"/>
    <m/>
    <n v="41"/>
    <n v="1795.6098"/>
    <n v="73620"/>
    <n v="73620"/>
    <n v="2095.3501000000001"/>
    <n v="299.74040000000002"/>
    <n v="12289.355299999999"/>
    <n v="0.14305025625740561"/>
    <m/>
    <n v="315088"/>
    <m/>
    <n v="6161"/>
    <n v="6579000000"/>
    <n v="85909.355288999941"/>
    <n v="10010"/>
    <n v="-0.14305022344475996"/>
    <n v="85909.354100000011"/>
    <x v="0"/>
    <n v="41"/>
    <x v="121"/>
  </r>
  <r>
    <d v="2026-05-11T00:00:00"/>
    <x v="102"/>
    <s v="STOCK"/>
    <n v="5"/>
    <s v="STOCK"/>
    <n v="307032"/>
    <x v="121"/>
    <s v="TRA"/>
    <n v="16"/>
    <m/>
    <n v="16"/>
    <n v="2280.125"/>
    <n v="36482"/>
    <n v="36482"/>
    <n v="2378.375"/>
    <n v="98.25"/>
    <n v="1572.0007000000001"/>
    <n v="4.1309734296021729E-2"/>
    <m/>
    <n v="315088"/>
    <m/>
    <n v="6161"/>
    <n v="6579000000"/>
    <n v="38054.000655999997"/>
    <n v="10010"/>
    <n v="-4.1309717769485471E-2"/>
    <n v="38054"/>
    <x v="1"/>
    <n v="16"/>
    <x v="4"/>
  </r>
  <r>
    <d v="2026-05-11T00:00:00"/>
    <x v="102"/>
    <s v="STOCK"/>
    <n v="5"/>
    <s v="STOCK"/>
    <n v="5314002"/>
    <x v="170"/>
    <s v="UND"/>
    <n v="1"/>
    <m/>
    <n v="1"/>
    <n v="312"/>
    <n v="312"/>
    <n v="312"/>
    <n v="311.91989999999998"/>
    <n v="-8.0100000000000005E-2"/>
    <n v="-8.0100000000000005E-2"/>
    <n v="-2.569057271907998E-4"/>
    <m/>
    <n v="315088"/>
    <m/>
    <n v="6161"/>
    <n v="6579000000"/>
    <n v="311.91986600000001"/>
    <n v="10010"/>
    <n v="2.5679669684433674E-4"/>
    <n v="311.91989999999998"/>
    <x v="1"/>
    <n v="1"/>
    <x v="104"/>
  </r>
  <r>
    <d v="2026-05-11T00:00:00"/>
    <x v="102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088"/>
    <m/>
    <n v="6161"/>
    <n v="6579000000"/>
    <n v="2109.0585420000002"/>
    <n v="10010"/>
    <n v="8.0102804165934655E-2"/>
    <n v="2109.0585000000001"/>
    <x v="1"/>
    <n v="1"/>
    <x v="28"/>
  </r>
  <r>
    <d v="2026-05-11T00:00:00"/>
    <x v="102"/>
    <s v="STOCK"/>
    <n v="5"/>
    <s v="STOCK"/>
    <n v="1610007"/>
    <x v="178"/>
    <s v="KG"/>
    <n v="2"/>
    <m/>
    <n v="2"/>
    <n v="1622"/>
    <n v="3244"/>
    <n v="3244"/>
    <n v="1624.4739999999999"/>
    <n v="2.4740000000000002"/>
    <n v="4.9481000000000002"/>
    <n v="1.5229772490355615E-3"/>
    <m/>
    <n v="315088"/>
    <m/>
    <n v="6161"/>
    <n v="6579000000"/>
    <n v="3248.9480739999999"/>
    <n v="10010"/>
    <n v="-1.5229545071204172E-3"/>
    <n v="3248.9479999999999"/>
    <x v="1"/>
    <n v="2"/>
    <x v="112"/>
  </r>
  <r>
    <d v="2026-05-11T00:00:00"/>
    <x v="102"/>
    <s v="STOCK"/>
    <n v="5"/>
    <s v="STOCK"/>
    <n v="608013"/>
    <x v="186"/>
    <s v="UND"/>
    <n v="1"/>
    <m/>
    <n v="1"/>
    <n v="8472"/>
    <n v="8472"/>
    <n v="8472"/>
    <n v="8471"/>
    <n v="-1"/>
    <n v="-1"/>
    <n v="-1.180498170227836E-4"/>
    <m/>
    <n v="315088"/>
    <m/>
    <n v="6161"/>
    <n v="6579000000"/>
    <n v="8471"/>
    <n v="10010"/>
    <n v="1.1804981702278361E-4"/>
    <n v="8471"/>
    <x v="1"/>
    <n v="1"/>
    <x v="116"/>
  </r>
  <r>
    <d v="2026-05-11T00:00:00"/>
    <x v="102"/>
    <s v="STOCK"/>
    <n v="5"/>
    <s v="STOCK"/>
    <n v="304012"/>
    <x v="233"/>
    <s v="PL"/>
    <n v="4"/>
    <m/>
    <n v="4"/>
    <n v="6004.5"/>
    <n v="24018"/>
    <n v="24018"/>
    <n v="0"/>
    <n v="-6004.5"/>
    <n v="-24018"/>
    <m/>
    <m/>
    <n v="315088"/>
    <m/>
    <n v="6161"/>
    <n v="6579000000"/>
    <n v="0"/>
    <n v="10010"/>
    <e v="#DIV/0!"/>
    <n v="0"/>
    <x v="1"/>
    <n v="4"/>
    <x v="100"/>
  </r>
  <r>
    <d v="2026-05-11T00:00:00"/>
    <x v="102"/>
    <s v="STOCK"/>
    <n v="5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15088"/>
    <m/>
    <n v="6161"/>
    <n v="6579000000"/>
    <n v="49030.713302999997"/>
    <n v="10010"/>
    <n v="5.8473552738814962E-6"/>
    <n v="49030.713300000003"/>
    <x v="1"/>
    <n v="1"/>
    <x v="4"/>
  </r>
  <r>
    <d v="2026-05-11T00:00:00"/>
    <x v="102"/>
    <s v="STOCK"/>
    <n v="5"/>
    <s v="STOCK"/>
    <n v="701096"/>
    <x v="135"/>
    <s v="PL"/>
    <n v="70"/>
    <m/>
    <n v="70"/>
    <n v="16179.171399999999"/>
    <n v="1132542"/>
    <n v="1132542"/>
    <n v="16019.885700000001"/>
    <n v="-159.28569999999999"/>
    <n v="-11150.002"/>
    <n v="-9.9430012612742903E-3"/>
    <m/>
    <n v="315088"/>
    <m/>
    <n v="6161"/>
    <n v="6579000000"/>
    <n v="1121391.9979500002"/>
    <n v="10010"/>
    <n v="9.9429985321305096E-3"/>
    <n v="1121391.9990000001"/>
    <x v="0"/>
    <n v="70"/>
    <x v="94"/>
  </r>
  <r>
    <d v="2026-05-11T00:00:00"/>
    <x v="102"/>
    <s v="STOCK"/>
    <n v="5"/>
    <s v="STOCK"/>
    <n v="1802659"/>
    <x v="109"/>
    <s v="UND"/>
    <n v="1"/>
    <m/>
    <n v="1"/>
    <n v="2447"/>
    <n v="2447"/>
    <n v="2447"/>
    <n v="2929.4632000000001"/>
    <n v="482.46319999999997"/>
    <n v="482.46319999999997"/>
    <n v="0.16469336939174437"/>
    <m/>
    <n v="315092"/>
    <n v="573462"/>
    <n v="6161"/>
    <n v="6579000000"/>
    <n v="2929.463158"/>
    <n v="10010"/>
    <n v="-0.16469338136761716"/>
    <n v="2929.4632000000001"/>
    <x v="1"/>
    <n v="1"/>
    <x v="4"/>
  </r>
  <r>
    <d v="2026-05-11T00:00:00"/>
    <x v="102"/>
    <s v="STOCK"/>
    <n v="5"/>
    <s v="STOCK"/>
    <n v="617057"/>
    <x v="94"/>
    <s v="UND"/>
    <n v="1"/>
    <m/>
    <n v="1"/>
    <n v="1698"/>
    <n v="1698"/>
    <n v="1698"/>
    <n v="2042.1197"/>
    <n v="344.11970000000002"/>
    <n v="344.11970000000002"/>
    <n v="0.16851103536630774"/>
    <m/>
    <n v="315092"/>
    <m/>
    <n v="6161"/>
    <n v="6579000000"/>
    <n v="2042.119706"/>
    <n v="10010"/>
    <n v="-0.16851103292329042"/>
    <n v="2042.1197"/>
    <x v="1"/>
    <n v="1"/>
    <x v="82"/>
  </r>
  <r>
    <d v="2026-05-11T00:00:00"/>
    <x v="102"/>
    <s v="STOCK"/>
    <n v="5"/>
    <s v="STOCK"/>
    <n v="810007"/>
    <x v="151"/>
    <s v="TRA"/>
    <n v="2"/>
    <m/>
    <n v="2"/>
    <n v="3372"/>
    <n v="6744"/>
    <n v="6744"/>
    <n v="3274.7246"/>
    <n v="-97.275400000000005"/>
    <n v="-194.55070000000001"/>
    <n v="-2.9704898198527511E-2"/>
    <m/>
    <n v="315092"/>
    <m/>
    <n v="6161"/>
    <n v="6579000000"/>
    <n v="6549.4492760000003"/>
    <n v="10010"/>
    <n v="2.9704910147253297E-2"/>
    <n v="6549.4492"/>
    <x v="1"/>
    <n v="2"/>
    <x v="4"/>
  </r>
  <r>
    <d v="2026-05-11T00:00:00"/>
    <x v="102"/>
    <s v="STOCK"/>
    <n v="5"/>
    <s v="STOCK"/>
    <n v="2302024"/>
    <x v="150"/>
    <s v="GAL"/>
    <n v="1"/>
    <m/>
    <n v="1"/>
    <n v="20156"/>
    <n v="20156"/>
    <n v="20156"/>
    <n v="22292"/>
    <n v="2136"/>
    <n v="2136"/>
    <n v="9.5819127938273824E-2"/>
    <m/>
    <n v="315092"/>
    <m/>
    <n v="6161"/>
    <n v="6579000000"/>
    <n v="22292"/>
    <n v="10010"/>
    <n v="-9.5819127938273824E-2"/>
    <n v="22292"/>
    <x v="1"/>
    <n v="1"/>
    <x v="4"/>
  </r>
  <r>
    <d v="2026-05-11T00:00:00"/>
    <x v="102"/>
    <s v="STOCK"/>
    <n v="5"/>
    <s v="STOCK"/>
    <n v="2304056"/>
    <x v="168"/>
    <s v="UND"/>
    <n v="2"/>
    <m/>
    <n v="2"/>
    <n v="3163"/>
    <n v="6326"/>
    <n v="6326"/>
    <n v="2979"/>
    <n v="-184"/>
    <n v="-368"/>
    <n v="-6.1765693185632763E-2"/>
    <m/>
    <n v="315092"/>
    <m/>
    <n v="6161"/>
    <n v="6579000000"/>
    <n v="5958"/>
    <n v="10010"/>
    <n v="6.1765693185632763E-2"/>
    <n v="5958"/>
    <x v="1"/>
    <n v="2"/>
    <x v="100"/>
  </r>
  <r>
    <d v="2026-05-11T00:00:00"/>
    <x v="102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092"/>
    <m/>
    <n v="6161"/>
    <n v="6579000000"/>
    <n v="475295.51668"/>
    <n v="10010"/>
    <n v="9.3378713886288892E-2"/>
    <n v="475295.516"/>
    <x v="0"/>
    <n v="40"/>
    <x v="92"/>
  </r>
  <r>
    <d v="2026-05-11T00:00:00"/>
    <x v="102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092"/>
    <m/>
    <n v="6161"/>
    <n v="6579000000"/>
    <s v=""/>
    <n v="10010"/>
    <e v="#DIV/0!"/>
    <n v="0"/>
    <x v="1"/>
    <n v="50"/>
    <x v="100"/>
  </r>
  <r>
    <d v="2026-05-12T00:00:00"/>
    <x v="103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145"/>
    <n v="171945"/>
    <n v="6161"/>
    <n v="6579000000"/>
    <n v="10545.292710000002"/>
    <n v="10010"/>
    <n v="8.0197633209320524E-2"/>
    <n v="10545.2925"/>
    <x v="1"/>
    <n v="5"/>
    <x v="28"/>
  </r>
  <r>
    <d v="2026-05-12T00:00:00"/>
    <x v="103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145"/>
    <m/>
    <n v="6161"/>
    <n v="6579000000"/>
    <n v="8164.9821430000002"/>
    <n v="10010"/>
    <n v="2.1922889457194073E-6"/>
    <n v="8164.9821000000002"/>
    <x v="1"/>
    <n v="1"/>
    <x v="4"/>
  </r>
  <r>
    <d v="2026-05-12T00:00:00"/>
    <x v="103"/>
    <s v="STOCK"/>
    <n v="5"/>
    <s v="STOCK"/>
    <n v="1405040"/>
    <x v="179"/>
    <s v="UND"/>
    <n v="8"/>
    <m/>
    <n v="8"/>
    <n v="7577.375"/>
    <n v="60619"/>
    <n v="60619"/>
    <n v="7568"/>
    <n v="-9.375"/>
    <n v="-75"/>
    <n v="-1.2387684989429177E-3"/>
    <m/>
    <n v="315145"/>
    <m/>
    <n v="6161"/>
    <n v="6579000000"/>
    <n v="60544"/>
    <n v="10010"/>
    <n v="1.2387684989429175E-3"/>
    <n v="60544"/>
    <x v="1"/>
    <n v="8"/>
    <x v="113"/>
  </r>
  <r>
    <d v="2026-05-12T00:00:00"/>
    <x v="103"/>
    <s v="STOCK"/>
    <n v="5"/>
    <s v="STOCK"/>
    <n v="412016"/>
    <x v="238"/>
    <s v="UND"/>
    <n v="4"/>
    <m/>
    <n v="4"/>
    <n v="4210.25"/>
    <n v="16841"/>
    <n v="16841"/>
    <m/>
    <m/>
    <n v="-16841"/>
    <m/>
    <m/>
    <n v="315145"/>
    <m/>
    <n v="6161"/>
    <n v="6579000000"/>
    <s v=""/>
    <n v="10010"/>
    <e v="#DIV/0!"/>
    <n v="0"/>
    <x v="1"/>
    <n v="4"/>
    <x v="100"/>
  </r>
  <r>
    <d v="2026-05-12T00:00:00"/>
    <x v="103"/>
    <s v="STOCK"/>
    <n v="5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5145"/>
    <m/>
    <n v="6161"/>
    <n v="6579000000"/>
    <n v="17576.778947999999"/>
    <n v="10010"/>
    <n v="-0.16480715647836092"/>
    <n v="17576.779200000001"/>
    <x v="1"/>
    <n v="6"/>
    <x v="4"/>
  </r>
  <r>
    <d v="2026-05-12T00:00:00"/>
    <x v="103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5145"/>
    <m/>
    <n v="6161"/>
    <n v="6579000000"/>
    <n v="30212.828690000009"/>
    <n v="10010"/>
    <n v="5.6598473449896557E-6"/>
    <n v="30212.829000000002"/>
    <x v="1"/>
    <n v="10"/>
    <x v="52"/>
  </r>
  <r>
    <d v="2026-05-12T00:00:00"/>
    <x v="103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145"/>
    <m/>
    <n v="6161"/>
    <n v="6579000000"/>
    <n v="7557.04882"/>
    <n v="10010"/>
    <n v="-4.4203630279491375E-2"/>
    <n v="7557.0489999999991"/>
    <x v="1"/>
    <n v="10"/>
    <x v="4"/>
  </r>
  <r>
    <d v="2026-05-12T00:00:00"/>
    <x v="103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145"/>
    <m/>
    <n v="6161"/>
    <n v="6579000000"/>
    <n v="10210.598529999999"/>
    <n v="10010"/>
    <n v="-0.16831515801938537"/>
    <n v="10210.5985"/>
    <x v="1"/>
    <n v="5"/>
    <x v="82"/>
  </r>
  <r>
    <d v="2026-05-12T00:00:00"/>
    <x v="103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145"/>
    <m/>
    <n v="6161"/>
    <n v="6579000000"/>
    <n v="14287.56637"/>
    <n v="10010"/>
    <n v="2.3400416019060161E-3"/>
    <n v="14287.566500000001"/>
    <x v="1"/>
    <n v="5"/>
    <x v="81"/>
  </r>
  <r>
    <d v="2026-05-12T00:00:00"/>
    <x v="103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5180"/>
    <n v="11865193"/>
    <n v="6161"/>
    <n v="6579000000"/>
    <n v="45608.293188000011"/>
    <n v="10010"/>
    <n v="-1.1605784011229058E-4"/>
    <n v="45608.2932"/>
    <x v="1"/>
    <n v="12"/>
    <x v="4"/>
  </r>
  <r>
    <d v="2026-05-12T00:00:00"/>
    <x v="103"/>
    <s v="STOCK"/>
    <n v="5"/>
    <s v="STOCK"/>
    <n v="1901505"/>
    <x v="7"/>
    <s v="KG"/>
    <n v="47"/>
    <m/>
    <n v="47"/>
    <n v="1895"/>
    <n v="89065"/>
    <n v="89065"/>
    <n v="1895"/>
    <n v="0"/>
    <n v="0"/>
    <n v="0"/>
    <m/>
    <n v="315180"/>
    <m/>
    <n v="6161"/>
    <n v="6579000000"/>
    <n v="89065"/>
    <n v="10010"/>
    <n v="0"/>
    <n v="89065"/>
    <x v="1"/>
    <n v="47"/>
    <x v="7"/>
  </r>
  <r>
    <d v="2026-05-12T00:00:00"/>
    <x v="103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5180"/>
    <m/>
    <n v="6161"/>
    <n v="6579000000"/>
    <n v="2921489.9999999986"/>
    <n v="10010"/>
    <n v="-5.1688693098400854E-5"/>
    <n v="2921490"/>
    <x v="0"/>
    <n v="195"/>
    <x v="99"/>
  </r>
  <r>
    <d v="2026-05-12T00:00:00"/>
    <x v="103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5180"/>
    <m/>
    <n v="6161"/>
    <n v="6579000000"/>
    <n v="64728.427048000027"/>
    <n v="10010"/>
    <n v="-6.5998822847693946E-6"/>
    <n v="64728.427199999998"/>
    <x v="1"/>
    <n v="4"/>
    <x v="66"/>
  </r>
  <r>
    <d v="2026-05-12T00:00:00"/>
    <x v="103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5180"/>
    <m/>
    <n v="6161"/>
    <n v="6579000000"/>
    <n v="1182938.1000000001"/>
    <n v="10010"/>
    <n v="0"/>
    <n v="1182938"/>
    <x v="0"/>
    <n v="2500"/>
    <x v="8"/>
  </r>
  <r>
    <d v="2026-05-12T00:00:00"/>
    <x v="103"/>
    <s v="STOCK"/>
    <n v="5"/>
    <s v="STOCK"/>
    <n v="412313"/>
    <x v="153"/>
    <s v="CJA"/>
    <n v="5"/>
    <m/>
    <n v="5"/>
    <n v="23724"/>
    <n v="118620"/>
    <n v="118620"/>
    <n v="23724.0674"/>
    <n v="6.7400000000000002E-2"/>
    <n v="0.33689999999999998"/>
    <n v="2.8403645506871342E-6"/>
    <m/>
    <n v="315180"/>
    <m/>
    <n v="6161"/>
    <n v="6579000000"/>
    <n v="118620.336925"/>
    <n v="10010"/>
    <n v="-2.8409968182735337E-6"/>
    <n v="118620.337"/>
    <x v="1"/>
    <n v="5"/>
    <x v="4"/>
  </r>
  <r>
    <d v="2026-05-12T00:00:00"/>
    <x v="103"/>
    <s v="STOCK"/>
    <n v="5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5180"/>
    <m/>
    <n v="6161"/>
    <n v="6579000000"/>
    <n v="36939.818181999981"/>
    <n v="10010"/>
    <n v="4.92151853628979E-6"/>
    <n v="36939.818200000002"/>
    <x v="0"/>
    <n v="1"/>
    <x v="45"/>
  </r>
  <r>
    <d v="2026-05-12T00:00:00"/>
    <x v="103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5180"/>
    <m/>
    <n v="6161"/>
    <n v="6579000000"/>
    <n v="285227.43016500003"/>
    <n v="10010"/>
    <n v="-3.9005473221785054E-2"/>
    <n v="285227.43299999996"/>
    <x v="0"/>
    <n v="135"/>
    <x v="6"/>
  </r>
  <r>
    <d v="2026-05-12T00:00:00"/>
    <x v="103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5180"/>
    <m/>
    <n v="6161"/>
    <n v="6579000000"/>
    <n v="297790"/>
    <n v="10010"/>
    <n v="0.31116894455824584"/>
    <n v="297790"/>
    <x v="0"/>
    <n v="10"/>
    <x v="4"/>
  </r>
  <r>
    <d v="2026-05-12T00:00:00"/>
    <x v="103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5180"/>
    <m/>
    <n v="6161"/>
    <n v="6579000000"/>
    <n v="150703.97545999996"/>
    <n v="10010"/>
    <n v="3.186677713090557E-4"/>
    <n v="150703.9755"/>
    <x v="1"/>
    <n v="1"/>
    <x v="4"/>
  </r>
  <r>
    <d v="2026-05-12T00:00:00"/>
    <x v="103"/>
    <s v="STOCK"/>
    <n v="5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5180"/>
    <m/>
    <n v="6161"/>
    <n v="6579000000"/>
    <n v="5347368"/>
    <n v="10010"/>
    <n v="-0.19905100647645715"/>
    <n v="5347368"/>
    <x v="0"/>
    <n v="936"/>
    <x v="4"/>
  </r>
  <r>
    <d v="2026-05-12T00:00:00"/>
    <x v="103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5180"/>
    <m/>
    <n v="6161"/>
    <n v="6579000000"/>
    <n v="1229712.6064800003"/>
    <n v="10010"/>
    <n v="-3.5754364068482349E-2"/>
    <n v="1229712.5999999999"/>
    <x v="0"/>
    <n v="240"/>
    <x v="65"/>
  </r>
  <r>
    <d v="2026-05-12T00:00:00"/>
    <x v="103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180"/>
    <m/>
    <n v="6161"/>
    <n v="6579000000"/>
    <n v="1106302.4691599987"/>
    <n v="10010"/>
    <n v="1.413404863746349E-2"/>
    <n v="1106302.4616"/>
    <x v="0"/>
    <n v="168"/>
    <x v="95"/>
  </r>
  <r>
    <d v="2026-05-12T00:00:00"/>
    <x v="103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5248"/>
    <n v="532557"/>
    <n v="6161"/>
    <n v="6579000000"/>
    <n v="44052"/>
    <n v="10010"/>
    <n v="2.4289566875511357E-3"/>
    <n v="44052"/>
    <x v="1"/>
    <n v="12"/>
    <x v="40"/>
  </r>
  <r>
    <d v="2026-05-12T00:00:00"/>
    <x v="103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248"/>
    <m/>
    <n v="6161"/>
    <n v="6579000000"/>
    <n v="1866.9503550000009"/>
    <n v="10010"/>
    <n v="2.6567390328128124E-5"/>
    <n v="1866.9503999999999"/>
    <x v="1"/>
    <n v="1"/>
    <x v="4"/>
  </r>
  <r>
    <d v="2026-05-12T00:00:00"/>
    <x v="103"/>
    <s v="STOCK"/>
    <n v="5"/>
    <s v="STOCK"/>
    <n v="407185"/>
    <x v="17"/>
    <s v="UND"/>
    <n v="782"/>
    <m/>
    <n v="782"/>
    <n v="6.266"/>
    <n v="4900"/>
    <n v="4900"/>
    <n v="6.8783000000000003"/>
    <n v="0.61229999999999996"/>
    <n v="478.84620000000001"/>
    <n v="8.9023968827932176E-2"/>
    <m/>
    <n v="315248"/>
    <m/>
    <n v="6161"/>
    <n v="6579000000"/>
    <n v="5378.8462400000008"/>
    <n v="10010"/>
    <n v="-8.9019089019089059E-2"/>
    <n v="5378.8306000000002"/>
    <x v="1"/>
    <n v="782"/>
    <x v="4"/>
  </r>
  <r>
    <d v="2026-05-12T00:00:00"/>
    <x v="103"/>
    <s v="STOCK"/>
    <n v="5"/>
    <s v="STOCK"/>
    <n v="1405039"/>
    <x v="180"/>
    <s v="UND"/>
    <n v="1"/>
    <m/>
    <n v="1"/>
    <n v="7637"/>
    <n v="7637"/>
    <n v="7637"/>
    <n v="7596"/>
    <n v="-41"/>
    <n v="-41"/>
    <n v="-5.3975776724591888E-3"/>
    <m/>
    <n v="315248"/>
    <m/>
    <n v="6161"/>
    <n v="6579000000"/>
    <n v="7596"/>
    <n v="10010"/>
    <n v="5.3975776724591888E-3"/>
    <n v="7596"/>
    <x v="1"/>
    <n v="1"/>
    <x v="114"/>
  </r>
  <r>
    <d v="2026-05-12T00:00:00"/>
    <x v="103"/>
    <s v="STOCK"/>
    <n v="5"/>
    <s v="STOCK"/>
    <n v="1405040"/>
    <x v="179"/>
    <s v="UND"/>
    <n v="3"/>
    <m/>
    <n v="3"/>
    <n v="7574.6666999999998"/>
    <n v="22724"/>
    <n v="22724"/>
    <n v="7568"/>
    <n v="-6.6666999999999996"/>
    <n v="-20"/>
    <n v="-8.8090204369278141E-4"/>
    <m/>
    <n v="315248"/>
    <m/>
    <n v="6161"/>
    <n v="6579000000"/>
    <n v="22704"/>
    <n v="10010"/>
    <n v="8.8090644820292864E-4"/>
    <n v="22704"/>
    <x v="1"/>
    <n v="3"/>
    <x v="113"/>
  </r>
  <r>
    <d v="2026-05-12T00:00:00"/>
    <x v="103"/>
    <s v="STOCK"/>
    <n v="5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5248"/>
    <m/>
    <n v="6161"/>
    <n v="6579000000"/>
    <n v="106640.50198378378"/>
    <n v="10010"/>
    <n v="-0.96749827692105728"/>
    <n v="106640.5"/>
    <x v="1"/>
    <n v="1000"/>
    <x v="63"/>
  </r>
  <r>
    <d v="2026-05-12T00:00:00"/>
    <x v="103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248"/>
    <m/>
    <n v="6161"/>
    <n v="6579000000"/>
    <n v="155618.99999999997"/>
    <n v="10010"/>
    <n v="1.6707535712223284E-4"/>
    <n v="155619"/>
    <x v="0"/>
    <n v="3"/>
    <x v="57"/>
  </r>
  <r>
    <d v="2026-05-12T00:00:00"/>
    <x v="103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248"/>
    <m/>
    <n v="6161"/>
    <n v="6579000000"/>
    <n v="52920"/>
    <n v="10010"/>
    <n v="-1.9727891156462583E-2"/>
    <n v="52920"/>
    <x v="1"/>
    <n v="1"/>
    <x v="100"/>
  </r>
  <r>
    <d v="2026-05-12T00:00:00"/>
    <x v="103"/>
    <s v="STOCK"/>
    <n v="5"/>
    <s v="STOCK"/>
    <n v="2508993"/>
    <x v="229"/>
    <s v="UND"/>
    <n v="2"/>
    <m/>
    <n v="2"/>
    <n v="1461.5"/>
    <n v="2923"/>
    <n v="2923"/>
    <n v="1410"/>
    <n v="-51.5"/>
    <n v="-103"/>
    <n v="-3.6524822695035458E-2"/>
    <m/>
    <n v="315248"/>
    <m/>
    <n v="6161"/>
    <n v="6579000000"/>
    <n v="2820"/>
    <n v="10010"/>
    <n v="3.6524822695035458E-2"/>
    <n v="2820"/>
    <x v="1"/>
    <n v="2"/>
    <x v="141"/>
  </r>
  <r>
    <d v="2026-05-12T00:00:00"/>
    <x v="103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248"/>
    <m/>
    <n v="6161"/>
    <n v="6579000000"/>
    <n v="1598"/>
    <n v="10010"/>
    <n v="5.8197747183979978E-2"/>
    <n v="1598"/>
    <x v="1"/>
    <n v="1"/>
    <x v="142"/>
  </r>
  <r>
    <d v="2026-05-12T00:00:00"/>
    <x v="103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248"/>
    <m/>
    <n v="6161"/>
    <n v="6579000000"/>
    <n v="10168"/>
    <n v="10010"/>
    <n v="-3.0487804878048782E-3"/>
    <n v="10168"/>
    <x v="1"/>
    <n v="2"/>
    <x v="140"/>
  </r>
  <r>
    <d v="2026-05-12T00:00:00"/>
    <x v="103"/>
    <s v="STOCK"/>
    <n v="5"/>
    <s v="STOCK"/>
    <n v="2508991"/>
    <x v="227"/>
    <s v="UND"/>
    <n v="2"/>
    <m/>
    <n v="2"/>
    <n v="4785.5"/>
    <n v="9571"/>
    <n v="9571"/>
    <n v="4798"/>
    <n v="12.5"/>
    <n v="25"/>
    <n v="2.6052521884118384E-3"/>
    <m/>
    <n v="315248"/>
    <m/>
    <n v="6161"/>
    <n v="6579000000"/>
    <n v="9596"/>
    <n v="10010"/>
    <n v="-2.6052521884118384E-3"/>
    <n v="9596"/>
    <x v="1"/>
    <n v="2"/>
    <x v="139"/>
  </r>
  <r>
    <d v="2026-05-12T00:00:00"/>
    <x v="103"/>
    <s v="STOCK"/>
    <n v="5"/>
    <s v="STOCK"/>
    <n v="2508990"/>
    <x v="226"/>
    <s v="UND"/>
    <n v="2"/>
    <m/>
    <n v="2"/>
    <n v="6688.5"/>
    <n v="13377"/>
    <n v="13377"/>
    <n v="6738"/>
    <n v="49.5"/>
    <n v="99"/>
    <n v="7.3463935886019602E-3"/>
    <m/>
    <n v="315248"/>
    <m/>
    <n v="6161"/>
    <n v="6579000000"/>
    <n v="13476"/>
    <n v="10010"/>
    <n v="-7.3463935886019594E-3"/>
    <n v="13476"/>
    <x v="1"/>
    <n v="2"/>
    <x v="138"/>
  </r>
  <r>
    <d v="2026-05-12T00:00:00"/>
    <x v="103"/>
    <s v="STOCK"/>
    <n v="5"/>
    <s v="STOCK"/>
    <n v="1405025"/>
    <x v="124"/>
    <s v="UND"/>
    <n v="1"/>
    <m/>
    <n v="1"/>
    <n v="6988"/>
    <n v="6988"/>
    <n v="6988"/>
    <n v="6758.5333000000001"/>
    <n v="-229.4667"/>
    <n v="-229.4667"/>
    <n v="-3.3952139568444395E-2"/>
    <m/>
    <n v="315248"/>
    <m/>
    <n v="6161"/>
    <n v="6579000000"/>
    <n v="6758.5333330000003"/>
    <n v="10010"/>
    <n v="3.3952144616939288E-2"/>
    <n v="6758.5333000000001"/>
    <x v="1"/>
    <n v="1"/>
    <x v="4"/>
  </r>
  <r>
    <d v="2026-05-12T00:00:00"/>
    <x v="103"/>
    <s v="STOCK"/>
    <n v="5"/>
    <s v="STOCK"/>
    <n v="106022"/>
    <x v="157"/>
    <s v="UND"/>
    <n v="3"/>
    <m/>
    <n v="3"/>
    <n v="3800.3332999999998"/>
    <n v="11401"/>
    <n v="11401"/>
    <n v="3800.6911"/>
    <n v="0.35780000000000001"/>
    <n v="1.0732999999999999"/>
    <n v="9.4131740083066347E-5"/>
    <m/>
    <n v="315248"/>
    <m/>
    <n v="6161"/>
    <n v="6579000000"/>
    <n v="11402.073297000004"/>
    <n v="10010"/>
    <n v="-9.414077350306759E-5"/>
    <n v="11402.0733"/>
    <x v="1"/>
    <n v="3"/>
    <x v="4"/>
  </r>
  <r>
    <d v="2026-05-12T00:00:00"/>
    <x v="103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248"/>
    <m/>
    <n v="6161"/>
    <n v="6579000000"/>
    <n v="18127.697214000003"/>
    <n v="10010"/>
    <n v="1.6681655332450576E-5"/>
    <n v="18127.697400000001"/>
    <x v="1"/>
    <n v="6"/>
    <x v="52"/>
  </r>
  <r>
    <d v="2026-05-12T00:00:00"/>
    <x v="103"/>
    <s v="STOCK"/>
    <n v="5"/>
    <s v="STOCK"/>
    <n v="1405040"/>
    <x v="179"/>
    <s v="UND"/>
    <n v="1"/>
    <m/>
    <n v="1"/>
    <n v="7575"/>
    <n v="7575"/>
    <n v="7575"/>
    <n v="7568"/>
    <n v="-7"/>
    <n v="-7"/>
    <n v="-9.2494714587737839E-4"/>
    <m/>
    <n v="315248"/>
    <m/>
    <n v="6161"/>
    <n v="6579000000"/>
    <n v="7568"/>
    <n v="10010"/>
    <n v="9.2494714587737839E-4"/>
    <n v="7568"/>
    <x v="1"/>
    <n v="1"/>
    <x v="113"/>
  </r>
  <r>
    <d v="2026-05-12T00:00:00"/>
    <x v="103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248"/>
    <m/>
    <n v="6161"/>
    <n v="6579000000"/>
    <s v=""/>
    <n v="10010"/>
    <e v="#DIV/0!"/>
    <n v="0"/>
    <x v="1"/>
    <n v="1"/>
    <x v="100"/>
  </r>
  <r>
    <d v="2026-05-12T00:00:00"/>
    <x v="103"/>
    <s v="STOCK"/>
    <n v="5"/>
    <s v="STOCK"/>
    <n v="2304056"/>
    <x v="168"/>
    <s v="UND"/>
    <n v="5"/>
    <m/>
    <n v="5"/>
    <n v="3163.2"/>
    <n v="15816"/>
    <n v="15816"/>
    <n v="2979"/>
    <n v="-184.2"/>
    <n v="-921"/>
    <n v="-6.1832829808660561E-2"/>
    <m/>
    <n v="315248"/>
    <m/>
    <n v="6161"/>
    <n v="6579000000"/>
    <n v="14895"/>
    <n v="10010"/>
    <n v="6.1832829808660561E-2"/>
    <n v="14895"/>
    <x v="1"/>
    <n v="5"/>
    <x v="100"/>
  </r>
  <r>
    <d v="2026-05-13T00:00:00"/>
    <x v="104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5357"/>
    <n v="2013129"/>
    <n v="6161"/>
    <n v="6579000000"/>
    <n v="11430.053096"/>
    <n v="10010"/>
    <n v="2.3575393332377239E-3"/>
    <n v="11430.0532"/>
    <x v="1"/>
    <n v="4"/>
    <x v="81"/>
  </r>
  <r>
    <d v="2026-05-13T00:00:00"/>
    <x v="104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5357"/>
    <m/>
    <n v="6161"/>
    <n v="6579000000"/>
    <n v="8168.4788239999998"/>
    <n v="10010"/>
    <n v="-0.16838861110834979"/>
    <n v="8168.4787999999999"/>
    <x v="1"/>
    <n v="4"/>
    <x v="82"/>
  </r>
  <r>
    <d v="2026-05-13T00:00:00"/>
    <x v="104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357"/>
    <m/>
    <n v="6161"/>
    <n v="6579000000"/>
    <n v="41376.000000000007"/>
    <n v="10010"/>
    <n v="0.18551821345707656"/>
    <n v="41376"/>
    <x v="1"/>
    <n v="48"/>
    <x v="4"/>
  </r>
  <r>
    <d v="2026-05-13T00:00:00"/>
    <x v="104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357"/>
    <m/>
    <n v="6161"/>
    <n v="6579000000"/>
    <n v="33035.321376"/>
    <n v="10010"/>
    <n v="2.3994899422923075E-2"/>
    <n v="33035.320800000001"/>
    <x v="1"/>
    <n v="24"/>
    <x v="4"/>
  </r>
  <r>
    <d v="2026-05-13T00:00:00"/>
    <x v="104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5357"/>
    <m/>
    <n v="6161"/>
    <n v="6579000000"/>
    <n v="88104"/>
    <n v="10010"/>
    <n v="2.4175973849087443E-3"/>
    <n v="88104"/>
    <x v="1"/>
    <n v="24"/>
    <x v="40"/>
  </r>
  <r>
    <d v="2026-05-13T00:00:00"/>
    <x v="104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5357"/>
    <m/>
    <n v="6161"/>
    <n v="6579000000"/>
    <n v="213281.00396756755"/>
    <n v="10010"/>
    <n v="-0.96749827692105728"/>
    <n v="213281"/>
    <x v="1"/>
    <n v="2000"/>
    <x v="63"/>
  </r>
  <r>
    <d v="2026-05-13T00:00:00"/>
    <x v="104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57"/>
    <m/>
    <n v="6161"/>
    <n v="6579000000"/>
    <n v="30952.44"/>
    <n v="10010"/>
    <n v="-8.9077242923396804E-2"/>
    <n v="30952.350000000002"/>
    <x v="1"/>
    <n v="4500"/>
    <x v="4"/>
  </r>
  <r>
    <d v="2026-05-13T00:00:00"/>
    <x v="104"/>
    <s v="STOCK"/>
    <n v="5"/>
    <s v="STOCK"/>
    <n v="1402016"/>
    <x v="264"/>
    <s v="UND"/>
    <n v="21"/>
    <m/>
    <n v="21"/>
    <n v="754.23810000000003"/>
    <n v="15839"/>
    <n v="15839"/>
    <m/>
    <m/>
    <n v="-15839"/>
    <m/>
    <m/>
    <n v="315357"/>
    <m/>
    <n v="6161"/>
    <n v="6579000000"/>
    <s v=""/>
    <n v="10010"/>
    <e v="#DIV/0!"/>
    <n v="0"/>
    <x v="1"/>
    <n v="21"/>
    <x v="100"/>
  </r>
  <r>
    <d v="2026-05-13T00:00:00"/>
    <x v="104"/>
    <s v="STOCK"/>
    <n v="5"/>
    <s v="STOCK"/>
    <n v="1101298"/>
    <x v="265"/>
    <s v="UND"/>
    <n v="7"/>
    <m/>
    <n v="7"/>
    <n v="73070"/>
    <n v="511490"/>
    <n v="511490"/>
    <m/>
    <m/>
    <n v="-511490"/>
    <m/>
    <m/>
    <n v="315357"/>
    <m/>
    <n v="6161"/>
    <n v="6579000000"/>
    <s v=""/>
    <n v="10010"/>
    <e v="#DIV/0!"/>
    <n v="0"/>
    <x v="1"/>
    <n v="7"/>
    <x v="100"/>
  </r>
  <r>
    <d v="2026-05-13T00:00:00"/>
    <x v="104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357"/>
    <m/>
    <n v="6161"/>
    <n v="6579000000"/>
    <n v="10545.292710000002"/>
    <n v="10010"/>
    <n v="8.0197633209320524E-2"/>
    <n v="10545.2925"/>
    <x v="1"/>
    <n v="5"/>
    <x v="28"/>
  </r>
  <r>
    <d v="2026-05-13T00:00:00"/>
    <x v="104"/>
    <s v="STOCK"/>
    <n v="5"/>
    <s v="STOCK"/>
    <n v="609007"/>
    <x v="139"/>
    <s v="BID"/>
    <n v="2"/>
    <m/>
    <n v="2"/>
    <n v="8165"/>
    <n v="16330"/>
    <n v="16330"/>
    <n v="8164.9821000000002"/>
    <n v="-1.7899999999999999E-2"/>
    <n v="-3.5700000000000003E-2"/>
    <n v="-2.1870225417615723E-6"/>
    <m/>
    <n v="315357"/>
    <m/>
    <n v="6161"/>
    <n v="6579000000"/>
    <n v="16329.964286"/>
    <n v="10010"/>
    <n v="2.1922889457194073E-6"/>
    <n v="16329.9642"/>
    <x v="1"/>
    <n v="2"/>
    <x v="4"/>
  </r>
  <r>
    <d v="2026-05-13T00:00:00"/>
    <x v="104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5357"/>
    <m/>
    <n v="6161"/>
    <n v="6579000000"/>
    <n v="1562691.6666700002"/>
    <n v="10010"/>
    <n v="-0.26495224601463241"/>
    <n v="1562691.6669999999"/>
    <x v="1"/>
    <n v="10"/>
    <x v="100"/>
  </r>
  <r>
    <d v="2026-05-13T00:00:00"/>
    <x v="104"/>
    <s v="STOCK"/>
    <n v="5"/>
    <s v="STOCK"/>
    <n v="2302098"/>
    <x v="5"/>
    <s v="TIN"/>
    <n v="4"/>
    <m/>
    <n v="4"/>
    <n v="21213"/>
    <n v="84852"/>
    <n v="84852"/>
    <n v="21213"/>
    <n v="0"/>
    <n v="0"/>
    <n v="-1.7149761029050001E-16"/>
    <m/>
    <n v="315357"/>
    <m/>
    <n v="6161"/>
    <n v="6579000000"/>
    <n v="84851.999999999985"/>
    <n v="10010"/>
    <n v="0"/>
    <n v="84852"/>
    <x v="1"/>
    <n v="4"/>
    <x v="5"/>
  </r>
  <r>
    <d v="2026-05-13T00:00:00"/>
    <x v="104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5381"/>
    <n v="220344"/>
    <n v="6161"/>
    <n v="6579000000"/>
    <n v="3690"/>
    <n v="10010"/>
    <n v="-2.7097560975610435E-4"/>
    <n v="3690"/>
    <x v="1"/>
    <n v="3"/>
    <x v="100"/>
  </r>
  <r>
    <d v="2026-05-13T00:00:00"/>
    <x v="104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5381"/>
    <m/>
    <n v="6161"/>
    <n v="6579000000"/>
    <n v="3237"/>
    <n v="10010"/>
    <n v="0"/>
    <n v="3237"/>
    <x v="1"/>
    <n v="3"/>
    <x v="105"/>
  </r>
  <r>
    <d v="2026-05-13T00:00:00"/>
    <x v="104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5381"/>
    <m/>
    <n v="6161"/>
    <n v="6579000000"/>
    <n v="23127"/>
    <n v="10010"/>
    <n v="-9.5126475548063763E-4"/>
    <n v="23127"/>
    <x v="1"/>
    <n v="3"/>
    <x v="115"/>
  </r>
  <r>
    <d v="2026-05-13T00:00:00"/>
    <x v="104"/>
    <s v="STOCK"/>
    <n v="5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5381"/>
    <m/>
    <n v="6161"/>
    <n v="6579000000"/>
    <n v="47984"/>
    <n v="10010"/>
    <n v="-9.378126042014005E-4"/>
    <n v="47984"/>
    <x v="1"/>
    <n v="4"/>
    <x v="107"/>
  </r>
  <r>
    <d v="2026-05-13T00:00:00"/>
    <x v="104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5381"/>
    <m/>
    <n v="6161"/>
    <n v="6579000000"/>
    <n v="26236.363638000003"/>
    <n v="10010"/>
    <n v="-2.0405411515142864E-2"/>
    <n v="26236.363799999999"/>
    <x v="1"/>
    <n v="6"/>
    <x v="53"/>
  </r>
  <r>
    <d v="2026-05-13T00:00:00"/>
    <x v="104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5381"/>
    <m/>
    <n v="6161"/>
    <n v="6579000000"/>
    <n v="19425.642857999999"/>
    <n v="10010"/>
    <n v="-7.8280159442447456E-2"/>
    <n v="19425.642599999999"/>
    <x v="1"/>
    <n v="6"/>
    <x v="54"/>
  </r>
  <r>
    <d v="2026-05-13T00:00:00"/>
    <x v="104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5381"/>
    <m/>
    <n v="6161"/>
    <n v="6579000000"/>
    <n v="6129"/>
    <n v="10010"/>
    <n v="0"/>
    <n v="6129"/>
    <x v="1"/>
    <n v="3"/>
    <x v="4"/>
  </r>
  <r>
    <d v="2026-05-13T00:00:00"/>
    <x v="104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5381"/>
    <m/>
    <n v="6161"/>
    <n v="6579000000"/>
    <n v="32223"/>
    <n v="10010"/>
    <n v="-1.0241132110604227E-3"/>
    <n v="32223"/>
    <x v="1"/>
    <n v="3"/>
    <x v="128"/>
  </r>
  <r>
    <d v="2026-05-13T00:00:00"/>
    <x v="104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5381"/>
    <m/>
    <n v="6161"/>
    <n v="6579000000"/>
    <n v="44916"/>
    <n v="10010"/>
    <n v="0"/>
    <n v="44916"/>
    <x v="1"/>
    <n v="3"/>
    <x v="133"/>
  </r>
  <r>
    <d v="2026-05-13T00:00:00"/>
    <x v="104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5381"/>
    <m/>
    <n v="6161"/>
    <n v="6579000000"/>
    <n v="14026.555557"/>
    <n v="10010"/>
    <n v="0.10739946810177302"/>
    <n v="14026.5555"/>
    <x v="1"/>
    <n v="3"/>
    <x v="20"/>
  </r>
  <r>
    <d v="2026-05-13T00:00:00"/>
    <x v="104"/>
    <s v="STOCK"/>
    <n v="5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5382"/>
    <n v="412409"/>
    <n v="6161"/>
    <n v="6579000000"/>
    <n v="20424"/>
    <n v="10010"/>
    <n v="-2.3110076380728619E-2"/>
    <n v="20424"/>
    <x v="1"/>
    <n v="6"/>
    <x v="125"/>
  </r>
  <r>
    <d v="2026-05-13T00:00:00"/>
    <x v="104"/>
    <s v="STOCK"/>
    <n v="5"/>
    <s v="STOCK"/>
    <n v="2304002"/>
    <x v="140"/>
    <s v="UND"/>
    <n v="3"/>
    <m/>
    <n v="3"/>
    <n v="1409.6667"/>
    <n v="4229"/>
    <n v="4229"/>
    <n v="1376.4717000000001"/>
    <n v="-33.194899999999997"/>
    <n v="-99.584800000000001"/>
    <n v="-2.4115964089841884E-2"/>
    <m/>
    <n v="315382"/>
    <m/>
    <n v="6161"/>
    <n v="6579000000"/>
    <n v="4129.415172"/>
    <n v="10010"/>
    <n v="2.4116006162712925E-2"/>
    <n v="4129.4151000000002"/>
    <x v="1"/>
    <n v="3"/>
    <x v="4"/>
  </r>
  <r>
    <d v="2026-05-13T00:00:00"/>
    <x v="104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5382"/>
    <m/>
    <n v="6161"/>
    <n v="6579000000"/>
    <n v="3267"/>
    <n v="10010"/>
    <n v="8.8766758494031144E-3"/>
    <n v="3267"/>
    <x v="1"/>
    <n v="3"/>
    <x v="108"/>
  </r>
  <r>
    <d v="2026-05-13T00:00:00"/>
    <x v="104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5382"/>
    <m/>
    <n v="6161"/>
    <n v="6579000000"/>
    <n v="6879"/>
    <n v="10010"/>
    <n v="-3.1981378107282937E-2"/>
    <n v="6879"/>
    <x v="1"/>
    <n v="3"/>
    <x v="134"/>
  </r>
  <r>
    <d v="2026-05-13T00:00:00"/>
    <x v="104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5382"/>
    <m/>
    <n v="6161"/>
    <n v="6579000000"/>
    <n v="51435"/>
    <n v="10010"/>
    <n v="-5.1054727325750962E-2"/>
    <n v="51435"/>
    <x v="1"/>
    <n v="3"/>
    <x v="110"/>
  </r>
  <r>
    <d v="2026-05-13T00:00:00"/>
    <x v="104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5382"/>
    <m/>
    <n v="6161"/>
    <n v="6579000000"/>
    <n v="69684"/>
    <n v="10010"/>
    <n v="3.8172335112795584E-3"/>
    <n v="69684"/>
    <x v="1"/>
    <n v="3"/>
    <x v="111"/>
  </r>
  <r>
    <d v="2026-05-13T00:00:00"/>
    <x v="104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5382"/>
    <m/>
    <n v="6161"/>
    <n v="6579000000"/>
    <n v="4832.8008300000001"/>
    <n v="10010"/>
    <n v="4.1218334511075141E-5"/>
    <n v="4832.8008"/>
    <x v="1"/>
    <n v="3"/>
    <x v="109"/>
  </r>
  <r>
    <d v="2026-05-13T00:00:00"/>
    <x v="104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5382"/>
    <m/>
    <n v="6161"/>
    <n v="6579000000"/>
    <n v="41607"/>
    <n v="10010"/>
    <n v="0"/>
    <n v="41607"/>
    <x v="1"/>
    <n v="3"/>
    <x v="127"/>
  </r>
  <r>
    <d v="2026-05-13T00:00:00"/>
    <x v="104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5382"/>
    <m/>
    <n v="6161"/>
    <n v="6579000000"/>
    <n v="4986"/>
    <n v="10010"/>
    <n v="2.0054151624549239E-4"/>
    <n v="4986"/>
    <x v="1"/>
    <n v="3"/>
    <x v="17"/>
  </r>
  <r>
    <d v="2026-05-13T00:00:00"/>
    <x v="104"/>
    <s v="STOCK"/>
    <n v="5"/>
    <s v="STOCK"/>
    <n v="5316509"/>
    <x v="29"/>
    <s v="UND"/>
    <n v="3"/>
    <m/>
    <n v="3"/>
    <n v="14549.6667"/>
    <n v="43649"/>
    <n v="43649"/>
    <n v="15433.3333"/>
    <n v="883.66669999999999"/>
    <n v="2651"/>
    <n v="5.7257019418083373E-2"/>
    <m/>
    <n v="315382"/>
    <m/>
    <n v="6161"/>
    <n v="6579000000"/>
    <n v="46299.999999"/>
    <n v="10010"/>
    <n v="-5.7257015242455786E-2"/>
    <n v="46299.999900000003"/>
    <x v="1"/>
    <n v="3"/>
    <x v="26"/>
  </r>
  <r>
    <d v="2026-05-13T00:00:00"/>
    <x v="104"/>
    <s v="STOCK"/>
    <n v="5"/>
    <s v="STOCK"/>
    <n v="5316507"/>
    <x v="28"/>
    <s v="UND"/>
    <n v="3"/>
    <m/>
    <n v="3"/>
    <n v="41766"/>
    <n v="125298"/>
    <n v="125298"/>
    <n v="41419.666700000002"/>
    <n v="-346.33330000000001"/>
    <n v="-1039"/>
    <n v="-8.3615673632625835E-3"/>
    <m/>
    <n v="315382"/>
    <m/>
    <n v="6161"/>
    <n v="6579000000"/>
    <n v="124259.00000099999"/>
    <n v="10010"/>
    <n v="8.3615665598776624E-3"/>
    <n v="124259.0001"/>
    <x v="1"/>
    <n v="3"/>
    <x v="25"/>
  </r>
  <r>
    <d v="2026-05-13T00:00:00"/>
    <x v="104"/>
    <s v="STOCK"/>
    <n v="5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5382"/>
    <m/>
    <n v="6161"/>
    <n v="6579000000"/>
    <n v="5052"/>
    <n v="10010"/>
    <n v="2.4742695961995246E-2"/>
    <n v="5052"/>
    <x v="1"/>
    <n v="3"/>
    <x v="100"/>
  </r>
  <r>
    <d v="2026-05-13T00:00:00"/>
    <x v="104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5382"/>
    <m/>
    <n v="6161"/>
    <n v="6579000000"/>
    <n v="6597"/>
    <n v="10010"/>
    <n v="0"/>
    <n v="6597"/>
    <x v="1"/>
    <n v="3"/>
    <x v="4"/>
  </r>
  <r>
    <d v="2026-05-13T00:00:00"/>
    <x v="104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5382"/>
    <m/>
    <n v="6161"/>
    <n v="6579000000"/>
    <n v="27366"/>
    <n v="10010"/>
    <n v="0"/>
    <n v="27366"/>
    <x v="1"/>
    <n v="3"/>
    <x v="132"/>
  </r>
  <r>
    <d v="2026-05-13T00:00:00"/>
    <x v="104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78"/>
    <n v="10032"/>
    <n v="6161"/>
    <n v="6579000000"/>
    <n v="8164.9821430000002"/>
    <n v="10010"/>
    <n v="2.1922889457194073E-6"/>
    <n v="8164.9821000000002"/>
    <x v="1"/>
    <n v="1"/>
    <x v="4"/>
  </r>
  <r>
    <d v="2026-05-13T00:00:00"/>
    <x v="104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78"/>
    <m/>
    <n v="6161"/>
    <n v="6579000000"/>
    <n v="1866.9503550000009"/>
    <n v="10010"/>
    <n v="2.6567390328128124E-5"/>
    <n v="1866.9503999999999"/>
    <x v="1"/>
    <n v="1"/>
    <x v="4"/>
  </r>
  <r>
    <d v="2026-05-13T00:00:00"/>
    <x v="104"/>
    <s v="STOCK"/>
    <n v="5"/>
    <s v="STOCK"/>
    <s v="081010x"/>
    <x v="224"/>
    <s v="RLL"/>
    <n v="50"/>
    <m/>
    <n v="50"/>
    <n v="328.28"/>
    <n v="16414"/>
    <n v="16414"/>
    <m/>
    <m/>
    <n v="-16414"/>
    <m/>
    <m/>
    <n v="315384"/>
    <n v="117519"/>
    <n v="6161"/>
    <n v="6579000000"/>
    <s v=""/>
    <n v="10010"/>
    <e v="#DIV/0!"/>
    <n v="0"/>
    <x v="1"/>
    <n v="50"/>
    <x v="100"/>
  </r>
  <r>
    <d v="2026-05-13T00:00:00"/>
    <x v="104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84"/>
    <m/>
    <n v="6161"/>
    <n v="6579000000"/>
    <n v="1866.9503550000009"/>
    <n v="10010"/>
    <n v="2.6567390328128124E-5"/>
    <n v="1866.9503999999999"/>
    <x v="1"/>
    <n v="1"/>
    <x v="4"/>
  </r>
  <r>
    <d v="2026-05-13T00:00:00"/>
    <x v="104"/>
    <s v="STOCK"/>
    <n v="5"/>
    <s v="STOCK"/>
    <n v="2505058"/>
    <x v="99"/>
    <s v="UND"/>
    <n v="6"/>
    <m/>
    <n v="6"/>
    <n v="16539.666700000002"/>
    <n v="99238"/>
    <n v="99238"/>
    <n v="17870.144100000001"/>
    <n v="1330.4774"/>
    <n v="7982.8644000000004"/>
    <n v="7.4452527985815961E-2"/>
    <m/>
    <n v="315384"/>
    <m/>
    <n v="6161"/>
    <n v="6579000000"/>
    <n v="107220.86440799999"/>
    <n v="10010"/>
    <n v="-7.445252777788175E-2"/>
    <n v="107220.8646"/>
    <x v="1"/>
    <n v="6"/>
    <x v="87"/>
  </r>
  <r>
    <d v="2026-05-13T00:00:00"/>
    <x v="104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97"/>
    <n v="705122"/>
    <n v="6161"/>
    <n v="6579000000"/>
    <n v="8164.9821430000002"/>
    <n v="10010"/>
    <n v="2.1922889457194073E-6"/>
    <n v="8164.9821000000002"/>
    <x v="1"/>
    <n v="1"/>
    <x v="4"/>
  </r>
  <r>
    <d v="2026-05-13T00:00:00"/>
    <x v="104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397"/>
    <m/>
    <n v="6161"/>
    <n v="6579000000"/>
    <n v="2109.0585420000002"/>
    <n v="10010"/>
    <n v="8.0102804165934655E-2"/>
    <n v="2109.0585000000001"/>
    <x v="1"/>
    <n v="1"/>
    <x v="28"/>
  </r>
  <r>
    <d v="2026-05-13T00:00:00"/>
    <x v="104"/>
    <s v="STOCK"/>
    <n v="5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5397"/>
    <m/>
    <n v="6161"/>
    <n v="6579000000"/>
    <n v="145847"/>
    <n v="10010"/>
    <n v="-2.2729298511453784E-2"/>
    <n v="145847"/>
    <x v="1"/>
    <n v="1"/>
    <x v="126"/>
  </r>
  <r>
    <d v="2026-05-13T00:00:00"/>
    <x v="104"/>
    <s v="STOCK"/>
    <n v="5"/>
    <s v="STOCK"/>
    <n v="1803045"/>
    <x v="164"/>
    <s v="KIT"/>
    <n v="1"/>
    <m/>
    <n v="1"/>
    <n v="51882"/>
    <n v="51882"/>
    <n v="51882"/>
    <n v="51873"/>
    <n v="-9"/>
    <n v="-9"/>
    <n v="-1.7350066508602311E-4"/>
    <m/>
    <n v="315397"/>
    <m/>
    <n v="6161"/>
    <n v="6579000000"/>
    <n v="51872.999999999993"/>
    <n v="10010"/>
    <n v="1.7350066508588284E-4"/>
    <n v="51873"/>
    <x v="0"/>
    <n v="1"/>
    <x v="57"/>
  </r>
  <r>
    <d v="2026-05-13T00:00:00"/>
    <x v="104"/>
    <s v="STOCK"/>
    <n v="5"/>
    <s v="STOCK"/>
    <n v="1803044"/>
    <x v="163"/>
    <s v="KIT"/>
    <n v="3"/>
    <m/>
    <n v="3"/>
    <n v="51876"/>
    <n v="155628"/>
    <n v="155628"/>
    <n v="52920"/>
    <n v="1044"/>
    <n v="3132"/>
    <n v="1.9727891156462583E-2"/>
    <m/>
    <n v="315397"/>
    <m/>
    <n v="6161"/>
    <n v="6579000000"/>
    <n v="158760"/>
    <n v="10010"/>
    <n v="-1.9727891156462583E-2"/>
    <n v="158760"/>
    <x v="1"/>
    <n v="3"/>
    <x v="100"/>
  </r>
  <r>
    <d v="2026-05-13T00:00:00"/>
    <x v="104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397"/>
    <m/>
    <n v="6161"/>
    <n v="6579000000"/>
    <n v="959764.51785405388"/>
    <n v="10010"/>
    <n v="-0.96749640146098337"/>
    <n v="959764.5"/>
    <x v="1"/>
    <n v="9000"/>
    <x v="63"/>
  </r>
  <r>
    <d v="2026-05-13T00:00:00"/>
    <x v="104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97"/>
    <m/>
    <n v="6161"/>
    <n v="6579000000"/>
    <n v="30952.44"/>
    <n v="10010"/>
    <n v="-8.9077242923396804E-2"/>
    <n v="30952.350000000002"/>
    <x v="1"/>
    <n v="4500"/>
    <x v="4"/>
  </r>
  <r>
    <d v="2026-05-13T00:00:00"/>
    <x v="104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397"/>
    <m/>
    <n v="6161"/>
    <n v="6579000000"/>
    <n v="5522.1226860000006"/>
    <n v="10010"/>
    <n v="-0.2452177629950569"/>
    <n v="5522.1228000000001"/>
    <x v="1"/>
    <n v="6"/>
    <x v="4"/>
  </r>
  <r>
    <d v="2026-05-13T00:00:00"/>
    <x v="104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397"/>
    <m/>
    <n v="6161"/>
    <n v="6579000000"/>
    <s v=""/>
    <n v="10010"/>
    <e v="#DIV/0!"/>
    <n v="0"/>
    <x v="1"/>
    <n v="3"/>
    <x v="100"/>
  </r>
  <r>
    <d v="2026-05-13T00:00:00"/>
    <x v="104"/>
    <s v="STOCK"/>
    <n v="5"/>
    <s v="STOCK"/>
    <n v="1101298"/>
    <x v="265"/>
    <s v="UND"/>
    <n v="1"/>
    <m/>
    <n v="1"/>
    <n v="73070"/>
    <n v="73070"/>
    <n v="73070"/>
    <m/>
    <m/>
    <n v="-73070"/>
    <m/>
    <m/>
    <n v="315397"/>
    <m/>
    <n v="6161"/>
    <n v="6579000000"/>
    <s v=""/>
    <n v="10010"/>
    <e v="#DIV/0!"/>
    <n v="0"/>
    <x v="1"/>
    <n v="1"/>
    <x v="100"/>
  </r>
  <r>
    <d v="2026-05-13T00:00:00"/>
    <x v="104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397"/>
    <m/>
    <n v="6161"/>
    <n v="6579000000"/>
    <n v="10344.000000000002"/>
    <n v="10010"/>
    <n v="0.18551821345707656"/>
    <n v="10344"/>
    <x v="1"/>
    <n v="12"/>
    <x v="4"/>
  </r>
  <r>
    <d v="2026-05-13T00:00:00"/>
    <x v="104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397"/>
    <m/>
    <n v="6161"/>
    <n v="6579000000"/>
    <n v="209535.01289999983"/>
    <n v="10010"/>
    <n v="-0.33256022466126312"/>
    <n v="209535.01"/>
    <x v="0"/>
    <n v="100"/>
    <x v="121"/>
  </r>
  <r>
    <d v="2026-05-13T00:00:00"/>
    <x v="104"/>
    <s v="STOCK"/>
    <n v="5"/>
    <s v="STOCK"/>
    <n v="1405040"/>
    <x v="179"/>
    <s v="UND"/>
    <n v="1"/>
    <m/>
    <n v="1"/>
    <n v="7574"/>
    <n v="7574"/>
    <n v="7574"/>
    <n v="7568"/>
    <n v="-6"/>
    <n v="-6"/>
    <n v="-7.9281183932346721E-4"/>
    <m/>
    <n v="315397"/>
    <m/>
    <n v="6161"/>
    <n v="6579000000"/>
    <n v="7568"/>
    <n v="10010"/>
    <n v="7.9281183932346721E-4"/>
    <n v="7568"/>
    <x v="1"/>
    <n v="1"/>
    <x v="113"/>
  </r>
  <r>
    <d v="2026-05-13T00:00:00"/>
    <x v="104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397"/>
    <m/>
    <n v="6161"/>
    <n v="6579000000"/>
    <n v="7557.04882"/>
    <n v="10010"/>
    <n v="-4.4203630279491375E-2"/>
    <n v="7557.0489999999991"/>
    <x v="1"/>
    <n v="10"/>
    <x v="4"/>
  </r>
  <r>
    <d v="2026-05-13T00:00:00"/>
    <x v="104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397"/>
    <m/>
    <n v="6161"/>
    <n v="6579000000"/>
    <n v="12252.718236000001"/>
    <n v="10010"/>
    <n v="-0.16834782015961158"/>
    <n v="12252.718199999999"/>
    <x v="1"/>
    <n v="6"/>
    <x v="82"/>
  </r>
  <r>
    <d v="2026-05-13T00:00:00"/>
    <x v="104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397"/>
    <m/>
    <n v="6161"/>
    <n v="6579000000"/>
    <n v="28575.132740000001"/>
    <n v="10010"/>
    <n v="2.3750370645694318E-3"/>
    <n v="28575.133000000002"/>
    <x v="1"/>
    <n v="10"/>
    <x v="81"/>
  </r>
  <r>
    <d v="2026-05-14T00:00:00"/>
    <x v="105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5534"/>
    <n v="11296181"/>
    <n v="6161"/>
    <n v="6579000000"/>
    <n v="319921.50595135131"/>
    <n v="10010"/>
    <n v="-0.96749546373094641"/>
    <n v="319921.5"/>
    <x v="1"/>
    <n v="3000"/>
    <x v="63"/>
  </r>
  <r>
    <d v="2026-05-14T00:00:00"/>
    <x v="105"/>
    <s v="STOCK"/>
    <n v="5"/>
    <s v="STOCK"/>
    <n v="1901086"/>
    <x v="149"/>
    <s v="M2"/>
    <n v="81"/>
    <m/>
    <n v="81"/>
    <n v="3596.8148000000001"/>
    <n v="291342"/>
    <n v="291342"/>
    <n v="3711.587"/>
    <n v="114.7722"/>
    <n v="9296.5503000000008"/>
    <n v="3.0922682108045826E-2"/>
    <m/>
    <n v="315534"/>
    <m/>
    <n v="6161"/>
    <n v="6579000000"/>
    <n v="300638.55032100005"/>
    <n v="10010"/>
    <n v="-3.0922675394649213E-2"/>
    <n v="300638.54700000002"/>
    <x v="0"/>
    <n v="81"/>
    <x v="96"/>
  </r>
  <r>
    <d v="2026-05-14T00:00:00"/>
    <x v="105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5534"/>
    <m/>
    <n v="6161"/>
    <n v="6579000000"/>
    <n v="426784.74735800002"/>
    <n v="10010"/>
    <n v="-6.5278244116161135E-2"/>
    <n v="426784.75159999996"/>
    <x v="1"/>
    <n v="202"/>
    <x v="101"/>
  </r>
  <r>
    <d v="2026-05-14T00:00:00"/>
    <x v="105"/>
    <s v="STOCK"/>
    <n v="5"/>
    <s v="STOCK"/>
    <n v="1901038"/>
    <x v="14"/>
    <s v="M2"/>
    <n v="108"/>
    <m/>
    <n v="108"/>
    <n v="4652.4074000000001"/>
    <n v="502460"/>
    <n v="502460"/>
    <n v="4197.4179000000004"/>
    <n v="-454.98950000000002"/>
    <n v="-49138.869500000001"/>
    <n v="-0.10839748291856852"/>
    <m/>
    <n v="315534"/>
    <m/>
    <n v="6161"/>
    <n v="6579000000"/>
    <n v="453321.13050000009"/>
    <n v="10010"/>
    <n v="0.10839747455215255"/>
    <n v="453321.13320000004"/>
    <x v="0"/>
    <n v="108"/>
    <x v="12"/>
  </r>
  <r>
    <d v="2026-05-14T00:00:00"/>
    <x v="105"/>
    <s v="STOCK"/>
    <n v="5"/>
    <s v="STOCK"/>
    <n v="609008"/>
    <x v="30"/>
    <s v="LTS"/>
    <n v="2"/>
    <m/>
    <n v="2"/>
    <n v="2018.5"/>
    <n v="4037"/>
    <n v="4037"/>
    <n v="2130.7573000000002"/>
    <n v="112.2573"/>
    <n v="224.5146"/>
    <n v="5.268423084748209E-2"/>
    <m/>
    <n v="315534"/>
    <m/>
    <n v="6161"/>
    <n v="6579000000"/>
    <n v="4261.5146199999999"/>
    <n v="10010"/>
    <n v="-5.2684226401571027E-2"/>
    <n v="4261.5146000000004"/>
    <x v="1"/>
    <n v="2"/>
    <x v="27"/>
  </r>
  <r>
    <d v="2026-05-14T00:00:00"/>
    <x v="105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34"/>
    <m/>
    <n v="6161"/>
    <n v="6579000000"/>
    <n v="12252.718236000001"/>
    <n v="10010"/>
    <n v="-0.16834782015961158"/>
    <n v="12252.718199999999"/>
    <x v="1"/>
    <n v="6"/>
    <x v="82"/>
  </r>
  <r>
    <d v="2026-05-14T00:00:00"/>
    <x v="105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34"/>
    <m/>
    <n v="6161"/>
    <n v="6579000000"/>
    <n v="5522.1226860000006"/>
    <n v="10010"/>
    <n v="-0.2452177629950569"/>
    <n v="5522.1228000000001"/>
    <x v="1"/>
    <n v="6"/>
    <x v="4"/>
  </r>
  <r>
    <d v="2026-05-14T00:00:00"/>
    <x v="105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5534"/>
    <m/>
    <n v="6161"/>
    <n v="6579000000"/>
    <n v="209999.76960000017"/>
    <n v="10010"/>
    <n v="2.4467885106154486E-2"/>
    <n v="209999.75999999998"/>
    <x v="1"/>
    <n v="300"/>
    <x v="4"/>
  </r>
  <r>
    <d v="2026-05-14T00:00:00"/>
    <x v="105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5534"/>
    <m/>
    <n v="6161"/>
    <n v="6579000000"/>
    <n v="3564912"/>
    <n v="10010"/>
    <n v="-0.19905091895676522"/>
    <n v="3564912"/>
    <x v="0"/>
    <n v="624"/>
    <x v="4"/>
  </r>
  <r>
    <d v="2026-05-14T00:00:00"/>
    <x v="105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534"/>
    <m/>
    <n v="6161"/>
    <n v="6579000000"/>
    <n v="10545.292710000002"/>
    <n v="10010"/>
    <n v="8.0197633209320524E-2"/>
    <n v="10545.2925"/>
    <x v="1"/>
    <n v="5"/>
    <x v="28"/>
  </r>
  <r>
    <d v="2026-05-14T00:00:00"/>
    <x v="105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5534"/>
    <m/>
    <n v="6161"/>
    <n v="6579000000"/>
    <n v="22557.545454999999"/>
    <n v="10010"/>
    <n v="2.014846872412716E-5"/>
    <n v="22557.5455"/>
    <x v="1"/>
    <n v="1"/>
    <x v="4"/>
  </r>
  <r>
    <d v="2026-05-14T00:00:00"/>
    <x v="105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534"/>
    <m/>
    <n v="6161"/>
    <n v="6579000000"/>
    <n v="10344.000000000002"/>
    <n v="10010"/>
    <n v="0.18551821345707656"/>
    <n v="10344"/>
    <x v="1"/>
    <n v="12"/>
    <x v="4"/>
  </r>
  <r>
    <d v="2026-05-14T00:00:00"/>
    <x v="105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5534"/>
    <m/>
    <n v="6161"/>
    <n v="6579000000"/>
    <n v="16517.660688"/>
    <n v="10010"/>
    <n v="2.3994899422923075E-2"/>
    <n v="16517.660400000001"/>
    <x v="1"/>
    <n v="12"/>
    <x v="4"/>
  </r>
  <r>
    <d v="2026-05-14T00:00:00"/>
    <x v="105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5534"/>
    <m/>
    <n v="6161"/>
    <n v="6579000000"/>
    <n v="614388.11140000017"/>
    <n v="10010"/>
    <n v="-1.8229519378380471E-7"/>
    <n v="614388.11199999996"/>
    <x v="0"/>
    <n v="40"/>
    <x v="3"/>
  </r>
  <r>
    <d v="2026-05-14T00:00:00"/>
    <x v="105"/>
    <s v="STOCK"/>
    <n v="5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5534"/>
    <m/>
    <n v="6161"/>
    <n v="6579000000"/>
    <n v="127277.99999999996"/>
    <n v="10010"/>
    <n v="0"/>
    <n v="127278"/>
    <x v="1"/>
    <n v="6"/>
    <x v="5"/>
  </r>
  <r>
    <d v="2026-05-14T00:00:00"/>
    <x v="105"/>
    <s v="STOCK"/>
    <n v="5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5534"/>
    <m/>
    <n v="6161"/>
    <n v="6579000000"/>
    <n v="301407.95091999992"/>
    <n v="10010"/>
    <n v="3.2198553381891068E-4"/>
    <n v="301407.951"/>
    <x v="1"/>
    <n v="2"/>
    <x v="4"/>
  </r>
  <r>
    <d v="2026-05-14T00:00:00"/>
    <x v="105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534"/>
    <m/>
    <n v="6161"/>
    <n v="6579000000"/>
    <n v="47424.586669999997"/>
    <n v="10010"/>
    <n v="8.7085629232500571E-6"/>
    <n v="47424.587"/>
    <x v="1"/>
    <n v="10"/>
    <x v="4"/>
  </r>
  <r>
    <d v="2026-05-14T00:00:00"/>
    <x v="105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5534"/>
    <m/>
    <n v="6161"/>
    <n v="6579000000"/>
    <n v="2961510.1115760002"/>
    <n v="10010"/>
    <n v="-5.7529811581396841E-2"/>
    <n v="2961510.12"/>
    <x v="0"/>
    <n v="216"/>
    <x v="2"/>
  </r>
  <r>
    <d v="2026-05-14T00:00:00"/>
    <x v="105"/>
    <s v="STOCK"/>
    <n v="5"/>
    <s v="STOCK"/>
    <n v="302028"/>
    <x v="72"/>
    <s v="PZA"/>
    <n v="120"/>
    <m/>
    <n v="120"/>
    <n v="4940.6000000000004"/>
    <n v="592872"/>
    <n v="592872"/>
    <n v="5123.8024999999998"/>
    <n v="183.20249999999999"/>
    <n v="21984.303199999998"/>
    <n v="3.5755188853319603E-2"/>
    <m/>
    <n v="315534"/>
    <m/>
    <n v="6161"/>
    <n v="6579000000"/>
    <n v="614856.30324000015"/>
    <n v="10010"/>
    <n v="-3.5755183772208127E-2"/>
    <n v="614856.29999999993"/>
    <x v="0"/>
    <n v="120"/>
    <x v="65"/>
  </r>
  <r>
    <d v="2026-05-14T00:00:00"/>
    <x v="105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534"/>
    <m/>
    <n v="6161"/>
    <n v="6579000000"/>
    <n v="1106302.4691599987"/>
    <n v="10010"/>
    <n v="1.413404863746349E-2"/>
    <n v="1106302.4616"/>
    <x v="0"/>
    <n v="168"/>
    <x v="95"/>
  </r>
  <r>
    <d v="2026-05-14T00:00:00"/>
    <x v="105"/>
    <s v="STOCK"/>
    <n v="5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5534"/>
    <m/>
    <n v="6161"/>
    <n v="6579000000"/>
    <n v="595580"/>
    <n v="10010"/>
    <n v="0.31116894455824584"/>
    <n v="595580"/>
    <x v="0"/>
    <n v="20"/>
    <x v="4"/>
  </r>
  <r>
    <d v="2026-05-14T00:00:00"/>
    <x v="105"/>
    <s v="STOCK"/>
    <n v="5"/>
    <s v="STOCK"/>
    <n v="1901008"/>
    <x v="6"/>
    <s v="M2"/>
    <n v="270"/>
    <m/>
    <n v="270"/>
    <n v="2087.5369999999998"/>
    <n v="563635"/>
    <n v="563635"/>
    <n v="2112.7957999999999"/>
    <n v="25.258700000000001"/>
    <n v="6819.8603000000003"/>
    <n v="1.1955127047308951E-2"/>
    <m/>
    <n v="315534"/>
    <m/>
    <n v="6161"/>
    <n v="6579000000"/>
    <n v="570454.86033000005"/>
    <n v="10010"/>
    <n v="-1.1955154397788971E-2"/>
    <n v="570454.86599999992"/>
    <x v="0"/>
    <n v="270"/>
    <x v="6"/>
  </r>
  <r>
    <d v="2026-05-15T00:00:00"/>
    <x v="106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5560"/>
    <n v="2718059"/>
    <n v="6161"/>
    <n v="6579000000"/>
    <n v="466856.99999999994"/>
    <n v="10010"/>
    <n v="1.6493358780096941E-4"/>
    <n v="466857"/>
    <x v="0"/>
    <n v="9"/>
    <x v="57"/>
  </r>
  <r>
    <d v="2026-05-15T00:00:00"/>
    <x v="106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5560"/>
    <m/>
    <n v="6161"/>
    <n v="6579000000"/>
    <n v="476280"/>
    <n v="10010"/>
    <n v="-1.9729990551776301E-2"/>
    <n v="476280"/>
    <x v="1"/>
    <n v="9"/>
    <x v="100"/>
  </r>
  <r>
    <d v="2026-05-15T00:00:00"/>
    <x v="106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5560"/>
    <m/>
    <n v="6161"/>
    <n v="6579000000"/>
    <n v="132156"/>
    <n v="10010"/>
    <n v="2.4213838191228334E-3"/>
    <n v="132156"/>
    <x v="1"/>
    <n v="36"/>
    <x v="40"/>
  </r>
  <r>
    <d v="2026-05-15T00:00:00"/>
    <x v="106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60"/>
    <m/>
    <n v="6161"/>
    <n v="6579000000"/>
    <n v="12252.718236000001"/>
    <n v="10010"/>
    <n v="-0.16834782015961158"/>
    <n v="12252.718199999999"/>
    <x v="1"/>
    <n v="6"/>
    <x v="82"/>
  </r>
  <r>
    <d v="2026-05-15T00:00:00"/>
    <x v="106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60"/>
    <m/>
    <n v="6161"/>
    <n v="6579000000"/>
    <n v="5522.1226860000006"/>
    <n v="10010"/>
    <n v="-0.2452177629950569"/>
    <n v="5522.1228000000001"/>
    <x v="1"/>
    <n v="6"/>
    <x v="4"/>
  </r>
  <r>
    <d v="2026-05-15T00:00:00"/>
    <x v="106"/>
    <s v="STOCK"/>
    <n v="5"/>
    <s v="STOCK"/>
    <n v="617016"/>
    <x v="93"/>
    <s v="UND"/>
    <n v="6"/>
    <m/>
    <n v="6"/>
    <n v="2864.3332999999998"/>
    <n v="17186"/>
    <n v="17186"/>
    <n v="2857.5133000000001"/>
    <n v="-6.8201000000000001"/>
    <n v="-40.920400000000001"/>
    <n v="-2.3867113393271238E-3"/>
    <m/>
    <n v="315560"/>
    <m/>
    <n v="6161"/>
    <n v="6579000000"/>
    <n v="17145.079643999998"/>
    <n v="10010"/>
    <n v="2.3866905536361663E-3"/>
    <n v="17145.0798"/>
    <x v="1"/>
    <n v="6"/>
    <x v="81"/>
  </r>
  <r>
    <d v="2026-05-15T00:00:00"/>
    <x v="106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560"/>
    <m/>
    <n v="6161"/>
    <n v="6579000000"/>
    <n v="41376.000000000007"/>
    <n v="10010"/>
    <n v="0.18551821345707656"/>
    <n v="41376"/>
    <x v="1"/>
    <n v="48"/>
    <x v="4"/>
  </r>
  <r>
    <d v="2026-05-15T00:00:00"/>
    <x v="106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560"/>
    <m/>
    <n v="6161"/>
    <n v="6579000000"/>
    <n v="33035.321376"/>
    <n v="10010"/>
    <n v="2.3994899422923075E-2"/>
    <n v="33035.320800000001"/>
    <x v="1"/>
    <n v="24"/>
    <x v="4"/>
  </r>
  <r>
    <d v="2026-05-15T00:00:00"/>
    <x v="106"/>
    <s v="STOCK"/>
    <n v="5"/>
    <s v="STOCK"/>
    <n v="2304008"/>
    <x v="223"/>
    <s v="UND"/>
    <n v="24"/>
    <m/>
    <n v="24"/>
    <n v="2550"/>
    <n v="61200"/>
    <n v="61200"/>
    <m/>
    <m/>
    <n v="-61200"/>
    <m/>
    <m/>
    <n v="315560"/>
    <m/>
    <n v="6161"/>
    <n v="6579000000"/>
    <s v=""/>
    <n v="10010"/>
    <e v="#DIV/0!"/>
    <n v="0"/>
    <x v="1"/>
    <n v="24"/>
    <x v="100"/>
  </r>
  <r>
    <d v="2026-05-15T00:00:00"/>
    <x v="106"/>
    <s v="STOCK"/>
    <n v="5"/>
    <s v="STOCK"/>
    <n v="412132"/>
    <x v="239"/>
    <s v="UND"/>
    <n v="8"/>
    <m/>
    <n v="8"/>
    <n v="1037.5"/>
    <n v="8300"/>
    <n v="8300"/>
    <m/>
    <m/>
    <n v="-8300"/>
    <m/>
    <m/>
    <n v="315560"/>
    <m/>
    <n v="6161"/>
    <n v="6579000000"/>
    <s v=""/>
    <n v="10010"/>
    <e v="#DIV/0!"/>
    <n v="0"/>
    <x v="1"/>
    <n v="8"/>
    <x v="100"/>
  </r>
  <r>
    <d v="2026-05-15T00:00:00"/>
    <x v="106"/>
    <s v="STOCK"/>
    <n v="5"/>
    <s v="STOCK"/>
    <n v="412016"/>
    <x v="238"/>
    <s v="UND"/>
    <n v="8"/>
    <m/>
    <n v="8"/>
    <n v="4210.375"/>
    <n v="33683"/>
    <n v="33683"/>
    <m/>
    <m/>
    <n v="-33683"/>
    <m/>
    <m/>
    <n v="315560"/>
    <m/>
    <n v="6161"/>
    <n v="6579000000"/>
    <s v=""/>
    <n v="10010"/>
    <e v="#DIV/0!"/>
    <n v="0"/>
    <x v="1"/>
    <n v="8"/>
    <x v="100"/>
  </r>
  <r>
    <d v="2026-05-15T00:00:00"/>
    <x v="106"/>
    <s v="STOCK"/>
    <n v="5"/>
    <s v="STOCK"/>
    <n v="609008"/>
    <x v="30"/>
    <s v="LTS"/>
    <n v="5"/>
    <m/>
    <n v="5"/>
    <n v="2018.6"/>
    <n v="10093"/>
    <n v="10093"/>
    <n v="2130.7573000000002"/>
    <n v="112.15730000000001"/>
    <n v="560.78660000000002"/>
    <n v="5.2637299176976682E-2"/>
    <m/>
    <n v="315560"/>
    <m/>
    <n v="6161"/>
    <n v="6579000000"/>
    <n v="10653.786550000001"/>
    <n v="10010"/>
    <n v="-5.2637294730845365E-2"/>
    <n v="10653.786500000002"/>
    <x v="1"/>
    <n v="5"/>
    <x v="27"/>
  </r>
  <r>
    <d v="2026-05-15T00:00:00"/>
    <x v="106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560"/>
    <m/>
    <n v="6161"/>
    <n v="6579000000"/>
    <n v="209535.01289999983"/>
    <n v="10010"/>
    <n v="-0.33256022466126312"/>
    <n v="209535.01"/>
    <x v="0"/>
    <n v="100"/>
    <x v="121"/>
  </r>
  <r>
    <d v="2026-05-15T00:00:00"/>
    <x v="106"/>
    <s v="STOCK"/>
    <n v="5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5560"/>
    <m/>
    <n v="6161"/>
    <n v="6579000000"/>
    <n v="47567.500819999994"/>
    <n v="10010"/>
    <n v="-8.2840174488884255E-2"/>
    <n v="47567.5"/>
    <x v="1"/>
    <n v="20"/>
    <x v="4"/>
  </r>
  <r>
    <d v="2026-05-15T00:00:00"/>
    <x v="106"/>
    <s v="STOCK"/>
    <n v="5"/>
    <s v="STOCK"/>
    <n v="601047"/>
    <x v="89"/>
    <s v="TIN"/>
    <n v="4"/>
    <m/>
    <n v="4"/>
    <n v="49501.5"/>
    <n v="198006"/>
    <n v="198006"/>
    <n v="50286.86"/>
    <n v="785.36"/>
    <n v="3141.44"/>
    <n v="1.5617598712665706E-2"/>
    <m/>
    <n v="315560"/>
    <m/>
    <n v="6161"/>
    <n v="6579000000"/>
    <n v="201147.44"/>
    <n v="10010"/>
    <n v="-1.5617598712665706E-2"/>
    <n v="201147.44"/>
    <x v="1"/>
    <n v="4"/>
    <x v="77"/>
  </r>
  <r>
    <d v="2026-05-15T00:00:00"/>
    <x v="106"/>
    <s v="STOCK"/>
    <n v="5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5560"/>
    <m/>
    <n v="6161"/>
    <n v="6579000000"/>
    <n v="191558"/>
    <n v="10010"/>
    <n v="1.0440702032804685E-5"/>
    <n v="191558"/>
    <x v="1"/>
    <n v="4"/>
    <x v="4"/>
  </r>
  <r>
    <d v="2026-05-15T00:00:00"/>
    <x v="106"/>
    <s v="STOCK"/>
    <n v="5"/>
    <s v="STOCK"/>
    <n v="602254"/>
    <x v="142"/>
    <s v="TIN"/>
    <n v="4"/>
    <m/>
    <n v="4"/>
    <n v="46060"/>
    <n v="184240"/>
    <n v="184240"/>
    <n v="46060"/>
    <n v="0"/>
    <n v="0"/>
    <n v="0"/>
    <m/>
    <n v="315560"/>
    <m/>
    <n v="6161"/>
    <n v="6579000000"/>
    <n v="184240"/>
    <n v="10010"/>
    <n v="0"/>
    <n v="184240"/>
    <x v="1"/>
    <n v="4"/>
    <x v="4"/>
  </r>
  <r>
    <d v="2026-05-15T00:00:00"/>
    <x v="106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560"/>
    <m/>
    <n v="6161"/>
    <n v="6579000000"/>
    <n v="350000.00000000029"/>
    <n v="10010"/>
    <n v="0"/>
    <n v="350000"/>
    <x v="1"/>
    <n v="10"/>
    <x v="89"/>
  </r>
  <r>
    <d v="2026-05-15T00:00:00"/>
    <x v="106"/>
    <s v="STOCK"/>
    <n v="5"/>
    <s v="STOCK"/>
    <n v="404252"/>
    <x v="118"/>
    <s v="UND"/>
    <n v="28"/>
    <m/>
    <n v="28"/>
    <n v="1544.2143000000001"/>
    <n v="43238"/>
    <n v="43238"/>
    <n v="1110.0438999999999"/>
    <n v="-434.17039999999997"/>
    <n v="-12156.771500000001"/>
    <n v="-0.39112905273510634"/>
    <m/>
    <n v="315560"/>
    <m/>
    <n v="6161"/>
    <n v="6579000000"/>
    <n v="31081.228528"/>
    <n v="10010"/>
    <n v="0.39112903552733386"/>
    <n v="31081.229199999998"/>
    <x v="1"/>
    <n v="28"/>
    <x v="4"/>
  </r>
  <r>
    <d v="2026-05-15T00:00:00"/>
    <x v="106"/>
    <s v="STOCK"/>
    <n v="5"/>
    <s v="STOCK"/>
    <n v="704025"/>
    <x v="200"/>
    <s v="UND"/>
    <n v="30"/>
    <m/>
    <n v="30"/>
    <n v="579.9"/>
    <n v="17397"/>
    <n v="17397"/>
    <n v="580"/>
    <n v="0.1"/>
    <n v="3"/>
    <n v="1.7241379310348748E-4"/>
    <m/>
    <n v="315560"/>
    <m/>
    <n v="6161"/>
    <n v="6579000000"/>
    <n v="17400"/>
    <n v="10010"/>
    <n v="-1.7241379310348748E-4"/>
    <n v="17400"/>
    <x v="1"/>
    <n v="30"/>
    <x v="124"/>
  </r>
  <r>
    <d v="2026-05-15T00:00:00"/>
    <x v="106"/>
    <s v="STOCK"/>
    <n v="5"/>
    <s v="STOCK"/>
    <n v="704023"/>
    <x v="231"/>
    <s v="UND"/>
    <n v="40"/>
    <m/>
    <n v="40"/>
    <n v="324"/>
    <n v="12960"/>
    <n v="12960"/>
    <n v="324"/>
    <n v="0"/>
    <n v="0"/>
    <n v="0"/>
    <m/>
    <n v="315560"/>
    <m/>
    <n v="6161"/>
    <n v="6579000000"/>
    <n v="12960"/>
    <n v="10010"/>
    <n v="0"/>
    <n v="12960"/>
    <x v="1"/>
    <n v="40"/>
    <x v="143"/>
  </r>
  <r>
    <d v="2026-05-15T00:00:00"/>
    <x v="106"/>
    <s v="STOCK"/>
    <n v="5"/>
    <s v="STOCK"/>
    <n v="1801735"/>
    <x v="43"/>
    <s v="UND"/>
    <n v="20"/>
    <m/>
    <n v="20"/>
    <n v="3819.3"/>
    <n v="76386"/>
    <n v="76386"/>
    <n v="3495"/>
    <n v="-324.3"/>
    <n v="-6486"/>
    <n v="-9.2789699570815509E-2"/>
    <m/>
    <n v="315560"/>
    <m/>
    <n v="6161"/>
    <n v="6579000000"/>
    <n v="69900"/>
    <n v="10010"/>
    <n v="9.2789699570815509E-2"/>
    <n v="69900"/>
    <x v="1"/>
    <n v="20"/>
    <x v="39"/>
  </r>
  <r>
    <d v="2026-05-15T00:00:00"/>
    <x v="106"/>
    <s v="STOCK"/>
    <n v="5"/>
    <s v="STOCK"/>
    <n v="2302017"/>
    <x v="106"/>
    <s v="TIN"/>
    <n v="2"/>
    <m/>
    <n v="2"/>
    <n v="83400"/>
    <n v="166800"/>
    <n v="166800"/>
    <n v="81197.881599999993"/>
    <n v="-2202.1183999999998"/>
    <n v="-4404.2367999999997"/>
    <n v="-2.7120392529668531E-2"/>
    <m/>
    <n v="315560"/>
    <m/>
    <n v="6161"/>
    <n v="6579000000"/>
    <n v="162395.76315799996"/>
    <n v="10010"/>
    <n v="2.7120392264026835E-2"/>
    <n v="162395.76319999999"/>
    <x v="1"/>
    <n v="2"/>
    <x v="4"/>
  </r>
  <r>
    <d v="2026-05-15T00:00:00"/>
    <x v="106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5563"/>
    <n v="1520185"/>
    <n v="6161"/>
    <n v="6579000000"/>
    <n v="1482000"/>
    <n v="10010"/>
    <n v="1.417004048582996E-2"/>
    <n v="1482000"/>
    <x v="1"/>
    <n v="10"/>
    <x v="4"/>
  </r>
  <r>
    <d v="2026-05-15T00:00:00"/>
    <x v="106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5563"/>
    <m/>
    <n v="6161"/>
    <n v="6579000000"/>
    <n v="17145.079643999998"/>
    <n v="10010"/>
    <n v="2.3283881128392811E-3"/>
    <n v="17145.0798"/>
    <x v="1"/>
    <n v="6"/>
    <x v="81"/>
  </r>
  <r>
    <d v="2026-05-15T00:00:00"/>
    <x v="106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566"/>
    <n v="2195605"/>
    <n v="6161"/>
    <n v="6579000000"/>
    <s v=""/>
    <n v="10010"/>
    <e v="#DIV/0!"/>
    <n v="0"/>
    <x v="1"/>
    <n v="3"/>
    <x v="100"/>
  </r>
  <r>
    <d v="2026-05-15T00:00:00"/>
    <x v="106"/>
    <s v="STOCK"/>
    <n v="5"/>
    <s v="STOCK"/>
    <n v="1101298"/>
    <x v="265"/>
    <s v="UND"/>
    <n v="1"/>
    <m/>
    <n v="1"/>
    <n v="73070"/>
    <n v="73070"/>
    <n v="73070"/>
    <m/>
    <m/>
    <n v="-73070"/>
    <m/>
    <m/>
    <n v="315566"/>
    <m/>
    <n v="6161"/>
    <n v="6579000000"/>
    <s v=""/>
    <n v="10010"/>
    <e v="#DIV/0!"/>
    <n v="0"/>
    <x v="1"/>
    <n v="1"/>
    <x v="100"/>
  </r>
  <r>
    <d v="2026-05-15T00:00:00"/>
    <x v="106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566"/>
    <m/>
    <n v="6161"/>
    <n v="6579000000"/>
    <n v="18127.697214000003"/>
    <n v="10010"/>
    <n v="1.6681655332450576E-5"/>
    <n v="18127.697400000001"/>
    <x v="1"/>
    <n v="6"/>
    <x v="52"/>
  </r>
  <r>
    <d v="2026-05-15T00:00:00"/>
    <x v="106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566"/>
    <m/>
    <n v="6161"/>
    <n v="6579000000"/>
    <n v="1410"/>
    <n v="10010"/>
    <n v="3.6879432624113473E-2"/>
    <n v="1410"/>
    <x v="1"/>
    <n v="1"/>
    <x v="141"/>
  </r>
  <r>
    <d v="2026-05-15T00:00:00"/>
    <x v="106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566"/>
    <m/>
    <n v="6161"/>
    <n v="6579000000"/>
    <n v="1598"/>
    <n v="10010"/>
    <n v="5.8197747183979978E-2"/>
    <n v="1598"/>
    <x v="1"/>
    <n v="1"/>
    <x v="142"/>
  </r>
  <r>
    <d v="2026-05-15T00:00:00"/>
    <x v="106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566"/>
    <m/>
    <n v="6161"/>
    <n v="6579000000"/>
    <n v="5084"/>
    <n v="10010"/>
    <n v="-2.9504327301337532E-3"/>
    <n v="5084"/>
    <x v="1"/>
    <n v="1"/>
    <x v="140"/>
  </r>
  <r>
    <d v="2026-05-15T00:00:00"/>
    <x v="106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566"/>
    <m/>
    <n v="6161"/>
    <n v="6579000000"/>
    <n v="4798"/>
    <n v="10010"/>
    <n v="-2.7094622759483117E-3"/>
    <n v="4798"/>
    <x v="1"/>
    <n v="1"/>
    <x v="139"/>
  </r>
  <r>
    <d v="2026-05-15T00:00:00"/>
    <x v="106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566"/>
    <m/>
    <n v="6161"/>
    <n v="6579000000"/>
    <n v="6738"/>
    <n v="10010"/>
    <n v="-7.2721875927574944E-3"/>
    <n v="6738"/>
    <x v="1"/>
    <n v="1"/>
    <x v="138"/>
  </r>
  <r>
    <d v="2026-05-15T00:00:00"/>
    <x v="106"/>
    <s v="STOCK"/>
    <n v="5"/>
    <s v="STOCK"/>
    <n v="1405039"/>
    <x v="180"/>
    <s v="UND"/>
    <n v="4"/>
    <m/>
    <n v="4"/>
    <n v="7636.5"/>
    <n v="30546"/>
    <n v="30546"/>
    <n v="7596"/>
    <n v="-40.5"/>
    <n v="-162"/>
    <n v="-5.3317535545023701E-3"/>
    <m/>
    <n v="315566"/>
    <m/>
    <n v="6161"/>
    <n v="6579000000"/>
    <n v="30384"/>
    <n v="10010"/>
    <n v="5.3317535545023701E-3"/>
    <n v="30384"/>
    <x v="1"/>
    <n v="4"/>
    <x v="114"/>
  </r>
  <r>
    <d v="2026-05-15T00:00:00"/>
    <x v="106"/>
    <s v="STOCK"/>
    <n v="5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5566"/>
    <m/>
    <n v="6161"/>
    <n v="6579000000"/>
    <n v="1529748.5150160005"/>
    <n v="10010"/>
    <n v="1.7172417873936391E-2"/>
    <n v="1529748.5183999999"/>
    <x v="0"/>
    <n v="72"/>
    <x v="10"/>
  </r>
  <r>
    <d v="2026-05-15T00:00:00"/>
    <x v="106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5566"/>
    <m/>
    <n v="6161"/>
    <n v="6579000000"/>
    <n v="47889.5"/>
    <n v="10010"/>
    <n v="1.0440702032804685E-5"/>
    <n v="47889.5"/>
    <x v="1"/>
    <n v="1"/>
    <x v="4"/>
  </r>
  <r>
    <d v="2026-05-15T00:00:00"/>
    <x v="106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5566"/>
    <m/>
    <n v="6161"/>
    <n v="6579000000"/>
    <n v="46060"/>
    <n v="10010"/>
    <n v="0"/>
    <n v="46060"/>
    <x v="1"/>
    <n v="1"/>
    <x v="4"/>
  </r>
  <r>
    <d v="2026-05-15T00:00:00"/>
    <x v="106"/>
    <s v="STOCK"/>
    <n v="5"/>
    <s v="STOCK"/>
    <n v="704021"/>
    <x v="189"/>
    <s v="UND"/>
    <n v="100"/>
    <m/>
    <n v="100"/>
    <n v="487"/>
    <n v="48700"/>
    <n v="48700"/>
    <n v="487"/>
    <n v="0"/>
    <n v="0"/>
    <n v="0"/>
    <m/>
    <n v="315566"/>
    <m/>
    <n v="6161"/>
    <n v="6579000000"/>
    <n v="48700"/>
    <n v="10010"/>
    <n v="0"/>
    <n v="48700"/>
    <x v="1"/>
    <n v="100"/>
    <x v="118"/>
  </r>
  <r>
    <d v="2026-05-15T00:00:00"/>
    <x v="106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566"/>
    <m/>
    <n v="6161"/>
    <n v="6579000000"/>
    <n v="58000"/>
    <n v="10010"/>
    <n v="-1.7241379310348748E-4"/>
    <n v="58000"/>
    <x v="1"/>
    <n v="100"/>
    <x v="124"/>
  </r>
  <r>
    <d v="2026-05-15T00:00:00"/>
    <x v="106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566"/>
    <m/>
    <n v="6161"/>
    <n v="6579000000"/>
    <n v="32400"/>
    <n v="10010"/>
    <n v="0"/>
    <n v="32400"/>
    <x v="1"/>
    <n v="100"/>
    <x v="143"/>
  </r>
  <r>
    <d v="2026-05-15T00:00:00"/>
    <x v="106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5566"/>
    <m/>
    <n v="6161"/>
    <n v="6579000000"/>
    <n v="36300"/>
    <n v="10010"/>
    <n v="-0.12415977961432505"/>
    <n v="36300"/>
    <x v="1"/>
    <n v="100"/>
    <x v="123"/>
  </r>
  <r>
    <d v="2026-05-15T00:00:00"/>
    <x v="106"/>
    <s v="STOCK"/>
    <n v="5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5566"/>
    <m/>
    <n v="6161"/>
    <n v="6579000000"/>
    <n v="30600.000000000007"/>
    <n v="10010"/>
    <n v="-0.15558823529411769"/>
    <n v="30600"/>
    <x v="1"/>
    <n v="100"/>
    <x v="122"/>
  </r>
  <r>
    <d v="2026-05-15T00:00:00"/>
    <x v="106"/>
    <s v="STOCK"/>
    <n v="5"/>
    <s v="STOCK"/>
    <n v="2302017"/>
    <x v="106"/>
    <s v="TIN"/>
    <n v="1"/>
    <m/>
    <n v="1"/>
    <n v="83400"/>
    <n v="83400"/>
    <n v="83400"/>
    <n v="81197.881599999993"/>
    <n v="-2202.1183999999998"/>
    <n v="-2202.1183999999998"/>
    <n v="-2.7120392529668531E-2"/>
    <m/>
    <n v="315566"/>
    <m/>
    <n v="6161"/>
    <n v="6579000000"/>
    <n v="81197.881578999979"/>
    <n v="10010"/>
    <n v="2.7120392264026835E-2"/>
    <n v="81197.881599999993"/>
    <x v="1"/>
    <n v="1"/>
    <x v="4"/>
  </r>
  <r>
    <d v="2026-05-15T00:00:00"/>
    <x v="106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566"/>
    <m/>
    <n v="6161"/>
    <n v="6579000000"/>
    <s v=""/>
    <n v="10010"/>
    <e v="#DIV/0!"/>
    <n v="0"/>
    <x v="1"/>
    <n v="50"/>
    <x v="100"/>
  </r>
  <r>
    <d v="2026-05-15T00:00:00"/>
    <x v="106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566"/>
    <m/>
    <n v="6161"/>
    <n v="6579000000"/>
    <n v="35748"/>
    <n v="10010"/>
    <n v="6.182165156092656E-2"/>
    <n v="35748"/>
    <x v="1"/>
    <n v="12"/>
    <x v="100"/>
  </r>
  <r>
    <d v="2026-05-15T00:00:00"/>
    <x v="106"/>
    <s v="STOCK"/>
    <n v="5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5566"/>
    <m/>
    <n v="6161"/>
    <n v="6579000000"/>
    <n v="65494.492760000001"/>
    <n v="10010"/>
    <n v="2.9720178606775109E-2"/>
    <n v="65494.491999999998"/>
    <x v="1"/>
    <n v="20"/>
    <x v="4"/>
  </r>
  <r>
    <d v="2026-05-15T00:00:00"/>
    <x v="106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5611"/>
    <n v="919866"/>
    <n v="6161"/>
    <n v="6579000000"/>
    <n v="30272"/>
    <n v="10010"/>
    <n v="7.5977801268498947E-4"/>
    <n v="30272"/>
    <x v="1"/>
    <n v="4"/>
    <x v="113"/>
  </r>
  <r>
    <d v="2026-05-15T00:00:00"/>
    <x v="106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611"/>
    <m/>
    <n v="6161"/>
    <n v="6579000000"/>
    <n v="1410"/>
    <n v="10010"/>
    <n v="3.6879432624113473E-2"/>
    <n v="1410"/>
    <x v="1"/>
    <n v="1"/>
    <x v="141"/>
  </r>
  <r>
    <d v="2026-05-15T00:00:00"/>
    <x v="106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611"/>
    <m/>
    <n v="6161"/>
    <n v="6579000000"/>
    <n v="1598"/>
    <n v="10010"/>
    <n v="5.8197747183979978E-2"/>
    <n v="1598"/>
    <x v="1"/>
    <n v="1"/>
    <x v="142"/>
  </r>
  <r>
    <d v="2026-05-15T00:00:00"/>
    <x v="106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611"/>
    <m/>
    <n v="6161"/>
    <n v="6579000000"/>
    <n v="5084"/>
    <n v="10010"/>
    <n v="-2.9504327301337532E-3"/>
    <n v="5084"/>
    <x v="1"/>
    <n v="1"/>
    <x v="140"/>
  </r>
  <r>
    <d v="2026-05-15T00:00:00"/>
    <x v="106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611"/>
    <m/>
    <n v="6161"/>
    <n v="6579000000"/>
    <n v="4798"/>
    <n v="10010"/>
    <n v="-2.7094622759483117E-3"/>
    <n v="4798"/>
    <x v="1"/>
    <n v="1"/>
    <x v="139"/>
  </r>
  <r>
    <d v="2026-05-15T00:00:00"/>
    <x v="106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611"/>
    <m/>
    <n v="6161"/>
    <n v="6579000000"/>
    <n v="6738"/>
    <n v="10010"/>
    <n v="-7.2721875927574944E-3"/>
    <n v="6738"/>
    <x v="1"/>
    <n v="1"/>
    <x v="138"/>
  </r>
  <r>
    <d v="2026-05-15T00:00:00"/>
    <x v="106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611"/>
    <m/>
    <n v="6161"/>
    <n v="6579000000"/>
    <s v=""/>
    <n v="10010"/>
    <e v="#DIV/0!"/>
    <n v="0"/>
    <x v="1"/>
    <n v="1"/>
    <x v="100"/>
  </r>
  <r>
    <d v="2026-05-15T00:00:00"/>
    <x v="106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611"/>
    <m/>
    <n v="6161"/>
    <n v="6579000000"/>
    <n v="52920"/>
    <n v="10010"/>
    <n v="-1.9727891156462583E-2"/>
    <n v="52920"/>
    <x v="1"/>
    <n v="1"/>
    <x v="100"/>
  </r>
  <r>
    <d v="2026-05-15T00:00:00"/>
    <x v="106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611"/>
    <m/>
    <n v="6161"/>
    <n v="6579000000"/>
    <n v="155618.99999999997"/>
    <n v="10010"/>
    <n v="1.6707535712223284E-4"/>
    <n v="155619"/>
    <x v="0"/>
    <n v="3"/>
    <x v="57"/>
  </r>
  <r>
    <d v="2026-05-15T00:00:00"/>
    <x v="106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611"/>
    <m/>
    <n v="6161"/>
    <n v="6579000000"/>
    <n v="475295.51668"/>
    <n v="10010"/>
    <n v="9.3378713886288892E-2"/>
    <n v="475295.516"/>
    <x v="0"/>
    <n v="40"/>
    <x v="92"/>
  </r>
  <r>
    <d v="2026-05-15T00:00:00"/>
    <x v="106"/>
    <s v="STOCK"/>
    <n v="5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5657"/>
    <n v="670507"/>
    <n v="6161"/>
    <n v="6579000000"/>
    <n v="6392"/>
    <n v="10010"/>
    <n v="5.8510638297872342E-2"/>
    <n v="6392"/>
    <x v="1"/>
    <n v="4"/>
    <x v="142"/>
  </r>
  <r>
    <d v="2026-05-15T00:00:00"/>
    <x v="106"/>
    <s v="STOCK"/>
    <n v="5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5657"/>
    <m/>
    <n v="6161"/>
    <n v="6579000000"/>
    <n v="5640"/>
    <n v="10010"/>
    <n v="3.6702127659574466E-2"/>
    <n v="5640"/>
    <x v="1"/>
    <n v="4"/>
    <x v="141"/>
  </r>
  <r>
    <d v="2026-05-15T00:00:00"/>
    <x v="106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657"/>
    <m/>
    <n v="6161"/>
    <n v="6579000000"/>
    <n v="10168"/>
    <n v="10010"/>
    <n v="-3.0487804878048782E-3"/>
    <n v="10168"/>
    <x v="1"/>
    <n v="2"/>
    <x v="140"/>
  </r>
  <r>
    <d v="2026-05-15T00:00:00"/>
    <x v="106"/>
    <s v="STOCK"/>
    <n v="5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5657"/>
    <m/>
    <n v="6161"/>
    <n v="6579000000"/>
    <n v="19192"/>
    <n v="10010"/>
    <n v="-2.6052521884118384E-3"/>
    <n v="19192"/>
    <x v="1"/>
    <n v="4"/>
    <x v="139"/>
  </r>
  <r>
    <d v="2026-05-15T00:00:00"/>
    <x v="106"/>
    <s v="STOCK"/>
    <n v="5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5657"/>
    <m/>
    <n v="6161"/>
    <n v="6579000000"/>
    <n v="26952"/>
    <n v="10010"/>
    <n v="-7.3092905906797269E-3"/>
    <n v="26952"/>
    <x v="1"/>
    <n v="4"/>
    <x v="138"/>
  </r>
  <r>
    <d v="2026-05-15T00:00:00"/>
    <x v="106"/>
    <s v="STOCK"/>
    <n v="5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5657"/>
    <m/>
    <n v="6161"/>
    <n v="6579000000"/>
    <n v="27034.133332000001"/>
    <n v="10010"/>
    <n v="3.3952144616939288E-2"/>
    <n v="27034.1332"/>
    <x v="1"/>
    <n v="4"/>
    <x v="4"/>
  </r>
  <r>
    <d v="2026-05-15T00:00:00"/>
    <x v="106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5657"/>
    <m/>
    <n v="6161"/>
    <n v="6579000000"/>
    <n v="7664"/>
    <n v="10010"/>
    <n v="8.0897703549060538E-3"/>
    <n v="7664"/>
    <x v="1"/>
    <n v="4"/>
    <x v="129"/>
  </r>
  <r>
    <d v="2026-05-15T00:00:00"/>
    <x v="106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5657"/>
    <m/>
    <n v="6161"/>
    <n v="6579000000"/>
    <n v="11626.684384"/>
    <n v="10010"/>
    <n v="2.7144454011317615E-5"/>
    <n v="11626.6844"/>
    <x v="1"/>
    <n v="4"/>
    <x v="4"/>
  </r>
  <r>
    <d v="2026-05-15T00:00:00"/>
    <x v="106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5657"/>
    <m/>
    <n v="6161"/>
    <n v="6579000000"/>
    <n v="1341.9588640000002"/>
    <n v="10010"/>
    <n v="3.0403308833823098E-5"/>
    <n v="1341.9592"/>
    <x v="1"/>
    <n v="8"/>
    <x v="4"/>
  </r>
  <r>
    <d v="2026-05-15T00:00:00"/>
    <x v="106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5657"/>
    <m/>
    <n v="6161"/>
    <n v="6579000000"/>
    <n v="9248"/>
    <n v="10010"/>
    <n v="2.1626297577854672E-4"/>
    <n v="9248"/>
    <x v="1"/>
    <n v="4"/>
    <x v="86"/>
  </r>
  <r>
    <d v="2026-05-15T00:00:00"/>
    <x v="106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5657"/>
    <m/>
    <n v="6161"/>
    <n v="6579000000"/>
    <n v="12140"/>
    <n v="10010"/>
    <n v="-8.2372322899505767E-4"/>
    <n v="12140"/>
    <x v="1"/>
    <n v="4"/>
    <x v="130"/>
  </r>
  <r>
    <d v="2026-05-15T00:00:00"/>
    <x v="106"/>
    <s v="STOCK"/>
    <n v="5"/>
    <s v="STOCK"/>
    <n v="1802171"/>
    <x v="210"/>
    <s v="UND"/>
    <n v="4"/>
    <m/>
    <n v="4"/>
    <n v="3228.75"/>
    <n v="12915"/>
    <n v="12915"/>
    <n v="3632"/>
    <n v="403.25"/>
    <n v="1613"/>
    <n v="0.11102698237885462"/>
    <m/>
    <n v="315657"/>
    <m/>
    <n v="6161"/>
    <n v="6579000000"/>
    <n v="14528"/>
    <n v="10010"/>
    <n v="-0.11102698237885462"/>
    <n v="14528"/>
    <x v="1"/>
    <n v="4"/>
    <x v="131"/>
  </r>
  <r>
    <d v="2026-05-15T00:00:00"/>
    <x v="106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5657"/>
    <m/>
    <n v="6161"/>
    <n v="6579000000"/>
    <n v="63133.935483999994"/>
    <n v="10010"/>
    <n v="0.28816616970097464"/>
    <n v="63133.935599999997"/>
    <x v="1"/>
    <n v="4"/>
    <x v="4"/>
  </r>
  <r>
    <d v="2026-05-15T00:00:00"/>
    <x v="106"/>
    <s v="STOCK"/>
    <n v="5"/>
    <s v="STOCK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315657"/>
    <m/>
    <n v="6161"/>
    <n v="6579000000"/>
    <n v="81899.965679999994"/>
    <n v="10010"/>
    <n v="4.0293056526552117E-7"/>
    <n v="81899.967000000004"/>
    <x v="1"/>
    <n v="30"/>
    <x v="31"/>
  </r>
  <r>
    <d v="2026-05-15T00:00:00"/>
    <x v="106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5657"/>
    <m/>
    <n v="6161"/>
    <n v="6579000000"/>
    <n v="63820"/>
    <n v="10010"/>
    <n v="-7.8345346286430584E-5"/>
    <n v="63820"/>
    <x v="1"/>
    <n v="20"/>
    <x v="120"/>
  </r>
  <r>
    <d v="2026-05-15T00:00:00"/>
    <x v="106"/>
    <s v="STOCK"/>
    <n v="5"/>
    <s v="STOCK"/>
    <n v="1103074"/>
    <x v="192"/>
    <s v="UND"/>
    <n v="20"/>
    <m/>
    <n v="20"/>
    <n v="2426.9"/>
    <n v="48538"/>
    <n v="48538"/>
    <n v="2427"/>
    <n v="0.1"/>
    <n v="2"/>
    <n v="4.1203131437951816E-5"/>
    <m/>
    <n v="315657"/>
    <m/>
    <n v="6161"/>
    <n v="6579000000"/>
    <n v="48540"/>
    <n v="10010"/>
    <n v="-4.1203131437951816E-5"/>
    <n v="48540"/>
    <x v="1"/>
    <n v="20"/>
    <x v="119"/>
  </r>
  <r>
    <d v="2026-05-15T00:00:00"/>
    <x v="106"/>
    <s v="STOCK"/>
    <n v="5"/>
    <s v="STOCK"/>
    <n v="2505058"/>
    <x v="99"/>
    <s v="UND"/>
    <n v="9"/>
    <m/>
    <n v="9"/>
    <n v="16539.666700000002"/>
    <n v="148857"/>
    <n v="148857"/>
    <n v="17870.144100000001"/>
    <n v="1330.4774"/>
    <n v="11974.2966"/>
    <n v="7.4452527985815961E-2"/>
    <m/>
    <n v="315657"/>
    <m/>
    <n v="6161"/>
    <n v="6579000000"/>
    <n v="160831.29661200001"/>
    <n v="10010"/>
    <n v="-7.445252777788175E-2"/>
    <n v="160831.29690000002"/>
    <x v="1"/>
    <n v="9"/>
    <x v="87"/>
  </r>
  <r>
    <d v="2026-05-15T00:00:00"/>
    <x v="106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5657"/>
    <m/>
    <n v="6161"/>
    <n v="6579000000"/>
    <n v="94452.677199999991"/>
    <n v="10010"/>
    <n v="2.9988563055514597E-4"/>
    <n v="94452.675000000003"/>
    <x v="1"/>
    <n v="50"/>
    <x v="4"/>
  </r>
  <r>
    <d v="2026-05-15T00:00:00"/>
    <x v="106"/>
    <s v="STOCK"/>
    <n v="5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5721"/>
    <n v="3112037"/>
    <n v="6161"/>
    <n v="6579000000"/>
    <n v="3059497.0300320005"/>
    <n v="10010"/>
    <n v="1.7172747339854508E-2"/>
    <n v="3059497.0367999999"/>
    <x v="0"/>
    <n v="144"/>
    <x v="10"/>
  </r>
  <r>
    <d v="2026-05-15T00:00:00"/>
    <x v="106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670"/>
    <n v="6469046"/>
    <n v="6161"/>
    <n v="6579000000"/>
    <n v="30952.44"/>
    <n v="10010"/>
    <n v="-8.9077242923396804E-2"/>
    <n v="30952.350000000002"/>
    <x v="1"/>
    <n v="4500"/>
    <x v="4"/>
  </r>
  <r>
    <d v="2026-05-15T00:00:00"/>
    <x v="106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670"/>
    <m/>
    <n v="6161"/>
    <n v="6579000000"/>
    <n v="959764.51785405388"/>
    <n v="10010"/>
    <n v="-0.96749640146098337"/>
    <n v="959764.5"/>
    <x v="1"/>
    <n v="9000"/>
    <x v="63"/>
  </r>
  <r>
    <d v="2026-05-15T00:00:00"/>
    <x v="106"/>
    <s v="STOCK"/>
    <n v="5"/>
    <s v="STOCK"/>
    <n v="701096"/>
    <x v="135"/>
    <s v="PL"/>
    <n v="140"/>
    <m/>
    <n v="140"/>
    <n v="16082.428599999999"/>
    <n v="2251540"/>
    <n v="2251540"/>
    <n v="16019.885700000001"/>
    <n v="-62.542900000000003"/>
    <n v="-8756.0041000000001"/>
    <n v="-3.904078197457357E-3"/>
    <m/>
    <n v="315670"/>
    <m/>
    <n v="6161"/>
    <n v="6579000000"/>
    <n v="2242783.9959000004"/>
    <n v="10010"/>
    <n v="3.9040790409633542E-3"/>
    <n v="2242783.9980000001"/>
    <x v="0"/>
    <n v="140"/>
    <x v="94"/>
  </r>
  <r>
    <d v="2026-05-15T00:00:00"/>
    <x v="106"/>
    <s v="STOCK"/>
    <n v="5"/>
    <s v="STOCK"/>
    <n v="701040"/>
    <x v="1"/>
    <s v="PL"/>
    <n v="80"/>
    <m/>
    <n v="80"/>
    <n v="7921.6"/>
    <n v="633728"/>
    <n v="633728"/>
    <n v="7835.7259999999997"/>
    <n v="-85.873999999999995"/>
    <n v="-6869.9237000000003"/>
    <n v="-1.09592967523533E-2"/>
    <m/>
    <n v="315670"/>
    <m/>
    <n v="6161"/>
    <n v="6579000000"/>
    <n v="626858.07631999976"/>
    <n v="10010"/>
    <n v="1.0959290817468695E-2"/>
    <n v="626858.07999999996"/>
    <x v="1"/>
    <n v="80"/>
    <x v="1"/>
  </r>
  <r>
    <d v="2026-05-15T00:00:00"/>
    <x v="106"/>
    <s v="STOCK"/>
    <n v="5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5670"/>
    <m/>
    <n v="6161"/>
    <n v="6579000000"/>
    <n v="885854.51087999996"/>
    <n v="10010"/>
    <n v="2.6765668265851812E-2"/>
    <n v="885854.51199999999"/>
    <x v="0"/>
    <n v="40"/>
    <x v="93"/>
  </r>
  <r>
    <d v="2026-05-15T00:00:00"/>
    <x v="106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5670"/>
    <m/>
    <n v="6161"/>
    <n v="6579000000"/>
    <n v="1622474.7756000008"/>
    <n v="10010"/>
    <n v="-3.7891448672276291E-3"/>
    <n v="1622474.784"/>
    <x v="0"/>
    <n v="168"/>
    <x v="0"/>
  </r>
  <r>
    <d v="2026-05-15T00:00:00"/>
    <x v="106"/>
    <s v="STOCK"/>
    <n v="5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5670"/>
    <m/>
    <n v="6161"/>
    <n v="6579000000"/>
    <n v="946350.47999999986"/>
    <n v="10010"/>
    <n v="-4.2267642092535555E-7"/>
    <n v="946350.4"/>
    <x v="0"/>
    <n v="2000"/>
    <x v="8"/>
  </r>
  <r>
    <d v="2026-05-15T00:00:00"/>
    <x v="106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670"/>
    <m/>
    <n v="6161"/>
    <n v="6579000000"/>
    <n v="10545.292710000002"/>
    <n v="10010"/>
    <n v="8.0197633209320524E-2"/>
    <n v="10545.2925"/>
    <x v="1"/>
    <n v="5"/>
    <x v="28"/>
  </r>
  <r>
    <d v="2026-05-15T00:00:00"/>
    <x v="106"/>
    <s v="STOCK"/>
    <n v="5"/>
    <s v="STOCK"/>
    <n v="609008"/>
    <x v="30"/>
    <s v="LTS"/>
    <n v="6"/>
    <m/>
    <n v="6"/>
    <n v="2018.5"/>
    <n v="12111"/>
    <n v="12111"/>
    <n v="2130.7573000000002"/>
    <n v="112.2573"/>
    <n v="673.54390000000001"/>
    <n v="5.268423084748209E-2"/>
    <m/>
    <n v="315670"/>
    <m/>
    <n v="6161"/>
    <n v="6579000000"/>
    <n v="12784.54386"/>
    <n v="10010"/>
    <n v="-5.2684226401571027E-2"/>
    <n v="12784.543800000001"/>
    <x v="1"/>
    <n v="6"/>
    <x v="27"/>
  </r>
  <r>
    <d v="2026-05-15T00:00:00"/>
    <x v="106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670"/>
    <m/>
    <n v="6161"/>
    <n v="6579000000"/>
    <n v="28575.132740000001"/>
    <n v="10010"/>
    <n v="2.3750370645694318E-3"/>
    <n v="28575.133000000002"/>
    <x v="1"/>
    <n v="10"/>
    <x v="81"/>
  </r>
  <r>
    <d v="2026-05-15T00:00:00"/>
    <x v="106"/>
    <s v="STOCK"/>
    <n v="5"/>
    <s v="STOCK"/>
    <n v="412630"/>
    <x v="185"/>
    <s v="UND"/>
    <n v="10"/>
    <n v="10"/>
    <n v="0"/>
    <n v="150300"/>
    <n v="1503000"/>
    <n v="0"/>
    <n v="148200"/>
    <n v="-2100"/>
    <n v="0"/>
    <n v="-1.417004048582996E-2"/>
    <m/>
    <n v="315670"/>
    <m/>
    <n v="6161"/>
    <n v="6579000000"/>
    <n v="0"/>
    <n v="10010"/>
    <n v="1.417004048582996E-2"/>
    <n v="0"/>
    <x v="1"/>
    <n v="0"/>
    <x v="4"/>
  </r>
  <r>
    <d v="2026-05-15T00:00:00"/>
    <x v="106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5707"/>
    <n v="519679"/>
    <n v="6161"/>
    <n v="6579000000"/>
    <n v="475295.51668"/>
    <n v="10010"/>
    <n v="9.3380817840494901E-2"/>
    <n v="475295.516"/>
    <x v="0"/>
    <n v="40"/>
    <x v="92"/>
  </r>
  <r>
    <d v="2026-05-15T00:00:00"/>
    <x v="106"/>
    <s v="STOCK"/>
    <n v="5"/>
    <s v="STOCK"/>
    <n v="414025"/>
    <x v="266"/>
    <s v="0"/>
    <n v="96"/>
    <m/>
    <n v="96"/>
    <n v="13517.7292"/>
    <n v="1297702"/>
    <n v="1297702"/>
    <m/>
    <m/>
    <n v="-1297702"/>
    <m/>
    <m/>
    <n v="315649"/>
    <n v="1297702"/>
    <n v="6161"/>
    <n v="6579000000"/>
    <s v=""/>
    <n v="10010"/>
    <e v="#DIV/0!"/>
    <n v="0"/>
    <x v="1"/>
    <n v="96"/>
    <x v="100"/>
  </r>
  <r>
    <d v="2026-05-15T00:00:00"/>
    <x v="106"/>
    <s v="STOCK"/>
    <n v="5"/>
    <s v="STOCK"/>
    <s v="V01"/>
    <x v="240"/>
    <s v="UND"/>
    <n v="21"/>
    <m/>
    <n v="21"/>
    <n v="203730"/>
    <n v="4278330"/>
    <n v="4278330"/>
    <n v="205500"/>
    <n v="1770"/>
    <n v="37170"/>
    <n v="8.6131386861313872E-3"/>
    <m/>
    <n v="895"/>
    <n v="7557845"/>
    <n v="6160"/>
    <n v="6579000000"/>
    <n v="4315500"/>
    <n v="10010"/>
    <n v="-8.6131386861313872E-3"/>
    <n v="4315500"/>
    <x v="0"/>
    <n v="21"/>
    <x v="145"/>
  </r>
  <r>
    <d v="2026-05-15T00:00:00"/>
    <x v="106"/>
    <s v="STOCK"/>
    <n v="5"/>
    <s v="STOCK"/>
    <s v="V03"/>
    <x v="241"/>
    <s v="UND"/>
    <n v="5"/>
    <m/>
    <n v="5"/>
    <n v="120606"/>
    <n v="603030"/>
    <n v="603030"/>
    <n v="101229"/>
    <n v="-19377"/>
    <n v="-96885"/>
    <n v="-0.19141747918086716"/>
    <m/>
    <m/>
    <m/>
    <n v="6160"/>
    <n v="6579000000"/>
    <n v="506145"/>
    <n v="10010"/>
    <n v="0.19141747918086716"/>
    <n v="506145"/>
    <x v="0"/>
    <n v="5"/>
    <x v="4"/>
  </r>
  <r>
    <d v="2026-05-15T00:00:00"/>
    <x v="106"/>
    <s v="STOCK"/>
    <n v="5"/>
    <s v="STOCK"/>
    <s v="V05"/>
    <x v="242"/>
    <s v="UND"/>
    <n v="7"/>
    <m/>
    <n v="7"/>
    <n v="382355"/>
    <n v="2676485"/>
    <n v="2676485"/>
    <n v="350139"/>
    <n v="-32216"/>
    <n v="-225512"/>
    <n v="-9.2009173499667279E-2"/>
    <m/>
    <m/>
    <m/>
    <n v="6160"/>
    <n v="6579000000"/>
    <n v="2450973"/>
    <n v="10010"/>
    <n v="9.2009173499667279E-2"/>
    <n v="2450973"/>
    <x v="0"/>
    <n v="7"/>
    <x v="146"/>
  </r>
  <r>
    <d v="2026-05-18T00:00:00"/>
    <x v="107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5850"/>
    <n v="309749"/>
    <n v="6188"/>
    <n v="6579000000"/>
    <n v="10485"/>
    <n v="10010"/>
    <n v="9.2799227467811093E-2"/>
    <n v="10485"/>
    <x v="1"/>
    <n v="3"/>
    <x v="39"/>
  </r>
  <r>
    <d v="2026-05-18T00:00:00"/>
    <x v="107"/>
    <s v="STOCK"/>
    <n v="5"/>
    <s v="STOCK"/>
    <n v="1103076"/>
    <x v="193"/>
    <s v="UND"/>
    <n v="12"/>
    <m/>
    <n v="12"/>
    <n v="3190.75"/>
    <n v="38289"/>
    <n v="38289"/>
    <n v="3191"/>
    <n v="0.25"/>
    <n v="3"/>
    <n v="7.8345346286430597E-5"/>
    <m/>
    <n v="315850"/>
    <m/>
    <n v="6188"/>
    <n v="6579000000"/>
    <n v="38292"/>
    <n v="10010"/>
    <n v="-7.8345346286430584E-5"/>
    <n v="38292"/>
    <x v="1"/>
    <n v="12"/>
    <x v="120"/>
  </r>
  <r>
    <d v="2026-05-18T00:00:00"/>
    <x v="107"/>
    <s v="STOCK"/>
    <n v="5"/>
    <s v="STOCK"/>
    <n v="1103074"/>
    <x v="192"/>
    <s v="UND"/>
    <n v="8"/>
    <m/>
    <n v="8"/>
    <n v="2426.875"/>
    <n v="19415"/>
    <n v="19415"/>
    <n v="2427"/>
    <n v="0.125"/>
    <n v="1"/>
    <n v="5.1503914297486609E-5"/>
    <m/>
    <n v="315850"/>
    <m/>
    <n v="6188"/>
    <n v="6579000000"/>
    <n v="19416"/>
    <n v="10010"/>
    <n v="-5.1503914297486609E-5"/>
    <n v="19416"/>
    <x v="1"/>
    <n v="8"/>
    <x v="119"/>
  </r>
  <r>
    <d v="2026-05-18T00:00:00"/>
    <x v="107"/>
    <s v="STOCK"/>
    <n v="5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5850"/>
    <m/>
    <n v="6188"/>
    <n v="6579000000"/>
    <n v="6936"/>
    <n v="10010"/>
    <n v="1.4416089965388451E-4"/>
    <n v="6936"/>
    <x v="1"/>
    <n v="3"/>
    <x v="86"/>
  </r>
  <r>
    <d v="2026-05-18T00:00:00"/>
    <x v="107"/>
    <s v="STOCK"/>
    <n v="5"/>
    <s v="STOCK"/>
    <n v="412016"/>
    <x v="238"/>
    <s v="UND"/>
    <n v="3"/>
    <m/>
    <n v="3"/>
    <n v="4210.3333000000002"/>
    <n v="12631"/>
    <n v="12631"/>
    <m/>
    <m/>
    <n v="-12631"/>
    <m/>
    <m/>
    <n v="315850"/>
    <m/>
    <n v="6188"/>
    <n v="6579000000"/>
    <s v=""/>
    <n v="10010"/>
    <e v="#DIV/0!"/>
    <n v="0"/>
    <x v="1"/>
    <n v="3"/>
    <x v="100"/>
  </r>
  <r>
    <d v="2026-05-18T00:00:00"/>
    <x v="107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5850"/>
    <m/>
    <n v="6188"/>
    <n v="6579000000"/>
    <n v="4880.2160000000003"/>
    <n v="10010"/>
    <n v="-4.0981926970292619E-5"/>
    <n v="4880.2000000000007"/>
    <x v="1"/>
    <n v="1000"/>
    <x v="64"/>
  </r>
  <r>
    <d v="2026-05-18T00:00:00"/>
    <x v="107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5850"/>
    <m/>
    <n v="6188"/>
    <n v="6579000000"/>
    <n v="58200"/>
    <n v="10010"/>
    <n v="0"/>
    <n v="58200"/>
    <x v="1"/>
    <n v="3"/>
    <x v="117"/>
  </r>
  <r>
    <d v="2026-05-18T00:00:00"/>
    <x v="107"/>
    <s v="STOCK"/>
    <n v="5"/>
    <s v="STOCK"/>
    <n v="1802659"/>
    <x v="109"/>
    <s v="UND"/>
    <n v="2"/>
    <m/>
    <n v="2"/>
    <n v="2446.5"/>
    <n v="4893"/>
    <n v="4893"/>
    <n v="2929.4632000000001"/>
    <n v="482.96319999999997"/>
    <n v="965.92629999999997"/>
    <n v="0.16486404912828059"/>
    <m/>
    <n v="315850"/>
    <m/>
    <n v="6188"/>
    <n v="6579000000"/>
    <n v="5858.926316"/>
    <n v="10010"/>
    <n v="-0.16486406110170632"/>
    <n v="5858.9264000000003"/>
    <x v="1"/>
    <n v="2"/>
    <x v="4"/>
  </r>
  <r>
    <d v="2026-05-18T00:00:00"/>
    <x v="107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5850"/>
    <m/>
    <n v="6188"/>
    <n v="6579000000"/>
    <n v="20688.000000000004"/>
    <n v="10010"/>
    <n v="0.18551821345707656"/>
    <n v="20688"/>
    <x v="1"/>
    <n v="24"/>
    <x v="4"/>
  </r>
  <r>
    <d v="2026-05-18T00:00:00"/>
    <x v="107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5850"/>
    <m/>
    <n v="6188"/>
    <n v="6579000000"/>
    <n v="128520"/>
    <n v="10010"/>
    <n v="0"/>
    <n v="128520"/>
    <x v="1"/>
    <n v="3"/>
    <x v="103"/>
  </r>
  <r>
    <d v="2026-05-18T00:00:00"/>
    <x v="107"/>
    <s v="STOCK"/>
    <n v="5"/>
    <s v="STOCK"/>
    <n v="304002"/>
    <x v="12"/>
    <s v="PL"/>
    <n v="288"/>
    <m/>
    <n v="288"/>
    <n v="21611.3681"/>
    <n v="6224074"/>
    <n v="6224074"/>
    <n v="21246.5072"/>
    <n v="-364.86090000000002"/>
    <n v="-105079.9399"/>
    <n v="-1.7172747498123905E-2"/>
    <m/>
    <n v="315854"/>
    <n v="6224074"/>
    <n v="6188"/>
    <n v="6579000000"/>
    <n v="6118994.060064001"/>
    <n v="10010"/>
    <n v="1.7172747339854508E-2"/>
    <n v="6118994.0735999998"/>
    <x v="0"/>
    <n v="288"/>
    <x v="10"/>
  </r>
  <r>
    <d v="2026-05-18T00:00:00"/>
    <x v="107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5852"/>
    <n v="1591370"/>
    <n v="6188"/>
    <n v="6579000000"/>
    <n v="1507039.7545999996"/>
    <n v="10010"/>
    <n v="3.2065842881489145E-4"/>
    <n v="1507039.7549999999"/>
    <x v="1"/>
    <n v="10"/>
    <x v="4"/>
  </r>
  <r>
    <d v="2026-05-18T00:00:00"/>
    <x v="107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852"/>
    <m/>
    <n v="6188"/>
    <n v="6579000000"/>
    <n v="35748"/>
    <n v="10010"/>
    <n v="6.182165156092656E-2"/>
    <n v="35748"/>
    <x v="1"/>
    <n v="12"/>
    <x v="100"/>
  </r>
  <r>
    <d v="2026-05-18T00:00:00"/>
    <x v="107"/>
    <s v="STOCK"/>
    <n v="5"/>
    <s v="STOCK"/>
    <n v="609008"/>
    <x v="30"/>
    <s v="LTS"/>
    <n v="4"/>
    <m/>
    <n v="4"/>
    <n v="2018.5"/>
    <n v="8074"/>
    <n v="8074"/>
    <n v="2130.7573000000002"/>
    <n v="112.2573"/>
    <n v="449.0292"/>
    <n v="5.268423084748209E-2"/>
    <m/>
    <n v="315852"/>
    <m/>
    <n v="6188"/>
    <n v="6579000000"/>
    <n v="8523.0292399999998"/>
    <n v="10010"/>
    <n v="-5.2684226401571027E-2"/>
    <n v="8523.0292000000009"/>
    <x v="1"/>
    <n v="4"/>
    <x v="27"/>
  </r>
  <r>
    <d v="2026-05-18T00:00:00"/>
    <x v="107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852"/>
    <m/>
    <n v="6188"/>
    <n v="6579000000"/>
    <n v="10210.598529999999"/>
    <n v="10010"/>
    <n v="-0.16831515801938537"/>
    <n v="10210.5985"/>
    <x v="1"/>
    <n v="5"/>
    <x v="82"/>
  </r>
  <r>
    <d v="2026-05-18T00:00:00"/>
    <x v="107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852"/>
    <m/>
    <n v="6188"/>
    <n v="6579000000"/>
    <n v="14287.56637"/>
    <n v="10010"/>
    <n v="2.3400416019060161E-3"/>
    <n v="14287.566500000001"/>
    <x v="1"/>
    <n v="5"/>
    <x v="81"/>
  </r>
  <r>
    <d v="2026-05-18T00:00:00"/>
    <x v="107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852"/>
    <m/>
    <n v="6188"/>
    <n v="6579000000"/>
    <n v="10545.292710000002"/>
    <n v="10010"/>
    <n v="8.0197633209320524E-2"/>
    <n v="10545.2925"/>
    <x v="1"/>
    <n v="5"/>
    <x v="28"/>
  </r>
  <r>
    <d v="2026-05-18T00:00:00"/>
    <x v="107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5852"/>
    <m/>
    <n v="6188"/>
    <n v="6579000000"/>
    <n v="3778.52441"/>
    <n v="10010"/>
    <n v="-4.4335957064721834E-2"/>
    <n v="3778.5244999999995"/>
    <x v="1"/>
    <n v="5"/>
    <x v="4"/>
  </r>
  <r>
    <d v="2026-05-18T00:00:00"/>
    <x v="107"/>
    <s v="STOCK"/>
    <n v="5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5857"/>
    <n v="26322798"/>
    <n v="6188"/>
    <n v="6579000000"/>
    <n v="2433712.1634000018"/>
    <n v="10010"/>
    <n v="-3.7889377761818536E-3"/>
    <n v="2433712.176"/>
    <x v="0"/>
    <n v="252"/>
    <x v="0"/>
  </r>
  <r>
    <d v="2026-05-18T00:00:00"/>
    <x v="107"/>
    <s v="STOCK"/>
    <n v="5"/>
    <s v="STOCK"/>
    <n v="412280"/>
    <x v="15"/>
    <s v="UND"/>
    <n v="32"/>
    <m/>
    <n v="32"/>
    <n v="38473.75"/>
    <n v="1231160"/>
    <n v="1231160"/>
    <n v="40002.920100000003"/>
    <n v="1529.1701"/>
    <n v="48933.442999999999"/>
    <n v="3.8226461704419075E-2"/>
    <m/>
    <n v="315857"/>
    <m/>
    <n v="6188"/>
    <n v="6579000000"/>
    <n v="1280093.442976"/>
    <n v="10010"/>
    <n v="-3.8226461872717207E-2"/>
    <n v="1280093.4432000001"/>
    <x v="0"/>
    <n v="32"/>
    <x v="13"/>
  </r>
  <r>
    <d v="2026-05-18T00:00:00"/>
    <x v="107"/>
    <s v="STOCK"/>
    <n v="5"/>
    <s v="STOCK"/>
    <n v="4212234"/>
    <x v="27"/>
    <s v="UND"/>
    <n v="8"/>
    <m/>
    <n v="8"/>
    <n v="124909"/>
    <n v="999272"/>
    <n v="999272"/>
    <n v="124909"/>
    <n v="0"/>
    <n v="0"/>
    <n v="0"/>
    <m/>
    <n v="315857"/>
    <m/>
    <n v="6188"/>
    <n v="6579000000"/>
    <n v="999272"/>
    <n v="10010"/>
    <n v="0"/>
    <n v="999272"/>
    <x v="1"/>
    <n v="8"/>
    <x v="24"/>
  </r>
  <r>
    <d v="2026-05-18T00:00:00"/>
    <x v="107"/>
    <s v="STOCK"/>
    <n v="5"/>
    <s v="STOCK"/>
    <n v="1902013"/>
    <x v="144"/>
    <s v="RLL"/>
    <n v="15"/>
    <m/>
    <n v="15"/>
    <n v="39045.333299999998"/>
    <n v="585680"/>
    <n v="585680"/>
    <n v="29779"/>
    <n v="-9266.3333000000002"/>
    <n v="-138995"/>
    <n v="-0.31117006391528712"/>
    <m/>
    <n v="315857"/>
    <m/>
    <n v="6188"/>
    <n v="6579000000"/>
    <n v="446685"/>
    <n v="10010"/>
    <n v="0.31117006279592996"/>
    <n v="446685"/>
    <x v="0"/>
    <n v="15"/>
    <x v="4"/>
  </r>
  <r>
    <d v="2026-05-18T00:00:00"/>
    <x v="107"/>
    <s v="STOCK"/>
    <n v="5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5857"/>
    <m/>
    <n v="6188"/>
    <n v="6579000000"/>
    <n v="194379.88500000001"/>
    <n v="10010"/>
    <n v="5.1445648445811355E-7"/>
    <n v="194379.9"/>
    <x v="1"/>
    <n v="500"/>
    <x v="4"/>
  </r>
  <r>
    <d v="2026-05-18T00:00:00"/>
    <x v="107"/>
    <s v="STOCK"/>
    <n v="5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5857"/>
    <m/>
    <n v="6188"/>
    <n v="6579000000"/>
    <n v="473175.23999999993"/>
    <n v="10010"/>
    <n v="-4.2267642092535555E-7"/>
    <n v="473175.2"/>
    <x v="0"/>
    <n v="1000"/>
    <x v="8"/>
  </r>
  <r>
    <d v="2026-05-18T00:00:00"/>
    <x v="107"/>
    <s v="STOCK"/>
    <n v="5"/>
    <s v="STOCK"/>
    <n v="408017"/>
    <x v="187"/>
    <s v="CJA"/>
    <n v="1"/>
    <m/>
    <n v="1"/>
    <n v="17300"/>
    <n v="17300"/>
    <n v="17300"/>
    <m/>
    <m/>
    <n v="-17300"/>
    <m/>
    <m/>
    <n v="315857"/>
    <m/>
    <n v="6188"/>
    <n v="6579000000"/>
    <s v=""/>
    <n v="10010"/>
    <e v="#DIV/0!"/>
    <n v="0"/>
    <x v="1"/>
    <n v="1"/>
    <x v="100"/>
  </r>
  <r>
    <d v="2026-05-18T00:00:00"/>
    <x v="107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857"/>
    <m/>
    <n v="6188"/>
    <n v="6579000000"/>
    <n v="47424.586669999997"/>
    <n v="10010"/>
    <n v="8.7085629232500571E-6"/>
    <n v="47424.587"/>
    <x v="1"/>
    <n v="10"/>
    <x v="4"/>
  </r>
  <r>
    <d v="2026-05-18T00:00:00"/>
    <x v="107"/>
    <s v="STOCK"/>
    <n v="5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5857"/>
    <m/>
    <n v="6188"/>
    <n v="6579000000"/>
    <n v="45115.090909999999"/>
    <n v="10010"/>
    <n v="-2.0170634256362076E-6"/>
    <n v="45115.091"/>
    <x v="1"/>
    <n v="2"/>
    <x v="4"/>
  </r>
  <r>
    <d v="2026-05-18T00:00:00"/>
    <x v="107"/>
    <s v="STOCK"/>
    <n v="5"/>
    <s v="STOCK"/>
    <n v="707023"/>
    <x v="263"/>
    <s v="UND"/>
    <n v="4"/>
    <m/>
    <n v="4"/>
    <n v="16734.5"/>
    <n v="66938"/>
    <n v="66938"/>
    <m/>
    <m/>
    <n v="-66938"/>
    <m/>
    <m/>
    <n v="315857"/>
    <m/>
    <n v="6188"/>
    <n v="6579000000"/>
    <s v=""/>
    <n v="10010"/>
    <e v="#DIV/0!"/>
    <n v="0"/>
    <x v="1"/>
    <n v="4"/>
    <x v="100"/>
  </r>
  <r>
    <d v="2026-05-18T00:00:00"/>
    <x v="107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5857"/>
    <m/>
    <n v="6188"/>
    <n v="6579000000"/>
    <n v="85376.31575199998"/>
    <n v="10010"/>
    <n v="-8.7006734213511128E-2"/>
    <n v="85376.324800000002"/>
    <x v="1"/>
    <n v="232"/>
    <x v="68"/>
  </r>
  <r>
    <d v="2026-05-18T00:00:00"/>
    <x v="107"/>
    <s v="STOCK"/>
    <n v="5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5857"/>
    <m/>
    <n v="6188"/>
    <n v="6579000000"/>
    <n v="11208632.637183998"/>
    <n v="10010"/>
    <n v="-1.0029469571410684E-2"/>
    <n v="11208632.640000001"/>
    <x v="0"/>
    <n v="128"/>
    <x v="14"/>
  </r>
  <r>
    <d v="2026-05-18T00:00:00"/>
    <x v="107"/>
    <s v="STOCK"/>
    <n v="5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5857"/>
    <m/>
    <n v="6188"/>
    <n v="6579000000"/>
    <n v="147759.27272799995"/>
    <n v="10010"/>
    <n v="-1.8462462276418306E-6"/>
    <n v="147759.27280000001"/>
    <x v="0"/>
    <n v="4"/>
    <x v="45"/>
  </r>
  <r>
    <d v="2026-05-18T00:00:00"/>
    <x v="107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5857"/>
    <m/>
    <n v="6188"/>
    <n v="6579000000"/>
    <n v="10694736"/>
    <n v="10010"/>
    <n v="-0.19905091895676522"/>
    <n v="10694736"/>
    <x v="0"/>
    <n v="1872"/>
    <x v="4"/>
  </r>
  <r>
    <d v="2026-05-18T00:00:00"/>
    <x v="107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857"/>
    <m/>
    <n v="6188"/>
    <n v="6579000000"/>
    <n v="350000.00000000029"/>
    <n v="10010"/>
    <n v="0"/>
    <n v="350000"/>
    <x v="1"/>
    <n v="10"/>
    <x v="89"/>
  </r>
  <r>
    <d v="2026-05-19T00:00:00"/>
    <x v="108"/>
    <s v="STOCK"/>
    <n v="5"/>
    <s v="STOCK"/>
    <n v="907034"/>
    <x v="158"/>
    <s v="RLL"/>
    <n v="8"/>
    <m/>
    <n v="8"/>
    <n v="114865.25"/>
    <n v="918922"/>
    <n v="918922"/>
    <n v="156269.1667"/>
    <n v="41403.916700000002"/>
    <n v="331231.3333"/>
    <n v="0.26495256582016091"/>
    <m/>
    <n v="316035"/>
    <n v="2579804"/>
    <n v="6188"/>
    <n v="6579000000"/>
    <n v="1250153.3333360001"/>
    <n v="10010"/>
    <n v="-0.2649525659753838"/>
    <n v="1250153.3336"/>
    <x v="1"/>
    <n v="8"/>
    <x v="100"/>
  </r>
  <r>
    <d v="2026-05-19T00:00:00"/>
    <x v="108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6035"/>
    <m/>
    <n v="6188"/>
    <n v="6579000000"/>
    <n v="214441.72881599999"/>
    <n v="10010"/>
    <n v="-7.444786637170997E-2"/>
    <n v="214441.7292"/>
    <x v="1"/>
    <n v="12"/>
    <x v="87"/>
  </r>
  <r>
    <d v="2026-05-19T00:00:00"/>
    <x v="108"/>
    <s v="STOCK"/>
    <n v="5"/>
    <s v="STOCK"/>
    <n v="2304008"/>
    <x v="223"/>
    <s v="UND"/>
    <n v="24"/>
    <m/>
    <n v="24"/>
    <n v="2550"/>
    <n v="61200"/>
    <n v="61200"/>
    <m/>
    <m/>
    <n v="-61200"/>
    <m/>
    <m/>
    <n v="316035"/>
    <m/>
    <n v="6188"/>
    <n v="6579000000"/>
    <s v=""/>
    <n v="10010"/>
    <e v="#DIV/0!"/>
    <n v="0"/>
    <x v="1"/>
    <n v="24"/>
    <x v="100"/>
  </r>
  <r>
    <d v="2026-05-19T00:00:00"/>
    <x v="108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35"/>
    <m/>
    <n v="6188"/>
    <n v="6579000000"/>
    <n v="570454.86033000005"/>
    <n v="10010"/>
    <n v="-2.7341118341867223E-2"/>
    <n v="570454.86599999992"/>
    <x v="0"/>
    <n v="270"/>
    <x v="6"/>
  </r>
  <r>
    <d v="2026-05-19T00:00:00"/>
    <x v="108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035"/>
    <m/>
    <n v="6188"/>
    <n v="6579000000"/>
    <n v="94452.677199999991"/>
    <n v="10010"/>
    <n v="2.9988563055514597E-4"/>
    <n v="94452.675000000003"/>
    <x v="1"/>
    <n v="50"/>
    <x v="4"/>
  </r>
  <r>
    <d v="2026-05-19T00:00:00"/>
    <x v="108"/>
    <s v="STOCK"/>
    <n v="5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6035"/>
    <m/>
    <n v="6188"/>
    <n v="6579000000"/>
    <n v="136499.94280000002"/>
    <n v="10010"/>
    <n v="4.0293056526552117E-7"/>
    <n v="136499.94500000001"/>
    <x v="1"/>
    <n v="50"/>
    <x v="31"/>
  </r>
  <r>
    <d v="2026-05-19T00:00:00"/>
    <x v="108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6035"/>
    <m/>
    <n v="6188"/>
    <n v="6579000000"/>
    <n v="215999.88840000005"/>
    <n v="10010"/>
    <n v="5.1851878741837811E-7"/>
    <n v="215999.88799999998"/>
    <x v="1"/>
    <n v="80"/>
    <x v="32"/>
  </r>
  <r>
    <d v="2026-05-19T00:00:00"/>
    <x v="108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6035"/>
    <m/>
    <n v="6188"/>
    <n v="6579000000"/>
    <n v="209535.01289999983"/>
    <n v="10010"/>
    <n v="-0.33256022466126312"/>
    <n v="209535.01"/>
    <x v="0"/>
    <n v="100"/>
    <x v="121"/>
  </r>
  <r>
    <d v="2026-05-19T00:00:00"/>
    <x v="108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035"/>
    <m/>
    <n v="6188"/>
    <n v="6579000000"/>
    <n v="41376.000000000007"/>
    <n v="10010"/>
    <n v="0.18551821345707656"/>
    <n v="41376"/>
    <x v="1"/>
    <n v="48"/>
    <x v="4"/>
  </r>
  <r>
    <d v="2026-05-19T00:00:00"/>
    <x v="108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035"/>
    <m/>
    <n v="6188"/>
    <n v="6579000000"/>
    <n v="33035.321376"/>
    <n v="10010"/>
    <n v="2.3994899422923075E-2"/>
    <n v="33035.320800000001"/>
    <x v="1"/>
    <n v="24"/>
    <x v="4"/>
  </r>
  <r>
    <d v="2026-05-19T00:00:00"/>
    <x v="108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035"/>
    <m/>
    <n v="6188"/>
    <n v="6579000000"/>
    <n v="176208"/>
    <n v="10010"/>
    <n v="2.4175973849087443E-3"/>
    <n v="176208"/>
    <x v="1"/>
    <n v="48"/>
    <x v="40"/>
  </r>
  <r>
    <d v="2026-05-19T00:00:00"/>
    <x v="108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057"/>
    <n v="6313198"/>
    <n v="6188"/>
    <n v="6579000000"/>
    <n v="350000.00000000029"/>
    <n v="10010"/>
    <n v="0"/>
    <n v="350000"/>
    <x v="1"/>
    <n v="10"/>
    <x v="89"/>
  </r>
  <r>
    <d v="2026-05-19T00:00:00"/>
    <x v="108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57"/>
    <m/>
    <n v="6188"/>
    <n v="6579000000"/>
    <n v="570454.86033000005"/>
    <n v="10010"/>
    <n v="-2.7341118341867223E-2"/>
    <n v="570454.86599999992"/>
    <x v="0"/>
    <n v="270"/>
    <x v="6"/>
  </r>
  <r>
    <d v="2026-05-19T00:00:00"/>
    <x v="108"/>
    <s v="STOCK"/>
    <n v="5"/>
    <s v="STOCK"/>
    <n v="1901038"/>
    <x v="14"/>
    <s v="M2"/>
    <n v="108"/>
    <m/>
    <n v="108"/>
    <n v="4862.9444000000003"/>
    <n v="525198"/>
    <n v="525198"/>
    <n v="4197.4179000000004"/>
    <n v="-665.52660000000003"/>
    <n v="-71876.869500000001"/>
    <n v="-0.15855618603245292"/>
    <m/>
    <n v="316057"/>
    <m/>
    <n v="6188"/>
    <n v="6579000000"/>
    <n v="453321.13050000009"/>
    <n v="10010"/>
    <n v="0.15855616854352289"/>
    <n v="453321.13320000004"/>
    <x v="0"/>
    <n v="108"/>
    <x v="12"/>
  </r>
  <r>
    <d v="2026-05-19T00:00:00"/>
    <x v="108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057"/>
    <m/>
    <n v="6188"/>
    <n v="6579000000"/>
    <n v="601277.10064200009"/>
    <n v="10010"/>
    <n v="-3.2090181369856106E-2"/>
    <n v="601277.09400000004"/>
    <x v="0"/>
    <n v="162"/>
    <x v="96"/>
  </r>
  <r>
    <d v="2026-05-19T00:00:00"/>
    <x v="108"/>
    <s v="STOCK"/>
    <n v="5"/>
    <s v="STOCK"/>
    <n v="412313"/>
    <x v="153"/>
    <s v="CJA"/>
    <n v="10"/>
    <m/>
    <n v="10"/>
    <n v="23724.1"/>
    <n v="237241"/>
    <n v="237241"/>
    <n v="23724.0674"/>
    <n v="-3.2599999999999997E-2"/>
    <n v="-0.32619999999999999"/>
    <n v="-1.3747642624173064E-6"/>
    <m/>
    <n v="316057"/>
    <m/>
    <n v="6188"/>
    <n v="6579000000"/>
    <n v="237240.67384999999"/>
    <n v="10010"/>
    <n v="1.3741319921658098E-6"/>
    <n v="237240.674"/>
    <x v="1"/>
    <n v="10"/>
    <x v="4"/>
  </r>
  <r>
    <d v="2026-05-19T00:00:00"/>
    <x v="108"/>
    <s v="STOCK"/>
    <n v="5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6057"/>
    <m/>
    <n v="6188"/>
    <n v="6579000000"/>
    <n v="534314.19551999995"/>
    <n v="10010"/>
    <n v="-3.5933914109194611E-7"/>
    <n v="534314.18400000001"/>
    <x v="1"/>
    <n v="240"/>
    <x v="4"/>
  </r>
  <r>
    <d v="2026-05-19T00:00:00"/>
    <x v="108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6057"/>
    <m/>
    <n v="6188"/>
    <n v="6579000000"/>
    <n v="614388.11140000017"/>
    <n v="10010"/>
    <n v="-1.8229519378380471E-7"/>
    <n v="614388.11199999996"/>
    <x v="0"/>
    <n v="40"/>
    <x v="3"/>
  </r>
  <r>
    <d v="2026-05-19T00:00:00"/>
    <x v="108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057"/>
    <m/>
    <n v="6188"/>
    <n v="6579000000"/>
    <n v="2925100.3584960005"/>
    <n v="10010"/>
    <n v="-3.3788182135978512E-3"/>
    <n v="2925100.3679999998"/>
    <x v="0"/>
    <n v="288"/>
    <x v="46"/>
  </r>
  <r>
    <d v="2026-05-20T00:00:00"/>
    <x v="109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76"/>
    <n v="316471"/>
    <n v="6188"/>
    <n v="6579000000"/>
    <n v="1866.9503550000009"/>
    <n v="10010"/>
    <n v="2.6567390328128124E-5"/>
    <n v="1866.9503999999999"/>
    <x v="1"/>
    <n v="1"/>
    <x v="4"/>
  </r>
  <r>
    <d v="2026-05-20T00:00:00"/>
    <x v="109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76"/>
    <m/>
    <n v="6188"/>
    <n v="6579000000"/>
    <n v="30952.44"/>
    <n v="10010"/>
    <n v="-8.9077242923396804E-2"/>
    <n v="30952.350000000002"/>
    <x v="1"/>
    <n v="4500"/>
    <x v="4"/>
  </r>
  <r>
    <d v="2026-05-20T00:00:00"/>
    <x v="109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176"/>
    <m/>
    <n v="6188"/>
    <n v="6579000000"/>
    <n v="319921.50595135131"/>
    <n v="10010"/>
    <n v="-0.96749546373094641"/>
    <n v="319921.5"/>
    <x v="1"/>
    <n v="3000"/>
    <x v="63"/>
  </r>
  <r>
    <d v="2026-05-20T00:00:00"/>
    <x v="109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6176"/>
    <m/>
    <n v="6188"/>
    <n v="6579000000"/>
    <n v="10485"/>
    <n v="10010"/>
    <n v="9.2799227467811093E-2"/>
    <n v="10485"/>
    <x v="1"/>
    <n v="3"/>
    <x v="39"/>
  </r>
  <r>
    <d v="2026-05-20T00:00:00"/>
    <x v="109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176"/>
    <m/>
    <n v="6188"/>
    <n v="6579000000"/>
    <n v="128520"/>
    <n v="10010"/>
    <n v="0"/>
    <n v="128520"/>
    <x v="1"/>
    <n v="3"/>
    <x v="103"/>
  </r>
  <r>
    <d v="2026-05-20T00:00:00"/>
    <x v="109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6176"/>
    <m/>
    <n v="6188"/>
    <n v="6579000000"/>
    <n v="7664"/>
    <n v="10010"/>
    <n v="8.0897703549060538E-3"/>
    <n v="7664"/>
    <x v="1"/>
    <n v="4"/>
    <x v="129"/>
  </r>
  <r>
    <d v="2026-05-20T00:00:00"/>
    <x v="109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6176"/>
    <m/>
    <n v="6188"/>
    <n v="6579000000"/>
    <n v="11626.684384"/>
    <n v="10010"/>
    <n v="2.7144454011317615E-5"/>
    <n v="11626.6844"/>
    <x v="1"/>
    <n v="4"/>
    <x v="4"/>
  </r>
  <r>
    <d v="2026-05-20T00:00:00"/>
    <x v="109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6176"/>
    <m/>
    <n v="6188"/>
    <n v="6579000000"/>
    <n v="1341.9588640000002"/>
    <n v="10010"/>
    <n v="3.0403308833823098E-5"/>
    <n v="1341.9592"/>
    <x v="1"/>
    <n v="8"/>
    <x v="4"/>
  </r>
  <r>
    <d v="2026-05-20T00:00:00"/>
    <x v="109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6176"/>
    <m/>
    <n v="6188"/>
    <n v="6579000000"/>
    <n v="9248"/>
    <n v="10010"/>
    <n v="2.1626297577854672E-4"/>
    <n v="9248"/>
    <x v="1"/>
    <n v="4"/>
    <x v="86"/>
  </r>
  <r>
    <d v="2026-05-20T00:00:00"/>
    <x v="109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6176"/>
    <m/>
    <n v="6188"/>
    <n v="6579000000"/>
    <n v="12140"/>
    <n v="10010"/>
    <n v="-8.2372322899505767E-4"/>
    <n v="12140"/>
    <x v="1"/>
    <n v="4"/>
    <x v="130"/>
  </r>
  <r>
    <d v="2026-05-20T00:00:00"/>
    <x v="109"/>
    <s v="STOCK"/>
    <n v="5"/>
    <s v="STOCK"/>
    <n v="1802171"/>
    <x v="210"/>
    <s v="UND"/>
    <n v="4"/>
    <m/>
    <n v="4"/>
    <n v="3157.5"/>
    <n v="12630"/>
    <n v="12630"/>
    <n v="3632"/>
    <n v="474.5"/>
    <n v="1898"/>
    <n v="0.13064427312775331"/>
    <m/>
    <n v="316176"/>
    <m/>
    <n v="6188"/>
    <n v="6579000000"/>
    <n v="14528"/>
    <n v="10010"/>
    <n v="-0.13064427312775331"/>
    <n v="14528"/>
    <x v="1"/>
    <n v="4"/>
    <x v="131"/>
  </r>
  <r>
    <d v="2026-05-20T00:00:00"/>
    <x v="109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6176"/>
    <m/>
    <n v="6188"/>
    <n v="6579000000"/>
    <n v="63133.935483999994"/>
    <n v="10010"/>
    <n v="0.28816616970097464"/>
    <n v="63133.935599999997"/>
    <x v="1"/>
    <n v="4"/>
    <x v="4"/>
  </r>
  <r>
    <d v="2026-05-20T00:00:00"/>
    <x v="109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6139"/>
    <n v="4129489"/>
    <n v="6188"/>
    <n v="6579000000"/>
    <n v="1947659.9999999993"/>
    <n v="10010"/>
    <n v="-5.1855560005389863E-5"/>
    <n v="1947660"/>
    <x v="0"/>
    <n v="130"/>
    <x v="99"/>
  </r>
  <r>
    <d v="2026-05-20T00:00:00"/>
    <x v="109"/>
    <s v="STOCK"/>
    <n v="5"/>
    <s v="STOCK"/>
    <s v="040748x"/>
    <x v="117"/>
    <s v="CJA"/>
    <n v="8"/>
    <m/>
    <n v="8"/>
    <n v="51255.375"/>
    <n v="410043"/>
    <n v="410043"/>
    <n v="55858.301899999999"/>
    <n v="4602.9269000000004"/>
    <n v="36823.415099999998"/>
    <n v="8.2403630821280688E-2"/>
    <m/>
    <n v="316139"/>
    <m/>
    <n v="6188"/>
    <n v="6579000000"/>
    <n v="446866.4150959999"/>
    <n v="10010"/>
    <n v="-8.2403631034834571E-2"/>
    <n v="446866.41519999999"/>
    <x v="1"/>
    <n v="8"/>
    <x v="4"/>
  </r>
  <r>
    <d v="2026-05-20T00:00:00"/>
    <x v="109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139"/>
    <m/>
    <n v="6188"/>
    <n v="6579000000"/>
    <n v="946350.47999999986"/>
    <n v="10010"/>
    <n v="-5.9588287805447206E-2"/>
    <n v="946350.4"/>
    <x v="0"/>
    <n v="2000"/>
    <x v="8"/>
  </r>
  <r>
    <d v="2026-05-20T00:00:00"/>
    <x v="109"/>
    <s v="STOCK"/>
    <n v="5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6139"/>
    <m/>
    <n v="6188"/>
    <n v="6579000000"/>
    <n v="35000.185429999998"/>
    <n v="10010"/>
    <n v="-5.2971147976295791E-6"/>
    <n v="35000.185400000002"/>
    <x v="1"/>
    <n v="2"/>
    <x v="67"/>
  </r>
  <r>
    <d v="2026-05-20T00:00:00"/>
    <x v="109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6139"/>
    <m/>
    <n v="6188"/>
    <n v="6579000000"/>
    <n v="64728.427048000027"/>
    <n v="10010"/>
    <n v="-6.5998822847693946E-6"/>
    <n v="64728.427199999998"/>
    <x v="1"/>
    <n v="4"/>
    <x v="66"/>
  </r>
  <r>
    <d v="2026-05-20T00:00:00"/>
    <x v="109"/>
    <s v="STOCK"/>
    <n v="5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6139"/>
    <m/>
    <n v="6188"/>
    <n v="6579000000"/>
    <n v="763658.3333399999"/>
    <n v="10010"/>
    <n v="2.4280054540726018E-2"/>
    <n v="763658.33400000003"/>
    <x v="1"/>
    <n v="20"/>
    <x v="11"/>
  </r>
  <r>
    <d v="2026-05-20T00:00:00"/>
    <x v="109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49"/>
    <n v="1399212"/>
    <n v="6188"/>
    <n v="6579000000"/>
    <n v="30952.44"/>
    <n v="10010"/>
    <n v="-8.9077242923396804E-2"/>
    <n v="30952.350000000002"/>
    <x v="1"/>
    <n v="4500"/>
    <x v="4"/>
  </r>
  <r>
    <d v="2026-05-20T00:00:00"/>
    <x v="109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49"/>
    <m/>
    <n v="6188"/>
    <n v="6579000000"/>
    <n v="1866.9503550000009"/>
    <n v="10010"/>
    <n v="2.6567390328128124E-5"/>
    <n v="1866.9503999999999"/>
    <x v="1"/>
    <n v="1"/>
    <x v="4"/>
  </r>
  <r>
    <d v="2026-05-20T00:00:00"/>
    <x v="109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6149"/>
    <m/>
    <n v="6188"/>
    <n v="6579000000"/>
    <n v="16517.660688"/>
    <n v="10010"/>
    <n v="2.3994899422923075E-2"/>
    <n v="16517.660400000001"/>
    <x v="1"/>
    <n v="12"/>
    <x v="4"/>
  </r>
  <r>
    <d v="2026-05-20T00:00:00"/>
    <x v="109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149"/>
    <m/>
    <n v="6188"/>
    <n v="6579000000"/>
    <n v="44052"/>
    <n v="10010"/>
    <n v="2.4289566875511357E-3"/>
    <n v="44052"/>
    <x v="1"/>
    <n v="12"/>
    <x v="40"/>
  </r>
  <r>
    <d v="2026-05-20T00:00:00"/>
    <x v="109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149"/>
    <m/>
    <n v="6188"/>
    <n v="6579000000"/>
    <n v="50286.86"/>
    <n v="10010"/>
    <n v="-1.5627541667942689E-2"/>
    <n v="50286.86"/>
    <x v="1"/>
    <n v="1"/>
    <x v="77"/>
  </r>
  <r>
    <d v="2026-05-20T00:00:00"/>
    <x v="109"/>
    <s v="STOCK"/>
    <n v="5"/>
    <s v="STOCK"/>
    <n v="2304008"/>
    <x v="223"/>
    <s v="UND"/>
    <n v="12"/>
    <m/>
    <n v="12"/>
    <n v="2550"/>
    <n v="30600"/>
    <n v="30600"/>
    <m/>
    <m/>
    <n v="-30600"/>
    <m/>
    <m/>
    <n v="316149"/>
    <m/>
    <n v="6188"/>
    <n v="6579000000"/>
    <s v=""/>
    <n v="10010"/>
    <e v="#DIV/0!"/>
    <n v="0"/>
    <x v="1"/>
    <n v="12"/>
    <x v="100"/>
  </r>
  <r>
    <d v="2026-05-20T00:00:00"/>
    <x v="109"/>
    <s v="STOCK"/>
    <n v="5"/>
    <s v="STOCK"/>
    <n v="1803045"/>
    <x v="164"/>
    <s v="KIT"/>
    <n v="2"/>
    <m/>
    <n v="2"/>
    <n v="51881.5"/>
    <n v="103763"/>
    <n v="103763"/>
    <n v="51873"/>
    <n v="-8.5"/>
    <n v="-17"/>
    <n v="-1.638617392479185E-4"/>
    <m/>
    <n v="316149"/>
    <m/>
    <n v="6188"/>
    <n v="6579000000"/>
    <n v="103746"/>
    <n v="10010"/>
    <n v="1.6386173924777824E-4"/>
    <n v="103746"/>
    <x v="0"/>
    <n v="2"/>
    <x v="57"/>
  </r>
  <r>
    <d v="2026-05-20T00:00:00"/>
    <x v="109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n v="6188"/>
    <n v="6579000000"/>
    <n v="52920"/>
    <n v="10010"/>
    <n v="-1.9727891156462583E-2"/>
    <n v="52920"/>
    <x v="1"/>
    <n v="1"/>
    <x v="100"/>
  </r>
  <r>
    <d v="2026-05-20T00:00:00"/>
    <x v="109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6149"/>
    <m/>
    <n v="6188"/>
    <n v="6579000000"/>
    <n v="30272"/>
    <n v="10010"/>
    <n v="7.5977801268498947E-4"/>
    <n v="30272"/>
    <x v="1"/>
    <n v="4"/>
    <x v="113"/>
  </r>
  <r>
    <d v="2026-05-20T00:00:00"/>
    <x v="109"/>
    <s v="STOCK"/>
    <n v="5"/>
    <s v="STOCK"/>
    <n v="2508988"/>
    <x v="202"/>
    <s v="KIT"/>
    <n v="2"/>
    <m/>
    <n v="2"/>
    <n v="142675.5"/>
    <n v="285351"/>
    <n v="285351"/>
    <m/>
    <m/>
    <n v="-285351"/>
    <m/>
    <m/>
    <n v="316149"/>
    <m/>
    <n v="6188"/>
    <n v="6579000000"/>
    <s v=""/>
    <n v="10010"/>
    <e v="#DIV/0!"/>
    <n v="0"/>
    <x v="1"/>
    <n v="2"/>
    <x v="100"/>
  </r>
  <r>
    <d v="2026-05-20T00:00:00"/>
    <x v="109"/>
    <s v="STOCK"/>
    <n v="5"/>
    <s v="STOCK"/>
    <n v="2508987"/>
    <x v="203"/>
    <s v="UND"/>
    <n v="1"/>
    <m/>
    <n v="1"/>
    <n v="142531"/>
    <n v="142531"/>
    <n v="142531"/>
    <n v="145847"/>
    <n v="3316"/>
    <n v="3316"/>
    <n v="2.2736155011758897E-2"/>
    <m/>
    <n v="316149"/>
    <m/>
    <n v="6188"/>
    <n v="6579000000"/>
    <n v="145847"/>
    <n v="10010"/>
    <n v="-2.2736155011758897E-2"/>
    <n v="145847"/>
    <x v="1"/>
    <n v="1"/>
    <x v="126"/>
  </r>
  <r>
    <d v="2026-05-20T00:00:00"/>
    <x v="109"/>
    <s v="STOCK"/>
    <n v="5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6149"/>
    <m/>
    <n v="6188"/>
    <n v="6579000000"/>
    <n v="22804.146594000005"/>
    <n v="10010"/>
    <n v="-1.3797490672151356E-4"/>
    <n v="22804.1466"/>
    <x v="1"/>
    <n v="6"/>
    <x v="4"/>
  </r>
  <r>
    <d v="2026-05-20T00:00:00"/>
    <x v="109"/>
    <s v="STOCK"/>
    <n v="5"/>
    <s v="STOCK"/>
    <n v="1405025"/>
    <x v="124"/>
    <s v="UND"/>
    <n v="6"/>
    <m/>
    <n v="6"/>
    <n v="6988"/>
    <n v="41928"/>
    <n v="41928"/>
    <n v="6758.5333000000001"/>
    <n v="-229.4667"/>
    <n v="-1376.8"/>
    <n v="-3.3952139568444395E-2"/>
    <m/>
    <n v="316149"/>
    <m/>
    <n v="6188"/>
    <n v="6579000000"/>
    <n v="40551.199997999996"/>
    <n v="10010"/>
    <n v="3.3952144616939288E-2"/>
    <n v="40551.199800000002"/>
    <x v="1"/>
    <n v="6"/>
    <x v="4"/>
  </r>
  <r>
    <d v="2026-05-20T00:00:00"/>
    <x v="109"/>
    <s v="STOCK"/>
    <n v="5"/>
    <s v="STOCK"/>
    <n v="2508994"/>
    <x v="230"/>
    <s v="UND"/>
    <n v="6"/>
    <m/>
    <n v="6"/>
    <n v="1691.3333"/>
    <n v="10148"/>
    <n v="10148"/>
    <n v="1598"/>
    <n v="-93.333299999999994"/>
    <n v="-560"/>
    <n v="-5.8406341259908179E-2"/>
    <m/>
    <n v="316149"/>
    <m/>
    <n v="6188"/>
    <n v="6579000000"/>
    <n v="9588"/>
    <n v="10010"/>
    <n v="5.840632040050063E-2"/>
    <n v="9588"/>
    <x v="1"/>
    <n v="6"/>
    <x v="142"/>
  </r>
  <r>
    <d v="2026-05-20T00:00:00"/>
    <x v="109"/>
    <s v="STOCK"/>
    <n v="5"/>
    <s v="STOCK"/>
    <n v="2508993"/>
    <x v="229"/>
    <s v="UND"/>
    <n v="6"/>
    <m/>
    <n v="6"/>
    <n v="1461.6667"/>
    <n v="8770"/>
    <n v="8770"/>
    <n v="1410"/>
    <n v="-51.666699999999999"/>
    <n v="-310"/>
    <n v="-3.6643026004728185E-2"/>
    <m/>
    <n v="316149"/>
    <m/>
    <n v="6188"/>
    <n v="6579000000"/>
    <n v="8460"/>
    <n v="10010"/>
    <n v="3.6643049645390065E-2"/>
    <n v="8460"/>
    <x v="1"/>
    <n v="6"/>
    <x v="141"/>
  </r>
  <r>
    <d v="2026-05-20T00:00:00"/>
    <x v="109"/>
    <s v="STOCK"/>
    <n v="5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6149"/>
    <m/>
    <n v="6188"/>
    <n v="6579000000"/>
    <n v="30504"/>
    <n v="10010"/>
    <n v="-3.0159913453973713E-3"/>
    <n v="30504"/>
    <x v="1"/>
    <n v="6"/>
    <x v="140"/>
  </r>
  <r>
    <d v="2026-05-20T00:00:00"/>
    <x v="109"/>
    <s v="STOCK"/>
    <n v="5"/>
    <s v="STOCK"/>
    <n v="2508991"/>
    <x v="227"/>
    <s v="UND"/>
    <n v="6"/>
    <m/>
    <n v="6"/>
    <n v="4785.5"/>
    <n v="28713"/>
    <n v="28713"/>
    <n v="4798"/>
    <n v="12.5"/>
    <n v="75"/>
    <n v="2.6052521884118384E-3"/>
    <m/>
    <n v="316149"/>
    <m/>
    <n v="6188"/>
    <n v="6579000000"/>
    <n v="28788"/>
    <n v="10010"/>
    <n v="-2.6052521884118384E-3"/>
    <n v="28788"/>
    <x v="1"/>
    <n v="6"/>
    <x v="139"/>
  </r>
  <r>
    <d v="2026-05-20T00:00:00"/>
    <x v="109"/>
    <s v="STOCK"/>
    <n v="5"/>
    <s v="STOCK"/>
    <n v="2508990"/>
    <x v="226"/>
    <s v="UND"/>
    <n v="6"/>
    <m/>
    <n v="6"/>
    <n v="6688.6666999999998"/>
    <n v="40132"/>
    <n v="40132"/>
    <n v="6738"/>
    <n v="49.333300000000001"/>
    <n v="296"/>
    <n v="7.321658256653759E-3"/>
    <m/>
    <n v="316149"/>
    <m/>
    <n v="6188"/>
    <n v="6579000000"/>
    <n v="40428"/>
    <n v="10010"/>
    <n v="-7.3216533095874494E-3"/>
    <n v="40428"/>
    <x v="1"/>
    <n v="6"/>
    <x v="138"/>
  </r>
  <r>
    <d v="2026-05-20T00:00:00"/>
    <x v="109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6149"/>
    <m/>
    <n v="6188"/>
    <n v="6579000000"/>
    <n v="155618.99999999997"/>
    <n v="10010"/>
    <n v="1.6707535712223284E-4"/>
    <n v="155619"/>
    <x v="0"/>
    <n v="3"/>
    <x v="57"/>
  </r>
  <r>
    <d v="2026-05-20T00:00:00"/>
    <x v="109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n v="6188"/>
    <n v="6579000000"/>
    <n v="52920"/>
    <n v="10010"/>
    <n v="-1.9727891156462583E-2"/>
    <n v="52920"/>
    <x v="1"/>
    <n v="1"/>
    <x v="100"/>
  </r>
  <r>
    <d v="2026-05-20T00:00:00"/>
    <x v="109"/>
    <s v="STOCK"/>
    <n v="5"/>
    <s v="STOCK"/>
    <n v="1402016"/>
    <x v="264"/>
    <s v="UND"/>
    <n v="6"/>
    <m/>
    <n v="6"/>
    <n v="754.16669999999999"/>
    <n v="4525"/>
    <n v="4525"/>
    <m/>
    <m/>
    <n v="-4525"/>
    <m/>
    <m/>
    <n v="316149"/>
    <m/>
    <n v="6188"/>
    <n v="6579000000"/>
    <s v=""/>
    <n v="10010"/>
    <e v="#DIV/0!"/>
    <n v="0"/>
    <x v="1"/>
    <n v="6"/>
    <x v="100"/>
  </r>
  <r>
    <d v="2026-05-20T00:00:00"/>
    <x v="109"/>
    <s v="STOCK"/>
    <n v="5"/>
    <s v="STOCK"/>
    <n v="1101298"/>
    <x v="265"/>
    <s v="UND"/>
    <n v="3"/>
    <m/>
    <n v="3"/>
    <n v="73070"/>
    <n v="219210"/>
    <n v="219210"/>
    <m/>
    <m/>
    <n v="-219210"/>
    <m/>
    <m/>
    <n v="316149"/>
    <m/>
    <n v="6188"/>
    <n v="6579000000"/>
    <s v=""/>
    <n v="10010"/>
    <e v="#DIV/0!"/>
    <n v="0"/>
    <x v="1"/>
    <n v="3"/>
    <x v="100"/>
  </r>
  <r>
    <d v="2026-05-20T00:00:00"/>
    <x v="109"/>
    <s v="STOCK"/>
    <n v="5"/>
    <s v="STOCK"/>
    <n v="2505058"/>
    <x v="99"/>
    <s v="UND"/>
    <n v="10"/>
    <m/>
    <n v="10"/>
    <n v="16539.7"/>
    <n v="165397"/>
    <n v="165397"/>
    <n v="17870.144100000001"/>
    <n v="1330.4440999999999"/>
    <n v="13304.440699999999"/>
    <n v="7.4450662677220475E-2"/>
    <m/>
    <n v="316109"/>
    <n v="846383"/>
    <n v="6188"/>
    <n v="6579000000"/>
    <n v="178701.44068"/>
    <n v="10010"/>
    <n v="-7.445066433459821E-2"/>
    <n v="178701.44100000002"/>
    <x v="1"/>
    <n v="10"/>
    <x v="87"/>
  </r>
  <r>
    <d v="2026-05-20T00:00:00"/>
    <x v="109"/>
    <s v="STOCK"/>
    <n v="5"/>
    <s v="STOCK"/>
    <n v="106022"/>
    <x v="157"/>
    <s v="UND"/>
    <n v="4"/>
    <m/>
    <n v="4"/>
    <n v="3800.25"/>
    <n v="15201"/>
    <n v="15201"/>
    <n v="3800.6911"/>
    <n v="0.44109999999999999"/>
    <n v="1.7644"/>
    <n v="1.1605757703293336E-4"/>
    <m/>
    <n v="316109"/>
    <m/>
    <n v="6188"/>
    <n v="6579000000"/>
    <n v="15202.764396000002"/>
    <n v="10010"/>
    <n v="-1.1605784011229058E-4"/>
    <n v="15202.7644"/>
    <x v="1"/>
    <n v="4"/>
    <x v="4"/>
  </r>
  <r>
    <d v="2026-05-20T00:00:00"/>
    <x v="109"/>
    <s v="STOCK"/>
    <n v="5"/>
    <s v="STOCK"/>
    <n v="1405025"/>
    <x v="124"/>
    <s v="UND"/>
    <n v="5"/>
    <m/>
    <n v="5"/>
    <n v="6988"/>
    <n v="34940"/>
    <n v="34940"/>
    <n v="6758.5333000000001"/>
    <n v="-229.4667"/>
    <n v="-1147.3333"/>
    <n v="-3.3952139568444395E-2"/>
    <m/>
    <n v="316109"/>
    <m/>
    <n v="6188"/>
    <n v="6579000000"/>
    <n v="33792.666665000004"/>
    <n v="10010"/>
    <n v="3.3952144616939288E-2"/>
    <n v="33792.666499999999"/>
    <x v="1"/>
    <n v="5"/>
    <x v="4"/>
  </r>
  <r>
    <d v="2026-05-20T00:00:00"/>
    <x v="109"/>
    <s v="STOCK"/>
    <n v="5"/>
    <s v="STOCK"/>
    <n v="2508994"/>
    <x v="230"/>
    <s v="UND"/>
    <n v="5"/>
    <m/>
    <n v="5"/>
    <n v="1691.4"/>
    <n v="8457"/>
    <n v="8457"/>
    <n v="1598"/>
    <n v="-93.4"/>
    <n v="-467"/>
    <n v="-5.8448060075093927E-2"/>
    <m/>
    <n v="316109"/>
    <m/>
    <n v="6188"/>
    <n v="6579000000"/>
    <n v="7990"/>
    <n v="10010"/>
    <n v="5.8448060075093927E-2"/>
    <n v="7990"/>
    <x v="1"/>
    <n v="5"/>
    <x v="142"/>
  </r>
  <r>
    <d v="2026-05-20T00:00:00"/>
    <x v="109"/>
    <s v="STOCK"/>
    <n v="5"/>
    <s v="STOCK"/>
    <n v="2508993"/>
    <x v="229"/>
    <s v="UND"/>
    <n v="10"/>
    <m/>
    <n v="10"/>
    <n v="1461.6"/>
    <n v="14616"/>
    <n v="14616"/>
    <n v="1410"/>
    <n v="-51.6"/>
    <n v="-516"/>
    <n v="-3.6595744680851E-2"/>
    <m/>
    <n v="316109"/>
    <m/>
    <n v="6188"/>
    <n v="6579000000"/>
    <n v="14100"/>
    <n v="10010"/>
    <n v="3.6595744680851E-2"/>
    <n v="14100"/>
    <x v="1"/>
    <n v="10"/>
    <x v="141"/>
  </r>
  <r>
    <d v="2026-05-20T00:00:00"/>
    <x v="109"/>
    <s v="STOCK"/>
    <n v="5"/>
    <s v="STOCK"/>
    <n v="2508992"/>
    <x v="228"/>
    <s v="UND"/>
    <n v="15"/>
    <m/>
    <n v="15"/>
    <n v="5068.6666999999998"/>
    <n v="76030"/>
    <n v="76030"/>
    <n v="5084"/>
    <n v="15.333299999999999"/>
    <n v="230"/>
    <n v="3.0159979019144436E-3"/>
    <m/>
    <n v="316109"/>
    <m/>
    <n v="6188"/>
    <n v="6579000000"/>
    <n v="76260"/>
    <n v="10010"/>
    <n v="-3.0159913453973713E-3"/>
    <n v="76260"/>
    <x v="1"/>
    <n v="15"/>
    <x v="140"/>
  </r>
  <r>
    <d v="2026-05-20T00:00:00"/>
    <x v="109"/>
    <s v="STOCK"/>
    <n v="5"/>
    <s v="STOCK"/>
    <n v="2508991"/>
    <x v="227"/>
    <s v="UND"/>
    <n v="10"/>
    <m/>
    <n v="10"/>
    <n v="4785.5"/>
    <n v="47855"/>
    <n v="47855"/>
    <n v="4798"/>
    <n v="12.5"/>
    <n v="125"/>
    <n v="2.6052521884118384E-3"/>
    <m/>
    <n v="316109"/>
    <m/>
    <n v="6188"/>
    <n v="6579000000"/>
    <n v="47980"/>
    <n v="10010"/>
    <n v="-2.6052521884118384E-3"/>
    <n v="47980"/>
    <x v="1"/>
    <n v="10"/>
    <x v="139"/>
  </r>
  <r>
    <d v="2026-05-20T00:00:00"/>
    <x v="109"/>
    <s v="STOCK"/>
    <n v="5"/>
    <s v="STOCK"/>
    <n v="2508990"/>
    <x v="226"/>
    <s v="UND"/>
    <n v="10"/>
    <m/>
    <n v="10"/>
    <n v="6688.7"/>
    <n v="66887"/>
    <n v="66887"/>
    <n v="6738"/>
    <n v="49.3"/>
    <n v="493"/>
    <n v="7.3167111902642003E-3"/>
    <m/>
    <n v="316109"/>
    <m/>
    <n v="6188"/>
    <n v="6579000000"/>
    <n v="67380"/>
    <n v="10010"/>
    <n v="-7.3167111902642003E-3"/>
    <n v="67380"/>
    <x v="1"/>
    <n v="10"/>
    <x v="138"/>
  </r>
  <r>
    <d v="2026-05-20T00:00:00"/>
    <x v="109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109"/>
    <m/>
    <n v="6188"/>
    <n v="6579000000"/>
    <n v="405989.40789499989"/>
    <n v="10010"/>
    <n v="2.7120392264026835E-2"/>
    <n v="405989.40799999994"/>
    <x v="1"/>
    <n v="5"/>
    <x v="4"/>
  </r>
  <r>
    <d v="2026-05-25T00:00:00"/>
    <x v="110"/>
    <s v="STOCK"/>
    <n v="5"/>
    <s v="STOCK"/>
    <n v="5316507"/>
    <x v="28"/>
    <s v="UND"/>
    <n v="10"/>
    <m/>
    <n v="10"/>
    <n v="41766.1"/>
    <n v="417661"/>
    <n v="417661"/>
    <n v="41419.666700000002"/>
    <n v="-346.43329999999997"/>
    <n v="-3464.3332999999998"/>
    <n v="-8.3639816753043137E-3"/>
    <m/>
    <n v="316498"/>
    <n v="718632"/>
    <n v="6215"/>
    <n v="6579000000"/>
    <n v="414196.66666999995"/>
    <n v="10010"/>
    <n v="8.3639808719174688E-3"/>
    <n v="414196.66700000002"/>
    <x v="1"/>
    <n v="10"/>
    <x v="25"/>
  </r>
  <r>
    <d v="2026-05-25T00:00:00"/>
    <x v="110"/>
    <s v="STOCK"/>
    <n v="5"/>
    <s v="STOCK"/>
    <n v="5316508"/>
    <x v="204"/>
    <s v="UND"/>
    <n v="4"/>
    <m/>
    <n v="4"/>
    <n v="14589.75"/>
    <n v="58359"/>
    <n v="58359"/>
    <m/>
    <m/>
    <n v="-58359"/>
    <m/>
    <m/>
    <n v="316498"/>
    <m/>
    <n v="6215"/>
    <n v="6579000000"/>
    <s v=""/>
    <n v="10010"/>
    <e v="#DIV/0!"/>
    <n v="0"/>
    <x v="1"/>
    <n v="4"/>
    <x v="100"/>
  </r>
  <r>
    <d v="2026-05-25T00:00:00"/>
    <x v="110"/>
    <s v="STOCK"/>
    <n v="5"/>
    <s v="STOCK"/>
    <n v="5316509"/>
    <x v="29"/>
    <s v="UND"/>
    <n v="6"/>
    <m/>
    <n v="6"/>
    <n v="14549.8333"/>
    <n v="87299"/>
    <n v="87299"/>
    <n v="15433.3333"/>
    <n v="883.5"/>
    <n v="5301"/>
    <n v="5.7246220282013947E-2"/>
    <m/>
    <n v="316498"/>
    <m/>
    <n v="6215"/>
    <n v="6579000000"/>
    <n v="92599.999997999999"/>
    <n v="10010"/>
    <n v="-5.7246220426017756E-2"/>
    <n v="92599.999800000005"/>
    <x v="1"/>
    <n v="6"/>
    <x v="26"/>
  </r>
  <r>
    <d v="2026-05-25T00:00:00"/>
    <x v="110"/>
    <s v="STOCK"/>
    <n v="5"/>
    <s v="STOCK"/>
    <n v="1703006"/>
    <x v="20"/>
    <s v="UND"/>
    <n v="10"/>
    <m/>
    <n v="10"/>
    <n v="1662.3"/>
    <n v="16623"/>
    <n v="16623"/>
    <n v="1662"/>
    <n v="-0.3"/>
    <n v="-3"/>
    <n v="-1.8050541516242751E-4"/>
    <m/>
    <n v="316498"/>
    <m/>
    <n v="6215"/>
    <n v="6579000000"/>
    <n v="16620"/>
    <n v="10010"/>
    <n v="1.8050541516242751E-4"/>
    <n v="16620"/>
    <x v="1"/>
    <n v="10"/>
    <x v="17"/>
  </r>
  <r>
    <d v="2026-05-25T00:00:00"/>
    <x v="110"/>
    <s v="STOCK"/>
    <n v="5"/>
    <s v="STOCK"/>
    <n v="1802166"/>
    <x v="205"/>
    <s v="UND"/>
    <n v="10"/>
    <m/>
    <n v="10"/>
    <n v="13869"/>
    <n v="138690"/>
    <n v="138690"/>
    <n v="13869"/>
    <n v="0"/>
    <n v="0"/>
    <n v="0"/>
    <m/>
    <n v="316498"/>
    <m/>
    <n v="6215"/>
    <n v="6579000000"/>
    <n v="138690"/>
    <n v="10010"/>
    <n v="0"/>
    <n v="138690"/>
    <x v="1"/>
    <n v="10"/>
    <x v="127"/>
  </r>
  <r>
    <d v="2026-05-25T00:00:00"/>
    <x v="110"/>
    <s v="STOCK"/>
    <n v="5"/>
    <s v="STOCK"/>
    <n v="1103088"/>
    <x v="267"/>
    <s v="UND"/>
    <n v="18"/>
    <m/>
    <n v="18"/>
    <n v="3134"/>
    <n v="56412"/>
    <n v="56412"/>
    <n v="3134"/>
    <n v="0"/>
    <n v="0"/>
    <n v="0"/>
    <m/>
    <n v="316495"/>
    <n v="1176205"/>
    <n v="6215"/>
    <n v="6579000000"/>
    <n v="56412"/>
    <n v="10010"/>
    <n v="0"/>
    <n v="56412"/>
    <x v="1"/>
    <n v="18"/>
    <x v="137"/>
  </r>
  <r>
    <d v="2026-05-25T00:00:00"/>
    <x v="110"/>
    <s v="STOCK"/>
    <n v="5"/>
    <s v="STOCK"/>
    <n v="1103087"/>
    <x v="222"/>
    <s v="UND"/>
    <n v="9"/>
    <m/>
    <n v="9"/>
    <n v="9840.7777999999998"/>
    <n v="88567"/>
    <n v="88567"/>
    <n v="9841"/>
    <n v="0.22220000000000001"/>
    <n v="2"/>
    <n v="2.258126432503063E-5"/>
    <m/>
    <n v="316495"/>
    <m/>
    <n v="6215"/>
    <n v="6579000000"/>
    <n v="88569"/>
    <n v="10010"/>
    <n v="-2.2579006198573029E-5"/>
    <n v="88569"/>
    <x v="1"/>
    <n v="9"/>
    <x v="137"/>
  </r>
  <r>
    <d v="2026-05-25T00:00:00"/>
    <x v="110"/>
    <s v="STOCK"/>
    <n v="5"/>
    <s v="STOCK"/>
    <n v="1103086"/>
    <x v="221"/>
    <s v="UND"/>
    <n v="9"/>
    <m/>
    <n v="9"/>
    <n v="10465.6667"/>
    <n v="94191"/>
    <n v="94191"/>
    <n v="10466"/>
    <n v="0.33329999999999999"/>
    <n v="3"/>
    <n v="3.1849162367087683E-5"/>
    <m/>
    <n v="316495"/>
    <m/>
    <n v="6215"/>
    <n v="6579000000"/>
    <n v="94194"/>
    <n v="10010"/>
    <n v="-3.184597745081557E-5"/>
    <n v="94194"/>
    <x v="1"/>
    <n v="9"/>
    <x v="137"/>
  </r>
  <r>
    <d v="2026-05-25T00:00:00"/>
    <x v="11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495"/>
    <m/>
    <n v="6215"/>
    <n v="6579000000"/>
    <n v="4218.1170840000004"/>
    <n v="10010"/>
    <n v="8.0102804165934655E-2"/>
    <n v="4218.1170000000002"/>
    <x v="1"/>
    <n v="2"/>
    <x v="28"/>
  </r>
  <r>
    <d v="2026-05-25T00:00:00"/>
    <x v="110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495"/>
    <m/>
    <n v="6215"/>
    <n v="6579000000"/>
    <n v="811237.38780000038"/>
    <n v="10010"/>
    <n v="-4.1854446472556059E-3"/>
    <n v="811237.39199999999"/>
    <x v="0"/>
    <n v="84"/>
    <x v="0"/>
  </r>
  <r>
    <d v="2026-05-25T00:00:00"/>
    <x v="110"/>
    <s v="STOCK"/>
    <n v="5"/>
    <s v="STOCK"/>
    <n v="609008"/>
    <x v="30"/>
    <s v="LTS"/>
    <n v="2"/>
    <m/>
    <n v="2"/>
    <n v="2067"/>
    <n v="4134"/>
    <n v="4134"/>
    <n v="2130.7573000000002"/>
    <n v="63.757300000000001"/>
    <n v="127.5146"/>
    <n v="2.992237065233861E-2"/>
    <m/>
    <n v="316495"/>
    <m/>
    <n v="6215"/>
    <n v="6579000000"/>
    <n v="4261.5146199999999"/>
    <n v="10010"/>
    <n v="-2.9922366099602339E-2"/>
    <n v="4261.5146000000004"/>
    <x v="1"/>
    <n v="2"/>
    <x v="27"/>
  </r>
  <r>
    <d v="2026-05-25T00:00:00"/>
    <x v="11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495"/>
    <m/>
    <n v="6215"/>
    <n v="6579000000"/>
    <n v="71496"/>
    <n v="10010"/>
    <n v="6.1807653575025177E-2"/>
    <n v="71496"/>
    <x v="1"/>
    <n v="24"/>
    <x v="100"/>
  </r>
  <r>
    <d v="2026-05-25T00:00:00"/>
    <x v="11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495"/>
    <m/>
    <n v="6215"/>
    <n v="6579000000"/>
    <n v="44052"/>
    <n v="10010"/>
    <n v="2.4289566875511357E-3"/>
    <n v="44052"/>
    <x v="1"/>
    <n v="12"/>
    <x v="40"/>
  </r>
  <r>
    <d v="2026-05-25T00:00:00"/>
    <x v="110"/>
    <s v="STOCK"/>
    <n v="5"/>
    <s v="STOCK"/>
    <n v="407853"/>
    <x v="268"/>
    <s v="UND"/>
    <n v="100"/>
    <m/>
    <n v="100"/>
    <n v="4.29"/>
    <n v="429"/>
    <n v="429"/>
    <m/>
    <m/>
    <n v="-429"/>
    <m/>
    <m/>
    <n v="316495"/>
    <m/>
    <n v="6215"/>
    <n v="6579000000"/>
    <s v=""/>
    <n v="10010"/>
    <e v="#DIV/0!"/>
    <n v="0"/>
    <x v="1"/>
    <n v="100"/>
    <x v="100"/>
  </r>
  <r>
    <d v="2026-05-25T00:00:00"/>
    <x v="11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6513"/>
    <n v="653777"/>
    <n v="6215"/>
    <n v="6579000000"/>
    <s v=""/>
    <n v="10010"/>
    <e v="#DIV/0!"/>
    <n v="0"/>
    <x v="1"/>
    <n v="3"/>
    <x v="100"/>
  </r>
  <r>
    <d v="2026-05-25T00:00:00"/>
    <x v="110"/>
    <s v="STOCK"/>
    <n v="5"/>
    <s v="STOCK"/>
    <n v="1101298"/>
    <x v="265"/>
    <s v="UND"/>
    <n v="1"/>
    <m/>
    <n v="1"/>
    <n v="73070"/>
    <n v="73070"/>
    <n v="73070"/>
    <m/>
    <m/>
    <n v="-73070"/>
    <m/>
    <m/>
    <n v="316513"/>
    <m/>
    <n v="6215"/>
    <n v="6579000000"/>
    <s v=""/>
    <n v="10010"/>
    <e v="#DIV/0!"/>
    <n v="0"/>
    <x v="1"/>
    <n v="1"/>
    <x v="100"/>
  </r>
  <r>
    <d v="2026-05-25T00:00:00"/>
    <x v="11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513"/>
    <m/>
    <n v="6215"/>
    <n v="6579000000"/>
    <n v="30952.44"/>
    <n v="10010"/>
    <n v="-8.9077242923396804E-2"/>
    <n v="30952.350000000002"/>
    <x v="1"/>
    <n v="4500"/>
    <x v="4"/>
  </r>
  <r>
    <d v="2026-05-25T00:00:00"/>
    <x v="11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513"/>
    <m/>
    <n v="6215"/>
    <n v="6579000000"/>
    <n v="41376.000000000007"/>
    <n v="10010"/>
    <n v="0.18551821345707656"/>
    <n v="41376"/>
    <x v="1"/>
    <n v="48"/>
    <x v="4"/>
  </r>
  <r>
    <d v="2026-05-25T00:00:00"/>
    <x v="11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513"/>
    <m/>
    <n v="6215"/>
    <n v="6579000000"/>
    <n v="4218.1170840000004"/>
    <n v="10010"/>
    <n v="8.0102804165934655E-2"/>
    <n v="4218.1170000000002"/>
    <x v="1"/>
    <n v="2"/>
    <x v="28"/>
  </r>
  <r>
    <d v="2026-05-25T00:00:00"/>
    <x v="11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513"/>
    <m/>
    <n v="6215"/>
    <n v="6579000000"/>
    <n v="71496"/>
    <n v="10010"/>
    <n v="6.1807653575025177E-2"/>
    <n v="71496"/>
    <x v="1"/>
    <n v="24"/>
    <x v="100"/>
  </r>
  <r>
    <d v="2026-05-25T00:00:00"/>
    <x v="11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6513"/>
    <m/>
    <n v="6215"/>
    <n v="6579000000"/>
    <n v="15565.623143999999"/>
    <n v="10010"/>
    <n v="2.4207189489081083E-5"/>
    <n v="15565.623599999999"/>
    <x v="1"/>
    <n v="12"/>
    <x v="80"/>
  </r>
  <r>
    <d v="2026-05-25T00:00:00"/>
    <x v="110"/>
    <s v="STOCK"/>
    <n v="5"/>
    <s v="STOCK"/>
    <n v="404252"/>
    <x v="118"/>
    <s v="UND"/>
    <n v="10"/>
    <m/>
    <n v="10"/>
    <n v="1544.2"/>
    <n v="15442"/>
    <n v="15442"/>
    <n v="1110.0438999999999"/>
    <n v="-434.15609999999998"/>
    <n v="-4341.5612000000001"/>
    <n v="-0.39111618323094111"/>
    <m/>
    <n v="316513"/>
    <m/>
    <n v="6215"/>
    <n v="6579000000"/>
    <n v="11100.438759999999"/>
    <n v="10010"/>
    <n v="0.39111615315394299"/>
    <n v="11100.438999999998"/>
    <x v="1"/>
    <n v="10"/>
    <x v="4"/>
  </r>
  <r>
    <d v="2026-05-25T00:00:00"/>
    <x v="110"/>
    <s v="STOCK"/>
    <n v="5"/>
    <s v="STOCK"/>
    <n v="304012"/>
    <x v="233"/>
    <s v="PL"/>
    <n v="5"/>
    <m/>
    <n v="5"/>
    <n v="6004.4"/>
    <n v="30022"/>
    <n v="30022"/>
    <n v="0"/>
    <n v="-6004.4"/>
    <n v="-30022"/>
    <m/>
    <m/>
    <n v="316513"/>
    <m/>
    <n v="6215"/>
    <n v="6579000000"/>
    <n v="0"/>
    <n v="10010"/>
    <e v="#DIV/0!"/>
    <n v="0"/>
    <x v="1"/>
    <n v="5"/>
    <x v="100"/>
  </r>
  <r>
    <d v="2026-05-25T00:00:00"/>
    <x v="110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513"/>
    <m/>
    <n v="6215"/>
    <n v="6579000000"/>
    <n v="3832"/>
    <n v="10010"/>
    <n v="8.0897703549060538E-3"/>
    <n v="3832"/>
    <x v="1"/>
    <n v="2"/>
    <x v="129"/>
  </r>
  <r>
    <d v="2026-05-25T00:00:00"/>
    <x v="110"/>
    <s v="STOCK"/>
    <n v="5"/>
    <s v="STOCK"/>
    <n v="1808146"/>
    <x v="201"/>
    <s v="UND"/>
    <n v="2"/>
    <m/>
    <n v="2"/>
    <n v="3318"/>
    <n v="6636"/>
    <n v="6636"/>
    <n v="3404"/>
    <n v="86"/>
    <n v="172"/>
    <n v="2.5264394829612225E-2"/>
    <m/>
    <n v="316513"/>
    <m/>
    <n v="6215"/>
    <n v="6579000000"/>
    <n v="6808"/>
    <n v="10010"/>
    <n v="-2.5264394829612222E-2"/>
    <n v="6808"/>
    <x v="1"/>
    <n v="2"/>
    <x v="125"/>
  </r>
  <r>
    <d v="2026-05-25T00:00:00"/>
    <x v="110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513"/>
    <m/>
    <n v="6215"/>
    <n v="6579000000"/>
    <n v="5813.3421920000001"/>
    <n v="10010"/>
    <n v="-5.886458911709137E-5"/>
    <n v="5813.3422"/>
    <x v="1"/>
    <n v="2"/>
    <x v="4"/>
  </r>
  <r>
    <d v="2026-05-25T00:00:00"/>
    <x v="110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513"/>
    <m/>
    <n v="6215"/>
    <n v="6579000000"/>
    <n v="670.97943200000009"/>
    <n v="10010"/>
    <n v="3.0403308833823098E-5"/>
    <n v="670.9796"/>
    <x v="1"/>
    <n v="4"/>
    <x v="4"/>
  </r>
  <r>
    <d v="2026-05-25T00:00:00"/>
    <x v="110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513"/>
    <m/>
    <n v="6215"/>
    <n v="6579000000"/>
    <n v="4624"/>
    <n v="10010"/>
    <n v="2.1626297577854672E-4"/>
    <n v="4624"/>
    <x v="1"/>
    <n v="2"/>
    <x v="86"/>
  </r>
  <r>
    <d v="2026-05-25T00:00:00"/>
    <x v="110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513"/>
    <m/>
    <n v="6215"/>
    <n v="6579000000"/>
    <n v="6070"/>
    <n v="10010"/>
    <n v="-8.2372322899505767E-4"/>
    <n v="6070"/>
    <x v="1"/>
    <n v="2"/>
    <x v="130"/>
  </r>
  <r>
    <d v="2026-05-25T00:00:00"/>
    <x v="110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513"/>
    <m/>
    <n v="6215"/>
    <n v="6579000000"/>
    <n v="7264"/>
    <n v="10010"/>
    <n v="-0.13312224669603523"/>
    <n v="7264"/>
    <x v="1"/>
    <n v="2"/>
    <x v="131"/>
  </r>
  <r>
    <d v="2026-05-25T00:00:00"/>
    <x v="110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513"/>
    <m/>
    <n v="6215"/>
    <n v="6579000000"/>
    <n v="31566.967741999997"/>
    <n v="10010"/>
    <n v="0.28815033035893939"/>
    <n v="31566.967799999999"/>
    <x v="1"/>
    <n v="2"/>
    <x v="4"/>
  </r>
  <r>
    <d v="2026-05-25T00:00:00"/>
    <x v="110"/>
    <s v="STOCK"/>
    <n v="5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6513"/>
    <m/>
    <n v="6215"/>
    <n v="6579000000"/>
    <n v="291694"/>
    <n v="10010"/>
    <n v="-2.2732726761606342E-2"/>
    <n v="291694"/>
    <x v="1"/>
    <n v="2"/>
    <x v="126"/>
  </r>
  <r>
    <d v="2026-05-25T00:00:00"/>
    <x v="110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531"/>
    <n v="2651601"/>
    <n v="6215"/>
    <n v="6579000000"/>
    <n v="1480755.0557880001"/>
    <n v="10010"/>
    <n v="3.3028376752600841E-2"/>
    <n v="1480755.06"/>
    <x v="0"/>
    <n v="108"/>
    <x v="2"/>
  </r>
  <r>
    <d v="2026-05-25T00:00:00"/>
    <x v="11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6531"/>
    <m/>
    <n v="6215"/>
    <n v="6579000000"/>
    <n v="1106302.4691599987"/>
    <n v="10010"/>
    <n v="1.413404863746349E-2"/>
    <n v="1106302.4616"/>
    <x v="0"/>
    <n v="168"/>
    <x v="95"/>
  </r>
  <r>
    <d v="2026-05-25T00:00:00"/>
    <x v="110"/>
    <s v="STOCK"/>
    <n v="5"/>
    <s v="STOCK"/>
    <n v="1402016"/>
    <x v="264"/>
    <s v="UND"/>
    <n v="21"/>
    <m/>
    <n v="21"/>
    <n v="754.19050000000004"/>
    <n v="15838"/>
    <n v="15838"/>
    <m/>
    <m/>
    <n v="-15838"/>
    <m/>
    <m/>
    <n v="316527"/>
    <n v="1492064"/>
    <n v="6215"/>
    <n v="6579000000"/>
    <s v=""/>
    <n v="10010"/>
    <e v="#DIV/0!"/>
    <n v="0"/>
    <x v="1"/>
    <n v="21"/>
    <x v="100"/>
  </r>
  <r>
    <d v="2026-05-25T00:00:00"/>
    <x v="110"/>
    <s v="STOCK"/>
    <n v="5"/>
    <s v="STOCK"/>
    <n v="1101298"/>
    <x v="265"/>
    <s v="UND"/>
    <n v="7"/>
    <m/>
    <n v="7"/>
    <n v="73070"/>
    <n v="511490"/>
    <n v="511490"/>
    <m/>
    <m/>
    <n v="-511490"/>
    <m/>
    <m/>
    <n v="316527"/>
    <m/>
    <n v="6215"/>
    <n v="6579000000"/>
    <s v=""/>
    <n v="10010"/>
    <e v="#DIV/0!"/>
    <n v="0"/>
    <x v="1"/>
    <n v="7"/>
    <x v="100"/>
  </r>
  <r>
    <d v="2026-05-25T00:00:00"/>
    <x v="11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6527"/>
    <m/>
    <n v="6215"/>
    <n v="6579000000"/>
    <n v="5748"/>
    <n v="10010"/>
    <n v="8.176774530271394E-3"/>
    <n v="5748"/>
    <x v="1"/>
    <n v="3"/>
    <x v="129"/>
  </r>
  <r>
    <d v="2026-05-25T00:00:00"/>
    <x v="11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6527"/>
    <m/>
    <n v="6215"/>
    <n v="6579000000"/>
    <n v="8720.0132880000001"/>
    <n v="10010"/>
    <n v="-1.5137591589929127E-6"/>
    <n v="8720.0133000000005"/>
    <x v="1"/>
    <n v="3"/>
    <x v="4"/>
  </r>
  <r>
    <d v="2026-05-25T00:00:00"/>
    <x v="11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6527"/>
    <m/>
    <n v="6215"/>
    <n v="6579000000"/>
    <n v="1006.469148"/>
    <n v="10010"/>
    <n v="-4.6618406878545695E-4"/>
    <n v="1006.4694"/>
    <x v="1"/>
    <n v="6"/>
    <x v="4"/>
  </r>
  <r>
    <d v="2026-05-25T00:00:00"/>
    <x v="11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6527"/>
    <m/>
    <n v="6215"/>
    <n v="6579000000"/>
    <n v="9105"/>
    <n v="10010"/>
    <n v="-8.7864909390452024E-4"/>
    <n v="9105"/>
    <x v="1"/>
    <n v="3"/>
    <x v="130"/>
  </r>
  <r>
    <d v="2026-05-25T00:00:00"/>
    <x v="110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6527"/>
    <m/>
    <n v="6215"/>
    <n v="6579000000"/>
    <n v="10896"/>
    <n v="10010"/>
    <n v="-0.13316814427312781"/>
    <n v="10896"/>
    <x v="1"/>
    <n v="3"/>
    <x v="131"/>
  </r>
  <r>
    <d v="2026-05-25T00:00:00"/>
    <x v="11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6527"/>
    <m/>
    <n v="6215"/>
    <n v="6579000000"/>
    <n v="47350.451612999997"/>
    <n v="10010"/>
    <n v="0.28816089203220857"/>
    <n v="47350.451699999998"/>
    <x v="1"/>
    <n v="3"/>
    <x v="4"/>
  </r>
  <r>
    <d v="2026-05-25T00:00:00"/>
    <x v="11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6527"/>
    <m/>
    <n v="6215"/>
    <n v="6579000000"/>
    <n v="475295.51668"/>
    <n v="10010"/>
    <n v="9.3378713886288892E-2"/>
    <n v="475295.516"/>
    <x v="0"/>
    <n v="40"/>
    <x v="92"/>
  </r>
  <r>
    <d v="2026-05-25T00:00:00"/>
    <x v="11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527"/>
    <m/>
    <n v="6215"/>
    <n v="6579000000"/>
    <n v="350000.00000000029"/>
    <n v="10010"/>
    <n v="0"/>
    <n v="350000"/>
    <x v="1"/>
    <n v="10"/>
    <x v="89"/>
  </r>
  <r>
    <d v="2026-05-25T00:00:00"/>
    <x v="11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6552"/>
    <n v="1185745"/>
    <n v="6215"/>
    <n v="6579000000"/>
    <n v="1229712.6064800003"/>
    <n v="10010"/>
    <n v="-3.5754364068482349E-2"/>
    <n v="1229712.5999999999"/>
    <x v="0"/>
    <n v="240"/>
    <x v="65"/>
  </r>
  <r>
    <d v="2026-05-25T00:00:00"/>
    <x v="11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497"/>
    <n v="3640187"/>
    <n v="6215"/>
    <n v="6579000000"/>
    <n v="1866.9503550000009"/>
    <n v="10010"/>
    <n v="2.6567390328128124E-5"/>
    <n v="1866.9503999999999"/>
    <x v="1"/>
    <n v="1"/>
    <x v="4"/>
  </r>
  <r>
    <d v="2026-05-25T00:00:00"/>
    <x v="11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6497"/>
    <m/>
    <n v="6215"/>
    <n v="6579000000"/>
    <n v="7557.04882"/>
    <n v="10010"/>
    <n v="-4.4203630279491375E-2"/>
    <n v="7557.0489999999991"/>
    <x v="1"/>
    <n v="10"/>
    <x v="4"/>
  </r>
  <r>
    <d v="2026-05-25T00:00:00"/>
    <x v="11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497"/>
    <m/>
    <n v="6215"/>
    <n v="6579000000"/>
    <n v="10653.786550000001"/>
    <n v="10010"/>
    <n v="-2.9828502758151007E-2"/>
    <n v="10653.786500000002"/>
    <x v="1"/>
    <n v="5"/>
    <x v="27"/>
  </r>
  <r>
    <d v="2026-05-25T00:00:00"/>
    <x v="11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6497"/>
    <m/>
    <n v="6215"/>
    <n v="6579000000"/>
    <n v="1507039.7545999996"/>
    <n v="10010"/>
    <n v="3.2065842881489145E-4"/>
    <n v="1507039.7549999999"/>
    <x v="1"/>
    <n v="10"/>
    <x v="4"/>
  </r>
  <r>
    <d v="2026-05-25T00:00:00"/>
    <x v="110"/>
    <s v="STOCK"/>
    <n v="5"/>
    <s v="STOCK"/>
    <n v="106022"/>
    <x v="157"/>
    <s v="UND"/>
    <n v="7"/>
    <m/>
    <n v="7"/>
    <n v="3800.2856999999999"/>
    <n v="26602"/>
    <n v="26602"/>
    <n v="3800.6911"/>
    <n v="0.40539999999999998"/>
    <n v="2.8376999999999999"/>
    <n v="1.0666078976873884E-4"/>
    <m/>
    <n v="316497"/>
    <m/>
    <n v="6215"/>
    <n v="6579000000"/>
    <n v="26604.837693000005"/>
    <n v="10010"/>
    <n v="-1.0666481156548073E-4"/>
    <n v="26604.8377"/>
    <x v="1"/>
    <n v="7"/>
    <x v="4"/>
  </r>
  <r>
    <d v="2026-05-25T00:00:00"/>
    <x v="11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6497"/>
    <m/>
    <n v="6215"/>
    <n v="6579000000"/>
    <n v="35748"/>
    <n v="10010"/>
    <n v="6.182165156092656E-2"/>
    <n v="35748"/>
    <x v="1"/>
    <n v="12"/>
    <x v="100"/>
  </r>
  <r>
    <d v="2026-05-25T00:00:00"/>
    <x v="11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497"/>
    <m/>
    <n v="6215"/>
    <n v="6579000000"/>
    <n v="33035.321376"/>
    <n v="10010"/>
    <n v="2.3994899422923075E-2"/>
    <n v="33035.320800000001"/>
    <x v="1"/>
    <n v="24"/>
    <x v="4"/>
  </r>
  <r>
    <d v="2026-05-25T00:00:00"/>
    <x v="110"/>
    <s v="STOCK"/>
    <n v="5"/>
    <s v="STOCK"/>
    <n v="2304008"/>
    <x v="223"/>
    <s v="UND"/>
    <n v="24"/>
    <m/>
    <n v="24"/>
    <n v="2550"/>
    <n v="61200"/>
    <n v="61200"/>
    <m/>
    <m/>
    <n v="-61200"/>
    <m/>
    <m/>
    <n v="316497"/>
    <m/>
    <n v="6215"/>
    <n v="6579000000"/>
    <s v=""/>
    <n v="10010"/>
    <e v="#DIV/0!"/>
    <n v="0"/>
    <x v="1"/>
    <n v="24"/>
    <x v="100"/>
  </r>
  <r>
    <d v="2026-05-25T00:00:00"/>
    <x v="11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497"/>
    <m/>
    <n v="6215"/>
    <n v="6579000000"/>
    <n v="41376.000000000007"/>
    <n v="10010"/>
    <n v="0.18551821345707656"/>
    <n v="41376"/>
    <x v="1"/>
    <n v="48"/>
    <x v="4"/>
  </r>
  <r>
    <d v="2026-05-25T00:00:00"/>
    <x v="110"/>
    <s v="STOCK"/>
    <n v="5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6497"/>
    <m/>
    <n v="6215"/>
    <n v="6579000000"/>
    <n v="134999.93025000003"/>
    <n v="10010"/>
    <n v="5.1851878741837811E-7"/>
    <n v="134999.93"/>
    <x v="1"/>
    <n v="50"/>
    <x v="32"/>
  </r>
  <r>
    <d v="2026-05-25T00:00:00"/>
    <x v="110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6497"/>
    <m/>
    <n v="6215"/>
    <n v="6579000000"/>
    <n v="71351.251229999994"/>
    <n v="10010"/>
    <n v="-8.2847196089767261E-2"/>
    <n v="71351.25"/>
    <x v="1"/>
    <n v="30"/>
    <x v="4"/>
  </r>
  <r>
    <d v="2026-05-25T00:00:00"/>
    <x v="110"/>
    <s v="STOCK"/>
    <n v="5"/>
    <s v="STOCK"/>
    <n v="307096"/>
    <x v="197"/>
    <s v="TRA"/>
    <n v="70"/>
    <m/>
    <n v="70"/>
    <n v="1398.5143"/>
    <n v="97896"/>
    <n v="97896"/>
    <n v="2095.3501000000001"/>
    <n v="696.83579999999995"/>
    <n v="48778.508999999998"/>
    <n v="0.33256296102564792"/>
    <m/>
    <n v="316497"/>
    <m/>
    <n v="6215"/>
    <n v="6579000000"/>
    <n v="146674.5090299999"/>
    <n v="10010"/>
    <n v="-0.33256294497038946"/>
    <n v="146674.50700000001"/>
    <x v="0"/>
    <n v="70"/>
    <x v="121"/>
  </r>
  <r>
    <d v="2026-05-25T00:00:00"/>
    <x v="11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6497"/>
    <m/>
    <n v="6215"/>
    <n v="6579000000"/>
    <n v="1562691.6666700002"/>
    <n v="10010"/>
    <n v="-0.26495224601463241"/>
    <n v="1562691.6669999999"/>
    <x v="1"/>
    <n v="10"/>
    <x v="100"/>
  </r>
  <r>
    <d v="2026-05-25T00:00:00"/>
    <x v="110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497"/>
    <m/>
    <n v="6215"/>
    <n v="6579000000"/>
    <n v="405989.40789499989"/>
    <n v="10010"/>
    <n v="2.7120392264026835E-2"/>
    <n v="405989.40799999994"/>
    <x v="1"/>
    <n v="5"/>
    <x v="4"/>
  </r>
  <r>
    <d v="2026-05-25T00:00:00"/>
    <x v="110"/>
    <s v="STOCK"/>
    <n v="5"/>
    <s v="STOCK"/>
    <n v="617057"/>
    <x v="94"/>
    <s v="UND"/>
    <n v="5"/>
    <m/>
    <n v="5"/>
    <n v="1698.4"/>
    <n v="8492"/>
    <n v="8492"/>
    <n v="2042.1197"/>
    <m/>
    <n v="0"/>
    <n v="0"/>
    <m/>
    <n v="316497"/>
    <m/>
    <n v="6215"/>
    <n v="6579000000"/>
    <n v="10210.598529999999"/>
    <n v="10010"/>
    <n v="-0.16831515801938537"/>
    <n v="10210.5985"/>
    <x v="1"/>
    <n v="5"/>
    <x v="82"/>
  </r>
  <r>
    <d v="2026-05-25T00:00:00"/>
    <x v="110"/>
    <s v="STOCK"/>
    <n v="5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6497"/>
    <m/>
    <n v="6215"/>
    <n v="6579000000"/>
    <n v="4601.7689049999999"/>
    <n v="10010"/>
    <n v="-0.24507292738944528"/>
    <n v="4601.7690000000002"/>
    <x v="1"/>
    <n v="5"/>
    <x v="4"/>
  </r>
  <r>
    <d v="2026-05-25T00:00:00"/>
    <x v="11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497"/>
    <m/>
    <n v="6215"/>
    <n v="6579000000"/>
    <n v="28575.132740000001"/>
    <n v="10010"/>
    <n v="2.3750370645694318E-3"/>
    <n v="28575.133000000002"/>
    <x v="1"/>
    <n v="10"/>
    <x v="81"/>
  </r>
  <r>
    <d v="2026-05-26T00:00:00"/>
    <x v="111"/>
    <s v="STOCK"/>
    <n v="5"/>
    <s v="STOCK"/>
    <n v="404184"/>
    <x v="37"/>
    <s v="UND"/>
    <n v="5"/>
    <m/>
    <n v="5"/>
    <n v="1747.8"/>
    <n v="8739"/>
    <n v="8739"/>
    <n v="1754.8757000000001"/>
    <n v="7.0757000000000003"/>
    <n v="35.378700000000002"/>
    <n v="4.032041058524464E-3"/>
    <m/>
    <n v="316613"/>
    <n v="2894444"/>
    <n v="6215"/>
    <n v="6579000000"/>
    <n v="8774.3786550000004"/>
    <n v="10010"/>
    <n v="-4.0320234646819128E-3"/>
    <n v="8774.3785000000007"/>
    <x v="1"/>
    <n v="5"/>
    <x v="33"/>
  </r>
  <r>
    <d v="2026-05-26T00:00:00"/>
    <x v="111"/>
    <s v="STOCK"/>
    <n v="5"/>
    <s v="STOCK"/>
    <n v="404252"/>
    <x v="118"/>
    <s v="UND"/>
    <n v="35"/>
    <m/>
    <n v="35"/>
    <n v="1544.2"/>
    <n v="54047"/>
    <n v="54047"/>
    <n v="1110.0438999999999"/>
    <n v="-434.15609999999998"/>
    <n v="-15195.4643"/>
    <n v="-0.39111618323094111"/>
    <m/>
    <n v="316613"/>
    <m/>
    <n v="6215"/>
    <n v="6579000000"/>
    <n v="38851.535660000001"/>
    <n v="10010"/>
    <n v="0.39111615315394299"/>
    <n v="38851.536499999995"/>
    <x v="1"/>
    <n v="35"/>
    <x v="4"/>
  </r>
  <r>
    <d v="2026-05-26T00:00:00"/>
    <x v="111"/>
    <s v="STOCK"/>
    <n v="5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6613"/>
    <m/>
    <n v="6215"/>
    <n v="6579000000"/>
    <n v="917083.44828000001"/>
    <n v="10010"/>
    <n v="-6.3281569552436868E-3"/>
    <n v="917083.44800000009"/>
    <x v="0"/>
    <n v="40"/>
    <x v="38"/>
  </r>
  <r>
    <d v="2026-05-26T00:00:00"/>
    <x v="111"/>
    <s v="STOCK"/>
    <n v="5"/>
    <s v="STOCK"/>
    <n v="1405040"/>
    <x v="179"/>
    <s v="UND"/>
    <n v="8"/>
    <m/>
    <n v="8"/>
    <n v="7573.625"/>
    <n v="60589"/>
    <n v="60589"/>
    <n v="7568"/>
    <n v="-5.625"/>
    <n v="-45"/>
    <n v="-7.432610993657506E-4"/>
    <m/>
    <n v="316613"/>
    <m/>
    <n v="6215"/>
    <n v="6579000000"/>
    <n v="60544"/>
    <n v="10010"/>
    <n v="7.4326109936575049E-4"/>
    <n v="60544"/>
    <x v="1"/>
    <n v="8"/>
    <x v="113"/>
  </r>
  <r>
    <d v="2026-05-26T00:00:00"/>
    <x v="111"/>
    <s v="STOCK"/>
    <n v="5"/>
    <s v="STOCK"/>
    <n v="1405039"/>
    <x v="180"/>
    <s v="UND"/>
    <n v="10"/>
    <m/>
    <n v="10"/>
    <n v="7636.6"/>
    <n v="76366"/>
    <n v="76366"/>
    <n v="7596"/>
    <n v="-40.6"/>
    <n v="-406"/>
    <n v="-5.3449183780937817E-3"/>
    <m/>
    <n v="316613"/>
    <m/>
    <n v="6215"/>
    <n v="6579000000"/>
    <n v="75960"/>
    <n v="10010"/>
    <n v="5.3449183780937817E-3"/>
    <n v="75960"/>
    <x v="1"/>
    <n v="10"/>
    <x v="114"/>
  </r>
  <r>
    <d v="2026-05-26T00:00:00"/>
    <x v="111"/>
    <s v="STOCK"/>
    <n v="5"/>
    <s v="STOCK"/>
    <n v="1103074"/>
    <x v="192"/>
    <s v="UND"/>
    <n v="40"/>
    <m/>
    <n v="40"/>
    <n v="2426.9250000000002"/>
    <n v="97077"/>
    <n v="97077"/>
    <n v="2427"/>
    <n v="7.4999999999999997E-2"/>
    <n v="3"/>
    <n v="3.0902348578417016E-5"/>
    <m/>
    <n v="316613"/>
    <m/>
    <n v="6215"/>
    <n v="6579000000"/>
    <n v="97080"/>
    <n v="10010"/>
    <n v="-3.0902348578417016E-5"/>
    <n v="97080"/>
    <x v="1"/>
    <n v="40"/>
    <x v="119"/>
  </r>
  <r>
    <d v="2026-05-26T00:00:00"/>
    <x v="111"/>
    <s v="STOCK"/>
    <n v="5"/>
    <s v="STOCK"/>
    <n v="1103076"/>
    <x v="193"/>
    <s v="UND"/>
    <n v="40"/>
    <m/>
    <n v="40"/>
    <n v="3190.75"/>
    <n v="127630"/>
    <n v="127630"/>
    <n v="3191"/>
    <n v="0.25"/>
    <n v="10"/>
    <n v="7.8345346286430597E-5"/>
    <m/>
    <n v="316613"/>
    <m/>
    <n v="6215"/>
    <n v="6579000000"/>
    <n v="127640"/>
    <n v="10010"/>
    <n v="-7.8345346286430584E-5"/>
    <n v="127640"/>
    <x v="1"/>
    <n v="40"/>
    <x v="120"/>
  </r>
  <r>
    <d v="2026-05-26T00:00:00"/>
    <x v="111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13"/>
    <m/>
    <n v="6215"/>
    <n v="6579000000"/>
    <n v="1529748.5150160005"/>
    <n v="10010"/>
    <n v="1.8936105413128724E-2"/>
    <n v="1529748.5183999999"/>
    <x v="0"/>
    <n v="72"/>
    <x v="10"/>
  </r>
  <r>
    <d v="2026-05-26T00:00:00"/>
    <x v="111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609"/>
    <n v="21434966"/>
    <n v="6215"/>
    <n v="6579000000"/>
    <n v="2925100.3584960005"/>
    <n v="10010"/>
    <n v="-3.3788182135978512E-3"/>
    <n v="2925100.3679999998"/>
    <x v="0"/>
    <n v="288"/>
    <x v="46"/>
  </r>
  <r>
    <d v="2026-05-26T00:00:00"/>
    <x v="111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609"/>
    <m/>
    <n v="6215"/>
    <n v="6579000000"/>
    <n v="1480755.0557880001"/>
    <n v="10010"/>
    <n v="3.3028376752600841E-2"/>
    <n v="1480755.06"/>
    <x v="0"/>
    <n v="108"/>
    <x v="2"/>
  </r>
  <r>
    <d v="2026-05-26T00:00:00"/>
    <x v="111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6609"/>
    <m/>
    <n v="6215"/>
    <n v="6579000000"/>
    <n v="1659453.7037399979"/>
    <n v="10010"/>
    <n v="1.4134352351873951E-2"/>
    <n v="1659453.6924000001"/>
    <x v="0"/>
    <n v="252"/>
    <x v="95"/>
  </r>
  <r>
    <d v="2026-05-26T00:00:00"/>
    <x v="111"/>
    <s v="STOCK"/>
    <n v="5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6609"/>
    <m/>
    <n v="6215"/>
    <n v="6579000000"/>
    <n v="3840280.3289279998"/>
    <n v="10010"/>
    <n v="-4.6205566878104051E-2"/>
    <n v="3840280.3296000003"/>
    <x v="0"/>
    <n v="96"/>
    <x v="13"/>
  </r>
  <r>
    <d v="2026-05-26T00:00:00"/>
    <x v="111"/>
    <s v="STOCK"/>
    <n v="5"/>
    <s v="STOCK"/>
    <n v="412260"/>
    <x v="16"/>
    <s v="UND"/>
    <n v="32"/>
    <m/>
    <n v="32"/>
    <n v="86689.1875"/>
    <n v="2774054"/>
    <n v="2774054"/>
    <n v="87567.442500000005"/>
    <n v="878.255"/>
    <n v="28104.159299999999"/>
    <n v="1.002946932269526E-2"/>
    <m/>
    <n v="316609"/>
    <m/>
    <n v="6215"/>
    <n v="6579000000"/>
    <n v="2802158.159295999"/>
    <n v="10010"/>
    <n v="-1.0029469571410684E-2"/>
    <n v="2802158.16"/>
    <x v="0"/>
    <n v="32"/>
    <x v="14"/>
  </r>
  <r>
    <d v="2026-05-26T00:00:00"/>
    <x v="111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609"/>
    <m/>
    <n v="6215"/>
    <n v="6579000000"/>
    <n v="946350.47999999986"/>
    <n v="10010"/>
    <n v="-5.9588287805447206E-2"/>
    <n v="946350.4"/>
    <x v="0"/>
    <n v="2000"/>
    <x v="8"/>
  </r>
  <r>
    <d v="2026-05-26T00:00:00"/>
    <x v="111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609"/>
    <m/>
    <n v="6215"/>
    <n v="6579000000"/>
    <n v="811237.38780000038"/>
    <n v="10010"/>
    <n v="-4.1854446472556059E-3"/>
    <n v="811237.39199999999"/>
    <x v="0"/>
    <n v="84"/>
    <x v="0"/>
  </r>
  <r>
    <d v="2026-05-26T00:00:00"/>
    <x v="111"/>
    <s v="STOCK"/>
    <n v="5"/>
    <s v="STOCK"/>
    <n v="701096"/>
    <x v="135"/>
    <s v="PL"/>
    <n v="70"/>
    <m/>
    <n v="70"/>
    <n v="16127.1857"/>
    <n v="1128903"/>
    <n v="1128903"/>
    <n v="16019.885700000001"/>
    <n v="-107.3"/>
    <n v="-7511.0020000000004"/>
    <n v="-6.6979272758593634E-3"/>
    <m/>
    <n v="316609"/>
    <m/>
    <n v="6215"/>
    <n v="6579000000"/>
    <n v="1121391.9979500002"/>
    <n v="10010"/>
    <n v="6.6979254415029483E-3"/>
    <n v="1121391.9990000001"/>
    <x v="0"/>
    <n v="70"/>
    <x v="94"/>
  </r>
  <r>
    <d v="2026-05-26T00:00:00"/>
    <x v="111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609"/>
    <m/>
    <n v="6215"/>
    <n v="6579000000"/>
    <n v="601277.10064200009"/>
    <n v="10010"/>
    <n v="-3.2090181369856106E-2"/>
    <n v="601277.09400000004"/>
    <x v="0"/>
    <n v="162"/>
    <x v="96"/>
  </r>
  <r>
    <d v="2026-05-26T00:00:00"/>
    <x v="111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609"/>
    <m/>
    <n v="6215"/>
    <n v="6579000000"/>
    <n v="453321.13050000009"/>
    <n v="10010"/>
    <n v="0.15845910887262377"/>
    <n v="453321.13320000004"/>
    <x v="0"/>
    <n v="108"/>
    <x v="12"/>
  </r>
  <r>
    <d v="2026-05-26T00:00:00"/>
    <x v="111"/>
    <s v="STOCK"/>
    <n v="5"/>
    <s v="STOCK"/>
    <n v="1901008"/>
    <x v="6"/>
    <s v="M2"/>
    <n v="270"/>
    <m/>
    <n v="270"/>
    <n v="2071.4926"/>
    <n v="559303"/>
    <n v="559303"/>
    <n v="2112.7957999999999"/>
    <n v="41.303199999999997"/>
    <n v="11151.8603"/>
    <n v="1.9549067078767263E-2"/>
    <m/>
    <n v="316609"/>
    <m/>
    <n v="6215"/>
    <n v="6579000000"/>
    <n v="570454.86033000005"/>
    <n v="10010"/>
    <n v="-1.9549073317923028E-2"/>
    <n v="570454.86599999992"/>
    <x v="0"/>
    <n v="270"/>
    <x v="6"/>
  </r>
  <r>
    <d v="2026-05-26T00:00:00"/>
    <x v="111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609"/>
    <m/>
    <n v="6215"/>
    <n v="6579000000"/>
    <n v="2433712.1634000018"/>
    <n v="10010"/>
    <n v="-4.1854446472556059E-3"/>
    <n v="2433712.176"/>
    <x v="0"/>
    <n v="252"/>
    <x v="0"/>
  </r>
  <r>
    <d v="2026-05-26T00:00:00"/>
    <x v="111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6609"/>
    <m/>
    <n v="6215"/>
    <n v="6579000000"/>
    <n v="1844568.9097200008"/>
    <n v="10010"/>
    <n v="-3.5754637303057668E-2"/>
    <n v="1844568.9"/>
    <x v="0"/>
    <n v="360"/>
    <x v="65"/>
  </r>
  <r>
    <d v="2026-05-26T00:00:00"/>
    <x v="111"/>
    <s v="STOCK"/>
    <n v="5"/>
    <s v="STOCK"/>
    <n v="408042"/>
    <x v="101"/>
    <s v="CJA"/>
    <n v="5"/>
    <m/>
    <n v="5"/>
    <n v="35000"/>
    <n v="175000"/>
    <n v="175000"/>
    <n v="35000"/>
    <n v="0"/>
    <n v="0"/>
    <n v="8.3153801304950006E-16"/>
    <m/>
    <n v="316609"/>
    <m/>
    <n v="6215"/>
    <n v="6579000000"/>
    <n v="175000.00000000015"/>
    <n v="10010"/>
    <n v="0"/>
    <n v="175000"/>
    <x v="1"/>
    <n v="5"/>
    <x v="89"/>
  </r>
  <r>
    <d v="2026-05-26T00:00:00"/>
    <x v="111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659"/>
    <n v="2611885"/>
    <n v="6215"/>
    <n v="6579000000"/>
    <n v="20421.197059999999"/>
    <n v="10010"/>
    <n v="-0.16831515801938537"/>
    <n v="20421.197"/>
    <x v="1"/>
    <n v="10"/>
    <x v="82"/>
  </r>
  <r>
    <d v="2026-05-26T00:00:00"/>
    <x v="111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659"/>
    <m/>
    <n v="6215"/>
    <n v="6579000000"/>
    <n v="9203.5378099999998"/>
    <n v="10010"/>
    <n v="-0.24518158125712083"/>
    <n v="9203.5380000000005"/>
    <x v="1"/>
    <n v="10"/>
    <x v="4"/>
  </r>
  <r>
    <d v="2026-05-26T00:00:00"/>
    <x v="111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659"/>
    <m/>
    <n v="6215"/>
    <n v="6579000000"/>
    <n v="28575.132740000001"/>
    <n v="10010"/>
    <n v="2.3750370645694318E-3"/>
    <n v="28575.133000000002"/>
    <x v="1"/>
    <n v="10"/>
    <x v="81"/>
  </r>
  <r>
    <d v="2026-05-26T00:00:00"/>
    <x v="111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6659"/>
    <m/>
    <n v="6215"/>
    <n v="6579000000"/>
    <n v="47889.5"/>
    <n v="10010"/>
    <n v="1.0440702032804685E-5"/>
    <n v="47889.5"/>
    <x v="1"/>
    <n v="1"/>
    <x v="4"/>
  </r>
  <r>
    <d v="2026-05-26T00:00:00"/>
    <x v="111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6659"/>
    <m/>
    <n v="6215"/>
    <n v="6579000000"/>
    <n v="46060"/>
    <n v="10010"/>
    <n v="0"/>
    <n v="46060"/>
    <x v="1"/>
    <n v="1"/>
    <x v="4"/>
  </r>
  <r>
    <d v="2026-05-26T00:00:00"/>
    <x v="111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659"/>
    <m/>
    <n v="6215"/>
    <n v="6579000000"/>
    <n v="50286.86"/>
    <n v="10010"/>
    <n v="-1.5627541667942689E-2"/>
    <n v="50286.86"/>
    <x v="1"/>
    <n v="1"/>
    <x v="77"/>
  </r>
  <r>
    <d v="2026-05-26T00:00:00"/>
    <x v="111"/>
    <s v="STOCK"/>
    <n v="5"/>
    <s v="STOCK"/>
    <n v="2302024"/>
    <x v="150"/>
    <s v="GAL"/>
    <n v="1"/>
    <m/>
    <n v="1"/>
    <n v="24208"/>
    <n v="24208"/>
    <n v="24208"/>
    <n v="22292"/>
    <n v="-1916"/>
    <n v="-1916"/>
    <n v="-8.595011663376996E-2"/>
    <m/>
    <n v="316659"/>
    <m/>
    <n v="6215"/>
    <n v="6579000000"/>
    <n v="22292"/>
    <n v="10010"/>
    <n v="8.595011663376996E-2"/>
    <n v="22292"/>
    <x v="1"/>
    <n v="1"/>
    <x v="4"/>
  </r>
  <r>
    <d v="2026-05-26T00:00:00"/>
    <x v="111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59"/>
    <m/>
    <n v="6215"/>
    <n v="6579000000"/>
    <n v="1529748.5150160005"/>
    <n v="10010"/>
    <n v="1.8936105413128724E-2"/>
    <n v="1529748.5183999999"/>
    <x v="0"/>
    <n v="72"/>
    <x v="10"/>
  </r>
  <r>
    <d v="2026-05-26T00:00:00"/>
    <x v="111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659"/>
    <m/>
    <n v="6215"/>
    <n v="6579000000"/>
    <n v="176208"/>
    <n v="10010"/>
    <n v="2.4175973849087443E-3"/>
    <n v="176208"/>
    <x v="1"/>
    <n v="48"/>
    <x v="40"/>
  </r>
  <r>
    <d v="2026-05-26T00:00:00"/>
    <x v="111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6659"/>
    <m/>
    <n v="6215"/>
    <n v="6579000000"/>
    <n v="475295.51668"/>
    <n v="10010"/>
    <n v="9.3380817840494901E-2"/>
    <n v="475295.516"/>
    <x v="0"/>
    <n v="40"/>
    <x v="92"/>
  </r>
  <r>
    <d v="2026-05-26T00:00:00"/>
    <x v="111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6659"/>
    <m/>
    <n v="6215"/>
    <n v="6579000000"/>
    <n v="63820"/>
    <n v="10010"/>
    <n v="-7.8345346286430584E-5"/>
    <n v="63820"/>
    <x v="1"/>
    <n v="20"/>
    <x v="120"/>
  </r>
  <r>
    <d v="2026-05-26T00:00:00"/>
    <x v="111"/>
    <s v="STOCK"/>
    <n v="5"/>
    <s v="STOCK"/>
    <n v="1103074"/>
    <x v="192"/>
    <s v="UND"/>
    <n v="30"/>
    <m/>
    <n v="30"/>
    <n v="2426.9333000000001"/>
    <n v="72808"/>
    <n v="72808"/>
    <n v="2427"/>
    <n v="6.6699999999999995E-2"/>
    <n v="2"/>
    <n v="2.746875429196787E-5"/>
    <m/>
    <n v="316659"/>
    <m/>
    <n v="6215"/>
    <n v="6579000000"/>
    <n v="72810"/>
    <n v="10010"/>
    <n v="-2.7482488669079196E-5"/>
    <n v="72810"/>
    <x v="1"/>
    <n v="30"/>
    <x v="119"/>
  </r>
  <r>
    <d v="2026-05-27T00:00:00"/>
    <x v="112"/>
    <s v="STOCK"/>
    <n v="5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6737"/>
    <n v="4283"/>
    <n v="6215"/>
    <n v="6579000000"/>
    <n v="4372.7272730000004"/>
    <n v="10010"/>
    <n v="-2.0519756628774807E-2"/>
    <n v="4372.7272999999996"/>
    <x v="1"/>
    <n v="1"/>
    <x v="53"/>
  </r>
  <r>
    <d v="2026-05-27T00:00:00"/>
    <x v="112"/>
    <s v="STOCK"/>
    <n v="5"/>
    <s v="STOCK"/>
    <n v="5316484"/>
    <x v="60"/>
    <s v="UND"/>
    <n v="10"/>
    <m/>
    <n v="10"/>
    <n v="4283.5"/>
    <n v="42835"/>
    <n v="42835"/>
    <n v="4372.7272999999996"/>
    <n v="89.2273"/>
    <n v="892.27269999999999"/>
    <n v="2.0405405466502876E-2"/>
    <m/>
    <n v="316742"/>
    <n v="651779"/>
    <n v="6215"/>
    <n v="6579000000"/>
    <n v="43727.272729999997"/>
    <n v="10010"/>
    <n v="-2.0405411515142864E-2"/>
    <n v="43727.272999999994"/>
    <x v="1"/>
    <n v="10"/>
    <x v="53"/>
  </r>
  <r>
    <d v="2026-05-27T00:00:00"/>
    <x v="112"/>
    <s v="STOCK"/>
    <n v="5"/>
    <s v="STOCK"/>
    <n v="5316483"/>
    <x v="61"/>
    <s v="UND"/>
    <n v="10"/>
    <m/>
    <n v="10"/>
    <n v="2984.2"/>
    <n v="29842"/>
    <n v="29842"/>
    <n v="3237.6071000000002"/>
    <n v="253.40710000000001"/>
    <n v="2534.0713999999998"/>
    <n v="7.826988631029233E-2"/>
    <m/>
    <n v="316742"/>
    <m/>
    <n v="6215"/>
    <n v="6579000000"/>
    <n v="32376.071430000004"/>
    <n v="10010"/>
    <n v="-7.8269874068413167E-2"/>
    <n v="32376.071000000004"/>
    <x v="1"/>
    <n v="10"/>
    <x v="54"/>
  </r>
  <r>
    <d v="2026-05-27T00:00:00"/>
    <x v="112"/>
    <s v="STOCK"/>
    <n v="5"/>
    <s v="STOCK"/>
    <n v="2505426"/>
    <x v="234"/>
    <s v="UND"/>
    <n v="5"/>
    <m/>
    <n v="5"/>
    <n v="1725.8"/>
    <n v="8629"/>
    <n v="8629"/>
    <n v="1684"/>
    <n v="-41.8"/>
    <n v="-209"/>
    <n v="-2.4821852731591421E-2"/>
    <m/>
    <n v="316742"/>
    <m/>
    <n v="6215"/>
    <n v="6579000000"/>
    <n v="8420"/>
    <n v="10010"/>
    <n v="2.4821852731591421E-2"/>
    <n v="8420"/>
    <x v="1"/>
    <n v="5"/>
    <x v="100"/>
  </r>
  <r>
    <d v="2026-05-27T00:00:00"/>
    <x v="112"/>
    <s v="STOCK"/>
    <n v="5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6742"/>
    <m/>
    <n v="6215"/>
    <n v="6579000000"/>
    <n v="5445"/>
    <n v="10010"/>
    <n v="8.815426997245095E-3"/>
    <n v="5445"/>
    <x v="1"/>
    <n v="5"/>
    <x v="108"/>
  </r>
  <r>
    <d v="2026-05-27T00:00:00"/>
    <x v="112"/>
    <s v="STOCK"/>
    <n v="5"/>
    <s v="STOCK"/>
    <n v="1808147"/>
    <x v="215"/>
    <s v="UND"/>
    <n v="5"/>
    <m/>
    <n v="5"/>
    <n v="2216.1999999999998"/>
    <n v="11081"/>
    <n v="11081"/>
    <n v="2293"/>
    <n v="76.8"/>
    <n v="384"/>
    <n v="3.3493240296554809E-2"/>
    <m/>
    <n v="316742"/>
    <m/>
    <n v="6215"/>
    <n v="6579000000"/>
    <n v="11465"/>
    <n v="10010"/>
    <n v="-3.3493240296554809E-2"/>
    <n v="11465"/>
    <x v="1"/>
    <n v="5"/>
    <x v="134"/>
  </r>
  <r>
    <d v="2026-05-27T00:00:00"/>
    <x v="112"/>
    <s v="STOCK"/>
    <n v="5"/>
    <s v="STOCK"/>
    <n v="1808146"/>
    <x v="201"/>
    <s v="UND"/>
    <n v="5"/>
    <m/>
    <n v="5"/>
    <n v="3318"/>
    <n v="16590"/>
    <n v="16590"/>
    <n v="3404"/>
    <n v="86"/>
    <n v="430"/>
    <n v="2.5264394829612225E-2"/>
    <m/>
    <n v="316742"/>
    <m/>
    <n v="6215"/>
    <n v="6579000000"/>
    <n v="17020"/>
    <n v="10010"/>
    <n v="-2.5264394829612222E-2"/>
    <n v="17020"/>
    <x v="1"/>
    <n v="5"/>
    <x v="125"/>
  </r>
  <r>
    <d v="2026-05-27T00:00:00"/>
    <x v="112"/>
    <s v="STOCK"/>
    <n v="5"/>
    <s v="STOCK"/>
    <n v="1808145"/>
    <x v="176"/>
    <s v="UND"/>
    <n v="5"/>
    <m/>
    <n v="5"/>
    <n v="16189.4"/>
    <n v="80947"/>
    <n v="80947"/>
    <n v="17145"/>
    <n v="955.6"/>
    <n v="4778"/>
    <n v="5.5736366287547405E-2"/>
    <m/>
    <n v="316742"/>
    <m/>
    <n v="6215"/>
    <n v="6579000000"/>
    <n v="85725"/>
    <n v="10010"/>
    <n v="-5.5736366287547412E-2"/>
    <n v="85725"/>
    <x v="1"/>
    <n v="5"/>
    <x v="110"/>
  </r>
  <r>
    <d v="2026-05-27T00:00:00"/>
    <x v="112"/>
    <s v="STOCK"/>
    <n v="5"/>
    <s v="STOCK"/>
    <n v="1808144"/>
    <x v="177"/>
    <s v="UND"/>
    <n v="5"/>
    <m/>
    <n v="5"/>
    <n v="23316.799999999999"/>
    <n v="116584"/>
    <n v="116584"/>
    <n v="23228"/>
    <n v="-88.8"/>
    <n v="-444"/>
    <n v="-3.822972274840678E-3"/>
    <m/>
    <n v="316742"/>
    <m/>
    <n v="6215"/>
    <n v="6579000000"/>
    <n v="116140"/>
    <n v="10010"/>
    <n v="3.822972274840678E-3"/>
    <n v="116140"/>
    <x v="1"/>
    <n v="5"/>
    <x v="111"/>
  </r>
  <r>
    <d v="2026-05-27T00:00:00"/>
    <x v="112"/>
    <s v="STOCK"/>
    <n v="5"/>
    <s v="STOCK"/>
    <n v="1802176"/>
    <x v="131"/>
    <s v="UND"/>
    <n v="5"/>
    <m/>
    <n v="5"/>
    <n v="2199"/>
    <n v="10995"/>
    <n v="10995"/>
    <n v="2199"/>
    <n v="0"/>
    <n v="0"/>
    <n v="0"/>
    <m/>
    <n v="316742"/>
    <m/>
    <n v="6215"/>
    <n v="6579000000"/>
    <n v="10995"/>
    <n v="10010"/>
    <n v="0"/>
    <n v="10995"/>
    <x v="1"/>
    <n v="5"/>
    <x v="4"/>
  </r>
  <r>
    <d v="2026-05-27T00:00:00"/>
    <x v="112"/>
    <s v="STOCK"/>
    <n v="5"/>
    <s v="STOCK"/>
    <n v="1802175"/>
    <x v="171"/>
    <s v="UND"/>
    <n v="5"/>
    <m/>
    <n v="5"/>
    <n v="1079"/>
    <n v="5395"/>
    <n v="5395"/>
    <n v="1079"/>
    <n v="0"/>
    <n v="0"/>
    <n v="0"/>
    <m/>
    <n v="316742"/>
    <m/>
    <n v="6215"/>
    <n v="6579000000"/>
    <n v="5395"/>
    <n v="10010"/>
    <n v="0"/>
    <n v="5395"/>
    <x v="1"/>
    <n v="5"/>
    <x v="105"/>
  </r>
  <r>
    <d v="2026-05-27T00:00:00"/>
    <x v="112"/>
    <s v="STOCK"/>
    <n v="5"/>
    <s v="STOCK"/>
    <n v="1802174"/>
    <x v="181"/>
    <s v="UND"/>
    <n v="5"/>
    <m/>
    <n v="5"/>
    <n v="7701.6"/>
    <n v="38508"/>
    <n v="38508"/>
    <n v="7709"/>
    <n v="7.4"/>
    <n v="37"/>
    <n v="9.599169801530206E-4"/>
    <m/>
    <n v="316742"/>
    <m/>
    <n v="6215"/>
    <n v="6579000000"/>
    <n v="38545"/>
    <n v="10010"/>
    <n v="-9.599169801530206E-4"/>
    <n v="38545"/>
    <x v="1"/>
    <n v="5"/>
    <x v="115"/>
  </r>
  <r>
    <d v="2026-05-27T00:00:00"/>
    <x v="112"/>
    <s v="STOCK"/>
    <n v="5"/>
    <s v="STOCK"/>
    <n v="1802173"/>
    <x v="173"/>
    <s v="UND"/>
    <n v="5"/>
    <m/>
    <n v="5"/>
    <n v="11984.8"/>
    <n v="59924"/>
    <n v="59924"/>
    <n v="11996"/>
    <n v="11.2"/>
    <n v="56"/>
    <n v="9.3364454818278819E-4"/>
    <m/>
    <n v="316742"/>
    <m/>
    <n v="6215"/>
    <n v="6579000000"/>
    <n v="59980"/>
    <n v="10010"/>
    <n v="-9.3364454818278819E-4"/>
    <n v="59980"/>
    <x v="1"/>
    <n v="5"/>
    <x v="107"/>
  </r>
  <r>
    <d v="2026-05-27T00:00:00"/>
    <x v="112"/>
    <s v="STOCK"/>
    <n v="5"/>
    <s v="STOCK"/>
    <n v="1802170"/>
    <x v="206"/>
    <s v="UND"/>
    <n v="5"/>
    <m/>
    <n v="5"/>
    <n v="2043"/>
    <n v="10215"/>
    <n v="10215"/>
    <n v="2043"/>
    <n v="0"/>
    <n v="0"/>
    <n v="0"/>
    <m/>
    <n v="316742"/>
    <m/>
    <n v="6215"/>
    <n v="6579000000"/>
    <n v="10215"/>
    <n v="10010"/>
    <n v="0"/>
    <n v="10215"/>
    <x v="1"/>
    <n v="5"/>
    <x v="4"/>
  </r>
  <r>
    <d v="2026-05-27T00:00:00"/>
    <x v="112"/>
    <s v="STOCK"/>
    <n v="5"/>
    <s v="STOCK"/>
    <n v="1802169"/>
    <x v="207"/>
    <s v="UND"/>
    <n v="5"/>
    <m/>
    <n v="5"/>
    <n v="10730"/>
    <n v="53650"/>
    <n v="53650"/>
    <n v="10741"/>
    <n v="11"/>
    <n v="55"/>
    <n v="1.0241132110604227E-3"/>
    <m/>
    <n v="316742"/>
    <m/>
    <n v="6215"/>
    <n v="6579000000"/>
    <n v="53705"/>
    <n v="10010"/>
    <n v="-1.0241132110604227E-3"/>
    <n v="53705"/>
    <x v="1"/>
    <n v="5"/>
    <x v="128"/>
  </r>
  <r>
    <d v="2026-05-27T00:00:00"/>
    <x v="112"/>
    <s v="STOCK"/>
    <n v="5"/>
    <s v="STOCK"/>
    <n v="1802167"/>
    <x v="214"/>
    <s v="UND"/>
    <n v="5"/>
    <m/>
    <n v="5"/>
    <n v="14972"/>
    <n v="74860"/>
    <n v="74860"/>
    <n v="14972"/>
    <n v="0"/>
    <n v="0"/>
    <n v="0"/>
    <m/>
    <n v="316742"/>
    <m/>
    <n v="6215"/>
    <n v="6579000000"/>
    <n v="74860"/>
    <n v="10010"/>
    <n v="0"/>
    <n v="74860"/>
    <x v="1"/>
    <n v="5"/>
    <x v="133"/>
  </r>
  <r>
    <d v="2026-05-27T00:00:00"/>
    <x v="112"/>
    <s v="STOCK"/>
    <n v="5"/>
    <s v="STOCK"/>
    <n v="1802165"/>
    <x v="211"/>
    <s v="UND"/>
    <n v="5"/>
    <m/>
    <n v="5"/>
    <n v="9122"/>
    <n v="45610"/>
    <n v="45610"/>
    <n v="9122"/>
    <n v="0"/>
    <n v="0"/>
    <n v="0"/>
    <m/>
    <n v="316742"/>
    <m/>
    <n v="6215"/>
    <n v="6579000000"/>
    <n v="45610"/>
    <n v="10010"/>
    <n v="0"/>
    <n v="45610"/>
    <x v="1"/>
    <n v="5"/>
    <x v="132"/>
  </r>
  <r>
    <d v="2026-05-27T00:00:00"/>
    <x v="112"/>
    <s v="STOCK"/>
    <n v="5"/>
    <s v="STOCK"/>
    <n v="1801229"/>
    <x v="23"/>
    <s v="UND"/>
    <n v="5"/>
    <m/>
    <n v="5"/>
    <n v="5283.6"/>
    <n v="26418"/>
    <n v="26418"/>
    <n v="4675.5185000000001"/>
    <n v="-608.08150000000001"/>
    <n v="-3040.4074000000001"/>
    <n v="-0.13005648005219678"/>
    <m/>
    <n v="316742"/>
    <m/>
    <n v="6215"/>
    <n v="6579000000"/>
    <n v="23377.592594999998"/>
    <n v="10010"/>
    <n v="0.1300564846444304"/>
    <n v="23377.592499999999"/>
    <x v="1"/>
    <n v="5"/>
    <x v="20"/>
  </r>
  <r>
    <d v="2026-05-27T00:00:00"/>
    <x v="112"/>
    <s v="STOCK"/>
    <n v="5"/>
    <s v="STOCK"/>
    <n v="1701154"/>
    <x v="236"/>
    <s v="UND"/>
    <n v="5"/>
    <m/>
    <n v="5"/>
    <n v="1229.5999999999999"/>
    <n v="6148"/>
    <n v="6148"/>
    <n v="1230"/>
    <n v="0.4"/>
    <n v="2"/>
    <n v="3.2520325203259427E-4"/>
    <m/>
    <n v="316742"/>
    <m/>
    <n v="6215"/>
    <n v="6579000000"/>
    <n v="6150"/>
    <n v="10010"/>
    <n v="-3.2520325203259427E-4"/>
    <n v="6150"/>
    <x v="1"/>
    <n v="5"/>
    <x v="100"/>
  </r>
  <r>
    <d v="2026-05-27T00:00:00"/>
    <x v="112"/>
    <s v="STOCK"/>
    <n v="5"/>
    <s v="STOCK"/>
    <n v="407795"/>
    <x v="175"/>
    <s v="UND"/>
    <n v="5"/>
    <m/>
    <n v="5"/>
    <n v="1611"/>
    <n v="8055"/>
    <n v="8055"/>
    <n v="1610.9336000000001"/>
    <n v="-6.6400000000000001E-2"/>
    <n v="-0.33189999999999997"/>
    <n v="-4.1212126674764554E-5"/>
    <m/>
    <n v="316742"/>
    <m/>
    <n v="6215"/>
    <n v="6579000000"/>
    <n v="8054.6680500000002"/>
    <n v="10010"/>
    <n v="4.1218334511075141E-5"/>
    <n v="8054.6680000000006"/>
    <x v="1"/>
    <n v="5"/>
    <x v="109"/>
  </r>
  <r>
    <d v="2026-05-27T00:00:00"/>
    <x v="112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6756"/>
    <n v="1119466"/>
    <n v="6215"/>
    <n v="6579000000"/>
    <n v="476280"/>
    <n v="10010"/>
    <n v="-1.9729990551776301E-2"/>
    <n v="476280"/>
    <x v="1"/>
    <n v="9"/>
    <x v="100"/>
  </r>
  <r>
    <d v="2026-05-27T00:00:00"/>
    <x v="112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6756"/>
    <m/>
    <n v="6215"/>
    <n v="6579000000"/>
    <n v="466856.99999999994"/>
    <n v="10010"/>
    <n v="1.6493358780096941E-4"/>
    <n v="466857"/>
    <x v="0"/>
    <n v="9"/>
    <x v="57"/>
  </r>
  <r>
    <d v="2026-05-27T00:00:00"/>
    <x v="112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756"/>
    <m/>
    <n v="6215"/>
    <n v="6579000000"/>
    <n v="94452.677199999991"/>
    <n v="10010"/>
    <n v="2.9988563055514597E-4"/>
    <n v="94452.675000000003"/>
    <x v="1"/>
    <n v="50"/>
    <x v="4"/>
  </r>
  <r>
    <d v="2026-05-27T00:00:00"/>
    <x v="112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756"/>
    <m/>
    <n v="6215"/>
    <n v="6579000000"/>
    <n v="28575.132740000001"/>
    <n v="10010"/>
    <n v="2.3750370645694318E-3"/>
    <n v="28575.133000000002"/>
    <x v="1"/>
    <n v="10"/>
    <x v="81"/>
  </r>
  <r>
    <d v="2026-05-27T00:00:00"/>
    <x v="112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756"/>
    <m/>
    <n v="6215"/>
    <n v="6579000000"/>
    <n v="9203.5378099999998"/>
    <n v="10010"/>
    <n v="-0.24518158125712083"/>
    <n v="9203.5380000000005"/>
    <x v="1"/>
    <n v="10"/>
    <x v="4"/>
  </r>
  <r>
    <d v="2026-05-27T00:00:00"/>
    <x v="112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756"/>
    <m/>
    <n v="6215"/>
    <n v="6579000000"/>
    <n v="20421.197059999999"/>
    <n v="10010"/>
    <n v="-0.16831515801938537"/>
    <n v="20421.197"/>
    <x v="1"/>
    <n v="10"/>
    <x v="82"/>
  </r>
  <r>
    <d v="2026-05-27T00:00:00"/>
    <x v="112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756"/>
    <m/>
    <n v="6215"/>
    <n v="6579000000"/>
    <n v="30952.44"/>
    <n v="10010"/>
    <n v="-8.9077242923396804E-2"/>
    <n v="30952.350000000002"/>
    <x v="1"/>
    <n v="4500"/>
    <x v="4"/>
  </r>
  <r>
    <d v="2026-05-27T00:00:00"/>
    <x v="112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756"/>
    <m/>
    <n v="6215"/>
    <n v="6579000000"/>
    <n v="319921.50595135131"/>
    <n v="10010"/>
    <n v="-0.96749546373094641"/>
    <n v="319921.5"/>
    <x v="1"/>
    <n v="3000"/>
    <x v="63"/>
  </r>
  <r>
    <d v="2026-05-27T00:00:00"/>
    <x v="112"/>
    <s v="STOCK"/>
    <n v="5"/>
    <s v="STOCK"/>
    <n v="404793"/>
    <x v="269"/>
    <s v="TRA"/>
    <n v="1"/>
    <m/>
    <n v="1"/>
    <n v="3400"/>
    <n v="3400"/>
    <n v="3400"/>
    <n v="13713.2695"/>
    <n v="10313.2695"/>
    <n v="10313.2695"/>
    <n v="0.75206496167757364"/>
    <m/>
    <n v="316758"/>
    <n v="3400"/>
    <n v="6215"/>
    <n v="6579000000"/>
    <n v="13713.269504"/>
    <n v="10010"/>
    <n v="-0.75206496160525393"/>
    <n v="13713.2695"/>
    <x v="1"/>
    <n v="1"/>
    <x v="147"/>
  </r>
  <r>
    <d v="2026-05-27T00:00:00"/>
    <x v="112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759"/>
    <n v="807338"/>
    <n v="6215"/>
    <n v="6579000000"/>
    <n v="10653.786550000001"/>
    <n v="10010"/>
    <n v="-2.9828502758151007E-2"/>
    <n v="10653.786500000002"/>
    <x v="1"/>
    <n v="5"/>
    <x v="27"/>
  </r>
  <r>
    <d v="2026-05-27T00:00:00"/>
    <x v="112"/>
    <s v="STOCK"/>
    <n v="5"/>
    <s v="STOCK"/>
    <n v="1801735"/>
    <x v="43"/>
    <s v="UND"/>
    <n v="6"/>
    <m/>
    <n v="6"/>
    <n v="3781"/>
    <n v="22686"/>
    <n v="22686"/>
    <n v="3495"/>
    <n v="-286"/>
    <n v="-1716"/>
    <n v="-8.1831187410586551E-2"/>
    <m/>
    <n v="316759"/>
    <m/>
    <n v="6215"/>
    <n v="6579000000"/>
    <n v="20970"/>
    <n v="10010"/>
    <n v="8.1831187410586551E-2"/>
    <n v="20970"/>
    <x v="1"/>
    <n v="6"/>
    <x v="39"/>
  </r>
  <r>
    <d v="2026-05-27T00:00:00"/>
    <x v="112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6759"/>
    <m/>
    <n v="6215"/>
    <n v="6579000000"/>
    <n v="58200"/>
    <n v="10010"/>
    <n v="0"/>
    <n v="58200"/>
    <x v="1"/>
    <n v="3"/>
    <x v="117"/>
  </r>
  <r>
    <d v="2026-05-27T00:00:00"/>
    <x v="112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759"/>
    <m/>
    <n v="6215"/>
    <n v="6579000000"/>
    <n v="3832"/>
    <n v="10010"/>
    <n v="8.0897703549060538E-3"/>
    <n v="3832"/>
    <x v="1"/>
    <n v="2"/>
    <x v="129"/>
  </r>
  <r>
    <d v="2026-05-27T00:00:00"/>
    <x v="112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759"/>
    <m/>
    <n v="6215"/>
    <n v="6579000000"/>
    <n v="5813.3421920000001"/>
    <n v="10010"/>
    <n v="-5.886458911709137E-5"/>
    <n v="5813.3422"/>
    <x v="1"/>
    <n v="2"/>
    <x v="4"/>
  </r>
  <r>
    <d v="2026-05-27T00:00:00"/>
    <x v="112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759"/>
    <m/>
    <n v="6215"/>
    <n v="6579000000"/>
    <n v="670.97943200000009"/>
    <n v="10010"/>
    <n v="3.0403308833823098E-5"/>
    <n v="670.9796"/>
    <x v="1"/>
    <n v="4"/>
    <x v="4"/>
  </r>
  <r>
    <d v="2026-05-27T00:00:00"/>
    <x v="112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759"/>
    <m/>
    <n v="6215"/>
    <n v="6579000000"/>
    <n v="4624"/>
    <n v="10010"/>
    <n v="2.1626297577854672E-4"/>
    <n v="4624"/>
    <x v="1"/>
    <n v="2"/>
    <x v="86"/>
  </r>
  <r>
    <d v="2026-05-27T00:00:00"/>
    <x v="112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759"/>
    <m/>
    <n v="6215"/>
    <n v="6579000000"/>
    <n v="6070"/>
    <n v="10010"/>
    <n v="-8.2372322899505767E-4"/>
    <n v="6070"/>
    <x v="1"/>
    <n v="2"/>
    <x v="130"/>
  </r>
  <r>
    <d v="2026-05-27T00:00:00"/>
    <x v="112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759"/>
    <m/>
    <n v="6215"/>
    <n v="6579000000"/>
    <n v="7264"/>
    <n v="10010"/>
    <n v="-0.13312224669603523"/>
    <n v="7264"/>
    <x v="1"/>
    <n v="2"/>
    <x v="131"/>
  </r>
  <r>
    <d v="2026-05-27T00:00:00"/>
    <x v="112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759"/>
    <m/>
    <n v="6215"/>
    <n v="6579000000"/>
    <n v="31566.967741999997"/>
    <n v="10010"/>
    <n v="0.28815033035893939"/>
    <n v="31566.967799999999"/>
    <x v="1"/>
    <n v="2"/>
    <x v="4"/>
  </r>
  <r>
    <d v="2026-05-27T00:00:00"/>
    <x v="112"/>
    <s v="STOCK"/>
    <n v="5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6759"/>
    <m/>
    <n v="6215"/>
    <n v="6579000000"/>
    <n v="458541.72414000001"/>
    <n v="10010"/>
    <n v="-6.3281569552436868E-3"/>
    <n v="458541.72400000005"/>
    <x v="0"/>
    <n v="20"/>
    <x v="38"/>
  </r>
  <r>
    <d v="2026-05-27T00:00:00"/>
    <x v="112"/>
    <s v="STOCK"/>
    <n v="5"/>
    <s v="STOCK"/>
    <n v="404252"/>
    <x v="118"/>
    <s v="UND"/>
    <n v="20"/>
    <m/>
    <n v="20"/>
    <n v="1544.2"/>
    <n v="30884"/>
    <n v="30884"/>
    <n v="1110.0438999999999"/>
    <n v="-434.15609999999998"/>
    <n v="-8683.1224999999995"/>
    <n v="-0.39111618323094111"/>
    <m/>
    <n v="316759"/>
    <m/>
    <n v="6215"/>
    <n v="6579000000"/>
    <n v="22200.877519999998"/>
    <n v="10010"/>
    <n v="0.39111615315394299"/>
    <n v="22200.877999999997"/>
    <x v="1"/>
    <n v="20"/>
    <x v="4"/>
  </r>
  <r>
    <d v="2026-05-27T00:00:00"/>
    <x v="112"/>
    <s v="STOCK"/>
    <n v="5"/>
    <s v="STOCK"/>
    <n v="1802162"/>
    <x v="169"/>
    <s v="UND"/>
    <n v="2"/>
    <m/>
    <n v="2"/>
    <n v="42840"/>
    <n v="85680"/>
    <n v="85680"/>
    <n v="42840"/>
    <n v="0"/>
    <n v="0"/>
    <n v="0"/>
    <m/>
    <n v="316759"/>
    <m/>
    <n v="6215"/>
    <n v="6579000000"/>
    <n v="85680"/>
    <n v="10010"/>
    <n v="0"/>
    <n v="85680"/>
    <x v="1"/>
    <n v="2"/>
    <x v="103"/>
  </r>
  <r>
    <d v="2026-05-27T00:00:00"/>
    <x v="112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759"/>
    <m/>
    <n v="6215"/>
    <n v="6579000000"/>
    <n v="71496"/>
    <n v="10010"/>
    <n v="6.1807653575025177E-2"/>
    <n v="71496"/>
    <x v="1"/>
    <n v="24"/>
    <x v="100"/>
  </r>
  <r>
    <d v="2026-05-27T00:00:00"/>
    <x v="112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822"/>
    <n v="260996"/>
    <n v="6215"/>
    <n v="6579000000"/>
    <n v="128520"/>
    <n v="10010"/>
    <n v="0"/>
    <n v="128520"/>
    <x v="1"/>
    <n v="3"/>
    <x v="103"/>
  </r>
  <r>
    <d v="2026-05-27T00:00:00"/>
    <x v="112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m/>
    <m/>
    <n v="6215"/>
    <n v="6579000000"/>
    <n v="132156"/>
    <n v="10010"/>
    <n v="2.4213838191228334E-3"/>
    <n v="132156"/>
    <x v="1"/>
    <n v="36"/>
    <x v="40"/>
  </r>
  <r>
    <d v="2026-05-28T00:00:00"/>
    <x v="113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6880"/>
    <n v="5759000"/>
    <n v="6215"/>
    <n v="6579000000"/>
    <n v="1482000"/>
    <n v="10010"/>
    <n v="1.417004048582996E-2"/>
    <n v="1482000"/>
    <x v="1"/>
    <n v="10"/>
    <x v="4"/>
  </r>
  <r>
    <d v="2026-05-28T00:00:00"/>
    <x v="113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880"/>
    <m/>
    <n v="6215"/>
    <n v="6579000000"/>
    <n v="601277.10064200009"/>
    <n v="10010"/>
    <n v="-3.2090181369856106E-2"/>
    <n v="601277.09400000004"/>
    <x v="0"/>
    <n v="162"/>
    <x v="96"/>
  </r>
  <r>
    <d v="2026-05-28T00:00:00"/>
    <x v="113"/>
    <s v="STOCK"/>
    <n v="5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6880"/>
    <m/>
    <n v="6215"/>
    <n v="6579000000"/>
    <n v="570454.86033000005"/>
    <n v="10010"/>
    <n v="-6.758618130535847E-2"/>
    <n v="570454.86599999992"/>
    <x v="1"/>
    <n v="270"/>
    <x v="101"/>
  </r>
  <r>
    <d v="2026-05-28T00:00:00"/>
    <x v="113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6880"/>
    <m/>
    <n v="6215"/>
    <n v="6579000000"/>
    <n v="22557.545454999999"/>
    <n v="10010"/>
    <n v="2.014846872412716E-5"/>
    <n v="22557.5455"/>
    <x v="1"/>
    <n v="1"/>
    <x v="4"/>
  </r>
  <r>
    <d v="2026-05-28T00:00:00"/>
    <x v="113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6880"/>
    <m/>
    <n v="6215"/>
    <n v="6579000000"/>
    <n v="47424.586669999997"/>
    <n v="10010"/>
    <n v="8.7085629232500571E-6"/>
    <n v="47424.587"/>
    <x v="1"/>
    <n v="10"/>
    <x v="4"/>
  </r>
  <r>
    <d v="2026-05-28T00:00:00"/>
    <x v="113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6880"/>
    <m/>
    <n v="6215"/>
    <n v="6579000000"/>
    <n v="446685"/>
    <n v="10010"/>
    <n v="0.31116782632056145"/>
    <n v="446685"/>
    <x v="0"/>
    <n v="15"/>
    <x v="4"/>
  </r>
  <r>
    <d v="2026-05-28T00:00:00"/>
    <x v="113"/>
    <s v="STOCK"/>
    <n v="5"/>
    <s v="STOCK"/>
    <n v="4212234"/>
    <x v="27"/>
    <s v="UND"/>
    <n v="4"/>
    <m/>
    <n v="4"/>
    <n v="124909"/>
    <n v="499636"/>
    <n v="499636"/>
    <n v="124909"/>
    <n v="0"/>
    <n v="0"/>
    <n v="0"/>
    <m/>
    <n v="316880"/>
    <m/>
    <n v="6215"/>
    <n v="6579000000"/>
    <n v="499636"/>
    <n v="10010"/>
    <n v="0"/>
    <n v="499636"/>
    <x v="1"/>
    <n v="4"/>
    <x v="24"/>
  </r>
  <r>
    <d v="2026-05-28T00:00:00"/>
    <x v="113"/>
    <s v="STOCK"/>
    <n v="5"/>
    <s v="STOCK"/>
    <n v="2302118"/>
    <x v="147"/>
    <s v="TIN"/>
    <n v="3"/>
    <m/>
    <n v="3"/>
    <n v="80875.666700000002"/>
    <n v="242627"/>
    <n v="242627"/>
    <n v="101250"/>
    <n v="20374.333299999998"/>
    <n v="61123"/>
    <n v="0.2012279835390946"/>
    <m/>
    <n v="316880"/>
    <m/>
    <n v="6215"/>
    <n v="6579000000"/>
    <n v="303750"/>
    <n v="10010"/>
    <n v="-0.20122798320987653"/>
    <n v="303750"/>
    <x v="1"/>
    <n v="3"/>
    <x v="4"/>
  </r>
  <r>
    <d v="2026-05-28T00:00:00"/>
    <x v="113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0"/>
    <m/>
    <n v="6215"/>
    <n v="6579000000"/>
    <n v="106065"/>
    <n v="10010"/>
    <n v="0"/>
    <n v="106065"/>
    <x v="1"/>
    <n v="5"/>
    <x v="5"/>
  </r>
  <r>
    <d v="2026-05-28T00:00:00"/>
    <x v="113"/>
    <s v="STOCK"/>
    <n v="5"/>
    <s v="STOCK"/>
    <n v="410046"/>
    <x v="143"/>
    <s v="UND"/>
    <n v="516"/>
    <m/>
    <n v="516"/>
    <n v="746"/>
    <n v="384936"/>
    <n v="384936"/>
    <n v="746"/>
    <n v="0"/>
    <n v="0"/>
    <n v="0"/>
    <m/>
    <n v="316880"/>
    <m/>
    <n v="6215"/>
    <n v="6579000000"/>
    <n v="384936"/>
    <n v="10010"/>
    <n v="0"/>
    <n v="384936"/>
    <x v="1"/>
    <n v="516"/>
    <x v="4"/>
  </r>
  <r>
    <d v="2026-05-28T00:00:00"/>
    <x v="113"/>
    <s v="STOCK"/>
    <n v="5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16880"/>
    <m/>
    <n v="6215"/>
    <n v="6579000000"/>
    <n v="221638.90909199993"/>
    <n v="10010"/>
    <n v="4.0877299165732523E-7"/>
    <n v="221638.90919999999"/>
    <x v="0"/>
    <n v="6"/>
    <x v="45"/>
  </r>
  <r>
    <d v="2026-05-28T00:00:00"/>
    <x v="113"/>
    <s v="STOCK"/>
    <n v="5"/>
    <s v="STOCK"/>
    <n v="5309018"/>
    <x v="77"/>
    <s v="MTS"/>
    <n v="600"/>
    <m/>
    <n v="600"/>
    <n v="717.12670000000003"/>
    <n v="430276"/>
    <n v="430276"/>
    <n v="699.99919999999997"/>
    <n v="-17.127400000000002"/>
    <n v="-10276.460800000001"/>
    <n v="-2.446779065418488E-2"/>
    <m/>
    <n v="316880"/>
    <m/>
    <n v="6215"/>
    <n v="6579000000"/>
    <n v="419999.53920000035"/>
    <n v="10010"/>
    <n v="2.4467885106154486E-2"/>
    <n v="419999.51999999996"/>
    <x v="1"/>
    <n v="600"/>
    <x v="4"/>
  </r>
  <r>
    <d v="2026-05-28T00:00:00"/>
    <x v="113"/>
    <s v="STOCK"/>
    <n v="5"/>
    <s v="STOCK"/>
    <n v="408014"/>
    <x v="73"/>
    <s v="CJA"/>
    <n v="6"/>
    <m/>
    <n v="6"/>
    <n v="16182.1667"/>
    <n v="97093"/>
    <n v="97093"/>
    <n v="16182.1068"/>
    <n v="-5.9900000000000002E-2"/>
    <n v="-0.3594"/>
    <n v="-3.7019077639520913E-6"/>
    <m/>
    <n v="316880"/>
    <m/>
    <n v="6215"/>
    <n v="6579000000"/>
    <n v="97092.640572000033"/>
    <n v="10010"/>
    <n v="3.7016193713539148E-6"/>
    <n v="97092.640799999994"/>
    <x v="1"/>
    <n v="6"/>
    <x v="66"/>
  </r>
  <r>
    <d v="2026-05-28T00:00:00"/>
    <x v="113"/>
    <s v="STOCK"/>
    <n v="5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6880"/>
    <m/>
    <n v="6215"/>
    <n v="6579000000"/>
    <n v="210000.00000000015"/>
    <n v="10010"/>
    <n v="0"/>
    <n v="210000"/>
    <x v="1"/>
    <n v="6"/>
    <x v="89"/>
  </r>
  <r>
    <d v="2026-05-28T00:00:00"/>
    <x v="113"/>
    <s v="STOCK"/>
    <n v="5"/>
    <s v="STOCK"/>
    <s v="040801x"/>
    <x v="146"/>
    <s v="CJA"/>
    <n v="6"/>
    <m/>
    <n v="6"/>
    <n v="49030.666700000002"/>
    <n v="294184"/>
    <n v="294184"/>
    <n v="49030.713300000003"/>
    <n v="4.6600000000000003E-2"/>
    <n v="0.27979999999999999"/>
    <n v="9.511657122270364E-7"/>
    <m/>
    <n v="316880"/>
    <m/>
    <n v="6215"/>
    <n v="6579000000"/>
    <n v="294184.27981800004"/>
    <n v="10010"/>
    <n v="-9.504246800645691E-7"/>
    <n v="294184.27980000002"/>
    <x v="1"/>
    <n v="6"/>
    <x v="4"/>
  </r>
  <r>
    <d v="2026-05-28T00:00:00"/>
    <x v="113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6881"/>
    <n v="1069726"/>
    <n v="6215"/>
    <n v="6579000000"/>
    <n v="30212.828690000009"/>
    <n v="10010"/>
    <n v="5.6598473449896557E-6"/>
    <n v="30212.829000000002"/>
    <x v="1"/>
    <n v="10"/>
    <x v="52"/>
  </r>
  <r>
    <d v="2026-05-28T00:00:00"/>
    <x v="113"/>
    <s v="STOCK"/>
    <n v="5"/>
    <s v="STOCK"/>
    <n v="1610007"/>
    <x v="178"/>
    <s v="KG"/>
    <n v="5"/>
    <m/>
    <n v="5"/>
    <n v="1622"/>
    <n v="8110"/>
    <n v="8110"/>
    <n v="1624.4739999999999"/>
    <n v="2.4740000000000002"/>
    <n v="12.370200000000001"/>
    <n v="1.5229772490355615E-3"/>
    <m/>
    <n v="316881"/>
    <m/>
    <n v="6215"/>
    <n v="6579000000"/>
    <n v="8122.3701849999998"/>
    <n v="10010"/>
    <n v="-1.5229545071204172E-3"/>
    <n v="8122.37"/>
    <x v="1"/>
    <n v="5"/>
    <x v="112"/>
  </r>
  <r>
    <d v="2026-05-28T00:00:00"/>
    <x v="113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6881"/>
    <m/>
    <n v="6215"/>
    <n v="6579000000"/>
    <n v="10545.292710000002"/>
    <n v="10010"/>
    <n v="8.0197633209320524E-2"/>
    <n v="10545.2925"/>
    <x v="1"/>
    <n v="5"/>
    <x v="28"/>
  </r>
  <r>
    <d v="2026-05-28T00:00:00"/>
    <x v="113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881"/>
    <m/>
    <n v="6215"/>
    <n v="6579000000"/>
    <n v="10653.786550000001"/>
    <n v="10010"/>
    <n v="-2.9828502758151007E-2"/>
    <n v="10653.786500000002"/>
    <x v="1"/>
    <n v="5"/>
    <x v="27"/>
  </r>
  <r>
    <d v="2026-05-28T00:00:00"/>
    <x v="113"/>
    <s v="STOCK"/>
    <n v="5"/>
    <s v="STOCK"/>
    <n v="810007"/>
    <x v="151"/>
    <s v="TRA"/>
    <n v="5"/>
    <m/>
    <n v="5"/>
    <n v="3372"/>
    <n v="16860"/>
    <n v="16860"/>
    <n v="3274.7246"/>
    <n v="-97.275400000000005"/>
    <n v="-486.3768"/>
    <n v="-2.9704898198527511E-2"/>
    <m/>
    <n v="316881"/>
    <m/>
    <n v="6215"/>
    <n v="6579000000"/>
    <n v="16373.62319"/>
    <n v="10010"/>
    <n v="2.9704910147253297E-2"/>
    <n v="16373.623"/>
    <x v="1"/>
    <n v="5"/>
    <x v="4"/>
  </r>
  <r>
    <d v="2026-05-28T00:00:00"/>
    <x v="113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1"/>
    <m/>
    <n v="6215"/>
    <n v="6579000000"/>
    <n v="106065"/>
    <n v="10010"/>
    <n v="0"/>
    <n v="106065"/>
    <x v="1"/>
    <n v="5"/>
    <x v="5"/>
  </r>
  <r>
    <d v="2026-05-28T00:00:00"/>
    <x v="113"/>
    <s v="STOCK"/>
    <n v="5"/>
    <s v="STOCK"/>
    <n v="2302017"/>
    <x v="106"/>
    <s v="TIN"/>
    <n v="5"/>
    <m/>
    <n v="5"/>
    <n v="83400.2"/>
    <n v="417001"/>
    <n v="417001"/>
    <n v="81197.881599999993"/>
    <n v="-2202.3184000000001"/>
    <n v="-11011.5921"/>
    <n v="-2.7122855648115809E-2"/>
    <m/>
    <n v="316881"/>
    <m/>
    <n v="6215"/>
    <n v="6579000000"/>
    <n v="405989.40789499989"/>
    <n v="10010"/>
    <n v="2.7122855382473474E-2"/>
    <n v="405989.40799999994"/>
    <x v="1"/>
    <n v="5"/>
    <x v="4"/>
  </r>
  <r>
    <d v="2026-05-28T00:00:00"/>
    <x v="113"/>
    <s v="STOCK"/>
    <n v="5"/>
    <s v="STOCK"/>
    <n v="602255"/>
    <x v="134"/>
    <s v="TIN"/>
    <n v="5"/>
    <m/>
    <n v="5"/>
    <n v="47890"/>
    <n v="239450"/>
    <n v="239450"/>
    <n v="47889.5"/>
    <n v="-0.5"/>
    <n v="-2.5"/>
    <n v="-1.0440702032804683E-5"/>
    <m/>
    <n v="316881"/>
    <m/>
    <n v="6215"/>
    <n v="6579000000"/>
    <n v="239447.5"/>
    <n v="10010"/>
    <n v="1.0440702032804685E-5"/>
    <n v="239447.5"/>
    <x v="1"/>
    <n v="5"/>
    <x v="4"/>
  </r>
  <r>
    <d v="2026-05-28T00:00:00"/>
    <x v="113"/>
    <s v="STOCK"/>
    <n v="5"/>
    <s v="STOCK"/>
    <n v="602254"/>
    <x v="142"/>
    <s v="TIN"/>
    <n v="5"/>
    <m/>
    <n v="5"/>
    <n v="46060"/>
    <n v="230300"/>
    <n v="230300"/>
    <n v="46060"/>
    <n v="0"/>
    <n v="0"/>
    <n v="0"/>
    <m/>
    <n v="316881"/>
    <m/>
    <n v="6215"/>
    <n v="6579000000"/>
    <n v="230300"/>
    <n v="10010"/>
    <n v="0"/>
    <n v="230300"/>
    <x v="1"/>
    <n v="5"/>
    <x v="4"/>
  </r>
  <r>
    <d v="2026-05-28T00:00:00"/>
    <x v="113"/>
    <s v="STOCK"/>
    <n v="5"/>
    <s v="STOCK"/>
    <n v="2505058"/>
    <x v="99"/>
    <s v="UND"/>
    <n v="12"/>
    <m/>
    <n v="12"/>
    <n v="16469.666700000002"/>
    <n v="197636"/>
    <n v="197636"/>
    <n v="17870.144100000001"/>
    <n v="1400.4774"/>
    <n v="16805.728800000001"/>
    <n v="7.8369676036421171E-2"/>
    <m/>
    <n v="316884"/>
    <n v="197636"/>
    <n v="6215"/>
    <n v="6579000000"/>
    <n v="214441.72881599999"/>
    <n v="10010"/>
    <n v="-7.8369675821472515E-2"/>
    <n v="214441.7292"/>
    <x v="1"/>
    <n v="12"/>
    <x v="87"/>
  </r>
  <r>
    <d v="2026-05-28T00:00:00"/>
    <x v="113"/>
    <s v="STOCK"/>
    <n v="5"/>
    <s v="STOCK"/>
    <n v="2304002"/>
    <x v="140"/>
    <s v="UND"/>
    <n v="60"/>
    <m/>
    <n v="60"/>
    <n v="1409.5166999999999"/>
    <n v="84571"/>
    <n v="84571"/>
    <n v="1376.4717000000001"/>
    <n v="-33.044899999999998"/>
    <n v="-1982.6966"/>
    <n v="-2.40069898207852E-2"/>
    <m/>
    <n v="316911"/>
    <n v="5956308"/>
    <n v="6215"/>
    <n v="6579000000"/>
    <n v="82588.303440000003"/>
    <n v="10010"/>
    <n v="2.4007031891756181E-2"/>
    <n v="82588.301999999996"/>
    <x v="1"/>
    <n v="60"/>
    <x v="4"/>
  </r>
  <r>
    <d v="2026-05-28T00:00:00"/>
    <x v="113"/>
    <s v="STOCK"/>
    <n v="5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6911"/>
    <m/>
    <n v="6215"/>
    <n v="6579000000"/>
    <n v="35197.460000000006"/>
    <n v="10010"/>
    <n v="-1.4205554371625315E-5"/>
    <n v="35197.5"/>
    <x v="1"/>
    <n v="1000"/>
    <x v="4"/>
  </r>
  <r>
    <d v="2026-05-28T00:00:00"/>
    <x v="113"/>
    <s v="STOCK"/>
    <n v="5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6911"/>
    <m/>
    <n v="6215"/>
    <n v="6579000000"/>
    <n v="335149.81132199999"/>
    <n v="10010"/>
    <n v="-8.240437756665854E-2"/>
    <n v="335149.81140000001"/>
    <x v="1"/>
    <n v="6"/>
    <x v="4"/>
  </r>
  <r>
    <d v="2026-05-28T00:00:00"/>
    <x v="113"/>
    <s v="STOCK"/>
    <n v="5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16911"/>
    <m/>
    <n v="6215"/>
    <n v="6579000000"/>
    <n v="70000.370859999995"/>
    <n v="10010"/>
    <n v="-5.2971147976295791E-6"/>
    <n v="70000.370800000004"/>
    <x v="1"/>
    <n v="4"/>
    <x v="67"/>
  </r>
  <r>
    <d v="2026-05-28T00:00:00"/>
    <x v="113"/>
    <s v="STOCK"/>
    <n v="5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6911"/>
    <m/>
    <n v="6215"/>
    <n v="6579000000"/>
    <n v="16202.162000000002"/>
    <n v="10010"/>
    <n v="-1.2344002666275806E-5"/>
    <n v="16202.2"/>
    <x v="1"/>
    <n v="1000"/>
    <x v="4"/>
  </r>
  <r>
    <d v="2026-05-28T00:00:00"/>
    <x v="113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911"/>
    <m/>
    <n v="6215"/>
    <n v="6579000000"/>
    <n v="2433712.1634000018"/>
    <n v="10010"/>
    <n v="-4.1854446472556059E-3"/>
    <n v="2433712.176"/>
    <x v="0"/>
    <n v="252"/>
    <x v="0"/>
  </r>
  <r>
    <d v="2026-05-28T00:00:00"/>
    <x v="113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911"/>
    <m/>
    <n v="6215"/>
    <n v="6579000000"/>
    <n v="28575.132740000001"/>
    <n v="10010"/>
    <n v="2.3750370645694318E-3"/>
    <n v="28575.133000000002"/>
    <x v="1"/>
    <n v="10"/>
    <x v="81"/>
  </r>
  <r>
    <d v="2026-05-28T00:00:00"/>
    <x v="113"/>
    <s v="STOCK"/>
    <n v="5"/>
    <s v="STOCK"/>
    <n v="1902003"/>
    <x v="105"/>
    <s v="RLL"/>
    <n v="5"/>
    <m/>
    <n v="5"/>
    <n v="150752.20000000001"/>
    <n v="753761"/>
    <n v="753761"/>
    <n v="150703.9755"/>
    <n v="-48.224499999999999"/>
    <n v="-241.12270000000001"/>
    <n v="-3.1999514181929221E-4"/>
    <m/>
    <n v="316911"/>
    <m/>
    <n v="6215"/>
    <n v="6579000000"/>
    <n v="753519.87729999982"/>
    <n v="10010"/>
    <n v="3.1999487631307493E-4"/>
    <n v="753519.87749999994"/>
    <x v="1"/>
    <n v="5"/>
    <x v="4"/>
  </r>
  <r>
    <d v="2026-05-28T00:00:00"/>
    <x v="113"/>
    <s v="STOCK"/>
    <n v="5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6911"/>
    <m/>
    <n v="6215"/>
    <n v="6579000000"/>
    <n v="1419525.7199999995"/>
    <n v="10010"/>
    <n v="-5.9588710481868014E-2"/>
    <n v="1419525.6"/>
    <x v="0"/>
    <n v="3000"/>
    <x v="8"/>
  </r>
  <r>
    <d v="2026-05-28T00:00:00"/>
    <x v="113"/>
    <s v="STOCK"/>
    <n v="5"/>
    <s v="STOCK"/>
    <n v="407185"/>
    <x v="17"/>
    <s v="UND"/>
    <n v="9000"/>
    <m/>
    <n v="9000"/>
    <n v="6.2656999999999998"/>
    <n v="56391"/>
    <n v="56391"/>
    <n v="6.8783000000000003"/>
    <n v="0.61270000000000002"/>
    <n v="5513.88"/>
    <n v="8.9070199312235268E-2"/>
    <m/>
    <n v="316911"/>
    <m/>
    <n v="6215"/>
    <n v="6579000000"/>
    <n v="61904.880000000005"/>
    <n v="10010"/>
    <n v="-8.9062704447319896E-2"/>
    <n v="61904.700000000004"/>
    <x v="1"/>
    <n v="9000"/>
    <x v="4"/>
  </r>
  <r>
    <d v="2026-05-28T00:00:00"/>
    <x v="113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6911"/>
    <m/>
    <n v="6215"/>
    <n v="6579000000"/>
    <n v="4880.2160000000003"/>
    <n v="10010"/>
    <n v="-4.0981926970292619E-5"/>
    <n v="4880.2000000000007"/>
    <x v="1"/>
    <n v="1000"/>
    <x v="64"/>
  </r>
  <r>
    <d v="2026-05-28T00:00:00"/>
    <x v="113"/>
    <s v="STOCK"/>
    <n v="5"/>
    <s v="STOCK"/>
    <n v="407423"/>
    <x v="70"/>
    <s v="UND"/>
    <n v="18000"/>
    <m/>
    <n v="18000"/>
    <n v="3.4662000000000002"/>
    <n v="62391"/>
    <n v="62391"/>
    <n v="106.6405"/>
    <n v="103.1743"/>
    <n v="1857138.0356999999"/>
    <n v="0.96749671464230591"/>
    <m/>
    <n v="316911"/>
    <m/>
    <n v="6215"/>
    <n v="6579000000"/>
    <n v="1919529.035708108"/>
    <n v="10010"/>
    <n v="-0.96749640146098337"/>
    <n v="1919529"/>
    <x v="1"/>
    <n v="18000"/>
    <x v="63"/>
  </r>
  <r>
    <d v="2026-05-28T00:00:00"/>
    <x v="113"/>
    <s v="STOCK"/>
    <n v="5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6911"/>
    <m/>
    <n v="6215"/>
    <n v="6579000000"/>
    <n v="284688.80861999997"/>
    <n v="10010"/>
    <n v="6.7020548080679807E-7"/>
    <n v="284688.8088"/>
    <x v="1"/>
    <n v="12"/>
    <x v="4"/>
  </r>
  <r>
    <d v="2026-05-28T00:00:00"/>
    <x v="113"/>
    <s v="STOCK"/>
    <n v="5"/>
    <s v="STOCK"/>
    <n v="410045"/>
    <x v="75"/>
    <s v="UND"/>
    <n v="696"/>
    <m/>
    <n v="696"/>
    <n v="335.98129999999998"/>
    <n v="233843"/>
    <n v="233843"/>
    <n v="368.00139999999999"/>
    <n v="32.020000000000003"/>
    <n v="22285.9473"/>
    <n v="8.7010654183204125E-2"/>
    <m/>
    <n v="316911"/>
    <m/>
    <n v="6215"/>
    <n v="6579000000"/>
    <n v="256128.94725599996"/>
    <n v="10010"/>
    <n v="-8.701081028496091E-2"/>
    <n v="256128.97440000001"/>
    <x v="1"/>
    <n v="696"/>
    <x v="68"/>
  </r>
  <r>
    <d v="2026-05-28T00:00:00"/>
    <x v="113"/>
    <s v="STOCK"/>
    <n v="5"/>
    <s v="STOCK"/>
    <n v="410126"/>
    <x v="108"/>
    <s v="UND"/>
    <n v="264"/>
    <m/>
    <n v="264"/>
    <n v="983.87879999999996"/>
    <n v="259744"/>
    <n v="259744"/>
    <n v="983.61890000000005"/>
    <n v="-0.25990000000000002"/>
    <n v="-68.615399999999994"/>
    <n v="-2.6423534949180592E-4"/>
    <m/>
    <n v="316911"/>
    <m/>
    <n v="6215"/>
    <n v="6579000000"/>
    <n v="259675.38458400001"/>
    <n v="10010"/>
    <n v="2.6422835104114237E-4"/>
    <n v="259675.38960000002"/>
    <x v="1"/>
    <n v="264"/>
    <x v="4"/>
  </r>
  <r>
    <d v="2026-05-28T00:00:00"/>
    <x v="113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913"/>
    <n v="10928068"/>
    <n v="6215"/>
    <n v="6579000000"/>
    <n v="350000.00000000029"/>
    <n v="10010"/>
    <n v="0"/>
    <n v="350000"/>
    <x v="1"/>
    <n v="10"/>
    <x v="89"/>
  </r>
  <r>
    <d v="2026-05-28T00:00:00"/>
    <x v="113"/>
    <s v="STOCK"/>
    <n v="5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6913"/>
    <m/>
    <n v="6215"/>
    <n v="6579000000"/>
    <n v="58589.263160000002"/>
    <n v="10010"/>
    <n v="-0.16481285718147953"/>
    <n v="58589.264000000003"/>
    <x v="1"/>
    <n v="20"/>
    <x v="4"/>
  </r>
  <r>
    <d v="2026-05-28T00:00:00"/>
    <x v="113"/>
    <s v="STOCK"/>
    <n v="5"/>
    <s v="STOCK"/>
    <n v="810007"/>
    <x v="151"/>
    <s v="TRA"/>
    <n v="50"/>
    <m/>
    <n v="50"/>
    <n v="3372.06"/>
    <n v="168603"/>
    <n v="168603"/>
    <n v="3274.7246"/>
    <n v="-97.335400000000007"/>
    <n v="-4866.7681000000002"/>
    <n v="-2.9723220349740991E-2"/>
    <m/>
    <n v="316913"/>
    <m/>
    <n v="6215"/>
    <n v="6579000000"/>
    <n v="163736.23190000001"/>
    <n v="10010"/>
    <n v="2.9723232298679386E-2"/>
    <n v="163736.23000000001"/>
    <x v="1"/>
    <n v="50"/>
    <x v="4"/>
  </r>
  <r>
    <d v="2026-05-28T00:00:00"/>
    <x v="113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6913"/>
    <m/>
    <n v="6215"/>
    <n v="6579000000"/>
    <n v="10694736"/>
    <n v="10010"/>
    <n v="-0.19905091895676522"/>
    <n v="10694736"/>
    <x v="0"/>
    <n v="1872"/>
    <x v="4"/>
  </r>
  <r>
    <d v="2026-05-28T00:00:00"/>
    <x v="113"/>
    <s v="STOCK"/>
    <n v="5"/>
    <s v="STOCK"/>
    <n v="704022"/>
    <x v="198"/>
    <s v="UND"/>
    <n v="2"/>
    <m/>
    <n v="2"/>
    <n v="258.5"/>
    <n v="517"/>
    <n v="517"/>
    <n v="306"/>
    <n v="47.5"/>
    <n v="95"/>
    <n v="0.15522875816993481"/>
    <m/>
    <n v="316913"/>
    <m/>
    <n v="6215"/>
    <n v="6579000000"/>
    <n v="612.00000000000011"/>
    <n v="10010"/>
    <n v="-0.15522875816993464"/>
    <n v="612"/>
    <x v="1"/>
    <n v="2"/>
    <x v="122"/>
  </r>
  <r>
    <d v="2026-05-28T00:00:00"/>
    <x v="113"/>
    <s v="STOCK"/>
    <n v="5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6913"/>
    <m/>
    <n v="6215"/>
    <n v="6579000000"/>
    <n v="3733.9007100000017"/>
    <n v="10010"/>
    <n v="2.6567390328128124E-5"/>
    <n v="3733.9007999999999"/>
    <x v="1"/>
    <n v="2"/>
    <x v="4"/>
  </r>
  <r>
    <d v="2026-05-28T00:00:00"/>
    <x v="113"/>
    <s v="STOCK"/>
    <n v="5"/>
    <s v="STOCK"/>
    <n v="1901505"/>
    <x v="7"/>
    <s v="KG"/>
    <n v="100"/>
    <m/>
    <n v="100"/>
    <n v="1895"/>
    <n v="189500"/>
    <n v="189500"/>
    <n v="1895"/>
    <n v="0"/>
    <n v="0"/>
    <n v="0"/>
    <m/>
    <n v="316913"/>
    <m/>
    <n v="6215"/>
    <n v="6579000000"/>
    <n v="189500"/>
    <n v="10010"/>
    <n v="0"/>
    <n v="189500"/>
    <x v="1"/>
    <n v="100"/>
    <x v="7"/>
  </r>
  <r>
    <d v="2026-05-28T00:00:00"/>
    <x v="113"/>
    <s v="STOCK"/>
    <n v="5"/>
    <s v="STOCK"/>
    <n v="2304056"/>
    <x v="168"/>
    <s v="UND"/>
    <n v="60"/>
    <m/>
    <n v="60"/>
    <n v="3163.1333"/>
    <n v="189788"/>
    <n v="189788"/>
    <n v="2979"/>
    <n v="-184.13329999999999"/>
    <n v="-11048"/>
    <n v="-6.1810450934317966E-2"/>
    <m/>
    <n v="316913"/>
    <m/>
    <n v="6215"/>
    <n v="6579000000"/>
    <n v="178740"/>
    <n v="10010"/>
    <n v="6.1810439744880818E-2"/>
    <n v="178740"/>
    <x v="1"/>
    <n v="60"/>
    <x v="100"/>
  </r>
  <r>
    <d v="2026-05-28T00:00:00"/>
    <x v="113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913"/>
    <m/>
    <n v="6215"/>
    <n v="6579000000"/>
    <n v="453321.13050000009"/>
    <n v="10010"/>
    <n v="0.15845910887262377"/>
    <n v="453321.13320000004"/>
    <x v="0"/>
    <n v="108"/>
    <x v="12"/>
  </r>
  <r>
    <d v="2026-05-28T00:00:00"/>
    <x v="113"/>
    <s v="STOCK"/>
    <n v="5"/>
    <s v="STOCK"/>
    <n v="1901008"/>
    <x v="6"/>
    <s v="M2"/>
    <n v="270"/>
    <m/>
    <n v="270"/>
    <n v="2060.9110999999998"/>
    <n v="556446"/>
    <n v="556446"/>
    <n v="2112.7957999999999"/>
    <n v="51.884700000000002"/>
    <n v="14008.8603"/>
    <n v="2.4557351166919855E-2"/>
    <m/>
    <n v="316913"/>
    <m/>
    <n v="6215"/>
    <n v="6579000000"/>
    <n v="570454.86033000005"/>
    <n v="10010"/>
    <n v="-2.4557366121231435E-2"/>
    <n v="570454.86599999992"/>
    <x v="0"/>
    <n v="270"/>
    <x v="6"/>
  </r>
  <r>
    <d v="2026-05-28T00:00:00"/>
    <x v="113"/>
    <s v="STOCK"/>
    <n v="5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6913"/>
    <m/>
    <n v="6215"/>
    <n v="6579000000"/>
    <n v="220260"/>
    <n v="10010"/>
    <n v="2.4198583492236348E-3"/>
    <n v="220260"/>
    <x v="1"/>
    <n v="60"/>
    <x v="40"/>
  </r>
  <r>
    <d v="2026-05-28T00:00:00"/>
    <x v="113"/>
    <s v="STOCK"/>
    <n v="5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6913"/>
    <m/>
    <n v="6215"/>
    <n v="6579000000"/>
    <n v="24505.436472000001"/>
    <n v="10010"/>
    <n v="-0.16834782015961158"/>
    <n v="24505.436399999999"/>
    <x v="1"/>
    <n v="12"/>
    <x v="82"/>
  </r>
  <r>
    <d v="2026-05-28T00:00:00"/>
    <x v="113"/>
    <s v="STOCK"/>
    <n v="5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6913"/>
    <m/>
    <n v="6215"/>
    <n v="6579000000"/>
    <n v="11044.245371999999"/>
    <n v="10010"/>
    <n v="-0.24512725432328306"/>
    <n v="11044.2456"/>
    <x v="1"/>
    <n v="12"/>
    <x v="4"/>
  </r>
  <r>
    <d v="2026-05-28T00:00:00"/>
    <x v="113"/>
    <s v="STOCK"/>
    <n v="5"/>
    <s v="STOCK"/>
    <n v="1610023"/>
    <x v="31"/>
    <s v="KG"/>
    <n v="6"/>
    <m/>
    <n v="6"/>
    <n v="2278.1667000000002"/>
    <n v="13669"/>
    <n v="13669"/>
    <n v="2109.0585000000001"/>
    <n v="-169.10810000000001"/>
    <n v="-1014.6487"/>
    <n v="-8.0181806857908586E-2"/>
    <m/>
    <n v="316913"/>
    <m/>
    <n v="6215"/>
    <n v="6579000000"/>
    <n v="12654.351252"/>
    <n v="10010"/>
    <n v="8.0181844173596944E-2"/>
    <n v="12654.351000000001"/>
    <x v="1"/>
    <n v="6"/>
    <x v="28"/>
  </r>
  <r>
    <d v="2026-05-28T00:00:00"/>
    <x v="113"/>
    <s v="STOCK"/>
    <n v="5"/>
    <s v="STOCK"/>
    <n v="609008"/>
    <x v="30"/>
    <s v="LTS"/>
    <n v="10"/>
    <m/>
    <n v="10"/>
    <n v="2067.1999999999998"/>
    <n v="20672"/>
    <n v="20672"/>
    <n v="2130.7573000000002"/>
    <n v="63.557299999999998"/>
    <n v="635.57309999999995"/>
    <n v="2.9828507311327791E-2"/>
    <m/>
    <n v="316913"/>
    <m/>
    <n v="6215"/>
    <n v="6579000000"/>
    <n v="21307.573100000001"/>
    <n v="10010"/>
    <n v="-2.9828502758151007E-2"/>
    <n v="21307.573000000004"/>
    <x v="1"/>
    <n v="10"/>
    <x v="27"/>
  </r>
  <r>
    <d v="2026-05-28T00:00:00"/>
    <x v="113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6913"/>
    <m/>
    <n v="6215"/>
    <n v="6579000000"/>
    <n v="45608.293188000011"/>
    <n v="10010"/>
    <n v="-1.1605784011229058E-4"/>
    <n v="45608.2932"/>
    <x v="1"/>
    <n v="12"/>
    <x v="4"/>
  </r>
  <r>
    <d v="2026-05-28T00:00:00"/>
    <x v="113"/>
    <s v="STOCK"/>
    <n v="5"/>
    <s v="STOCK"/>
    <n v="707023"/>
    <x v="263"/>
    <s v="UND"/>
    <n v="48"/>
    <m/>
    <n v="48"/>
    <n v="16734.458299999998"/>
    <n v="803254"/>
    <n v="803254"/>
    <m/>
    <m/>
    <n v="-803254"/>
    <m/>
    <m/>
    <n v="316941"/>
    <n v="803254"/>
    <n v="6215"/>
    <n v="6579000000"/>
    <s v=""/>
    <n v="10010"/>
    <e v="#DIV/0!"/>
    <n v="0"/>
    <x v="1"/>
    <n v="48"/>
    <x v="100"/>
  </r>
  <r>
    <d v="2026-05-29T00:00:00"/>
    <x v="114"/>
    <s v="STOCK"/>
    <n v="5"/>
    <s v="STOCK"/>
    <s v="V01"/>
    <x v="240"/>
    <s v="UND"/>
    <n v="36"/>
    <m/>
    <n v="36"/>
    <n v="203506"/>
    <n v="7326216"/>
    <n v="7326216"/>
    <n v="205500"/>
    <n v="1994"/>
    <n v="71784"/>
    <n v="9.7031630170316303E-3"/>
    <m/>
    <m/>
    <n v="14623178"/>
    <n v="6213"/>
    <n v="6579000000"/>
    <n v="7398000"/>
    <n v="10010"/>
    <n v="-9.7031630170316303E-3"/>
    <n v="7398000"/>
    <x v="0"/>
    <n v="36"/>
    <x v="145"/>
  </r>
  <r>
    <d v="2026-05-29T00:00:00"/>
    <x v="114"/>
    <s v="STOCK"/>
    <n v="5"/>
    <s v="STOCK"/>
    <s v="V03"/>
    <x v="241"/>
    <s v="UND"/>
    <n v="13"/>
    <m/>
    <n v="13"/>
    <n v="120383"/>
    <n v="1564979"/>
    <n v="1564979"/>
    <n v="101229"/>
    <n v="-19154"/>
    <n v="-249002"/>
    <n v="-0.1892145531418862"/>
    <m/>
    <m/>
    <m/>
    <n v="6213"/>
    <n v="6579000000"/>
    <n v="1315977"/>
    <n v="10010"/>
    <n v="0.1892145531418862"/>
    <n v="1315977"/>
    <x v="0"/>
    <n v="13"/>
    <x v="4"/>
  </r>
  <r>
    <d v="2026-05-29T00:00:00"/>
    <x v="114"/>
    <s v="STOCK"/>
    <n v="5"/>
    <s v="STOCK"/>
    <s v="V05"/>
    <x v="242"/>
    <s v="UND"/>
    <n v="15"/>
    <m/>
    <n v="15"/>
    <n v="382132.2"/>
    <n v="5731983"/>
    <n v="5731983"/>
    <n v="350139"/>
    <n v="-31993.200000000001"/>
    <n v="-479898"/>
    <n v="-9.1372854780530047E-2"/>
    <m/>
    <m/>
    <m/>
    <n v="6213"/>
    <n v="6579000000"/>
    <n v="5252085"/>
    <n v="10010"/>
    <n v="9.1372854780530047E-2"/>
    <n v="5252085"/>
    <x v="0"/>
    <n v="15"/>
    <x v="146"/>
  </r>
  <r>
    <d v="2026-05-29T00:00:00"/>
    <x v="114"/>
    <s v="STOCK"/>
    <n v="5"/>
    <s v="STOCK"/>
    <n v="701015"/>
    <x v="46"/>
    <s v="PL"/>
    <n v="100"/>
    <m/>
    <n v="100"/>
    <n v="9447.74"/>
    <n v="944774"/>
    <n v="944774"/>
    <n v="9151.2975000000006"/>
    <n v="-296.4425"/>
    <n v="-29644.253199999999"/>
    <n v="-3.2393497538091294E-2"/>
    <m/>
    <n v="317058"/>
    <n v="21103743"/>
    <n v="6215"/>
    <n v="6579000000"/>
    <n v="915129.74679999996"/>
    <n v="10010"/>
    <n v="3.2393493928046725E-2"/>
    <n v="915129.75"/>
    <x v="1"/>
    <n v="100"/>
    <x v="41"/>
  </r>
  <r>
    <d v="2026-05-29T00:00:00"/>
    <x v="114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7058"/>
    <m/>
    <n v="6215"/>
    <n v="6579000000"/>
    <n v="614388.11140000017"/>
    <n v="10010"/>
    <n v="-1.8229519378380471E-7"/>
    <n v="614388.11199999996"/>
    <x v="0"/>
    <n v="40"/>
    <x v="3"/>
  </r>
  <r>
    <d v="2026-05-29T00:00:00"/>
    <x v="114"/>
    <s v="STOCK"/>
    <n v="5"/>
    <s v="STOCK"/>
    <n v="302248"/>
    <x v="145"/>
    <s v="PZA"/>
    <n v="480"/>
    <m/>
    <n v="480"/>
    <n v="2396.9729000000002"/>
    <n v="1150547"/>
    <n v="1150547"/>
    <n v="2342.1750999999999"/>
    <n v="-54.797800000000002"/>
    <n v="-26302.9342"/>
    <n v="-2.3396106807305087E-2"/>
    <m/>
    <n v="317058"/>
    <m/>
    <n v="6215"/>
    <n v="6579000000"/>
    <n v="1124244.0657599999"/>
    <n v="10010"/>
    <n v="2.3396115858289282E-2"/>
    <n v="1124244.048"/>
    <x v="1"/>
    <n v="480"/>
    <x v="4"/>
  </r>
  <r>
    <d v="2026-05-29T00:00:00"/>
    <x v="114"/>
    <s v="STOCK"/>
    <n v="5"/>
    <s v="STOCK"/>
    <n v="302048"/>
    <x v="86"/>
    <s v="PZA"/>
    <n v="324"/>
    <m/>
    <n v="324"/>
    <n v="14163.534"/>
    <n v="4588985"/>
    <n v="4588985"/>
    <n v="13710.695"/>
    <n v="-452.839"/>
    <n v="-146719.83259999999"/>
    <n v="-3.3028157281989205E-2"/>
    <m/>
    <n v="317058"/>
    <m/>
    <n v="6215"/>
    <n v="6579000000"/>
    <n v="4442265.1673639994"/>
    <n v="10010"/>
    <n v="3.3028157945312032E-2"/>
    <n v="4442265.18"/>
    <x v="0"/>
    <n v="324"/>
    <x v="2"/>
  </r>
  <r>
    <d v="2026-05-29T00:00:00"/>
    <x v="114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7058"/>
    <m/>
    <n v="6215"/>
    <n v="6579000000"/>
    <n v="1844568.9097200008"/>
    <n v="10010"/>
    <n v="-3.5754637303057668E-2"/>
    <n v="1844568.9"/>
    <x v="0"/>
    <n v="360"/>
    <x v="65"/>
  </r>
  <r>
    <d v="2026-05-29T00:00:00"/>
    <x v="114"/>
    <s v="STOCK"/>
    <n v="5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7058"/>
    <m/>
    <n v="6215"/>
    <n v="6579000000"/>
    <n v="61200.000000000015"/>
    <n v="10010"/>
    <n v="-0.15560457516339873"/>
    <n v="61200"/>
    <x v="1"/>
    <n v="200"/>
    <x v="122"/>
  </r>
  <r>
    <d v="2026-05-29T00:00:00"/>
    <x v="114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7058"/>
    <m/>
    <n v="6215"/>
    <n v="6579000000"/>
    <n v="1659453.7037399979"/>
    <n v="10010"/>
    <n v="1.4134352351873951E-2"/>
    <n v="1659453.6924000001"/>
    <x v="0"/>
    <n v="252"/>
    <x v="95"/>
  </r>
  <r>
    <d v="2026-05-29T00:00:00"/>
    <x v="114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7058"/>
    <m/>
    <n v="6215"/>
    <n v="6579000000"/>
    <n v="2921489.9999999986"/>
    <n v="10010"/>
    <n v="-5.1688693098400854E-5"/>
    <n v="2921490"/>
    <x v="0"/>
    <n v="195"/>
    <x v="99"/>
  </r>
  <r>
    <d v="2026-05-29T00:00:00"/>
    <x v="114"/>
    <s v="STOCK"/>
    <n v="5"/>
    <s v="STOCK"/>
    <n v="701096"/>
    <x v="135"/>
    <s v="PL"/>
    <n v="210"/>
    <m/>
    <n v="210"/>
    <n v="16127.161899999999"/>
    <n v="3386704"/>
    <n v="3386704"/>
    <n v="16019.885700000001"/>
    <n v="-107.2762"/>
    <n v="-22528.006099999999"/>
    <n v="-6.69644102781257E-3"/>
    <m/>
    <n v="317058"/>
    <m/>
    <n v="6215"/>
    <n v="6579000000"/>
    <n v="3364175.9938500007"/>
    <n v="10010"/>
    <n v="6.6964397879566906E-3"/>
    <n v="3364175.997"/>
    <x v="0"/>
    <n v="210"/>
    <x v="94"/>
  </r>
  <r>
    <d v="2026-05-29T00:00:00"/>
    <x v="114"/>
    <s v="STOCK"/>
    <n v="5"/>
    <s v="STOCK"/>
    <n v="701040"/>
    <x v="1"/>
    <s v="PL"/>
    <n v="160"/>
    <m/>
    <n v="160"/>
    <n v="8083.125"/>
    <n v="1293300"/>
    <n v="1293300"/>
    <n v="7835.7259999999997"/>
    <n v="-247.399"/>
    <n v="-39583.847399999999"/>
    <n v="-3.1573213184377572E-2"/>
    <m/>
    <n v="317058"/>
    <m/>
    <n v="6215"/>
    <n v="6579000000"/>
    <n v="1253716.1526399995"/>
    <n v="10010"/>
    <n v="3.1573207128477991E-2"/>
    <n v="1253716.1599999999"/>
    <x v="1"/>
    <n v="160"/>
    <x v="1"/>
  </r>
  <r>
    <d v="2026-05-29T00:00:00"/>
    <x v="114"/>
    <s v="STOCK"/>
    <n v="5"/>
    <s v="STOCK"/>
    <n v="701043"/>
    <x v="132"/>
    <s v="PL"/>
    <n v="120"/>
    <m/>
    <n v="120"/>
    <n v="22420.8583"/>
    <n v="2690503"/>
    <n v="2690503"/>
    <n v="22146.362799999999"/>
    <n v="-274.49560000000002"/>
    <n v="-32939.467400000001"/>
    <n v="-1.2394611438424656E-2"/>
    <m/>
    <n v="317058"/>
    <m/>
    <n v="6215"/>
    <n v="6579000000"/>
    <n v="2657563.5326399999"/>
    <n v="10010"/>
    <n v="1.2394608653299987E-2"/>
    <n v="2657563.5359999998"/>
    <x v="0"/>
    <n v="120"/>
    <x v="93"/>
  </r>
  <r>
    <d v="2026-05-29T00:00:00"/>
    <x v="114"/>
    <s v="STOCK"/>
    <n v="5"/>
    <s v="STOCK"/>
    <s v="70508x"/>
    <x v="191"/>
    <s v="UND"/>
    <n v="2"/>
    <m/>
    <n v="2"/>
    <n v="31553"/>
    <n v="63106"/>
    <n v="63106"/>
    <m/>
    <m/>
    <n v="-63106"/>
    <m/>
    <m/>
    <n v="317060"/>
    <n v="715076"/>
    <n v="6215"/>
    <n v="6579000000"/>
    <s v=""/>
    <n v="10010"/>
    <e v="#DIV/0!"/>
    <n v="0"/>
    <x v="1"/>
    <n v="2"/>
    <x v="100"/>
  </r>
  <r>
    <d v="2026-05-29T00:00:00"/>
    <x v="114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060"/>
    <m/>
    <n v="6215"/>
    <n v="6579000000"/>
    <n v="58000"/>
    <n v="10010"/>
    <n v="-1.7241379310348748E-4"/>
    <n v="58000"/>
    <x v="1"/>
    <n v="100"/>
    <x v="124"/>
  </r>
  <r>
    <d v="2026-05-29T00:00:00"/>
    <x v="114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060"/>
    <m/>
    <n v="6215"/>
    <n v="6579000000"/>
    <n v="36300"/>
    <n v="10010"/>
    <n v="-0.12415977961432505"/>
    <n v="36300"/>
    <x v="1"/>
    <n v="100"/>
    <x v="123"/>
  </r>
  <r>
    <d v="2026-05-29T00:00:00"/>
    <x v="114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7060"/>
    <m/>
    <n v="6215"/>
    <n v="6579000000"/>
    <n v="32400"/>
    <n v="10010"/>
    <n v="0"/>
    <n v="32400"/>
    <x v="1"/>
    <n v="100"/>
    <x v="143"/>
  </r>
  <r>
    <d v="2026-05-29T00:00:00"/>
    <x v="114"/>
    <s v="STOCK"/>
    <n v="5"/>
    <s v="STOCK"/>
    <n v="704022"/>
    <x v="198"/>
    <s v="UND"/>
    <n v="300"/>
    <m/>
    <n v="300"/>
    <n v="258.38670000000002"/>
    <n v="77516"/>
    <n v="77516"/>
    <n v="306"/>
    <n v="47.613300000000002"/>
    <n v="14284"/>
    <n v="0.15559912854030519"/>
    <m/>
    <n v="317060"/>
    <m/>
    <n v="6215"/>
    <n v="6579000000"/>
    <n v="91800.000000000015"/>
    <n v="10010"/>
    <n v="-0.15559901960784309"/>
    <n v="91800"/>
    <x v="1"/>
    <n v="300"/>
    <x v="122"/>
  </r>
  <r>
    <d v="2026-05-29T00:00:00"/>
    <x v="114"/>
    <s v="STOCK"/>
    <n v="5"/>
    <s v="STOCK"/>
    <n v="404745"/>
    <x v="184"/>
    <s v="UND"/>
    <n v="10"/>
    <m/>
    <n v="10"/>
    <n v="8826"/>
    <n v="88260"/>
    <n v="88260"/>
    <m/>
    <m/>
    <n v="-88260"/>
    <m/>
    <m/>
    <n v="317060"/>
    <m/>
    <n v="6215"/>
    <n v="6579000000"/>
    <s v=""/>
    <n v="10010"/>
    <e v="#DIV/0!"/>
    <n v="0"/>
    <x v="1"/>
    <n v="10"/>
    <x v="100"/>
  </r>
  <r>
    <d v="2026-05-29T00:00:00"/>
    <x v="114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0"/>
    <m/>
    <n v="6215"/>
    <n v="6579000000"/>
    <n v="104767.50644999991"/>
    <n v="10010"/>
    <n v="-0.21186440394853348"/>
    <n v="104767.505"/>
    <x v="0"/>
    <n v="50"/>
    <x v="121"/>
  </r>
  <r>
    <d v="2026-05-29T00:00:00"/>
    <x v="114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7060"/>
    <m/>
    <n v="6215"/>
    <n v="6579000000"/>
    <n v="71351.251229999994"/>
    <n v="10010"/>
    <n v="-8.2847196089767261E-2"/>
    <n v="71351.25"/>
    <x v="1"/>
    <n v="30"/>
    <x v="4"/>
  </r>
  <r>
    <d v="2026-05-29T00:00:00"/>
    <x v="114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7060"/>
    <m/>
    <n v="6215"/>
    <n v="6579000000"/>
    <n v="215999.88840000005"/>
    <n v="10010"/>
    <n v="5.1851878741837811E-7"/>
    <n v="215999.88799999998"/>
    <x v="1"/>
    <n v="80"/>
    <x v="32"/>
  </r>
  <r>
    <d v="2026-05-29T00:00:00"/>
    <x v="114"/>
    <s v="STOCK"/>
    <n v="5"/>
    <s v="STOCK"/>
    <n v="2302119"/>
    <x v="44"/>
    <s v="UND"/>
    <n v="29"/>
    <m/>
    <n v="29"/>
    <n v="3679.8620999999998"/>
    <n v="106716"/>
    <n v="106716"/>
    <n v="3671"/>
    <n v="-8.8620999999999999"/>
    <n v="-257"/>
    <n v="-2.4140749020749685E-3"/>
    <m/>
    <n v="317063"/>
    <n v="597993"/>
    <n v="6215"/>
    <n v="6579000000"/>
    <n v="106459"/>
    <n v="10010"/>
    <n v="2.4140833560337312E-3"/>
    <n v="106459"/>
    <x v="1"/>
    <n v="29"/>
    <x v="40"/>
  </r>
  <r>
    <d v="2026-05-29T00:00:00"/>
    <x v="114"/>
    <s v="STOCK"/>
    <n v="5"/>
    <s v="STOCK"/>
    <n v="2508991"/>
    <x v="227"/>
    <s v="UND"/>
    <n v="7"/>
    <m/>
    <n v="7"/>
    <n v="4785.4286000000002"/>
    <n v="33498"/>
    <n v="33498"/>
    <n v="4798"/>
    <n v="12.571400000000001"/>
    <n v="88"/>
    <n v="2.620139343774165E-3"/>
    <m/>
    <n v="317063"/>
    <m/>
    <n v="6215"/>
    <n v="6579000000"/>
    <n v="33586"/>
    <n v="10010"/>
    <n v="-2.6201333889120074E-3"/>
    <n v="33586"/>
    <x v="1"/>
    <n v="7"/>
    <x v="139"/>
  </r>
  <r>
    <d v="2026-05-29T00:00:00"/>
    <x v="114"/>
    <s v="STOCK"/>
    <n v="5"/>
    <s v="STOCK"/>
    <n v="2508990"/>
    <x v="226"/>
    <s v="UND"/>
    <n v="7"/>
    <m/>
    <n v="7"/>
    <n v="6688.7142999999996"/>
    <n v="46821"/>
    <n v="46821"/>
    <n v="6738"/>
    <n v="49.285699999999999"/>
    <n v="345"/>
    <n v="7.3145910189543906E-3"/>
    <m/>
    <n v="317063"/>
    <m/>
    <n v="6215"/>
    <n v="6579000000"/>
    <n v="47166"/>
    <n v="10010"/>
    <n v="-7.3145888987830752E-3"/>
    <n v="47166"/>
    <x v="1"/>
    <n v="7"/>
    <x v="138"/>
  </r>
  <r>
    <d v="2026-05-29T00:00:00"/>
    <x v="114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7063"/>
    <m/>
    <n v="6215"/>
    <n v="6579000000"/>
    <n v="5084"/>
    <n v="10010"/>
    <n v="-2.9504327301337532E-3"/>
    <n v="5084"/>
    <x v="1"/>
    <n v="1"/>
    <x v="140"/>
  </r>
  <r>
    <d v="2026-05-29T00:00:00"/>
    <x v="114"/>
    <s v="STOCK"/>
    <n v="5"/>
    <s v="STOCK"/>
    <n v="2508993"/>
    <x v="229"/>
    <s v="UND"/>
    <n v="7"/>
    <m/>
    <n v="7"/>
    <n v="1461.5714"/>
    <n v="10231"/>
    <n v="10231"/>
    <n v="1410"/>
    <n v="-51.571399999999997"/>
    <n v="-361"/>
    <n v="-3.6575481256332386E-2"/>
    <m/>
    <n v="317063"/>
    <m/>
    <n v="6215"/>
    <n v="6579000000"/>
    <n v="9870"/>
    <n v="10010"/>
    <n v="3.6575460992907829E-2"/>
    <n v="9870"/>
    <x v="1"/>
    <n v="7"/>
    <x v="141"/>
  </r>
  <r>
    <d v="2026-05-29T00:00:00"/>
    <x v="114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7063"/>
    <m/>
    <n v="6215"/>
    <n v="6579000000"/>
    <n v="5748"/>
    <n v="10010"/>
    <n v="8.176774530271394E-3"/>
    <n v="5748"/>
    <x v="1"/>
    <n v="3"/>
    <x v="129"/>
  </r>
  <r>
    <d v="2026-05-29T00:00:00"/>
    <x v="114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7063"/>
    <m/>
    <n v="6215"/>
    <n v="6579000000"/>
    <n v="8720.0132880000001"/>
    <n v="10010"/>
    <n v="-1.5137591589929127E-6"/>
    <n v="8720.0133000000005"/>
    <x v="1"/>
    <n v="3"/>
    <x v="4"/>
  </r>
  <r>
    <d v="2026-05-29T00:00:00"/>
    <x v="114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7063"/>
    <m/>
    <n v="6215"/>
    <n v="6579000000"/>
    <n v="1006.469148"/>
    <n v="10010"/>
    <n v="-4.6618406878545695E-4"/>
    <n v="1006.4694"/>
    <x v="1"/>
    <n v="6"/>
    <x v="4"/>
  </r>
  <r>
    <d v="2026-05-29T00:00:00"/>
    <x v="114"/>
    <s v="STOCK"/>
    <n v="5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7063"/>
    <m/>
    <n v="6215"/>
    <n v="6579000000"/>
    <n v="6936"/>
    <n v="10010"/>
    <n v="2.883650519032089E-4"/>
    <n v="6936"/>
    <x v="1"/>
    <n v="3"/>
    <x v="86"/>
  </r>
  <r>
    <d v="2026-05-29T00:00:00"/>
    <x v="114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7063"/>
    <m/>
    <n v="6215"/>
    <n v="6579000000"/>
    <n v="9105"/>
    <n v="10010"/>
    <n v="-8.7864909390452024E-4"/>
    <n v="9105"/>
    <x v="1"/>
    <n v="3"/>
    <x v="130"/>
  </r>
  <r>
    <d v="2026-05-29T00:00:00"/>
    <x v="114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7063"/>
    <m/>
    <n v="6215"/>
    <n v="6579000000"/>
    <n v="10896"/>
    <n v="10010"/>
    <n v="-0.13316814427312781"/>
    <n v="10896"/>
    <x v="1"/>
    <n v="3"/>
    <x v="131"/>
  </r>
  <r>
    <d v="2026-05-29T00:00:00"/>
    <x v="114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7063"/>
    <m/>
    <n v="6215"/>
    <n v="6579000000"/>
    <n v="47350.451612999997"/>
    <n v="10010"/>
    <n v="0.28816089203220857"/>
    <n v="47350.451699999998"/>
    <x v="1"/>
    <n v="3"/>
    <x v="4"/>
  </r>
  <r>
    <d v="2026-05-29T00:00:00"/>
    <x v="114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7063"/>
    <m/>
    <n v="6215"/>
    <n v="6579000000"/>
    <n v="128520"/>
    <n v="10010"/>
    <n v="0"/>
    <n v="128520"/>
    <x v="1"/>
    <n v="3"/>
    <x v="103"/>
  </r>
  <r>
    <d v="2026-05-29T00:00:00"/>
    <x v="114"/>
    <s v="STOCK"/>
    <n v="5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063"/>
    <m/>
    <n v="6215"/>
    <n v="6579000000"/>
    <n v="209535.01289999983"/>
    <n v="10010"/>
    <n v="-0.21186440394853348"/>
    <n v="209535.01"/>
    <x v="0"/>
    <n v="100"/>
    <x v="121"/>
  </r>
  <r>
    <d v="2026-05-29T00:00:00"/>
    <x v="114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6"/>
    <n v="179076"/>
    <n v="6215"/>
    <n v="6579000000"/>
    <n v="104767.50644999991"/>
    <n v="10010"/>
    <n v="-0.21186440394853348"/>
    <n v="104767.505"/>
    <x v="0"/>
    <n v="50"/>
    <x v="121"/>
  </r>
  <r>
    <d v="2026-05-29T00:00:00"/>
    <x v="114"/>
    <s v="STOCK"/>
    <n v="5"/>
    <s v="STOCK"/>
    <n v="2304053"/>
    <x v="141"/>
    <s v="UND"/>
    <n v="16"/>
    <m/>
    <n v="16"/>
    <n v="1021.9375"/>
    <n v="16351"/>
    <n v="16351"/>
    <n v="862"/>
    <n v="-159.9375"/>
    <n v="-2559"/>
    <n v="-0.18554234338747083"/>
    <m/>
    <n v="317066"/>
    <m/>
    <n v="6215"/>
    <n v="6579000000"/>
    <n v="13792.000000000002"/>
    <n v="10010"/>
    <n v="0.185542343387471"/>
    <n v="13792"/>
    <x v="1"/>
    <n v="16"/>
    <x v="4"/>
  </r>
  <r>
    <d v="2026-05-29T00:00:00"/>
    <x v="114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7066"/>
    <m/>
    <n v="6215"/>
    <n v="6579000000"/>
    <n v="33035.321376"/>
    <n v="10010"/>
    <n v="2.3994899422923075E-2"/>
    <n v="33035.320800000001"/>
    <x v="1"/>
    <n v="24"/>
    <x v="4"/>
  </r>
  <r>
    <d v="2026-05-29T00:00:00"/>
    <x v="114"/>
    <s v="STOCK"/>
    <n v="5"/>
    <s v="STOCK"/>
    <n v="404252"/>
    <x v="118"/>
    <s v="UND"/>
    <n v="30"/>
    <m/>
    <n v="30"/>
    <n v="1544.2"/>
    <n v="46326"/>
    <n v="46326"/>
    <n v="1110.0438999999999"/>
    <n v="-434.15609999999998"/>
    <n v="-13024.6837"/>
    <n v="-0.39111618323094111"/>
    <m/>
    <n v="317066"/>
    <m/>
    <n v="6215"/>
    <n v="6579000000"/>
    <n v="33301.316279999999"/>
    <n v="10010"/>
    <n v="0.39111615315394299"/>
    <n v="33301.316999999995"/>
    <x v="1"/>
    <n v="30"/>
    <x v="4"/>
  </r>
  <r>
    <d v="2026-05-29T00:00:00"/>
    <x v="114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070"/>
    <n v="1558716"/>
    <n v="6215"/>
    <n v="6579000000"/>
    <n v="1529748.5150160005"/>
    <n v="10010"/>
    <n v="1.8936105413128724E-2"/>
    <n v="1529748.5183999999"/>
    <x v="0"/>
    <n v="72"/>
    <x v="10"/>
  </r>
  <r>
    <d v="2026-06-01T00:00:00"/>
    <x v="114"/>
    <s v="STOCK"/>
    <n v="5"/>
    <s v="STOCK"/>
    <n v="101010"/>
    <x v="259"/>
    <s v="KG"/>
    <n v="245"/>
    <m/>
    <n v="245"/>
    <n v="4916.9224000000004"/>
    <n v="1204646"/>
    <n v="1204646"/>
    <n v="5828.66"/>
    <n v="911.73760000000004"/>
    <n v="223375.7"/>
    <n v="0.15642318320512918"/>
    <m/>
    <n v="44341"/>
    <n v="1204646"/>
    <m/>
    <n v="6579000000"/>
    <n v="1428021.7"/>
    <m/>
    <n v="-0.15642319160836274"/>
    <n v="1428021.7"/>
    <x v="1"/>
    <n v="245"/>
    <x v="100"/>
  </r>
  <r>
    <d v="2026-05-29T00:00:00"/>
    <x v="115"/>
    <s v="STOCK"/>
    <n v="6"/>
    <s v="STOCK"/>
    <n v="1402016"/>
    <x v="264"/>
    <s v="UND"/>
    <n v="9"/>
    <m/>
    <n v="9"/>
    <n v="754.22220000000004"/>
    <n v="6788"/>
    <n v="6788"/>
    <m/>
    <m/>
    <n v="-6788"/>
    <m/>
    <m/>
    <n v="317096"/>
    <n v="6788"/>
    <n v="6266"/>
    <n v="6579000000"/>
    <s v=""/>
    <n v="10010"/>
    <e v="#DIV/0!"/>
    <n v="0"/>
    <x v="1"/>
    <n v="9"/>
    <x v="100"/>
  </r>
  <r>
    <d v="2026-06-01T00:00:00"/>
    <x v="115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228"/>
    <n v="1097303"/>
    <n v="6266"/>
    <n v="6579000000"/>
    <n v="4794"/>
    <n v="10010"/>
    <n v="5.840632040050063E-2"/>
    <n v="4794"/>
    <x v="1"/>
    <n v="3"/>
    <x v="142"/>
  </r>
  <r>
    <d v="2026-06-01T00:00:00"/>
    <x v="115"/>
    <s v="STOCK"/>
    <n v="6"/>
    <s v="STOCK"/>
    <n v="2508993"/>
    <x v="229"/>
    <s v="UND"/>
    <n v="3"/>
    <m/>
    <n v="3"/>
    <n v="1461.6667"/>
    <n v="4385"/>
    <n v="4385"/>
    <n v="1410"/>
    <n v="-51.666699999999999"/>
    <n v="-155"/>
    <n v="-3.6643026004728185E-2"/>
    <m/>
    <n v="317228"/>
    <m/>
    <n v="6266"/>
    <n v="6579000000"/>
    <n v="4230"/>
    <n v="10010"/>
    <n v="3.6643049645390065E-2"/>
    <n v="4230"/>
    <x v="1"/>
    <n v="3"/>
    <x v="141"/>
  </r>
  <r>
    <d v="2026-06-01T00:00:00"/>
    <x v="115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228"/>
    <m/>
    <n v="6266"/>
    <n v="6579000000"/>
    <n v="15252"/>
    <n v="10010"/>
    <n v="-3.0159913453973713E-3"/>
    <n v="15252"/>
    <x v="1"/>
    <n v="3"/>
    <x v="140"/>
  </r>
  <r>
    <d v="2026-06-01T00:00:00"/>
    <x v="115"/>
    <s v="STOCK"/>
    <n v="6"/>
    <s v="STOCK"/>
    <n v="2508991"/>
    <x v="227"/>
    <s v="UND"/>
    <n v="3"/>
    <m/>
    <n v="3"/>
    <n v="4785.3333000000002"/>
    <n v="14356"/>
    <n v="14356"/>
    <n v="4798"/>
    <n v="12.666700000000001"/>
    <n v="38"/>
    <n v="2.6399888842573928E-3"/>
    <m/>
    <n v="317228"/>
    <m/>
    <n v="6266"/>
    <n v="6579000000"/>
    <n v="14394"/>
    <n v="10010"/>
    <n v="-2.6399958315964493E-3"/>
    <n v="14394"/>
    <x v="1"/>
    <n v="3"/>
    <x v="139"/>
  </r>
  <r>
    <d v="2026-06-01T00:00:00"/>
    <x v="115"/>
    <s v="STOCK"/>
    <n v="6"/>
    <s v="STOCK"/>
    <n v="2508990"/>
    <x v="226"/>
    <s v="UND"/>
    <n v="3"/>
    <m/>
    <n v="3"/>
    <n v="6688.6666999999998"/>
    <n v="20066"/>
    <n v="20066"/>
    <n v="6738"/>
    <n v="49.333300000000001"/>
    <n v="148"/>
    <n v="7.321658256653759E-3"/>
    <m/>
    <n v="317228"/>
    <m/>
    <n v="6266"/>
    <n v="6579000000"/>
    <n v="20214"/>
    <n v="10010"/>
    <n v="-7.3216533095874494E-3"/>
    <n v="20214"/>
    <x v="1"/>
    <n v="3"/>
    <x v="138"/>
  </r>
  <r>
    <d v="2026-06-01T00:00:00"/>
    <x v="115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228"/>
    <m/>
    <n v="6266"/>
    <n v="6579000000"/>
    <n v="20275.599998999998"/>
    <n v="10010"/>
    <n v="3.3952144616939288E-2"/>
    <n v="20275.599900000001"/>
    <x v="1"/>
    <n v="3"/>
    <x v="4"/>
  </r>
  <r>
    <d v="2026-06-01T00:00:00"/>
    <x v="115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228"/>
    <m/>
    <n v="6266"/>
    <n v="6579000000"/>
    <n v="95730"/>
    <n v="10010"/>
    <n v="-0.3628852083986211"/>
    <n v="95730"/>
    <x v="1"/>
    <n v="30"/>
    <x v="120"/>
  </r>
  <r>
    <d v="2026-06-01T00:00:00"/>
    <x v="115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228"/>
    <m/>
    <n v="6266"/>
    <n v="6579000000"/>
    <n v="72810"/>
    <n v="10010"/>
    <n v="-0.38221396786155748"/>
    <n v="72810"/>
    <x v="1"/>
    <n v="30"/>
    <x v="119"/>
  </r>
  <r>
    <d v="2026-06-01T00:00:00"/>
    <x v="115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228"/>
    <m/>
    <n v="6266"/>
    <n v="6579000000"/>
    <n v="917083.44828000001"/>
    <n v="10010"/>
    <n v="-6.3281569552436868E-3"/>
    <n v="917083.44800000009"/>
    <x v="0"/>
    <n v="40"/>
    <x v="38"/>
  </r>
  <r>
    <d v="2026-06-01T00:00:00"/>
    <x v="115"/>
    <s v="STOCK"/>
    <n v="6"/>
    <s v="STOCK"/>
    <n v="1808146"/>
    <x v="201"/>
    <s v="UND"/>
    <n v="3"/>
    <m/>
    <n v="3"/>
    <n v="3318"/>
    <n v="9954"/>
    <n v="9954"/>
    <n v="3404"/>
    <n v="86"/>
    <n v="258"/>
    <n v="2.5264394829612225E-2"/>
    <m/>
    <n v="317154"/>
    <n v="389993"/>
    <n v="6266"/>
    <n v="6579000000"/>
    <n v="10212"/>
    <n v="10010"/>
    <n v="-2.5264394829612222E-2"/>
    <n v="10212"/>
    <x v="1"/>
    <n v="3"/>
    <x v="125"/>
  </r>
  <r>
    <d v="2026-06-01T00:00:00"/>
    <x v="115"/>
    <s v="STOCK"/>
    <n v="6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7154"/>
    <m/>
    <n v="6266"/>
    <n v="6579000000"/>
    <n v="3267"/>
    <n v="10010"/>
    <n v="8.8766758494031144E-3"/>
    <n v="3267"/>
    <x v="1"/>
    <n v="3"/>
    <x v="108"/>
  </r>
  <r>
    <d v="2026-06-01T00:00:00"/>
    <x v="115"/>
    <s v="STOCK"/>
    <n v="6"/>
    <s v="STOCK"/>
    <n v="1808147"/>
    <x v="215"/>
    <s v="UND"/>
    <n v="3"/>
    <m/>
    <n v="3"/>
    <n v="2216"/>
    <n v="6648"/>
    <n v="6648"/>
    <n v="2293"/>
    <n v="77"/>
    <n v="231"/>
    <n v="3.3580462276493674E-2"/>
    <m/>
    <n v="317154"/>
    <m/>
    <n v="6266"/>
    <n v="6579000000"/>
    <n v="6879"/>
    <n v="10010"/>
    <n v="-3.3580462276493674E-2"/>
    <n v="6879"/>
    <x v="1"/>
    <n v="3"/>
    <x v="134"/>
  </r>
  <r>
    <d v="2026-06-01T00:00:00"/>
    <x v="115"/>
    <s v="STOCK"/>
    <n v="6"/>
    <s v="STOCK"/>
    <n v="1808145"/>
    <x v="176"/>
    <s v="UND"/>
    <n v="3"/>
    <m/>
    <n v="3"/>
    <n v="16189.3333"/>
    <n v="48568"/>
    <n v="48568"/>
    <n v="17145"/>
    <n v="955.66669999999999"/>
    <n v="2867"/>
    <n v="5.574025469038589E-2"/>
    <m/>
    <n v="317154"/>
    <m/>
    <n v="6266"/>
    <n v="6579000000"/>
    <n v="51435"/>
    <n v="10010"/>
    <n v="-5.5740256634587329E-2"/>
    <n v="51435"/>
    <x v="1"/>
    <n v="3"/>
    <x v="110"/>
  </r>
  <r>
    <d v="2026-06-01T00:00:00"/>
    <x v="115"/>
    <s v="STOCK"/>
    <n v="6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7154"/>
    <m/>
    <n v="6266"/>
    <n v="6579000000"/>
    <n v="69684"/>
    <n v="10010"/>
    <n v="3.8172335112795584E-3"/>
    <n v="69684"/>
    <x v="1"/>
    <n v="3"/>
    <x v="111"/>
  </r>
  <r>
    <d v="2026-06-01T00:00:00"/>
    <x v="115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154"/>
    <m/>
    <n v="6266"/>
    <n v="6579000000"/>
    <n v="4832.8008300000001"/>
    <n v="10010"/>
    <n v="-0.22198326485958209"/>
    <n v="4832.8008"/>
    <x v="1"/>
    <n v="3"/>
    <x v="109"/>
  </r>
  <r>
    <d v="2026-06-01T00:00:00"/>
    <x v="115"/>
    <s v="STOCK"/>
    <n v="6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7154"/>
    <m/>
    <n v="6266"/>
    <n v="6579000000"/>
    <n v="5052"/>
    <n v="10010"/>
    <n v="2.4742695961995246E-2"/>
    <n v="5052"/>
    <x v="1"/>
    <n v="3"/>
    <x v="100"/>
  </r>
  <r>
    <d v="2026-06-01T00:00:00"/>
    <x v="115"/>
    <s v="STOCK"/>
    <n v="6"/>
    <s v="STOCK"/>
    <n v="1802176"/>
    <x v="131"/>
    <s v="UND"/>
    <n v="3"/>
    <m/>
    <n v="3"/>
    <n v="2199"/>
    <n v="6597"/>
    <n v="6597"/>
    <n v="2199"/>
    <n v="0"/>
    <n v="0"/>
    <n v="0"/>
    <m/>
    <n v="317154"/>
    <m/>
    <n v="6266"/>
    <n v="6579000000"/>
    <n v="6597"/>
    <n v="10010"/>
    <n v="0"/>
    <n v="6597"/>
    <x v="1"/>
    <n v="3"/>
    <x v="4"/>
  </r>
  <r>
    <d v="2026-06-01T00:00:00"/>
    <x v="115"/>
    <s v="STOCK"/>
    <n v="6"/>
    <s v="STOCK"/>
    <n v="1802165"/>
    <x v="211"/>
    <s v="UND"/>
    <n v="3"/>
    <m/>
    <n v="3"/>
    <n v="9122"/>
    <n v="27366"/>
    <n v="27366"/>
    <n v="9122"/>
    <n v="0"/>
    <n v="0"/>
    <n v="0"/>
    <m/>
    <n v="317154"/>
    <m/>
    <n v="6266"/>
    <n v="6579000000"/>
    <n v="27366"/>
    <n v="10010"/>
    <n v="0"/>
    <n v="27366"/>
    <x v="1"/>
    <n v="3"/>
    <x v="132"/>
  </r>
  <r>
    <d v="2026-06-01T00:00:00"/>
    <x v="115"/>
    <s v="STOCK"/>
    <n v="6"/>
    <s v="STOCK"/>
    <n v="1801154"/>
    <x v="63"/>
    <s v="UND"/>
    <n v="3"/>
    <m/>
    <n v="3"/>
    <n v="1229.6667"/>
    <n v="3689"/>
    <n v="3689"/>
    <n v="32738.5"/>
    <n v="31508.833299999998"/>
    <n v="94526.5"/>
    <n v="0.96243973710870478"/>
    <m/>
    <n v="317154"/>
    <m/>
    <n v="6266"/>
    <n v="6579000000"/>
    <n v="98215.5"/>
    <n v="10010"/>
    <n v="-0.96243973609053557"/>
    <n v="98215.5"/>
    <x v="1"/>
    <n v="3"/>
    <x v="56"/>
  </r>
  <r>
    <d v="2026-06-01T00:00:00"/>
    <x v="115"/>
    <s v="STOCK"/>
    <n v="6"/>
    <s v="STOCK"/>
    <n v="1802175"/>
    <x v="171"/>
    <s v="UND"/>
    <n v="3"/>
    <m/>
    <n v="3"/>
    <n v="1079"/>
    <n v="3237"/>
    <n v="3237"/>
    <n v="1079"/>
    <n v="0"/>
    <n v="0"/>
    <n v="0"/>
    <m/>
    <n v="317154"/>
    <m/>
    <n v="6266"/>
    <n v="6579000000"/>
    <n v="3237"/>
    <n v="10010"/>
    <n v="0"/>
    <n v="3237"/>
    <x v="1"/>
    <n v="3"/>
    <x v="105"/>
  </r>
  <r>
    <d v="2026-06-01T00:00:00"/>
    <x v="115"/>
    <s v="STOCK"/>
    <n v="6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7154"/>
    <m/>
    <n v="6266"/>
    <n v="6579000000"/>
    <n v="23127"/>
    <n v="10010"/>
    <n v="-9.5126475548063763E-4"/>
    <n v="23127"/>
    <x v="1"/>
    <n v="3"/>
    <x v="115"/>
  </r>
  <r>
    <d v="2026-06-01T00:00:00"/>
    <x v="115"/>
    <s v="STOCK"/>
    <n v="6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7154"/>
    <m/>
    <n v="6266"/>
    <n v="6579000000"/>
    <n v="35988"/>
    <n v="10010"/>
    <n v="-9.4475658552852914E-4"/>
    <n v="35988"/>
    <x v="1"/>
    <n v="3"/>
    <x v="107"/>
  </r>
  <r>
    <d v="2026-06-01T00:00:00"/>
    <x v="115"/>
    <s v="STOCK"/>
    <n v="6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7154"/>
    <m/>
    <n v="6266"/>
    <n v="6579000000"/>
    <n v="26236.363638000003"/>
    <n v="10010"/>
    <n v="-2.0405411515142864E-2"/>
    <n v="26236.363799999999"/>
    <x v="1"/>
    <n v="6"/>
    <x v="53"/>
  </r>
  <r>
    <d v="2026-06-01T00:00:00"/>
    <x v="115"/>
    <s v="STOCK"/>
    <n v="6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7154"/>
    <m/>
    <n v="6266"/>
    <n v="6579000000"/>
    <n v="19425.642857999999"/>
    <n v="10010"/>
    <n v="-7.8280159442447456E-2"/>
    <n v="19425.642599999999"/>
    <x v="1"/>
    <n v="6"/>
    <x v="54"/>
  </r>
  <r>
    <d v="2026-06-01T00:00:00"/>
    <x v="115"/>
    <s v="STOCK"/>
    <n v="6"/>
    <s v="STOCK"/>
    <n v="1802170"/>
    <x v="206"/>
    <s v="UND"/>
    <n v="3"/>
    <m/>
    <n v="3"/>
    <n v="2043"/>
    <n v="6129"/>
    <n v="6129"/>
    <n v="2043"/>
    <n v="0"/>
    <n v="0"/>
    <n v="0"/>
    <m/>
    <n v="317154"/>
    <m/>
    <n v="6266"/>
    <n v="6579000000"/>
    <n v="6129"/>
    <n v="10010"/>
    <n v="0"/>
    <n v="6129"/>
    <x v="1"/>
    <n v="3"/>
    <x v="4"/>
  </r>
  <r>
    <d v="2026-06-01T00:00:00"/>
    <x v="115"/>
    <s v="STOCK"/>
    <n v="6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7154"/>
    <m/>
    <n v="6266"/>
    <n v="6579000000"/>
    <n v="32223"/>
    <n v="10010"/>
    <n v="-1.0241132110604227E-3"/>
    <n v="32223"/>
    <x v="1"/>
    <n v="3"/>
    <x v="128"/>
  </r>
  <r>
    <d v="2026-06-01T00:00:00"/>
    <x v="115"/>
    <s v="STOCK"/>
    <n v="6"/>
    <s v="STOCK"/>
    <n v="1802167"/>
    <x v="214"/>
    <s v="UND"/>
    <n v="3"/>
    <m/>
    <n v="3"/>
    <n v="14972"/>
    <n v="44916"/>
    <n v="44916"/>
    <n v="14972"/>
    <n v="0"/>
    <n v="0"/>
    <n v="0"/>
    <m/>
    <n v="317154"/>
    <m/>
    <n v="6266"/>
    <n v="6579000000"/>
    <n v="44916"/>
    <n v="10010"/>
    <n v="0"/>
    <n v="44916"/>
    <x v="1"/>
    <n v="3"/>
    <x v="133"/>
  </r>
  <r>
    <d v="2026-06-01T00:00:00"/>
    <x v="115"/>
    <s v="STOCK"/>
    <n v="6"/>
    <s v="STOCK"/>
    <n v="1801229"/>
    <x v="23"/>
    <s v="UND"/>
    <n v="3"/>
    <m/>
    <n v="3"/>
    <n v="5283.6666999999998"/>
    <n v="15851"/>
    <n v="15851"/>
    <n v="4675.5185000000001"/>
    <n v="-608.1481"/>
    <n v="-1824.4444000000001"/>
    <n v="-0.13007073872027727"/>
    <m/>
    <n v="317154"/>
    <m/>
    <n v="6266"/>
    <n v="6579000000"/>
    <n v="14026.555557"/>
    <n v="10010"/>
    <n v="0.13007075044190278"/>
    <n v="14026.5555"/>
    <x v="1"/>
    <n v="3"/>
    <x v="20"/>
  </r>
  <r>
    <d v="2026-06-01T00:00:00"/>
    <x v="115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7224"/>
    <n v="2201701"/>
    <n v="6266"/>
    <n v="6579000000"/>
    <n v="145216.99515200002"/>
    <n v="10010"/>
    <n v="-4.6275244786224915E-3"/>
    <n v="145216.9952"/>
    <x v="1"/>
    <n v="16"/>
    <x v="4"/>
  </r>
  <r>
    <d v="2026-06-01T00:00:00"/>
    <x v="115"/>
    <s v="STOCK"/>
    <n v="6"/>
    <s v="STOCK"/>
    <n v="407115"/>
    <x v="232"/>
    <s v="UND"/>
    <n v="200"/>
    <m/>
    <n v="200"/>
    <n v="547.98500000000001"/>
    <n v="109597"/>
    <n v="109597"/>
    <n v="567"/>
    <n v="19.015000000000001"/>
    <n v="3803"/>
    <n v="3.3536155202821848E-2"/>
    <m/>
    <n v="317224"/>
    <m/>
    <n v="6266"/>
    <n v="6579000000"/>
    <n v="113400"/>
    <n v="10010"/>
    <n v="-3.3536155202821848E-2"/>
    <n v="113400"/>
    <x v="1"/>
    <n v="200"/>
    <x v="4"/>
  </r>
  <r>
    <d v="2026-06-01T00:00:00"/>
    <x v="115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224"/>
    <m/>
    <n v="6266"/>
    <n v="6579000000"/>
    <n v="1947659.9999999993"/>
    <n v="10010"/>
    <n v="-5.1855560005389863E-5"/>
    <n v="1947660"/>
    <x v="0"/>
    <n v="130"/>
    <x v="99"/>
  </r>
  <r>
    <d v="2026-05-29T00:00:00"/>
    <x v="115"/>
    <s v="STOCK"/>
    <n v="6"/>
    <s v="STOCK"/>
    <n v="1101298"/>
    <x v="265"/>
    <s v="UND"/>
    <n v="3"/>
    <m/>
    <n v="3"/>
    <n v="73070"/>
    <n v="219210"/>
    <n v="219210"/>
    <m/>
    <m/>
    <n v="-219210"/>
    <m/>
    <m/>
    <n v="317077"/>
    <n v="219210"/>
    <n v="6266"/>
    <n v="6579000000"/>
    <s v=""/>
    <n v="10010"/>
    <e v="#DIV/0!"/>
    <n v="0"/>
    <x v="1"/>
    <n v="3"/>
    <x v="100"/>
  </r>
  <r>
    <d v="2026-05-29T00:00:00"/>
    <x v="115"/>
    <s v="STOCK"/>
    <n v="6"/>
    <s v="STOCK"/>
    <n v="1402016"/>
    <x v="264"/>
    <s v="UND"/>
    <n v="3"/>
    <n v="3"/>
    <n v="0"/>
    <n v="754.33330000000001"/>
    <n v="2263"/>
    <n v="0"/>
    <m/>
    <m/>
    <n v="0"/>
    <m/>
    <m/>
    <n v="317077"/>
    <m/>
    <m/>
    <m/>
    <s v=""/>
    <m/>
    <e v="#DIV/0!"/>
    <n v="0"/>
    <x v="1"/>
    <n v="0"/>
    <x v="100"/>
  </r>
  <r>
    <d v="2026-06-02T00:00:00"/>
    <x v="114"/>
    <s v="STOCK"/>
    <n v="5"/>
    <s v="STOCK"/>
    <n v="304049"/>
    <x v="159"/>
    <s v="PL"/>
    <n v="40"/>
    <m/>
    <n v="40"/>
    <n v="14981.225"/>
    <n v="599249"/>
    <n v="599249"/>
    <n v="14982"/>
    <n v="0.77500000000000002"/>
    <n v="31"/>
    <n v="5.1728741155544025E-5"/>
    <m/>
    <n v="317354"/>
    <n v="7343320"/>
    <n v="6237"/>
    <n v="6579000000"/>
    <n v="599279.99999999977"/>
    <n v="10010"/>
    <n v="-5.1728741156029646E-5"/>
    <n v="599280"/>
    <x v="0"/>
    <n v="40"/>
    <x v="99"/>
  </r>
  <r>
    <d v="2026-06-02T00:00:00"/>
    <x v="114"/>
    <s v="STOCK"/>
    <n v="5"/>
    <s v="STOCK"/>
    <n v="407090"/>
    <x v="270"/>
    <s v="0"/>
    <n v="704"/>
    <m/>
    <n v="704"/>
    <n v="43.805399999999999"/>
    <n v="30839"/>
    <n v="30839"/>
    <m/>
    <m/>
    <n v="-30839"/>
    <m/>
    <m/>
    <n v="317354"/>
    <m/>
    <n v="6237"/>
    <n v="6579000000"/>
    <s v=""/>
    <n v="10010"/>
    <e v="#DIV/0!"/>
    <n v="0"/>
    <x v="1"/>
    <n v="704"/>
    <x v="100"/>
  </r>
  <r>
    <d v="2026-06-02T00:00:00"/>
    <x v="114"/>
    <s v="STOCK"/>
    <n v="5"/>
    <s v="STOCK"/>
    <n v="407120"/>
    <x v="271"/>
    <s v="0"/>
    <n v="64"/>
    <m/>
    <n v="64"/>
    <n v="1350"/>
    <n v="86400"/>
    <n v="86400"/>
    <n v="12677"/>
    <n v="11327"/>
    <n v="724928"/>
    <n v="0.8935079277431569"/>
    <m/>
    <n v="317354"/>
    <m/>
    <n v="6237"/>
    <n v="6579000000"/>
    <n v="811328"/>
    <n v="10010"/>
    <n v="-0.8935079277431569"/>
    <n v="811328"/>
    <x v="1"/>
    <n v="64"/>
    <x v="100"/>
  </r>
  <r>
    <d v="2026-06-02T00:00:00"/>
    <x v="114"/>
    <s v="STOCK"/>
    <n v="5"/>
    <s v="STOCK"/>
    <n v="407717"/>
    <x v="272"/>
    <s v="UND"/>
    <n v="128"/>
    <m/>
    <n v="128"/>
    <n v="178.1953"/>
    <n v="22809"/>
    <n v="22809"/>
    <n v="181"/>
    <n v="2.8047"/>
    <n v="359"/>
    <n v="1.5495511049723756E-2"/>
    <m/>
    <n v="317354"/>
    <m/>
    <n v="6237"/>
    <n v="6579000000"/>
    <n v="23168"/>
    <n v="10010"/>
    <n v="-1.5495580110497221E-2"/>
    <n v="23168"/>
    <x v="1"/>
    <n v="128"/>
    <x v="4"/>
  </r>
  <r>
    <d v="2026-06-02T00:00:00"/>
    <x v="114"/>
    <s v="STOCK"/>
    <n v="5"/>
    <s v="STOCK"/>
    <n v="412249"/>
    <x v="10"/>
    <s v="UND"/>
    <n v="672"/>
    <m/>
    <n v="672"/>
    <n v="1719.8779999999999"/>
    <n v="1155758"/>
    <n v="1155758"/>
    <n v="1719.7191"/>
    <n v="-0.15890000000000001"/>
    <n v="-106.785"/>
    <n v="-9.2402412259140427E-5"/>
    <m/>
    <n v="317354"/>
    <m/>
    <n v="6237"/>
    <n v="6579000000"/>
    <n v="1155651.2150400002"/>
    <n v="10010"/>
    <n v="9.23988109452894E-5"/>
    <n v="1155651.2352"/>
    <x v="1"/>
    <n v="672"/>
    <x v="4"/>
  </r>
  <r>
    <d v="2026-06-02T00:00:00"/>
    <x v="114"/>
    <s v="STOCK"/>
    <n v="5"/>
    <s v="STOCK"/>
    <n v="407245"/>
    <x v="273"/>
    <s v="0"/>
    <n v="64"/>
    <m/>
    <n v="64"/>
    <n v="50.6875"/>
    <n v="3244"/>
    <n v="3244"/>
    <m/>
    <m/>
    <n v="-3244"/>
    <m/>
    <m/>
    <n v="317354"/>
    <m/>
    <n v="6237"/>
    <n v="6579000000"/>
    <s v=""/>
    <n v="10010"/>
    <e v="#DIV/0!"/>
    <n v="0"/>
    <x v="1"/>
    <n v="64"/>
    <x v="100"/>
  </r>
  <r>
    <d v="2026-06-02T00:00:00"/>
    <x v="114"/>
    <s v="STOCK"/>
    <n v="5"/>
    <s v="STOCK"/>
    <n v="410083"/>
    <x v="274"/>
    <s v="0"/>
    <n v="32"/>
    <m/>
    <n v="32"/>
    <n v="4929.4062000000004"/>
    <n v="157741"/>
    <n v="157741"/>
    <n v="5168"/>
    <n v="238.59379999999999"/>
    <n v="7635"/>
    <n v="4.6167521284829718E-2"/>
    <m/>
    <n v="317354"/>
    <m/>
    <n v="6237"/>
    <n v="6579000000"/>
    <n v="165376"/>
    <n v="10010"/>
    <n v="-4.6167530959752255E-2"/>
    <n v="165376"/>
    <x v="1"/>
    <n v="32"/>
    <x v="148"/>
  </r>
  <r>
    <d v="2026-06-02T00:00:00"/>
    <x v="114"/>
    <s v="STOCK"/>
    <n v="5"/>
    <s v="STOCK"/>
    <n v="412299"/>
    <x v="275"/>
    <s v="0"/>
    <n v="128"/>
    <m/>
    <n v="128"/>
    <n v="15026"/>
    <n v="1923328"/>
    <n v="1923328"/>
    <n v="12677"/>
    <n v="-2349"/>
    <n v="-300672"/>
    <n v="-0.185296205726907"/>
    <m/>
    <n v="317354"/>
    <m/>
    <n v="6237"/>
    <n v="6579000000"/>
    <n v="1622656"/>
    <n v="10010"/>
    <n v="0.185296205726907"/>
    <n v="1622656"/>
    <x v="1"/>
    <n v="128"/>
    <x v="100"/>
  </r>
  <r>
    <d v="2026-06-02T00:00:00"/>
    <x v="114"/>
    <s v="STOCK"/>
    <n v="5"/>
    <s v="STOCK"/>
    <n v="412300"/>
    <x v="276"/>
    <s v="0"/>
    <n v="128"/>
    <m/>
    <n v="128"/>
    <n v="19576"/>
    <n v="2505728"/>
    <n v="2505728"/>
    <n v="12677"/>
    <n v="-6899"/>
    <n v="-883072"/>
    <n v="-0.54421393074071156"/>
    <m/>
    <n v="317354"/>
    <m/>
    <n v="6237"/>
    <n v="6579000000"/>
    <n v="1622656"/>
    <n v="10010"/>
    <n v="0.54421393074071156"/>
    <n v="1622656"/>
    <x v="1"/>
    <n v="128"/>
    <x v="100"/>
  </r>
  <r>
    <d v="2026-06-02T00:00:00"/>
    <x v="111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7354"/>
    <m/>
    <n v="6237"/>
    <n v="6579000000"/>
    <n v="150703.97545999996"/>
    <n v="10010"/>
    <n v="3.186677713090557E-4"/>
    <n v="150703.9755"/>
    <x v="1"/>
    <n v="1"/>
    <x v="4"/>
  </r>
  <r>
    <d v="2026-06-02T00:00:00"/>
    <x v="114"/>
    <s v="STOCK"/>
    <n v="5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7354"/>
    <m/>
    <n v="6237"/>
    <n v="6579000000"/>
    <n v="95779"/>
    <n v="10010"/>
    <n v="1.0440702032804685E-5"/>
    <n v="95779"/>
    <x v="1"/>
    <n v="2"/>
    <x v="4"/>
  </r>
  <r>
    <d v="2026-06-02T00:00:00"/>
    <x v="114"/>
    <s v="STOCK"/>
    <n v="5"/>
    <s v="STOCK"/>
    <n v="602254"/>
    <x v="142"/>
    <s v="TIN"/>
    <n v="2"/>
    <m/>
    <n v="2"/>
    <n v="46060"/>
    <n v="92120"/>
    <n v="92120"/>
    <n v="46060"/>
    <n v="0"/>
    <n v="0"/>
    <n v="0"/>
    <m/>
    <n v="317354"/>
    <m/>
    <n v="6237"/>
    <n v="6579000000"/>
    <n v="92120"/>
    <n v="10010"/>
    <n v="0"/>
    <n v="92120"/>
    <x v="1"/>
    <n v="2"/>
    <x v="4"/>
  </r>
  <r>
    <d v="2026-06-02T00:00:00"/>
    <x v="114"/>
    <s v="STOCK"/>
    <n v="5"/>
    <s v="STOCK"/>
    <n v="304002"/>
    <x v="12"/>
    <s v="PL"/>
    <n v="24"/>
    <m/>
    <n v="24"/>
    <n v="21648.833299999998"/>
    <n v="519572"/>
    <n v="519572"/>
    <n v="21246.5072"/>
    <n v="-402.32619999999997"/>
    <n v="-9655.8282999999992"/>
    <n v="-1.8936109236031368E-2"/>
    <m/>
    <n v="317354"/>
    <m/>
    <n v="6237"/>
    <n v="6579000000"/>
    <n v="509916.17167200008"/>
    <n v="10010"/>
    <n v="1.8936105413128724E-2"/>
    <n v="509916.1728"/>
    <x v="0"/>
    <n v="24"/>
    <x v="10"/>
  </r>
  <r>
    <d v="2026-06-02T00:00:00"/>
    <x v="114"/>
    <s v="STOCK"/>
    <n v="5"/>
    <s v="STOCK"/>
    <n v="2508169"/>
    <x v="161"/>
    <s v="KIT"/>
    <n v="16"/>
    <m/>
    <n v="16"/>
    <n v="13952"/>
    <n v="223232"/>
    <n v="223232"/>
    <n v="13952"/>
    <n v="0"/>
    <n v="0"/>
    <n v="0"/>
    <m/>
    <n v="317350"/>
    <n v="9842227"/>
    <n v="6237"/>
    <n v="6579000000"/>
    <n v="223232"/>
    <n v="10010"/>
    <n v="0"/>
    <n v="223232"/>
    <x v="1"/>
    <n v="16"/>
    <x v="4"/>
  </r>
  <r>
    <d v="2026-06-02T00:00:00"/>
    <x v="114"/>
    <s v="STOCK"/>
    <n v="5"/>
    <s v="STOCK"/>
    <n v="1802164"/>
    <x v="160"/>
    <s v="UND"/>
    <n v="16"/>
    <m/>
    <n v="16"/>
    <n v="138041"/>
    <n v="2208656"/>
    <n v="2208656"/>
    <n v="138041"/>
    <n v="0"/>
    <n v="0"/>
    <n v="0"/>
    <m/>
    <n v="317350"/>
    <m/>
    <n v="6237"/>
    <n v="6579000000"/>
    <n v="2208656"/>
    <n v="10010"/>
    <n v="0"/>
    <n v="2208656"/>
    <x v="1"/>
    <n v="16"/>
    <x v="4"/>
  </r>
  <r>
    <d v="2026-06-02T00:00:00"/>
    <x v="114"/>
    <s v="STOCK"/>
    <n v="5"/>
    <s v="STOCK"/>
    <n v="404793"/>
    <x v="269"/>
    <s v="TRA"/>
    <n v="16"/>
    <m/>
    <n v="16"/>
    <n v="3400"/>
    <n v="54400"/>
    <n v="54400"/>
    <n v="13713.2695"/>
    <n v="10313.2695"/>
    <n v="165012.31210000001"/>
    <n v="0.75206496167757364"/>
    <m/>
    <n v="317350"/>
    <m/>
    <n v="6237"/>
    <n v="6579000000"/>
    <n v="219412.312064"/>
    <n v="10010"/>
    <n v="-0.75206496160525393"/>
    <n v="219412.31200000001"/>
    <x v="1"/>
    <n v="16"/>
    <x v="147"/>
  </r>
  <r>
    <d v="2026-06-02T00:00:00"/>
    <x v="114"/>
    <s v="STOCK"/>
    <n v="5"/>
    <s v="STOCK"/>
    <n v="1103107"/>
    <x v="220"/>
    <s v="ML"/>
    <n v="84"/>
    <m/>
    <n v="84"/>
    <n v="1200"/>
    <n v="100800"/>
    <n v="100800"/>
    <n v="5092"/>
    <n v="3892"/>
    <n v="326928"/>
    <n v="0.76433621366849946"/>
    <m/>
    <n v="317350"/>
    <m/>
    <n v="6237"/>
    <n v="6579000000"/>
    <n v="427728"/>
    <n v="10010"/>
    <n v="-0.76433621366849958"/>
    <n v="427728"/>
    <x v="1"/>
    <n v="84"/>
    <x v="100"/>
  </r>
  <r>
    <d v="2026-06-02T00:00:00"/>
    <x v="114"/>
    <s v="STOCK"/>
    <n v="5"/>
    <s v="STOCK"/>
    <n v="1103105"/>
    <x v="219"/>
    <s v="ML"/>
    <n v="93"/>
    <m/>
    <n v="93"/>
    <n v="1200"/>
    <n v="111600"/>
    <n v="111600"/>
    <n v="5092"/>
    <n v="3892"/>
    <n v="361956"/>
    <n v="0.76433621366849946"/>
    <m/>
    <n v="317350"/>
    <m/>
    <n v="6237"/>
    <n v="6579000000"/>
    <n v="473556"/>
    <n v="10010"/>
    <n v="-0.76433621366849958"/>
    <n v="473556"/>
    <x v="1"/>
    <n v="93"/>
    <x v="100"/>
  </r>
  <r>
    <d v="2026-06-02T00:00:00"/>
    <x v="114"/>
    <s v="STOCK"/>
    <n v="5"/>
    <s v="STOCK"/>
    <s v="140209x"/>
    <x v="59"/>
    <s v="UND"/>
    <n v="64"/>
    <m/>
    <n v="64"/>
    <n v="3021.2811999999999"/>
    <n v="193362"/>
    <n v="193362"/>
    <n v="3021.2829000000002"/>
    <n v="1.6000000000000001E-3"/>
    <n v="0.1036"/>
    <n v="5.358650847245703E-7"/>
    <m/>
    <n v="317350"/>
    <m/>
    <n v="6237"/>
    <n v="6579000000"/>
    <n v="193362.10361600004"/>
    <n v="10010"/>
    <n v="-5.6267488233405282E-7"/>
    <n v="193362.10560000001"/>
    <x v="1"/>
    <n v="64"/>
    <x v="52"/>
  </r>
  <r>
    <d v="2026-06-02T00:00:00"/>
    <x v="114"/>
    <s v="STOCK"/>
    <n v="5"/>
    <s v="STOCK"/>
    <n v="704024"/>
    <x v="199"/>
    <s v="UND"/>
    <n v="64"/>
    <m/>
    <n v="64"/>
    <n v="317.9375"/>
    <n v="20348"/>
    <n v="20348"/>
    <n v="363"/>
    <n v="45.0625"/>
    <n v="2884"/>
    <n v="0.12413911845730027"/>
    <m/>
    <n v="317350"/>
    <m/>
    <n v="6237"/>
    <n v="6579000000"/>
    <n v="23232"/>
    <n v="10010"/>
    <n v="-0.12413911845730027"/>
    <n v="23232"/>
    <x v="1"/>
    <n v="64"/>
    <x v="123"/>
  </r>
  <r>
    <d v="2026-06-02T00:00:00"/>
    <x v="114"/>
    <s v="STOCK"/>
    <n v="5"/>
    <s v="STOCK"/>
    <n v="704022"/>
    <x v="198"/>
    <s v="UND"/>
    <n v="304"/>
    <m/>
    <n v="304"/>
    <n v="258.38490000000002"/>
    <n v="78549"/>
    <n v="78549"/>
    <n v="306"/>
    <n v="47.615099999999998"/>
    <n v="14475"/>
    <n v="0.15560500515995879"/>
    <m/>
    <n v="317350"/>
    <m/>
    <n v="6237"/>
    <n v="6579000000"/>
    <n v="93024.000000000015"/>
    <n v="10010"/>
    <n v="-0.15560490196078425"/>
    <n v="93024"/>
    <x v="1"/>
    <n v="304"/>
    <x v="122"/>
  </r>
  <r>
    <d v="2026-06-02T00:00:00"/>
    <x v="114"/>
    <s v="STOCK"/>
    <n v="5"/>
    <s v="STOCK"/>
    <n v="307032"/>
    <x v="121"/>
    <s v="TRA"/>
    <n v="160"/>
    <m/>
    <n v="160"/>
    <n v="2181.3249999999998"/>
    <n v="349012"/>
    <n v="349012"/>
    <n v="2378.375"/>
    <n v="197.05"/>
    <n v="31528.006600000001"/>
    <n v="8.2850701677877212E-2"/>
    <m/>
    <n v="317350"/>
    <m/>
    <n v="6237"/>
    <n v="6579000000"/>
    <n v="380540.00655999989"/>
    <n v="10010"/>
    <n v="-8.285068586745159E-2"/>
    <n v="380540"/>
    <x v="1"/>
    <n v="160"/>
    <x v="4"/>
  </r>
  <r>
    <d v="2026-06-02T00:00:00"/>
    <x v="114"/>
    <s v="STOCK"/>
    <n v="5"/>
    <s v="STOCK"/>
    <n v="307096"/>
    <x v="197"/>
    <s v="TRA"/>
    <n v="1280"/>
    <m/>
    <n v="1280"/>
    <n v="1651.4164000000001"/>
    <n v="2113813"/>
    <n v="2113813"/>
    <n v="2095.3501000000001"/>
    <n v="443.93369999999999"/>
    <n v="568235.16509999998"/>
    <n v="0.21186612996361859"/>
    <m/>
    <n v="317350"/>
    <m/>
    <n v="6237"/>
    <n v="6579000000"/>
    <n v="2682048.1651199986"/>
    <n v="10010"/>
    <n v="-0.21186612203850805"/>
    <n v="2682048.128"/>
    <x v="0"/>
    <n v="1280"/>
    <x v="121"/>
  </r>
  <r>
    <d v="2026-06-02T00:00:00"/>
    <x v="114"/>
    <s v="STOCK"/>
    <n v="5"/>
    <s v="STOCK"/>
    <n v="307031"/>
    <x v="36"/>
    <s v="UND"/>
    <n v="168"/>
    <m/>
    <n v="168"/>
    <n v="2700"/>
    <n v="453600"/>
    <n v="453600"/>
    <n v="2699.9985999999999"/>
    <n v="-1.4E-3"/>
    <n v="-0.2344"/>
    <n v="-5.1666693335944687E-7"/>
    <m/>
    <n v="317350"/>
    <m/>
    <n v="6237"/>
    <n v="6579000000"/>
    <n v="453599.76564000006"/>
    <n v="10010"/>
    <n v="5.1851878741837811E-7"/>
    <n v="453599.7648"/>
    <x v="1"/>
    <n v="168"/>
    <x v="32"/>
  </r>
  <r>
    <d v="2026-06-02T00:00:00"/>
    <x v="114"/>
    <s v="STOCK"/>
    <n v="5"/>
    <s v="STOCK"/>
    <n v="1901038"/>
    <x v="14"/>
    <s v="M2"/>
    <n v="135"/>
    <m/>
    <n v="135"/>
    <n v="4992.6369999999997"/>
    <n v="674006"/>
    <n v="674006"/>
    <n v="4197.4179000000004"/>
    <n v="-795.2192"/>
    <n v="-107354.58689999999"/>
    <n v="-0.18945437069141841"/>
    <m/>
    <n v="317350"/>
    <m/>
    <n v="6237"/>
    <n v="6579000000"/>
    <n v="566651.41312500008"/>
    <n v="10010"/>
    <n v="0.18945435478321071"/>
    <n v="566651.41650000005"/>
    <x v="0"/>
    <n v="135"/>
    <x v="12"/>
  </r>
  <r>
    <d v="2026-06-02T00:00:00"/>
    <x v="114"/>
    <s v="STOCK"/>
    <n v="5"/>
    <s v="STOCK"/>
    <n v="1901008"/>
    <x v="6"/>
    <s v="M2"/>
    <n v="216"/>
    <m/>
    <n v="216"/>
    <n v="2057.0787"/>
    <n v="444329"/>
    <n v="444329"/>
    <n v="2112.7957999999999"/>
    <n v="55.717100000000002"/>
    <n v="12034.888300000001"/>
    <n v="2.6371254548164313E-2"/>
    <m/>
    <n v="317350"/>
    <m/>
    <n v="6237"/>
    <n v="6579000000"/>
    <n v="456363.88826400001"/>
    <n v="10010"/>
    <n v="-2.6371265978472624E-2"/>
    <n v="456363.89279999997"/>
    <x v="0"/>
    <n v="216"/>
    <x v="6"/>
  </r>
  <r>
    <d v="2026-06-02T00:00:00"/>
    <x v="114"/>
    <s v="STOCK"/>
    <n v="5"/>
    <s v="STOCK"/>
    <n v="1902013"/>
    <x v="144"/>
    <s v="RLL"/>
    <n v="4"/>
    <m/>
    <n v="4"/>
    <n v="39232.5"/>
    <n v="156930"/>
    <n v="156930"/>
    <n v="29779"/>
    <n v="-9453.5"/>
    <n v="-37814"/>
    <n v="-0.3174552537022734"/>
    <m/>
    <n v="317350"/>
    <m/>
    <n v="6237"/>
    <n v="6579000000"/>
    <n v="119116"/>
    <n v="10010"/>
    <n v="0.3174552537022734"/>
    <n v="119116"/>
    <x v="0"/>
    <n v="4"/>
    <x v="4"/>
  </r>
  <r>
    <d v="2026-06-02T00:00:00"/>
    <x v="114"/>
    <s v="STOCK"/>
    <n v="5"/>
    <s v="STOCK"/>
    <n v="701096"/>
    <x v="135"/>
    <s v="PL"/>
    <n v="124"/>
    <m/>
    <n v="124"/>
    <n v="16127.1613"/>
    <n v="1999768"/>
    <n v="1999768"/>
    <n v="16019.885700000001"/>
    <n v="-107.2756"/>
    <n v="-13302.1751"/>
    <n v="-6.6964026730243469E-3"/>
    <m/>
    <n v="317350"/>
    <m/>
    <n v="6237"/>
    <n v="6579000000"/>
    <n v="1986465.8249400004"/>
    <n v="10010"/>
    <n v="6.6964023345059834E-3"/>
    <n v="1986465.8268000002"/>
    <x v="0"/>
    <n v="124"/>
    <x v="94"/>
  </r>
  <r>
    <d v="2026-06-02T00:00:00"/>
    <x v="114"/>
    <s v="STOCK"/>
    <n v="5"/>
    <s v="STOCK"/>
    <n v="304007"/>
    <x v="49"/>
    <s v="PL"/>
    <n v="28"/>
    <m/>
    <n v="28"/>
    <n v="11200.142900000001"/>
    <n v="313604"/>
    <n v="313604"/>
    <n v="11444.352999999999"/>
    <n v="244.21019999999999"/>
    <n v="6837.8846000000003"/>
    <n v="2.1338922732257785E-2"/>
    <m/>
    <n v="317350"/>
    <m/>
    <n v="6237"/>
    <n v="6579000000"/>
    <n v="320441.88461599988"/>
    <n v="10010"/>
    <n v="-2.1338917106104506E-2"/>
    <n v="320441.88399999996"/>
    <x v="0"/>
    <n v="28"/>
    <x v="43"/>
  </r>
  <r>
    <d v="2026-06-02T00:00:00"/>
    <x v="114"/>
    <s v="STOCK"/>
    <n v="5"/>
    <s v="STOCK"/>
    <n v="304101"/>
    <x v="0"/>
    <s v="PL"/>
    <n v="36"/>
    <m/>
    <n v="36"/>
    <n v="9617.1666999999998"/>
    <n v="346218"/>
    <n v="346218"/>
    <n v="9657.5879999999997"/>
    <n v="40.421300000000002"/>
    <n v="1455.1661999999999"/>
    <n v="4.1854429431666274E-3"/>
    <m/>
    <n v="317350"/>
    <m/>
    <n v="6237"/>
    <n v="6579000000"/>
    <n v="347673.16620000015"/>
    <n v="10010"/>
    <n v="-4.1854446472556059E-3"/>
    <n v="347673.16800000001"/>
    <x v="0"/>
    <n v="36"/>
    <x v="0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75"/>
    <n v="1228206"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375"/>
    <m/>
    <n v="6266"/>
    <n v="6579000000"/>
    <n v="533202.50991891895"/>
    <n v="10010"/>
    <n v="-0.96749640146098337"/>
    <n v="533202.5"/>
    <x v="1"/>
    <n v="5000"/>
    <x v="63"/>
  </r>
  <r>
    <d v="2026-06-02T00:00:00"/>
    <x v="116"/>
    <s v="STOCK"/>
    <n v="6"/>
    <s v="STOCK"/>
    <n v="617057"/>
    <x v="277"/>
    <s v="UND"/>
    <n v="5"/>
    <m/>
    <n v="5"/>
    <n v="1698.4"/>
    <n v="8492"/>
    <n v="8492"/>
    <n v="2042.1197"/>
    <n v="343.71969999999999"/>
    <n v="1718.5985000000001"/>
    <n v="0.1683151604629782"/>
    <m/>
    <n v="317375"/>
    <m/>
    <n v="6266"/>
    <n v="6579000000"/>
    <n v="10210.598529999999"/>
    <n v="10010"/>
    <n v="-0.16831515801938537"/>
    <n v="10210.5985"/>
    <x v="1"/>
    <n v="5"/>
    <x v="82"/>
  </r>
  <r>
    <d v="2026-06-02T00:00:00"/>
    <x v="116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375"/>
    <m/>
    <n v="6266"/>
    <n v="6579000000"/>
    <n v="4601.7689049999999"/>
    <n v="10010"/>
    <n v="-0.24507292738944528"/>
    <n v="4601.7690000000002"/>
    <x v="1"/>
    <n v="5"/>
    <x v="4"/>
  </r>
  <r>
    <d v="2026-06-02T00:00:00"/>
    <x v="116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375"/>
    <m/>
    <n v="6266"/>
    <n v="6579000000"/>
    <n v="28575.132740000001"/>
    <n v="10010"/>
    <n v="2.3750370645694318E-3"/>
    <n v="28575.133000000002"/>
    <x v="1"/>
    <n v="10"/>
    <x v="81"/>
  </r>
  <r>
    <d v="2026-06-02T00:00:00"/>
    <x v="116"/>
    <s v="STOCK"/>
    <n v="6"/>
    <s v="STOCK"/>
    <n v="707023"/>
    <x v="263"/>
    <s v="UND"/>
    <n v="5"/>
    <m/>
    <n v="5"/>
    <n v="16734.400000000001"/>
    <n v="83672"/>
    <n v="83672"/>
    <m/>
    <m/>
    <n v="-83672"/>
    <m/>
    <m/>
    <n v="317375"/>
    <m/>
    <n v="6266"/>
    <n v="6579000000"/>
    <s v=""/>
    <n v="10010"/>
    <e v="#DIV/0!"/>
    <n v="0"/>
    <x v="1"/>
    <n v="5"/>
    <x v="100"/>
  </r>
  <r>
    <d v="2026-06-02T00:00:00"/>
    <x v="116"/>
    <s v="STOCK"/>
    <n v="6"/>
    <s v="STOCK"/>
    <n v="1902003"/>
    <x v="105"/>
    <s v="RLL"/>
    <n v="7"/>
    <m/>
    <n v="7"/>
    <n v="150752.28570000001"/>
    <n v="1055266"/>
    <n v="1055266"/>
    <n v="150703.9755"/>
    <n v="-48.310299999999998"/>
    <n v="-338.17180000000002"/>
    <n v="-3.2056390110674207E-4"/>
    <m/>
    <n v="317375"/>
    <m/>
    <n v="6266"/>
    <n v="6579000000"/>
    <n v="1054927.8282199998"/>
    <n v="10010"/>
    <n v="3.2056354080723748E-4"/>
    <n v="1054927.8285000001"/>
    <x v="1"/>
    <n v="7"/>
    <x v="4"/>
  </r>
  <r>
    <d v="2026-06-02T00:00:00"/>
    <x v="116"/>
    <s v="STOCK"/>
    <n v="6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7390"/>
    <n v="3964953"/>
    <n v="6266"/>
    <n v="6579000000"/>
    <n v="946350.47999999986"/>
    <n v="10010"/>
    <n v="-5.9588287805447206E-2"/>
    <n v="946350.4"/>
    <x v="0"/>
    <n v="2000"/>
    <x v="8"/>
  </r>
  <r>
    <d v="2026-06-02T00:00:00"/>
    <x v="116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0"/>
    <m/>
    <n v="6266"/>
    <n v="6579000000"/>
    <n v="1066405.0198378379"/>
    <n v="10010"/>
    <n v="-0.96749640146098337"/>
    <n v="1066405"/>
    <x v="1"/>
    <n v="10000"/>
    <x v="63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0"/>
    <m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701096"/>
    <x v="135"/>
    <s v="PL"/>
    <n v="140"/>
    <m/>
    <n v="140"/>
    <n v="16104.7857"/>
    <n v="2254670"/>
    <n v="2254670"/>
    <n v="16019.885700000001"/>
    <n v="-84.9"/>
    <n v="-11886.0041"/>
    <n v="-5.2996651134162463E-3"/>
    <m/>
    <n v="317390"/>
    <m/>
    <n v="6266"/>
    <n v="6579000000"/>
    <n v="2242783.9959000004"/>
    <n v="10010"/>
    <n v="5.2996632803690748E-3"/>
    <n v="2242783.9980000001"/>
    <x v="0"/>
    <n v="140"/>
    <x v="94"/>
  </r>
  <r>
    <d v="2026-06-02T00:00:00"/>
    <x v="116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7390"/>
    <m/>
    <n v="6266"/>
    <n v="6579000000"/>
    <n v="4880.2160000000003"/>
    <n v="10010"/>
    <n v="-4.0981926970292619E-5"/>
    <n v="4880.2000000000007"/>
    <x v="1"/>
    <n v="1000"/>
    <x v="64"/>
  </r>
  <r>
    <d v="2026-06-02T00:00:00"/>
    <x v="116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7390"/>
    <m/>
    <n v="6266"/>
    <n v="6579000000"/>
    <n v="749454"/>
    <n v="10010"/>
    <n v="0"/>
    <n v="749454"/>
    <x v="1"/>
    <n v="6"/>
    <x v="24"/>
  </r>
  <r>
    <d v="2026-06-02T00:00:00"/>
    <x v="116"/>
    <s v="STOCK"/>
    <n v="6"/>
    <s v="STOCK"/>
    <n v="404745"/>
    <x v="184"/>
    <s v="UND"/>
    <n v="4"/>
    <m/>
    <n v="4"/>
    <n v="8826"/>
    <n v="35304"/>
    <n v="35304"/>
    <m/>
    <m/>
    <n v="-35304"/>
    <m/>
    <m/>
    <n v="317395"/>
    <n v="1057370"/>
    <n v="6266"/>
    <n v="6579000000"/>
    <s v=""/>
    <n v="10010"/>
    <e v="#DIV/0!"/>
    <n v="0"/>
    <x v="1"/>
    <n v="4"/>
    <x v="100"/>
  </r>
  <r>
    <d v="2026-06-02T00:00:00"/>
    <x v="116"/>
    <s v="STOCK"/>
    <n v="6"/>
    <s v="STOCK"/>
    <n v="2304056"/>
    <x v="168"/>
    <s v="UND"/>
    <n v="48"/>
    <m/>
    <n v="48"/>
    <n v="3163.125"/>
    <n v="151830"/>
    <n v="151830"/>
    <n v="2979"/>
    <n v="-184.125"/>
    <n v="-8838"/>
    <n v="-6.1807653575025177E-2"/>
    <m/>
    <n v="317395"/>
    <m/>
    <n v="6266"/>
    <n v="6579000000"/>
    <n v="142992"/>
    <n v="10010"/>
    <n v="6.1807653575025177E-2"/>
    <n v="142992"/>
    <x v="1"/>
    <n v="48"/>
    <x v="100"/>
  </r>
  <r>
    <d v="2026-06-02T00:00:00"/>
    <x v="116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5"/>
    <m/>
    <n v="6266"/>
    <n v="6579000000"/>
    <n v="1066405.0198378379"/>
    <n v="10010"/>
    <n v="-0.96749640146098337"/>
    <n v="1066405"/>
    <x v="1"/>
    <n v="10000"/>
    <x v="63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5"/>
    <m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2505058"/>
    <x v="99"/>
    <s v="UND"/>
    <n v="15"/>
    <m/>
    <n v="15"/>
    <n v="16469.666700000002"/>
    <n v="247045"/>
    <n v="247045"/>
    <n v="17870.144100000001"/>
    <n v="1400.4774"/>
    <n v="21007.161"/>
    <n v="7.8369676036421171E-2"/>
    <m/>
    <n v="317395"/>
    <m/>
    <n v="6266"/>
    <n v="6579000000"/>
    <n v="268052.16102"/>
    <n v="10010"/>
    <n v="-7.8369675821472515E-2"/>
    <n v="268052.16150000005"/>
    <x v="1"/>
    <n v="15"/>
    <x v="87"/>
  </r>
  <r>
    <d v="2026-06-02T00:00:00"/>
    <x v="116"/>
    <s v="STOCK"/>
    <n v="6"/>
    <s v="STOCK"/>
    <n v="1805340"/>
    <x v="188"/>
    <s v="UND"/>
    <n v="4"/>
    <m/>
    <n v="4"/>
    <n v="19400"/>
    <n v="77600"/>
    <n v="77600"/>
    <n v="19400"/>
    <n v="0"/>
    <n v="0"/>
    <n v="0"/>
    <m/>
    <n v="317395"/>
    <m/>
    <n v="6266"/>
    <n v="6579000000"/>
    <n v="77600"/>
    <n v="10010"/>
    <n v="0"/>
    <n v="77600"/>
    <x v="1"/>
    <n v="4"/>
    <x v="117"/>
  </r>
  <r>
    <d v="2026-06-02T00:00:00"/>
    <x v="116"/>
    <s v="STOCK"/>
    <n v="6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7395"/>
    <m/>
    <n v="6266"/>
    <n v="6579000000"/>
    <n v="6327.1756260000002"/>
    <n v="10010"/>
    <n v="8.0102804165934655E-2"/>
    <n v="6327.1755000000003"/>
    <x v="1"/>
    <n v="3"/>
    <x v="28"/>
  </r>
  <r>
    <d v="2026-06-02T00:00:00"/>
    <x v="116"/>
    <s v="STOCK"/>
    <n v="6"/>
    <s v="STOCK"/>
    <n v="1802659"/>
    <x v="109"/>
    <s v="UND"/>
    <n v="7"/>
    <m/>
    <n v="7"/>
    <n v="2446.7143000000001"/>
    <n v="17127"/>
    <n v="17127"/>
    <n v="2929.4632000000001"/>
    <n v="482.74889999999999"/>
    <n v="3379.2420999999999"/>
    <n v="0.16479090066976504"/>
    <m/>
    <n v="317395"/>
    <m/>
    <n v="6266"/>
    <n v="6579000000"/>
    <n v="20506.242106000002"/>
    <n v="10010"/>
    <n v="-0.16479090776767566"/>
    <n v="20506.242400000003"/>
    <x v="1"/>
    <n v="7"/>
    <x v="4"/>
  </r>
  <r>
    <d v="2026-06-02T00:00:00"/>
    <x v="116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395"/>
    <m/>
    <n v="6266"/>
    <n v="6579000000"/>
    <n v="458541.72414000001"/>
    <n v="10010"/>
    <n v="-6.3281569552436868E-3"/>
    <n v="458541.72400000005"/>
    <x v="0"/>
    <n v="20"/>
    <x v="38"/>
  </r>
  <r>
    <d v="2026-06-03T00:00:00"/>
    <x v="117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475"/>
    <n v="217042"/>
    <n v="6266"/>
    <n v="6579000000"/>
    <n v="209535.01289999983"/>
    <n v="10010"/>
    <n v="-0.21186440394853348"/>
    <n v="209535.01"/>
    <x v="0"/>
    <n v="100"/>
    <x v="121"/>
  </r>
  <r>
    <d v="2026-06-03T00:00:00"/>
    <x v="117"/>
    <s v="STOCK"/>
    <n v="6"/>
    <s v="STOCK"/>
    <n v="408017"/>
    <x v="187"/>
    <s v="CJA"/>
    <n v="3"/>
    <m/>
    <n v="3"/>
    <n v="17300"/>
    <n v="51900"/>
    <n v="51900"/>
    <m/>
    <m/>
    <n v="-51900"/>
    <m/>
    <m/>
    <n v="317475"/>
    <m/>
    <n v="6266"/>
    <n v="6579000000"/>
    <s v=""/>
    <n v="10010"/>
    <e v="#DIV/0!"/>
    <n v="0"/>
    <x v="1"/>
    <n v="3"/>
    <x v="100"/>
  </r>
  <r>
    <d v="2026-06-03T00:00:00"/>
    <x v="117"/>
    <s v="STOCK"/>
    <n v="6"/>
    <s v="STOCK"/>
    <n v="302046"/>
    <x v="78"/>
    <s v="PZA"/>
    <n v="288"/>
    <m/>
    <n v="288"/>
    <n v="10358.829900000001"/>
    <n v="2983343"/>
    <n v="2983343"/>
    <n v="10156.5985"/>
    <n v="-202.23140000000001"/>
    <n v="-58242.641499999998"/>
    <n v="-1.9911331019748745E-2"/>
    <m/>
    <n v="317511"/>
    <n v="2983343"/>
    <n v="6266"/>
    <n v="6579000000"/>
    <n v="2925100.3584960005"/>
    <n v="10010"/>
    <n v="1.9911331534863821E-2"/>
    <n v="2925100.3679999998"/>
    <x v="0"/>
    <n v="288"/>
    <x v="46"/>
  </r>
  <r>
    <d v="2026-06-03T00:00:00"/>
    <x v="117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7525"/>
    <n v="536092"/>
    <n v="6266"/>
    <n v="6579000000"/>
    <n v="475295.51668"/>
    <n v="10010"/>
    <n v="9.3378713886288892E-2"/>
    <n v="475295.516"/>
    <x v="0"/>
    <n v="40"/>
    <x v="92"/>
  </r>
  <r>
    <d v="2026-06-03T00:00:00"/>
    <x v="117"/>
    <s v="STOCK"/>
    <n v="6"/>
    <s v="STOCK"/>
    <s v="081010x"/>
    <x v="224"/>
    <s v="RLL"/>
    <n v="50"/>
    <m/>
    <n v="50"/>
    <n v="328.28"/>
    <n v="16414"/>
    <n v="16414"/>
    <m/>
    <m/>
    <n v="-16414"/>
    <m/>
    <m/>
    <n v="317525"/>
    <m/>
    <n v="6266"/>
    <n v="6579000000"/>
    <s v=""/>
    <n v="10010"/>
    <e v="#DIV/0!"/>
    <n v="0"/>
    <x v="1"/>
    <n v="50"/>
    <x v="100"/>
  </r>
  <r>
    <d v="2026-06-03T00:00:00"/>
    <x v="117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478"/>
    <n v="6042643"/>
    <n v="6266"/>
    <n v="6579000000"/>
    <n v="1529748.5150160005"/>
    <n v="10010"/>
    <n v="1.8936105413128724E-2"/>
    <n v="1529748.5183999999"/>
    <x v="0"/>
    <n v="72"/>
    <x v="10"/>
  </r>
  <r>
    <d v="2026-06-03T00:00:00"/>
    <x v="117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478"/>
    <m/>
    <n v="6266"/>
    <n v="6579000000"/>
    <n v="1622474.7756000008"/>
    <n v="10010"/>
    <n v="-4.8973201176111441E-3"/>
    <n v="1622474.784"/>
    <x v="0"/>
    <n v="168"/>
    <x v="0"/>
  </r>
  <r>
    <d v="2026-06-03T00:00:00"/>
    <x v="117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7478"/>
    <m/>
    <n v="6266"/>
    <n v="6579000000"/>
    <n v="570454.86033000005"/>
    <n v="10010"/>
    <n v="-6.758618130535847E-2"/>
    <n v="570454.86599999992"/>
    <x v="1"/>
    <n v="270"/>
    <x v="101"/>
  </r>
  <r>
    <d v="2026-06-03T00:00:00"/>
    <x v="117"/>
    <s v="STOCK"/>
    <n v="6"/>
    <s v="STOCK"/>
    <n v="1901086"/>
    <x v="149"/>
    <s v="M2"/>
    <n v="162"/>
    <m/>
    <n v="162"/>
    <n v="3625.5061999999998"/>
    <n v="587332"/>
    <n v="587332"/>
    <n v="3711.587"/>
    <n v="86.0809"/>
    <n v="13945.1006"/>
    <n v="2.3192469207808614E-2"/>
    <m/>
    <n v="317478"/>
    <m/>
    <n v="6266"/>
    <n v="6579000000"/>
    <n v="601277.10064200009"/>
    <n v="10010"/>
    <n v="-2.3192451099758725E-2"/>
    <n v="601277.09400000004"/>
    <x v="0"/>
    <n v="162"/>
    <x v="96"/>
  </r>
  <r>
    <d v="2026-06-03T00:00:00"/>
    <x v="117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478"/>
    <m/>
    <n v="6266"/>
    <n v="6579000000"/>
    <n v="453321.13050000009"/>
    <n v="10010"/>
    <n v="0.15715761825859639"/>
    <n v="453321.13320000004"/>
    <x v="0"/>
    <n v="108"/>
    <x v="12"/>
  </r>
  <r>
    <d v="2026-06-03T00:00:00"/>
    <x v="117"/>
    <s v="STOCK"/>
    <n v="6"/>
    <s v="STOCK"/>
    <n v="1901008"/>
    <x v="6"/>
    <s v="M2"/>
    <n v="270"/>
    <m/>
    <n v="270"/>
    <n v="2057.0778"/>
    <n v="555411"/>
    <n v="555411"/>
    <n v="2112.7957999999999"/>
    <n v="55.718000000000004"/>
    <n v="15043.8603"/>
    <n v="2.6371692794934575E-2"/>
    <m/>
    <n v="317478"/>
    <m/>
    <n v="6266"/>
    <n v="6579000000"/>
    <n v="570454.86033000005"/>
    <n v="10010"/>
    <n v="-2.6371691954328879E-2"/>
    <n v="570454.86599999992"/>
    <x v="0"/>
    <n v="270"/>
    <x v="6"/>
  </r>
  <r>
    <d v="2026-06-03T00:00:00"/>
    <x v="117"/>
    <s v="STOCK"/>
    <n v="6"/>
    <s v="STOCK"/>
    <n v="307033"/>
    <x v="190"/>
    <s v="UND"/>
    <n v="70"/>
    <m/>
    <n v="70"/>
    <n v="1889.6286"/>
    <n v="132274"/>
    <n v="132274"/>
    <n v="1889.0535"/>
    <n v="-0.57499999999999996"/>
    <n v="-40.251899999999999"/>
    <n v="-3.0439975108058782E-4"/>
    <m/>
    <n v="317478"/>
    <m/>
    <n v="6266"/>
    <n v="6579000000"/>
    <n v="132233.74807999999"/>
    <n v="10010"/>
    <n v="3.0443817499081966E-4"/>
    <n v="132233.745"/>
    <x v="1"/>
    <n v="70"/>
    <x v="4"/>
  </r>
  <r>
    <d v="2026-06-03T00:00:00"/>
    <x v="117"/>
    <s v="STOCK"/>
    <n v="6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7478"/>
    <m/>
    <n v="6266"/>
    <n v="6579000000"/>
    <n v="350000.00000000029"/>
    <n v="10010"/>
    <n v="0"/>
    <n v="350000"/>
    <x v="1"/>
    <n v="10"/>
    <x v="89"/>
  </r>
  <r>
    <d v="2026-06-03T00:00:00"/>
    <x v="117"/>
    <s v="STOCK"/>
    <n v="6"/>
    <s v="STOCK"/>
    <n v="2304008"/>
    <x v="223"/>
    <s v="UND"/>
    <n v="24"/>
    <m/>
    <n v="24"/>
    <n v="2550"/>
    <n v="61200"/>
    <n v="61200"/>
    <m/>
    <m/>
    <n v="-61200"/>
    <m/>
    <m/>
    <n v="317478"/>
    <m/>
    <n v="6266"/>
    <n v="6579000000"/>
    <s v=""/>
    <n v="10010"/>
    <e v="#DIV/0!"/>
    <n v="0"/>
    <x v="1"/>
    <n v="24"/>
    <x v="100"/>
  </r>
  <r>
    <d v="2026-06-03T00:00:00"/>
    <x v="117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7478"/>
    <m/>
    <n v="6266"/>
    <n v="6579000000"/>
    <n v="1866.9503550000009"/>
    <n v="10010"/>
    <n v="2.6567390328128124E-5"/>
    <n v="1866.9503999999999"/>
    <x v="1"/>
    <n v="1"/>
    <x v="4"/>
  </r>
  <r>
    <d v="2026-06-03T00:00:00"/>
    <x v="117"/>
    <s v="STOCK"/>
    <n v="6"/>
    <s v="STOCK"/>
    <n v="609008"/>
    <x v="30"/>
    <s v="LTS"/>
    <n v="4"/>
    <m/>
    <n v="4"/>
    <n v="2312.75"/>
    <n v="9251"/>
    <n v="9251"/>
    <n v="2130.7573000000002"/>
    <n v="-181.99270000000001"/>
    <n v="-727.97080000000005"/>
    <n v="-8.5412209614805945E-2"/>
    <m/>
    <n v="317478"/>
    <m/>
    <n v="6266"/>
    <n v="6579000000"/>
    <n v="8523.0292399999998"/>
    <n v="10010"/>
    <n v="8.541221470882665E-2"/>
    <n v="8523.0292000000009"/>
    <x v="1"/>
    <n v="4"/>
    <x v="27"/>
  </r>
  <r>
    <d v="2026-06-03T00:00:00"/>
    <x v="117"/>
    <s v="STOCK"/>
    <n v="6"/>
    <s v="STOCK"/>
    <n v="307096"/>
    <x v="197"/>
    <s v="TRA"/>
    <n v="70"/>
    <m/>
    <n v="70"/>
    <n v="1651.4142999999999"/>
    <n v="115599"/>
    <n v="115599"/>
    <n v="2095.3501000000001"/>
    <n v="443.93579999999997"/>
    <n v="31075.508999999998"/>
    <n v="0.21186714198336876"/>
    <m/>
    <n v="317478"/>
    <m/>
    <n v="6266"/>
    <n v="6579000000"/>
    <n v="146674.5090299999"/>
    <n v="10010"/>
    <n v="-0.21186712425765994"/>
    <n v="146674.50700000001"/>
    <x v="0"/>
    <n v="70"/>
    <x v="121"/>
  </r>
  <r>
    <d v="2026-06-04T00:00:00"/>
    <x v="118"/>
    <s v="STOCK"/>
    <n v="6"/>
    <s v="STOCK"/>
    <n v="2505058"/>
    <x v="99"/>
    <s v="UND"/>
    <n v="6"/>
    <m/>
    <n v="6"/>
    <n v="16469.666700000002"/>
    <n v="98818"/>
    <n v="98818"/>
    <n v="17870.144100000001"/>
    <n v="1400.4774"/>
    <n v="8402.8644000000004"/>
    <n v="7.8369676036421171E-2"/>
    <m/>
    <n v="317596"/>
    <n v="98818"/>
    <n v="6266"/>
    <n v="6579000000"/>
    <n v="107220.86440799999"/>
    <n v="10010"/>
    <n v="-7.8369675821472515E-2"/>
    <n v="107220.8646"/>
    <x v="1"/>
    <n v="6"/>
    <x v="87"/>
  </r>
  <r>
    <d v="2026-06-04T00:00:00"/>
    <x v="118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601"/>
    <n v="7977587"/>
    <n v="6266"/>
    <n v="6579000000"/>
    <n v="7557.04882"/>
    <n v="10010"/>
    <n v="-4.4203630279491375E-2"/>
    <n v="7557.0489999999991"/>
    <x v="1"/>
    <n v="10"/>
    <x v="4"/>
  </r>
  <r>
    <d v="2026-06-04T00:00:00"/>
    <x v="118"/>
    <s v="STOCK"/>
    <n v="6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7601"/>
    <m/>
    <n v="6266"/>
    <n v="6579000000"/>
    <n v="82279.617024000006"/>
    <n v="10010"/>
    <n v="8.6842689119469241E-2"/>
    <n v="82279.616999999998"/>
    <x v="1"/>
    <n v="6"/>
    <x v="4"/>
  </r>
  <r>
    <d v="2026-06-04T00:00:00"/>
    <x v="118"/>
    <s v="STOCK"/>
    <n v="6"/>
    <s v="STOCK"/>
    <n v="302054"/>
    <x v="162"/>
    <s v="PZA"/>
    <n v="936"/>
    <m/>
    <n v="936"/>
    <n v="4463.3109000000004"/>
    <n v="4177659"/>
    <n v="4177659"/>
    <n v="5713"/>
    <n v="1249.6891000000001"/>
    <n v="1169709"/>
    <n v="0.21874481053108744"/>
    <m/>
    <n v="317601"/>
    <m/>
    <n v="6266"/>
    <n v="6579000000"/>
    <n v="5347368"/>
    <n v="10010"/>
    <n v="-0.21874481008226845"/>
    <n v="5347368"/>
    <x v="0"/>
    <n v="936"/>
    <x v="4"/>
  </r>
  <r>
    <d v="2026-06-04T00:00:00"/>
    <x v="118"/>
    <s v="STOCK"/>
    <n v="6"/>
    <s v="STOCK"/>
    <n v="302248"/>
    <x v="145"/>
    <s v="PZA"/>
    <n v="240"/>
    <m/>
    <n v="240"/>
    <n v="2396.9708000000001"/>
    <n v="575273"/>
    <n v="575273"/>
    <n v="2342.1750999999999"/>
    <n v="-54.795699999999997"/>
    <n v="-13150.9671"/>
    <n v="-2.3395217320733228E-2"/>
    <m/>
    <n v="317601"/>
    <m/>
    <n v="6266"/>
    <n v="6579000000"/>
    <n v="562122.03288000007"/>
    <n v="10010"/>
    <n v="2.3395219255810604E-2"/>
    <n v="562122.02399999998"/>
    <x v="1"/>
    <n v="240"/>
    <x v="4"/>
  </r>
  <r>
    <d v="2026-06-04T00:00:00"/>
    <x v="118"/>
    <s v="STOCK"/>
    <n v="6"/>
    <s v="STOCK"/>
    <n v="302028"/>
    <x v="72"/>
    <s v="PZA"/>
    <n v="240"/>
    <m/>
    <n v="240"/>
    <n v="4833.2291999999998"/>
    <n v="1159975"/>
    <n v="1159975"/>
    <n v="5123.8024999999998"/>
    <n v="290.57339999999999"/>
    <n v="69737.606499999994"/>
    <n v="5.6710491632367029E-2"/>
    <m/>
    <n v="317601"/>
    <m/>
    <n v="6266"/>
    <n v="6579000000"/>
    <n v="1229712.6064800003"/>
    <n v="10010"/>
    <n v="-5.6710480156095013E-2"/>
    <n v="1229712.5999999999"/>
    <x v="0"/>
    <n v="240"/>
    <x v="65"/>
  </r>
  <r>
    <d v="2026-06-04T00:00:00"/>
    <x v="118"/>
    <s v="STOCK"/>
    <n v="6"/>
    <s v="STOCK"/>
    <n v="302010"/>
    <x v="136"/>
    <s v="PZA"/>
    <n v="168"/>
    <m/>
    <n v="168"/>
    <n v="6754.3036000000002"/>
    <n v="1134723"/>
    <n v="1134723"/>
    <n v="6585.1337000000003"/>
    <n v="-169.16980000000001"/>
    <n v="-28420.5308"/>
    <n v="-2.5689656881612791E-2"/>
    <m/>
    <n v="317601"/>
    <m/>
    <n v="6266"/>
    <n v="6579000000"/>
    <n v="1106302.4691599987"/>
    <n v="10010"/>
    <n v="2.5689668229515197E-2"/>
    <n v="1106302.4616"/>
    <x v="0"/>
    <n v="168"/>
    <x v="95"/>
  </r>
  <r>
    <d v="2026-06-04T00:00:00"/>
    <x v="118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601"/>
    <m/>
    <n v="6266"/>
    <n v="6579000000"/>
    <n v="34391.599999999999"/>
    <n v="10010"/>
    <n v="-8.9077242923396804E-2"/>
    <n v="34391.5"/>
    <x v="1"/>
    <n v="5000"/>
    <x v="4"/>
  </r>
  <r>
    <d v="2026-06-04T00:00:00"/>
    <x v="118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601"/>
    <m/>
    <n v="6266"/>
    <n v="6579000000"/>
    <n v="533202.50991891895"/>
    <n v="10010"/>
    <n v="-0.96749640146098337"/>
    <n v="533202.5"/>
    <x v="1"/>
    <n v="5000"/>
    <x v="63"/>
  </r>
  <r>
    <d v="2026-06-04T00:00:00"/>
    <x v="118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7601"/>
    <m/>
    <n v="6266"/>
    <n v="6579000000"/>
    <n v="595580"/>
    <n v="10010"/>
    <n v="0.3174552537022734"/>
    <n v="595580"/>
    <x v="0"/>
    <n v="20"/>
    <x v="4"/>
  </r>
  <r>
    <d v="2026-06-04T00:00:00"/>
    <x v="118"/>
    <s v="STOCK"/>
    <n v="6"/>
    <s v="STOCK"/>
    <n v="1802166"/>
    <x v="205"/>
    <s v="UND"/>
    <n v="3"/>
    <m/>
    <n v="3"/>
    <n v="13869"/>
    <n v="41607"/>
    <n v="41607"/>
    <n v="13869"/>
    <n v="0"/>
    <n v="0"/>
    <n v="0"/>
    <m/>
    <n v="317637"/>
    <n v="560344"/>
    <n v="6266"/>
    <n v="6579000000"/>
    <n v="41607"/>
    <n v="10010"/>
    <n v="0"/>
    <n v="41607"/>
    <x v="1"/>
    <n v="3"/>
    <x v="127"/>
  </r>
  <r>
    <d v="2026-06-04T00:00:00"/>
    <x v="118"/>
    <s v="STOCK"/>
    <n v="6"/>
    <s v="STOCK"/>
    <n v="1808146"/>
    <x v="201"/>
    <s v="UND"/>
    <n v="4"/>
    <m/>
    <n v="4"/>
    <n v="3318"/>
    <n v="13272"/>
    <n v="13272"/>
    <n v="3404"/>
    <n v="86"/>
    <n v="344"/>
    <n v="2.5264394829612225E-2"/>
    <m/>
    <n v="317637"/>
    <m/>
    <n v="6266"/>
    <n v="6579000000"/>
    <n v="13616"/>
    <n v="10010"/>
    <n v="-2.5264394829612222E-2"/>
    <n v="13616"/>
    <x v="1"/>
    <n v="4"/>
    <x v="125"/>
  </r>
  <r>
    <d v="2026-06-04T00:00:00"/>
    <x v="118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7637"/>
    <m/>
    <n v="6266"/>
    <n v="6579000000"/>
    <n v="4356"/>
    <n v="10010"/>
    <n v="8.7235996326905426E-3"/>
    <n v="4356"/>
    <x v="1"/>
    <n v="4"/>
    <x v="108"/>
  </r>
  <r>
    <d v="2026-06-04T00:00:00"/>
    <x v="118"/>
    <s v="STOCK"/>
    <n v="6"/>
    <s v="STOCK"/>
    <n v="1808147"/>
    <x v="215"/>
    <s v="UND"/>
    <n v="4"/>
    <m/>
    <n v="4"/>
    <n v="2216"/>
    <n v="8864"/>
    <n v="8864"/>
    <n v="2293"/>
    <n v="77"/>
    <n v="308"/>
    <n v="3.3580462276493674E-2"/>
    <m/>
    <n v="317637"/>
    <m/>
    <n v="6266"/>
    <n v="6579000000"/>
    <n v="9172"/>
    <n v="10010"/>
    <n v="-3.3580462276493674E-2"/>
    <n v="9172"/>
    <x v="1"/>
    <n v="4"/>
    <x v="134"/>
  </r>
  <r>
    <d v="2026-06-04T00:00:00"/>
    <x v="118"/>
    <s v="STOCK"/>
    <n v="6"/>
    <s v="STOCK"/>
    <n v="1808145"/>
    <x v="176"/>
    <s v="UND"/>
    <n v="4"/>
    <m/>
    <n v="4"/>
    <n v="16189.25"/>
    <n v="64757"/>
    <n v="64757"/>
    <n v="17145"/>
    <n v="955.75"/>
    <n v="3823"/>
    <n v="5.5745115193934089E-2"/>
    <m/>
    <n v="317637"/>
    <m/>
    <n v="6266"/>
    <n v="6579000000"/>
    <n v="68580"/>
    <n v="10010"/>
    <n v="-5.5745115193934089E-2"/>
    <n v="68580"/>
    <x v="1"/>
    <n v="4"/>
    <x v="110"/>
  </r>
  <r>
    <d v="2026-06-04T00:00:00"/>
    <x v="118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7637"/>
    <m/>
    <n v="6266"/>
    <n v="6579000000"/>
    <n v="92912"/>
    <n v="10010"/>
    <n v="3.8208197003616324E-3"/>
    <n v="92912"/>
    <x v="1"/>
    <n v="4"/>
    <x v="111"/>
  </r>
  <r>
    <d v="2026-06-04T00:00:00"/>
    <x v="118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637"/>
    <m/>
    <n v="6266"/>
    <n v="6579000000"/>
    <n v="4832.8008300000001"/>
    <n v="10010"/>
    <n v="-0.22198326485958209"/>
    <n v="4832.8008"/>
    <x v="1"/>
    <n v="3"/>
    <x v="109"/>
  </r>
  <r>
    <d v="2026-06-04T00:00:00"/>
    <x v="118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7637"/>
    <m/>
    <n v="6266"/>
    <n v="6579000000"/>
    <n v="6736"/>
    <n v="10010"/>
    <n v="2.4792161520190023E-2"/>
    <n v="6736"/>
    <x v="1"/>
    <n v="4"/>
    <x v="100"/>
  </r>
  <r>
    <d v="2026-06-04T00:00:00"/>
    <x v="118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7637"/>
    <m/>
    <n v="6266"/>
    <n v="6579000000"/>
    <n v="8796"/>
    <n v="10010"/>
    <n v="0"/>
    <n v="8796"/>
    <x v="1"/>
    <n v="4"/>
    <x v="4"/>
  </r>
  <r>
    <d v="2026-06-04T00:00:00"/>
    <x v="118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7637"/>
    <m/>
    <n v="6266"/>
    <n v="6579000000"/>
    <n v="36488"/>
    <n v="10010"/>
    <n v="0"/>
    <n v="36488"/>
    <x v="1"/>
    <n v="4"/>
    <x v="132"/>
  </r>
  <r>
    <d v="2026-06-04T00:00:00"/>
    <x v="118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7637"/>
    <m/>
    <n v="6266"/>
    <n v="6579000000"/>
    <n v="4920"/>
    <n v="10010"/>
    <n v="-2.032520325203252E-4"/>
    <n v="4920"/>
    <x v="1"/>
    <n v="4"/>
    <x v="100"/>
  </r>
  <r>
    <d v="2026-06-04T00:00:00"/>
    <x v="118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7637"/>
    <m/>
    <n v="6266"/>
    <n v="6579000000"/>
    <n v="4316"/>
    <n v="10010"/>
    <n v="0"/>
    <n v="4316"/>
    <x v="1"/>
    <n v="4"/>
    <x v="105"/>
  </r>
  <r>
    <d v="2026-06-04T00:00:00"/>
    <x v="118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7637"/>
    <m/>
    <n v="6266"/>
    <n v="6579000000"/>
    <n v="30836"/>
    <n v="10010"/>
    <n v="-9.4045920352834353E-4"/>
    <n v="30836"/>
    <x v="1"/>
    <n v="4"/>
    <x v="115"/>
  </r>
  <r>
    <d v="2026-06-04T00:00:00"/>
    <x v="118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7637"/>
    <m/>
    <n v="6266"/>
    <n v="6579000000"/>
    <n v="47984"/>
    <n v="10010"/>
    <n v="-9.378126042014005E-4"/>
    <n v="47984"/>
    <x v="1"/>
    <n v="4"/>
    <x v="107"/>
  </r>
  <r>
    <d v="2026-06-04T00:00:00"/>
    <x v="118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7637"/>
    <m/>
    <n v="6266"/>
    <n v="6579000000"/>
    <n v="34981.818184000003"/>
    <n v="10010"/>
    <n v="-2.0405411515142864E-2"/>
    <n v="34981.818399999996"/>
    <x v="1"/>
    <n v="8"/>
    <x v="53"/>
  </r>
  <r>
    <d v="2026-06-04T00:00:00"/>
    <x v="118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7637"/>
    <m/>
    <n v="6266"/>
    <n v="6579000000"/>
    <n v="25900.857144000001"/>
    <n v="10010"/>
    <n v="-7.8293039325247393E-2"/>
    <n v="25900.856800000001"/>
    <x v="1"/>
    <n v="8"/>
    <x v="54"/>
  </r>
  <r>
    <d v="2026-06-04T00:00:00"/>
    <x v="118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7637"/>
    <m/>
    <n v="6266"/>
    <n v="6579000000"/>
    <n v="8172"/>
    <n v="10010"/>
    <n v="0"/>
    <n v="8172"/>
    <x v="1"/>
    <n v="4"/>
    <x v="4"/>
  </r>
  <r>
    <d v="2026-06-04T00:00:00"/>
    <x v="118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7637"/>
    <m/>
    <n v="6266"/>
    <n v="6579000000"/>
    <n v="42964"/>
    <n v="10010"/>
    <n v="-1.0241132110604227E-3"/>
    <n v="42964"/>
    <x v="1"/>
    <n v="4"/>
    <x v="128"/>
  </r>
  <r>
    <d v="2026-06-04T00:00:00"/>
    <x v="118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7637"/>
    <m/>
    <n v="6266"/>
    <n v="6579000000"/>
    <n v="59888"/>
    <n v="10010"/>
    <n v="0"/>
    <n v="59888"/>
    <x v="1"/>
    <n v="4"/>
    <x v="133"/>
  </r>
  <r>
    <d v="2026-06-04T00:00:00"/>
    <x v="118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7637"/>
    <m/>
    <n v="6266"/>
    <n v="6579000000"/>
    <n v="18702.074076000001"/>
    <n v="10010"/>
    <n v="0.13003509664222265"/>
    <n v="18702.074000000001"/>
    <x v="1"/>
    <n v="4"/>
    <x v="20"/>
  </r>
  <r>
    <d v="2026-06-05T00:00:00"/>
    <x v="119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7687"/>
    <n v="4435858"/>
    <n v="6266"/>
    <n v="6579000000"/>
    <n v="1228776.2228000003"/>
    <n v="10010"/>
    <n v="-1.8229519378380471E-7"/>
    <n v="1228776.2239999999"/>
    <x v="0"/>
    <n v="80"/>
    <x v="3"/>
  </r>
  <r>
    <d v="2026-06-05T00:00:00"/>
    <x v="119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7687"/>
    <m/>
    <n v="6266"/>
    <n v="6579000000"/>
    <n v="2961510.1115760002"/>
    <n v="10010"/>
    <n v="3.3028041248091389E-2"/>
    <n v="2961510.12"/>
    <x v="0"/>
    <n v="216"/>
    <x v="2"/>
  </r>
  <r>
    <d v="2026-06-05T00:00:00"/>
    <x v="119"/>
    <s v="STOCK"/>
    <n v="6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7687"/>
    <m/>
    <n v="6266"/>
    <n v="6579000000"/>
    <n v="147759.27272799995"/>
    <n v="10010"/>
    <n v="-1.8462462276418306E-6"/>
    <n v="147759.27280000001"/>
    <x v="0"/>
    <n v="4"/>
    <x v="45"/>
  </r>
  <r>
    <d v="2026-06-05T00:00:00"/>
    <x v="119"/>
    <s v="STOCK"/>
    <n v="6"/>
    <s v="STOCK"/>
    <n v="404184"/>
    <x v="37"/>
    <s v="UND"/>
    <n v="3"/>
    <m/>
    <n v="3"/>
    <n v="1745"/>
    <n v="5235"/>
    <n v="5235"/>
    <n v="1754.8757000000001"/>
    <n v="9.8757000000000001"/>
    <n v="29.627199999999998"/>
    <n v="5.6275956328671155E-3"/>
    <m/>
    <n v="317689"/>
    <n v="5235"/>
    <n v="6266"/>
    <n v="6579000000"/>
    <n v="5264.6271930000003"/>
    <n v="10010"/>
    <n v="-5.6275780672101457E-3"/>
    <n v="5264.6270999999997"/>
    <x v="1"/>
    <n v="3"/>
    <x v="33"/>
  </r>
  <r>
    <d v="2026-06-05T00:00:00"/>
    <x v="119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695"/>
    <n v="7893331"/>
    <n v="6266"/>
    <n v="6579000000"/>
    <n v="1622474.7756000008"/>
    <n v="10010"/>
    <n v="-4.8973201176111441E-3"/>
    <n v="1622474.784"/>
    <x v="0"/>
    <n v="168"/>
    <x v="0"/>
  </r>
  <r>
    <d v="2026-06-05T00:00:00"/>
    <x v="119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7695"/>
    <m/>
    <n v="6266"/>
    <n v="6579000000"/>
    <n v="823993.41758399969"/>
    <n v="10010"/>
    <n v="-2.1341695769083589E-2"/>
    <n v="823993.41599999997"/>
    <x v="0"/>
    <n v="72"/>
    <x v="43"/>
  </r>
  <r>
    <d v="2026-06-05T00:00:00"/>
    <x v="119"/>
    <s v="STOCK"/>
    <n v="6"/>
    <s v="STOCK"/>
    <n v="701084"/>
    <x v="13"/>
    <s v="PL"/>
    <n v="20"/>
    <m/>
    <n v="20"/>
    <n v="39945.199999999997"/>
    <n v="798904"/>
    <n v="798904"/>
    <n v="38182.916700000002"/>
    <n v="-1762.2833000000001"/>
    <n v="-35245.666700000002"/>
    <n v="-4.6153711838442975E-2"/>
    <m/>
    <n v="317695"/>
    <m/>
    <n v="6266"/>
    <n v="6579000000"/>
    <n v="763658.3333399999"/>
    <n v="10010"/>
    <n v="4.6153710934293171E-2"/>
    <n v="763658.33400000003"/>
    <x v="1"/>
    <n v="20"/>
    <x v="11"/>
  </r>
  <r>
    <d v="2026-06-05T00:00:00"/>
    <x v="119"/>
    <s v="STOCK"/>
    <n v="6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7695"/>
    <m/>
    <n v="6266"/>
    <n v="6579000000"/>
    <n v="8101.081000000001"/>
    <n v="10010"/>
    <n v="-1.2344002666275806E-5"/>
    <n v="8101.1"/>
    <x v="1"/>
    <n v="500"/>
    <x v="4"/>
  </r>
  <r>
    <d v="2026-06-05T00:00:00"/>
    <x v="119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7695"/>
    <m/>
    <n v="6266"/>
    <n v="6579000000"/>
    <n v="0"/>
    <n v="10010"/>
    <e v="#DIV/0!"/>
    <n v="0"/>
    <x v="1"/>
    <n v="20"/>
    <x v="102"/>
  </r>
  <r>
    <d v="2026-06-05T00:00:00"/>
    <x v="119"/>
    <s v="STOCK"/>
    <n v="6"/>
    <s v="STOCK"/>
    <n v="412280"/>
    <x v="15"/>
    <s v="UND"/>
    <n v="44"/>
    <m/>
    <n v="44"/>
    <n v="38154.568200000002"/>
    <n v="1678801"/>
    <n v="1678801"/>
    <n v="40002.920100000003"/>
    <n v="1848.3518999999999"/>
    <n v="81327.484100000001"/>
    <n v="4.6205424676116449E-2"/>
    <m/>
    <n v="317695"/>
    <m/>
    <n v="6266"/>
    <n v="6579000000"/>
    <n v="1760128.4840919999"/>
    <n v="10010"/>
    <n v="-4.6205424388506111E-2"/>
    <n v="1760128.4844000002"/>
    <x v="0"/>
    <n v="44"/>
    <x v="13"/>
  </r>
  <r>
    <d v="2026-06-05T00:00:00"/>
    <x v="119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695"/>
    <m/>
    <n v="6266"/>
    <n v="6579000000"/>
    <n v="1947659.9999999993"/>
    <n v="10010"/>
    <n v="-5.1855560005389863E-5"/>
    <n v="1947660"/>
    <x v="0"/>
    <n v="130"/>
    <x v="99"/>
  </r>
  <r>
    <d v="2026-06-05T00:00:00"/>
    <x v="119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7695"/>
    <m/>
    <n v="6266"/>
    <n v="6579000000"/>
    <n v="335149.81132199999"/>
    <n v="10010"/>
    <n v="-8.240437756665854E-2"/>
    <n v="335149.81140000001"/>
    <x v="1"/>
    <n v="6"/>
    <x v="4"/>
  </r>
  <r>
    <d v="2026-06-05T00:00:00"/>
    <x v="119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7695"/>
    <m/>
    <n v="6266"/>
    <n v="6579000000"/>
    <n v="127277.99999999996"/>
    <n v="10010"/>
    <n v="0"/>
    <n v="127278"/>
    <x v="1"/>
    <n v="6"/>
    <x v="5"/>
  </r>
  <r>
    <d v="2026-06-05T00:00:00"/>
    <x v="119"/>
    <s v="STOCK"/>
    <n v="6"/>
    <s v="STOCK"/>
    <n v="1103088"/>
    <x v="267"/>
    <s v="UND"/>
    <n v="32"/>
    <m/>
    <n v="32"/>
    <n v="3134"/>
    <n v="100288"/>
    <n v="100288"/>
    <n v="3134"/>
    <n v="0"/>
    <n v="0"/>
    <n v="0"/>
    <m/>
    <n v="317695"/>
    <m/>
    <n v="6266"/>
    <n v="6579000000"/>
    <n v="100288"/>
    <n v="10010"/>
    <n v="0"/>
    <n v="100288"/>
    <x v="1"/>
    <n v="32"/>
    <x v="137"/>
  </r>
  <r>
    <d v="2026-06-05T00:00:00"/>
    <x v="119"/>
    <s v="STOCK"/>
    <n v="6"/>
    <s v="STOCK"/>
    <n v="1103087"/>
    <x v="222"/>
    <s v="UND"/>
    <n v="16"/>
    <m/>
    <n v="16"/>
    <n v="9840.75"/>
    <n v="157452"/>
    <n v="157452"/>
    <n v="9841"/>
    <n v="0.25"/>
    <n v="4"/>
    <n v="2.540392236561325E-5"/>
    <m/>
    <n v="317695"/>
    <m/>
    <n v="6266"/>
    <n v="6579000000"/>
    <n v="157456"/>
    <n v="10010"/>
    <n v="-2.540392236561325E-5"/>
    <n v="157456"/>
    <x v="1"/>
    <n v="16"/>
    <x v="137"/>
  </r>
  <r>
    <d v="2026-06-05T00:00:00"/>
    <x v="119"/>
    <s v="STOCK"/>
    <n v="6"/>
    <s v="STOCK"/>
    <n v="1103086"/>
    <x v="221"/>
    <s v="UND"/>
    <n v="16"/>
    <m/>
    <n v="16"/>
    <n v="10465.625"/>
    <n v="167450"/>
    <n v="167450"/>
    <n v="10466"/>
    <n v="0.375"/>
    <n v="6"/>
    <n v="3.5830307662908463E-5"/>
    <m/>
    <n v="317695"/>
    <m/>
    <n v="6266"/>
    <n v="6579000000"/>
    <n v="167456"/>
    <n v="10010"/>
    <n v="-3.5830307662908463E-5"/>
    <n v="167456"/>
    <x v="1"/>
    <n v="16"/>
    <x v="137"/>
  </r>
  <r>
    <d v="2026-06-05T00:00:00"/>
    <x v="119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693"/>
    <n v="2692796"/>
    <n v="6266"/>
    <n v="6579000000"/>
    <n v="458541.72414000001"/>
    <n v="10010"/>
    <n v="-6.3281569552436868E-3"/>
    <n v="458541.72400000005"/>
    <x v="0"/>
    <n v="20"/>
    <x v="38"/>
  </r>
  <r>
    <d v="2026-06-05T00:00:00"/>
    <x v="119"/>
    <s v="STOCK"/>
    <n v="6"/>
    <s v="STOCK"/>
    <n v="907031"/>
    <x v="158"/>
    <s v="RLL"/>
    <n v="10"/>
    <m/>
    <n v="10"/>
    <n v="152881.5"/>
    <n v="1528815"/>
    <n v="1528815"/>
    <n v="156269.1667"/>
    <n v="3387.6667000000002"/>
    <n v="33876.666700000002"/>
    <n v="2.1678407450773384E-2"/>
    <m/>
    <n v="317693"/>
    <m/>
    <n v="6266"/>
    <n v="6579000000"/>
    <n v="1562691.6666700004"/>
    <n v="10010"/>
    <n v="-2.1678407657369312E-2"/>
    <n v="1562691.6669999999"/>
    <x v="0"/>
    <n v="10"/>
    <x v="98"/>
  </r>
  <r>
    <d v="2026-06-05T00:00:00"/>
    <x v="119"/>
    <s v="STOCK"/>
    <n v="6"/>
    <s v="STOCK"/>
    <n v="1801735"/>
    <x v="43"/>
    <s v="UND"/>
    <n v="4"/>
    <m/>
    <n v="4"/>
    <n v="3781"/>
    <n v="15124"/>
    <n v="15124"/>
    <n v="3495"/>
    <n v="-286"/>
    <n v="-1144"/>
    <n v="-8.1831187410586551E-2"/>
    <m/>
    <n v="317693"/>
    <m/>
    <n v="6266"/>
    <n v="6579000000"/>
    <n v="13980"/>
    <n v="10010"/>
    <n v="8.1831187410586551E-2"/>
    <n v="13980"/>
    <x v="1"/>
    <n v="4"/>
    <x v="39"/>
  </r>
  <r>
    <d v="2026-06-05T00:00:00"/>
    <x v="119"/>
    <s v="STOCK"/>
    <n v="6"/>
    <s v="STOCK"/>
    <n v="2304056"/>
    <x v="168"/>
    <s v="UND"/>
    <n v="12"/>
    <m/>
    <n v="12"/>
    <n v="3163.0832999999998"/>
    <n v="37957"/>
    <n v="37957"/>
    <n v="2979"/>
    <n v="-184.08330000000001"/>
    <n v="-2209"/>
    <n v="-6.1793666778561088E-2"/>
    <m/>
    <n v="317693"/>
    <m/>
    <n v="6266"/>
    <n v="6579000000"/>
    <n v="35748"/>
    <n v="10010"/>
    <n v="6.1793655589123794E-2"/>
    <n v="35748"/>
    <x v="1"/>
    <n v="12"/>
    <x v="100"/>
  </r>
  <r>
    <d v="2026-06-05T00:00:00"/>
    <x v="119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693"/>
    <m/>
    <n v="6266"/>
    <n v="6579000000"/>
    <n v="20688.000000000004"/>
    <n v="10010"/>
    <n v="0.2140371229698376"/>
    <n v="20688"/>
    <x v="1"/>
    <n v="24"/>
    <x v="4"/>
  </r>
  <r>
    <d v="2026-06-05T00:00:00"/>
    <x v="119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693"/>
    <m/>
    <n v="6266"/>
    <n v="6579000000"/>
    <n v="4794"/>
    <n v="10010"/>
    <n v="5.840632040050063E-2"/>
    <n v="4794"/>
    <x v="1"/>
    <n v="3"/>
    <x v="142"/>
  </r>
  <r>
    <d v="2026-06-05T00:00:00"/>
    <x v="119"/>
    <s v="STOCK"/>
    <n v="6"/>
    <s v="STOCK"/>
    <n v="2508993"/>
    <x v="229"/>
    <s v="UND"/>
    <n v="5"/>
    <m/>
    <n v="5"/>
    <n v="1461.6"/>
    <n v="7308"/>
    <n v="7308"/>
    <n v="1410"/>
    <n v="-51.6"/>
    <n v="-258"/>
    <n v="-3.6595744680851E-2"/>
    <m/>
    <n v="317693"/>
    <m/>
    <n v="6266"/>
    <n v="6579000000"/>
    <n v="7050"/>
    <n v="10010"/>
    <n v="3.6595744680851E-2"/>
    <n v="7050"/>
    <x v="1"/>
    <n v="5"/>
    <x v="141"/>
  </r>
  <r>
    <d v="2026-06-05T00:00:00"/>
    <x v="119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693"/>
    <m/>
    <n v="6266"/>
    <n v="6579000000"/>
    <n v="15252"/>
    <n v="10010"/>
    <n v="-3.0159913453973713E-3"/>
    <n v="15252"/>
    <x v="1"/>
    <n v="3"/>
    <x v="140"/>
  </r>
  <r>
    <d v="2026-06-05T00:00:00"/>
    <x v="119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693"/>
    <m/>
    <n v="6266"/>
    <n v="6579000000"/>
    <n v="23990"/>
    <n v="10010"/>
    <n v="-2.6260942059192086E-3"/>
    <n v="23990"/>
    <x v="1"/>
    <n v="5"/>
    <x v="139"/>
  </r>
  <r>
    <d v="2026-06-05T00:00:00"/>
    <x v="119"/>
    <s v="STOCK"/>
    <n v="6"/>
    <s v="STOCK"/>
    <n v="2508990"/>
    <x v="226"/>
    <s v="UND"/>
    <n v="5"/>
    <m/>
    <n v="5"/>
    <n v="6688.8"/>
    <n v="33444"/>
    <n v="33444"/>
    <n v="6738"/>
    <n v="49.2"/>
    <n v="246"/>
    <n v="7.3018699910952526E-3"/>
    <m/>
    <n v="317693"/>
    <m/>
    <n v="6266"/>
    <n v="6579000000"/>
    <n v="33690"/>
    <n v="10010"/>
    <n v="-7.3018699910952535E-3"/>
    <n v="33690"/>
    <x v="1"/>
    <n v="5"/>
    <x v="138"/>
  </r>
  <r>
    <d v="2026-06-05T00:00:00"/>
    <x v="119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693"/>
    <m/>
    <n v="6266"/>
    <n v="6579000000"/>
    <n v="20275.599998999998"/>
    <n v="10010"/>
    <n v="3.3952144616939288E-2"/>
    <n v="20275.599900000001"/>
    <x v="1"/>
    <n v="3"/>
    <x v="4"/>
  </r>
  <r>
    <d v="2026-06-05T00:00:00"/>
    <x v="119"/>
    <s v="STOCK"/>
    <n v="6"/>
    <s v="STOCK"/>
    <n v="2508988"/>
    <x v="202"/>
    <s v="KIT"/>
    <n v="1"/>
    <m/>
    <n v="1"/>
    <n v="142676"/>
    <n v="142676"/>
    <n v="142676"/>
    <m/>
    <m/>
    <n v="-142676"/>
    <m/>
    <m/>
    <n v="317693"/>
    <m/>
    <n v="6266"/>
    <n v="6579000000"/>
    <s v=""/>
    <n v="10010"/>
    <e v="#DIV/0!"/>
    <n v="0"/>
    <x v="1"/>
    <n v="1"/>
    <x v="100"/>
  </r>
  <r>
    <d v="2026-06-05T00:00:00"/>
    <x v="119"/>
    <s v="STOCK"/>
    <n v="6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7693"/>
    <m/>
    <n v="6266"/>
    <n v="6579000000"/>
    <n v="145847"/>
    <n v="10010"/>
    <n v="-2.2729298511453784E-2"/>
    <n v="145847"/>
    <x v="1"/>
    <n v="1"/>
    <x v="126"/>
  </r>
  <r>
    <d v="2026-06-05T00:00:00"/>
    <x v="119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7693"/>
    <m/>
    <n v="6266"/>
    <n v="6579000000"/>
    <n v="88104"/>
    <n v="10010"/>
    <n v="2.4175973849087443E-3"/>
    <n v="88104"/>
    <x v="1"/>
    <n v="24"/>
    <x v="40"/>
  </r>
  <r>
    <d v="2026-06-05T00:00:00"/>
    <x v="119"/>
    <s v="STOCK"/>
    <n v="6"/>
    <s v="STOCK"/>
    <n v="404252"/>
    <x v="118"/>
    <s v="UND"/>
    <n v="30"/>
    <m/>
    <n v="30"/>
    <n v="2167.1999999999998"/>
    <n v="65016"/>
    <n v="65016"/>
    <n v="1110.0438999999999"/>
    <n v="-1057.1560999999999"/>
    <n v="-31714.683700000001"/>
    <n v="-0.95235525987443037"/>
    <m/>
    <n v="317693"/>
    <m/>
    <n v="6266"/>
    <n v="6579000000"/>
    <n v="33301.316279999999"/>
    <n v="10010"/>
    <n v="0.95235521766301312"/>
    <n v="33301.316999999995"/>
    <x v="1"/>
    <n v="30"/>
    <x v="4"/>
  </r>
  <r>
    <d v="2026-06-05T00:00:00"/>
    <x v="119"/>
    <s v="STOCK"/>
    <n v="6"/>
    <s v="STOCK"/>
    <n v="1802162"/>
    <x v="169"/>
    <s v="UND"/>
    <n v="2"/>
    <m/>
    <n v="2"/>
    <n v="42840"/>
    <n v="85680"/>
    <n v="85680"/>
    <n v="42840"/>
    <n v="0"/>
    <n v="0"/>
    <n v="0"/>
    <m/>
    <n v="317693"/>
    <m/>
    <n v="6266"/>
    <n v="6579000000"/>
    <n v="85680"/>
    <n v="10010"/>
    <n v="0"/>
    <n v="85680"/>
    <x v="1"/>
    <n v="2"/>
    <x v="103"/>
  </r>
  <r>
    <d v="2026-06-05T00:00:00"/>
    <x v="119"/>
    <s v="STOCK"/>
    <n v="6"/>
    <s v="STOCK"/>
    <n v="1902014"/>
    <x v="155"/>
    <s v="PL"/>
    <n v="160"/>
    <m/>
    <n v="160"/>
    <n v="29846.625"/>
    <n v="4775460"/>
    <n v="4775460"/>
    <n v="29779"/>
    <n v="-67.625"/>
    <n v="-10820"/>
    <n v="-2.2708955975686341E-3"/>
    <m/>
    <n v="317725"/>
    <n v="4775460"/>
    <m/>
    <n v="6579000000"/>
    <n v="4764640.0000000009"/>
    <n v="10010"/>
    <n v="2.2708955975687564E-3"/>
    <n v="4764640"/>
    <x v="0"/>
    <n v="160"/>
    <x v="97"/>
  </r>
  <r>
    <d v="2026-06-05T00:00:00"/>
    <x v="119"/>
    <s v="STOCK"/>
    <n v="6"/>
    <s v="STOCK"/>
    <n v="404184"/>
    <x v="37"/>
    <s v="UND"/>
    <n v="5"/>
    <m/>
    <n v="5"/>
    <n v="1745.2"/>
    <n v="8726"/>
    <n v="8726"/>
    <n v="1754.8757000000001"/>
    <n v="9.6757000000000009"/>
    <n v="48.378700000000002"/>
    <n v="5.5136274489854696E-3"/>
    <m/>
    <n v="317713"/>
    <n v="8726"/>
    <m/>
    <n v="6579000000"/>
    <n v="8774.3786550000004"/>
    <n v="10010"/>
    <n v="-5.5136098813152439E-3"/>
    <n v="8774.3785000000007"/>
    <x v="1"/>
    <n v="5"/>
    <x v="33"/>
  </r>
  <r>
    <d v="2026-06-08T00:00:00"/>
    <x v="120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7816"/>
    <n v="67656"/>
    <m/>
    <n v="6579000000"/>
    <n v="66070.642752"/>
    <n v="10010"/>
    <n v="2.3994899422923075E-2"/>
    <n v="66070.641600000003"/>
    <x v="1"/>
    <n v="48"/>
    <x v="4"/>
  </r>
  <r>
    <d v="2026-06-08T00:00:00"/>
    <x v="120"/>
    <s v="STOCK"/>
    <n v="6"/>
    <s v="STOCK"/>
    <n v="608012"/>
    <x v="278"/>
    <s v="UND"/>
    <n v="1"/>
    <m/>
    <n v="1"/>
    <n v="6544"/>
    <n v="6544"/>
    <n v="6544"/>
    <m/>
    <m/>
    <n v="-6544"/>
    <m/>
    <m/>
    <n v="317801"/>
    <n v="6544"/>
    <m/>
    <n v="6579000000"/>
    <s v=""/>
    <n v="10010"/>
    <e v="#DIV/0!"/>
    <n v="0"/>
    <x v="1"/>
    <n v="1"/>
    <x v="100"/>
  </r>
  <r>
    <d v="2026-06-08T00:00:00"/>
    <x v="120"/>
    <s v="STOCK"/>
    <n v="6"/>
    <s v="STOCK"/>
    <n v="302046"/>
    <x v="78"/>
    <s v="PZA"/>
    <n v="168"/>
    <m/>
    <n v="168"/>
    <n v="10534.7976"/>
    <n v="1769846"/>
    <n v="1769846"/>
    <n v="10156.5985"/>
    <n v="-378.19920000000002"/>
    <n v="-63537.457499999997"/>
    <n v="-3.7236792738871267E-2"/>
    <m/>
    <n v="317829"/>
    <n v="4759492"/>
    <m/>
    <n v="6579000000"/>
    <n v="1706308.5424560003"/>
    <n v="10010"/>
    <n v="3.7236787493371899E-2"/>
    <n v="1706308.548"/>
    <x v="0"/>
    <n v="168"/>
    <x v="46"/>
  </r>
  <r>
    <d v="2026-06-08T00:00:00"/>
    <x v="120"/>
    <s v="STOCK"/>
    <n v="6"/>
    <s v="STOCK"/>
    <n v="5314002"/>
    <x v="170"/>
    <s v="UND"/>
    <n v="10"/>
    <m/>
    <n v="10"/>
    <n v="311.89999999999998"/>
    <n v="3119"/>
    <n v="3119"/>
    <n v="311.91989999999998"/>
    <n v="1.9900000000000001E-2"/>
    <n v="0.19869999999999999"/>
    <n v="6.3689434901321451E-5"/>
    <m/>
    <n v="317829"/>
    <m/>
    <m/>
    <n v="6579000000"/>
    <n v="3119.19866"/>
    <n v="10010"/>
    <n v="-6.3798430302160631E-5"/>
    <n v="3119.1989999999996"/>
    <x v="1"/>
    <n v="10"/>
    <x v="104"/>
  </r>
  <r>
    <d v="2026-06-08T00:00:00"/>
    <x v="120"/>
    <s v="STOCK"/>
    <n v="6"/>
    <s v="STOCK"/>
    <n v="1901086"/>
    <x v="149"/>
    <s v="M2"/>
    <n v="162"/>
    <m/>
    <n v="162"/>
    <n v="3654.8642"/>
    <n v="592088"/>
    <n v="592088"/>
    <n v="3711.587"/>
    <n v="56.722799999999999"/>
    <n v="9189.1005999999998"/>
    <n v="1.5282638624003113E-2"/>
    <m/>
    <n v="317829"/>
    <m/>
    <m/>
    <n v="6579000000"/>
    <n v="601277.10064200009"/>
    <n v="10010"/>
    <n v="-1.5282627081084185E-2"/>
    <n v="601277.09400000004"/>
    <x v="0"/>
    <n v="162"/>
    <x v="96"/>
  </r>
  <r>
    <d v="2026-06-08T00:00:00"/>
    <x v="12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829"/>
    <m/>
    <m/>
    <n v="6579000000"/>
    <n v="453321.13050000009"/>
    <n v="10010"/>
    <n v="0.15715761825859639"/>
    <n v="453321.13320000004"/>
    <x v="0"/>
    <n v="108"/>
    <x v="12"/>
  </r>
  <r>
    <d v="2026-06-08T00:00:00"/>
    <x v="120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7829"/>
    <m/>
    <m/>
    <n v="6579000000"/>
    <n v="9203.5378099999998"/>
    <n v="10010"/>
    <n v="-0.24507292738944528"/>
    <n v="9203.5380000000005"/>
    <x v="1"/>
    <n v="10"/>
    <x v="4"/>
  </r>
  <r>
    <d v="2026-06-08T00:00:00"/>
    <x v="120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7829"/>
    <m/>
    <m/>
    <n v="6579000000"/>
    <n v="20421.197059999999"/>
    <n v="10010"/>
    <n v="-0.16831515801938537"/>
    <n v="20421.197"/>
    <x v="1"/>
    <n v="10"/>
    <x v="82"/>
  </r>
  <r>
    <d v="2026-06-08T00:00:00"/>
    <x v="12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29"/>
    <m/>
    <m/>
    <n v="6579000000"/>
    <n v="10545.292710000002"/>
    <n v="10010"/>
    <n v="8.0197633209320524E-2"/>
    <n v="10545.2925"/>
    <x v="1"/>
    <n v="5"/>
    <x v="28"/>
  </r>
  <r>
    <d v="2026-06-08T00:00:00"/>
    <x v="120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829"/>
    <m/>
    <m/>
    <n v="6579000000"/>
    <n v="1622474.7756000008"/>
    <n v="10010"/>
    <n v="-4.8973201176111441E-3"/>
    <n v="1622474.784"/>
    <x v="0"/>
    <n v="168"/>
    <x v="0"/>
  </r>
  <r>
    <d v="2026-06-08T00:00:00"/>
    <x v="120"/>
    <s v="STOCK"/>
    <n v="6"/>
    <s v="STOCK"/>
    <n v="106022"/>
    <x v="157"/>
    <s v="UND"/>
    <n v="12"/>
    <m/>
    <n v="12"/>
    <n v="3800.0832999999998"/>
    <n v="45601"/>
    <n v="45601"/>
    <n v="3800.6911"/>
    <n v="0.60780000000000001"/>
    <n v="7.2931999999999997"/>
    <n v="1.5990925093254776E-4"/>
    <m/>
    <n v="317829"/>
    <m/>
    <m/>
    <n v="6579000000"/>
    <n v="45608.293188000011"/>
    <n v="10010"/>
    <n v="-1.599182843352423E-4"/>
    <n v="45608.2932"/>
    <x v="1"/>
    <n v="12"/>
    <x v="4"/>
  </r>
  <r>
    <d v="2026-06-08T00:00:00"/>
    <x v="120"/>
    <s v="STOCK"/>
    <n v="6"/>
    <s v="STOCK"/>
    <n v="412630"/>
    <x v="185"/>
    <s v="UND"/>
    <n v="1"/>
    <m/>
    <n v="1"/>
    <n v="150300"/>
    <n v="150300"/>
    <n v="150300"/>
    <n v="148200"/>
    <n v="-2100"/>
    <n v="-2100"/>
    <n v="-1.417004048582996E-2"/>
    <m/>
    <n v="317829"/>
    <m/>
    <m/>
    <n v="6579000000"/>
    <n v="148200"/>
    <n v="10010"/>
    <n v="1.417004048582996E-2"/>
    <n v="148200"/>
    <x v="1"/>
    <n v="1"/>
    <x v="4"/>
  </r>
  <r>
    <d v="2026-06-08T00:00:00"/>
    <x v="120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7829"/>
    <m/>
    <m/>
    <n v="6579000000"/>
    <n v="21307.573100000001"/>
    <n v="10010"/>
    <n v="0.1320857612455438"/>
    <n v="21307.573000000004"/>
    <x v="1"/>
    <n v="10"/>
    <x v="27"/>
  </r>
  <r>
    <d v="2026-06-08T00:00:00"/>
    <x v="120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7802"/>
    <n v="748164"/>
    <m/>
    <n v="6579000000"/>
    <n v="176208"/>
    <n v="10010"/>
    <n v="2.4175973849087443E-3"/>
    <n v="176208"/>
    <x v="1"/>
    <n v="48"/>
    <x v="40"/>
  </r>
  <r>
    <d v="2026-06-08T00:00:00"/>
    <x v="120"/>
    <s v="STOCK"/>
    <n v="6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7802"/>
    <m/>
    <m/>
    <n v="6579000000"/>
    <n v="7664"/>
    <n v="10010"/>
    <n v="8.0897703549060538E-3"/>
    <n v="7664"/>
    <x v="1"/>
    <n v="4"/>
    <x v="129"/>
  </r>
  <r>
    <d v="2026-06-08T00:00:00"/>
    <x v="120"/>
    <s v="STOCK"/>
    <n v="6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7802"/>
    <m/>
    <m/>
    <n v="6579000000"/>
    <n v="11626.684384"/>
    <n v="10010"/>
    <n v="2.7144454011317615E-5"/>
    <n v="11626.6844"/>
    <x v="1"/>
    <n v="4"/>
    <x v="4"/>
  </r>
  <r>
    <d v="2026-06-08T00:00:00"/>
    <x v="120"/>
    <s v="STOCK"/>
    <n v="6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7802"/>
    <m/>
    <m/>
    <n v="6579000000"/>
    <n v="1341.9588640000002"/>
    <n v="10010"/>
    <n v="3.0403308833823098E-5"/>
    <n v="1341.9592"/>
    <x v="1"/>
    <n v="8"/>
    <x v="4"/>
  </r>
  <r>
    <d v="2026-06-08T00:00:00"/>
    <x v="120"/>
    <s v="STOCK"/>
    <n v="6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7802"/>
    <m/>
    <m/>
    <n v="6579000000"/>
    <n v="12140"/>
    <n v="10010"/>
    <n v="-8.2372322899505767E-4"/>
    <n v="12140"/>
    <x v="1"/>
    <n v="4"/>
    <x v="130"/>
  </r>
  <r>
    <d v="2026-06-08T00:00:00"/>
    <x v="120"/>
    <s v="STOCK"/>
    <n v="6"/>
    <s v="STOCK"/>
    <n v="1802171"/>
    <x v="210"/>
    <s v="UND"/>
    <n v="4"/>
    <m/>
    <n v="4"/>
    <n v="3148.5"/>
    <n v="12594"/>
    <n v="12594"/>
    <n v="3632"/>
    <n v="483.5"/>
    <n v="1934"/>
    <n v="0.13312224669603523"/>
    <m/>
    <n v="317802"/>
    <m/>
    <m/>
    <n v="6579000000"/>
    <n v="14528"/>
    <n v="10010"/>
    <n v="-0.13312224669603523"/>
    <n v="14528"/>
    <x v="1"/>
    <n v="4"/>
    <x v="131"/>
  </r>
  <r>
    <d v="2026-06-08T00:00:00"/>
    <x v="120"/>
    <s v="STOCK"/>
    <n v="6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7802"/>
    <m/>
    <m/>
    <n v="6579000000"/>
    <n v="63133.935483999994"/>
    <n v="10010"/>
    <n v="0.28816616970097464"/>
    <n v="63133.935599999997"/>
    <x v="1"/>
    <n v="4"/>
    <x v="4"/>
  </r>
  <r>
    <d v="2026-06-08T00:00:00"/>
    <x v="120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7802"/>
    <m/>
    <m/>
    <n v="6579000000"/>
    <n v="10210.598529999999"/>
    <n v="10010"/>
    <n v="-0.16831515801938537"/>
    <n v="10210.5985"/>
    <x v="1"/>
    <n v="5"/>
    <x v="82"/>
  </r>
  <r>
    <d v="2026-06-08T00:00:00"/>
    <x v="120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802"/>
    <m/>
    <m/>
    <n v="6579000000"/>
    <n v="4601.7689049999999"/>
    <n v="10010"/>
    <n v="-0.24507292738944528"/>
    <n v="4601.7690000000002"/>
    <x v="1"/>
    <n v="5"/>
    <x v="4"/>
  </r>
  <r>
    <d v="2026-06-08T00:00:00"/>
    <x v="120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802"/>
    <m/>
    <m/>
    <n v="6579000000"/>
    <n v="28575.132740000001"/>
    <n v="10010"/>
    <n v="2.3750370645694318E-3"/>
    <n v="28575.133000000002"/>
    <x v="1"/>
    <n v="10"/>
    <x v="81"/>
  </r>
  <r>
    <d v="2026-06-08T00:00:00"/>
    <x v="120"/>
    <s v="STOCK"/>
    <n v="6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7802"/>
    <m/>
    <m/>
    <n v="6579000000"/>
    <n v="136499.94280000002"/>
    <n v="10010"/>
    <n v="4.0293056526552117E-7"/>
    <n v="136499.94500000001"/>
    <x v="1"/>
    <n v="50"/>
    <x v="31"/>
  </r>
  <r>
    <d v="2026-06-08T00:00:00"/>
    <x v="120"/>
    <s v="STOCK"/>
    <n v="6"/>
    <s v="STOCK"/>
    <n v="307096"/>
    <x v="197"/>
    <s v="TRA"/>
    <n v="30"/>
    <m/>
    <n v="30"/>
    <n v="1651.4"/>
    <n v="49542"/>
    <n v="49542"/>
    <n v="2095.3501000000001"/>
    <n v="443.95010000000002"/>
    <n v="13318.5039"/>
    <n v="0.21187395980063375"/>
    <m/>
    <n v="317802"/>
    <m/>
    <m/>
    <n v="6579000000"/>
    <n v="62860.503869999957"/>
    <n v="10010"/>
    <n v="-0.21187394889283656"/>
    <n v="62860.503000000004"/>
    <x v="0"/>
    <n v="30"/>
    <x v="121"/>
  </r>
  <r>
    <d v="2026-06-08T00:00:00"/>
    <x v="120"/>
    <s v="STOCK"/>
    <n v="6"/>
    <s v="STOCK"/>
    <n v="307032"/>
    <x v="121"/>
    <s v="TRA"/>
    <n v="100"/>
    <m/>
    <n v="100"/>
    <n v="2181.33"/>
    <n v="218133"/>
    <n v="218133"/>
    <n v="2378.375"/>
    <n v="197.04499999999999"/>
    <n v="19704.504099999998"/>
    <n v="8.2848599402199949E-2"/>
    <m/>
    <n v="317802"/>
    <m/>
    <m/>
    <n v="6579000000"/>
    <n v="237837.50409999999"/>
    <n v="10010"/>
    <n v="-8.2848583591738093E-2"/>
    <n v="237837.5"/>
    <x v="1"/>
    <n v="100"/>
    <x v="4"/>
  </r>
  <r>
    <d v="2026-06-08T00:00:00"/>
    <x v="12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832"/>
    <n v="48659"/>
    <m/>
    <n v="6579000000"/>
    <n v="34391.599999999999"/>
    <n v="10010"/>
    <n v="-8.9077242923396804E-2"/>
    <n v="34391.5"/>
    <x v="1"/>
    <n v="5000"/>
    <x v="4"/>
  </r>
  <r>
    <d v="2026-06-08T00:00:00"/>
    <x v="12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832"/>
    <m/>
    <m/>
    <n v="6579000000"/>
    <n v="533202.50991891895"/>
    <n v="10010"/>
    <n v="-0.96749640146098337"/>
    <n v="533202.5"/>
    <x v="1"/>
    <n v="5000"/>
    <x v="63"/>
  </r>
  <r>
    <d v="2026-06-08T00:00:00"/>
    <x v="120"/>
    <s v="STOCK"/>
    <n v="6"/>
    <s v="STOCK"/>
    <n v="602254"/>
    <x v="142"/>
    <s v="TIN"/>
    <n v="2"/>
    <m/>
    <n v="2"/>
    <n v="46060"/>
    <n v="92120"/>
    <n v="92120"/>
    <n v="46060"/>
    <n v="0"/>
    <n v="0"/>
    <n v="0"/>
    <m/>
    <n v="317814"/>
    <n v="1289782"/>
    <m/>
    <n v="6579000000"/>
    <n v="92120"/>
    <n v="10010"/>
    <n v="0"/>
    <n v="92120"/>
    <x v="1"/>
    <n v="2"/>
    <x v="4"/>
  </r>
  <r>
    <d v="2026-06-08T00:00:00"/>
    <x v="120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814"/>
    <m/>
    <m/>
    <n v="6579000000"/>
    <n v="7557.04882"/>
    <n v="10010"/>
    <n v="-4.4203630279491375E-2"/>
    <n v="7557.0489999999991"/>
    <x v="1"/>
    <n v="10"/>
    <x v="4"/>
  </r>
  <r>
    <d v="2026-06-08T00:00:00"/>
    <x v="120"/>
    <s v="STOCK"/>
    <n v="6"/>
    <s v="STOCK"/>
    <n v="2304053"/>
    <x v="141"/>
    <s v="UND"/>
    <n v="60"/>
    <m/>
    <n v="60"/>
    <n v="1046.5"/>
    <n v="62790"/>
    <n v="62790"/>
    <n v="862"/>
    <n v="-184.5"/>
    <n v="-11070"/>
    <n v="-0.21403712296983743"/>
    <m/>
    <n v="317814"/>
    <m/>
    <m/>
    <n v="6579000000"/>
    <n v="51720.000000000007"/>
    <n v="10010"/>
    <n v="0.2140371229698376"/>
    <n v="51720"/>
    <x v="1"/>
    <n v="60"/>
    <x v="4"/>
  </r>
  <r>
    <d v="2026-06-08T00:00:00"/>
    <x v="120"/>
    <s v="STOCK"/>
    <n v="6"/>
    <s v="STOCK"/>
    <n v="106022"/>
    <x v="157"/>
    <s v="UND"/>
    <n v="5"/>
    <m/>
    <n v="5"/>
    <n v="3800"/>
    <n v="19000"/>
    <n v="19000"/>
    <n v="3800.6911"/>
    <n v="0.69110000000000005"/>
    <n v="3.4554999999999998"/>
    <n v="1.8183508788241479E-4"/>
    <m/>
    <n v="317814"/>
    <m/>
    <m/>
    <n v="6579000000"/>
    <n v="19003.455494999998"/>
    <n v="10010"/>
    <n v="-1.8183535094446528E-4"/>
    <n v="19003.4555"/>
    <x v="1"/>
    <n v="5"/>
    <x v="4"/>
  </r>
  <r>
    <d v="2026-06-08T00:00:00"/>
    <x v="120"/>
    <s v="STOCK"/>
    <n v="6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7814"/>
    <m/>
    <m/>
    <n v="6579000000"/>
    <n v="220260"/>
    <n v="10010"/>
    <n v="2.4198583492236348E-3"/>
    <n v="220260"/>
    <x v="1"/>
    <n v="60"/>
    <x v="40"/>
  </r>
  <r>
    <d v="2026-06-08T00:00:00"/>
    <x v="12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14"/>
    <m/>
    <m/>
    <n v="6579000000"/>
    <n v="10545.292710000002"/>
    <n v="10010"/>
    <n v="8.0197633209320524E-2"/>
    <n v="10545.2925"/>
    <x v="1"/>
    <n v="5"/>
    <x v="28"/>
  </r>
  <r>
    <d v="2026-06-08T00:00:00"/>
    <x v="120"/>
    <s v="STOCK"/>
    <n v="6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7814"/>
    <m/>
    <m/>
    <n v="6579000000"/>
    <n v="47567.500819999994"/>
    <n v="10010"/>
    <n v="-8.2840174488884255E-2"/>
    <n v="47567.5"/>
    <x v="1"/>
    <n v="20"/>
    <x v="4"/>
  </r>
  <r>
    <d v="2026-06-08T00:00:00"/>
    <x v="120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814"/>
    <m/>
    <m/>
    <n v="6579000000"/>
    <n v="209535.01289999983"/>
    <n v="10010"/>
    <n v="-0.21186440394853348"/>
    <n v="209535.01"/>
    <x v="0"/>
    <n v="100"/>
    <x v="121"/>
  </r>
  <r>
    <d v="2026-06-08T00:00:00"/>
    <x v="120"/>
    <s v="STOCK"/>
    <n v="6"/>
    <s v="STOCK"/>
    <n v="307031"/>
    <x v="36"/>
    <s v="UND"/>
    <n v="100"/>
    <m/>
    <n v="100"/>
    <n v="2700"/>
    <n v="270000"/>
    <n v="270000"/>
    <n v="2699.9985999999999"/>
    <n v="-1.4E-3"/>
    <n v="-0.13950000000000001"/>
    <n v="-5.1666693335944687E-7"/>
    <m/>
    <n v="317814"/>
    <m/>
    <m/>
    <n v="6579000000"/>
    <n v="269999.86050000007"/>
    <n v="10010"/>
    <n v="5.1851878741837811E-7"/>
    <n v="269999.86"/>
    <x v="1"/>
    <n v="100"/>
    <x v="32"/>
  </r>
  <r>
    <d v="2026-06-08T00:00:00"/>
    <x v="120"/>
    <s v="STOCK"/>
    <n v="6"/>
    <s v="STOCK"/>
    <n v="704022"/>
    <x v="198"/>
    <s v="UND"/>
    <n v="94"/>
    <m/>
    <n v="94"/>
    <n v="258.38299999999998"/>
    <n v="24288"/>
    <n v="24288"/>
    <n v="306"/>
    <n v="47.616999999999997"/>
    <n v="4476"/>
    <n v="0.15561118064246984"/>
    <m/>
    <n v="317814"/>
    <m/>
    <m/>
    <n v="6579000000"/>
    <n v="28764.000000000004"/>
    <n v="10010"/>
    <n v="-0.15561111111111117"/>
    <n v="28764"/>
    <x v="1"/>
    <n v="94"/>
    <x v="122"/>
  </r>
  <r>
    <d v="2026-06-08T00:00:00"/>
    <x v="120"/>
    <s v="STOCK"/>
    <n v="6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7814"/>
    <m/>
    <m/>
    <n v="6579000000"/>
    <n v="72600"/>
    <n v="10010"/>
    <n v="-0.12415977961432505"/>
    <n v="72600"/>
    <x v="1"/>
    <n v="200"/>
    <x v="123"/>
  </r>
  <r>
    <d v="2026-06-08T00:00:00"/>
    <x v="120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814"/>
    <m/>
    <m/>
    <n v="6579000000"/>
    <n v="23990"/>
    <n v="10010"/>
    <n v="-2.6260942059192086E-3"/>
    <n v="23990"/>
    <x v="1"/>
    <n v="5"/>
    <x v="139"/>
  </r>
  <r>
    <d v="2026-06-08T00:00:00"/>
    <x v="120"/>
    <s v="STOCK"/>
    <n v="6"/>
    <s v="STOCK"/>
    <n v="404252"/>
    <x v="118"/>
    <s v="UND"/>
    <n v="4"/>
    <m/>
    <n v="4"/>
    <n v="2167.25"/>
    <n v="8669"/>
    <n v="8669"/>
    <n v="1110.0438999999999"/>
    <n v="-1057.2061000000001"/>
    <n v="-4228.8244999999997"/>
    <n v="-0.95240030313900859"/>
    <m/>
    <n v="317814"/>
    <m/>
    <m/>
    <n v="6579000000"/>
    <n v="4440.1755039999998"/>
    <n v="10010"/>
    <n v="0.95240026092661756"/>
    <n v="4440.1755999999996"/>
    <x v="1"/>
    <n v="4"/>
    <x v="4"/>
  </r>
  <r>
    <d v="2026-06-08T00:00:00"/>
    <x v="120"/>
    <s v="STOCK"/>
    <n v="6"/>
    <s v="STOCK"/>
    <n v="1103074"/>
    <x v="192"/>
    <s v="UND"/>
    <n v="50"/>
    <m/>
    <n v="50"/>
    <n v="1499.36"/>
    <n v="74968"/>
    <n v="74968"/>
    <n v="2427"/>
    <n v="927.64"/>
    <n v="46382"/>
    <n v="0.38221672847136384"/>
    <m/>
    <n v="317814"/>
    <m/>
    <m/>
    <n v="6579000000"/>
    <n v="121350"/>
    <n v="10010"/>
    <n v="-0.38221672847136384"/>
    <n v="121350"/>
    <x v="1"/>
    <n v="50"/>
    <x v="119"/>
  </r>
  <r>
    <d v="2026-06-08T00:00:00"/>
    <x v="120"/>
    <s v="STOCK"/>
    <n v="6"/>
    <s v="STOCK"/>
    <n v="1103076"/>
    <x v="193"/>
    <s v="UND"/>
    <n v="60"/>
    <m/>
    <n v="60"/>
    <n v="2033.0333000000001"/>
    <n v="121982"/>
    <n v="121982"/>
    <n v="3191"/>
    <n v="1157.9666999999999"/>
    <n v="69478"/>
    <n v="0.36288519795257496"/>
    <m/>
    <n v="317814"/>
    <m/>
    <m/>
    <n v="6579000000"/>
    <n v="191460"/>
    <n v="10010"/>
    <n v="-0.3628852083986211"/>
    <n v="191460"/>
    <x v="1"/>
    <n v="60"/>
    <x v="120"/>
  </r>
  <r>
    <d v="2026-06-08T00:00:00"/>
    <x v="120"/>
    <s v="STOCK"/>
    <n v="6"/>
    <s v="STOCK"/>
    <n v="404184"/>
    <x v="37"/>
    <s v="UND"/>
    <n v="46"/>
    <m/>
    <n v="46"/>
    <n v="1745.1304"/>
    <n v="80276"/>
    <n v="80276"/>
    <n v="1754.8757000000001"/>
    <n v="9.7453000000000003"/>
    <n v="448.28359999999998"/>
    <n v="5.5532685564225522E-3"/>
    <m/>
    <n v="317814"/>
    <m/>
    <m/>
    <n v="6579000000"/>
    <n v="80724.283626000004"/>
    <n v="10010"/>
    <n v="-5.5532708100066814E-3"/>
    <n v="80724.282200000001"/>
    <x v="1"/>
    <n v="46"/>
    <x v="33"/>
  </r>
  <r>
    <d v="2026-06-09T00:00:00"/>
    <x v="121"/>
    <s v="STOCK"/>
    <n v="6"/>
    <s v="STOCK"/>
    <n v="404792"/>
    <x v="279"/>
    <s v="CJA"/>
    <n v="10"/>
    <m/>
    <n v="10"/>
    <n v="18351.8"/>
    <n v="183518"/>
    <n v="183518"/>
    <m/>
    <m/>
    <n v="-183518"/>
    <m/>
    <m/>
    <n v="317845"/>
    <n v="183518"/>
    <m/>
    <n v="6579000000"/>
    <s v=""/>
    <n v="10010"/>
    <e v="#DIV/0!"/>
    <n v="0"/>
    <x v="1"/>
    <n v="10"/>
    <x v="100"/>
  </r>
  <r>
    <d v="2026-06-09T00:00:00"/>
    <x v="121"/>
    <s v="STOCK"/>
    <n v="6"/>
    <s v="STOCK"/>
    <n v="2505058"/>
    <x v="99"/>
    <s v="UND"/>
    <n v="21"/>
    <m/>
    <n v="21"/>
    <n v="16469.666700000002"/>
    <n v="345863"/>
    <n v="345863"/>
    <n v="17870.144100000001"/>
    <n v="1400.4774"/>
    <n v="29410.025399999999"/>
    <n v="7.8369676036421171E-2"/>
    <m/>
    <n v="317859"/>
    <n v="1591191"/>
    <m/>
    <n v="6579000000"/>
    <n v="375273.02542800002"/>
    <n v="10010"/>
    <n v="-7.8369675821472515E-2"/>
    <n v="375273.02610000002"/>
    <x v="1"/>
    <n v="21"/>
    <x v="87"/>
  </r>
  <r>
    <d v="2026-06-09T00:00:00"/>
    <x v="121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859"/>
    <m/>
    <m/>
    <n v="6579000000"/>
    <n v="917083.44828000001"/>
    <n v="10010"/>
    <n v="-6.3281569552436868E-3"/>
    <n v="917083.44800000009"/>
    <x v="0"/>
    <n v="40"/>
    <x v="38"/>
  </r>
  <r>
    <d v="2026-06-09T00:00:00"/>
    <x v="121"/>
    <s v="STOCK"/>
    <n v="6"/>
    <s v="STOCK"/>
    <n v="1801735"/>
    <x v="43"/>
    <s v="UND"/>
    <n v="15"/>
    <m/>
    <n v="15"/>
    <n v="3781.0666999999999"/>
    <n v="56716"/>
    <n v="56716"/>
    <n v="3495"/>
    <n v="-286.06670000000003"/>
    <n v="-4291"/>
    <n v="-8.1850262279446806E-2"/>
    <m/>
    <n v="317859"/>
    <m/>
    <m/>
    <n v="6579000000"/>
    <n v="52425"/>
    <n v="10010"/>
    <n v="8.1850271816881218E-2"/>
    <n v="52425"/>
    <x v="1"/>
    <n v="15"/>
    <x v="39"/>
  </r>
  <r>
    <d v="2026-06-09T00:00:00"/>
    <x v="121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859"/>
    <m/>
    <m/>
    <n v="6579000000"/>
    <n v="72810"/>
    <n v="10010"/>
    <n v="-0.38221396786155748"/>
    <n v="72810"/>
    <x v="1"/>
    <n v="30"/>
    <x v="119"/>
  </r>
  <r>
    <d v="2026-06-09T00:00:00"/>
    <x v="121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859"/>
    <m/>
    <m/>
    <n v="6579000000"/>
    <n v="95730"/>
    <n v="10010"/>
    <n v="-0.3628852083986211"/>
    <n v="95730"/>
    <x v="1"/>
    <n v="30"/>
    <x v="120"/>
  </r>
  <r>
    <d v="2026-06-09T00:00:00"/>
    <x v="121"/>
    <s v="STOCK"/>
    <n v="6"/>
    <s v="STOCK"/>
    <n v="1802162"/>
    <x v="169"/>
    <s v="UND"/>
    <n v="4"/>
    <m/>
    <n v="4"/>
    <n v="42840"/>
    <n v="171360"/>
    <n v="171360"/>
    <n v="42840"/>
    <n v="0"/>
    <n v="0"/>
    <n v="0"/>
    <m/>
    <n v="317859"/>
    <m/>
    <m/>
    <n v="6579000000"/>
    <n v="171360"/>
    <n v="10010"/>
    <n v="0"/>
    <n v="171360"/>
    <x v="1"/>
    <n v="4"/>
    <x v="103"/>
  </r>
  <r>
    <d v="2026-06-09T00:00:00"/>
    <x v="121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9"/>
    <n v="97400"/>
    <m/>
    <n v="6579000000"/>
    <n v="97400"/>
    <n v="10010"/>
    <n v="0"/>
    <n v="97400"/>
    <x v="1"/>
    <n v="200"/>
    <x v="118"/>
  </r>
  <r>
    <d v="2026-06-09T00:00:00"/>
    <x v="121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7911"/>
    <n v="4364102"/>
    <m/>
    <n v="6579000000"/>
    <n v="3733.9007100000017"/>
    <n v="10010"/>
    <n v="2.6567390328128124E-5"/>
    <n v="3733.9007999999999"/>
    <x v="1"/>
    <n v="2"/>
    <x v="4"/>
  </r>
  <r>
    <d v="2026-06-09T00:00:00"/>
    <x v="121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1"/>
    <m/>
    <m/>
    <n v="6579000000"/>
    <n v="97400"/>
    <n v="10010"/>
    <n v="0"/>
    <n v="97400"/>
    <x v="1"/>
    <n v="200"/>
    <x v="118"/>
  </r>
  <r>
    <d v="2026-06-09T00:00:00"/>
    <x v="121"/>
    <s v="STOCK"/>
    <n v="6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911"/>
    <m/>
    <m/>
    <n v="6579000000"/>
    <n v="58000"/>
    <n v="10010"/>
    <n v="-1.7241379310348748E-4"/>
    <n v="58000"/>
    <x v="1"/>
    <n v="100"/>
    <x v="124"/>
  </r>
  <r>
    <d v="2026-06-09T00:00:00"/>
    <x v="121"/>
    <s v="STOCK"/>
    <n v="6"/>
    <s v="STOCK"/>
    <n v="704023"/>
    <x v="231"/>
    <s v="UND"/>
    <n v="100"/>
    <m/>
    <n v="100"/>
    <n v="324"/>
    <n v="32400"/>
    <n v="32400"/>
    <n v="324"/>
    <n v="0"/>
    <n v="0"/>
    <n v="0"/>
    <m/>
    <n v="317911"/>
    <m/>
    <m/>
    <n v="6579000000"/>
    <n v="32400"/>
    <n v="10010"/>
    <n v="0"/>
    <n v="32400"/>
    <x v="1"/>
    <n v="100"/>
    <x v="143"/>
  </r>
  <r>
    <d v="2026-06-09T00:00:00"/>
    <x v="121"/>
    <s v="STOCK"/>
    <n v="6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911"/>
    <m/>
    <m/>
    <n v="6579000000"/>
    <n v="36300"/>
    <n v="10010"/>
    <n v="-0.12415977961432505"/>
    <n v="36300"/>
    <x v="1"/>
    <n v="100"/>
    <x v="123"/>
  </r>
  <r>
    <d v="2026-06-09T00:00:00"/>
    <x v="121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911"/>
    <m/>
    <m/>
    <n v="6579000000"/>
    <n v="20688.000000000004"/>
    <n v="10010"/>
    <n v="0.2140371229698376"/>
    <n v="20688"/>
    <x v="1"/>
    <n v="24"/>
    <x v="4"/>
  </r>
  <r>
    <d v="2026-06-09T00:00:00"/>
    <x v="121"/>
    <s v="STOCK"/>
    <n v="6"/>
    <s v="STOCK"/>
    <n v="1801230"/>
    <x v="24"/>
    <s v="UND"/>
    <n v="60"/>
    <m/>
    <n v="60"/>
    <n v="3554.4832999999999"/>
    <n v="213269"/>
    <n v="213269"/>
    <n v="9309.8462"/>
    <n v="5755.3627999999999"/>
    <n v="345321.76919999998"/>
    <n v="0.61820171090516463"/>
    <m/>
    <n v="317911"/>
    <m/>
    <m/>
    <n v="6579000000"/>
    <n v="558590.76924000005"/>
    <n v="10010"/>
    <n v="-0.61820171637207066"/>
    <n v="558590.772"/>
    <x v="1"/>
    <n v="60"/>
    <x v="21"/>
  </r>
  <r>
    <d v="2026-06-09T00:00:00"/>
    <x v="121"/>
    <s v="STOCK"/>
    <n v="6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7911"/>
    <m/>
    <m/>
    <n v="6579000000"/>
    <n v="1419525.7199999995"/>
    <n v="10010"/>
    <n v="-5.9588710481868014E-2"/>
    <n v="1419525.6"/>
    <x v="0"/>
    <n v="3000"/>
    <x v="8"/>
  </r>
  <r>
    <d v="2026-06-09T00:00:00"/>
    <x v="121"/>
    <s v="STOCK"/>
    <n v="6"/>
    <s v="STOCK"/>
    <n v="701096"/>
    <x v="135"/>
    <s v="PL"/>
    <n v="140"/>
    <m/>
    <n v="140"/>
    <n v="16021.6857"/>
    <n v="2243036"/>
    <n v="2243036"/>
    <n v="16019.885700000001"/>
    <n v="-1.8"/>
    <n v="-252.00409999999999"/>
    <n v="-1.1236218042404084E-4"/>
    <m/>
    <n v="317911"/>
    <m/>
    <m/>
    <n v="6579000000"/>
    <n v="2242783.9959000004"/>
    <n v="10010"/>
    <n v="1.1236035223392839E-4"/>
    <n v="2242783.9980000001"/>
    <x v="0"/>
    <n v="140"/>
    <x v="94"/>
  </r>
  <r>
    <d v="2026-06-09T00:00:00"/>
    <x v="121"/>
    <s v="STOCK"/>
    <n v="6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7911"/>
    <m/>
    <m/>
    <n v="6579000000"/>
    <n v="194379.88500000001"/>
    <n v="10010"/>
    <n v="5.1445648445811355E-7"/>
    <n v="194379.9"/>
    <x v="1"/>
    <n v="500"/>
    <x v="4"/>
  </r>
  <r>
    <d v="2026-06-09T00:00:00"/>
    <x v="121"/>
    <s v="STOCK"/>
    <n v="6"/>
    <s v="STOCK"/>
    <n v="412302"/>
    <x v="113"/>
    <s v="UND"/>
    <n v="20"/>
    <m/>
    <n v="20"/>
    <n v="4742.45"/>
    <n v="94849"/>
    <n v="94849"/>
    <n v="4742.4587000000001"/>
    <n v="8.6999999999999994E-3"/>
    <n v="0.17330000000000001"/>
    <n v="1.8275330600913992E-6"/>
    <m/>
    <n v="317911"/>
    <m/>
    <m/>
    <n v="6579000000"/>
    <n v="94849.173339999994"/>
    <n v="10010"/>
    <n v="-1.8344914633241259E-6"/>
    <n v="94849.173999999999"/>
    <x v="1"/>
    <n v="20"/>
    <x v="4"/>
  </r>
  <r>
    <d v="2026-06-09T00:00:00"/>
    <x v="121"/>
    <s v="STOCK"/>
    <n v="6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7911"/>
    <m/>
    <m/>
    <n v="6579000000"/>
    <n v="35197.460000000006"/>
    <n v="10010"/>
    <n v="-1.4205554371625315E-5"/>
    <n v="35197.5"/>
    <x v="1"/>
    <n v="1000"/>
    <x v="4"/>
  </r>
  <r>
    <d v="2026-06-10T00:00:00"/>
    <x v="122"/>
    <s v="STOCK"/>
    <n v="6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8000"/>
    <n v="763858"/>
    <m/>
    <n v="6579000000"/>
    <n v="30212.828690000009"/>
    <n v="10010"/>
    <n v="5.6598473449896557E-6"/>
    <n v="30212.829000000002"/>
    <x v="1"/>
    <n v="10"/>
    <x v="52"/>
  </r>
  <r>
    <d v="2026-06-10T00:00:00"/>
    <x v="122"/>
    <s v="STOCK"/>
    <n v="6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8000"/>
    <m/>
    <m/>
    <n v="6579000000"/>
    <n v="291694"/>
    <n v="10010"/>
    <n v="-2.2732726761606342E-2"/>
    <n v="291694"/>
    <x v="1"/>
    <n v="2"/>
    <x v="126"/>
  </r>
  <r>
    <d v="2026-06-10T00:00:00"/>
    <x v="122"/>
    <s v="STOCK"/>
    <n v="6"/>
    <s v="STOCK"/>
    <n v="2508988"/>
    <x v="202"/>
    <s v="KIT"/>
    <n v="2"/>
    <m/>
    <n v="2"/>
    <n v="142675.5"/>
    <n v="285351"/>
    <n v="285351"/>
    <m/>
    <m/>
    <n v="-285351"/>
    <m/>
    <m/>
    <n v="318000"/>
    <m/>
    <m/>
    <n v="6579000000"/>
    <s v=""/>
    <n v="10010"/>
    <e v="#DIV/0!"/>
    <n v="0"/>
    <x v="1"/>
    <n v="2"/>
    <x v="100"/>
  </r>
  <r>
    <d v="2026-06-10T00:00:00"/>
    <x v="122"/>
    <s v="STOCK"/>
    <n v="6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8000"/>
    <m/>
    <m/>
    <n v="6579000000"/>
    <n v="26952"/>
    <n v="10010"/>
    <n v="-7.3092905906797269E-3"/>
    <n v="26952"/>
    <x v="1"/>
    <n v="4"/>
    <x v="138"/>
  </r>
  <r>
    <d v="2026-06-10T00:00:00"/>
    <x v="122"/>
    <s v="STOCK"/>
    <n v="6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8000"/>
    <m/>
    <m/>
    <n v="6579000000"/>
    <n v="19192"/>
    <n v="10010"/>
    <n v="-2.6052521884118384E-3"/>
    <n v="19192"/>
    <x v="1"/>
    <n v="4"/>
    <x v="139"/>
  </r>
  <r>
    <d v="2026-06-10T00:00:00"/>
    <x v="122"/>
    <s v="STOCK"/>
    <n v="6"/>
    <s v="STOCK"/>
    <n v="2508992"/>
    <x v="228"/>
    <s v="UND"/>
    <n v="4"/>
    <m/>
    <n v="4"/>
    <n v="5068.75"/>
    <n v="20275"/>
    <n v="20275"/>
    <n v="5084"/>
    <n v="15.25"/>
    <n v="61"/>
    <n v="2.9996066089693157E-3"/>
    <m/>
    <n v="318000"/>
    <m/>
    <m/>
    <n v="6579000000"/>
    <n v="20336"/>
    <n v="10010"/>
    <n v="-2.9996066089693157E-3"/>
    <n v="20336"/>
    <x v="1"/>
    <n v="4"/>
    <x v="140"/>
  </r>
  <r>
    <d v="2026-06-10T00:00:00"/>
    <x v="122"/>
    <s v="STOCK"/>
    <n v="6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8000"/>
    <m/>
    <m/>
    <n v="6579000000"/>
    <n v="5640"/>
    <n v="10010"/>
    <n v="3.6702127659574466E-2"/>
    <n v="5640"/>
    <x v="1"/>
    <n v="4"/>
    <x v="141"/>
  </r>
  <r>
    <d v="2026-06-10T00:00:00"/>
    <x v="122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000"/>
    <m/>
    <m/>
    <n v="6579000000"/>
    <n v="104767.50644999991"/>
    <n v="10010"/>
    <n v="-0.12938654022542587"/>
    <n v="104767.505"/>
    <x v="0"/>
    <n v="50"/>
    <x v="121"/>
  </r>
  <r>
    <d v="2026-06-10T00:00:00"/>
    <x v="122"/>
    <s v="STOCK"/>
    <n v="6"/>
    <s v="STOCK"/>
    <n v="1802103"/>
    <x v="280"/>
    <s v="UND"/>
    <n v="5"/>
    <m/>
    <n v="5"/>
    <n v="734"/>
    <n v="3670"/>
    <n v="3670"/>
    <m/>
    <m/>
    <n v="-3670"/>
    <m/>
    <m/>
    <n v="318024"/>
    <n v="1352722"/>
    <m/>
    <n v="6579000000"/>
    <s v=""/>
    <n v="10010"/>
    <e v="#DIV/0!"/>
    <n v="0"/>
    <x v="1"/>
    <n v="5"/>
    <x v="100"/>
  </r>
  <r>
    <d v="2026-06-10T00:00:00"/>
    <x v="122"/>
    <s v="STOCK"/>
    <n v="6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18024"/>
    <m/>
    <m/>
    <n v="6579000000"/>
    <n v="110819.45454599996"/>
    <n v="10010"/>
    <n v="-4.1012654469409861E-6"/>
    <n v="110819.4546"/>
    <x v="0"/>
    <n v="3"/>
    <x v="45"/>
  </r>
  <r>
    <d v="2026-06-10T00:00:00"/>
    <x v="122"/>
    <s v="STOCK"/>
    <n v="6"/>
    <s v="STOCK"/>
    <n v="1902013"/>
    <x v="144"/>
    <s v="RLL"/>
    <n v="15"/>
    <m/>
    <n v="15"/>
    <n v="39232.533300000003"/>
    <n v="588488"/>
    <n v="588488"/>
    <n v="29779"/>
    <n v="-9453.5332999999991"/>
    <n v="-141803"/>
    <n v="-0.31745637305931473"/>
    <m/>
    <n v="318024"/>
    <m/>
    <m/>
    <n v="6579000000"/>
    <n v="446685"/>
    <n v="10010"/>
    <n v="0.31745637193995779"/>
    <n v="446685"/>
    <x v="0"/>
    <n v="15"/>
    <x v="4"/>
  </r>
  <r>
    <d v="2026-06-10T00:00:00"/>
    <x v="122"/>
    <s v="STOCK"/>
    <n v="6"/>
    <s v="STOCK"/>
    <n v="404745"/>
    <x v="184"/>
    <s v="UND"/>
    <n v="10"/>
    <m/>
    <n v="10"/>
    <n v="8826"/>
    <n v="88260"/>
    <n v="88260"/>
    <m/>
    <m/>
    <n v="-88260"/>
    <m/>
    <m/>
    <n v="318024"/>
    <m/>
    <m/>
    <n v="6579000000"/>
    <s v=""/>
    <n v="10010"/>
    <e v="#DIV/0!"/>
    <n v="0"/>
    <x v="1"/>
    <n v="10"/>
    <x v="100"/>
  </r>
  <r>
    <d v="2026-06-10T00:00:00"/>
    <x v="122"/>
    <s v="STOCK"/>
    <n v="6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8024"/>
    <m/>
    <m/>
    <n v="6579000000"/>
    <n v="45115.090909999999"/>
    <n v="10010"/>
    <n v="-2.0170634256362076E-6"/>
    <n v="45115.091"/>
    <x v="1"/>
    <n v="2"/>
    <x v="4"/>
  </r>
  <r>
    <d v="2026-06-10T00:00:00"/>
    <x v="122"/>
    <s v="STOCK"/>
    <n v="6"/>
    <s v="STOCK"/>
    <n v="2302118"/>
    <x v="147"/>
    <s v="TIN"/>
    <n v="5"/>
    <m/>
    <n v="5"/>
    <n v="80875.8"/>
    <n v="404379"/>
    <n v="404379"/>
    <n v="101250"/>
    <n v="20374.2"/>
    <n v="101871"/>
    <n v="0.20122666666666664"/>
    <m/>
    <n v="318024"/>
    <m/>
    <m/>
    <n v="6579000000"/>
    <n v="506250"/>
    <n v="10010"/>
    <n v="-0.20122666666666664"/>
    <n v="506250"/>
    <x v="1"/>
    <n v="5"/>
    <x v="4"/>
  </r>
  <r>
    <d v="2026-06-10T00:00:00"/>
    <x v="122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8024"/>
    <m/>
    <m/>
    <n v="6579000000"/>
    <n v="533202.50991891895"/>
    <n v="10010"/>
    <n v="-0.96749640146098337"/>
    <n v="533202.5"/>
    <x v="1"/>
    <n v="5000"/>
    <x v="63"/>
  </r>
  <r>
    <d v="2026-06-10T00:00:00"/>
    <x v="122"/>
    <s v="STOCK"/>
    <n v="6"/>
    <s v="STOCK"/>
    <s v="70508X"/>
    <x v="191"/>
    <s v="UND"/>
    <n v="3"/>
    <m/>
    <n v="3"/>
    <n v="31553.333299999998"/>
    <n v="94660"/>
    <n v="94660"/>
    <m/>
    <m/>
    <n v="-94660"/>
    <m/>
    <m/>
    <n v="318024"/>
    <m/>
    <m/>
    <n v="6579000000"/>
    <s v=""/>
    <n v="10010"/>
    <e v="#DIV/0!"/>
    <n v="0"/>
    <x v="1"/>
    <n v="3"/>
    <x v="100"/>
  </r>
  <r>
    <d v="2026-06-11T00:00:00"/>
    <x v="123"/>
    <s v="STOCK"/>
    <n v="6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8097"/>
    <n v="1200862"/>
    <m/>
    <n v="6579000000"/>
    <n v="476280"/>
    <n v="10010"/>
    <n v="-1.9729990551776301E-2"/>
    <n v="476280"/>
    <x v="1"/>
    <n v="9"/>
    <x v="100"/>
  </r>
  <r>
    <d v="2026-06-11T00:00:00"/>
    <x v="123"/>
    <s v="STOCK"/>
    <n v="6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8097"/>
    <m/>
    <m/>
    <n v="6579000000"/>
    <n v="466856.99999999994"/>
    <n v="10010"/>
    <n v="1.6493358780096941E-4"/>
    <n v="466857"/>
    <x v="0"/>
    <n v="9"/>
    <x v="57"/>
  </r>
  <r>
    <d v="2026-06-11T00:00:00"/>
    <x v="123"/>
    <s v="STOCK"/>
    <n v="6"/>
    <s v="STOCK"/>
    <n v="2304053"/>
    <x v="141"/>
    <s v="UND"/>
    <n v="36"/>
    <m/>
    <n v="36"/>
    <n v="1046.5"/>
    <n v="37674"/>
    <n v="37674"/>
    <n v="862"/>
    <n v="-184.5"/>
    <n v="-6642"/>
    <n v="-0.21403712296983743"/>
    <m/>
    <n v="318097"/>
    <m/>
    <m/>
    <n v="6579000000"/>
    <n v="31032.000000000004"/>
    <n v="10010"/>
    <n v="0.2140371229698376"/>
    <n v="31032"/>
    <x v="1"/>
    <n v="36"/>
    <x v="4"/>
  </r>
  <r>
    <d v="2026-06-11T00:00:00"/>
    <x v="123"/>
    <s v="STOCK"/>
    <n v="6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8097"/>
    <m/>
    <m/>
    <n v="6579000000"/>
    <n v="132156"/>
    <n v="10010"/>
    <n v="2.4213838191228334E-3"/>
    <n v="132156"/>
    <x v="1"/>
    <n v="36"/>
    <x v="40"/>
  </r>
  <r>
    <d v="2026-06-11T00:00:00"/>
    <x v="123"/>
    <s v="STOCK"/>
    <n v="6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8097"/>
    <m/>
    <m/>
    <n v="6579000000"/>
    <n v="33035.321376"/>
    <n v="10010"/>
    <n v="2.3994899422923075E-2"/>
    <n v="33035.320800000001"/>
    <x v="1"/>
    <n v="24"/>
    <x v="4"/>
  </r>
  <r>
    <d v="2026-06-11T00:00:00"/>
    <x v="123"/>
    <s v="STOCK"/>
    <n v="6"/>
    <s v="STOCK"/>
    <n v="2304008"/>
    <x v="223"/>
    <s v="UND"/>
    <n v="24"/>
    <m/>
    <n v="24"/>
    <n v="2550"/>
    <n v="61200"/>
    <n v="61200"/>
    <m/>
    <m/>
    <n v="-61200"/>
    <m/>
    <m/>
    <n v="318097"/>
    <m/>
    <m/>
    <n v="6579000000"/>
    <s v=""/>
    <n v="10010"/>
    <e v="#DIV/0!"/>
    <n v="0"/>
    <x v="1"/>
    <n v="24"/>
    <x v="100"/>
  </r>
  <r>
    <d v="2026-06-11T00:00:00"/>
    <x v="123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8097"/>
    <m/>
    <m/>
    <n v="6579000000"/>
    <n v="1866.9503550000009"/>
    <n v="10010"/>
    <n v="2.6567390328128124E-5"/>
    <n v="1866.9503999999999"/>
    <x v="1"/>
    <n v="1"/>
    <x v="4"/>
  </r>
  <r>
    <d v="2026-06-11T00:00:00"/>
    <x v="123"/>
    <s v="STOCK"/>
    <n v="6"/>
    <s v="STOCK"/>
    <n v="1103107"/>
    <x v="220"/>
    <s v="ML"/>
    <n v="90"/>
    <m/>
    <n v="90"/>
    <n v="1200"/>
    <n v="108000"/>
    <n v="108000"/>
    <n v="5092"/>
    <n v="3892"/>
    <n v="350280"/>
    <n v="0.76433621366849946"/>
    <m/>
    <n v="318142"/>
    <n v="108000"/>
    <m/>
    <n v="6579000000"/>
    <n v="458280"/>
    <n v="10010"/>
    <n v="-0.76433621366849958"/>
    <n v="458280"/>
    <x v="1"/>
    <n v="90"/>
    <x v="100"/>
  </r>
  <r>
    <d v="2026-06-11T00:00:00"/>
    <x v="123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8188"/>
    <n v="19102272"/>
    <m/>
    <n v="6579000000"/>
    <n v="7557.04882"/>
    <n v="10010"/>
    <n v="-4.4203630279491375E-2"/>
    <n v="7557.0489999999991"/>
    <x v="1"/>
    <n v="10"/>
    <x v="4"/>
  </r>
  <r>
    <d v="2026-06-11T00:00:00"/>
    <x v="123"/>
    <s v="STOCK"/>
    <n v="6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8188"/>
    <m/>
    <m/>
    <n v="6579000000"/>
    <n v="1559.59933"/>
    <n v="10010"/>
    <n v="2.5679669684433674E-4"/>
    <n v="1559.5994999999998"/>
    <x v="1"/>
    <n v="5"/>
    <x v="104"/>
  </r>
  <r>
    <d v="2026-06-11T00:00:00"/>
    <x v="123"/>
    <s v="STOCK"/>
    <n v="6"/>
    <s v="STOCK"/>
    <n v="302054"/>
    <x v="162"/>
    <s v="PZA"/>
    <n v="1248"/>
    <m/>
    <n v="1248"/>
    <n v="4551.5111999999999"/>
    <n v="5680286"/>
    <n v="5680286"/>
    <n v="5713"/>
    <n v="1161.4888000000001"/>
    <n v="1449538"/>
    <n v="0.20330628077214813"/>
    <m/>
    <n v="318188"/>
    <m/>
    <m/>
    <n v="6579000000"/>
    <n v="7129824"/>
    <n v="10010"/>
    <n v="-0.20330628391388064"/>
    <n v="7129824"/>
    <x v="0"/>
    <n v="1248"/>
    <x v="4"/>
  </r>
  <r>
    <d v="2026-06-11T00:00:00"/>
    <x v="123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8188"/>
    <m/>
    <m/>
    <n v="6579000000"/>
    <n v="0"/>
    <n v="10010"/>
    <e v="#DIV/0!"/>
    <n v="0"/>
    <x v="1"/>
    <n v="20"/>
    <x v="102"/>
  </r>
  <r>
    <d v="2026-06-11T00:00:00"/>
    <x v="123"/>
    <s v="STOCK"/>
    <n v="6"/>
    <s v="STOCK"/>
    <n v="701043"/>
    <x v="132"/>
    <s v="PL"/>
    <n v="120"/>
    <m/>
    <n v="120"/>
    <n v="22513.15"/>
    <n v="2701578"/>
    <n v="2701578"/>
    <n v="22146.362799999999"/>
    <n v="-366.78719999999998"/>
    <n v="-44014.467400000001"/>
    <n v="-1.6561962421374945E-2"/>
    <m/>
    <n v="318188"/>
    <m/>
    <m/>
    <n v="6579000000"/>
    <n v="2657563.5326399999"/>
    <n v="10010"/>
    <n v="1.6561961136119494E-2"/>
    <n v="2657563.5359999998"/>
    <x v="0"/>
    <n v="120"/>
    <x v="93"/>
  </r>
  <r>
    <d v="2026-06-11T00:00:00"/>
    <x v="123"/>
    <s v="STOCK"/>
    <n v="6"/>
    <s v="STOCK"/>
    <n v="707023"/>
    <x v="263"/>
    <s v="UND"/>
    <n v="48"/>
    <m/>
    <n v="48"/>
    <n v="16734.4375"/>
    <n v="803253"/>
    <n v="803253"/>
    <m/>
    <m/>
    <n v="-803253"/>
    <m/>
    <m/>
    <n v="318188"/>
    <m/>
    <m/>
    <n v="6579000000"/>
    <s v=""/>
    <n v="10010"/>
    <e v="#DIV/0!"/>
    <n v="0"/>
    <x v="1"/>
    <n v="48"/>
    <x v="100"/>
  </r>
  <r>
    <d v="2026-06-11T00:00:00"/>
    <x v="123"/>
    <s v="STOCK"/>
    <n v="6"/>
    <s v="STOCK"/>
    <n v="701096"/>
    <x v="135"/>
    <s v="PL"/>
    <n v="140"/>
    <m/>
    <n v="140"/>
    <n v="16021.35"/>
    <n v="2242989"/>
    <n v="2242989"/>
    <n v="16019.885700000001"/>
    <n v="-1.4642999999999999"/>
    <n v="-205.00409999999999"/>
    <n v="-9.1406082964033388E-5"/>
    <m/>
    <n v="318188"/>
    <m/>
    <m/>
    <n v="6579000000"/>
    <n v="2242783.9959000004"/>
    <n v="10010"/>
    <n v="9.1405146542315158E-5"/>
    <n v="2242783.9980000001"/>
    <x v="0"/>
    <n v="140"/>
    <x v="94"/>
  </r>
  <r>
    <d v="2026-06-11T00:00:00"/>
    <x v="123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8188"/>
    <m/>
    <m/>
    <n v="6579000000"/>
    <n v="1228776.2228000003"/>
    <n v="10010"/>
    <n v="-1.8229519378380471E-7"/>
    <n v="1228776.2239999999"/>
    <x v="0"/>
    <n v="80"/>
    <x v="3"/>
  </r>
  <r>
    <d v="2026-06-11T00:00:00"/>
    <x v="123"/>
    <s v="STOCK"/>
    <n v="6"/>
    <s v="STOCK"/>
    <n v="302046"/>
    <x v="78"/>
    <s v="PZA"/>
    <n v="336"/>
    <m/>
    <n v="336"/>
    <n v="10234.663699999999"/>
    <n v="3438847"/>
    <n v="3438847"/>
    <n v="10156.5985"/>
    <n v="-78.065200000000004"/>
    <n v="-26229.915099999998"/>
    <n v="-7.686158287130521E-3"/>
    <m/>
    <n v="318188"/>
    <m/>
    <m/>
    <n v="6579000000"/>
    <n v="3412617.0849120007"/>
    <n v="10010"/>
    <n v="7.6861559507347948E-3"/>
    <n v="3412617.0959999999"/>
    <x v="0"/>
    <n v="336"/>
    <x v="46"/>
  </r>
  <r>
    <d v="2026-06-11T00:00:00"/>
    <x v="123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8188"/>
    <m/>
    <m/>
    <n v="6579000000"/>
    <n v="595580"/>
    <n v="10010"/>
    <n v="0.3174552537022734"/>
    <n v="595580"/>
    <x v="0"/>
    <n v="20"/>
    <x v="4"/>
  </r>
  <r>
    <d v="2026-06-11T00:00:00"/>
    <x v="123"/>
    <s v="STOCK"/>
    <n v="6"/>
    <s v="STOCK"/>
    <n v="304049"/>
    <x v="159"/>
    <s v="PL"/>
    <n v="130"/>
    <m/>
    <n v="130"/>
    <n v="15646.776900000001"/>
    <n v="2034081"/>
    <n v="2034081"/>
    <n v="14982"/>
    <n v="-664.77689999999996"/>
    <n v="-86421"/>
    <n v="-4.4371707587567102E-2"/>
    <m/>
    <n v="318188"/>
    <m/>
    <m/>
    <n v="6579000000"/>
    <n v="1947659.9999999993"/>
    <n v="10010"/>
    <n v="4.4371706047256758E-2"/>
    <n v="1947660"/>
    <x v="0"/>
    <n v="130"/>
    <x v="99"/>
  </r>
  <r>
    <d v="2026-06-12T00:00:00"/>
    <x v="124"/>
    <s v="STOCK"/>
    <n v="6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8253"/>
    <n v="519679"/>
    <m/>
    <n v="6579000000"/>
    <n v="475295.51668"/>
    <n v="10010"/>
    <n v="9.3380817840494901E-2"/>
    <n v="475295.516"/>
    <x v="0"/>
    <n v="40"/>
    <x v="92"/>
  </r>
  <r>
    <d v="2026-06-12T00:00:00"/>
    <x v="124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8246"/>
    <n v="84930"/>
    <m/>
    <n v="6579000000"/>
    <n v="3733.9007100000017"/>
    <n v="10010"/>
    <n v="2.6567390328128124E-5"/>
    <n v="3733.9007999999999"/>
    <x v="1"/>
    <n v="2"/>
    <x v="4"/>
  </r>
  <r>
    <d v="2026-06-12T00:00:00"/>
    <x v="124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8246"/>
    <m/>
    <m/>
    <n v="6579000000"/>
    <n v="15252"/>
    <n v="10010"/>
    <n v="-3.0159913453973713E-3"/>
    <n v="15252"/>
    <x v="1"/>
    <n v="3"/>
    <x v="140"/>
  </r>
  <r>
    <d v="2026-06-12T00:00:00"/>
    <x v="124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8246"/>
    <m/>
    <m/>
    <n v="6579000000"/>
    <n v="1066405.0198378379"/>
    <n v="10010"/>
    <n v="-0.96749640146098337"/>
    <n v="1066405"/>
    <x v="1"/>
    <n v="10000"/>
    <x v="63"/>
  </r>
  <r>
    <d v="2026-06-12T00:00:00"/>
    <x v="124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8246"/>
    <m/>
    <m/>
    <n v="6579000000"/>
    <n v="34391.599999999999"/>
    <n v="10010"/>
    <n v="-8.9077242923396804E-2"/>
    <n v="34391.5"/>
    <x v="1"/>
    <n v="5000"/>
    <x v="4"/>
  </r>
  <r>
    <d v="2026-06-12T00:00:00"/>
    <x v="124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8251"/>
    <n v="1529662"/>
    <m/>
    <n v="6579000000"/>
    <n v="1480755.0557880001"/>
    <n v="10010"/>
    <n v="3.3028376752600841E-2"/>
    <n v="1480755.06"/>
    <x v="0"/>
    <n v="108"/>
    <x v="2"/>
  </r>
  <r>
    <d v="2026-06-12T00:00:00"/>
    <x v="124"/>
    <s v="STOCK"/>
    <n v="6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8249"/>
    <n v="1837194"/>
    <m/>
    <n v="6579000000"/>
    <n v="1480755.0557880001"/>
    <n v="10010"/>
    <n v="3.3028376752600841E-2"/>
    <n v="1480755.06"/>
    <x v="0"/>
    <n v="108"/>
    <x v="2"/>
  </r>
  <r>
    <d v="2026-06-12T00:00:00"/>
    <x v="124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8249"/>
    <m/>
    <m/>
    <n v="6579000000"/>
    <n v="335149.81132199999"/>
    <n v="10010"/>
    <n v="-8.240437756665854E-2"/>
    <n v="335149.81140000001"/>
    <x v="1"/>
    <n v="6"/>
    <x v="4"/>
  </r>
  <r>
    <d v="2026-06-12T00:00:00"/>
    <x v="124"/>
    <s v="STOCK"/>
    <n v="6"/>
    <s v="STOCK"/>
    <s v="081010X"/>
    <x v="224"/>
    <s v="RLL"/>
    <n v="50"/>
    <m/>
    <n v="50"/>
    <n v="328.26"/>
    <n v="16413"/>
    <n v="16413"/>
    <m/>
    <m/>
    <n v="-16413"/>
    <m/>
    <m/>
    <n v="318281"/>
    <n v="3787528"/>
    <m/>
    <m/>
    <s v=""/>
    <m/>
    <e v="#DIV/0!"/>
    <n v="0"/>
    <x v="1"/>
    <n v="50"/>
    <x v="100"/>
  </r>
  <r>
    <d v="2026-06-12T00:00:00"/>
    <x v="124"/>
    <s v="STOCK"/>
    <n v="6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8281"/>
    <m/>
    <m/>
    <m/>
    <n v="28575.132740000001"/>
    <m/>
    <n v="2.3400416019060161E-3"/>
    <n v="28575.133000000002"/>
    <x v="1"/>
    <n v="10"/>
    <x v="81"/>
  </r>
  <r>
    <d v="2026-06-12T00:00:00"/>
    <x v="124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8281"/>
    <m/>
    <m/>
    <m/>
    <n v="20421.197059999999"/>
    <m/>
    <n v="-0.16831515801938537"/>
    <n v="20421.197"/>
    <x v="1"/>
    <n v="10"/>
    <x v="82"/>
  </r>
  <r>
    <d v="2026-06-12T00:00:00"/>
    <x v="124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8281"/>
    <m/>
    <m/>
    <m/>
    <n v="9203.5378099999998"/>
    <m/>
    <n v="-0.24507292738944528"/>
    <n v="9203.5380000000005"/>
    <x v="1"/>
    <n v="10"/>
    <x v="4"/>
  </r>
  <r>
    <d v="2026-06-12T00:00:00"/>
    <x v="124"/>
    <s v="STOCK"/>
    <n v="6"/>
    <s v="STOCK"/>
    <n v="307096"/>
    <x v="197"/>
    <s v="TRA"/>
    <n v="50"/>
    <m/>
    <n v="50"/>
    <n v="1824.24"/>
    <n v="91212"/>
    <n v="91212"/>
    <n v="2095.3501000000001"/>
    <n v="271.11009999999999"/>
    <n v="13555.5064"/>
    <n v="0.12938655227486268"/>
    <m/>
    <n v="318281"/>
    <m/>
    <m/>
    <m/>
    <n v="104767.50644999991"/>
    <m/>
    <n v="-0.12938654022542587"/>
    <n v="104767.505"/>
    <x v="0"/>
    <n v="50"/>
    <x v="121"/>
  </r>
  <r>
    <d v="2026-06-12T00:00:00"/>
    <x v="124"/>
    <s v="STOCK"/>
    <n v="6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8281"/>
    <m/>
    <m/>
    <m/>
    <n v="94452.677199999991"/>
    <m/>
    <n v="2.9988563055514597E-4"/>
    <n v="94452.675000000003"/>
    <x v="1"/>
    <n v="50"/>
    <x v="4"/>
  </r>
  <r>
    <d v="2026-06-12T00:00:00"/>
    <x v="124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8281"/>
    <m/>
    <m/>
    <m/>
    <n v="917083.44828000001"/>
    <m/>
    <n v="-6.3281569552436868E-3"/>
    <n v="917083.44800000009"/>
    <x v="0"/>
    <n v="40"/>
    <x v="38"/>
  </r>
  <r>
    <d v="2026-06-12T00:00:00"/>
    <x v="124"/>
    <s v="STOCK"/>
    <n v="6"/>
    <s v="STOCK"/>
    <n v="601047"/>
    <x v="89"/>
    <s v="TIN"/>
    <n v="2"/>
    <m/>
    <n v="2"/>
    <n v="48169.5"/>
    <n v="96339"/>
    <n v="96339"/>
    <n v="50286.86"/>
    <n v="2117.36"/>
    <n v="4234.72"/>
    <n v="4.2105631570553435E-2"/>
    <m/>
    <n v="318281"/>
    <m/>
    <m/>
    <m/>
    <n v="100573.72"/>
    <m/>
    <n v="-4.2105631570553435E-2"/>
    <n v="100573.72"/>
    <x v="1"/>
    <n v="2"/>
    <x v="77"/>
  </r>
  <r>
    <d v="2026-06-12T00:00:00"/>
    <x v="124"/>
    <s v="STOCK"/>
    <n v="6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8281"/>
    <m/>
    <m/>
    <m/>
    <n v="191558"/>
    <m/>
    <n v="1.0440702032804685E-5"/>
    <n v="191558"/>
    <x v="1"/>
    <n v="4"/>
    <x v="4"/>
  </r>
  <r>
    <d v="2026-06-12T00:00:00"/>
    <x v="124"/>
    <s v="STOCK"/>
    <n v="6"/>
    <s v="STOCK"/>
    <n v="602254"/>
    <x v="142"/>
    <s v="TIN"/>
    <n v="4"/>
    <m/>
    <n v="4"/>
    <n v="46060"/>
    <n v="184240"/>
    <n v="184240"/>
    <n v="46060"/>
    <n v="0"/>
    <n v="0"/>
    <n v="0"/>
    <m/>
    <n v="318281"/>
    <m/>
    <m/>
    <m/>
    <n v="184240"/>
    <m/>
    <n v="0"/>
    <n v="184240"/>
    <x v="1"/>
    <n v="4"/>
    <x v="4"/>
  </r>
  <r>
    <d v="2026-06-12T00:00:00"/>
    <x v="124"/>
    <s v="STOCK"/>
    <n v="6"/>
    <s v="STOCK"/>
    <n v="2302017"/>
    <x v="106"/>
    <s v="TIN"/>
    <n v="5"/>
    <m/>
    <n v="5"/>
    <n v="85334"/>
    <n v="426670"/>
    <n v="426670"/>
    <n v="81197.881599999993"/>
    <n v="-4136.1184000000003"/>
    <n v="-20680.592100000002"/>
    <n v="-5.093874791518866E-2"/>
    <m/>
    <n v="318281"/>
    <m/>
    <m/>
    <m/>
    <n v="405989.40789499989"/>
    <m/>
    <n v="5.0938747643386878E-2"/>
    <n v="405989.40799999994"/>
    <x v="1"/>
    <n v="5"/>
    <x v="4"/>
  </r>
  <r>
    <d v="2026-06-12T00:00:00"/>
    <x v="124"/>
    <s v="STOCK"/>
    <n v="6"/>
    <s v="STOCK"/>
    <n v="907031"/>
    <x v="158"/>
    <s v="RLL"/>
    <n v="10"/>
    <m/>
    <n v="10"/>
    <n v="152881.5"/>
    <n v="1528815"/>
    <n v="1528815"/>
    <n v="156269.1667"/>
    <n v="3387.6667000000002"/>
    <n v="33876.666700000002"/>
    <n v="2.1678407450773384E-2"/>
    <m/>
    <n v="318281"/>
    <m/>
    <m/>
    <m/>
    <n v="1562691.6666700004"/>
    <m/>
    <n v="-2.1678407657369312E-2"/>
    <n v="1562691.6669999999"/>
    <x v="0"/>
    <n v="10"/>
    <x v="98"/>
  </r>
  <r>
    <d v="2026-06-12T00:00:00"/>
    <x v="124"/>
    <s v="STOCK"/>
    <n v="6"/>
    <s v="STOCK"/>
    <n v="707023"/>
    <x v="263"/>
    <s v="UND"/>
    <n v="10"/>
    <m/>
    <n v="10"/>
    <n v="16734.400000000001"/>
    <n v="167344"/>
    <n v="167344"/>
    <m/>
    <m/>
    <n v="-167344"/>
    <m/>
    <m/>
    <n v="318281"/>
    <m/>
    <m/>
    <m/>
    <s v=""/>
    <m/>
    <e v="#DIV/0!"/>
    <n v="0"/>
    <x v="1"/>
    <n v="10"/>
    <x v="100"/>
  </r>
  <r>
    <d v="2026-06-12T00:00:00"/>
    <x v="124"/>
    <s v="STOCK"/>
    <n v="6"/>
    <s v="STOCK"/>
    <n v="106022"/>
    <x v="157"/>
    <s v="UND"/>
    <n v="7"/>
    <m/>
    <n v="7"/>
    <n v="3800"/>
    <n v="26600"/>
    <n v="26600"/>
    <n v="3800.6911"/>
    <n v="0.69110000000000005"/>
    <n v="4.8376999999999999"/>
    <n v="1.8183508788241479E-4"/>
    <m/>
    <n v="318281"/>
    <m/>
    <m/>
    <m/>
    <n v="26604.837693000005"/>
    <m/>
    <n v="-1.8183535094446528E-4"/>
    <n v="26604.8377"/>
    <x v="1"/>
    <n v="7"/>
    <x v="4"/>
  </r>
  <r>
    <d v="2026-06-12T00:00:00"/>
    <x v="124"/>
    <s v="STOCK"/>
    <n v="6"/>
    <s v="STOCK"/>
    <n v="1610023"/>
    <x v="31"/>
    <s v="KG"/>
    <m/>
    <m/>
    <n v="0"/>
    <m/>
    <m/>
    <m/>
    <n v="2109.0585000000001"/>
    <m/>
    <m/>
    <m/>
    <m/>
    <m/>
    <m/>
    <m/>
    <m/>
    <n v="0"/>
    <m/>
    <n v="-1"/>
    <n v="0"/>
    <x v="1"/>
    <n v="0"/>
    <x v="28"/>
  </r>
  <r>
    <d v="2026-06-12T00:00:00"/>
    <x v="124"/>
    <s v="STOCK"/>
    <n v="6"/>
    <s v="STOCK"/>
    <n v="609008"/>
    <x v="30"/>
    <s v="LTS"/>
    <m/>
    <m/>
    <n v="0"/>
    <m/>
    <m/>
    <m/>
    <n v="2130.7573000000002"/>
    <m/>
    <m/>
    <m/>
    <m/>
    <m/>
    <m/>
    <m/>
    <m/>
    <n v="0"/>
    <m/>
    <n v="-1"/>
    <n v="0"/>
    <x v="1"/>
    <n v="0"/>
    <x v="27"/>
  </r>
  <r>
    <d v="2026-06-12T00:00:00"/>
    <x v="124"/>
    <s v="STOCK"/>
    <n v="6"/>
    <s v="STOCK"/>
    <n v="2508994"/>
    <x v="230"/>
    <s v="UND"/>
    <m/>
    <m/>
    <n v="0"/>
    <m/>
    <m/>
    <m/>
    <n v="1598"/>
    <m/>
    <m/>
    <m/>
    <m/>
    <m/>
    <m/>
    <m/>
    <m/>
    <n v="0"/>
    <m/>
    <n v="-1"/>
    <n v="0"/>
    <x v="1"/>
    <n v="0"/>
    <x v="142"/>
  </r>
  <r>
    <d v="2026-06-12T00:00:00"/>
    <x v="124"/>
    <s v="STOCK"/>
    <n v="6"/>
    <s v="STOCK"/>
    <n v="2508993"/>
    <x v="229"/>
    <s v="UND"/>
    <m/>
    <m/>
    <n v="0"/>
    <m/>
    <m/>
    <m/>
    <n v="1410"/>
    <m/>
    <m/>
    <m/>
    <m/>
    <m/>
    <m/>
    <m/>
    <m/>
    <n v="0"/>
    <m/>
    <n v="-1"/>
    <n v="0"/>
    <x v="1"/>
    <n v="0"/>
    <x v="141"/>
  </r>
  <r>
    <d v="2026-06-12T00:00:00"/>
    <x v="124"/>
    <s v="STOCK"/>
    <n v="6"/>
    <s v="STOCK"/>
    <n v="2508992"/>
    <x v="228"/>
    <s v="UND"/>
    <m/>
    <m/>
    <n v="0"/>
    <m/>
    <m/>
    <m/>
    <n v="5084"/>
    <m/>
    <m/>
    <m/>
    <m/>
    <m/>
    <m/>
    <m/>
    <m/>
    <n v="0"/>
    <m/>
    <n v="-1"/>
    <n v="0"/>
    <x v="1"/>
    <n v="0"/>
    <x v="140"/>
  </r>
  <r>
    <d v="2026-06-12T00:00:00"/>
    <x v="124"/>
    <s v="STOCK"/>
    <n v="6"/>
    <s v="STOCK"/>
    <n v="2508991"/>
    <x v="227"/>
    <s v="UND"/>
    <m/>
    <m/>
    <n v="0"/>
    <m/>
    <m/>
    <m/>
    <n v="4798"/>
    <m/>
    <m/>
    <m/>
    <m/>
    <m/>
    <m/>
    <m/>
    <m/>
    <n v="0"/>
    <m/>
    <n v="-1"/>
    <n v="0"/>
    <x v="1"/>
    <n v="0"/>
    <x v="139"/>
  </r>
  <r>
    <d v="2026-06-12T00:00:00"/>
    <x v="124"/>
    <s v="STOCK"/>
    <n v="6"/>
    <s v="STOCK"/>
    <n v="2508990"/>
    <x v="226"/>
    <s v="UND"/>
    <m/>
    <m/>
    <n v="0"/>
    <m/>
    <m/>
    <m/>
    <n v="6738"/>
    <m/>
    <m/>
    <m/>
    <m/>
    <m/>
    <m/>
    <m/>
    <m/>
    <n v="0"/>
    <m/>
    <n v="-1"/>
    <n v="0"/>
    <x v="1"/>
    <n v="0"/>
    <x v="138"/>
  </r>
  <r>
    <d v="2026-06-12T00:00:00"/>
    <x v="124"/>
    <s v="STOCK"/>
    <n v="6"/>
    <s v="STOCK"/>
    <n v="1405025"/>
    <x v="124"/>
    <s v="UND"/>
    <m/>
    <m/>
    <n v="0"/>
    <m/>
    <m/>
    <m/>
    <n v="6758.5333000000001"/>
    <m/>
    <m/>
    <m/>
    <m/>
    <m/>
    <m/>
    <m/>
    <m/>
    <n v="0"/>
    <m/>
    <n v="-1"/>
    <n v="0"/>
    <x v="1"/>
    <n v="0"/>
    <x v="4"/>
  </r>
  <r>
    <d v="2026-06-12T00:00:00"/>
    <x v="124"/>
    <s v="STOCK"/>
    <n v="6"/>
    <s v="STOCK"/>
    <n v="1802517"/>
    <x v="98"/>
    <s v="UND"/>
    <m/>
    <m/>
    <n v="0"/>
    <m/>
    <m/>
    <m/>
    <n v="2312"/>
    <m/>
    <m/>
    <m/>
    <m/>
    <m/>
    <m/>
    <m/>
    <m/>
    <n v="0"/>
    <m/>
    <n v="-1"/>
    <n v="0"/>
    <x v="1"/>
    <n v="0"/>
    <x v="86"/>
  </r>
  <r>
    <d v="2026-06-12T00:00:00"/>
    <x v="124"/>
    <s v="STOCK"/>
    <n v="6"/>
    <s v="STOCK"/>
    <n v="412016"/>
    <x v="238"/>
    <s v="UND"/>
    <m/>
    <m/>
    <n v="0"/>
    <m/>
    <m/>
    <m/>
    <m/>
    <m/>
    <m/>
    <m/>
    <m/>
    <m/>
    <m/>
    <m/>
    <m/>
    <s v=""/>
    <m/>
    <e v="#DIV/0!"/>
    <n v="0"/>
    <x v="1"/>
    <n v="0"/>
    <x v="100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3">
  <r>
    <n v="407117"/>
    <x v="0"/>
    <x v="0"/>
    <s v="OBRA GRUESA"/>
    <s v="FIJACION"/>
    <n v="585.07205299999998"/>
    <s v=""/>
    <s v=""/>
    <b v="0"/>
    <x v="0"/>
    <x v="0"/>
    <s v=""/>
    <s v=""/>
    <s v=""/>
    <s v=""/>
    <s v=""/>
    <n v="240"/>
    <n v="0"/>
    <n v="240"/>
    <s v=""/>
    <n v="140417"/>
    <n v="585.07083333333333"/>
    <s v=""/>
    <s v=""/>
    <s v=""/>
    <s v=""/>
    <s v=""/>
    <n v="585.07209999999998"/>
    <e v="#VALUE!"/>
  </r>
  <r>
    <s v="40814X"/>
    <x v="1"/>
    <x v="1"/>
    <s v="OBRA GRUESA"/>
    <s v="FIJACION"/>
    <n v="233358.08791199999"/>
    <s v=""/>
    <s v=""/>
    <b v="0"/>
    <x v="0"/>
    <x v="0"/>
    <s v=""/>
    <s v=""/>
    <s v=""/>
    <s v=""/>
    <s v=""/>
    <n v="3"/>
    <n v="0"/>
    <n v="3"/>
    <s v=""/>
    <n v="700074"/>
    <n v="233358"/>
    <s v=""/>
    <s v=""/>
    <s v=""/>
    <s v=""/>
    <s v=""/>
    <n v="233358.08790000001"/>
    <e v="#VALUE!"/>
  </r>
  <r>
    <n v="804070"/>
    <x v="2"/>
    <x v="2"/>
    <s v=""/>
    <s v=""/>
    <n v="6479.9989750000004"/>
    <s v=""/>
    <s v=""/>
    <b v="0"/>
    <x v="0"/>
    <x v="0"/>
    <s v=""/>
    <s v=""/>
    <s v=""/>
    <s v=""/>
    <s v=""/>
    <n v="46"/>
    <n v="0"/>
    <n v="46"/>
    <s v=""/>
    <n v="286277"/>
    <n v="6223.413043478261"/>
    <s v=""/>
    <s v=""/>
    <s v=""/>
    <s v=""/>
    <s v=""/>
    <n v="6479.9989999999998"/>
    <e v="#VALUE!"/>
  </r>
  <r>
    <n v="1703046"/>
    <x v="3"/>
    <x v="3"/>
    <n v="0"/>
    <n v="0"/>
    <n v="3138"/>
    <s v=""/>
    <s v=""/>
    <b v="0"/>
    <x v="0"/>
    <x v="0"/>
    <s v=""/>
    <s v=""/>
    <s v=""/>
    <s v=""/>
    <s v=""/>
    <n v="1"/>
    <n v="0"/>
    <n v="1"/>
    <s v=""/>
    <n v="3138"/>
    <n v="3138"/>
    <s v=""/>
    <s v=""/>
    <s v=""/>
    <s v=""/>
    <s v=""/>
    <n v="3138"/>
    <e v="#VALUE!"/>
  </r>
  <r>
    <n v="1801035"/>
    <x v="4"/>
    <x v="4"/>
    <n v="0"/>
    <n v="0"/>
    <n v="18126.208332999999"/>
    <s v=""/>
    <s v=""/>
    <b v="0"/>
    <x v="0"/>
    <x v="0"/>
    <s v=""/>
    <s v=""/>
    <s v=""/>
    <s v=""/>
    <s v=""/>
    <n v="1"/>
    <n v="0"/>
    <n v="1"/>
    <s v=""/>
    <n v="18126"/>
    <n v="18126"/>
    <s v=""/>
    <s v=""/>
    <s v=""/>
    <s v=""/>
    <s v=""/>
    <n v="18126.208299999998"/>
    <e v="#VALUE!"/>
  </r>
  <r>
    <n v="1808149"/>
    <x v="5"/>
    <x v="5"/>
    <n v="0"/>
    <n v="0"/>
    <n v="20303.2"/>
    <s v=""/>
    <s v=""/>
    <b v="0"/>
    <x v="0"/>
    <x v="0"/>
    <s v=""/>
    <s v=""/>
    <s v=""/>
    <s v=""/>
    <s v=""/>
    <n v="1"/>
    <n v="0"/>
    <n v="1"/>
    <s v=""/>
    <n v="20303"/>
    <n v="20303"/>
    <s v=""/>
    <s v=""/>
    <s v=""/>
    <s v=""/>
    <s v=""/>
    <n v="20303.2"/>
    <e v="#VALUE!"/>
  </r>
  <r>
    <n v="1801020"/>
    <x v="6"/>
    <x v="6"/>
    <n v="0"/>
    <n v="0"/>
    <n v="30757"/>
    <s v=""/>
    <s v=""/>
    <b v="0"/>
    <x v="0"/>
    <x v="0"/>
    <s v=""/>
    <s v=""/>
    <s v=""/>
    <s v=""/>
    <s v=""/>
    <n v="2"/>
    <n v="0"/>
    <n v="2"/>
    <s v=""/>
    <n v="61514"/>
    <n v="30757"/>
    <s v=""/>
    <s v=""/>
    <s v=""/>
    <s v=""/>
    <s v=""/>
    <n v="30757"/>
    <e v="#VALUE!"/>
  </r>
  <r>
    <n v="609008"/>
    <x v="7"/>
    <x v="7"/>
    <n v="0"/>
    <n v="0"/>
    <n v="2130.75731"/>
    <s v="LTS"/>
    <s v=""/>
    <b v="0"/>
    <x v="0"/>
    <x v="0"/>
    <s v=""/>
    <s v=""/>
    <s v=""/>
    <s v=""/>
    <s v=""/>
    <n v="101"/>
    <n v="0"/>
    <n v="101"/>
    <s v=""/>
    <n v="219342"/>
    <n v="2171.7029702970299"/>
    <s v=""/>
    <s v=""/>
    <s v=""/>
    <s v=""/>
    <s v=""/>
    <n v="2130.7573000000002"/>
    <e v="#VALUE!"/>
  </r>
  <r>
    <n v="1610023"/>
    <x v="8"/>
    <x v="8"/>
    <n v="0"/>
    <n v="0"/>
    <n v="2109.0585420000002"/>
    <s v="KG"/>
    <s v=""/>
    <b v="0"/>
    <x v="0"/>
    <x v="0"/>
    <s v=""/>
    <s v=""/>
    <s v=""/>
    <s v=""/>
    <s v=""/>
    <n v="106"/>
    <n v="0"/>
    <n v="106"/>
    <s v=""/>
    <n v="238561"/>
    <n v="2250.5754716981132"/>
    <s v=""/>
    <s v=""/>
    <s v=""/>
    <s v=""/>
    <s v=""/>
    <n v="2109.0585000000001"/>
    <e v="#VALUE!"/>
  </r>
  <r>
    <n v="5316481"/>
    <x v="9"/>
    <x v="0"/>
    <n v="0"/>
    <n v="0"/>
    <n v="11769.175824"/>
    <s v=""/>
    <s v=""/>
    <b v="0"/>
    <x v="0"/>
    <x v="0"/>
    <s v=""/>
    <s v=""/>
    <s v=""/>
    <s v=""/>
    <s v=""/>
    <n v="1"/>
    <n v="0"/>
    <n v="1"/>
    <s v=""/>
    <n v="11769"/>
    <n v="11769"/>
    <s v=""/>
    <s v=""/>
    <s v=""/>
    <s v=""/>
    <s v=""/>
    <n v="11769.175800000001"/>
    <e v="#VALUE!"/>
  </r>
  <r>
    <n v="5316479"/>
    <x v="10"/>
    <x v="9"/>
    <n v="0"/>
    <n v="0"/>
    <n v="10525"/>
    <s v=""/>
    <s v=""/>
    <b v="0"/>
    <x v="0"/>
    <x v="0"/>
    <s v=""/>
    <s v=""/>
    <s v=""/>
    <s v=""/>
    <s v=""/>
    <n v="1"/>
    <n v="0"/>
    <n v="1"/>
    <s v=""/>
    <n v="10525"/>
    <n v="10525"/>
    <s v=""/>
    <s v=""/>
    <s v=""/>
    <s v=""/>
    <s v=""/>
    <n v="10525"/>
    <e v="#VALUE!"/>
  </r>
  <r>
    <n v="5316482"/>
    <x v="11"/>
    <x v="10"/>
    <n v="0"/>
    <n v="0"/>
    <n v="1511"/>
    <s v=""/>
    <s v=""/>
    <b v="0"/>
    <x v="0"/>
    <x v="0"/>
    <s v=""/>
    <s v=""/>
    <s v=""/>
    <s v=""/>
    <s v=""/>
    <n v="1"/>
    <n v="0"/>
    <n v="1"/>
    <s v=""/>
    <n v="1511"/>
    <n v="1511"/>
    <s v=""/>
    <s v=""/>
    <s v=""/>
    <s v=""/>
    <s v=""/>
    <n v="1511"/>
    <e v="#VALUE!"/>
  </r>
  <r>
    <n v="404184"/>
    <x v="12"/>
    <x v="11"/>
    <n v="0"/>
    <n v="0"/>
    <n v="1754.8757310000001"/>
    <s v=""/>
    <s v=""/>
    <b v="0"/>
    <x v="0"/>
    <x v="0"/>
    <s v=""/>
    <s v=""/>
    <s v=""/>
    <s v=""/>
    <s v=""/>
    <n v="139"/>
    <n v="0"/>
    <n v="139"/>
    <s v=""/>
    <n v="243449"/>
    <n v="1751.4316546762591"/>
    <s v=""/>
    <s v=""/>
    <s v=""/>
    <s v=""/>
    <s v=""/>
    <n v="1754.8757000000001"/>
    <e v="#VALUE!"/>
  </r>
  <r>
    <n v="601122"/>
    <x v="13"/>
    <x v="12"/>
    <n v="0"/>
    <n v="0"/>
    <n v="12000"/>
    <s v=""/>
    <s v=""/>
    <b v="0"/>
    <x v="0"/>
    <x v="0"/>
    <s v=""/>
    <s v=""/>
    <s v=""/>
    <s v=""/>
    <s v=""/>
    <n v="1"/>
    <n v="0"/>
    <n v="1"/>
    <s v=""/>
    <n v="12000"/>
    <n v="12000"/>
    <s v=""/>
    <s v=""/>
    <s v=""/>
    <s v=""/>
    <s v=""/>
    <n v="12000"/>
    <e v="#VALUE!"/>
  </r>
  <r>
    <n v="601123"/>
    <x v="14"/>
    <x v="13"/>
    <n v="0"/>
    <n v="0"/>
    <n v="11427.75"/>
    <s v=""/>
    <s v=""/>
    <b v="0"/>
    <x v="0"/>
    <x v="0"/>
    <s v=""/>
    <s v=""/>
    <s v=""/>
    <s v=""/>
    <s v=""/>
    <n v="1"/>
    <n v="0"/>
    <n v="1"/>
    <s v=""/>
    <n v="11428"/>
    <n v="11428"/>
    <s v=""/>
    <s v=""/>
    <s v=""/>
    <s v=""/>
    <s v=""/>
    <n v="11427.75"/>
    <e v="#VALUE!"/>
  </r>
  <r>
    <n v="602060"/>
    <x v="15"/>
    <x v="14"/>
    <n v="0"/>
    <n v="0"/>
    <n v="63032"/>
    <s v=""/>
    <s v=""/>
    <b v="0"/>
    <x v="0"/>
    <x v="0"/>
    <s v=""/>
    <s v=""/>
    <s v=""/>
    <s v=""/>
    <s v=""/>
    <n v="1"/>
    <n v="0"/>
    <n v="1"/>
    <s v=""/>
    <n v="63032"/>
    <n v="63032"/>
    <s v=""/>
    <s v=""/>
    <s v=""/>
    <s v=""/>
    <s v=""/>
    <n v="63032"/>
    <e v="#VALUE!"/>
  </r>
  <r>
    <n v="701022"/>
    <x v="16"/>
    <x v="15"/>
    <n v="0"/>
    <n v="0"/>
    <n v="11163.59851"/>
    <s v=""/>
    <s v=""/>
    <b v="0"/>
    <x v="0"/>
    <x v="0"/>
    <s v=""/>
    <s v=""/>
    <s v=""/>
    <s v=""/>
    <s v=""/>
    <n v="31"/>
    <n v="0"/>
    <n v="31"/>
    <s v=""/>
    <n v="344416"/>
    <n v="11110.193548387097"/>
    <s v=""/>
    <s v=""/>
    <s v=""/>
    <s v=""/>
    <s v=""/>
    <n v="11163.5985"/>
    <e v="#VALUE!"/>
  </r>
  <r>
    <n v="2502036"/>
    <x v="17"/>
    <x v="0"/>
    <n v="0"/>
    <n v="0"/>
    <n v="47856.412698"/>
    <s v=""/>
    <s v=""/>
    <b v="0"/>
    <x v="0"/>
    <x v="0"/>
    <s v=""/>
    <s v=""/>
    <s v=""/>
    <s v=""/>
    <s v=""/>
    <n v="3"/>
    <n v="0"/>
    <n v="3"/>
    <s v=""/>
    <n v="118452"/>
    <n v="39484"/>
    <s v=""/>
    <s v=""/>
    <s v=""/>
    <s v=""/>
    <s v=""/>
    <n v="47856.412700000001"/>
    <e v="#VALUE!"/>
  </r>
  <r>
    <n v="302019"/>
    <x v="18"/>
    <x v="16"/>
    <s v="OBRA GRUESA"/>
    <s v="MADERA"/>
    <n v="1660.342954"/>
    <s v=""/>
    <s v=""/>
    <b v="0"/>
    <x v="0"/>
    <x v="0"/>
    <s v=""/>
    <s v=""/>
    <s v=""/>
    <s v=""/>
    <s v=""/>
    <n v="17"/>
    <n v="0"/>
    <n v="17"/>
    <s v=""/>
    <n v="28241"/>
    <n v="1661.2352941176471"/>
    <s v=""/>
    <s v=""/>
    <s v=""/>
    <s v=""/>
    <s v=""/>
    <n v="1660.3430000000001"/>
    <e v="#VALUE!"/>
  </r>
  <r>
    <n v="5112589"/>
    <x v="19"/>
    <x v="17"/>
    <n v="0"/>
    <n v="0"/>
    <n v="5090.0923080000002"/>
    <s v=""/>
    <s v=""/>
    <b v="0"/>
    <x v="0"/>
    <x v="0"/>
    <s v=""/>
    <s v=""/>
    <s v=""/>
    <s v=""/>
    <s v=""/>
    <n v="10"/>
    <n v="0"/>
    <n v="10"/>
    <s v=""/>
    <n v="55051"/>
    <n v="5505.1"/>
    <s v=""/>
    <s v=""/>
    <s v=""/>
    <s v=""/>
    <s v=""/>
    <n v="5090.0923000000003"/>
    <e v="#VALUE!"/>
  </r>
  <r>
    <n v="302039"/>
    <x v="20"/>
    <x v="18"/>
    <s v="OBRA GRUESA"/>
    <s v="MADERA"/>
    <n v="9825.5479560000003"/>
    <s v=""/>
    <s v=""/>
    <b v="0"/>
    <x v="0"/>
    <x v="0"/>
    <s v=""/>
    <s v=""/>
    <s v=""/>
    <s v=""/>
    <s v=""/>
    <n v="97"/>
    <n v="0"/>
    <n v="97"/>
    <s v=""/>
    <n v="983186"/>
    <n v="10135.938144329897"/>
    <s v=""/>
    <s v=""/>
    <s v=""/>
    <s v=""/>
    <s v=""/>
    <n v="9825.5480000000007"/>
    <e v="#VALUE!"/>
  </r>
  <r>
    <n v="307275"/>
    <x v="21"/>
    <x v="0"/>
    <s v="OBRA GRUESA"/>
    <s v="MADERA"/>
    <n v="1482.060064"/>
    <s v=""/>
    <s v=""/>
    <b v="0"/>
    <x v="0"/>
    <x v="0"/>
    <s v=""/>
    <s v=""/>
    <s v=""/>
    <s v=""/>
    <s v=""/>
    <n v="80"/>
    <n v="0"/>
    <n v="80"/>
    <s v=""/>
    <n v="118565"/>
    <n v="1482.0625"/>
    <s v=""/>
    <s v=""/>
    <s v=""/>
    <s v=""/>
    <s v=""/>
    <n v="1482.0600999999999"/>
    <e v="#VALUE!"/>
  </r>
  <r>
    <n v="307252"/>
    <x v="22"/>
    <x v="19"/>
    <s v="OBRA GRUESA"/>
    <s v="MADERA"/>
    <n v="16753.020979000001"/>
    <s v=""/>
    <s v=""/>
    <b v="0"/>
    <x v="0"/>
    <x v="0"/>
    <s v=""/>
    <s v=""/>
    <s v=""/>
    <s v=""/>
    <s v=""/>
    <n v="8"/>
    <n v="0"/>
    <n v="8"/>
    <s v=""/>
    <n v="134024"/>
    <n v="16753"/>
    <s v=""/>
    <s v=""/>
    <s v=""/>
    <s v=""/>
    <s v=""/>
    <n v="16753.021000000001"/>
    <e v="#VALUE!"/>
  </r>
  <r>
    <s v="030210X"/>
    <x v="23"/>
    <x v="20"/>
    <s v="OBRA GRUESA"/>
    <s v="MADERA"/>
    <n v="17998"/>
    <s v=""/>
    <s v=""/>
    <b v="0"/>
    <x v="0"/>
    <x v="0"/>
    <s v=""/>
    <s v=""/>
    <s v=""/>
    <s v=""/>
    <s v=""/>
    <n v="3"/>
    <n v="0"/>
    <n v="3"/>
    <s v=""/>
    <n v="53994"/>
    <n v="17998"/>
    <s v=""/>
    <s v=""/>
    <s v=""/>
    <s v=""/>
    <s v=""/>
    <n v="17998"/>
    <e v="#VALUE!"/>
  </r>
  <r>
    <n v="1405027"/>
    <x v="24"/>
    <x v="21"/>
    <s v="TERMINACION"/>
    <s v="PUERTA Y VENTANA"/>
    <n v="20069"/>
    <s v="KIT"/>
    <s v=""/>
    <b v="0"/>
    <x v="0"/>
    <x v="0"/>
    <s v=""/>
    <s v=""/>
    <s v=""/>
    <s v=""/>
    <s v=""/>
    <n v="1"/>
    <n v="0"/>
    <n v="1"/>
    <s v=""/>
    <n v="20069"/>
    <n v="20069"/>
    <s v=""/>
    <s v=""/>
    <s v=""/>
    <s v=""/>
    <s v=""/>
    <n v="20069"/>
    <e v="#VALUE!"/>
  </r>
  <r>
    <n v="1405026"/>
    <x v="25"/>
    <x v="22"/>
    <s v="TERMINACION"/>
    <s v="PUERTA Y VENTANA"/>
    <n v="18880.599999999999"/>
    <s v="KIT"/>
    <s v=""/>
    <b v="0"/>
    <x v="0"/>
    <x v="0"/>
    <s v=""/>
    <s v=""/>
    <s v=""/>
    <s v=""/>
    <s v=""/>
    <n v="2"/>
    <n v="0"/>
    <n v="2"/>
    <s v=""/>
    <n v="37698"/>
    <n v="18849"/>
    <s v=""/>
    <s v=""/>
    <s v=""/>
    <s v=""/>
    <s v=""/>
    <n v="18880.599999999999"/>
    <e v="#VALUE!"/>
  </r>
  <r>
    <s v="140207X"/>
    <x v="26"/>
    <x v="23"/>
    <n v="0"/>
    <n v="0"/>
    <n v="17428.493505999999"/>
    <s v=""/>
    <s v=""/>
    <b v="0"/>
    <x v="0"/>
    <x v="0"/>
    <s v=""/>
    <s v=""/>
    <s v=""/>
    <s v=""/>
    <s v=""/>
    <n v="1"/>
    <n v="0"/>
    <n v="1"/>
    <s v=""/>
    <n v="17428"/>
    <n v="17428"/>
    <s v=""/>
    <s v=""/>
    <s v=""/>
    <s v=""/>
    <s v=""/>
    <n v="17428.4935"/>
    <e v="#VALUE!"/>
  </r>
  <r>
    <n v="1801155"/>
    <x v="27"/>
    <x v="24"/>
    <s v="TERMINACION"/>
    <s v="BAÑO"/>
    <n v="23733.489796000002"/>
    <s v=""/>
    <s v=""/>
    <b v="0"/>
    <x v="0"/>
    <x v="0"/>
    <s v=""/>
    <s v=""/>
    <s v=""/>
    <s v=""/>
    <s v=""/>
    <n v="1"/>
    <n v="0"/>
    <n v="1"/>
    <s v=""/>
    <n v="23734"/>
    <n v="23734"/>
    <s v=""/>
    <s v=""/>
    <s v=""/>
    <s v=""/>
    <s v=""/>
    <n v="23733.489799999999"/>
    <e v="#VALUE!"/>
  </r>
  <r>
    <n v="1801154"/>
    <x v="28"/>
    <x v="25"/>
    <s v="TERMINACION"/>
    <s v="BAÑO"/>
    <n v="32738.5"/>
    <s v=""/>
    <s v=""/>
    <b v="0"/>
    <x v="0"/>
    <x v="0"/>
    <s v=""/>
    <s v=""/>
    <s v=""/>
    <s v=""/>
    <s v=""/>
    <n v="4"/>
    <n v="0"/>
    <n v="4"/>
    <s v=""/>
    <n v="36428"/>
    <n v="9107"/>
    <s v=""/>
    <s v=""/>
    <s v=""/>
    <s v=""/>
    <s v=""/>
    <n v="32738.5"/>
    <e v="#VALUE!"/>
  </r>
  <r>
    <n v="1101971"/>
    <x v="29"/>
    <x v="26"/>
    <n v="0"/>
    <n v="0"/>
    <n v="44950"/>
    <s v=""/>
    <s v=""/>
    <b v="0"/>
    <x v="0"/>
    <x v="0"/>
    <s v=""/>
    <s v=""/>
    <s v=""/>
    <s v=""/>
    <s v=""/>
    <n v="3"/>
    <n v="0"/>
    <n v="3"/>
    <s v=""/>
    <n v="134850"/>
    <n v="44950"/>
    <s v=""/>
    <s v=""/>
    <s v=""/>
    <s v=""/>
    <s v=""/>
    <n v="44950"/>
    <e v="#VALUE!"/>
  </r>
  <r>
    <n v="1802005"/>
    <x v="30"/>
    <x v="27"/>
    <s v="TERMINACION"/>
    <s v="BAÑO"/>
    <n v="3780.4087909999998"/>
    <s v=""/>
    <s v=""/>
    <b v="0"/>
    <x v="0"/>
    <x v="0"/>
    <s v=""/>
    <s v=""/>
    <s v=""/>
    <s v=""/>
    <s v=""/>
    <n v="1"/>
    <n v="0"/>
    <n v="1"/>
    <s v=""/>
    <n v="3780"/>
    <n v="3780"/>
    <s v=""/>
    <s v=""/>
    <s v=""/>
    <s v=""/>
    <s v=""/>
    <n v="3780.4088000000002"/>
    <e v="#VALUE!"/>
  </r>
  <r>
    <n v="1808043"/>
    <x v="31"/>
    <x v="28"/>
    <n v="0"/>
    <n v="0"/>
    <n v="2779.727273"/>
    <s v=""/>
    <s v=""/>
    <b v="0"/>
    <x v="0"/>
    <x v="0"/>
    <s v=""/>
    <s v=""/>
    <s v=""/>
    <s v=""/>
    <s v=""/>
    <n v="1"/>
    <n v="0"/>
    <n v="1"/>
    <s v=""/>
    <n v="2780"/>
    <n v="2780"/>
    <s v=""/>
    <s v=""/>
    <s v=""/>
    <s v=""/>
    <s v=""/>
    <n v="2779.7273"/>
    <e v="#VALUE!"/>
  </r>
  <r>
    <n v="1801236"/>
    <x v="32"/>
    <x v="29"/>
    <s v="GRIFERIA"/>
    <n v="0"/>
    <n v="8938"/>
    <s v=""/>
    <s v=""/>
    <b v="0"/>
    <x v="0"/>
    <x v="0"/>
    <s v=""/>
    <s v=""/>
    <s v=""/>
    <s v=""/>
    <s v=""/>
    <n v="1"/>
    <n v="0"/>
    <n v="1"/>
    <s v=""/>
    <n v="9269"/>
    <n v="9269"/>
    <s v=""/>
    <s v=""/>
    <s v=""/>
    <s v=""/>
    <s v=""/>
    <n v="8938"/>
    <e v="#VALUE!"/>
  </r>
  <r>
    <n v="1801238"/>
    <x v="33"/>
    <x v="30"/>
    <s v="GRIFERIA"/>
    <s v=""/>
    <n v="16615"/>
    <s v=""/>
    <s v=""/>
    <b v="0"/>
    <x v="0"/>
    <x v="0"/>
    <s v=""/>
    <s v=""/>
    <s v=""/>
    <s v=""/>
    <s v=""/>
    <n v="1"/>
    <n v="0"/>
    <n v="1"/>
    <s v=""/>
    <n v="16615"/>
    <n v="16615"/>
    <s v=""/>
    <s v=""/>
    <s v=""/>
    <s v=""/>
    <s v=""/>
    <n v="16615"/>
    <e v="#VALUE!"/>
  </r>
  <r>
    <n v="1801011"/>
    <x v="34"/>
    <x v="31"/>
    <n v="0"/>
    <n v="0"/>
    <n v="9242.4217690000005"/>
    <s v=""/>
    <s v=""/>
    <b v="0"/>
    <x v="0"/>
    <x v="0"/>
    <s v=""/>
    <s v=""/>
    <s v=""/>
    <s v=""/>
    <s v=""/>
    <n v="1"/>
    <n v="0"/>
    <n v="1"/>
    <s v=""/>
    <n v="9273"/>
    <n v="9273"/>
    <s v=""/>
    <s v=""/>
    <s v=""/>
    <s v=""/>
    <s v=""/>
    <n v="9242.4218000000001"/>
    <e v="#VALUE!"/>
  </r>
  <r>
    <n v="704092"/>
    <x v="35"/>
    <x v="32"/>
    <s v="TERMINACION"/>
    <s v=""/>
    <n v="273.47427099999999"/>
    <s v=""/>
    <s v=""/>
    <b v="0"/>
    <x v="0"/>
    <x v="0"/>
    <s v=""/>
    <s v=""/>
    <s v=""/>
    <s v=""/>
    <s v=""/>
    <n v="54"/>
    <n v="0"/>
    <n v="54"/>
    <s v=""/>
    <n v="14768"/>
    <n v="273.48148148148147"/>
    <s v=""/>
    <s v=""/>
    <s v=""/>
    <s v=""/>
    <s v=""/>
    <n v="273.47430000000003"/>
    <e v="#VALUE!"/>
  </r>
  <r>
    <n v="1101946"/>
    <x v="36"/>
    <x v="33"/>
    <n v="0"/>
    <n v="0"/>
    <n v="52385.051282"/>
    <s v=""/>
    <s v=""/>
    <b v="0"/>
    <x v="0"/>
    <x v="0"/>
    <s v=""/>
    <s v=""/>
    <s v=""/>
    <s v=""/>
    <s v=""/>
    <n v="1"/>
    <n v="0"/>
    <n v="1"/>
    <s v=""/>
    <n v="52060"/>
    <n v="52060"/>
    <s v=""/>
    <s v=""/>
    <s v=""/>
    <s v=""/>
    <s v=""/>
    <n v="52385.051299999999"/>
    <e v="#VALUE!"/>
  </r>
  <r>
    <n v="1401065"/>
    <x v="37"/>
    <x v="34"/>
    <s v="TERMINACION"/>
    <s v=""/>
    <n v="13116.498607"/>
    <s v=""/>
    <s v=""/>
    <b v="0"/>
    <x v="0"/>
    <x v="0"/>
    <s v=""/>
    <s v=""/>
    <s v=""/>
    <s v=""/>
    <s v=""/>
    <n v="3"/>
    <n v="0"/>
    <n v="3"/>
    <s v=""/>
    <n v="39438"/>
    <n v="13146"/>
    <s v=""/>
    <s v=""/>
    <s v=""/>
    <s v=""/>
    <s v=""/>
    <n v="13116.498600000001"/>
    <e v="#VALUE!"/>
  </r>
  <r>
    <n v="1105121"/>
    <x v="38"/>
    <x v="35"/>
    <s v="TERMINACION"/>
    <s v=""/>
    <n v="96540.363635999995"/>
    <s v=""/>
    <s v=""/>
    <b v="0"/>
    <x v="0"/>
    <x v="0"/>
    <s v=""/>
    <s v=""/>
    <s v=""/>
    <s v=""/>
    <s v=""/>
    <n v="1"/>
    <n v="0"/>
    <n v="1"/>
    <s v=""/>
    <n v="96540"/>
    <n v="96540"/>
    <s v=""/>
    <s v=""/>
    <s v=""/>
    <s v=""/>
    <s v=""/>
    <n v="96540.363599999997"/>
    <e v="#VALUE!"/>
  </r>
  <r>
    <n v="1105122"/>
    <x v="39"/>
    <x v="36"/>
    <s v="TERMINACION"/>
    <s v=""/>
    <n v="134750"/>
    <s v=""/>
    <s v=""/>
    <b v="0"/>
    <x v="0"/>
    <x v="0"/>
    <s v=""/>
    <s v=""/>
    <s v=""/>
    <s v=""/>
    <s v=""/>
    <n v="1"/>
    <n v="0"/>
    <n v="1"/>
    <s v=""/>
    <n v="134750"/>
    <n v="134750"/>
    <s v=""/>
    <s v=""/>
    <s v=""/>
    <s v=""/>
    <s v=""/>
    <n v="134750"/>
    <e v="#VALUE!"/>
  </r>
  <r>
    <n v="1801700"/>
    <x v="40"/>
    <x v="37"/>
    <n v="0"/>
    <n v="0"/>
    <n v="13379.859504"/>
    <s v=""/>
    <s v=""/>
    <b v="0"/>
    <x v="0"/>
    <x v="0"/>
    <s v=""/>
    <s v=""/>
    <s v=""/>
    <s v=""/>
    <s v=""/>
    <n v="3"/>
    <n v="0"/>
    <n v="3"/>
    <s v=""/>
    <n v="46652"/>
    <n v="15550.666666666666"/>
    <s v=""/>
    <s v=""/>
    <s v=""/>
    <s v=""/>
    <s v=""/>
    <n v="13379.8595"/>
    <e v="#VALUE!"/>
  </r>
  <r>
    <n v="1901229"/>
    <x v="41"/>
    <x v="38"/>
    <s v="OBRA GRUESA"/>
    <s v="AISLANTE"/>
    <n v="1896.2317370000001"/>
    <s v=""/>
    <s v=""/>
    <b v="0"/>
    <x v="0"/>
    <x v="0"/>
    <s v=""/>
    <s v=""/>
    <s v=""/>
    <s v=""/>
    <s v=""/>
    <n v="197"/>
    <n v="0"/>
    <n v="197"/>
    <s v=""/>
    <n v="373619"/>
    <n v="1896.5431472081218"/>
    <s v=""/>
    <s v=""/>
    <s v=""/>
    <s v=""/>
    <s v=""/>
    <n v="1896.2317"/>
    <e v="#VALUE!"/>
  </r>
  <r>
    <n v="302048"/>
    <x v="42"/>
    <x v="39"/>
    <s v="OBRA GRUESA"/>
    <s v="MADERA"/>
    <n v="13710.694960999999"/>
    <s v="PZA"/>
    <s v=""/>
    <b v="0"/>
    <x v="1"/>
    <x v="1"/>
    <s v=""/>
    <s v=""/>
    <s v=""/>
    <s v=""/>
    <s v=""/>
    <n v="2598"/>
    <n v="0"/>
    <n v="2598"/>
    <s v=""/>
    <n v="35644807"/>
    <n v="13720.09507313318"/>
    <s v=""/>
    <s v=""/>
    <s v=""/>
    <s v=""/>
    <s v=""/>
    <n v="13710.695"/>
    <e v="#VALUE!"/>
  </r>
  <r>
    <n v="307256"/>
    <x v="43"/>
    <x v="16"/>
    <s v="OBRA GRUESA"/>
    <s v="MADERA"/>
    <n v="1896.957447"/>
    <s v=""/>
    <s v=""/>
    <b v="0"/>
    <x v="0"/>
    <x v="0"/>
    <s v=""/>
    <s v=""/>
    <s v=""/>
    <s v=""/>
    <s v=""/>
    <n v="490"/>
    <n v="0"/>
    <n v="490"/>
    <s v=""/>
    <n v="929511"/>
    <n v="1896.961224489796"/>
    <s v=""/>
    <s v=""/>
    <s v=""/>
    <s v=""/>
    <s v=""/>
    <n v="1896.9574"/>
    <e v="#VALUE!"/>
  </r>
  <r>
    <n v="408013"/>
    <x v="44"/>
    <x v="40"/>
    <n v="0"/>
    <n v="0"/>
    <n v="2520.47678"/>
    <s v=""/>
    <s v=""/>
    <b v="0"/>
    <x v="0"/>
    <x v="0"/>
    <s v=""/>
    <s v=""/>
    <s v=""/>
    <s v=""/>
    <s v=""/>
    <n v="1"/>
    <n v="0"/>
    <n v="1"/>
    <s v=""/>
    <n v="2698"/>
    <n v="2698"/>
    <s v=""/>
    <s v=""/>
    <s v=""/>
    <s v=""/>
    <s v=""/>
    <n v="2520.4767999999999"/>
    <e v="#VALUE!"/>
  </r>
  <r>
    <n v="601047"/>
    <x v="45"/>
    <x v="41"/>
    <n v="0"/>
    <n v="0"/>
    <n v="50286.86"/>
    <s v=""/>
    <s v=""/>
    <b v="0"/>
    <x v="0"/>
    <x v="0"/>
    <s v=""/>
    <s v=""/>
    <s v=""/>
    <s v=""/>
    <s v=""/>
    <n v="16"/>
    <n v="0"/>
    <n v="16"/>
    <s v=""/>
    <n v="790137"/>
    <n v="49383.5625"/>
    <s v=""/>
    <s v=""/>
    <s v=""/>
    <s v=""/>
    <s v=""/>
    <n v="50286.86"/>
    <e v="#VALUE!"/>
  </r>
  <r>
    <n v="704091"/>
    <x v="46"/>
    <x v="42"/>
    <n v="0"/>
    <n v="0"/>
    <n v="175.15508600000001"/>
    <s v=""/>
    <s v=""/>
    <b v="0"/>
    <x v="0"/>
    <x v="0"/>
    <s v=""/>
    <s v=""/>
    <s v=""/>
    <s v=""/>
    <s v=""/>
    <n v="100"/>
    <n v="0"/>
    <n v="100"/>
    <s v=""/>
    <n v="17516"/>
    <n v="175.16"/>
    <s v=""/>
    <s v=""/>
    <s v=""/>
    <s v=""/>
    <s v=""/>
    <n v="175.1551"/>
    <e v="#VALUE!"/>
  </r>
  <r>
    <n v="704107"/>
    <x v="47"/>
    <x v="43"/>
    <n v="0"/>
    <n v="0"/>
    <n v="236.855018"/>
    <s v=""/>
    <s v=""/>
    <b v="0"/>
    <x v="0"/>
    <x v="0"/>
    <s v=""/>
    <s v=""/>
    <s v=""/>
    <s v=""/>
    <s v=""/>
    <n v="100"/>
    <n v="0"/>
    <n v="100"/>
    <s v=""/>
    <n v="23685"/>
    <n v="236.85"/>
    <s v=""/>
    <s v=""/>
    <s v=""/>
    <s v=""/>
    <s v=""/>
    <n v="236.85499999999999"/>
    <e v="#VALUE!"/>
  </r>
  <r>
    <n v="2304003"/>
    <x v="48"/>
    <x v="44"/>
    <n v="0"/>
    <n v="0"/>
    <n v="1297.135262"/>
    <s v=""/>
    <s v=""/>
    <b v="0"/>
    <x v="0"/>
    <x v="0"/>
    <s v=""/>
    <s v=""/>
    <s v=""/>
    <s v=""/>
    <s v=""/>
    <n v="43"/>
    <n v="0"/>
    <n v="43"/>
    <s v=""/>
    <n v="55825"/>
    <n v="1298.2558139534883"/>
    <s v=""/>
    <s v=""/>
    <s v=""/>
    <s v=""/>
    <s v=""/>
    <n v="1297.1352999999999"/>
    <e v="#VALUE!"/>
  </r>
  <r>
    <n v="617016"/>
    <x v="49"/>
    <x v="45"/>
    <n v="0"/>
    <n v="0"/>
    <n v="2857.5132739999999"/>
    <s v="UND"/>
    <s v=""/>
    <b v="0"/>
    <x v="0"/>
    <x v="0"/>
    <s v=""/>
    <s v=""/>
    <s v=""/>
    <s v=""/>
    <s v=""/>
    <n v="203"/>
    <n v="0"/>
    <n v="203"/>
    <s v=""/>
    <n v="581371"/>
    <n v="2863.8965517241381"/>
    <s v=""/>
    <s v=""/>
    <s v=""/>
    <s v=""/>
    <s v=""/>
    <n v="2857.5133000000001"/>
    <e v="#VALUE!"/>
  </r>
  <r>
    <n v="617057"/>
    <x v="50"/>
    <x v="46"/>
    <n v="0"/>
    <n v="0"/>
    <n v="2042.119706"/>
    <s v="UND"/>
    <s v=""/>
    <b v="0"/>
    <x v="0"/>
    <x v="0"/>
    <s v=""/>
    <s v=""/>
    <s v=""/>
    <s v=""/>
    <s v=""/>
    <n v="204"/>
    <n v="0"/>
    <n v="204"/>
    <s v=""/>
    <n v="378271"/>
    <n v="1854.2696078431372"/>
    <s v=""/>
    <s v=""/>
    <s v=""/>
    <s v=""/>
    <s v=""/>
    <n v="2042.1197"/>
    <e v="#VALUE!"/>
  </r>
  <r>
    <n v="617056"/>
    <x v="51"/>
    <x v="47"/>
    <n v="0"/>
    <n v="0"/>
    <n v="1320.5"/>
    <s v=""/>
    <s v=""/>
    <b v="0"/>
    <x v="0"/>
    <x v="0"/>
    <s v=""/>
    <s v=""/>
    <s v=""/>
    <s v=""/>
    <s v=""/>
    <n v="2"/>
    <n v="0"/>
    <n v="2"/>
    <s v=""/>
    <n v="2929"/>
    <n v="1464.5"/>
    <s v=""/>
    <s v=""/>
    <s v=""/>
    <s v=""/>
    <s v=""/>
    <n v="1320.5"/>
    <e v="#VALUE!"/>
  </r>
  <r>
    <n v="701183"/>
    <x v="52"/>
    <x v="48"/>
    <n v="0"/>
    <n v="0"/>
    <n v="996.5"/>
    <s v=""/>
    <s v=""/>
    <b v="0"/>
    <x v="0"/>
    <x v="0"/>
    <s v=""/>
    <s v=""/>
    <s v=""/>
    <s v=""/>
    <s v=""/>
    <n v="21"/>
    <n v="0"/>
    <n v="21"/>
    <s v=""/>
    <n v="20910"/>
    <n v="995.71428571428567"/>
    <s v=""/>
    <s v=""/>
    <s v=""/>
    <s v=""/>
    <s v=""/>
    <n v="996.5"/>
    <e v="#VALUE!"/>
  </r>
  <r>
    <s v="080470X"/>
    <x v="53"/>
    <x v="49"/>
    <n v="0"/>
    <n v="0"/>
    <n v="265.85816599999998"/>
    <s v=""/>
    <s v=""/>
    <b v="0"/>
    <x v="0"/>
    <x v="0"/>
    <s v=""/>
    <s v=""/>
    <s v=""/>
    <s v=""/>
    <s v=""/>
    <n v="1"/>
    <n v="0"/>
    <n v="1"/>
    <s v=""/>
    <n v="229"/>
    <n v="229"/>
    <s v=""/>
    <s v=""/>
    <s v=""/>
    <s v=""/>
    <s v=""/>
    <n v="265.85820000000001"/>
    <e v="#VALUE!"/>
  </r>
  <r>
    <n v="2505059"/>
    <x v="54"/>
    <x v="50"/>
    <n v="0"/>
    <n v="0"/>
    <n v="75790.3125"/>
    <s v=""/>
    <s v=""/>
    <b v="0"/>
    <x v="0"/>
    <x v="0"/>
    <s v=""/>
    <s v=""/>
    <s v=""/>
    <s v=""/>
    <s v=""/>
    <n v="2"/>
    <n v="0"/>
    <n v="2"/>
    <s v=""/>
    <n v="151581"/>
    <n v="75790.5"/>
    <s v=""/>
    <s v=""/>
    <s v=""/>
    <s v=""/>
    <s v=""/>
    <n v="75790.3125"/>
    <e v="#VALUE!"/>
  </r>
  <r>
    <n v="409027"/>
    <x v="55"/>
    <x v="51"/>
    <s v=""/>
    <s v=""/>
    <n v="6469.1028470000001"/>
    <s v=""/>
    <s v=""/>
    <b v="0"/>
    <x v="0"/>
    <x v="0"/>
    <s v=""/>
    <s v=""/>
    <s v=""/>
    <s v=""/>
    <s v=""/>
    <n v="12"/>
    <n v="0"/>
    <n v="12"/>
    <s v=""/>
    <n v="75785"/>
    <n v="6315.416666666667"/>
    <s v=""/>
    <s v=""/>
    <s v=""/>
    <s v=""/>
    <s v=""/>
    <n v="6469.1027999999997"/>
    <e v="#VALUE!"/>
  </r>
  <r>
    <s v="090721x"/>
    <x v="56"/>
    <x v="0"/>
    <s v=""/>
    <s v=""/>
    <n v="5771.9989420000002"/>
    <s v=""/>
    <s v=""/>
    <b v="0"/>
    <x v="0"/>
    <x v="0"/>
    <s v=""/>
    <s v=""/>
    <s v=""/>
    <s v=""/>
    <s v=""/>
    <n v="102"/>
    <n v="0"/>
    <n v="102"/>
    <s v=""/>
    <n v="591630"/>
    <n v="5800.2941176470586"/>
    <s v=""/>
    <s v=""/>
    <s v=""/>
    <s v=""/>
    <s v=""/>
    <n v="5771.9988999999996"/>
    <e v="#VALUE!"/>
  </r>
  <r>
    <n v="307263"/>
    <x v="57"/>
    <x v="0"/>
    <s v=""/>
    <s v=""/>
    <n v="9514.2179489999999"/>
    <s v=""/>
    <s v=""/>
    <b v="0"/>
    <x v="0"/>
    <x v="0"/>
    <s v=""/>
    <s v=""/>
    <s v=""/>
    <s v=""/>
    <s v=""/>
    <n v="7"/>
    <n v="0"/>
    <n v="7"/>
    <s v=""/>
    <n v="66599"/>
    <n v="9514.1428571428569"/>
    <s v=""/>
    <s v=""/>
    <s v=""/>
    <s v=""/>
    <s v=""/>
    <n v="9514.2178999999996"/>
    <e v="#VALUE!"/>
  </r>
  <r>
    <n v="1802659"/>
    <x v="58"/>
    <x v="0"/>
    <s v=""/>
    <s v=""/>
    <n v="2929.463158"/>
    <s v=""/>
    <s v=""/>
    <b v="0"/>
    <x v="0"/>
    <x v="0"/>
    <s v=""/>
    <s v=""/>
    <s v=""/>
    <s v=""/>
    <s v=""/>
    <n v="65"/>
    <n v="0"/>
    <n v="65"/>
    <s v=""/>
    <n v="159515"/>
    <n v="2454.0769230769229"/>
    <s v=""/>
    <s v=""/>
    <s v=""/>
    <s v=""/>
    <s v=""/>
    <n v="2929.4632000000001"/>
    <e v="#VALUE!"/>
  </r>
  <r>
    <n v="1802515"/>
    <x v="59"/>
    <x v="0"/>
    <s v=""/>
    <s v=""/>
    <n v="2827.2510459999999"/>
    <s v=""/>
    <s v=""/>
    <b v="0"/>
    <x v="0"/>
    <x v="0"/>
    <s v=""/>
    <s v=""/>
    <s v=""/>
    <s v=""/>
    <s v=""/>
    <n v="1"/>
    <n v="0"/>
    <n v="1"/>
    <s v=""/>
    <n v="2827"/>
    <n v="2827"/>
    <s v=""/>
    <s v=""/>
    <s v=""/>
    <s v=""/>
    <s v=""/>
    <n v="2827.2510000000002"/>
    <e v="#VALUE!"/>
  </r>
  <r>
    <n v="407307"/>
    <x v="60"/>
    <x v="0"/>
    <s v="OBRA GRUESA"/>
    <s v="FIJACION"/>
    <n v="69.472774999999999"/>
    <s v="UND"/>
    <s v=""/>
    <b v="0"/>
    <x v="0"/>
    <x v="0"/>
    <s v=""/>
    <s v=""/>
    <s v=""/>
    <s v=""/>
    <s v=""/>
    <n v="2620"/>
    <n v="0"/>
    <n v="2620"/>
    <s v=""/>
    <n v="189527"/>
    <n v="72.338549618320613"/>
    <s v=""/>
    <s v=""/>
    <s v=""/>
    <s v=""/>
    <s v=""/>
    <n v="69.472800000000007"/>
    <e v="#VALUE!"/>
  </r>
  <r>
    <n v="407010"/>
    <x v="61"/>
    <x v="0"/>
    <s v=""/>
    <s v=""/>
    <n v="11.50126"/>
    <s v=""/>
    <s v=""/>
    <b v="0"/>
    <x v="0"/>
    <x v="0"/>
    <s v=""/>
    <s v=""/>
    <s v=""/>
    <s v=""/>
    <s v=""/>
    <n v="1282"/>
    <n v="0"/>
    <n v="1282"/>
    <s v=""/>
    <n v="15257"/>
    <n v="11.900936037441499"/>
    <s v=""/>
    <s v=""/>
    <s v=""/>
    <s v=""/>
    <s v=""/>
    <n v="11.501300000000001"/>
    <e v="#VALUE!"/>
  </r>
  <r>
    <n v="404252"/>
    <x v="62"/>
    <x v="0"/>
    <s v=""/>
    <s v=""/>
    <n v="1110.043876"/>
    <s v=""/>
    <s v=""/>
    <b v="0"/>
    <x v="0"/>
    <x v="0"/>
    <s v=""/>
    <s v=""/>
    <s v=""/>
    <s v=""/>
    <s v=""/>
    <n v="247"/>
    <n v="0"/>
    <n v="247"/>
    <s v=""/>
    <n v="363526"/>
    <n v="1471.7651821862348"/>
    <s v=""/>
    <s v=""/>
    <s v=""/>
    <s v=""/>
    <s v=""/>
    <n v="1110.0438999999999"/>
    <e v="#VALUE!"/>
  </r>
  <r>
    <n v="617055"/>
    <x v="63"/>
    <x v="0"/>
    <n v="0"/>
    <n v="0"/>
    <n v="920.35378100000003"/>
    <s v="UND"/>
    <s v=""/>
    <b v="0"/>
    <x v="0"/>
    <x v="0"/>
    <s v=""/>
    <s v=""/>
    <s v=""/>
    <s v=""/>
    <s v=""/>
    <n v="127"/>
    <n v="0"/>
    <n v="127"/>
    <s v=""/>
    <n v="98462"/>
    <n v="775.29133858267721"/>
    <s v=""/>
    <s v=""/>
    <s v=""/>
    <s v=""/>
    <s v=""/>
    <n v="920.35379999999998"/>
    <e v="#VALUE!"/>
  </r>
  <r>
    <s v="180150x"/>
    <x v="64"/>
    <x v="0"/>
    <n v="0"/>
    <n v="0"/>
    <n v="6798.3407129999996"/>
    <s v=""/>
    <s v=""/>
    <b v="0"/>
    <x v="0"/>
    <x v="0"/>
    <s v=""/>
    <s v=""/>
    <s v=""/>
    <s v=""/>
    <s v=""/>
    <n v="1"/>
    <n v="0"/>
    <n v="1"/>
    <s v=""/>
    <n v="6797"/>
    <n v="6797"/>
    <s v=""/>
    <s v=""/>
    <s v=""/>
    <s v=""/>
    <s v=""/>
    <n v="6798.3406999999997"/>
    <e v="#VALUE!"/>
  </r>
  <r>
    <n v="704095"/>
    <x v="65"/>
    <x v="0"/>
    <s v=""/>
    <s v=""/>
    <n v="250.00118800000001"/>
    <s v=""/>
    <s v=""/>
    <b v="0"/>
    <x v="0"/>
    <x v="0"/>
    <s v=""/>
    <s v=""/>
    <s v=""/>
    <s v=""/>
    <s v=""/>
    <n v="60"/>
    <n v="0"/>
    <n v="60"/>
    <s v=""/>
    <n v="15000"/>
    <n v="250"/>
    <s v=""/>
    <s v=""/>
    <s v=""/>
    <s v=""/>
    <s v=""/>
    <n v="250.00120000000001"/>
    <e v="#VALUE!"/>
  </r>
  <r>
    <n v="617007"/>
    <x v="66"/>
    <x v="0"/>
    <s v=""/>
    <s v=""/>
    <n v="99.963820999999996"/>
    <s v=""/>
    <s v=""/>
    <b v="0"/>
    <x v="0"/>
    <x v="0"/>
    <s v=""/>
    <s v=""/>
    <s v=""/>
    <s v=""/>
    <s v=""/>
    <n v="13"/>
    <n v="0"/>
    <n v="13"/>
    <s v=""/>
    <n v="1300"/>
    <n v="100"/>
    <s v=""/>
    <s v=""/>
    <s v=""/>
    <s v=""/>
    <s v=""/>
    <n v="99.963800000000006"/>
    <e v="#VALUE!"/>
  </r>
  <r>
    <n v="1801233"/>
    <x v="67"/>
    <x v="0"/>
    <s v=""/>
    <s v=""/>
    <n v="7404.4100719999997"/>
    <s v=""/>
    <s v=""/>
    <b v="0"/>
    <x v="0"/>
    <x v="0"/>
    <s v=""/>
    <s v=""/>
    <s v=""/>
    <s v=""/>
    <s v=""/>
    <n v="1"/>
    <n v="0"/>
    <n v="1"/>
    <s v=""/>
    <n v="7404"/>
    <n v="7404"/>
    <s v=""/>
    <s v=""/>
    <s v=""/>
    <s v=""/>
    <s v=""/>
    <n v="7404.4101000000001"/>
    <e v="#VALUE!"/>
  </r>
  <r>
    <n v="1801232"/>
    <x v="68"/>
    <x v="0"/>
    <s v=""/>
    <s v=""/>
    <n v="6876.3333329999996"/>
    <s v=""/>
    <s v=""/>
    <b v="0"/>
    <x v="0"/>
    <x v="0"/>
    <s v=""/>
    <s v=""/>
    <s v=""/>
    <s v=""/>
    <s v=""/>
    <n v="1"/>
    <n v="0"/>
    <n v="1"/>
    <s v=""/>
    <n v="6876"/>
    <n v="6876"/>
    <s v=""/>
    <s v=""/>
    <s v=""/>
    <s v=""/>
    <s v=""/>
    <n v="6876.3333000000002"/>
    <e v="#VALUE!"/>
  </r>
  <r>
    <n v="1801231"/>
    <x v="69"/>
    <x v="0"/>
    <s v=""/>
    <s v=""/>
    <n v="5708.8"/>
    <s v=""/>
    <s v=""/>
    <b v="0"/>
    <x v="0"/>
    <x v="0"/>
    <s v=""/>
    <s v=""/>
    <s v=""/>
    <s v=""/>
    <s v=""/>
    <n v="1"/>
    <n v="0"/>
    <n v="1"/>
    <s v=""/>
    <n v="5709"/>
    <n v="5709"/>
    <s v=""/>
    <s v=""/>
    <s v=""/>
    <s v=""/>
    <s v=""/>
    <n v="5708.8"/>
    <e v="#VALUE!"/>
  </r>
  <r>
    <s v="040813x"/>
    <x v="70"/>
    <x v="0"/>
    <s v=""/>
    <s v=""/>
    <n v="41451.848739000001"/>
    <s v=""/>
    <s v=""/>
    <b v="0"/>
    <x v="0"/>
    <x v="0"/>
    <s v=""/>
    <s v=""/>
    <s v=""/>
    <s v=""/>
    <s v=""/>
    <n v="1"/>
    <n v="0"/>
    <n v="1"/>
    <s v=""/>
    <n v="41452"/>
    <n v="41452"/>
    <s v=""/>
    <s v=""/>
    <s v=""/>
    <s v=""/>
    <s v=""/>
    <n v="41451.848700000002"/>
    <e v="#VALUE!"/>
  </r>
  <r>
    <n v="704079"/>
    <x v="71"/>
    <x v="0"/>
    <s v=""/>
    <s v=""/>
    <n v="755.704882"/>
    <s v=""/>
    <s v=""/>
    <b v="0"/>
    <x v="0"/>
    <x v="0"/>
    <s v=""/>
    <s v=""/>
    <s v=""/>
    <s v=""/>
    <s v=""/>
    <n v="121"/>
    <n v="0"/>
    <n v="121"/>
    <s v=""/>
    <n v="87774"/>
    <n v="725.40495867768595"/>
    <s v=""/>
    <s v=""/>
    <s v=""/>
    <s v=""/>
    <s v=""/>
    <n v="755.70489999999995"/>
    <e v="#VALUE!"/>
  </r>
  <r>
    <n v="609007"/>
    <x v="72"/>
    <x v="0"/>
    <s v=""/>
    <s v=""/>
    <n v="8164.9821430000002"/>
    <s v=""/>
    <s v=""/>
    <b v="0"/>
    <x v="0"/>
    <x v="0"/>
    <s v=""/>
    <s v=""/>
    <s v=""/>
    <s v=""/>
    <s v=""/>
    <n v="7"/>
    <n v="0"/>
    <n v="7"/>
    <s v=""/>
    <n v="57155"/>
    <n v="8165"/>
    <s v=""/>
    <s v=""/>
    <s v=""/>
    <s v=""/>
    <s v=""/>
    <n v="8164.9821000000002"/>
    <e v="#VALUE!"/>
  </r>
  <r>
    <n v="410046"/>
    <x v="73"/>
    <x v="0"/>
    <s v=""/>
    <s v=""/>
    <n v="746"/>
    <s v="UND"/>
    <s v=""/>
    <b v="0"/>
    <x v="0"/>
    <x v="0"/>
    <s v=""/>
    <s v=""/>
    <s v=""/>
    <s v=""/>
    <s v=""/>
    <n v="1032"/>
    <n v="0"/>
    <n v="1032"/>
    <s v=""/>
    <n v="769872"/>
    <n v="746"/>
    <s v=""/>
    <s v=""/>
    <s v=""/>
    <s v=""/>
    <s v=""/>
    <n v="746"/>
    <e v="#VALUE!"/>
  </r>
  <r>
    <n v="412592"/>
    <x v="74"/>
    <x v="0"/>
    <s v=""/>
    <s v=""/>
    <n v="3152.283293"/>
    <s v=""/>
    <s v=""/>
    <b v="0"/>
    <x v="0"/>
    <x v="0"/>
    <s v=""/>
    <s v=""/>
    <s v=""/>
    <s v=""/>
    <s v=""/>
    <n v="2"/>
    <n v="0"/>
    <n v="2"/>
    <s v=""/>
    <n v="6305"/>
    <n v="3152.5"/>
    <s v=""/>
    <s v=""/>
    <s v=""/>
    <s v=""/>
    <s v=""/>
    <n v="3152.2833000000001"/>
    <e v="#VALUE!"/>
  </r>
  <r>
    <n v="412313"/>
    <x v="75"/>
    <x v="0"/>
    <s v=""/>
    <s v=""/>
    <n v="23724.067384999998"/>
    <s v="CJA"/>
    <s v=""/>
    <b v="0"/>
    <x v="0"/>
    <x v="0"/>
    <s v=""/>
    <s v=""/>
    <s v=""/>
    <s v=""/>
    <s v=""/>
    <n v="72"/>
    <n v="0"/>
    <n v="72"/>
    <s v=""/>
    <n v="1708130"/>
    <n v="23724.027777777777"/>
    <s v=""/>
    <s v=""/>
    <s v=""/>
    <s v=""/>
    <s v=""/>
    <n v="23724.0674"/>
    <e v="#VALUE!"/>
  </r>
  <r>
    <n v="302054"/>
    <x v="76"/>
    <x v="0"/>
    <s v="OBRA GRUESA"/>
    <s v="MADERA"/>
    <n v="5713"/>
    <s v=""/>
    <s v=""/>
    <b v="0"/>
    <x v="2"/>
    <x v="1"/>
    <s v=""/>
    <s v=""/>
    <s v=""/>
    <s v=""/>
    <s v=""/>
    <n v="15000"/>
    <n v="0"/>
    <n v="15000"/>
    <s v=""/>
    <n v="73473574"/>
    <n v="4898.2382666666663"/>
    <s v=""/>
    <s v=""/>
    <s v=""/>
    <s v=""/>
    <s v=""/>
    <n v="5713"/>
    <e v="#VALUE!"/>
  </r>
  <r>
    <n v="409011"/>
    <x v="77"/>
    <x v="0"/>
    <n v="0"/>
    <n v="0"/>
    <n v="13713.269504"/>
    <s v="TRA"/>
    <s v=""/>
    <b v="0"/>
    <x v="0"/>
    <x v="0"/>
    <s v=""/>
    <s v=""/>
    <s v=""/>
    <s v=""/>
    <s v=""/>
    <n v="13"/>
    <n v="0"/>
    <n v="13"/>
    <s v=""/>
    <n v="192563"/>
    <n v="14812.538461538461"/>
    <s v=""/>
    <s v=""/>
    <s v=""/>
    <s v=""/>
    <s v=""/>
    <n v="13713.2695"/>
    <e v="#VALUE!"/>
  </r>
  <r>
    <s v="080459x"/>
    <x v="78"/>
    <x v="0"/>
    <s v="TERMINACION"/>
    <s v="INTERIOR"/>
    <n v="6762.9578080000001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0"/>
    <x v="79"/>
    <x v="0"/>
    <s v="OBRA GRUESA"/>
    <s v="TECHUMBRE"/>
    <n v="11800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1"/>
    <x v="80"/>
    <x v="0"/>
    <s v="OBRA GRUESA"/>
    <s v="TECHUMBRE"/>
    <n v="8850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PA"/>
    <x v="81"/>
    <x v="0"/>
    <s v="TERMINACION"/>
    <s v="PISO"/>
    <n v="1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PINTURA "/>
    <x v="82"/>
    <x v="0"/>
    <s v="TERMINACION"/>
    <s v="PINTURA"/>
    <n v="1"/>
    <s v="GAL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ve polflex"/>
    <x v="83"/>
    <x v="0"/>
    <n v="0"/>
    <n v="0"/>
    <n v="102900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VOLCO"/>
    <x v="84"/>
    <x v="0"/>
    <n v="0"/>
    <n v="0"/>
    <n v="29779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KRAFT"/>
    <x v="85"/>
    <x v="52"/>
    <s v="OBRA GRUESA"/>
    <s v="AISLANTE"/>
    <n v="651.5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1307"/>
    <x v="86"/>
    <x v="53"/>
    <s v="TERMINACION"/>
    <n v="0"/>
    <n v="1670"/>
    <s v="ML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403024"/>
    <x v="87"/>
    <x v="54"/>
    <s v="OBRA GRUESA"/>
    <s v="FIJACION"/>
    <n v="0"/>
    <s v="UND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407795"/>
    <x v="88"/>
    <x v="55"/>
    <s v="GRIFERIA"/>
    <s v="BAÑO"/>
    <n v="1610.93361"/>
    <s v="UND"/>
    <s v=""/>
    <b v="0"/>
    <x v="0"/>
    <x v="0"/>
    <s v=""/>
    <s v=""/>
    <s v=""/>
    <s v=""/>
    <s v=""/>
    <n v="29"/>
    <n v="0"/>
    <n v="29"/>
    <s v=""/>
    <n v="44573"/>
    <n v="1537"/>
    <s v=""/>
    <s v=""/>
    <s v=""/>
    <s v=""/>
    <s v=""/>
    <n v="1610.9336000000001"/>
    <e v="#VALUE!"/>
  </r>
  <r>
    <n v="1610007"/>
    <x v="89"/>
    <x v="56"/>
    <n v="0"/>
    <n v="0"/>
    <n v="1624.474037"/>
    <s v="KG"/>
    <s v=""/>
    <b v="0"/>
    <x v="0"/>
    <x v="0"/>
    <s v=""/>
    <s v=""/>
    <s v=""/>
    <s v=""/>
    <s v=""/>
    <n v="14"/>
    <n v="0"/>
    <n v="14"/>
    <s v=""/>
    <n v="22725"/>
    <n v="1623.2142857142858"/>
    <s v=""/>
    <s v=""/>
    <s v=""/>
    <s v=""/>
    <s v=""/>
    <n v="1624.4739999999999"/>
    <e v="#VALUE!"/>
  </r>
  <r>
    <n v="5314002"/>
    <x v="90"/>
    <x v="57"/>
    <n v="0"/>
    <n v="0"/>
    <n v="311.91986600000001"/>
    <s v="UND"/>
    <s v=""/>
    <b v="0"/>
    <x v="0"/>
    <x v="0"/>
    <s v=""/>
    <s v=""/>
    <s v=""/>
    <s v=""/>
    <s v=""/>
    <n v="27"/>
    <n v="0"/>
    <n v="27"/>
    <s v=""/>
    <n v="8423"/>
    <n v="311.96296296296299"/>
    <s v=""/>
    <s v=""/>
    <s v=""/>
    <s v=""/>
    <s v=""/>
    <n v="311.91989999999998"/>
    <e v="#VALUE!"/>
  </r>
  <r>
    <n v="412281"/>
    <x v="91"/>
    <x v="58"/>
    <s v="OBRA GRUESA"/>
    <s v="FIJACION"/>
    <n v="0"/>
    <s v="UND"/>
    <s v=""/>
    <b v="0"/>
    <x v="0"/>
    <x v="0"/>
    <s v=""/>
    <s v=""/>
    <s v=""/>
    <s v=""/>
    <s v=""/>
    <n v="186"/>
    <n v="0"/>
    <n v="186"/>
    <s v=""/>
    <n v="1664968"/>
    <n v="8951.4408602150543"/>
    <s v=""/>
    <s v=""/>
    <s v=""/>
    <s v=""/>
    <s v=""/>
    <n v="0"/>
    <e v="#VALUE!"/>
  </r>
  <r>
    <n v="407423"/>
    <x v="92"/>
    <x v="59"/>
    <s v="OBRA GRUESA"/>
    <s v="FIJACION"/>
    <n v="3.388029"/>
    <s v="UND"/>
    <n v="106.64050198378378"/>
    <b v="0"/>
    <x v="0"/>
    <x v="0"/>
    <n v="24.28125"/>
    <n v="82.265579156249999"/>
    <n v="2632.498533"/>
    <n v="57914.967726000003"/>
    <n v="17045.4375"/>
    <n v="244658"/>
    <n v="0"/>
    <n v="244658"/>
    <n v="10076.005148005148"/>
    <n v="837746"/>
    <n v="3.4241512642137186"/>
    <n v="-779213.55828953069"/>
    <n v="-14.454441725255684"/>
    <n v="-227564"/>
    <n v="-1.0751173296303458"/>
    <n v="-8220.1269335306715"/>
    <n v="106.6405"/>
    <n v="-1.9837837754721477E-6"/>
  </r>
  <r>
    <s v="040801X"/>
    <x v="93"/>
    <x v="0"/>
    <s v="OBRA GRUESA"/>
    <s v="FIJACION"/>
    <n v="49030.713302999997"/>
    <s v="CJA"/>
    <n v="49030.713302999997"/>
    <b v="1"/>
    <x v="0"/>
    <x v="0"/>
    <n v="1.0500000000000001E-2"/>
    <n v="514.82248968149997"/>
    <n v="16474.319669807999"/>
    <n v="362435.03273577598"/>
    <n v="7.3710000000000004"/>
    <n v="15"/>
    <n v="0"/>
    <n v="15"/>
    <n v="1428.5714285714284"/>
    <n v="735461"/>
    <n v="49030.73333333333"/>
    <n v="-373025.81919999997"/>
    <n v="-2.029221199684482"/>
    <n v="-7.6079999999999997"/>
    <n v="-1.9716088328075712"/>
    <n v="-0.15239077602745965"/>
    <n v="49030.713300000003"/>
    <n v="-2.9999937396496534E-6"/>
  </r>
  <r>
    <n v="2304002"/>
    <x v="94"/>
    <x v="0"/>
    <s v="GRIFERIA"/>
    <s v="SELLADO"/>
    <n v="1376.471724"/>
    <s v="UND"/>
    <n v="1376.471724"/>
    <b v="1"/>
    <x v="0"/>
    <x v="0"/>
    <n v="0.52500000000000002"/>
    <n v="722.64765510000007"/>
    <n v="23124.724963200002"/>
    <n v="508743.94919040008"/>
    <n v="368.55"/>
    <n v="459"/>
    <n v="0"/>
    <n v="459"/>
    <n v="874.28571428571422"/>
    <n v="642209"/>
    <n v="1399.148148148148"/>
    <n v="-125083.8444444444"/>
    <n v="-1.2458679747316879"/>
    <n v="-89.399999999999977"/>
    <n v="-5.1342281879194642"/>
    <n v="-2027.2723188444361"/>
    <n v="1376.4717000000001"/>
    <n v="-2.3999999939405825E-5"/>
  </r>
  <r>
    <n v="2302119"/>
    <x v="95"/>
    <x v="60"/>
    <s v="TERMINACION"/>
    <s v="FIJACION"/>
    <n v="3670.8750399999999"/>
    <s v="UND"/>
    <n v="3671"/>
    <b v="0"/>
    <x v="0"/>
    <x v="0"/>
    <n v="1.5750000000000002"/>
    <n v="5781.6281880000006"/>
    <n v="185012.10201600002"/>
    <n v="4070266.2443520003"/>
    <n v="1105.6500000000001"/>
    <n v="1049"/>
    <n v="0"/>
    <n v="1049"/>
    <n v="666.03174603174591"/>
    <n v="3864773"/>
    <n v="3684.244995233556"/>
    <n v="220317.85071496732"/>
    <n v="-0.94587139084066407"/>
    <n v="59.800000000000182"/>
    <n v="17.541806020066836"/>
    <n v="799.52332296664827"/>
    <n v="3671"/>
    <n v="0"/>
  </r>
  <r>
    <n v="304014"/>
    <x v="96"/>
    <x v="0"/>
    <s v="OBRA GRUESA"/>
    <s v="TABLERO"/>
    <n v="20894.572284999998"/>
    <s v="PL"/>
    <n v="20894.572284999998"/>
    <b v="1"/>
    <x v="0"/>
    <x v="0"/>
    <n v="1.378125"/>
    <n v="28795.332430265622"/>
    <n v="921450.6377684999"/>
    <n v="20271914.030906998"/>
    <n v="967.44375000000002"/>
    <n v="710"/>
    <n v="0"/>
    <n v="710"/>
    <n v="515.19274376417229"/>
    <n v="14806727"/>
    <n v="20854.545070422537"/>
    <n v="5426352.6273239451"/>
    <n v="-0.73232164367652652"/>
    <n v="260.20000000000005"/>
    <n v="2.7286702536510372"/>
    <n v="-10415.081233055331"/>
    <n v="20894.5723"/>
    <n v="1.5000001440057531E-5"/>
  </r>
  <r>
    <n v="1901505"/>
    <x v="97"/>
    <x v="38"/>
    <s v=""/>
    <s v=""/>
    <n v="1895"/>
    <s v=""/>
    <n v="1895"/>
    <b v="1"/>
    <x v="0"/>
    <x v="0"/>
    <n v="1.2368067885117493"/>
    <n v="2343.7488642297649"/>
    <n v="74999.963655352476"/>
    <n v="1649999.2004177545"/>
    <n v="868.23836553524802"/>
    <n v="512"/>
    <n v="0"/>
    <n v="512"/>
    <n v="413.96926727422806"/>
    <n v="970240"/>
    <n v="1895"/>
    <n v="679759.20041775447"/>
    <n v="-0.5880245273781648"/>
    <n v="358.71197911227148"/>
    <n v="1.4273289709116508"/>
    <n v="0"/>
    <n v="1895"/>
    <n v="0"/>
  </r>
  <r>
    <n v="2304053"/>
    <x v="98"/>
    <x v="0"/>
    <s v="TERMINACION"/>
    <s v="FIJACION"/>
    <n v="866.41015300000004"/>
    <s v="UND"/>
    <n v="862.00000000000011"/>
    <b v="0"/>
    <x v="0"/>
    <x v="0"/>
    <n v="2.1"/>
    <n v="1819.4613213000002"/>
    <n v="58222.762281600008"/>
    <n v="1280900.7701952001"/>
    <n v="1474.2"/>
    <n v="749"/>
    <n v="0"/>
    <n v="749"/>
    <n v="356.66666666666663"/>
    <n v="751911"/>
    <n v="1003.8865153538051"/>
    <n v="732234.82429906551"/>
    <n v="-0.42834383323270375"/>
    <n v="729.40000000000009"/>
    <n v="1.0268714011516313"/>
    <n v="100275.25870086544"/>
    <n v="862"/>
    <n v="0"/>
  </r>
  <r>
    <n v="1801230"/>
    <x v="99"/>
    <x v="61"/>
    <s v="TERMINACION"/>
    <s v="BAÑO"/>
    <n v="9309.8461540000008"/>
    <s v="UND"/>
    <n v="9309.8461540000008"/>
    <b v="1"/>
    <x v="0"/>
    <x v="0"/>
    <n v="0.52500000000000002"/>
    <n v="4887.6692308500005"/>
    <n v="156405.41538720002"/>
    <n v="3440919.1385184005"/>
    <n v="368.55"/>
    <n v="179"/>
    <n v="0"/>
    <n v="179"/>
    <n v="340.95238095238096"/>
    <n v="664439"/>
    <n v="3711.9497206703909"/>
    <n v="707497.6167597766"/>
    <n v="-0.79438702617568258"/>
    <n v="190.60000000000002"/>
    <n v="0.93913955928646364"/>
    <n v="-1066959.0601926236"/>
    <n v="9309.8462"/>
    <n v="4.5999999201740138E-5"/>
  </r>
  <r>
    <n v="1103076"/>
    <x v="100"/>
    <x v="62"/>
    <s v="OBRA GRUESA"/>
    <n v="0"/>
    <n v="3191"/>
    <s v="UND"/>
    <n v="3191"/>
    <b v="1"/>
    <x v="0"/>
    <x v="0"/>
    <n v="1.05"/>
    <n v="3350.55"/>
    <n v="107217.60000000001"/>
    <n v="2358787.2000000002"/>
    <n v="737.1"/>
    <n v="338"/>
    <n v="0"/>
    <n v="338"/>
    <n v="321.90476190476187"/>
    <n v="939549"/>
    <n v="2779.7307692307691"/>
    <n v="1115227.9846153846"/>
    <n v="-0.52720279955080962"/>
    <n v="401.20000000000005"/>
    <n v="0.84247258225324018"/>
    <n v="-165001.21538461559"/>
    <n v="3191"/>
    <n v="0"/>
  </r>
  <r>
    <n v="1103074"/>
    <x v="101"/>
    <x v="63"/>
    <s v="OBRA GRUESA"/>
    <n v="0"/>
    <n v="2427"/>
    <s v="UND"/>
    <n v="2427"/>
    <b v="1"/>
    <x v="0"/>
    <x v="0"/>
    <n v="1.05"/>
    <n v="2548.35"/>
    <n v="81547.199999999997"/>
    <n v="1794038.4"/>
    <n v="737.1"/>
    <n v="310"/>
    <n v="0"/>
    <n v="310"/>
    <n v="295.23809523809524"/>
    <n v="650317"/>
    <n v="2097.7967741935486"/>
    <n v="900374.37548387109"/>
    <n v="-0.49812981958252889"/>
    <n v="429.20000000000005"/>
    <n v="0.72227399813606707"/>
    <n v="-141294.02451612905"/>
    <n v="2427"/>
    <n v="0"/>
  </r>
  <r>
    <n v="408034"/>
    <x v="102"/>
    <x v="0"/>
    <n v="0"/>
    <n v="0"/>
    <n v="1866.9503549999999"/>
    <s v="CJA"/>
    <n v="1866.9503550000009"/>
    <b v="1"/>
    <x v="0"/>
    <x v="0"/>
    <n v="7.1400000000000005E-2"/>
    <n v="133.30025534700002"/>
    <n v="4265.6081711040006"/>
    <n v="93843.379764288009"/>
    <n v="50.122800000000005"/>
    <n v="19"/>
    <n v="0"/>
    <n v="19"/>
    <n v="266.1064425770308"/>
    <n v="35473"/>
    <n v="1867"/>
    <n v="58372.875200000009"/>
    <n v="-0.37797556581382052"/>
    <n v="31.265600000000006"/>
    <n v="0.60769663783839101"/>
    <n v="1.5521807120021549"/>
    <n v="1866.9503999999999"/>
    <n v="4.4999999090578058E-5"/>
  </r>
  <r>
    <n v="704024"/>
    <x v="103"/>
    <x v="64"/>
    <s v="OBRA GRUESA"/>
    <s v="TABIQUERIA"/>
    <n v="363"/>
    <s v="UND"/>
    <n v="363"/>
    <b v="1"/>
    <x v="0"/>
    <x v="0"/>
    <n v="4.2"/>
    <n v="1524.6000000000001"/>
    <n v="48787.200000000004"/>
    <n v="1073318.4000000001"/>
    <n v="2948.4"/>
    <n v="1096"/>
    <n v="0"/>
    <n v="1096"/>
    <n v="260.95238095238096"/>
    <n v="348453"/>
    <n v="317.93156934306569"/>
    <n v="591607.06423357665"/>
    <n v="-0.4488056254010212"/>
    <n v="1860.8000000000002"/>
    <n v="0.58899398108340495"/>
    <n v="-83863.335766423377"/>
    <n v="363"/>
    <n v="0"/>
  </r>
  <r>
    <n v="701040"/>
    <x v="104"/>
    <x v="15"/>
    <s v="OBRA GRUESA"/>
    <s v="TABIQUERIA"/>
    <n v="7835.7259539999995"/>
    <s v="PL"/>
    <n v="7835.7259539999986"/>
    <b v="1"/>
    <x v="0"/>
    <x v="0"/>
    <n v="4.2840000000000007"/>
    <n v="33568.249986936004"/>
    <n v="1074183.9995819521"/>
    <n v="23632047.990802947"/>
    <n v="3007.3680000000004"/>
    <n v="1055"/>
    <n v="0"/>
    <n v="1055"/>
    <n v="246.26517273576093"/>
    <n v="8000165"/>
    <n v="7583.0947867298582"/>
    <n v="14869963.558710907"/>
    <n v="-0.37077126940085958"/>
    <n v="1960.9360000000006"/>
    <n v="0.53800837967174842"/>
    <n v="-495393.55062204041"/>
    <n v="7835.7259999999997"/>
    <n v="4.6000001020729542E-5"/>
  </r>
  <r>
    <n v="410045"/>
    <x v="105"/>
    <x v="65"/>
    <s v="OBRA GRUESA"/>
    <s v="FIJACION"/>
    <n v="368.00136099999997"/>
    <s v="UND"/>
    <n v="368.00136099999992"/>
    <b v="1"/>
    <x v="0"/>
    <x v="0"/>
    <n v="16.800000000000004"/>
    <n v="6182.4228648000008"/>
    <n v="197837.53167360002"/>
    <n v="4352425.6968192002"/>
    <n v="11793.600000000002"/>
    <n v="3813"/>
    <n v="0"/>
    <n v="3813"/>
    <n v="226.96428571428567"/>
    <n v="1326894"/>
    <n v="347.99213217938632"/>
    <n v="2788878.5457120389"/>
    <n v="-0.35923580550721834"/>
    <n v="8014.2000000000025"/>
    <n v="0.47578048963090497"/>
    <n v="-160357.96161416173"/>
    <n v="368.00139999999999"/>
    <n v="3.9000000072064722E-5"/>
  </r>
  <r>
    <s v="geotextil"/>
    <x v="106"/>
    <x v="0"/>
    <s v="OBRA GRUESA"/>
    <s v="AISLANTE"/>
    <n v="52900"/>
    <s v="RLL"/>
    <n v="58899.999999999993"/>
    <b v="0"/>
    <x v="0"/>
    <x v="0"/>
    <n v="8.9250000000000006E-3"/>
    <n v="472.13250000000005"/>
    <n v="15108.240000000002"/>
    <n v="332381.28000000003"/>
    <n v="6.2653500000000006"/>
    <n v="2"/>
    <n v="0"/>
    <n v="2"/>
    <n v="224.08963585434171"/>
    <n v="117800"/>
    <n v="58900"/>
    <n v="252280.48000000004"/>
    <n v="-0.24099070802062017"/>
    <n v="4.2832000000000008"/>
    <n v="0.46694060515502417"/>
    <n v="25699.200000000012"/>
    <n v="58900"/>
    <n v="0"/>
  </r>
  <r>
    <n v="1902003"/>
    <x v="107"/>
    <x v="0"/>
    <s v="OBRA GRUESA"/>
    <s v="AISLANTE"/>
    <n v="150703.97545999999"/>
    <s v="RLL"/>
    <n v="150703.97545999996"/>
    <b v="1"/>
    <x v="0"/>
    <x v="0"/>
    <n v="0.41466600000000009"/>
    <n v="62491.814688096369"/>
    <n v="1999738.0700190838"/>
    <n v="43994237.540419847"/>
    <n v="291.09553200000005"/>
    <n v="87"/>
    <n v="0"/>
    <n v="87"/>
    <n v="209.80741126593446"/>
    <n v="13113703"/>
    <n v="150732.2183908046"/>
    <n v="30888779.354153942"/>
    <n v="-0.29789033562009626"/>
    <n v="204.92486400000007"/>
    <n v="0.4245458472037828"/>
    <n v="5787.6787540987134"/>
    <n v="150703.9755"/>
    <n v="4.0000042645260692E-5"/>
  </r>
  <r>
    <n v="408042"/>
    <x v="108"/>
    <x v="66"/>
    <s v="OBRA GRUESA"/>
    <s v="FIJACION"/>
    <n v="35000"/>
    <s v="CJA"/>
    <n v="35000.000000000029"/>
    <b v="1"/>
    <x v="0"/>
    <x v="0"/>
    <n v="0.95825624999999959"/>
    <n v="33538.968749999985"/>
    <n v="1073246.9999999995"/>
    <n v="23611433.999999989"/>
    <n v="672.69588749999969"/>
    <n v="195"/>
    <n v="0"/>
    <n v="195"/>
    <n v="203.49462891580418"/>
    <n v="6825000"/>
    <n v="35000"/>
    <n v="16786433.999999993"/>
    <n v="-0.28905487061903989"/>
    <n v="479.61239999999975"/>
    <n v="0.40657831198692967"/>
    <n v="0"/>
    <n v="35000"/>
    <n v="0"/>
  </r>
  <r>
    <n v="302248"/>
    <x v="109"/>
    <x v="0"/>
    <s v="OBRA GRUESA"/>
    <s v="MADERA"/>
    <n v="2342.1751370000002"/>
    <s v="PZA"/>
    <n v="2342.1751370000002"/>
    <b v="1"/>
    <x v="0"/>
    <x v="0"/>
    <n v="8.9250000000000007"/>
    <n v="20903.913097725002"/>
    <n v="668925.21912720008"/>
    <n v="14716354.820798401"/>
    <n v="6265.35"/>
    <n v="1728"/>
    <n v="0"/>
    <n v="1728"/>
    <n v="193.61344537815125"/>
    <n v="4086732"/>
    <n v="2365.0069444444443"/>
    <n v="10773079.633333335"/>
    <n v="-0.26795189674905739"/>
    <n v="4555.2000000000007"/>
    <n v="0.37934668071654365"/>
    <n v="104003.449270932"/>
    <n v="2342.1750999999999"/>
    <n v="-3.7000000247644493E-5"/>
  </r>
  <r>
    <n v="1405040"/>
    <x v="110"/>
    <x v="67"/>
    <s v="TERMINACION"/>
    <s v="BAÑO"/>
    <n v="7568"/>
    <s v="UND"/>
    <n v="7568"/>
    <b v="1"/>
    <x v="0"/>
    <x v="0"/>
    <n v="0.52500000000000002"/>
    <n v="3973.2000000000003"/>
    <n v="127142.40000000001"/>
    <n v="2797132.8000000003"/>
    <n v="368.55"/>
    <n v="98"/>
    <n v="0"/>
    <n v="98"/>
    <n v="186.66666666666666"/>
    <n v="742246"/>
    <n v="7573.9387755102043"/>
    <n v="2057081.7714285718"/>
    <n v="-0.26457486343566827"/>
    <n v="271.60000000000002"/>
    <n v="0.36082474226804123"/>
    <n v="1612.9714285715017"/>
    <n v="7568"/>
    <n v="0"/>
  </r>
  <r>
    <n v="2302098"/>
    <x v="111"/>
    <x v="68"/>
    <s v="TERMINACION"/>
    <s v="FIJACION"/>
    <n v="21213"/>
    <s v="TIN"/>
    <n v="21212.999999999996"/>
    <b v="1"/>
    <x v="0"/>
    <x v="0"/>
    <n v="0.52500000000000002"/>
    <n v="11136.825000000001"/>
    <n v="356378.4"/>
    <n v="7840324.8000000007"/>
    <n v="368.55"/>
    <n v="91"/>
    <n v="0"/>
    <n v="91"/>
    <n v="173.33333333333331"/>
    <n v="1930383"/>
    <n v="21213"/>
    <n v="5909941.8000000007"/>
    <n v="-0.24621212121212122"/>
    <n v="278.60000000000002"/>
    <n v="0.3266331658291457"/>
    <n v="0"/>
    <n v="21213"/>
    <n v="0"/>
  </r>
  <r>
    <n v="412301"/>
    <x v="112"/>
    <x v="0"/>
    <s v="OBRA GRUESA"/>
    <s v="FIJACION"/>
    <n v="388.75977"/>
    <s v="UND"/>
    <n v="388.75977"/>
    <b v="1"/>
    <x v="0"/>
    <x v="0"/>
    <n v="21"/>
    <n v="8163.9551700000002"/>
    <n v="261246.56544000001"/>
    <n v="5747424.4396799998"/>
    <n v="14742"/>
    <n v="3250"/>
    <n v="0"/>
    <n v="3250"/>
    <n v="154.76190476190476"/>
    <n v="1263470"/>
    <n v="388.76"/>
    <n v="4483957.84"/>
    <n v="-0.21983178951550453"/>
    <n v="11534"/>
    <n v="0.28177561990636379"/>
    <n v="2.6528199994936585"/>
    <n v="388.75979999999998"/>
    <n v="2.99999999811007E-5"/>
  </r>
  <r>
    <n v="1801735"/>
    <x v="113"/>
    <x v="69"/>
    <s v="TERMINACION"/>
    <n v="0"/>
    <n v="3908.4932250000002"/>
    <s v="UND"/>
    <n v="3495"/>
    <b v="0"/>
    <x v="0"/>
    <x v="0"/>
    <n v="0.52500000000000002"/>
    <n v="2051.9589431250001"/>
    <n v="65662.686180000004"/>
    <n v="1444579.0959600001"/>
    <n v="368.55"/>
    <n v="80"/>
    <n v="0"/>
    <n v="80"/>
    <n v="152.38095238095238"/>
    <n v="305949"/>
    <n v="3824.3625000000002"/>
    <n v="1107535.3800000001"/>
    <n v="-0.23331620740089443"/>
    <n v="289.60000000000002"/>
    <n v="0.27624309392265189"/>
    <n v="-24364.257960000075"/>
    <n v="3495"/>
    <n v="0"/>
  </r>
  <r>
    <n v="704046"/>
    <x v="114"/>
    <x v="0"/>
    <s v="TERMINACION"/>
    <s v="PUERTA Y VENTANA"/>
    <n v="9076.0621969999993"/>
    <s v="RLL"/>
    <n v="9076.0621970000011"/>
    <b v="1"/>
    <x v="0"/>
    <x v="0"/>
    <n v="0.42"/>
    <n v="3811.9461227399997"/>
    <n v="121982.27592767999"/>
    <n v="2683610.0704089599"/>
    <n v="294.83999999999997"/>
    <n v="63"/>
    <n v="0"/>
    <n v="63"/>
    <n v="150"/>
    <n v="571120"/>
    <n v="9065.3968253968251"/>
    <n v="2109336.5333333332"/>
    <n v="-0.21399291328047232"/>
    <n v="232.68"/>
    <n v="0.27075812274368233"/>
    <n v="-2481.6186646264978"/>
    <n v="9076.0622000000003"/>
    <n v="2.9999991966178641E-6"/>
  </r>
  <r>
    <n v="810007"/>
    <x v="115"/>
    <x v="0"/>
    <s v="TERMINACION"/>
    <s v="TABIQUERIA"/>
    <n v="3274.7246380000001"/>
    <s v="TRA"/>
    <n v="3274.7246380000001"/>
    <b v="1"/>
    <x v="0"/>
    <x v="0"/>
    <n v="1.05"/>
    <n v="3438.4608699000005"/>
    <n v="110030.74783680002"/>
    <n v="2420676.4524096004"/>
    <n v="737.1"/>
    <n v="149"/>
    <n v="0"/>
    <n v="149"/>
    <n v="141.9047619047619"/>
    <n v="499517"/>
    <n v="3352.4630872483222"/>
    <n v="1978623.7140939599"/>
    <n v="-0.18261537508476622"/>
    <n v="590.20000000000005"/>
    <n v="0.25245679430701456"/>
    <n v="45881.232746359659"/>
    <n v="3274.7246"/>
    <n v="-3.8000000131432898E-5"/>
  </r>
  <r>
    <n v="407185"/>
    <x v="116"/>
    <x v="0"/>
    <s v="OBRA GRUESA"/>
    <s v="FIJACION"/>
    <n v="6.8783200000000004"/>
    <s v="UND"/>
    <n v="6.8783200000000004"/>
    <b v="1"/>
    <x v="0"/>
    <x v="0"/>
    <n v="966"/>
    <n v="6644.45712"/>
    <n v="212622.62784"/>
    <n v="4677697.8124799998"/>
    <n v="678132"/>
    <n v="134982"/>
    <n v="0"/>
    <n v="134982"/>
    <n v="139.73291925465838"/>
    <n v="878253"/>
    <n v="6.5064453038182872"/>
    <n v="3546546.2190958797"/>
    <n v="-0.24181801363188349"/>
    <n v="545082"/>
    <n v="0.2476361354805332"/>
    <n v="-202702.20314412052"/>
    <n v="6.8783000000000003"/>
    <n v="-2.0000000000131024E-5"/>
  </r>
  <r>
    <n v="701043"/>
    <x v="117"/>
    <x v="70"/>
    <s v="OBRA GRUESA"/>
    <s v="TABIQUERIA"/>
    <n v="22146.362772"/>
    <s v="PL"/>
    <n v="22146.362772"/>
    <b v="1"/>
    <x v="3"/>
    <x v="1"/>
    <n v="7.0875000000000012"/>
    <n v="156962.34614655003"/>
    <n v="5022795.0766896009"/>
    <n v="110501491.68717122"/>
    <n v="4975.4250000000011"/>
    <n v="956"/>
    <n v="0"/>
    <n v="956"/>
    <n v="134.8853615520282"/>
    <n v="21504261"/>
    <n v="22493.996861924687"/>
    <n v="90731785.742259443"/>
    <n v="-0.17890895084818992"/>
    <n v="4033.6000000000013"/>
    <n v="0.23700912336374447"/>
    <n v="1402216.8651202172"/>
    <n v="22146.362799999999"/>
    <n v="2.7999998565064743E-5"/>
  </r>
  <r>
    <n v="701084"/>
    <x v="118"/>
    <x v="71"/>
    <s v="OBRA GRUESA"/>
    <s v="TABIQUERIA"/>
    <n v="38182.916666999998"/>
    <s v="PL"/>
    <n v="38182.916666999998"/>
    <b v="1"/>
    <x v="0"/>
    <x v="0"/>
    <n v="0.69825000000000004"/>
    <n v="26661.22156273275"/>
    <n v="853159.09000744799"/>
    <n v="18769499.980163857"/>
    <n v="490.17150000000004"/>
    <n v="92"/>
    <n v="0"/>
    <n v="92"/>
    <n v="131.7579663444325"/>
    <n v="3603697"/>
    <n v="39170.619565217392"/>
    <n v="15651326.118434785"/>
    <n v="-0.16612983111028246"/>
    <n v="399.56800000000004"/>
    <n v="0.23024866856204698"/>
    <n v="394654.47163492814"/>
    <n v="38182.916700000002"/>
    <n v="3.300000389572233E-5"/>
  </r>
  <r>
    <n v="302046"/>
    <x v="119"/>
    <x v="18"/>
    <s v="OBRA GRUESA"/>
    <s v="MADERA"/>
    <n v="10156.598467"/>
    <s v="PZA"/>
    <n v="10156.598467000002"/>
    <b v="1"/>
    <x v="4"/>
    <x v="1"/>
    <n v="34.65"/>
    <n v="351926.13688154996"/>
    <n v="11261636.380209599"/>
    <n v="247756000.36461118"/>
    <n v="24324.3"/>
    <n v="4549"/>
    <n v="0"/>
    <n v="4549"/>
    <n v="131.28427128427128"/>
    <n v="46820539"/>
    <n v="10292.490437458782"/>
    <n v="204250355.73519453"/>
    <n v="-0.17559875266549096"/>
    <n v="19844.599999999999"/>
    <n v="0.22923112584783772"/>
    <n v="2696721.7969663441"/>
    <n v="10156.5985"/>
    <n v="3.2999998438754119E-5"/>
  </r>
  <r>
    <s v="030253X"/>
    <x v="120"/>
    <x v="72"/>
    <s v="OBRA GRUESA"/>
    <s v="MADERA"/>
    <n v="15359.702784999999"/>
    <s v="PZA"/>
    <n v="15359.702785000003"/>
    <b v="1"/>
    <x v="5"/>
    <x v="1"/>
    <n v="6.3000000000000007"/>
    <n v="96766.127545500014"/>
    <n v="3096516.0814560005"/>
    <n v="68123353.792032003"/>
    <n v="4422.6000000000004"/>
    <n v="808"/>
    <n v="0"/>
    <n v="808"/>
    <n v="128.25396825396825"/>
    <n v="12485068"/>
    <n v="15451.816831683169"/>
    <n v="56046830.011881202"/>
    <n v="-0.17727435758694721"/>
    <n v="3627.2000000000007"/>
    <n v="0.22276135862373175"/>
    <n v="334116.07012919337"/>
    <n v="15359.702799999999"/>
    <n v="1.499999598308932E-5"/>
  </r>
  <r>
    <n v="408071"/>
    <x v="121"/>
    <x v="73"/>
    <s v="OBRA GRUESA"/>
    <s v="FIJACION"/>
    <n v="23200.297871999999"/>
    <s v="CJA"/>
    <n v="23200.297871999981"/>
    <b v="1"/>
    <x v="0"/>
    <x v="0"/>
    <n v="0.20317500000000016"/>
    <n v="4713.7205201436036"/>
    <n v="150839.05664459532"/>
    <n v="3318459.2461810969"/>
    <n v="142.62885000000011"/>
    <n v="26"/>
    <n v="0"/>
    <n v="26"/>
    <n v="127.96850006152322"/>
    <n v="603223"/>
    <n v="23200.884615384617"/>
    <n v="2715320.1711384645"/>
    <n v="-0.18175274436072364"/>
    <n v="117.03520000000012"/>
    <n v="0.2221553857301049"/>
    <n v="68.669629367534071"/>
    <n v="23200.297900000001"/>
    <n v="2.8000020392937586E-5"/>
  </r>
  <r>
    <n v="704025"/>
    <x v="122"/>
    <x v="74"/>
    <s v="OBRA GRUESA"/>
    <s v="TABIQUERIA"/>
    <n v="580"/>
    <s v="UND"/>
    <n v="580"/>
    <b v="1"/>
    <x v="0"/>
    <x v="0"/>
    <n v="4.2"/>
    <n v="2436"/>
    <n v="77952"/>
    <n v="1714944"/>
    <n v="2948.4"/>
    <n v="532"/>
    <n v="0"/>
    <n v="532"/>
    <n v="126.66666666666666"/>
    <n v="308507"/>
    <n v="579.9003759398496"/>
    <n v="1406142.4315789475"/>
    <n v="-0.18006510324596747"/>
    <n v="2424.8000000000002"/>
    <n v="0.21939953810623555"/>
    <n v="-241.568421052536"/>
    <n v="580"/>
    <n v="0"/>
  </r>
  <r>
    <n v="304007"/>
    <x v="123"/>
    <x v="75"/>
    <s v="OBRA GRUESA"/>
    <s v="TABLERO"/>
    <n v="11444.353021999999"/>
    <s v="PL"/>
    <n v="11444.353021999996"/>
    <b v="1"/>
    <x v="6"/>
    <x v="1"/>
    <n v="8.6625000000000014"/>
    <n v="99136.70805307501"/>
    <n v="3172374.6576984003"/>
    <n v="69792242.469364807"/>
    <n v="6081.0750000000007"/>
    <n v="1072"/>
    <n v="0"/>
    <n v="1072"/>
    <n v="123.75180375180373"/>
    <n v="12389283"/>
    <n v="11557.16697761194"/>
    <n v="58090944.096268669"/>
    <n v="-0.1676590113612183"/>
    <n v="5026.4000000000015"/>
    <n v="0.21327391373547663"/>
    <n v="567048.06648785621"/>
    <n v="11444.352999999999"/>
    <n v="-2.1999996533850208E-5"/>
  </r>
  <r>
    <n v="2302024"/>
    <x v="124"/>
    <x v="0"/>
    <s v="TERMINACION"/>
    <s v="FIJACION"/>
    <n v="21916.523936000001"/>
    <s v="GAL"/>
    <n v="22292"/>
    <b v="0"/>
    <x v="0"/>
    <x v="0"/>
    <n v="0.13125000000000001"/>
    <n v="2876.5437666000003"/>
    <n v="92049.400531200008"/>
    <n v="2025086.8116864001"/>
    <n v="92.137500000000003"/>
    <n v="16"/>
    <n v="0"/>
    <n v="16"/>
    <n v="121.9047619047619"/>
    <n v="347247"/>
    <n v="21702.9375"/>
    <n v="1658104.425"/>
    <n v="-0.18121810115428771"/>
    <n v="76.400000000000006"/>
    <n v="0.20942408376963348"/>
    <n v="-16318.00371040008"/>
    <n v="22292"/>
    <n v="0"/>
  </r>
  <r>
    <n v="5316484"/>
    <x v="125"/>
    <x v="76"/>
    <s v="GRIFERIA"/>
    <s v="COCINA"/>
    <n v="4372.7272730000004"/>
    <s v="UND"/>
    <n v="4372.7272730000004"/>
    <b v="1"/>
    <x v="0"/>
    <x v="0"/>
    <n v="0.52500000000000002"/>
    <n v="2295.6818183250002"/>
    <n v="73461.818186400007"/>
    <n v="1616160.0001008001"/>
    <n v="368.55"/>
    <n v="62"/>
    <n v="0"/>
    <n v="62"/>
    <n v="118.09523809523809"/>
    <n v="268837"/>
    <n v="4336.0806451612907"/>
    <n v="1333778.4064516132"/>
    <n v="-0.17472378578332259"/>
    <n v="307.60000000000002"/>
    <n v="0.20156046814044212"/>
    <n v="-11272.502723186975"/>
    <n v="4372.7272999999996"/>
    <n v="2.6999999136023689E-5"/>
  </r>
  <r>
    <n v="302249"/>
    <x v="126"/>
    <x v="0"/>
    <s v="OBRA GRUESA"/>
    <s v="MADERA"/>
    <n v="2226.3091479999998"/>
    <s v="PZA"/>
    <n v="2226.3091479999998"/>
    <b v="1"/>
    <x v="0"/>
    <x v="0"/>
    <n v="6.3000000000000007"/>
    <n v="14025.7476324"/>
    <n v="448823.9242368"/>
    <n v="9874126.3332096003"/>
    <n v="4422.6000000000004"/>
    <n v="744"/>
    <n v="0"/>
    <n v="744"/>
    <n v="118.09523809523809"/>
    <n v="1681108"/>
    <n v="2259.5537634408602"/>
    <n v="8340464.851612905"/>
    <n v="-0.15532123347850424"/>
    <n v="3691.2000000000007"/>
    <n v="0.2015604681404421"/>
    <n v="122712.52451530378"/>
    <n v="2226.3090999999999"/>
    <n v="-4.799999987881165E-5"/>
  </r>
  <r>
    <n v="1405006"/>
    <x v="127"/>
    <x v="0"/>
    <s v="TERMINACION"/>
    <s v="INTERIOR"/>
    <n v="35.19746"/>
    <s v="UND"/>
    <n v="35.197460000000007"/>
    <b v="1"/>
    <x v="0"/>
    <x v="0"/>
    <n v="30.450000000000003"/>
    <n v="1071.762657"/>
    <n v="34296.405024"/>
    <n v="754520.91052799998"/>
    <n v="21375.9"/>
    <n v="3550"/>
    <n v="0"/>
    <n v="3550"/>
    <n v="116.58456486042692"/>
    <n v="125167"/>
    <n v="35.258309859154927"/>
    <n v="630658.33678873244"/>
    <n v="-0.16416055805874319"/>
    <n v="17886.800000000003"/>
    <n v="0.19847038039224452"/>
    <n v="1088.4092607323546"/>
    <n v="35.197499999999998"/>
    <n v="3.9999999991380264E-5"/>
  </r>
  <r>
    <n v="5316483"/>
    <x v="128"/>
    <x v="77"/>
    <s v="GRIFERIA"/>
    <s v="COCINA"/>
    <n v="3237.6071430000002"/>
    <s v="UND"/>
    <n v="3237.6071430000002"/>
    <b v="1"/>
    <x v="0"/>
    <x v="0"/>
    <n v="0.52500000000000002"/>
    <n v="1699.7437500750002"/>
    <n v="54391.800002400007"/>
    <n v="1196619.6000528"/>
    <n v="368.55"/>
    <n v="61"/>
    <n v="0"/>
    <n v="61"/>
    <n v="116.19047619047619"/>
    <n v="186197"/>
    <n v="3052.4098360655739"/>
    <n v="941973.67540983623"/>
    <n v="-0.21280440720821192"/>
    <n v="308.60000000000002"/>
    <n v="0.19766688269604665"/>
    <n v="-57151.888919963851"/>
    <n v="3237.6071000000002"/>
    <n v="-4.3000000005122274E-5"/>
  </r>
  <r>
    <n v="407427"/>
    <x v="129"/>
    <x v="0"/>
    <s v="OBRA GRUESA"/>
    <s v="FIJACION"/>
    <n v="22557.545454999999"/>
    <s v="CJA"/>
    <n v="22557.545454999999"/>
    <b v="1"/>
    <x v="0"/>
    <x v="0"/>
    <n v="0.105"/>
    <n v="2368.5422727749997"/>
    <n v="75793.35272879999"/>
    <n v="1667453.7600335998"/>
    <n v="73.709999999999994"/>
    <n v="12"/>
    <n v="0"/>
    <n v="12"/>
    <n v="114.28571428571429"/>
    <n v="270692"/>
    <n v="22557.666666666668"/>
    <n v="1396770.7200000002"/>
    <n v="-0.16233316120750796"/>
    <n v="61.92"/>
    <n v="0.19379844961240308"/>
    <n v="7.5054264001082629"/>
    <n v="22557.5455"/>
    <n v="4.5000000682193786E-5"/>
  </r>
  <r>
    <n v="704022"/>
    <x v="130"/>
    <x v="78"/>
    <s v="OBRA GRUESA"/>
    <s v="TABIQUERIA"/>
    <n v="306"/>
    <s v="UND"/>
    <n v="306.00000000000006"/>
    <b v="1"/>
    <x v="0"/>
    <x v="0"/>
    <n v="14.175000000000001"/>
    <n v="4337.55"/>
    <n v="138801.60000000001"/>
    <n v="3053635.2"/>
    <n v="9950.85"/>
    <n v="1610"/>
    <n v="0"/>
    <n v="1610"/>
    <n v="113.58024691358024"/>
    <n v="416003"/>
    <n v="258.38695652173914"/>
    <n v="2162492.1165217394"/>
    <n v="-0.29183023678737419"/>
    <n v="8369.2000000000007"/>
    <n v="0.19237203077952492"/>
    <n v="-398483.08347826079"/>
    <n v="306"/>
    <n v="0"/>
  </r>
  <r>
    <n v="705028"/>
    <x v="131"/>
    <x v="79"/>
    <s v="OBRA GRUESA"/>
    <s v="TABIQUERIA"/>
    <n v="22927.086207"/>
    <s v="PL"/>
    <n v="22927.086207"/>
    <b v="1"/>
    <x v="7"/>
    <x v="1"/>
    <n v="3.6749999999999998"/>
    <n v="84257.041810725001"/>
    <n v="2696225.3379432"/>
    <n v="59316957.4347504"/>
    <n v="2579.85"/>
    <n v="409"/>
    <n v="0"/>
    <n v="409"/>
    <n v="111.29251700680273"/>
    <n v="9320133"/>
    <n v="22787.611246943765"/>
    <n v="49635974.818092905"/>
    <n v="-0.16320767340952591"/>
    <n v="2178.1999999999998"/>
    <n v="0.18776971811587551"/>
    <n v="-303804.35799448937"/>
    <n v="22927.086200000002"/>
    <n v="-6.999998731771484E-6"/>
  </r>
  <r>
    <n v="408088"/>
    <x v="132"/>
    <x v="80"/>
    <s v="OBRA GRUESA"/>
    <s v="FIJACION"/>
    <n v="17500.092714999999"/>
    <s v="CJA"/>
    <n v="17500.092714999999"/>
    <b v="1"/>
    <x v="0"/>
    <x v="0"/>
    <n v="0.126"/>
    <n v="2205.0116820899998"/>
    <n v="70560.373826879993"/>
    <n v="1552328.2241913599"/>
    <n v="88.451999999999998"/>
    <n v="14"/>
    <n v="0"/>
    <n v="14"/>
    <n v="111.11111111111111"/>
    <n v="245000"/>
    <n v="17500"/>
    <n v="1307320.0000000002"/>
    <n v="-0.15783274463040164"/>
    <n v="74.704000000000008"/>
    <n v="0.1874062968515742"/>
    <n v="-6.9261813599150628"/>
    <n v="17500.092700000001"/>
    <n v="-1.4999997802078724E-5"/>
  </r>
  <r>
    <n v="412302"/>
    <x v="133"/>
    <x v="0"/>
    <s v="OBRA GRUESA"/>
    <s v="FIJACION"/>
    <n v="4742.4586669999999"/>
    <s v="UND"/>
    <n v="4742.4586669999999"/>
    <b v="1"/>
    <x v="0"/>
    <x v="0"/>
    <n v="1.05"/>
    <n v="4979.5816003500004"/>
    <n v="159346.61121120001"/>
    <n v="3505625.4466464003"/>
    <n v="737.1"/>
    <n v="115"/>
    <n v="0"/>
    <n v="115"/>
    <n v="109.52380952380952"/>
    <n v="545384"/>
    <n v="4742.4695652173914"/>
    <n v="2960249.502608696"/>
    <n v="-0.15557165257327454"/>
    <n v="624.20000000000005"/>
    <n v="0.18423582185197052"/>
    <n v="6.802667296025902"/>
    <n v="4742.4587000000001"/>
    <n v="3.3000000257743523E-5"/>
  </r>
  <r>
    <s v="040748X"/>
    <x v="134"/>
    <x v="0"/>
    <s v="OBRA GRUESA"/>
    <s v="FIJACION"/>
    <n v="55858.301887000001"/>
    <s v="CJA"/>
    <n v="55858.301886999994"/>
    <b v="1"/>
    <x v="0"/>
    <x v="0"/>
    <n v="0.68833333333333335"/>
    <n v="38449.131132218332"/>
    <n v="1230372.1962309866"/>
    <n v="27068188.317081705"/>
    <n v="483.21000000000004"/>
    <n v="72"/>
    <n v="0"/>
    <n v="72"/>
    <n v="104.60048426150121"/>
    <n v="4221794"/>
    <n v="58636.027777777781"/>
    <n v="24192443.24740741"/>
    <n v="-0.10624076631901958"/>
    <n v="412.5866666666667"/>
    <n v="0.17450879007238881"/>
    <n v="1146052.6661897004"/>
    <n v="55858.301899999999"/>
    <n v="1.3000004400964826E-5"/>
  </r>
  <r>
    <n v="412280"/>
    <x v="135"/>
    <x v="81"/>
    <s v="OBRA GRUESA"/>
    <s v="FIJACION"/>
    <n v="40002.920093000001"/>
    <s v="UND"/>
    <n v="40002.920093000001"/>
    <b v="1"/>
    <x v="8"/>
    <x v="1"/>
    <n v="7.875"/>
    <n v="315022.99573237501"/>
    <n v="10080735.863436"/>
    <n v="221776188.995592"/>
    <n v="5528.25"/>
    <n v="798"/>
    <n v="0"/>
    <n v="798"/>
    <n v="101.33333333333333"/>
    <n v="31293935"/>
    <n v="39215.45739348371"/>
    <n v="186116560.78947368"/>
    <n v="-0.16079105862364274"/>
    <n v="4746"/>
    <n v="0.16814159292035399"/>
    <n v="-3737297.9719043076"/>
    <n v="40002.920100000003"/>
    <n v="7.0000023697502911E-6"/>
  </r>
  <r>
    <n v="304101"/>
    <x v="136"/>
    <x v="82"/>
    <s v="OBRA GRUESA"/>
    <s v="TABLERO"/>
    <n v="9657.5879499999992"/>
    <s v="PL"/>
    <n v="9657.5879500000046"/>
    <b v="1"/>
    <x v="9"/>
    <x v="1"/>
    <n v="47.643749999999976"/>
    <n v="460123.70589281223"/>
    <n v="14723958.588569991"/>
    <n v="323927088.94853979"/>
    <n v="33445.912499999984"/>
    <n v="4801"/>
    <n v="0"/>
    <n v="4801"/>
    <n v="100.76872622327173"/>
    <n v="46341721"/>
    <n v="9652.5142678608627"/>
    <n v="277415190.56117457"/>
    <n v="-0.14358755403366175"/>
    <n v="28740.199999999983"/>
    <n v="0.16704824601081422"/>
    <n v="-145818.63941526413"/>
    <n v="9657.5879999999997"/>
    <n v="4.9999995098914951E-5"/>
  </r>
  <r>
    <n v="304049"/>
    <x v="137"/>
    <x v="83"/>
    <s v="OBRA GRUESA"/>
    <s v="MADERA"/>
    <n v="14982"/>
    <s v="PL"/>
    <n v="14981.999999999993"/>
    <b v="1"/>
    <x v="10"/>
    <x v="1"/>
    <n v="23.273250000000008"/>
    <n v="348679.83150000015"/>
    <n v="11157754.608000005"/>
    <n v="245470601.37600011"/>
    <n v="16337.821500000005"/>
    <n v="2315"/>
    <n v="0"/>
    <n v="2315"/>
    <n v="99.470422051067175"/>
    <n v="34768107"/>
    <n v="15018.620734341253"/>
    <n v="211302501.96387741"/>
    <n v="-0.13919426285914227"/>
    <n v="14069.368000000006"/>
    <n v="0.16454186143968932"/>
    <n v="515230.58787733316"/>
    <n v="14982"/>
    <n v="0"/>
  </r>
  <r>
    <n v="1901008"/>
    <x v="138"/>
    <x v="84"/>
    <s v="OBRA GRUESA"/>
    <s v="AISLANTE"/>
    <n v="2112.795779"/>
    <s v="M2"/>
    <n v="2112.795779"/>
    <b v="1"/>
    <x v="11"/>
    <x v="1"/>
    <n v="62.430325650000007"/>
    <n v="131902.52851491544"/>
    <n v="4220880.912477294"/>
    <n v="92859380.074500471"/>
    <n v="43826.088606300007"/>
    <n v="6207"/>
    <n v="0"/>
    <n v="6207"/>
    <n v="99.422835543065915"/>
    <n v="12785089"/>
    <n v="2059.785564685033"/>
    <n v="77744441.83500886"/>
    <n v="-0.1627723362719522"/>
    <n v="37743.949257600005"/>
    <n v="0.16445019988866633"/>
    <n v="-2000814.8392386138"/>
    <n v="2112.7957999999999"/>
    <n v="2.0999999833293259E-5"/>
  </r>
  <r>
    <n v="410126"/>
    <x v="139"/>
    <x v="0"/>
    <s v="OBRA GRUESA"/>
    <n v="0"/>
    <n v="983.61888099999999"/>
    <s v="UND"/>
    <n v="983.61888099999999"/>
    <b v="1"/>
    <x v="0"/>
    <x v="0"/>
    <n v="10.5"/>
    <n v="10327.998250500001"/>
    <n v="330495.94401600002"/>
    <n v="7270910.768352"/>
    <n v="7371"/>
    <n v="1018"/>
    <n v="0"/>
    <n v="1018"/>
    <n v="96.952380952380949"/>
    <n v="1001510"/>
    <n v="983.80157170923383"/>
    <n v="6270751.2180746561"/>
    <n v="-0.13755629550987281"/>
    <n v="6374"/>
    <n v="0.15971132726702228"/>
    <n v="1164.4705806560814"/>
    <n v="983.61890000000005"/>
    <n v="1.9000000065716449E-5"/>
  </r>
  <r>
    <n v="602255"/>
    <x v="140"/>
    <x v="0"/>
    <s v="TERMINACION"/>
    <s v="PINTURA"/>
    <n v="47889.5"/>
    <s v="TIN"/>
    <n v="47889.5"/>
    <b v="1"/>
    <x v="0"/>
    <x v="0"/>
    <n v="0.30194718749999999"/>
    <n v="14460.09983578125"/>
    <n v="462723.19474499999"/>
    <n v="10179910.284389999"/>
    <n v="211.96692562499999"/>
    <n v="29"/>
    <n v="0"/>
    <n v="29"/>
    <n v="96.043285715320664"/>
    <n v="1388810"/>
    <n v="47890"/>
    <n v="8791206.5698000006"/>
    <n v="-0.13641610542672988"/>
    <n v="183.57082"/>
    <n v="0.15797717741850256"/>
    <n v="91.785410000011325"/>
    <n v="47889.5"/>
    <n v="0"/>
  </r>
  <r>
    <n v="407115"/>
    <x v="141"/>
    <x v="0"/>
    <s v="OBRA GRUESA"/>
    <s v="FIJACION"/>
    <n v="547.98400000000004"/>
    <s v="UND"/>
    <n v="567"/>
    <b v="0"/>
    <x v="0"/>
    <x v="0"/>
    <n v="4.2"/>
    <n v="2301.5328000000004"/>
    <n v="73649.049600000013"/>
    <n v="1620279.0912000004"/>
    <n v="2948.4"/>
    <n v="400"/>
    <n v="0"/>
    <n v="400"/>
    <n v="95.238095238095241"/>
    <n v="219193"/>
    <n v="547.98249999999996"/>
    <n v="1401081.656"/>
    <n v="-0.13528375228100975"/>
    <n v="2556.8000000000002"/>
    <n v="0.15644555694618273"/>
    <n v="-3.8352000003214926"/>
    <n v="567"/>
    <n v="0"/>
  </r>
  <r>
    <n v="1103086"/>
    <x v="142"/>
    <x v="85"/>
    <s v=""/>
    <s v=""/>
    <m/>
    <s v="TRA"/>
    <n v="10466"/>
    <b v="0"/>
    <x v="0"/>
    <x v="0"/>
    <n v="0.52500000000000002"/>
    <n v="0"/>
    <n v="0"/>
    <n v="0"/>
    <n v="368.55"/>
    <n v="50"/>
    <n v="0"/>
    <n v="50"/>
    <n v="95.238095238095241"/>
    <n v="523291"/>
    <n v="10465.82"/>
    <n v="3344876.0720000002"/>
    <s v=""/>
    <n v="319.60000000000002"/>
    <n v="0.15644555694618273"/>
    <n v="3344876.0720000002"/>
    <n v="10466"/>
    <n v="0"/>
  </r>
  <r>
    <n v="1103087"/>
    <x v="143"/>
    <x v="85"/>
    <s v=""/>
    <s v=""/>
    <m/>
    <s v="TRA"/>
    <n v="9841"/>
    <b v="0"/>
    <x v="0"/>
    <x v="0"/>
    <n v="0.52500000000000002"/>
    <n v="0"/>
    <n v="0"/>
    <n v="0"/>
    <n v="368.55"/>
    <n v="50"/>
    <n v="0"/>
    <n v="50"/>
    <n v="95.238095238095241"/>
    <n v="492044"/>
    <n v="9840.8799999999992"/>
    <n v="3145145.2480000001"/>
    <s v=""/>
    <n v="319.60000000000002"/>
    <n v="0.15644555694618273"/>
    <n v="3145145.2480000001"/>
    <n v="9841"/>
    <n v="0"/>
  </r>
  <r>
    <n v="304002"/>
    <x v="144"/>
    <x v="86"/>
    <s v="OBRA GRUESA"/>
    <s v="TABIQUERIA"/>
    <n v="21246.507152999999"/>
    <s v="PL"/>
    <n v="21246.507152999999"/>
    <b v="1"/>
    <x v="12"/>
    <x v="1"/>
    <n v="23.296874999999996"/>
    <n v="494977.22133004677"/>
    <n v="15839271.082561497"/>
    <n v="348463963.8163529"/>
    <n v="16354.406249999998"/>
    <n v="2207"/>
    <n v="0"/>
    <n v="2207"/>
    <n v="94.733735747820276"/>
    <n v="47625002"/>
    <n v="21579.067512460355"/>
    <n v="306293284.27186221"/>
    <n v="-0.12101876785949506"/>
    <n v="14193.999999999996"/>
    <n v="0.15548823446526705"/>
    <n v="4720361.7421802878"/>
    <n v="21246.5072"/>
    <n v="4.7000001359265298E-5"/>
  </r>
  <r>
    <n v="1902014"/>
    <x v="145"/>
    <x v="87"/>
    <s v="OBRA GRUESA"/>
    <n v="0"/>
    <n v="29779"/>
    <s v="PL"/>
    <n v="29779.000000000004"/>
    <b v="1"/>
    <x v="13"/>
    <x v="1"/>
    <n v="5.5125000000000002"/>
    <n v="164156.73750000002"/>
    <n v="5253015.6000000006"/>
    <n v="115566343.20000002"/>
    <n v="3869.7750000000001"/>
    <n v="520"/>
    <n v="0"/>
    <n v="520"/>
    <n v="94.331065759637184"/>
    <n v="15495874"/>
    <n v="29799.757692307692"/>
    <n v="100151025.6523077"/>
    <n v="-0.13338933396044594"/>
    <n v="3360.8"/>
    <n v="0.1547250654606046"/>
    <n v="69762.452307701111"/>
    <n v="29779"/>
    <n v="0"/>
  </r>
  <r>
    <n v="407011"/>
    <x v="146"/>
    <x v="88"/>
    <s v="OBRA GRUESA"/>
    <s v="FIJACION"/>
    <n v="473.17523999999997"/>
    <s v="UND"/>
    <n v="473.17523999999992"/>
    <b v="1"/>
    <x v="14"/>
    <x v="1"/>
    <n v="588"/>
    <n v="278227.04112000001"/>
    <n v="8903265.3158400003"/>
    <n v="195871836.94848001"/>
    <n v="412776"/>
    <n v="55298"/>
    <n v="0"/>
    <n v="55298"/>
    <n v="94.044217687074834"/>
    <n v="25839815"/>
    <n v="467.28299395999858"/>
    <n v="167592914.91572934"/>
    <n v="-0.14437462002354551"/>
    <n v="358654"/>
    <n v="0.15418202501575334"/>
    <n v="-2113277.6112306416"/>
    <n v="473.17520000000002"/>
    <n v="-3.9999999899009708E-5"/>
  </r>
  <r>
    <n v="5309018"/>
    <x v="147"/>
    <x v="0"/>
    <s v="TERMINACION"/>
    <n v="0"/>
    <n v="699.99923200000001"/>
    <s v="MTS"/>
    <n v="699.99923200000046"/>
    <b v="1"/>
    <x v="0"/>
    <x v="0"/>
    <n v="34.649999999999991"/>
    <n v="24254.973388799994"/>
    <n v="776159.1484415998"/>
    <n v="17075501.265715197"/>
    <n v="24324.299999999996"/>
    <n v="3200"/>
    <n v="0"/>
    <n v="3200"/>
    <n v="92.35209235209237"/>
    <n v="2260552"/>
    <n v="706.42250000000001"/>
    <n v="14971635.895999996"/>
    <n v="-0.12320958178483565"/>
    <n v="21193.599999999995"/>
    <n v="0.15098897780462031"/>
    <n v="136132.17268479988"/>
    <n v="699.99919999999997"/>
    <n v="-3.2000000487641955E-5"/>
  </r>
  <r>
    <n v="302010"/>
    <x v="148"/>
    <x v="89"/>
    <s v="OBRA GRUESA"/>
    <s v="MADERA"/>
    <n v="6585.1337450000001"/>
    <s v="PZA"/>
    <n v="6585.1337449999919"/>
    <b v="0"/>
    <x v="15"/>
    <x v="1"/>
    <n v="34.912500000000023"/>
    <n v="229903.48187231267"/>
    <n v="7356911.4199140053"/>
    <n v="161852051.23810813"/>
    <n v="24508.575000000015"/>
    <n v="3612"/>
    <n v="588"/>
    <n v="3024"/>
    <n v="86.616541353383397"/>
    <n v="20107495"/>
    <n v="5566.8590808416393"/>
    <n v="116716994.23255824"/>
    <n v="-0.27886614139446153"/>
    <n v="20966.400000000016"/>
    <n v="0.17227564102564089"/>
    <n v="-21349553.918609872"/>
    <n v="6585.1337000000003"/>
    <n v="-4.4999991587246768E-5"/>
  </r>
  <r>
    <n v="602256"/>
    <x v="149"/>
    <x v="0"/>
    <s v=""/>
    <s v=""/>
    <m/>
    <s v=""/>
    <n v="59000"/>
    <b v="0"/>
    <x v="0"/>
    <x v="0"/>
    <n v="2.3099999999999999E-2"/>
    <n v="0"/>
    <n v="0"/>
    <n v="0"/>
    <n v="16.216200000000001"/>
    <n v="2"/>
    <n v="0"/>
    <n v="2"/>
    <n v="86.580086580086586"/>
    <n v="118000"/>
    <n v="59000"/>
    <n v="841481.6"/>
    <s v=""/>
    <n v="14.2624"/>
    <n v="0.14022885348889388"/>
    <n v="841481.6"/>
    <n v="59000"/>
    <n v="0"/>
  </r>
  <r>
    <n v="602254"/>
    <x v="150"/>
    <x v="0"/>
    <s v="TERMINACION"/>
    <s v="PINTURA"/>
    <n v="46060"/>
    <s v="TIN"/>
    <n v="46060"/>
    <b v="1"/>
    <x v="0"/>
    <x v="0"/>
    <n v="0.35920828125000004"/>
    <n v="16545.133434375002"/>
    <n v="529444.26990000007"/>
    <n v="11647773.937800001"/>
    <n v="252.16421343750002"/>
    <n v="32"/>
    <n v="1"/>
    <n v="31"/>
    <n v="86.300905681026791"/>
    <n v="1427860"/>
    <n v="44620.625"/>
    <n v="9855921.0022437517"/>
    <n v="-0.15383651375145846"/>
    <n v="220.88263000000003"/>
    <n v="0.14487332027873806"/>
    <n v="-317932.93555624969"/>
    <n v="46060"/>
    <n v="0"/>
  </r>
  <r>
    <n v="1808003"/>
    <x v="151"/>
    <x v="0"/>
    <s v="TERMINACION"/>
    <s v="BAÑO"/>
    <n v="167.74485799999999"/>
    <s v="UND"/>
    <n v="167.74485800000002"/>
    <b v="1"/>
    <x v="0"/>
    <x v="0"/>
    <n v="0.91874999999999996"/>
    <n v="154.11558828749997"/>
    <n v="4931.6988251999992"/>
    <n v="108497.37415439998"/>
    <n v="644.96249999999998"/>
    <n v="79"/>
    <n v="0"/>
    <n v="79"/>
    <n v="85.986394557823132"/>
    <n v="13251"/>
    <n v="167.73417721518987"/>
    <n v="95239.465822784798"/>
    <n v="-0.12219566081616107"/>
    <n v="567.79999999999995"/>
    <n v="0.13913349771046143"/>
    <n v="-6.0645496151846601"/>
    <n v="167.7449"/>
    <n v="4.1999999979225322E-5"/>
  </r>
  <r>
    <n v="412260"/>
    <x v="152"/>
    <x v="90"/>
    <s v="OBRA GRUESA"/>
    <s v="FIJACION"/>
    <n v="87567.442477999997"/>
    <s v="UND"/>
    <n v="87567.442477999983"/>
    <b v="1"/>
    <x v="16"/>
    <x v="1"/>
    <n v="5.7750000000000004"/>
    <n v="505701.98031045002"/>
    <n v="16182463.369934401"/>
    <n v="356014194.13855684"/>
    <n v="4054.05"/>
    <n v="492"/>
    <n v="0"/>
    <n v="492"/>
    <n v="85.194805194805184"/>
    <n v="42755890"/>
    <n v="86902.215447154478"/>
    <n v="310553757.12195128"/>
    <n v="-0.12769276552752518"/>
    <n v="3573.6000000000004"/>
    <n v="0.13767629281396909"/>
    <n v="-2377255.3174295425"/>
    <n v="87567.442500000005"/>
    <n v="2.2000021999701858E-5"/>
  </r>
  <r>
    <n v="701096"/>
    <x v="153"/>
    <x v="91"/>
    <s v="OBRA GRUESA"/>
    <s v="TABIQUERIA"/>
    <n v="16019.885684999999"/>
    <s v="PL"/>
    <n v="16019.885685000005"/>
    <b v="1"/>
    <x v="17"/>
    <x v="1"/>
    <n v="31.237499999999997"/>
    <n v="500421.17908518744"/>
    <n v="16013477.730725998"/>
    <n v="352296510.07597196"/>
    <n v="21928.724999999999"/>
    <n v="2644"/>
    <n v="0"/>
    <n v="2644"/>
    <n v="84.641856742697087"/>
    <n v="42903640"/>
    <n v="16226.792738275341"/>
    <n v="313943004.46596062"/>
    <n v="-0.10886711764967671"/>
    <n v="19347.199999999997"/>
    <n v="0.1366606020509428"/>
    <n v="4003072.1411286592"/>
    <n v="16019.885700000001"/>
    <n v="1.499999598308932E-5"/>
  </r>
  <r>
    <s v="081009X"/>
    <x v="154"/>
    <x v="92"/>
    <s v="TERMINACION"/>
    <n v="0"/>
    <n v="11882.387917"/>
    <s v="M2"/>
    <n v="11882.387917"/>
    <b v="1"/>
    <x v="18"/>
    <x v="1"/>
    <n v="7.6124999999999998"/>
    <n v="90454.678018162493"/>
    <n v="2894549.6965811998"/>
    <n v="63680093.324786395"/>
    <n v="5343.9749999999995"/>
    <n v="640"/>
    <n v="0"/>
    <n v="640"/>
    <n v="84.072249589490966"/>
    <n v="8587895"/>
    <n v="13418.5859375"/>
    <n v="63324990.756249994"/>
    <n v="-5.576351258238188E-3"/>
    <n v="4719.2"/>
    <n v="0.13561620613663333"/>
    <n v="7249625.6983435974"/>
    <n v="11882.3879"/>
    <n v="-1.7000000298139639E-5"/>
  </r>
  <r>
    <n v="907031"/>
    <x v="155"/>
    <x v="93"/>
    <s v="OBRA GRUESA"/>
    <s v="TECHUMBRE"/>
    <n v="156269.16666700001"/>
    <s v="RLL"/>
    <n v="156269.16666700004"/>
    <b v="1"/>
    <x v="19"/>
    <x v="1"/>
    <n v="0.7111632270168855"/>
    <n v="111132.88485014325"/>
    <n v="3556252.315204584"/>
    <n v="78237550.934500843"/>
    <n v="499.23658536585361"/>
    <n v="58"/>
    <n v="0"/>
    <n v="58"/>
    <n v="81.556522886162782"/>
    <n v="8942514"/>
    <n v="154181.27586206896"/>
    <n v="68249715.79610531"/>
    <n v="-0.12766037560093335"/>
    <n v="442.65891181988741"/>
    <n v="0.1310263917686571"/>
    <n v="-924223.47170953453"/>
    <n v="156269.1667"/>
    <n v="3.2999960239976645E-5"/>
  </r>
  <r>
    <n v="2508992"/>
    <x v="156"/>
    <x v="94"/>
    <s v=""/>
    <s v=""/>
    <n v="4139.6666670000004"/>
    <s v=""/>
    <n v="5084"/>
    <b v="0"/>
    <x v="0"/>
    <x v="0"/>
    <n v="0.7875000000000002"/>
    <n v="3259.9875002625013"/>
    <n v="104319.60000840004"/>
    <n v="2295031.2001848007"/>
    <n v="552.82500000000016"/>
    <n v="64"/>
    <n v="0"/>
    <n v="64"/>
    <n v="81.269841269841251"/>
    <n v="324133"/>
    <n v="5064.578125"/>
    <n v="2483669.1125000003"/>
    <n v="8.2194051348848829E-2"/>
    <n v="490.40000000000009"/>
    <n v="0.13050570962479607"/>
    <n v="453576.5790031997"/>
    <n v="5084"/>
    <n v="0"/>
  </r>
  <r>
    <n v="407049"/>
    <x v="157"/>
    <x v="0"/>
    <s v="OBRA GRUESA"/>
    <s v="FIJACION"/>
    <n v="16.202162000000001"/>
    <s v="UND"/>
    <n v="16.202162000000001"/>
    <b v="1"/>
    <x v="0"/>
    <x v="0"/>
    <n v="52.5"/>
    <n v="850.61350500000003"/>
    <n v="27219.632160000001"/>
    <n v="598831.90752000001"/>
    <n v="36855"/>
    <n v="4255"/>
    <n v="0"/>
    <n v="4255"/>
    <n v="81.047619047619051"/>
    <n v="68939"/>
    <n v="16.201880141010577"/>
    <n v="529882.49001175095"/>
    <n v="-0.11513985250685099"/>
    <n v="32705"/>
    <n v="0.13010243082097539"/>
    <n v="-9.21819824911654"/>
    <n v="16.202200000000001"/>
    <n v="3.7999999999982492E-5"/>
  </r>
  <r>
    <s v="V05"/>
    <x v="158"/>
    <x v="95"/>
    <s v="TERMINACION"/>
    <s v="PUERTA Y VENTANA"/>
    <n v="350139"/>
    <s v="UND"/>
    <n v="350139"/>
    <b v="1"/>
    <x v="20"/>
    <x v="1"/>
    <n v="0.52500000000000002"/>
    <n v="183822.97500000001"/>
    <n v="5882335.2000000002"/>
    <n v="129411374.40000001"/>
    <n v="368.55"/>
    <n v="41"/>
    <n v="0"/>
    <n v="41"/>
    <n v="78.095238095238088"/>
    <n v="15656989"/>
    <n v="381877.78048780491"/>
    <n v="125485038.6682927"/>
    <n v="-3.0339958523053157E-2"/>
    <n v="328.6"/>
    <n v="0.1247717589774802"/>
    <n v="10429363.268292695"/>
    <n v="350139"/>
    <n v="0"/>
  </r>
  <r>
    <n v="2505058"/>
    <x v="159"/>
    <x v="96"/>
    <s v="TERMINACION"/>
    <s v="VENTILACIÓN"/>
    <n v="17870.144068000001"/>
    <s v="UND"/>
    <n v="17870.144068000001"/>
    <b v="1"/>
    <x v="0"/>
    <x v="0"/>
    <n v="2.1000000000000005"/>
    <n v="37527.302542800011"/>
    <n v="1200873.6813696004"/>
    <n v="26419220.990131207"/>
    <n v="1474.2000000000003"/>
    <n v="162"/>
    <n v="0"/>
    <n v="162"/>
    <n v="77.142857142857125"/>
    <n v="2701057"/>
    <n v="16673.191358024691"/>
    <n v="21948589.103703707"/>
    <n v="-0.16921891406629608"/>
    <n v="1316.4000000000003"/>
    <n v="0.12306289881494983"/>
    <n v="-1575668.5474115014"/>
    <n v="17870.144100000001"/>
    <n v="3.1999999919207767E-5"/>
  </r>
  <r>
    <n v="2302118"/>
    <x v="160"/>
    <x v="0"/>
    <n v="0"/>
    <n v="0"/>
    <n v="0"/>
    <s v="UND"/>
    <n v="101250"/>
    <b v="0"/>
    <x v="0"/>
    <x v="0"/>
    <n v="0.31171874999999999"/>
    <n v="0"/>
    <n v="0"/>
    <n v="0"/>
    <n v="218.82656249999999"/>
    <n v="24"/>
    <n v="0"/>
    <n v="24"/>
    <n v="76.992481203007515"/>
    <n v="1992878"/>
    <n v="83036.583333333328"/>
    <n v="16229500.212499999"/>
    <s v=""/>
    <n v="195.45"/>
    <n v="0.12279355333844974"/>
    <n v="16229500.212499999"/>
    <n v="101250"/>
    <n v="0"/>
  </r>
  <r>
    <n v="1901086"/>
    <x v="161"/>
    <x v="97"/>
    <s v="OBRA GRUESA"/>
    <s v="AISLANTE"/>
    <n v="3711.5870410000002"/>
    <s v="M2"/>
    <n v="3711.5870410000002"/>
    <b v="1"/>
    <x v="21"/>
    <x v="1"/>
    <n v="31.794434700000004"/>
    <n v="118007.81180844075"/>
    <n v="3776249.9778701039"/>
    <n v="83077499.513142288"/>
    <n v="22319.693159400002"/>
    <n v="2436"/>
    <n v="0"/>
    <n v="2436"/>
    <n v="76.617182314614311"/>
    <n v="8849507"/>
    <n v="3632.8025451559934"/>
    <n v="72464536.923169062"/>
    <n v="-0.1277477373797743"/>
    <n v="19947.282028800004"/>
    <n v="0.12212190094283967"/>
    <n v="-1571536.5580972284"/>
    <n v="3711.587"/>
    <n v="-4.1000000237545464E-5"/>
  </r>
  <r>
    <n v="1206002"/>
    <x v="162"/>
    <x v="0"/>
    <s v="TERMINACION"/>
    <s v="BAÑO"/>
    <n v="15783.483871"/>
    <s v="UND"/>
    <n v="15783.483871"/>
    <b v="1"/>
    <x v="0"/>
    <x v="0"/>
    <n v="0.52500000000000002"/>
    <n v="8286.3290322749999"/>
    <n v="265162.5290328"/>
    <n v="5833575.6387216002"/>
    <n v="368.55"/>
    <n v="40"/>
    <n v="0"/>
    <n v="40"/>
    <n v="76.19047619047619"/>
    <n v="804173"/>
    <n v="20104.325000000001"/>
    <n v="6626385.5200000005"/>
    <n v="0.13590462014685412"/>
    <n v="329.6"/>
    <n v="0.12135922330097086"/>
    <n v="1424149.2361184005"/>
    <n v="15783.483899999999"/>
    <n v="2.8999998903600499E-5"/>
  </r>
  <r>
    <n v="1802171"/>
    <x v="163"/>
    <x v="98"/>
    <s v="TERMINACION"/>
    <s v="BAÑO"/>
    <n v="3167.794425"/>
    <s v="UND"/>
    <n v="3632"/>
    <b v="0"/>
    <x v="0"/>
    <x v="0"/>
    <n v="0.52500000000000002"/>
    <n v="1663.0920731250001"/>
    <n v="53218.946340000002"/>
    <n v="1170816.8194800001"/>
    <n v="368.55"/>
    <n v="39"/>
    <n v="0"/>
    <n v="39"/>
    <n v="74.285714285714278"/>
    <n v="124511"/>
    <n v="3192.5897435897436"/>
    <n v="1055470.1692307694"/>
    <n v="-9.851810149128204E-2"/>
    <n v="330.6"/>
    <n v="0.11796733212341197"/>
    <n v="8197.3323257693555"/>
    <n v="3632"/>
    <n v="0"/>
  </r>
  <r>
    <n v="2508994"/>
    <x v="164"/>
    <x v="99"/>
    <s v=""/>
    <s v=""/>
    <n v="4139.7142860000004"/>
    <s v=""/>
    <n v="1598"/>
    <b v="0"/>
    <x v="0"/>
    <x v="0"/>
    <n v="0.52500000000000002"/>
    <n v="2173.3500001500001"/>
    <n v="69547.200004800005"/>
    <n v="1530038.4001056"/>
    <n v="368.55"/>
    <n v="39"/>
    <n v="0"/>
    <n v="39"/>
    <n v="74.285714285714278"/>
    <n v="67371"/>
    <n v="1727.4615384615386"/>
    <n v="571098.78461538465"/>
    <n v="-0.62674218857777131"/>
    <n v="330.6"/>
    <n v="0.11796733212341197"/>
    <n v="-797490.75833621551"/>
    <n v="1598"/>
    <n v="0"/>
  </r>
  <r>
    <n v="307033"/>
    <x v="165"/>
    <x v="0"/>
    <s v="TERMINACION"/>
    <s v="TABIQUERIA"/>
    <n v="1889.0535440000001"/>
    <s v="UND"/>
    <n v="1889.0535440000001"/>
    <b v="1"/>
    <x v="0"/>
    <x v="0"/>
    <n v="7.8750000000000018"/>
    <n v="14876.296659000003"/>
    <n v="476041.4930880001"/>
    <n v="10472912.847936003"/>
    <n v="5528.2500000000009"/>
    <n v="580"/>
    <n v="0"/>
    <n v="580"/>
    <n v="73.650793650793631"/>
    <n v="1095981"/>
    <n v="1889.6224137931035"/>
    <n v="9380085.6620689668"/>
    <n v="-0.1043479690640613"/>
    <n v="4964.0000000000009"/>
    <n v="0.11684125705076549"/>
    <n v="2823.8696529641747"/>
    <n v="1889.0535"/>
    <n v="-4.4000000116284355E-5"/>
  </r>
  <r>
    <s v="V01"/>
    <x v="166"/>
    <x v="100"/>
    <s v="TERMINACION"/>
    <s v="PUERTA Y VENTANA"/>
    <n v="205500"/>
    <s v="UND"/>
    <n v="205500"/>
    <b v="1"/>
    <x v="22"/>
    <x v="1"/>
    <n v="1.5750000000000002"/>
    <n v="323662.50000000006"/>
    <n v="10357200.000000002"/>
    <n v="227858400.00000003"/>
    <n v="1105.6500000000001"/>
    <n v="114"/>
    <n v="0"/>
    <n v="114"/>
    <n v="72.38095238095238"/>
    <n v="23168467"/>
    <n v="203232.16666666666"/>
    <n v="202175359.40000004"/>
    <n v="-0.11271491680798251"/>
    <n v="994.80000000000018"/>
    <n v="0.11459589867310011"/>
    <n v="-2256040.599999994"/>
    <n v="205500"/>
    <n v="0"/>
  </r>
  <r>
    <n v="1802162"/>
    <x v="167"/>
    <x v="101"/>
    <s v="TERMINACION"/>
    <s v="BAÑO"/>
    <n v="42840"/>
    <s v="UND"/>
    <n v="42840"/>
    <b v="1"/>
    <x v="0"/>
    <x v="0"/>
    <n v="0.52500000000000002"/>
    <n v="22491"/>
    <n v="719712"/>
    <n v="15833664"/>
    <n v="368.55"/>
    <n v="38"/>
    <n v="0"/>
    <n v="38"/>
    <n v="72.38095238095238"/>
    <n v="1627920"/>
    <n v="42840"/>
    <n v="14205744.000000002"/>
    <n v="-0.10281385281385269"/>
    <n v="331.6"/>
    <n v="0.11459589867310012"/>
    <n v="0"/>
    <n v="42840"/>
    <n v="0"/>
  </r>
  <r>
    <n v="1808156"/>
    <x v="168"/>
    <x v="102"/>
    <s v="TERMINACION"/>
    <n v="0"/>
    <n v="1943.6823529999999"/>
    <s v="UND"/>
    <n v="1916"/>
    <b v="0"/>
    <x v="0"/>
    <x v="0"/>
    <n v="0.52500000000000002"/>
    <n v="1020.4332353250001"/>
    <n v="32653.863530400002"/>
    <n v="718384.99766880006"/>
    <n v="368.55"/>
    <n v="38"/>
    <n v="0"/>
    <n v="38"/>
    <n v="72.38095238095238"/>
    <n v="73401"/>
    <n v="1931.6052631578948"/>
    <n v="640520.30526315793"/>
    <n v="-0.10838852795968379"/>
    <n v="331.6"/>
    <n v="0.11459589867310012"/>
    <n v="-4004.7629916421138"/>
    <n v="1916"/>
    <n v="0"/>
  </r>
  <r>
    <n v="1802172"/>
    <x v="169"/>
    <x v="103"/>
    <s v="TERMINACION"/>
    <s v="BAÑO"/>
    <n v="3029.864865"/>
    <s v="UND"/>
    <n v="3035"/>
    <b v="0"/>
    <x v="0"/>
    <x v="0"/>
    <n v="0.52500000000000002"/>
    <n v="1590.679054125"/>
    <n v="50901.729732"/>
    <n v="1119838.0541040001"/>
    <n v="368.55"/>
    <n v="38"/>
    <n v="0"/>
    <n v="38"/>
    <n v="72.38095238095238"/>
    <n v="115231"/>
    <n v="3032.3947368421054"/>
    <n v="1005542.0947368422"/>
    <n v="-0.10206472172318515"/>
    <n v="331.6"/>
    <n v="0.11459589867310012"/>
    <n v="838.90550284215715"/>
    <n v="3035"/>
    <n v="0"/>
  </r>
  <r>
    <n v="701015"/>
    <x v="170"/>
    <x v="104"/>
    <s v="OBRA GRUESA"/>
    <s v="TABIQUERIA"/>
    <n v="9151.2974680000007"/>
    <s v="PL"/>
    <n v="9151.2974680000007"/>
    <b v="1"/>
    <x v="0"/>
    <x v="0"/>
    <n v="4.7250000000000005"/>
    <n v="43239.880536300006"/>
    <n v="1383676.1771616002"/>
    <n v="30440875.897555206"/>
    <n v="3316.9500000000003"/>
    <n v="336"/>
    <n v="0"/>
    <n v="336"/>
    <n v="71.1111111111111"/>
    <n v="3104236"/>
    <n v="9238.7976190476184"/>
    <n v="27627700.400000002"/>
    <n v="-9.2414407095990914E-2"/>
    <n v="2990.4000000000005"/>
    <n v="0.11235955056179774"/>
    <n v="261660.45169279352"/>
    <n v="9151.2975000000006"/>
    <n v="3.1999999919207767E-5"/>
  </r>
  <r>
    <n v="1405025"/>
    <x v="171"/>
    <x v="0"/>
    <s v="TERMINACION"/>
    <s v="PUERTA Y VENTANA"/>
    <n v="6758.5333330000003"/>
    <s v="UND"/>
    <n v="6758.5333330000003"/>
    <b v="1"/>
    <x v="0"/>
    <x v="0"/>
    <n v="0.52500000000000002"/>
    <n v="3548.2299998250005"/>
    <n v="113543.35999440002"/>
    <n v="2497953.9198768004"/>
    <n v="368.55"/>
    <n v="37"/>
    <n v="0"/>
    <n v="37"/>
    <n v="70.476190476190467"/>
    <n v="258214"/>
    <n v="6978.7567567567567"/>
    <n v="2321134.4972972972"/>
    <n v="-7.0785702319210109E-2"/>
    <n v="332.6"/>
    <n v="0.11124473842453397"/>
    <n v="73246.310741497204"/>
    <n v="6758.5333000000001"/>
    <n v="-3.3000000257743523E-5"/>
  </r>
  <r>
    <n v="412630"/>
    <x v="172"/>
    <x v="0"/>
    <s v="TERMINACION"/>
    <s v="VENTILACIÓN"/>
    <n v="148200"/>
    <s v="UND"/>
    <n v="148200"/>
    <b v="1"/>
    <x v="0"/>
    <x v="0"/>
    <n v="0.52500000000000002"/>
    <n v="77805"/>
    <n v="2489760"/>
    <n v="54774720"/>
    <n v="368.55"/>
    <n v="47"/>
    <n v="10"/>
    <n v="37"/>
    <n v="70.476190476190467"/>
    <n v="5561100"/>
    <n v="118321.27659574468"/>
    <n v="38170443.829787239"/>
    <n v="-0.30313758190297935"/>
    <n v="322.60000000000002"/>
    <n v="0.14569125852448853"/>
    <n v="-9638876.1702127606"/>
    <n v="148200"/>
    <n v="0"/>
  </r>
  <r>
    <s v="V03"/>
    <x v="173"/>
    <x v="0"/>
    <s v="TERMINACION"/>
    <s v="PUERTA Y VENTANA"/>
    <n v="101229"/>
    <s v="UND"/>
    <n v="101229"/>
    <b v="1"/>
    <x v="23"/>
    <x v="1"/>
    <n v="0.52500000000000002"/>
    <n v="53145.225000000006"/>
    <n v="1700647.2000000002"/>
    <n v="37414238.400000006"/>
    <n v="368.55"/>
    <n v="37"/>
    <n v="0"/>
    <n v="37"/>
    <n v="70.476190476190467"/>
    <n v="4443304"/>
    <n v="120089.29729729729"/>
    <n v="39941700.28108108"/>
    <n v="6.7553476675368485E-2"/>
    <n v="332.6"/>
    <n v="0.11124473842453397"/>
    <n v="6272934.8810810745"/>
    <n v="101229"/>
    <n v="0"/>
  </r>
  <r>
    <n v="2508991"/>
    <x v="174"/>
    <x v="105"/>
    <s v=""/>
    <s v=""/>
    <n v="4139.7142860000004"/>
    <s v=""/>
    <n v="4798"/>
    <b v="0"/>
    <x v="0"/>
    <x v="0"/>
    <n v="1.05"/>
    <n v="4346.7000003000003"/>
    <n v="139094.40000960001"/>
    <n v="3060076.8002112"/>
    <n v="737.1"/>
    <n v="74"/>
    <n v="0"/>
    <n v="74"/>
    <n v="70.476190476190467"/>
    <n v="353888"/>
    <n v="4782.27027027027"/>
    <n v="3181166.1837837836"/>
    <n v="3.9570700828236216E-2"/>
    <n v="665.2"/>
    <n v="0.11124473842453397"/>
    <n v="427428.24073658325"/>
    <n v="4798"/>
    <n v="0"/>
  </r>
  <r>
    <n v="2508993"/>
    <x v="175"/>
    <x v="106"/>
    <s v=""/>
    <s v=""/>
    <n v="4139.7142860000004"/>
    <s v=""/>
    <n v="1410"/>
    <b v="0"/>
    <x v="0"/>
    <x v="0"/>
    <n v="1.05"/>
    <n v="4346.7000003000003"/>
    <n v="139094.40000960001"/>
    <n v="3060076.8002112"/>
    <n v="737.1"/>
    <n v="72"/>
    <n v="0"/>
    <n v="72"/>
    <n v="68.571428571428569"/>
    <n v="106383"/>
    <n v="1477.5416666666667"/>
    <n v="985815.80000000016"/>
    <n v="-0.67784605931068098"/>
    <n v="667.2"/>
    <n v="0.1079136690647482"/>
    <n v="-1776201.5716192001"/>
    <n v="1410"/>
    <n v="0"/>
  </r>
  <r>
    <n v="307032"/>
    <x v="176"/>
    <x v="0"/>
    <s v="TERMINACION"/>
    <s v="TABIQUERIA"/>
    <n v="2378.3750409999998"/>
    <s v="TRA"/>
    <n v="2378.3750409999998"/>
    <b v="1"/>
    <x v="0"/>
    <x v="0"/>
    <n v="8.4"/>
    <n v="19978.350344399998"/>
    <n v="639307.21102079994"/>
    <n v="14064758.642457599"/>
    <n v="5896.8"/>
    <n v="566"/>
    <n v="0"/>
    <n v="566"/>
    <n v="67.38095238095238"/>
    <n v="1261365"/>
    <n v="2228.5600706713781"/>
    <n v="11917447.833922261"/>
    <n v="-0.15267313596503551"/>
    <n v="5347.6"/>
    <n v="0.10584187298975241"/>
    <n v="-801150.53532933816"/>
    <n v="2378.375"/>
    <n v="-4.0999999782798113E-5"/>
  </r>
  <r>
    <n v="2508990"/>
    <x v="177"/>
    <x v="107"/>
    <s v=""/>
    <s v=""/>
    <n v="4139.7142860000004"/>
    <s v=""/>
    <n v="6738"/>
    <b v="0"/>
    <x v="0"/>
    <x v="0"/>
    <n v="1.05"/>
    <n v="4346.7000003000003"/>
    <n v="139094.40000960001"/>
    <n v="3060076.8002112"/>
    <n v="737.1"/>
    <n v="70"/>
    <n v="0"/>
    <n v="70"/>
    <n v="66.666666666666657"/>
    <n v="467224"/>
    <n v="6674.6285714285714"/>
    <n v="4466661.4400000004"/>
    <n v="0.45965664642525339"/>
    <n v="669.2"/>
    <n v="0.10460251046025104"/>
    <n v="1696364.6398088001"/>
    <n v="6738"/>
    <n v="0"/>
  </r>
  <r>
    <n v="1703006"/>
    <x v="178"/>
    <x v="108"/>
    <s v="GRIFERIA"/>
    <s v="COCINA"/>
    <n v="1662"/>
    <s v="UND"/>
    <n v="1662"/>
    <b v="1"/>
    <x v="0"/>
    <x v="0"/>
    <n v="0.52500000000000002"/>
    <n v="872.55000000000007"/>
    <n v="27921.600000000002"/>
    <n v="614275.20000000007"/>
    <n v="368.55"/>
    <n v="33"/>
    <n v="0"/>
    <n v="33"/>
    <n v="62.857142857142854"/>
    <n v="54855"/>
    <n v="1662.2727272727273"/>
    <n v="559521"/>
    <n v="-8.9136269867316931E-2"/>
    <n v="336.6"/>
    <n v="9.8039215686274508E-2"/>
    <n v="91.799999999930151"/>
    <n v="1662"/>
    <n v="0"/>
  </r>
  <r>
    <n v="1801229"/>
    <x v="179"/>
    <x v="109"/>
    <s v="GRIFERIA"/>
    <s v="BAÑO"/>
    <n v="4675.5185190000002"/>
    <s v="UND"/>
    <n v="4675.5185190000002"/>
    <b v="1"/>
    <x v="0"/>
    <x v="0"/>
    <n v="0.52500000000000002"/>
    <n v="2454.647222475"/>
    <n v="78548.711119200001"/>
    <n v="1728071.6446223999"/>
    <n v="368.55"/>
    <n v="32"/>
    <n v="0"/>
    <n v="32"/>
    <n v="60.952380952380949"/>
    <n v="162639"/>
    <n v="5082.46875"/>
    <n v="1715841.4500000002"/>
    <n v="-7.077365490290255E-3"/>
    <n v="337.6"/>
    <n v="9.4786729857819899E-2"/>
    <n v="137386.39798559994"/>
    <n v="4675.5185000000001"/>
    <n v="-1.9000000065716449E-5"/>
  </r>
  <r>
    <n v="4212234"/>
    <x v="180"/>
    <x v="110"/>
    <s v="TERMINACION"/>
    <n v="0"/>
    <n v="124909"/>
    <s v="UND"/>
    <n v="124909"/>
    <b v="1"/>
    <x v="0"/>
    <x v="0"/>
    <n v="0.52500000000000002"/>
    <n v="65577.225000000006"/>
    <n v="2098471.2000000002"/>
    <n v="46166366.400000006"/>
    <n v="368.55"/>
    <n v="32"/>
    <n v="0"/>
    <n v="32"/>
    <n v="60.952380952380949"/>
    <n v="4076179"/>
    <n v="127380.59375"/>
    <n v="43003688.450000003"/>
    <n v="-6.8506105128516293E-2"/>
    <n v="337.6"/>
    <n v="9.4786729857819899E-2"/>
    <n v="834410.04999999702"/>
    <n v="124909"/>
    <n v="0"/>
  </r>
  <r>
    <n v="1808006"/>
    <x v="181"/>
    <x v="0"/>
    <s v="TERMINACION"/>
    <s v="BAÑO"/>
    <n v="2906.671096"/>
    <s v="UND"/>
    <n v="2906.671096"/>
    <b v="1"/>
    <x v="0"/>
    <x v="0"/>
    <n v="0.65625"/>
    <n v="1907.50290675"/>
    <n v="61040.093015999999"/>
    <n v="1342882.046352"/>
    <n v="460.6875"/>
    <n v="39"/>
    <n v="0"/>
    <n v="39"/>
    <n v="59.428571428571431"/>
    <n v="113361"/>
    <n v="2906.6923076923076"/>
    <n v="1229530.846153846"/>
    <n v="-8.4408902856418111E-2"/>
    <n v="423"/>
    <n v="9.2198581560283682E-2"/>
    <n v="8.9725458458997309"/>
    <n v="2906.6711"/>
    <n v="3.9999999899009708E-6"/>
  </r>
  <r>
    <n v="1802176"/>
    <x v="182"/>
    <x v="0"/>
    <s v="GRIFERIA"/>
    <s v="BAÑO"/>
    <n v="2199"/>
    <s v="UND"/>
    <n v="2199"/>
    <b v="1"/>
    <x v="0"/>
    <x v="0"/>
    <n v="0.52500000000000002"/>
    <n v="1154.4750000000001"/>
    <n v="36943.200000000004"/>
    <n v="812750.40000000014"/>
    <n v="368.55"/>
    <n v="31"/>
    <n v="0"/>
    <n v="31"/>
    <n v="59.047619047619044"/>
    <n v="68169"/>
    <n v="2199"/>
    <n v="744581.4"/>
    <n v="-8.387445887445899E-2"/>
    <n v="338.6"/>
    <n v="9.1553455404607201E-2"/>
    <n v="0"/>
    <n v="2199"/>
    <n v="0"/>
  </r>
  <r>
    <n v="1802173"/>
    <x v="183"/>
    <x v="111"/>
    <s v="GRIFERIA"/>
    <s v="BAÑO"/>
    <n v="11972.2"/>
    <s v="UND"/>
    <n v="11996"/>
    <b v="0"/>
    <x v="0"/>
    <x v="0"/>
    <n v="0.52500000000000002"/>
    <n v="6285.4050000000007"/>
    <n v="201132.96000000002"/>
    <n v="4424925.12"/>
    <n v="368.55"/>
    <n v="31"/>
    <n v="0"/>
    <n v="31"/>
    <n v="59.047619047619044"/>
    <n v="371524"/>
    <n v="11984.645161290322"/>
    <n v="4058000.8516129032"/>
    <n v="-8.2922141829847917E-2"/>
    <n v="338.6"/>
    <n v="9.1553455404607201E-2"/>
    <n v="4213.9316129027866"/>
    <n v="11996"/>
    <n v="0"/>
  </r>
  <r>
    <n v="1802166"/>
    <x v="184"/>
    <x v="112"/>
    <n v="0"/>
    <n v="0"/>
    <n v="13869"/>
    <s v="UND"/>
    <n v="13869"/>
    <b v="1"/>
    <x v="0"/>
    <x v="0"/>
    <n v="0.52500000000000002"/>
    <n v="7281.2250000000004"/>
    <n v="232999.2"/>
    <n v="5125982.4000000004"/>
    <n v="368.55"/>
    <n v="31"/>
    <n v="0"/>
    <n v="31"/>
    <n v="59.047619047619044"/>
    <n v="429939"/>
    <n v="13869"/>
    <n v="4696043.4000000004"/>
    <n v="-8.3874458874458879E-2"/>
    <n v="338.6"/>
    <n v="9.1553455404607201E-2"/>
    <n v="0"/>
    <n v="13869"/>
    <n v="0"/>
  </r>
  <r>
    <n v="608013"/>
    <x v="185"/>
    <x v="113"/>
    <s v="TERMINACION"/>
    <s v="FIJACION"/>
    <n v="8471"/>
    <s v="UND"/>
    <n v="8471"/>
    <b v="1"/>
    <x v="0"/>
    <x v="0"/>
    <n v="0.105"/>
    <n v="889.45499999999993"/>
    <n v="28462.559999999998"/>
    <n v="626176.31999999995"/>
    <n v="73.709999999999994"/>
    <n v="6"/>
    <n v="0"/>
    <n v="6"/>
    <n v="57.142857142857146"/>
    <n v="50830"/>
    <n v="8471.6666666666661"/>
    <n v="575395.6"/>
    <n v="-8.1096519267927603E-2"/>
    <n v="67.92"/>
    <n v="8.8339222614840993E-2"/>
    <n v="45.279999999911524"/>
    <n v="8471"/>
    <n v="0"/>
  </r>
  <r>
    <n v="1802174"/>
    <x v="186"/>
    <x v="114"/>
    <n v="0"/>
    <n v="0"/>
    <n v="7694.5405410000003"/>
    <s v="UND"/>
    <n v="7709"/>
    <b v="0"/>
    <x v="0"/>
    <x v="0"/>
    <n v="0.52500000000000002"/>
    <n v="4039.6337840250003"/>
    <n v="129268.28108880001"/>
    <n v="2843902.1839536"/>
    <n v="368.55"/>
    <n v="30"/>
    <n v="0"/>
    <n v="30"/>
    <n v="57.142857142857139"/>
    <n v="231051"/>
    <n v="7701.7"/>
    <n v="2615497.3200000003"/>
    <n v="-8.0313895900621546E-2"/>
    <n v="339.6"/>
    <n v="8.8339222614840979E-2"/>
    <n v="2431.3522764001973"/>
    <n v="7709"/>
    <n v="0"/>
  </r>
  <r>
    <n v="1802175"/>
    <x v="187"/>
    <x v="115"/>
    <s v="GRIFERIA"/>
    <s v="BAÑO"/>
    <n v="1079"/>
    <s v="UND"/>
    <n v="1079"/>
    <b v="1"/>
    <x v="0"/>
    <x v="0"/>
    <n v="0.52500000000000002"/>
    <n v="566.47500000000002"/>
    <n v="18127.2"/>
    <n v="398798.4"/>
    <n v="368.55"/>
    <n v="30"/>
    <n v="0"/>
    <n v="30"/>
    <n v="57.142857142857139"/>
    <n v="32370"/>
    <n v="1079"/>
    <n v="366428.4"/>
    <n v="-8.1168831168831113E-2"/>
    <n v="339.6"/>
    <n v="8.8339222614840979E-2"/>
    <n v="0"/>
    <n v="1079"/>
    <n v="0"/>
  </r>
  <r>
    <n v="1802165"/>
    <x v="188"/>
    <x v="116"/>
    <s v="TERMINACION"/>
    <s v="BAÑO"/>
    <n v="9122"/>
    <s v="UND"/>
    <n v="9122"/>
    <b v="1"/>
    <x v="0"/>
    <x v="0"/>
    <n v="0.52500000000000002"/>
    <n v="4789.05"/>
    <n v="153249.60000000001"/>
    <n v="3371491.2"/>
    <n v="368.55"/>
    <n v="30"/>
    <n v="0"/>
    <n v="30"/>
    <n v="57.142857142857139"/>
    <n v="273660"/>
    <n v="9122"/>
    <n v="3097831.2"/>
    <n v="-8.1168831168831113E-2"/>
    <n v="339.6"/>
    <n v="8.8339222614840979E-2"/>
    <n v="0"/>
    <n v="9122"/>
    <n v="0"/>
  </r>
  <r>
    <n v="1808144"/>
    <x v="189"/>
    <x v="117"/>
    <s v="GRIFERIA"/>
    <s v="BAÑO"/>
    <n v="23397.569619999998"/>
    <s v="UND"/>
    <n v="23228"/>
    <b v="0"/>
    <x v="0"/>
    <x v="0"/>
    <n v="0.52500000000000002"/>
    <n v="12283.724050499999"/>
    <n v="393079.16961599997"/>
    <n v="8647741.7315519992"/>
    <n v="368.55"/>
    <n v="30"/>
    <n v="0"/>
    <n v="30"/>
    <n v="57.142857142857139"/>
    <n v="699502"/>
    <n v="23316.733333333334"/>
    <n v="7918362.6400000006"/>
    <n v="-8.434330189242345E-2"/>
    <n v="339.6"/>
    <n v="8.8339222614840979E-2"/>
    <n v="-27452.002951999195"/>
    <n v="23228"/>
    <n v="0"/>
  </r>
  <r>
    <n v="1808145"/>
    <x v="190"/>
    <x v="118"/>
    <s v="GRIFERIA"/>
    <s v="BAÑO"/>
    <n v="16189.712963"/>
    <s v="UND"/>
    <n v="17145"/>
    <b v="0"/>
    <x v="0"/>
    <x v="0"/>
    <n v="0.52500000000000002"/>
    <n v="8499.5993055750005"/>
    <n v="271987.17777840002"/>
    <n v="5983717.9111248003"/>
    <n v="368.55"/>
    <n v="30"/>
    <n v="0"/>
    <n v="30"/>
    <n v="57.142857142857139"/>
    <n v="487127"/>
    <n v="16237.566666666668"/>
    <n v="5514277.6400000006"/>
    <n v="-7.8452941481754412E-2"/>
    <n v="339.6"/>
    <n v="8.8339222614840979E-2"/>
    <n v="16251.117765200324"/>
    <n v="17145"/>
    <n v="0"/>
  </r>
  <r>
    <n v="1808147"/>
    <x v="191"/>
    <x v="119"/>
    <s v="GRIFERIA"/>
    <s v="BAÑO"/>
    <n v="2215.224044"/>
    <s v="UND"/>
    <n v="2293"/>
    <b v="0"/>
    <x v="0"/>
    <x v="0"/>
    <n v="0.52500000000000002"/>
    <n v="1162.9926231000002"/>
    <n v="37215.763939200006"/>
    <n v="818746.80666240014"/>
    <n v="368.55"/>
    <n v="30"/>
    <n v="0"/>
    <n v="30"/>
    <n v="57.142857142857139"/>
    <n v="66545"/>
    <n v="2218.1666666666665"/>
    <n v="753289.4"/>
    <n v="-7.9948289422019925E-2"/>
    <n v="339.6"/>
    <n v="8.8339222614840979E-2"/>
    <n v="999.31465760001447"/>
    <n v="2293"/>
    <n v="0"/>
  </r>
  <r>
    <n v="1802167"/>
    <x v="192"/>
    <x v="120"/>
    <s v="TERMINACION"/>
    <s v="BAÑO"/>
    <n v="14972"/>
    <s v="UND"/>
    <n v="14972"/>
    <b v="1"/>
    <x v="0"/>
    <x v="0"/>
    <n v="0.52500000000000002"/>
    <n v="7860.3"/>
    <n v="251529.60000000001"/>
    <n v="5533651.2000000002"/>
    <n v="368.55"/>
    <n v="30"/>
    <n v="0"/>
    <n v="30"/>
    <n v="57.142857142857139"/>
    <n v="449160"/>
    <n v="14972"/>
    <n v="5084491.2"/>
    <n v="-8.1168831168831113E-2"/>
    <n v="339.6"/>
    <n v="8.8339222614840979E-2"/>
    <n v="0"/>
    <n v="14972"/>
    <n v="0"/>
  </r>
  <r>
    <n v="1802169"/>
    <x v="193"/>
    <x v="121"/>
    <s v="GRIFERIA"/>
    <s v="COCINA"/>
    <n v="10719.324323999999"/>
    <s v="UND"/>
    <n v="10741"/>
    <b v="0"/>
    <x v="0"/>
    <x v="0"/>
    <n v="0.52500000000000002"/>
    <n v="5627.6452700999998"/>
    <n v="180084.64864319999"/>
    <n v="3961862.2701503998"/>
    <n v="368.55"/>
    <n v="30"/>
    <n v="0"/>
    <n v="30"/>
    <n v="57.142857142857139"/>
    <n v="321900"/>
    <n v="10730"/>
    <n v="3643908.0000000005"/>
    <n v="-8.0253741414975877E-2"/>
    <n v="339.6"/>
    <n v="8.8339222614840979E-2"/>
    <n v="3625.4595696004108"/>
    <n v="10741"/>
    <n v="0"/>
  </r>
  <r>
    <n v="1802170"/>
    <x v="194"/>
    <x v="0"/>
    <s v="GRIFERIA"/>
    <s v="COCINA"/>
    <n v="2043"/>
    <s v="UND"/>
    <n v="2043"/>
    <b v="1"/>
    <x v="0"/>
    <x v="0"/>
    <n v="0.52500000000000002"/>
    <n v="1072.575"/>
    <n v="34322.400000000001"/>
    <n v="755092.8"/>
    <n v="368.55"/>
    <n v="30"/>
    <n v="0"/>
    <n v="30"/>
    <n v="57.142857142857139"/>
    <n v="61290"/>
    <n v="2043"/>
    <n v="693802.8"/>
    <n v="-8.1168831168831113E-2"/>
    <n v="339.6"/>
    <n v="8.8339222614840979E-2"/>
    <n v="0"/>
    <n v="2043"/>
    <n v="0"/>
  </r>
  <r>
    <n v="302028"/>
    <x v="195"/>
    <x v="122"/>
    <s v="OBRA GRUESA"/>
    <s v="MADERA"/>
    <n v="5123.8025269999998"/>
    <s v="PZA"/>
    <n v="5123.8025270000016"/>
    <b v="1"/>
    <x v="24"/>
    <x v="1"/>
    <n v="172.72499999999994"/>
    <n v="885008.79147607461"/>
    <n v="28320281.327234387"/>
    <n v="623046189.19915652"/>
    <n v="121252.94999999995"/>
    <n v="10441"/>
    <n v="600"/>
    <n v="9841"/>
    <n v="56.974960196844719"/>
    <n v="49703385"/>
    <n v="4760.4046547265589"/>
    <n v="529154204.36730176"/>
    <n v="-0.1506982731931007"/>
    <n v="111157.39999999995"/>
    <n v="9.3929868816651024E-2"/>
    <n v="-40394362.647447765"/>
    <n v="5123.8024999999998"/>
    <n v="-2.7000001864507794E-5"/>
  </r>
  <r>
    <n v="5316507"/>
    <x v="196"/>
    <x v="123"/>
    <s v="MUEBLERIA"/>
    <s v="COCINA"/>
    <n v="41419.666666999998"/>
    <s v="UND"/>
    <n v="41419.666666999998"/>
    <b v="1"/>
    <x v="0"/>
    <x v="0"/>
    <n v="0.52500000000000002"/>
    <n v="21745.325000174998"/>
    <n v="695850.40000559995"/>
    <n v="15308708.8001232"/>
    <n v="368.55"/>
    <n v="29"/>
    <n v="0"/>
    <n v="29"/>
    <n v="55.238095238095234"/>
    <n v="1201032"/>
    <n v="41414.896551724138"/>
    <n v="14105913.765517242"/>
    <n v="-7.8569332679205295E-2"/>
    <n v="340.6"/>
    <n v="8.514386376981796E-2"/>
    <n v="-1624.7012629583478"/>
    <n v="41419.666700000002"/>
    <n v="3.300000389572233E-5"/>
  </r>
  <r>
    <n v="1808146"/>
    <x v="197"/>
    <x v="124"/>
    <s v="GRIFERIA"/>
    <s v="BAÑO"/>
    <n v="3318.025157"/>
    <s v="UND"/>
    <n v="3404"/>
    <b v="0"/>
    <x v="0"/>
    <x v="0"/>
    <n v="0.52500000000000002"/>
    <n v="1741.9632074250001"/>
    <n v="55742.822637600002"/>
    <n v="1226342.0980272"/>
    <n v="368.55"/>
    <n v="29"/>
    <n v="0"/>
    <n v="29"/>
    <n v="55.238095238095234"/>
    <n v="96332"/>
    <n v="3321.7931034482758"/>
    <n v="1131402.7310344828"/>
    <n v="-7.7416707088050596E-2"/>
    <n v="340.6"/>
    <n v="8.514386376981796E-2"/>
    <n v="1283.3625602826942"/>
    <n v="3404"/>
    <n v="0"/>
  </r>
  <r>
    <n v="1901466"/>
    <x v="198"/>
    <x v="125"/>
    <s v=""/>
    <s v=""/>
    <m/>
    <s v="M2"/>
    <n v="2112.795779"/>
    <b v="0"/>
    <x v="0"/>
    <x v="0"/>
    <n v="29.529275999999999"/>
    <n v="0"/>
    <n v="0"/>
    <n v="0"/>
    <n v="20729.551751999999"/>
    <n v="1619"/>
    <n v="0"/>
    <n v="1619"/>
    <n v="54.826945299979585"/>
    <n v="3191400"/>
    <n v="1971.2168004941323"/>
    <n v="37787457.890170224"/>
    <s v=""/>
    <n v="19169.610303999998"/>
    <n v="8.4456594282575154E-2"/>
    <n v="37787457.890170224"/>
    <n v="2112.7957999999999"/>
    <n v="2.0999999833293259E-5"/>
  </r>
  <r>
    <n v="1802517"/>
    <x v="199"/>
    <x v="126"/>
    <s v="TERMINACION"/>
    <s v="VENTILACIÓN"/>
    <n v="2312.5"/>
    <s v="UND"/>
    <n v="2312"/>
    <b v="0"/>
    <x v="0"/>
    <x v="0"/>
    <n v="0.52500000000000002"/>
    <n v="1214.0625"/>
    <n v="38850"/>
    <n v="854700"/>
    <n v="368.55"/>
    <n v="28"/>
    <n v="0"/>
    <n v="28"/>
    <n v="53.333333333333329"/>
    <n v="64750"/>
    <n v="2312.5"/>
    <n v="789950"/>
    <n v="-7.5757575757575801E-2"/>
    <n v="341.6"/>
    <n v="8.1967213114754092E-2"/>
    <n v="0"/>
    <n v="2312"/>
    <n v="0"/>
  </r>
  <r>
    <n v="2302017"/>
    <x v="200"/>
    <x v="0"/>
    <s v="TERMINACION"/>
    <s v="INTERIOR"/>
    <n v="81197.881578999994"/>
    <s v="TIN"/>
    <n v="81197.881578999979"/>
    <b v="1"/>
    <x v="0"/>
    <x v="0"/>
    <n v="0.7875000000000002"/>
    <n v="63943.331743462513"/>
    <n v="2046186.6157908004"/>
    <n v="45016105.547397606"/>
    <n v="552.82500000000016"/>
    <n v="42"/>
    <n v="0"/>
    <n v="42"/>
    <n v="53.333333333333321"/>
    <n v="3470585"/>
    <n v="82632.976190476184"/>
    <n v="42341137.000000007"/>
    <n v="-5.9422478130213063E-2"/>
    <n v="512.40000000000009"/>
    <n v="8.1967213114754078E-2"/>
    <n v="735342.47892040014"/>
    <n v="81197.881599999993"/>
    <n v="2.1000014385208488E-5"/>
  </r>
  <r>
    <n v="704021"/>
    <x v="201"/>
    <x v="127"/>
    <s v="OBRA GRUESA"/>
    <s v="TABIQUERIA"/>
    <n v="487"/>
    <s v="UND"/>
    <n v="487"/>
    <b v="1"/>
    <x v="0"/>
    <x v="0"/>
    <n v="21"/>
    <n v="10227"/>
    <n v="327264"/>
    <n v="7199808"/>
    <n v="14742"/>
    <n v="1118"/>
    <n v="0"/>
    <n v="1118"/>
    <n v="53.238095238095241"/>
    <n v="544466"/>
    <n v="487"/>
    <n v="6655342"/>
    <n v="-7.5622294372294396E-2"/>
    <n v="13666"/>
    <n v="8.1808868725303671E-2"/>
    <n v="0"/>
    <n v="487"/>
    <n v="0"/>
  </r>
  <r>
    <n v="307030"/>
    <x v="202"/>
    <x v="128"/>
    <s v="TERMINACION"/>
    <s v="TABIQUERIA"/>
    <n v="2729.9988560000002"/>
    <s v="UND"/>
    <n v="2729.9988560000002"/>
    <b v="1"/>
    <x v="0"/>
    <x v="0"/>
    <n v="7.35"/>
    <n v="20065.491591599999"/>
    <n v="642095.73093119997"/>
    <n v="14126106.0804864"/>
    <n v="5159.7"/>
    <n v="380"/>
    <n v="0"/>
    <n v="380"/>
    <n v="51.700680272108848"/>
    <n v="1037400"/>
    <n v="2730"/>
    <n v="13088711.999999998"/>
    <n v="-7.3438078022041942E-2"/>
    <n v="4794.3999999999996"/>
    <n v="7.925913565826799E-2"/>
    <n v="5.4847935978323221"/>
    <n v="2729.9989"/>
    <n v="4.3999999888910679E-5"/>
  </r>
  <r>
    <n v="1808148"/>
    <x v="203"/>
    <x v="129"/>
    <s v="GRIFERIA"/>
    <s v="BAÑO"/>
    <n v="1108.0958900000001"/>
    <s v="UND"/>
    <n v="1089"/>
    <b v="0"/>
    <x v="0"/>
    <x v="0"/>
    <n v="0.52500000000000002"/>
    <n v="581.75034225000002"/>
    <n v="18616.010952000001"/>
    <n v="409552.24094400002"/>
    <n v="368.55"/>
    <n v="27"/>
    <n v="0"/>
    <n v="27"/>
    <n v="51.428571428571423"/>
    <n v="29663"/>
    <n v="1098.6296296296296"/>
    <n v="376390.51111111109"/>
    <n v="-8.0970695597837761E-2"/>
    <n v="342.6"/>
    <n v="7.8809106830122586E-2"/>
    <n v="-3243.1408028889564"/>
    <n v="1089"/>
    <n v="0"/>
  </r>
  <r>
    <n v="602258"/>
    <x v="204"/>
    <x v="130"/>
    <s v=""/>
    <s v=""/>
    <m/>
    <s v=""/>
    <n v="84000"/>
    <b v="0"/>
    <x v="0"/>
    <x v="0"/>
    <n v="8.1375000000000003E-2"/>
    <n v="0"/>
    <n v="0"/>
    <n v="0"/>
    <n v="57.125250000000001"/>
    <n v="4"/>
    <n v="0"/>
    <n v="4"/>
    <n v="49.155145929339476"/>
    <n v="336000"/>
    <n v="84000"/>
    <n v="4476192"/>
    <s v=""/>
    <n v="53.288000000000004"/>
    <n v="7.5063804233598555E-2"/>
    <n v="4476192"/>
    <n v="84000"/>
    <n v="0"/>
  </r>
  <r>
    <n v="408014"/>
    <x v="205"/>
    <x v="131"/>
    <s v="OBRA GRUESA"/>
    <s v="FIJACION"/>
    <n v="16182.106761999999"/>
    <s v="CJA"/>
    <n v="16182.106762000009"/>
    <b v="1"/>
    <x v="0"/>
    <x v="0"/>
    <n v="0.51449999999999996"/>
    <n v="8325.6939290489991"/>
    <n v="266422.20572956797"/>
    <n v="5861288.526050495"/>
    <n v="361.17899999999997"/>
    <n v="25"/>
    <n v="0"/>
    <n v="25"/>
    <n v="48.590864917395535"/>
    <n v="402968"/>
    <n v="16118.72"/>
    <n v="5435361.3337599989"/>
    <n v="-7.2667842642016867E-2"/>
    <n v="337.20799999999997"/>
    <n v="7.4138217361391201E-2"/>
    <n v="-21374.523240496404"/>
    <n v="16182.1068"/>
    <n v="3.7999991036485881E-5"/>
  </r>
  <r>
    <n v="1901038"/>
    <x v="206"/>
    <x v="132"/>
    <s v="OBRA GRUESA"/>
    <s v="AISLANTE"/>
    <n v="4197.4178750000001"/>
    <s v="M2"/>
    <n v="4197.417875000001"/>
    <b v="1"/>
    <x v="25"/>
    <x v="1"/>
    <n v="40.010249999999999"/>
    <n v="167939.73853321874"/>
    <n v="5374071.6330629997"/>
    <n v="118229575.92738599"/>
    <n v="28087.195499999998"/>
    <n v="1942"/>
    <n v="0"/>
    <n v="1942"/>
    <n v="48.53756224967352"/>
    <n v="8900548"/>
    <n v="4583.1864057672501"/>
    <n v="120195053.45950978"/>
    <n v="1.6624245809110816E-2"/>
    <n v="26225.216"/>
    <n v="7.4050867683987803E-2"/>
    <n v="10116863.045373768"/>
    <n v="4197.4179000000004"/>
    <n v="2.4999999368446879E-5"/>
  </r>
  <r>
    <n v="1805340"/>
    <x v="207"/>
    <x v="133"/>
    <s v="TERMINACION"/>
    <s v="VENTILACIÓN"/>
    <n v="19400"/>
    <s v="UND"/>
    <n v="19400"/>
    <b v="1"/>
    <x v="0"/>
    <x v="0"/>
    <n v="1.05"/>
    <n v="20370"/>
    <n v="651840"/>
    <n v="14340480"/>
    <n v="737.1"/>
    <n v="50"/>
    <n v="0"/>
    <n v="50"/>
    <n v="47.61904761904762"/>
    <n v="970000"/>
    <n v="19400"/>
    <n v="13370480"/>
    <n v="-6.7640692640692612E-2"/>
    <n v="689.2"/>
    <n v="7.2547881601857225E-2"/>
    <n v="0"/>
    <n v="19400"/>
    <n v="0"/>
  </r>
  <r>
    <n v="1103088"/>
    <x v="208"/>
    <x v="85"/>
    <s v=""/>
    <s v=""/>
    <m/>
    <s v=""/>
    <n v="3134"/>
    <b v="0"/>
    <x v="0"/>
    <x v="0"/>
    <n v="1.05"/>
    <n v="0"/>
    <n v="0"/>
    <n v="0"/>
    <n v="737.1"/>
    <n v="50"/>
    <n v="0"/>
    <n v="50"/>
    <n v="47.61904761904762"/>
    <n v="156700"/>
    <n v="3134"/>
    <n v="2159952.8000000003"/>
    <s v=""/>
    <n v="689.2"/>
    <n v="7.2547881601857225E-2"/>
    <n v="2159952.8000000003"/>
    <n v="3134"/>
    <n v="0"/>
  </r>
  <r>
    <n v="407170"/>
    <x v="209"/>
    <x v="134"/>
    <s v="OBRA GRUESA"/>
    <s v="FIJACION"/>
    <n v="4.8802159999999999"/>
    <s v="UND"/>
    <n v="4.8802160000000008"/>
    <b v="1"/>
    <x v="0"/>
    <x v="0"/>
    <n v="151.19999999999999"/>
    <n v="737.88865919999989"/>
    <n v="23612.437094399997"/>
    <n v="519473.61607679992"/>
    <n v="106142.39999999999"/>
    <n v="6904"/>
    <n v="0"/>
    <n v="6904"/>
    <n v="45.661375661375665"/>
    <n v="34457"/>
    <n v="4.9908748551564308"/>
    <n v="496795.67578215519"/>
    <n v="-4.3655615208938681E-2"/>
    <n v="99540.799999999988"/>
    <n v="6.9358494205391169E-2"/>
    <n v="11015.070969355234"/>
    <n v="4.8802000000000003"/>
    <n v="-1.6000000000460091E-5"/>
  </r>
  <r>
    <n v="307096"/>
    <x v="210"/>
    <x v="135"/>
    <s v="TERMINACION"/>
    <s v="TABIQUERIA"/>
    <n v="2095.3501289999999"/>
    <s v="TRA"/>
    <n v="2095.3501289999986"/>
    <b v="1"/>
    <x v="26"/>
    <x v="1"/>
    <n v="65.100000000000023"/>
    <n v="136407.29339790004"/>
    <n v="4365033.3887328012"/>
    <n v="96030734.552121624"/>
    <n v="45700.200000000019"/>
    <n v="2949"/>
    <n v="0"/>
    <n v="2949"/>
    <n v="45.299539170506897"/>
    <n v="4894523"/>
    <n v="1659.7229569345541"/>
    <n v="71171244.005493417"/>
    <n v="-0.2588701488390206"/>
    <n v="42881.400000000016"/>
    <n v="6.8771075571226664E-2"/>
    <n v="-18680303.016207218"/>
    <n v="2095.3501000000001"/>
    <n v="-2.8999998448853148E-5"/>
  </r>
  <r>
    <n v="307031"/>
    <x v="211"/>
    <x v="136"/>
    <s v="TERMINACION"/>
    <s v="TABIQUERIA"/>
    <n v="2699.9986050000002"/>
    <s v="UND"/>
    <n v="2699.9986050000007"/>
    <b v="1"/>
    <x v="0"/>
    <x v="0"/>
    <n v="15.865500000000001"/>
    <n v="42836.827867627508"/>
    <n v="1370778.4917640802"/>
    <n v="30157126.818809766"/>
    <n v="11137.581"/>
    <n v="715"/>
    <n v="0"/>
    <n v="715"/>
    <n v="45.066338911474581"/>
    <n v="1930500"/>
    <n v="2700"/>
    <n v="28226642.399999999"/>
    <n v="-6.4014202361137307E-2"/>
    <n v="10454.312"/>
    <n v="6.8392831589491498E-2"/>
    <n v="14.583765234798193"/>
    <n v="2699.9985999999999"/>
    <n v="-5.0000007831840776E-6"/>
  </r>
  <r>
    <s v="140209X"/>
    <x v="212"/>
    <x v="137"/>
    <s v="TERMINACION"/>
    <s v="INTERIOR"/>
    <n v="3021.2828690000001"/>
    <s v="UND"/>
    <n v="3021.2828690000006"/>
    <b v="1"/>
    <x v="0"/>
    <x v="0"/>
    <n v="3.1500000000000004"/>
    <n v="9517.0410373500017"/>
    <n v="304545.31319520005"/>
    <n v="6699996.890294401"/>
    <n v="2211.3000000000002"/>
    <n v="130"/>
    <n v="0"/>
    <n v="130"/>
    <n v="41.269841269841265"/>
    <n v="392767"/>
    <n v="3021.2846153846153"/>
    <n v="6307233.7630769238"/>
    <n v="-5.8621389479513453E-2"/>
    <n v="2087.6000000000004"/>
    <n v="6.2272465989653178E-2"/>
    <n v="3.6457525221630931"/>
    <n v="3021.2829000000002"/>
    <n v="3.0999999580672011E-5"/>
  </r>
  <r>
    <n v="1803045"/>
    <x v="213"/>
    <x v="26"/>
    <s v="TERMINACION"/>
    <s v="PUERTA Y VENTANA"/>
    <n v="52920"/>
    <s v="KIT"/>
    <n v="51872.999999999993"/>
    <b v="0"/>
    <x v="27"/>
    <x v="1"/>
    <n v="2.1000000000000005"/>
    <n v="111132.00000000003"/>
    <n v="3556224.0000000009"/>
    <n v="78236928.000000015"/>
    <n v="1474.2000000000003"/>
    <n v="85"/>
    <n v="0"/>
    <n v="85"/>
    <n v="40.476190476190467"/>
    <n v="4410352"/>
    <n v="51886.49411764706"/>
    <n v="72298640.903529435"/>
    <n v="-7.5901332635025964E-2"/>
    <n v="1393.4000000000003"/>
    <n v="6.1001865939428725E-2"/>
    <n v="-1440087.0964705795"/>
    <n v="51873"/>
    <n v="0"/>
  </r>
  <r>
    <n v="2508987"/>
    <x v="214"/>
    <x v="138"/>
    <s v="TERMINACION"/>
    <s v="PUERTA Y VENTANA"/>
    <n v="145847"/>
    <s v="KIT"/>
    <n v="145847"/>
    <b v="1"/>
    <x v="0"/>
    <x v="0"/>
    <n v="0.52500000000000002"/>
    <n v="76569.675000000003"/>
    <n v="2450229.6"/>
    <n v="53905051.200000003"/>
    <n v="368.55"/>
    <n v="19"/>
    <n v="0"/>
    <n v="19"/>
    <n v="36.19047619047619"/>
    <n v="2714731"/>
    <n v="142880.57894736843"/>
    <n v="50093930.978947371"/>
    <n v="-7.0700614065136613E-2"/>
    <n v="350.6"/>
    <n v="5.4192812321734167E-2"/>
    <n v="-1040027.2210526317"/>
    <n v="145847"/>
    <n v="0"/>
  </r>
  <r>
    <n v="412249"/>
    <x v="215"/>
    <x v="0"/>
    <s v="OBRA GRUESA"/>
    <s v="FIJACION"/>
    <n v="1719.7190700000001"/>
    <s v=""/>
    <n v="1719.7190700000001"/>
    <b v="1"/>
    <x v="0"/>
    <x v="0"/>
    <n v="22.05"/>
    <n v="37919.805493500004"/>
    <n v="1213433.7757920001"/>
    <n v="26695543.067424003"/>
    <n v="15479.1"/>
    <n v="772"/>
    <n v="0"/>
    <n v="772"/>
    <n v="35.011337868480723"/>
    <n v="1327730"/>
    <n v="1719.8575129533679"/>
    <n v="25369962.14507772"/>
    <n v="-4.9655514368009301E-2"/>
    <n v="14751.2"/>
    <n v="5.2334725310483214E-2"/>
    <n v="2042.1996937170625"/>
    <n v="1719.7191"/>
    <n v="2.9999999924257281E-5"/>
  </r>
  <r>
    <n v="1802164"/>
    <x v="216"/>
    <x v="0"/>
    <s v="TERMINACION"/>
    <n v="0"/>
    <n v="138041"/>
    <s v="UND"/>
    <n v="138041"/>
    <b v="1"/>
    <x v="0"/>
    <x v="0"/>
    <n v="0.52500000000000002"/>
    <n v="72471.525000000009"/>
    <n v="2319088.8000000003"/>
    <n v="51019953.600000009"/>
    <n v="368.55"/>
    <n v="17"/>
    <n v="0"/>
    <n v="17"/>
    <n v="32.38095238095238"/>
    <n v="2346697"/>
    <n v="138041"/>
    <n v="48673256.600000001"/>
    <n v="-4.5995670995671145E-2"/>
    <n v="352.6"/>
    <n v="4.821327283040272E-2"/>
    <n v="0"/>
    <n v="138041"/>
    <n v="0"/>
  </r>
  <r>
    <n v="2508169"/>
    <x v="217"/>
    <x v="0"/>
    <s v="TERMINACION"/>
    <n v="0"/>
    <n v="13952"/>
    <s v="UND"/>
    <n v="13952"/>
    <b v="1"/>
    <x v="0"/>
    <x v="0"/>
    <n v="0.52500000000000002"/>
    <n v="7324.8"/>
    <n v="234393.60000000001"/>
    <n v="5156659.2000000002"/>
    <n v="368.55"/>
    <n v="17"/>
    <n v="0"/>
    <n v="17"/>
    <n v="32.38095238095238"/>
    <n v="237184"/>
    <n v="13952"/>
    <n v="4919475.2"/>
    <n v="-4.5995670995671034E-2"/>
    <n v="352.6"/>
    <n v="4.821327283040272E-2"/>
    <n v="0"/>
    <n v="13952"/>
    <n v="0"/>
  </r>
  <r>
    <n v="1405039"/>
    <x v="218"/>
    <x v="139"/>
    <s v="TERMINACION"/>
    <s v="PUERTA Y VENTANA"/>
    <n v="17998"/>
    <s v="UND"/>
    <n v="7596"/>
    <b v="0"/>
    <x v="0"/>
    <x v="0"/>
    <n v="1.5750000000000002"/>
    <n v="28346.850000000002"/>
    <n v="907099.20000000007"/>
    <n v="19956182.400000002"/>
    <n v="1105.6500000000001"/>
    <n v="51"/>
    <n v="0"/>
    <n v="51"/>
    <n v="32.38095238095238"/>
    <n v="388902"/>
    <n v="7625.5294117647063"/>
    <n v="8066285.011764708"/>
    <n v="-0.59580019614549595"/>
    <n v="1057.8000000000002"/>
    <n v="4.8213272830402713E-2"/>
    <n v="-10971999.388235293"/>
    <n v="7596"/>
    <n v="0"/>
  </r>
  <r>
    <n v="404793"/>
    <x v="219"/>
    <x v="140"/>
    <s v=""/>
    <s v=""/>
    <m/>
    <s v=""/>
    <n v="3400"/>
    <b v="0"/>
    <x v="0"/>
    <x v="0"/>
    <n v="0.52500000000000002"/>
    <n v="0"/>
    <n v="0"/>
    <n v="0"/>
    <n v="368.55"/>
    <n v="17"/>
    <n v="0"/>
    <n v="17"/>
    <n v="32.38095238095238"/>
    <n v="57800"/>
    <n v="3400"/>
    <n v="1198840"/>
    <s v=""/>
    <n v="352.6"/>
    <n v="4.821327283040272E-2"/>
    <n v="1198840"/>
    <n v="13713.2695"/>
    <n v="10313.2695"/>
  </r>
  <r>
    <n v="5316509"/>
    <x v="220"/>
    <x v="141"/>
    <s v="GRIFERIA"/>
    <s v="COCINA"/>
    <n v="15433.333333"/>
    <s v="UND"/>
    <n v="15433.333333"/>
    <b v="1"/>
    <x v="0"/>
    <x v="0"/>
    <n v="0.52500000000000002"/>
    <n v="8102.4999998250005"/>
    <n v="259279.99999440002"/>
    <n v="5704159.9998768"/>
    <n v="368.55"/>
    <n v="16"/>
    <n v="0"/>
    <n v="16"/>
    <n v="30.476190476190474"/>
    <n v="233849"/>
    <n v="14615.5625"/>
    <n v="5168062.9000000004"/>
    <n v="-9.3983531297926137E-2"/>
    <n v="353.6"/>
    <n v="4.5248868778280542E-2"/>
    <n v="-289163.76654880028"/>
    <n v="15433.3333"/>
    <n v="-3.3000000257743523E-5"/>
  </r>
  <r>
    <n v="410083"/>
    <x v="221"/>
    <x v="142"/>
    <s v=""/>
    <s v=""/>
    <n v="5167.95"/>
    <s v=""/>
    <n v="5168"/>
    <b v="0"/>
    <x v="0"/>
    <x v="0"/>
    <n v="1.05"/>
    <n v="5426.3474999999999"/>
    <n v="173643.12"/>
    <n v="3820148.6399999997"/>
    <n v="737.1"/>
    <n v="32"/>
    <n v="0"/>
    <n v="32"/>
    <n v="30.476190476190474"/>
    <n v="157741"/>
    <n v="4929.40625"/>
    <n v="3486076.1"/>
    <n v="-8.745014173061072E-2"/>
    <n v="707.2"/>
    <n v="4.5248868778280542E-2"/>
    <n v="-168698.14000000013"/>
    <n v="5168"/>
    <n v="0"/>
  </r>
  <r>
    <n v="302044"/>
    <x v="222"/>
    <x v="39"/>
    <s v="OBRA GRUESA"/>
    <s v="MADERA"/>
    <n v="13725.962534"/>
    <s v="PZA"/>
    <n v="13725.962534"/>
    <b v="1"/>
    <x v="1"/>
    <x v="1"/>
    <n v="35.174999999999997"/>
    <n v="482810.73213344999"/>
    <n v="15449943.4282704"/>
    <n v="339898755.42194879"/>
    <n v="24692.85"/>
    <n v="1004"/>
    <n v="0"/>
    <n v="1004"/>
    <n v="28.54299928926795"/>
    <n v="13839790"/>
    <n v="13784.651394422312"/>
    <n v="327512289.41035855"/>
    <n v="-3.6441633910114568E-2"/>
    <n v="23759.199999999997"/>
    <n v="4.2257315061113174E-2"/>
    <n v="1394400.3725457788"/>
    <n v="13725.9625"/>
    <n v="-3.4000000596279278E-5"/>
  </r>
  <r>
    <n v="704023"/>
    <x v="223"/>
    <x v="143"/>
    <s v="OBRA GRUESA"/>
    <s v="TABIQUERIA"/>
    <n v="324"/>
    <s v="UND"/>
    <n v="324"/>
    <b v="1"/>
    <x v="0"/>
    <x v="0"/>
    <n v="23.625"/>
    <n v="7654.5"/>
    <n v="244944"/>
    <n v="5388768"/>
    <n v="16584.75"/>
    <n v="640"/>
    <n v="0"/>
    <n v="640"/>
    <n v="27.089947089947088"/>
    <n v="207360"/>
    <n v="324"/>
    <n v="5181408"/>
    <n v="-3.8480038480038448E-2"/>
    <n v="15992"/>
    <n v="4.00200100050025E-2"/>
    <n v="0"/>
    <n v="324"/>
    <n v="0"/>
  </r>
  <r>
    <n v="602257"/>
    <x v="224"/>
    <x v="144"/>
    <s v=""/>
    <s v=""/>
    <m/>
    <s v=""/>
    <n v="118000"/>
    <b v="0"/>
    <x v="0"/>
    <x v="0"/>
    <n v="0.18637500000000001"/>
    <n v="0"/>
    <n v="0"/>
    <n v="0"/>
    <n v="130.83525"/>
    <n v="4"/>
    <n v="0"/>
    <n v="4"/>
    <n v="21.462105969148222"/>
    <n v="472000"/>
    <n v="118000"/>
    <n v="15010544"/>
    <s v=""/>
    <n v="127.208"/>
    <n v="3.1444563235016668E-2"/>
    <n v="15010544"/>
    <n v="118000"/>
    <n v="0"/>
  </r>
  <r>
    <n v="106022"/>
    <x v="225"/>
    <x v="0"/>
    <s v="OBRA GRUESA"/>
    <s v="AISLANTE"/>
    <n v="3800.6910990000001"/>
    <s v="UND"/>
    <n v="3800.6910990000006"/>
    <b v="1"/>
    <x v="0"/>
    <x v="0"/>
    <n v="6.8249999999999984"/>
    <n v="25939.716750674994"/>
    <n v="830070.9360215998"/>
    <n v="18261560.592475194"/>
    <n v="4791.1499999999987"/>
    <n v="106"/>
    <n v="0"/>
    <n v="106"/>
    <n v="15.531135531135535"/>
    <n v="402823"/>
    <n v="3800.2169811320755"/>
    <n v="17856459.550943393"/>
    <n v="-2.2183265196881741E-2"/>
    <n v="4698.7999999999993"/>
    <n v="2.2558951221588495E-2"/>
    <n v="-2227.785037804395"/>
    <n v="3800.6911"/>
    <n v="9.999994290410541E-7"/>
  </r>
  <r>
    <s v="040815X"/>
    <x v="226"/>
    <x v="145"/>
    <s v="OBRA GRUESA"/>
    <s v="FIJACION"/>
    <n v="36939.818182000003"/>
    <s v="CJA"/>
    <n v="36939.818181999981"/>
    <b v="1"/>
    <x v="28"/>
    <x v="1"/>
    <n v="3.4539749999999994"/>
    <n v="127589.20850517343"/>
    <n v="4082854.6721655498"/>
    <n v="89822802.787642092"/>
    <n v="2424.6904499999996"/>
    <n v="51"/>
    <n v="0"/>
    <n v="51"/>
    <n v="14.765596160945002"/>
    <n v="1874688"/>
    <n v="36758.588235294119"/>
    <n v="87507436.339199975"/>
    <n v="-2.5777045211070493E-2"/>
    <n v="2380.5983999999994"/>
    <n v="2.1423185027764455E-2"/>
    <n v="-431435.72116011381"/>
    <n v="36939.818200000002"/>
    <n v="1.8000020645558834E-5"/>
  </r>
  <r>
    <n v="410078"/>
    <x v="227"/>
    <x v="0"/>
    <s v="OBRA GRUESA"/>
    <s v="FIJACION"/>
    <n v="470.20120200000002"/>
    <s v="UND"/>
    <n v="470.20120200000002"/>
    <b v="1"/>
    <x v="0"/>
    <x v="0"/>
    <n v="8.4"/>
    <n v="3949.6900968000004"/>
    <n v="126390.08309760001"/>
    <n v="2780581.8281472004"/>
    <n v="5896.8"/>
    <n v="100"/>
    <n v="0"/>
    <n v="100"/>
    <n v="11.904761904761905"/>
    <n v="47020"/>
    <n v="470.2"/>
    <n v="2733554.72"/>
    <n v="-1.6912686284271672E-2"/>
    <n v="5813.6"/>
    <n v="1.7201045823586072E-2"/>
    <n v="-6.9879471999593079"/>
    <n v="470.20119999999997"/>
    <n v="-2.0000000517939043E-6"/>
  </r>
  <r>
    <n v="2508985"/>
    <x v="228"/>
    <x v="146"/>
    <s v="TERMINACION"/>
    <s v="PUERTA Y VENTANA"/>
    <n v="102622"/>
    <s v="KIT"/>
    <n v="102622"/>
    <b v="1"/>
    <x v="0"/>
    <x v="0"/>
    <n v="0.52500000000000002"/>
    <n v="53876.55"/>
    <n v="1724049.6"/>
    <n v="37929091.200000003"/>
    <n v="368.55"/>
    <n v="5"/>
    <n v="0"/>
    <n v="5"/>
    <n v="9.5238095238095237"/>
    <n v="513110"/>
    <n v="102622"/>
    <n v="37415981.200000003"/>
    <n v="-1.35281385281385E-2"/>
    <n v="364.6"/>
    <n v="1.3713658804168952E-2"/>
    <n v="0"/>
    <n v="102622"/>
    <n v="0"/>
  </r>
  <r>
    <n v="1802177"/>
    <x v="229"/>
    <x v="147"/>
    <s v="GRIFERIA"/>
    <s v="BAÑO"/>
    <n v="1471.135135"/>
    <s v="UND"/>
    <n v="1471"/>
    <b v="0"/>
    <x v="0"/>
    <x v="0"/>
    <n v="0.52500000000000002"/>
    <n v="772.34594587499998"/>
    <n v="24715.070267999999"/>
    <n v="543731.545896"/>
    <n v="368.55"/>
    <n v="4"/>
    <n v="0"/>
    <n v="4"/>
    <n v="7.6190476190476186"/>
    <n v="5884"/>
    <n v="1471"/>
    <n v="537797.6"/>
    <n v="-1.0913374331117054E-2"/>
    <n v="365.6"/>
    <n v="1.0940919037199124E-2"/>
    <n v="-49.405356000061147"/>
    <n v="1471"/>
    <n v="0"/>
  </r>
  <r>
    <n v="407717"/>
    <x v="230"/>
    <x v="0"/>
    <s v="OBRA GRUESA"/>
    <s v="FIJACION"/>
    <n v="181"/>
    <s v=""/>
    <n v="181"/>
    <b v="1"/>
    <x v="0"/>
    <x v="0"/>
    <n v="18.375"/>
    <n v="3325.875"/>
    <n v="106428"/>
    <n v="2341416"/>
    <n v="12899.25"/>
    <n v="128"/>
    <n v="0"/>
    <n v="128"/>
    <n v="6.9659863945578229"/>
    <n v="22809"/>
    <n v="178.1953125"/>
    <n v="2282325.5625"/>
    <n v="-2.52370520659293E-2"/>
    <n v="12808"/>
    <n v="9.9937539038101181E-3"/>
    <n v="-35922.4375"/>
    <n v="181"/>
    <n v="0"/>
  </r>
  <r>
    <s v="080460x"/>
    <x v="231"/>
    <x v="148"/>
    <n v="0"/>
    <n v="0"/>
    <n v="24029.782609000002"/>
    <s v="RLL"/>
    <n v="24029.782609000009"/>
    <b v="1"/>
    <x v="0"/>
    <x v="0"/>
    <n v="0.315"/>
    <n v="7569.381521835001"/>
    <n v="242220.20869872003"/>
    <n v="5328844.5913718408"/>
    <n v="221.13"/>
    <n v="5"/>
    <n v="4"/>
    <n v="1"/>
    <n v="3.1746031746031744"/>
    <n v="24030"/>
    <n v="4806"/>
    <n v="1041748.5599999999"/>
    <n v="-0.80450761095815415"/>
    <n v="216.76"/>
    <n v="2.3066986528879868E-2"/>
    <n v="-4166947.1183268405"/>
    <n v="24029.782599999999"/>
    <n v="-9.000010322779417E-6"/>
  </r>
  <r>
    <n v="1902013"/>
    <x v="232"/>
    <x v="0"/>
    <s v="OBRA GRUESA"/>
    <n v="0"/>
    <n v="48058.833333000002"/>
    <s v="RLL"/>
    <n v="651.49999999999977"/>
    <b v="0"/>
    <x v="29"/>
    <x v="1"/>
    <n v="130.33466250000004"/>
    <n v="6263731.8226003069"/>
    <n v="200439418.32320982"/>
    <n v="4409667203.1106157"/>
    <n v="91494.933075000023"/>
    <n v="314"/>
    <n v="0"/>
    <n v="314"/>
    <n v="2.4091825917759975"/>
    <n v="12545027"/>
    <n v="39952.315286624202"/>
    <n v="3653303729.3989334"/>
    <n v="-0.17152393567889601"/>
    <n v="91441.602400000033"/>
    <n v="3.4338855811651861E-3"/>
    <n v="-741273000.04512119"/>
    <n v="29779"/>
    <n v="29127.5"/>
  </r>
  <r>
    <n v="601121"/>
    <x v="233"/>
    <x v="149"/>
    <s v="TERMINACION"/>
    <s v="PINTURA"/>
    <n v="35000"/>
    <s v="GAL"/>
    <n v="35000"/>
    <b v="1"/>
    <x v="0"/>
    <x v="0"/>
    <n v="0.55125000000000002"/>
    <n v="19293.75"/>
    <n v="617400"/>
    <n v="13582800"/>
    <n v="386.97750000000002"/>
    <n v="1"/>
    <n v="0"/>
    <n v="1"/>
    <n v="1.8140589569160996"/>
    <n v="35000"/>
    <n v="35000"/>
    <n v="13547800.000000002"/>
    <n v="-2.5767882910738837E-3"/>
    <n v="387.08000000000004"/>
    <n v="2.5834452826289135E-3"/>
    <n v="0"/>
    <n v="35000"/>
    <n v="0"/>
  </r>
  <r>
    <n v="1003500"/>
    <x v="234"/>
    <x v="150"/>
    <s v="OBRA GRUESA"/>
    <s v="TECHUMBRE"/>
    <n v="5092.1000000000004"/>
    <s v="TRA"/>
    <n v="5092.1000000000013"/>
    <b v="1"/>
    <x v="0"/>
    <x v="0"/>
    <n v="13.650000000000002"/>
    <n v="69507.165000000023"/>
    <n v="2224229.2800000007"/>
    <n v="48933044.160000019"/>
    <n v="9582.3000000000011"/>
    <n v="20"/>
    <n v="0"/>
    <n v="20"/>
    <n v="1.4652014652014649"/>
    <n v="101842"/>
    <n v="5092.1000000000004"/>
    <n v="48831202.160000011"/>
    <n v="-2.0812520812522051E-3"/>
    <n v="9589.6000000000022"/>
    <n v="2.0855927254525733E-3"/>
    <n v="0"/>
    <n v="5092.1000000000004"/>
    <n v="0"/>
  </r>
  <r>
    <s v="040814X"/>
    <x v="1"/>
    <x v="0"/>
    <s v="OBRA GRUESA"/>
    <s v="FIJACION"/>
    <n v="233358.08812299999"/>
    <s v="CJA"/>
    <n v="233358.08812299999"/>
    <b v="1"/>
    <x v="0"/>
    <x v="0"/>
    <n v="5.46875E-2"/>
    <n v="12761.770444226562"/>
    <n v="408376.65421524999"/>
    <n v="8984286.3927354999"/>
    <n v="38.390625"/>
    <n v="0"/>
    <n v="0"/>
    <n v="0"/>
    <n v="0"/>
    <n v="0"/>
    <s v=""/>
    <s v=""/>
    <s v=""/>
    <n v="38.5"/>
    <n v="0"/>
    <s v=""/>
    <s v=""/>
    <e v="#VALUE!"/>
  </r>
  <r>
    <n v="1701071"/>
    <x v="235"/>
    <x v="0"/>
    <s v="GRIFERIA"/>
    <s v="COCINA"/>
    <n v="7389.9801699999998"/>
    <s v="UND"/>
    <n v="7389.9801699999998"/>
    <b v="1"/>
    <x v="0"/>
    <x v="0"/>
    <n v="0.52500000000000002"/>
    <n v="3879.7395892499999"/>
    <n v="124151.666856"/>
    <n v="2731336.6708319997"/>
    <n v="368.55"/>
    <n v="4"/>
    <n v="4"/>
    <n v="0"/>
    <n v="0"/>
    <n v="0"/>
    <n v="0"/>
    <n v="0"/>
    <n v="-1"/>
    <n v="365.6"/>
    <n v="1.0940919037199124E-2"/>
    <n v="-2701776.7501520002"/>
    <n v="7389.9802"/>
    <n v="3.0000000151630957E-5"/>
  </r>
  <r>
    <n v="1808083"/>
    <x v="236"/>
    <x v="0"/>
    <s v="TERMINACION"/>
    <s v="BAÑO"/>
    <n v="4137"/>
    <s v="UND"/>
    <n v="4137"/>
    <b v="1"/>
    <x v="0"/>
    <x v="0"/>
    <n v="0.52500000000000002"/>
    <n v="2171.9250000000002"/>
    <n v="69501.600000000006"/>
    <n v="1529035.2000000002"/>
    <n v="368.55"/>
    <n v="0"/>
    <n v="0"/>
    <n v="0"/>
    <n v="0"/>
    <n v="0"/>
    <s v=""/>
    <s v=""/>
    <s v=""/>
    <n v="369.6"/>
    <n v="0"/>
    <s v=""/>
    <s v=""/>
    <e v="#VALUE!"/>
  </r>
  <r>
    <n v="2302050"/>
    <x v="237"/>
    <x v="0"/>
    <s v="OBRA GRUESA"/>
    <s v="FIJACION"/>
    <n v="7567"/>
    <s v=""/>
    <n v="7567"/>
    <b v="1"/>
    <x v="0"/>
    <x v="0"/>
    <n v="3.1500000000000012"/>
    <n v="23836.05000000001"/>
    <n v="762753.60000000033"/>
    <n v="16780579.200000007"/>
    <n v="2211.3000000000011"/>
    <n v="0"/>
    <n v="0"/>
    <n v="0"/>
    <n v="0"/>
    <n v="0"/>
    <s v=""/>
    <s v=""/>
    <s v=""/>
    <n v="2217.6000000000008"/>
    <n v="0"/>
    <s v=""/>
    <s v=""/>
    <e v="#VALUE!"/>
  </r>
  <r>
    <s v="XXX"/>
    <x v="238"/>
    <x v="151"/>
    <s v="OBRA GRUESA"/>
    <s v="SELLADO"/>
    <n v="9390"/>
    <s v="PL"/>
    <n v="9390"/>
    <b v="1"/>
    <x v="30"/>
    <x v="1"/>
    <n v="17.587499999999999"/>
    <n v="165146.625"/>
    <n v="5284692"/>
    <n v="116263224"/>
    <n v="12346.424999999999"/>
    <n v="0"/>
    <n v="0"/>
    <n v="0"/>
    <n v="0"/>
    <n v="0"/>
    <s v=""/>
    <s v=""/>
    <s v=""/>
    <n v="12381.599999999999"/>
    <n v="0"/>
    <s v=""/>
    <s v=""/>
    <e v="#VALUE!"/>
  </r>
  <r>
    <s v="COMPRIBAND"/>
    <x v="239"/>
    <x v="152"/>
    <n v="0"/>
    <n v="0"/>
    <n v="450"/>
    <s v="RLL"/>
    <n v="450.00000000000006"/>
    <b v="1"/>
    <x v="0"/>
    <x v="0"/>
    <n v="9.4500000000000011"/>
    <n v="4252.5000000000009"/>
    <n v="136080.00000000003"/>
    <n v="2993760.0000000005"/>
    <n v="6633.9000000000005"/>
    <n v="0"/>
    <n v="0"/>
    <n v="0"/>
    <n v="0"/>
    <n v="0"/>
    <s v=""/>
    <s v=""/>
    <s v=""/>
    <n v="6652.8000000000011"/>
    <n v="0"/>
    <s v=""/>
    <s v=""/>
    <e v="#VALUE!"/>
  </r>
  <r>
    <n v="4212254"/>
    <x v="240"/>
    <x v="153"/>
    <s v="TERMINACION"/>
    <n v="0"/>
    <n v="58650"/>
    <s v="UND"/>
    <n v="58650"/>
    <b v="1"/>
    <x v="0"/>
    <x v="0"/>
    <n v="0.52500000000000002"/>
    <n v="30791.25"/>
    <n v="985320"/>
    <n v="21677040"/>
    <n v="368.55"/>
    <n v="0"/>
    <n v="0"/>
    <n v="0"/>
    <n v="0"/>
    <n v="0"/>
    <s v=""/>
    <s v=""/>
    <s v=""/>
    <n v="369.6"/>
    <n v="0"/>
    <s v=""/>
    <s v=""/>
    <e v="#VALUE!"/>
  </r>
  <r>
    <s v="040802X"/>
    <x v="241"/>
    <x v="154"/>
    <s v="OBRA GRUESA"/>
    <s v="FIJACION"/>
    <n v="34959"/>
    <s v="CJA"/>
    <n v="34959"/>
    <b v="1"/>
    <x v="0"/>
    <x v="0"/>
    <n v="5.2499999999999998E-2"/>
    <n v="1835.3474999999999"/>
    <n v="58731.119999999995"/>
    <n v="1292084.6399999999"/>
    <n v="36.854999999999997"/>
    <n v="0"/>
    <n v="0"/>
    <n v="0"/>
    <n v="0"/>
    <n v="0"/>
    <s v=""/>
    <s v=""/>
    <s v=""/>
    <n v="36.96"/>
    <n v="0"/>
    <s v=""/>
    <s v=""/>
    <e v="#VALUE!"/>
  </r>
  <r>
    <n v="407154"/>
    <x v="242"/>
    <x v="155"/>
    <s v="OBRA GRUESA"/>
    <s v="FIJACION"/>
    <n v="214"/>
    <s v=""/>
    <n v="214"/>
    <b v="1"/>
    <x v="0"/>
    <x v="0"/>
    <n v="47.25"/>
    <n v="10111.5"/>
    <n v="323568"/>
    <n v="7118496"/>
    <n v="33169.5"/>
    <n v="0"/>
    <n v="0"/>
    <n v="0"/>
    <n v="0"/>
    <n v="0"/>
    <s v=""/>
    <s v=""/>
    <s v=""/>
    <n v="33264"/>
    <n v="0"/>
    <s v=""/>
    <s v=""/>
    <e v="#VALUE!"/>
  </r>
  <r>
    <s v="VENTANAS"/>
    <x v="243"/>
    <x v="156"/>
    <s v=""/>
    <s v=""/>
    <n v="25238.09"/>
    <s v=""/>
    <n v="25238.09"/>
    <b v="1"/>
    <x v="0"/>
    <x v="0"/>
    <n v="1.05"/>
    <n v="26499.994500000001"/>
    <n v="847999.82400000002"/>
    <n v="18655996.127999999"/>
    <n v="737.1"/>
    <n v="0"/>
    <n v="0"/>
    <n v="0"/>
    <n v="0"/>
    <n v="0"/>
    <s v=""/>
    <s v=""/>
    <s v=""/>
    <n v="739.2"/>
    <n v="0"/>
    <s v=""/>
    <s v=""/>
    <e v="#VALUE!"/>
  </r>
  <r>
    <s v="GARGOLA"/>
    <x v="244"/>
    <x v="0"/>
    <s v=""/>
    <s v=""/>
    <m/>
    <s v=""/>
    <n v="8826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s v="CANALETA"/>
    <x v="245"/>
    <x v="157"/>
    <s v=""/>
    <s v=""/>
    <m/>
    <s v=""/>
    <n v="1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n v="410082"/>
    <x v="246"/>
    <x v="142"/>
    <s v=""/>
    <s v=""/>
    <n v="12677"/>
    <s v=""/>
    <n v="12677"/>
    <b v="1"/>
    <x v="0"/>
    <x v="0"/>
    <n v="4.4625000000000004"/>
    <n v="56571.112500000003"/>
    <n v="1810275.6"/>
    <n v="39826063.200000003"/>
    <n v="3132.6750000000002"/>
    <n v="0"/>
    <n v="0"/>
    <n v="0"/>
    <n v="0"/>
    <n v="0"/>
    <s v=""/>
    <s v=""/>
    <s v=""/>
    <n v="3141.6000000000004"/>
    <n v="0"/>
    <s v=""/>
    <s v=""/>
    <e v="#VALUE!"/>
  </r>
  <r>
    <n v="410082"/>
    <x v="247"/>
    <x v="142"/>
    <s v=""/>
    <s v=""/>
    <n v="12677"/>
    <s v=""/>
    <n v="12677"/>
    <b v="1"/>
    <x v="0"/>
    <x v="0"/>
    <n v="4.4625000000000004"/>
    <n v="56571.112500000003"/>
    <n v="1810275.6"/>
    <n v="39826063.200000003"/>
    <n v="3132.6750000000002"/>
    <n v="0"/>
    <n v="0"/>
    <n v="0"/>
    <n v="0"/>
    <n v="0"/>
    <s v=""/>
    <s v=""/>
    <s v=""/>
    <n v="3141.6000000000004"/>
    <n v="0"/>
    <s v=""/>
    <s v=""/>
    <e v="#VALUE!"/>
  </r>
  <r>
    <s v="Hilo 1/2x8&quot;"/>
    <x v="248"/>
    <x v="158"/>
    <s v=""/>
    <s v=""/>
    <m/>
    <s v=""/>
    <n v="12677"/>
    <b v="0"/>
    <x v="0"/>
    <x v="0"/>
    <n v="2.3625000000000003"/>
    <n v="0"/>
    <n v="0"/>
    <n v="0"/>
    <n v="1658.4750000000001"/>
    <n v="0"/>
    <n v="0"/>
    <n v="0"/>
    <n v="0"/>
    <n v="0"/>
    <s v=""/>
    <s v=""/>
    <s v=""/>
    <n v="1663.2000000000003"/>
    <n v="0"/>
    <s v=""/>
    <s v=""/>
    <e v="#VALUE!"/>
  </r>
  <r>
    <s v="PB3"/>
    <x v="249"/>
    <x v="159"/>
    <s v=""/>
    <s v=""/>
    <n v="7253"/>
    <s v=""/>
    <n v="7253"/>
    <b v="1"/>
    <x v="0"/>
    <x v="0"/>
    <n v="2.1"/>
    <n v="15231.300000000001"/>
    <n v="487401.60000000003"/>
    <n v="10722835.200000001"/>
    <n v="1474.2"/>
    <n v="0"/>
    <n v="0"/>
    <n v="0"/>
    <n v="0"/>
    <n v="0"/>
    <s v=""/>
    <s v=""/>
    <s v=""/>
    <n v="1478.4"/>
    <n v="0"/>
    <s v=""/>
    <s v=""/>
    <e v="#VALUE!"/>
  </r>
  <r>
    <s v="PB4"/>
    <x v="250"/>
    <x v="160"/>
    <s v=""/>
    <s v=""/>
    <n v="51840"/>
    <s v=""/>
    <n v="51840"/>
    <b v="1"/>
    <x v="0"/>
    <x v="0"/>
    <n v="1.1812499999999999"/>
    <n v="61235.999999999993"/>
    <n v="1959551.9999999998"/>
    <n v="43110143.999999993"/>
    <n v="829.23749999999995"/>
    <n v="0"/>
    <n v="0"/>
    <n v="0"/>
    <n v="0"/>
    <n v="0"/>
    <s v=""/>
    <s v=""/>
    <s v=""/>
    <n v="831.59999999999991"/>
    <n v="0"/>
    <s v=""/>
    <s v=""/>
    <e v="#VALUE!"/>
  </r>
  <r>
    <s v="Tirafondo 12x3&quot;"/>
    <x v="251"/>
    <x v="161"/>
    <s v=""/>
    <s v=""/>
    <m/>
    <s v=""/>
    <n v="552"/>
    <b v="0"/>
    <x v="0"/>
    <x v="0"/>
    <n v="4.7250000000000005"/>
    <n v="0"/>
    <n v="0"/>
    <n v="0"/>
    <n v="3316.9500000000003"/>
    <n v="0"/>
    <n v="0"/>
    <n v="0"/>
    <n v="0"/>
    <n v="0"/>
    <s v=""/>
    <s v=""/>
    <s v=""/>
    <n v="3326.4000000000005"/>
    <n v="0"/>
    <s v=""/>
    <s v=""/>
    <e v="#VALUE!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A3961F-9726-4559-9839-D81BF0820421}" name="TablaDinámica16" cacheId="166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ABRIL">
  <location ref="B22:G24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3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5">
    <i>
      <x/>
    </i>
    <i>
      <x v="2"/>
    </i>
    <i>
      <x v="3"/>
    </i>
    <i>
      <x v="4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D3ABED-5439-4189-A943-2F38DB44DAFD}" name="TablaDinámica21" cacheId="1669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AGOSTO">
  <location ref="B38:I40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3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839C39-B25C-46AB-B77F-4BE8ED4BD037}" name="TablaDinámica20" cacheId="1669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LIO">
  <location ref="B34:I36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3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282CD9-4C04-491D-AD0C-4235A24DA0D4}" name="TablaDinámica28" cacheId="1653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9">
  <location ref="B101:D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showAll="0"/>
    <pivotField dataField="1"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0" numFmtId="10"/>
    <dataField name=" %AVANCE FISICO ACUM." fld="9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2391B8-3787-4747-9B3E-5738FCA1DBC5}" name="TablaDinámica31" cacheId="1653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10">
  <location ref="J101:L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dataField="1"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4" numFmtId="10"/>
    <dataField name=" %AVANCE ESPERADO ECONOMICO ACUM." fld="8" baseField="0" baseItem="5" numFmtId="1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6DC7D9-983E-4AC2-9C94-97485B1D54F4}" name="TablaDinámica23" cacheId="1669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OCTUBRE">
  <location ref="B46:I48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3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x="8"/>
        <item x="9"/>
        <item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AA93D2-4C42-44D4-BBFA-CC3B60FCE9BE}" name="GAP" cacheId="165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>
  <location ref="N101:P108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dataField="1" showAll="0"/>
    <pivotField numFmtId="10" showAll="0"/>
    <pivotField dataField="1" numFmtId="10" showAll="0"/>
    <pivotField numFmtId="10" showAll="0"/>
    <pivotField numFmtId="10" showAll="0"/>
    <pivotField showAll="0"/>
    <pivotField numFmtId="10"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 % AVANCE ECONOMICO" fld="5" baseField="0" baseItem="0" numFmtId="10"/>
    <dataField name="% FORECAST" fld="7" baseField="0" baseItem="0" numFmtId="1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7C679E-679A-465E-AE3B-D44A1092CC88}" name="TablaDinámica24" cacheId="1669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NOVIEMBRE">
  <location ref="B50:I52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3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F6AACF-9A10-4AA7-A8DA-2A2CEADD6D89}" name="TablaDinámica8" cacheId="168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2:L5" firstHeaderRow="1" firstDataRow="3" firstDataCol="1"/>
  <pivotFields count="35">
    <pivotField numFmtId="14" showAll="0"/>
    <pivotField numFmtId="14" showAll="0">
      <items count="126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90"/>
        <item x="15"/>
        <item x="5"/>
        <item x="39"/>
        <item x="40"/>
        <item x="42"/>
        <item x="37"/>
        <item x="38"/>
        <item x="91"/>
        <item x="92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numFmtId="166" showAll="0"/>
    <pivotField numFmtId="167" showAll="0"/>
    <pivotField numFmtId="167" showAll="0"/>
    <pivotField dataField="1" numFmtId="167"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/>
    <pivotField axis="axisCol" showAll="0" defaultSubtotal="0">
      <items count="4">
        <item x="0"/>
        <item x="1"/>
        <item x="2"/>
        <item x="3"/>
      </items>
    </pivotField>
  </pivotFields>
  <rowItems count="1">
    <i/>
  </rowItems>
  <colFields count="2">
    <field x="34"/>
    <field x="32"/>
  </colFields>
  <colItems count="10">
    <i>
      <x v="1"/>
      <x v="10"/>
    </i>
    <i r="1">
      <x v="11"/>
    </i>
    <i r="1">
      <x v="12"/>
    </i>
    <i>
      <x v="2"/>
      <x v="1"/>
    </i>
    <i r="1">
      <x v="2"/>
    </i>
    <i r="1">
      <x v="3"/>
    </i>
    <i r="1">
      <x v="4"/>
    </i>
    <i r="1">
      <x v="5"/>
    </i>
    <i r="1">
      <x v="6"/>
    </i>
    <i t="grand">
      <x/>
    </i>
  </colItems>
  <dataFields count="1">
    <dataField name="COMPRA MATERIALES" fld="13" baseField="32" baseItem="10" numFmtId="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7AEB55-2EB0-45DD-B715-8E2E8D792D32}" name="TablaDinámica15" cacheId="166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RZO">
  <location ref="B18:F20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3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4">
    <i>
      <x/>
    </i>
    <i>
      <x v="2"/>
    </i>
    <i>
      <x v="3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036DE7-19BC-453A-B0AE-CED9A62BBA9D}" name="TablaDinámica14" cacheId="166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FEBRERO">
  <location ref="B14:E16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3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3">
    <i>
      <x/>
    </i>
    <i>
      <x v="2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2A82A3-A326-43B8-B12B-3EC8B16F3BD5}" name="TablaDinámica22" cacheId="1669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SEPTIEMBRE">
  <location ref="B42:I44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3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370C69-2928-4AAF-83AC-730E0A15C0E9}" name="TablaDinámica30" cacheId="1653" dataPosition="0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8" indent="0" outline="1" outlineData="1" multipleFieldFilters="0" chartFormat="8">
  <location ref="F101:H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dataField="1" numFmtId="42" showAll="0"/>
    <pivotField numFmtId="42" showAll="0"/>
    <pivotField dataField="1" numFmtId="42" showAll="0"/>
    <pivotField showAll="0"/>
    <pivotField showAll="0"/>
    <pivotField showAll="0"/>
    <pivotField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COMPRAS ACUMULADAS" fld="2" baseField="0" baseItem="0" numFmtId="42"/>
    <dataField name=" INGRESO ACUMULADO" fld="4" baseField="0" baseItem="0" numFmtId="42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D9449F-5B73-41DF-9535-649799FEB064}" name="TablaDinámica17" cacheId="166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YO">
  <location ref="B26:H28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3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6">
    <i>
      <x/>
    </i>
    <i>
      <x v="2"/>
    </i>
    <i>
      <x v="3"/>
    </i>
    <i>
      <x v="4"/>
    </i>
    <i>
      <x v="5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51251B-5180-444B-860E-6EC3E275CE18}" name="TablaDinámica25" cacheId="1669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DICIEMBRE">
  <location ref="B54:I56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3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224D8B-1436-439A-9488-FE9D1B05EA1B}" name="TablaDinámica9" cacheId="1669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ENERO">
  <location ref="B10:D12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3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>
      <items count="36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</items>
    </pivotField>
    <pivotField axis="axisCol" showAll="0" defaultSubtotal="0">
      <items count="14">
        <item sd="0" x="0"/>
        <item sd="0" x="1"/>
        <item h="1" sd="0" x="2"/>
        <item h="1" sd="0" x="3"/>
        <item h="1" sd="0" x="4"/>
        <item h="1" sd="0" x="5"/>
        <item h="1" sd="0" x="6"/>
        <item h="1" sd="0" x="7"/>
        <item h="1" sd="0" x="8"/>
        <item h="1" sd="0" x="9"/>
        <item h="1" sd="0" x="10"/>
        <item h="1" sd="0" x="11"/>
        <item h="1" sd="0" x="12"/>
        <item h="1" sd="0" x="13"/>
      </items>
    </pivotField>
  </pivotFields>
  <rowItems count="1">
    <i/>
  </rowItems>
  <colFields count="1">
    <field x="62"/>
  </colFields>
  <colItems count="2">
    <i>
      <x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433132-4D66-4BD9-89FE-4794C0287B35}" name="TablaDinámica18" cacheId="1669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NIO">
  <location ref="B30:I32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3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726EEB-D390-42C3-93A0-E06BE8B1BBB6}" name="TablaDinámica8" cacheId="1688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7">
  <location ref="C273:E285" firstHeaderRow="1" firstDataRow="2" firstDataCol="1" rowPageCount="1" colPageCount="1"/>
  <pivotFields count="35">
    <pivotField numFmtId="14" showAll="0"/>
    <pivotField numFmtId="14" showAll="0">
      <items count="126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dataField="1" numFmtId="167" showAll="0"/>
    <pivotField numFmtId="167" showAll="0"/>
    <pivotField numFmtId="167" showAll="0"/>
    <pivotField showAll="0"/>
    <pivotField numFmtId="167"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axis="axisCol" showAll="0">
      <items count="150">
        <item h="1" x="100"/>
        <item h="1" x="96"/>
        <item x="6"/>
        <item h="1" x="12"/>
        <item h="1" x="45"/>
        <item h="1" x="121"/>
        <item h="1" x="98"/>
        <item h="1" x="0"/>
        <item h="1" x="65"/>
        <item h="1" x="95"/>
        <item h="1" x="46"/>
        <item h="1" x="2"/>
        <item h="1" x="3"/>
        <item h="1" x="92"/>
        <item h="1" x="57"/>
        <item h="1" x="10"/>
        <item h="1" x="99"/>
        <item h="1" x="8"/>
        <item h="1" x="94"/>
        <item h="1" x="93"/>
        <item h="1" x="97"/>
        <item h="1" x="1"/>
        <item h="1" x="4"/>
        <item h="1" x="5"/>
        <item h="1" x="7"/>
        <item h="1" x="9"/>
        <item h="1" x="11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8"/>
        <item h="1" x="59"/>
        <item h="1" x="60"/>
        <item h="1" x="61"/>
        <item h="1" x="62"/>
        <item h="1" x="63"/>
        <item h="1" x="64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3"/>
        <item h="1" x="14"/>
        <item h="1" x="147"/>
        <item h="1" x="148"/>
        <item t="default"/>
      </items>
    </pivotField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4"/>
    <field x="32"/>
  </rowFields>
  <rowItems count="11">
    <i>
      <x/>
    </i>
    <i r="1">
      <x v="10"/>
    </i>
    <i r="1">
      <x v="11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29"/>
  </colFields>
  <colItems count="2">
    <i>
      <x v="2"/>
    </i>
    <i t="grand">
      <x/>
    </i>
  </colItems>
  <pageFields count="1">
    <pageField fld="27" item="1" hier="-1"/>
  </pageFields>
  <dataFields count="1">
    <dataField name="Promedio de VALOR X UN (GD)" fld="11" subtotal="average" baseField="28" baseItem="1" numFmtId="164"/>
  </dataFields>
  <chartFormats count="52">
    <chartFormat chart="4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"/>
          </reference>
        </references>
      </pivotArea>
    </chartFormat>
    <chartFormat chart="4" format="10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3"/>
          </reference>
        </references>
      </pivotArea>
    </chartFormat>
    <chartFormat chart="4" format="109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4"/>
          </reference>
        </references>
      </pivotArea>
    </chartFormat>
    <chartFormat chart="4" format="110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5"/>
          </reference>
        </references>
      </pivotArea>
    </chartFormat>
    <chartFormat chart="4" format="111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6"/>
          </reference>
        </references>
      </pivotArea>
    </chartFormat>
    <chartFormat chart="4" format="11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7"/>
          </reference>
        </references>
      </pivotArea>
    </chartFormat>
    <chartFormat chart="4" format="115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8"/>
          </reference>
        </references>
      </pivotArea>
    </chartFormat>
    <chartFormat chart="4" format="11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9"/>
          </reference>
        </references>
      </pivotArea>
    </chartFormat>
    <chartFormat chart="4" format="11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0"/>
          </reference>
        </references>
      </pivotArea>
    </chartFormat>
    <chartFormat chart="4" format="11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1"/>
          </reference>
        </references>
      </pivotArea>
    </chartFormat>
    <chartFormat chart="4" format="119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2"/>
          </reference>
        </references>
      </pivotArea>
    </chartFormat>
    <chartFormat chart="4" format="120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3"/>
          </reference>
        </references>
      </pivotArea>
    </chartFormat>
    <chartFormat chart="4" format="121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"/>
          </reference>
        </references>
      </pivotArea>
    </chartFormat>
    <chartFormat chart="4" format="12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5"/>
          </reference>
        </references>
      </pivotArea>
    </chartFormat>
    <chartFormat chart="4" format="123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6"/>
          </reference>
        </references>
      </pivotArea>
    </chartFormat>
    <chartFormat chart="4" format="124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7"/>
          </reference>
        </references>
      </pivotArea>
    </chartFormat>
    <chartFormat chart="4" format="125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8"/>
          </reference>
        </references>
      </pivotArea>
    </chartFormat>
    <chartFormat chart="4" format="12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9"/>
          </reference>
        </references>
      </pivotArea>
    </chartFormat>
    <chartFormat chart="4" format="12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0"/>
          </reference>
        </references>
      </pivotArea>
    </chartFormat>
    <chartFormat chart="0" format="10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"/>
          </reference>
        </references>
      </pivotArea>
    </chartFormat>
    <chartFormat chart="0" format="109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3"/>
          </reference>
        </references>
      </pivotArea>
    </chartFormat>
    <chartFormat chart="0" format="110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4"/>
          </reference>
        </references>
      </pivotArea>
    </chartFormat>
    <chartFormat chart="0" format="111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5"/>
          </reference>
        </references>
      </pivotArea>
    </chartFormat>
    <chartFormat chart="0" format="11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6"/>
          </reference>
        </references>
      </pivotArea>
    </chartFormat>
    <chartFormat chart="0" format="113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7"/>
          </reference>
        </references>
      </pivotArea>
    </chartFormat>
    <chartFormat chart="0" format="11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8"/>
          </reference>
        </references>
      </pivotArea>
    </chartFormat>
    <chartFormat chart="0" format="11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9"/>
          </reference>
        </references>
      </pivotArea>
    </chartFormat>
    <chartFormat chart="0" format="11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0"/>
          </reference>
        </references>
      </pivotArea>
    </chartFormat>
    <chartFormat chart="0" format="119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1"/>
          </reference>
        </references>
      </pivotArea>
    </chartFormat>
    <chartFormat chart="0" format="120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2"/>
          </reference>
        </references>
      </pivotArea>
    </chartFormat>
    <chartFormat chart="0" format="121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3"/>
          </reference>
        </references>
      </pivotArea>
    </chartFormat>
    <chartFormat chart="0" format="12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"/>
          </reference>
        </references>
      </pivotArea>
    </chartFormat>
    <chartFormat chart="0" format="123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5"/>
          </reference>
        </references>
      </pivotArea>
    </chartFormat>
    <chartFormat chart="0" format="124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6"/>
          </reference>
        </references>
      </pivotArea>
    </chartFormat>
    <chartFormat chart="0" format="125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7"/>
          </reference>
        </references>
      </pivotArea>
    </chartFormat>
    <chartFormat chart="0" format="12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8"/>
          </reference>
        </references>
      </pivotArea>
    </chartFormat>
    <chartFormat chart="0" format="12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9"/>
          </reference>
        </references>
      </pivotArea>
    </chartFormat>
    <chartFormat chart="0" format="12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0"/>
          </reference>
        </references>
      </pivotArea>
    </chartFormat>
    <chartFormat chart="4" format="13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3"/>
          </reference>
        </references>
      </pivotArea>
    </chartFormat>
    <chartFormat chart="4" format="133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4"/>
          </reference>
        </references>
      </pivotArea>
    </chartFormat>
    <chartFormat chart="0" format="133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3"/>
          </reference>
        </references>
      </pivotArea>
    </chartFormat>
    <chartFormat chart="0" format="134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4"/>
          </reference>
        </references>
      </pivotArea>
    </chartFormat>
    <chartFormat chart="4" format="134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2"/>
          </reference>
        </references>
      </pivotArea>
    </chartFormat>
    <chartFormat chart="4" format="135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55"/>
          </reference>
        </references>
      </pivotArea>
    </chartFormat>
    <chartFormat chart="0" format="135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2"/>
          </reference>
        </references>
      </pivotArea>
    </chartFormat>
    <chartFormat chart="0" format="13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55"/>
          </reference>
        </references>
      </pivotArea>
    </chartFormat>
    <chartFormat chart="4" format="13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5"/>
          </reference>
        </references>
      </pivotArea>
    </chartFormat>
    <chartFormat chart="4" format="13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6"/>
          </reference>
        </references>
      </pivotArea>
    </chartFormat>
    <chartFormat chart="0" format="13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5"/>
          </reference>
        </references>
      </pivotArea>
    </chartFormat>
    <chartFormat chart="0" format="13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CA8466-80ED-4375-8491-5D0BE79EF49B}" name="TablaDinámica11" cacheId="169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583:D584" firstHeaderRow="0" firstDataRow="1" firstDataCol="0"/>
  <pivotFields count="31"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 PROYECCION COMPRA" fld="22" baseField="0" baseItem="0" numFmtId="170"/>
    <dataField name=" PPTO TOTAL" fld="14" baseField="0" baseItem="1" numFmtId="17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83C6A2-FE4C-4863-AA7B-AD554231B069}" name="TablaDinámica1" cacheId="1688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3">
  <location ref="C4:E16" firstHeaderRow="0" firstDataRow="1" firstDataCol="1"/>
  <pivotFields count="35">
    <pivotField numFmtId="14" showAll="0"/>
    <pivotField numFmtId="14" showAll="0">
      <items count="126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1"/>
        <item sd="0" x="2"/>
        <item sd="0" x="3"/>
        <item sd="0"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4"/>
    <field x="32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4"/>
    <dataField name="PRESUPUESTO " fld="26" baseField="0" baseItem="0" numFmtId="164"/>
  </dataFields>
  <chartFormats count="17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32" count="1" selected="0">
            <x v="12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32" count="1" selected="0">
            <x v="1"/>
          </reference>
        </references>
      </pivotArea>
    </chartFormat>
    <chartFormat chart="0" format="4">
      <pivotArea type="data" outline="0" fieldPosition="0">
        <references count="3">
          <reference field="4294967294" count="1" selected="0">
            <x v="0"/>
          </reference>
          <reference field="32" count="1" selected="0">
            <x v="1"/>
          </reference>
          <reference field="34" count="1" selected="0">
            <x v="1"/>
          </reference>
        </references>
      </pivotArea>
    </chartFormat>
    <chartFormat chart="5" format="13">
      <pivotArea type="data" outline="0" fieldPosition="0">
        <references count="3">
          <reference field="4294967294" count="1" selected="0">
            <x v="0"/>
          </reference>
          <reference field="32" count="1" selected="0">
            <x v="12"/>
          </reference>
          <reference field="34" count="1" selected="0">
            <x v="0"/>
          </reference>
        </references>
      </pivotArea>
    </chartFormat>
    <chartFormat chart="5" format="14">
      <pivotArea type="data" outline="0" fieldPosition="0">
        <references count="3">
          <reference field="4294967294" count="1" selected="0">
            <x v="0"/>
          </reference>
          <reference field="32" count="1" selected="0">
            <x v="1"/>
          </reference>
          <reference field="34" count="1" selected="0">
            <x v="1"/>
          </reference>
        </references>
      </pivotArea>
    </chartFormat>
    <chartFormat chart="5" format="15">
      <pivotArea type="data" outline="0" fieldPosition="0">
        <references count="3">
          <reference field="4294967294" count="1" selected="0">
            <x v="0"/>
          </reference>
          <reference field="32" count="1" selected="0">
            <x v="2"/>
          </reference>
          <reference field="34" count="1" selected="0">
            <x v="1"/>
          </reference>
        </references>
      </pivotArea>
    </chartFormat>
    <chartFormat chart="0" format="5">
      <pivotArea type="data" outline="0" fieldPosition="0">
        <references count="3">
          <reference field="4294967294" count="1" selected="0">
            <x v="0"/>
          </reference>
          <reference field="32" count="1" selected="0">
            <x v="2"/>
          </reference>
          <reference field="34" count="1" selected="0">
            <x v="1"/>
          </reference>
        </references>
      </pivotArea>
    </chartFormat>
    <chartFormat chart="0" format="6">
      <pivotArea type="data" outline="0" fieldPosition="0">
        <references count="3">
          <reference field="4294967294" count="1" selected="0">
            <x v="0"/>
          </reference>
          <reference field="32" count="1" selected="0">
            <x v="3"/>
          </reference>
          <reference field="34" count="1" selected="0">
            <x v="1"/>
          </reference>
        </references>
      </pivotArea>
    </chartFormat>
    <chartFormat chart="0" format="7">
      <pivotArea type="data" outline="0" fieldPosition="0">
        <references count="3">
          <reference field="4294967294" count="1" selected="0">
            <x v="0"/>
          </reference>
          <reference field="32" count="1" selected="0">
            <x v="4"/>
          </reference>
          <reference field="34" count="1" selected="0">
            <x v="1"/>
          </reference>
        </references>
      </pivotArea>
    </chartFormat>
    <chartFormat chart="5" format="16">
      <pivotArea type="data" outline="0" fieldPosition="0">
        <references count="3">
          <reference field="4294967294" count="1" selected="0">
            <x v="0"/>
          </reference>
          <reference field="32" count="1" selected="0">
            <x v="4"/>
          </reference>
          <reference field="34" count="1" selected="0">
            <x v="1"/>
          </reference>
        </references>
      </pivotArea>
    </chartFormat>
    <chartFormat chart="5" format="17">
      <pivotArea type="data" outline="0" fieldPosition="0">
        <references count="3">
          <reference field="4294967294" count="1" selected="0">
            <x v="0"/>
          </reference>
          <reference field="32" count="1" selected="0">
            <x v="3"/>
          </reference>
          <reference field="34" count="1" selected="0">
            <x v="1"/>
          </reference>
        </references>
      </pivotArea>
    </chartFormat>
    <chartFormat chart="5" format="18">
      <pivotArea type="data" outline="0" fieldPosition="0">
        <references count="3">
          <reference field="4294967294" count="1" selected="0">
            <x v="0"/>
          </reference>
          <reference field="32" count="1" selected="0">
            <x v="11"/>
          </reference>
          <reference field="34" count="1" selected="0">
            <x v="0"/>
          </reference>
        </references>
      </pivotArea>
    </chartFormat>
    <chartFormat chart="0" format="8">
      <pivotArea type="data" outline="0" fieldPosition="0">
        <references count="3">
          <reference field="4294967294" count="1" selected="0">
            <x v="0"/>
          </reference>
          <reference field="32" count="1" selected="0">
            <x v="5"/>
          </reference>
          <reference field="3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1EC11-ABC0-4EBB-8897-E361600F0AB3}" name="VARIACION" cacheId="168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C452:G464" firstHeaderRow="0" firstDataRow="1" firstDataCol="1"/>
  <pivotFields count="35">
    <pivotField numFmtId="14" showAll="0"/>
    <pivotField numFmtId="14" showAll="0">
      <items count="126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dataField="1" numFmtId="167" showAll="0"/>
    <pivotField showAll="0"/>
    <pivotField numFmtId="168" showAll="0"/>
    <pivotField showAll="0"/>
    <pivotField dataField="1" dragToRow="0" dragToCol="0" dragToPage="0" showAll="0" defaultSubtotal="0"/>
    <pivotField dataField="1"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4"/>
    <field x="32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VALOR COMPRA" fld="13" baseField="27" baseItem="1" numFmtId="167"/>
    <dataField name="PRESUPUESTO " fld="26" baseField="27" baseItem="1" numFmtId="167"/>
    <dataField name="VARIACIÓN " fld="30" baseField="0" baseItem="1" numFmtId="10"/>
    <dataField name="DESVIACIÓN " fld="31" baseField="27" baseItem="1" numFmtId="16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A0A439-CD3C-443B-A33E-8B5D4415CB13}" name="TablaDinámica4" cacheId="168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48:D60" firstHeaderRow="1" firstDataRow="1" firstDataCol="1"/>
  <pivotFields count="35">
    <pivotField numFmtId="14" showAll="0"/>
    <pivotField numFmtId="14" showAll="0">
      <items count="126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4"/>
    <field x="32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3">
          <reference field="4294967294" count="1" selected="0">
            <x v="0"/>
          </reference>
          <reference field="32" count="1" selected="0">
            <x v="5"/>
          </reference>
          <reference field="3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18195C-769B-4B8C-B9F3-EB6C78090079}" name="TablaDinámica5" cacheId="168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4">
  <location ref="C83:D86" firstHeaderRow="1" firstDataRow="1" firstDataCol="1"/>
  <pivotFields count="35">
    <pivotField numFmtId="14" showAll="0"/>
    <pivotField numFmtId="14" showAll="0">
      <items count="126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Row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x="1"/>
        <item x="2"/>
        <item x="0"/>
        <item x="3"/>
        <item t="default"/>
      </items>
    </pivotField>
  </pivotFields>
  <rowFields count="1">
    <field x="27"/>
  </rowFields>
  <rowItems count="3">
    <i>
      <x/>
    </i>
    <i>
      <x v="1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32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2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3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4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5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6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8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7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8" format="8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20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3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20" format="14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1A59FC-A4AA-4F83-9409-6BC3D42AD758}" name="TablaDinámica2" cacheId="168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90:D102" firstHeaderRow="1" firstDataRow="1" firstDataCol="1" rowPageCount="1" colPageCount="1"/>
  <pivotFields count="35">
    <pivotField numFmtId="14" showAll="0"/>
    <pivotField numFmtId="14" showAll="0">
      <items count="126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4"/>
    <field x="32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Items count="1">
    <i/>
  </colItems>
  <pageFields count="1">
    <pageField fld="27" item="1" hier="-1"/>
  </pageFields>
  <dataFields count="1">
    <dataField name="DIFERENCIA COMPRAS" fld="16" baseField="27" baseItem="1" numFmtId="164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922C3D-B56F-43FD-A72B-25C19B5ECA7A}" name="COMPRAS_TOTALES" cacheId="168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C45:D46" firstHeaderRow="0" firstDataRow="1" firstDataCol="0"/>
  <pivotFields count="35">
    <pivotField numFmtId="14" showAll="0"/>
    <pivotField numFmtId="14" showAll="0">
      <items count="126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x="1"/>
        <item h="1" x="2"/>
        <item h="1" x="0"/>
        <item h="1" x="3"/>
        <item t="default"/>
      </items>
    </pivotField>
  </pivotFields>
  <rowItems count="1">
    <i/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7"/>
    <dataField name="PRESUPUESTO " fld="26" baseField="0" baseItem="0" numFmtId="167"/>
  </dataFields>
  <chartFormats count="1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5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7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9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1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0A2B00-66C7-4875-B671-1BD6DA2E1EDD}" name="TablaDinámica7" cacheId="169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200:D232" firstHeaderRow="1" firstDataRow="1" firstDataCol="1" rowPageCount="1" colPageCount="1"/>
  <pivotFields count="31">
    <pivotField showAll="0"/>
    <pivotField axis="axisRow" showAll="0">
      <items count="270">
        <item x="182"/>
        <item x="43"/>
        <item x="194"/>
        <item x="124"/>
        <item x="200"/>
        <item x="138"/>
        <item x="161"/>
        <item x="206"/>
        <item x="62"/>
        <item x="12"/>
        <item x="74"/>
        <item x="169"/>
        <item x="30"/>
        <item x="9"/>
        <item x="180"/>
        <item x="181"/>
        <item x="19"/>
        <item x="50"/>
        <item x="51"/>
        <item x="63"/>
        <item x="86"/>
        <item x="113"/>
        <item x="114"/>
        <item x="216"/>
        <item x="81"/>
        <item x="13"/>
        <item x="83"/>
        <item x="160"/>
        <item x="110"/>
        <item x="172"/>
        <item x="199"/>
        <item x="59"/>
        <item x="58"/>
        <item x="218"/>
        <item x="26"/>
        <item x="37"/>
        <item x="90"/>
        <item x="71"/>
        <item x="147"/>
        <item x="237"/>
        <item x="241"/>
        <item x="70"/>
        <item x="75"/>
        <item x="121"/>
        <item x="108"/>
        <item x="226"/>
        <item x="1"/>
        <item x="111"/>
        <item x="239"/>
        <item x="87"/>
        <item x="227"/>
        <item x="139"/>
        <item x="105"/>
        <item x="73"/>
        <item x="211"/>
        <item x="64"/>
        <item x="210"/>
        <item x="176"/>
        <item x="3"/>
        <item x="7"/>
        <item x="14"/>
        <item x="72"/>
        <item x="133"/>
        <item x="45"/>
        <item x="150"/>
        <item x="140"/>
        <item x="162"/>
        <item x="225"/>
        <item x="103"/>
        <item x="46"/>
        <item x="130"/>
        <item x="47"/>
        <item x="122"/>
        <item x="223"/>
        <item x="35"/>
        <item x="201"/>
        <item x="65"/>
        <item x="27"/>
        <item x="190"/>
        <item x="54"/>
        <item x="207"/>
        <item x="159"/>
        <item x="118"/>
        <item x="79"/>
        <item x="234"/>
        <item x="80"/>
        <item x="69"/>
        <item x="106"/>
        <item x="61"/>
        <item x="127"/>
        <item x="205"/>
        <item x="132"/>
        <item x="93"/>
        <item x="202"/>
        <item x="115"/>
        <item x="135"/>
        <item x="152"/>
        <item x="91"/>
        <item x="89"/>
        <item x="25"/>
        <item x="24"/>
        <item x="179"/>
        <item x="217"/>
        <item x="36"/>
        <item x="39"/>
        <item x="214"/>
        <item x="213"/>
        <item x="38"/>
        <item x="228"/>
        <item x="29"/>
        <item x="10"/>
        <item x="183"/>
        <item x="4"/>
        <item x="220"/>
        <item x="193"/>
        <item x="66"/>
        <item x="191"/>
        <item x="31"/>
        <item x="128"/>
        <item x="125"/>
        <item x="235"/>
        <item x="236"/>
        <item x="171"/>
        <item x="40"/>
        <item x="56"/>
        <item x="155"/>
        <item x="55"/>
        <item x="52"/>
        <item x="53"/>
        <item x="231"/>
        <item x="32"/>
        <item x="5"/>
        <item x="33"/>
        <item x="196"/>
        <item x="77"/>
        <item x="192"/>
        <item x="188"/>
        <item x="184"/>
        <item x="240"/>
        <item x="197"/>
        <item x="15"/>
        <item x="185"/>
        <item x="186"/>
        <item x="34"/>
        <item x="168"/>
        <item x="101"/>
        <item x="100"/>
        <item x="165"/>
        <item x="21"/>
        <item x="109"/>
        <item x="222"/>
        <item x="42"/>
        <item x="76"/>
        <item x="195"/>
        <item x="148"/>
        <item x="20"/>
        <item x="119"/>
        <item x="22"/>
        <item x="18"/>
        <item x="126"/>
        <item x="23"/>
        <item x="120"/>
        <item x="233"/>
        <item x="82"/>
        <item x="78"/>
        <item x="154"/>
        <item x="2"/>
        <item x="131"/>
        <item x="136"/>
        <item x="57"/>
        <item x="123"/>
        <item x="144"/>
        <item x="104"/>
        <item x="16"/>
        <item x="170"/>
        <item x="117"/>
        <item x="153"/>
        <item x="238"/>
        <item x="41"/>
        <item x="97"/>
        <item x="163"/>
        <item x="67"/>
        <item x="102"/>
        <item x="44"/>
        <item x="49"/>
        <item x="95"/>
        <item x="203"/>
        <item x="88"/>
        <item x="11"/>
        <item x="229"/>
        <item x="178"/>
        <item x="94"/>
        <item x="48"/>
        <item x="98"/>
        <item x="151"/>
        <item x="99"/>
        <item x="189"/>
        <item x="96"/>
        <item x="137"/>
        <item x="167"/>
        <item x="6"/>
        <item x="60"/>
        <item x="230"/>
        <item x="242"/>
        <item x="68"/>
        <item x="212"/>
        <item x="134"/>
        <item x="112"/>
        <item x="0"/>
        <item x="215"/>
        <item x="129"/>
        <item x="157"/>
        <item x="209"/>
        <item x="146"/>
        <item x="92"/>
        <item x="116"/>
        <item x="141"/>
        <item x="8"/>
        <item x="17"/>
        <item x="107"/>
        <item x="187"/>
        <item x="166"/>
        <item x="173"/>
        <item x="158"/>
        <item x="232"/>
        <item x="85"/>
        <item x="84"/>
        <item x="145"/>
        <item x="28"/>
        <item x="243"/>
        <item x="219"/>
        <item x="177"/>
        <item x="174"/>
        <item x="156"/>
        <item x="175"/>
        <item x="164"/>
        <item x="142"/>
        <item x="143"/>
        <item x="208"/>
        <item x="244"/>
        <item x="245"/>
        <item x="149"/>
        <item x="224"/>
        <item x="204"/>
        <item x="198"/>
        <item x="246"/>
        <item x="247"/>
        <item x="221"/>
        <item x="248"/>
        <item x="249"/>
        <item x="250"/>
        <item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t="default"/>
      </items>
    </pivotField>
    <pivotField showAll="0"/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5"/>
    </i>
    <i>
      <x v="6"/>
    </i>
    <i>
      <x v="7"/>
    </i>
    <i>
      <x v="45"/>
    </i>
    <i>
      <x v="56"/>
    </i>
    <i>
      <x v="95"/>
    </i>
    <i>
      <x v="96"/>
    </i>
    <i>
      <x v="106"/>
    </i>
    <i>
      <x v="125"/>
    </i>
    <i>
      <x v="150"/>
    </i>
    <i>
      <x v="151"/>
    </i>
    <i>
      <x v="152"/>
    </i>
    <i>
      <x v="153"/>
    </i>
    <i>
      <x v="154"/>
    </i>
    <i>
      <x v="156"/>
    </i>
    <i>
      <x v="161"/>
    </i>
    <i>
      <x v="165"/>
    </i>
    <i>
      <x v="167"/>
    </i>
    <i>
      <x v="168"/>
    </i>
    <i>
      <x v="170"/>
    </i>
    <i>
      <x v="171"/>
    </i>
    <i>
      <x v="175"/>
    </i>
    <i>
      <x v="176"/>
    </i>
    <i>
      <x v="177"/>
    </i>
    <i>
      <x v="198"/>
    </i>
    <i>
      <x v="213"/>
    </i>
    <i>
      <x v="221"/>
    </i>
    <i>
      <x v="222"/>
    </i>
    <i>
      <x v="223"/>
    </i>
    <i>
      <x v="224"/>
    </i>
    <i>
      <x v="227"/>
    </i>
    <i t="grand">
      <x/>
    </i>
  </rowItems>
  <colItems count="1">
    <i/>
  </colItems>
  <pageFields count="1">
    <pageField fld="10" item="1" hier="-1"/>
  </pageFields>
  <dataFields count="1">
    <dataField name="%AVANCE PEDIDOS " fld="25" subtotal="average" baseField="0" baseItem="0" numFmtId="1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8E6E67-6432-4B9F-96DE-B5C135078A0D}" name="M2" cacheId="168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W503:Y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dataField="1" numFmtId="174" showAll="0"/>
    <pivotField numFmtId="174" showAll="0"/>
    <pivotField showAll="0"/>
    <pivotField showAll="0"/>
    <pivotField showAll="0"/>
    <pivotField showAll="0"/>
    <pivotField axis="axisRow" showAll="0">
      <items count="13">
        <item x="11"/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3">
        <item sd="0" x="0"/>
        <item h="1" sd="0" x="1"/>
        <item t="default"/>
      </items>
    </pivotField>
    <pivotField dataField="1" numFmtId="174" showAll="0"/>
    <pivotField showAll="0"/>
    <pivotField axis="axisRow" showAll="0" defaultSubtotal="0">
      <items count="14">
        <item x="0"/>
        <item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3">
    <field x="14"/>
    <field x="11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Máx. de M2 Avance Programado" fld="4" subtotal="max" baseField="12" baseItem="2" numFmtId="39"/>
    <dataField name="Máx. de M2 Avance Acumulado Real" fld="12" subtotal="max" baseField="12" baseItem="2" numFmtId="175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4" count="1" selected="0">
            <x v="6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1150D8-CBF6-49D5-A2AC-9061CA24F165}" name="% avance" cacheId="166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O503:P510" firstHeaderRow="1" firstDataRow="1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axis="axisRow" showAll="0">
      <items count="63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3">
    <field x="62"/>
    <field x="61"/>
    <field x="6"/>
  </rowFields>
  <rowItems count="7">
    <i>
      <x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69BE61-E255-438A-B578-7A14BF12BB19}" name="GAPS" cacheId="1675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S3:U19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x="11"/>
        <item x="0"/>
        <item x="1"/>
        <item h="1" x="2"/>
        <item h="1" x="3"/>
        <item x="4"/>
        <item x="5"/>
        <item x="6"/>
        <item x="7"/>
        <item x="8"/>
        <item x="9"/>
        <item x="10"/>
        <item t="default"/>
      </items>
    </pivotField>
    <pivotField showAll="0"/>
    <pivotField showAll="0"/>
    <pivotField showAll="0"/>
    <pivotField dataField="1" showAll="0"/>
    <pivotField dataFiel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16"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GAP INICIO" fld="13" baseField="0" baseItem="0"/>
    <dataField name="Suma de GAP TERMINO" fld="14" baseField="0" baseItem="0"/>
  </dataFields>
  <pivotTableStyleInfo name="PivotStyleLight16" showRowHeaders="1" showColHeaders="1" showRowStripes="0" showColStripes="0" showLastColumn="1"/>
  <filters count="1">
    <filter fld="0" type="dateBetween" evalOrder="-1" id="294" name="Días">
      <autoFilter ref="A1">
        <filterColumn colId="0">
          <customFilters and="1">
            <customFilter operator="greaterThanOrEqual" val="46120"/>
            <customFilter operator="lessThanOrEqual" val="46188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6A7817-172E-4D95-95B8-E6BC7BBB10B4}" name="TablaDinámica4" cacheId="166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10:P13" firstHeaderRow="1" firstDataRow="1" firstDataCol="1" rowPageCount="1" colPageCount="1"/>
  <pivotFields count="63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63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Page" multipleItemSelectionAllowed="1" showAll="0">
      <items count="5">
        <item x="0"/>
        <item x="2"/>
        <item x="1"/>
        <item h="1" x="3"/>
        <item t="default"/>
      </items>
    </pivotField>
    <pivotField axis="axisRow" showAll="0">
      <items count="3">
        <item x="0"/>
        <item x="1"/>
        <item t="default"/>
      </items>
    </pivotField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60"/>
  </rowFields>
  <rowItems count="3">
    <i>
      <x/>
    </i>
    <i>
      <x v="1"/>
    </i>
    <i t="grand">
      <x/>
    </i>
  </rowItems>
  <colItems count="1">
    <i/>
  </colItems>
  <pageFields count="1">
    <pageField fld="59" hier="-1"/>
  </pageField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9D43F3-B2D1-44BA-9EBC-BCF2BB9C795C}" name="TablaDinámica6" cacheId="1675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J503:L507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>
      <items count="13">
        <item x="11"/>
        <item x="0"/>
        <item x="1"/>
        <item h="1" x="2"/>
        <item h="1" x="3"/>
        <item x="4"/>
        <item x="5"/>
        <item x="6"/>
        <item x="7"/>
        <item x="8"/>
        <item x="9"/>
        <item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0"/>
  </rowFields>
  <rowItems count="4">
    <i>
      <x v="22"/>
    </i>
    <i>
      <x v="23"/>
    </i>
    <i>
      <x v="24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INICIO REAL" fld="3" baseField="0" baseItem="0"/>
    <dataField name="Promedio de META SEMANAL" fld="15" subtotal="average" baseField="10" baseItem="0" numFmtId="1"/>
  </dataFields>
  <pivotTableStyleInfo name="PivotStyleLight16" showRowHeaders="1" showColHeaders="1" showRowStripes="0" showColStripes="0" showLastColumn="1"/>
  <filters count="1">
    <filter fld="0" type="dateBetween" evalOrder="-1" id="180" name="Días">
      <autoFilter ref="A1">
        <filterColumn colId="0">
          <customFilters and="1">
            <customFilter operator="greaterThanOrEqual" val="46120"/>
            <customFilter operator="lessThanOrEqual" val="46188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ECC4D2-BF4E-45E5-8A00-84D321C46551}" name="AVANCE" cacheId="1675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 rowHeaderCaption="|">
  <location ref="J3:L19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x="11"/>
        <item x="0"/>
        <item x="1"/>
        <item h="1" x="2"/>
        <item h="1" x="3"/>
        <item x="4"/>
        <item x="5"/>
        <item x="6"/>
        <item x="7"/>
        <item x="8"/>
        <item x="9"/>
        <item x="10"/>
        <item t="default"/>
      </items>
    </pivotField>
    <pivotField showAll="0"/>
    <pivotField dataField="1" showAll="0"/>
    <pivotField dataField="1"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16"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 t="grand">
      <x/>
    </i>
  </rowItems>
  <colFields count="1">
    <field x="-2"/>
  </colFields>
  <colItems count="2">
    <i>
      <x/>
    </i>
    <i i="1">
      <x v="1"/>
    </i>
  </colItems>
  <dataFields count="2">
    <dataField name=" %AVANCE" fld="11" subtotal="average" baseField="0" baseItem="66" numFmtId="10"/>
    <dataField name=" %TERMINO" fld="12" subtotal="average" baseField="0" baseItem="66" numFmtId="10"/>
  </dataFields>
  <pivotTableStyleInfo name="PivotStyleLight16" showRowHeaders="1" showColHeaders="1" showRowStripes="0" showColStripes="0" showLastColumn="1"/>
  <filters count="1">
    <filter fld="0" type="dateBetween" evalOrder="-1" id="430" name="Días">
      <autoFilter ref="A1">
        <filterColumn colId="0">
          <customFilters and="1">
            <customFilter operator="greaterThanOrEqual" val="46120"/>
            <customFilter operator="lessThanOrEqual" val="46188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13550C-9DB1-4969-9DA5-F66AA514AD2C}" name="TablaDinámica5" cacheId="168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>
  <location ref="S503:U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dataField="1" numFmtId="10" showAll="0"/>
    <pivotField numFmtId="10" showAll="0"/>
    <pivotField showAll="0"/>
    <pivotField numFmtId="174" showAll="0"/>
    <pivotField numFmtId="174" showAll="0"/>
    <pivotField showAll="0"/>
    <pivotField showAll="0"/>
    <pivotField dataField="1" showAll="0"/>
    <pivotField showAll="0"/>
    <pivotField axis="axisRow"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numFmtId="174"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h="1" sd="0" x="7"/>
        <item h="1" sd="0" x="8"/>
        <item h="1" sd="0" x="9"/>
        <item h="1" sd="0" x="10"/>
        <item h="1" sd="0" x="11"/>
        <item h="1"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5">
        <item sd="0" x="0"/>
        <item x="1"/>
        <item h="1" sd="0" x="2"/>
        <item sd="0" x="3"/>
        <item t="default"/>
      </items>
    </pivotField>
  </pivotFields>
  <rowFields count="3">
    <field x="14"/>
    <field x="16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AVANCE REAL" fld="8" subtotal="max" baseField="7" baseItem="2" numFmtId="10"/>
    <dataField name="AVANCE PROGRAMADO " fld="1" subtotal="max" baseField="7" baseItem="2" numFmtId="10"/>
  </dataFields>
  <chartFormats count="6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016155-09B5-4632-832D-496C4052CAB6}" name="TablaDinámica7" cacheId="168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AA503:AC510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numFmtId="174" showAll="0"/>
    <pivotField dataField="1" numFmtId="174" showAll="0"/>
    <pivotField showAll="0"/>
    <pivotField showAll="0"/>
    <pivotField showAll="0"/>
    <pivotField showAll="0"/>
    <pivotField showAll="0"/>
    <pivotField showAll="0"/>
    <pivotField numFmtId="174" showAll="0"/>
    <pivotField dataField="1" showAll="0"/>
    <pivotField axis="axisRow" showAll="0" defaultSubtotal="0">
      <items count="14">
        <item h="1"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4"/>
  </rowFields>
  <rowItems count="7"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M2 Avance Prog." fld="5" baseField="14" baseItem="1" numFmtId="175"/>
    <dataField name=" M2 Avance Diario Real" fld="13" baseField="14" baseItem="1" numFmtId="4"/>
  </dataFields>
  <chartFormats count="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140898-FAE5-450D-ADB1-814DD512F5F7}" name="TablaDinámica1" cacheId="166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F503:G510" firstHeaderRow="1" firstDataRow="1" firstDataCol="1"/>
  <pivotFields count="63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63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axis="axisRow" showAll="0">
      <items count="13">
        <item h="1" x="9"/>
        <item h="1" x="8"/>
        <item h="1" m="1" x="10"/>
        <item h="1" x="6"/>
        <item h="1" x="7"/>
        <item x="5"/>
        <item x="4"/>
        <item x="3"/>
        <item x="2"/>
        <item x="1"/>
        <item m="1" x="1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7"/>
  </rowFields>
  <rowItems count="7">
    <i>
      <x v="5"/>
    </i>
    <i>
      <x v="6"/>
    </i>
    <i>
      <x v="7"/>
    </i>
    <i>
      <x v="8"/>
    </i>
    <i>
      <x v="9"/>
    </i>
    <i>
      <x v="11"/>
    </i>
    <i t="grand">
      <x/>
    </i>
  </rowItems>
  <colItems count="1">
    <i/>
  </colItems>
  <dataFields count="1">
    <dataField name="Cuenta de N° MÓDULO" fld="1" subtotal="count" baseField="0" baseItem="0"/>
  </dataFields>
  <chartFormats count="1">
    <chartFormat chart="0" format="7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A43D5-A61D-481A-842C-7E513D579E18}" name="TablaDinámica3" cacheId="166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3:P7" firstHeaderRow="1" firstDataRow="1" firstDataCol="1"/>
  <pivotFields count="63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63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60"/>
        <item x="51"/>
        <item x="50"/>
        <item x="53"/>
        <item x="54"/>
        <item x="55"/>
        <item x="59"/>
        <item x="56"/>
        <item x="57"/>
        <item x="58"/>
        <item x="61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Row" showAll="0">
      <items count="5">
        <item x="0"/>
        <item x="2"/>
        <item x="1"/>
        <item h="1" x="3"/>
        <item t="default"/>
      </items>
    </pivotField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9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914304-8D5D-4E25-9BA9-22CD56158006}" name="SEMANA" cacheId="1675" applyNumberFormats="0" applyBorderFormats="0" applyFontFormats="0" applyPatternFormats="0" applyAlignmentFormats="0" applyWidthHeightFormats="1" dataCaption="Valores" updatedVersion="8" minRefreshableVersion="5" rowGrandTotals="0" colGrandTotals="0" itemPrintTitles="1" createdVersion="8" indent="0" outline="1" outlineData="1" multipleFieldFilters="0" chartFormat="18">
  <location ref="F3:H7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Row" showAll="0">
      <items count="13">
        <item x="11"/>
        <item x="0"/>
        <item x="1"/>
        <item h="1" x="2"/>
        <item h="1" x="3"/>
        <item x="4"/>
        <item x="5"/>
        <item x="6"/>
        <item x="7"/>
        <item x="8"/>
        <item x="9"/>
        <item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x="2"/>
        <item x="3"/>
        <item x="4"/>
        <item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9"/>
    <field x="10"/>
  </rowFields>
  <rowItems count="4">
    <i>
      <x v="5"/>
    </i>
    <i r="1">
      <x v="22"/>
    </i>
    <i r="1">
      <x v="23"/>
    </i>
    <i r="1">
      <x v="24"/>
    </i>
  </rowItems>
  <colFields count="1">
    <field x="-2"/>
  </colFields>
  <colItems count="2">
    <i>
      <x/>
    </i>
    <i i="1">
      <x v="1"/>
    </i>
  </colItems>
  <dataFields count="2">
    <dataField name=" INICIO REAL" fld="3" baseField="0" baseItem="0"/>
    <dataField name=" META SEMANAL" fld="15" subtotal="average" baseField="0" baseItem="0"/>
  </dataFields>
  <chartFormats count="2">
    <chartFormat chart="0" format="9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430" name="Días">
      <autoFilter ref="A1">
        <filterColumn colId="0">
          <customFilters and="1">
            <customFilter operator="greaterThanOrEqual" val="46120"/>
            <customFilter operator="lessThanOrEqual" val="46188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881DE1-70D2-4A71-A3ED-026C0DB7FD7C}" name="TERMINO" cacheId="1675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8">
  <location ref="B503:D519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showAll="0">
      <items count="13">
        <item x="11"/>
        <item x="0"/>
        <item x="1"/>
        <item h="1" x="2"/>
        <item h="1" x="3"/>
        <item x="4"/>
        <item x="5"/>
        <item x="6"/>
        <item x="7"/>
        <item x="8"/>
        <item x="9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16"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 t="grand">
      <x/>
    </i>
  </rowItems>
  <colFields count="1">
    <field x="-2"/>
  </colFields>
  <colItems count="2">
    <i>
      <x/>
    </i>
    <i i="1">
      <x v="1"/>
    </i>
  </colItems>
  <dataFields count="2">
    <dataField name="PLANIFICACION " fld="6" baseField="0" baseItem="16"/>
    <dataField name="TERMINO REAL " fld="8" baseField="0" baseItem="16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430" name="Días">
      <autoFilter ref="A1">
        <filterColumn colId="0">
          <customFilters and="1">
            <customFilter operator="greaterThanOrEqual" val="46120"/>
            <customFilter operator="lessThanOrEqual" val="46188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DF480D-8D37-4BF6-A3B7-16A2A1A4E50E}" name="INICIO" cacheId="1675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>
  <location ref="B3:D19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>
      <items count="13">
        <item x="11"/>
        <item x="0"/>
        <item x="1"/>
        <item h="1" x="2"/>
        <item h="1" x="3"/>
        <item x="4"/>
        <item x="5"/>
        <item x="6"/>
        <item x="7"/>
        <item x="8"/>
        <item x="9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16"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 t="grand">
      <x/>
    </i>
  </rowItems>
  <colFields count="1">
    <field x="-2"/>
  </colFields>
  <colItems count="2">
    <i>
      <x/>
    </i>
    <i i="1">
      <x v="1"/>
    </i>
  </colItems>
  <dataFields count="2">
    <dataField name="INICIO PLANIFICADO " fld="2" baseField="0" baseItem="0" numFmtId="1"/>
    <dataField name="INICIO REAL " fld="4" baseField="0" baseItem="0" numFmtId="1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138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432" name="Días">
      <autoFilter ref="A1">
        <filterColumn colId="0">
          <customFilters and="1">
            <customFilter operator="greaterThanOrEqual" val="46120"/>
            <customFilter operator="lessThanOrEqual" val="46188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2266A7-7514-41CD-B71D-16E2B8697643}" name="TablaDinámica33" cacheId="1669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W15:X54" firstHeaderRow="1" firstDataRow="1" firstDataCol="1" rowPageCount="2" colPageCount="1"/>
  <pivotFields count="63">
    <pivotField showAll="0"/>
    <pivotField axis="axisRow" showAll="0">
      <items count="70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t="default"/>
      </items>
    </pivotField>
    <pivotField showAll="0"/>
    <pivotField showAll="0"/>
    <pivotField axis="axisPage" numFmtId="9" multipleItemSelectionAllowed="1" showAll="0">
      <items count="108">
        <item x="39"/>
        <item x="38"/>
        <item x="33"/>
        <item m="1" x="71"/>
        <item m="1" x="97"/>
        <item m="1" x="64"/>
        <item m="1" x="79"/>
        <item x="31"/>
        <item x="36"/>
        <item m="1" x="105"/>
        <item m="1" x="106"/>
        <item x="24"/>
        <item x="25"/>
        <item m="1" x="62"/>
        <item m="1" x="104"/>
        <item m="1" x="48"/>
        <item m="1" x="102"/>
        <item m="1" x="103"/>
        <item m="1" x="95"/>
        <item m="1" x="100"/>
        <item m="1" x="46"/>
        <item x="26"/>
        <item m="1" x="57"/>
        <item m="1" x="92"/>
        <item m="1" x="51"/>
        <item m="1" x="60"/>
        <item m="1" x="44"/>
        <item x="23"/>
        <item x="29"/>
        <item m="1" x="50"/>
        <item x="22"/>
        <item x="18"/>
        <item m="1" x="80"/>
        <item x="15"/>
        <item x="12"/>
        <item x="3"/>
        <item x="1"/>
        <item m="1" x="45"/>
        <item m="1" x="66"/>
        <item x="2"/>
        <item m="1" x="65"/>
        <item x="0"/>
        <item x="5"/>
        <item m="1" x="98"/>
        <item m="1" x="83"/>
        <item x="7"/>
        <item m="1" x="99"/>
        <item x="17"/>
        <item m="1" x="59"/>
        <item x="13"/>
        <item x="20"/>
        <item x="16"/>
        <item m="1" x="90"/>
        <item m="1" x="47"/>
        <item x="27"/>
        <item m="1" x="96"/>
        <item m="1" x="68"/>
        <item m="1" x="72"/>
        <item m="1" x="101"/>
        <item m="1" x="55"/>
        <item x="11"/>
        <item m="1" x="94"/>
        <item m="1" x="41"/>
        <item m="1" x="74"/>
        <item x="14"/>
        <item m="1" x="40"/>
        <item m="1" x="70"/>
        <item m="1" x="85"/>
        <item m="1" x="89"/>
        <item m="1" x="43"/>
        <item x="9"/>
        <item m="1" x="49"/>
        <item m="1" x="67"/>
        <item m="1" x="93"/>
        <item m="1" x="91"/>
        <item x="32"/>
        <item m="1" x="86"/>
        <item m="1" x="87"/>
        <item m="1" x="88"/>
        <item m="1" x="58"/>
        <item x="21"/>
        <item m="1" x="69"/>
        <item m="1" x="54"/>
        <item m="1" x="81"/>
        <item x="10"/>
        <item m="1" x="82"/>
        <item m="1" x="76"/>
        <item m="1" x="84"/>
        <item x="6"/>
        <item m="1" x="75"/>
        <item m="1" x="61"/>
        <item m="1" x="77"/>
        <item m="1" x="78"/>
        <item m="1" x="42"/>
        <item x="19"/>
        <item m="1" x="73"/>
        <item m="1" x="52"/>
        <item m="1" x="63"/>
        <item m="1" x="53"/>
        <item x="28"/>
        <item x="35"/>
        <item x="37"/>
        <item m="1" x="56"/>
        <item x="4"/>
        <item x="8"/>
        <item x="30"/>
        <item x="34"/>
        <item t="default"/>
      </items>
    </pivotField>
    <pivotField numFmtId="14" showAll="0"/>
    <pivotField showAll="0">
      <items count="63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1"/>
        <item x="50"/>
        <item x="60"/>
        <item x="53"/>
        <item x="54"/>
        <item x="55"/>
        <item x="59"/>
        <item x="56"/>
        <item x="57"/>
        <item x="58"/>
        <item x="61"/>
        <item t="default"/>
      </items>
    </pivotField>
    <pivotField numFmtId="14" showAll="0"/>
    <pivotField numFmtId="14" showAll="0"/>
    <pivotField dataField="1" multipleItemSelectionAllowe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1"/>
  </rowFields>
  <rowItems count="3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9"/>
    </i>
    <i>
      <x v="40"/>
    </i>
    <i t="grand">
      <x/>
    </i>
  </rowItems>
  <colItems count="1">
    <i/>
  </colItems>
  <pageFields count="2">
    <pageField fld="4" hier="-1"/>
    <pageField fld="60" item="0" hier="-1"/>
  </pageFields>
  <dataFields count="1">
    <dataField name="Suma de DIAS SIN MOVIMIENTO" fld="9" baseField="1" baseItem="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C6FCB1-8BC4-4D07-8784-85C00B96F6E4}" name="TablaDinámica3" cacheId="169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 rowHeaderCaption="DESCRIPCIÓN">
  <location ref="B261:D292" firstHeaderRow="0" firstDataRow="1" firstDataCol="1" rowPageCount="1" colPageCount="1"/>
  <pivotFields count="31">
    <pivotField showAll="0"/>
    <pivotField showAll="0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33">
        <item x="0"/>
        <item x="21"/>
        <item x="11"/>
        <item x="25"/>
        <item x="28"/>
        <item x="26"/>
        <item x="30"/>
        <item x="19"/>
        <item x="9"/>
        <item x="24"/>
        <item x="15"/>
        <item x="4"/>
        <item x="1"/>
        <item x="5"/>
        <item x="18"/>
        <item x="27"/>
        <item x="12"/>
        <item x="10"/>
        <item x="14"/>
        <item x="20"/>
        <item x="22"/>
        <item x="17"/>
        <item x="3"/>
        <item x="13"/>
        <item x="8"/>
        <item x="16"/>
        <item x="6"/>
        <item m="1" x="31"/>
        <item x="2"/>
        <item x="7"/>
        <item x="23"/>
        <item x="2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multipleItemSelectionAllowed="1" showAll="0">
      <items count="3">
        <item h="1" sd="0"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multipleItemSelectionAllowed="1" showAll="0" sumSubtotal="1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9"/>
  </rowFields>
  <rowItems count="31">
    <i>
      <x v="10"/>
    </i>
    <i>
      <x v="5"/>
    </i>
    <i>
      <x v="22"/>
    </i>
    <i>
      <x v="13"/>
    </i>
    <i>
      <x v="11"/>
    </i>
    <i>
      <x v="31"/>
    </i>
    <i>
      <x v="26"/>
    </i>
    <i>
      <x v="29"/>
    </i>
    <i>
      <x v="2"/>
    </i>
    <i>
      <x v="24"/>
    </i>
    <i>
      <x v="9"/>
    </i>
    <i>
      <x v="18"/>
    </i>
    <i>
      <x v="8"/>
    </i>
    <i>
      <x v="17"/>
    </i>
    <i>
      <x v="23"/>
    </i>
    <i>
      <x v="1"/>
    </i>
    <i>
      <x v="25"/>
    </i>
    <i>
      <x v="7"/>
    </i>
    <i>
      <x v="16"/>
    </i>
    <i>
      <x v="20"/>
    </i>
    <i>
      <x v="21"/>
    </i>
    <i>
      <x v="15"/>
    </i>
    <i>
      <x v="12"/>
    </i>
    <i>
      <x v="19"/>
    </i>
    <i>
      <x v="4"/>
    </i>
    <i>
      <x v="14"/>
    </i>
    <i>
      <x v="6"/>
    </i>
    <i>
      <x v="28"/>
    </i>
    <i>
      <x v="3"/>
    </i>
    <i>
      <x v="30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9" baseItem="0" numFmtId="10"/>
    <dataField name="COMPRAS" fld="20" baseField="1" baseItem="169" numFmtId="168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606AD0-79D3-4C04-AAAF-E1C7ACBCAA3C}" name="TablaDinámica2" cacheId="169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6">
  <location ref="B173:C205" firstHeaderRow="1" firstDataRow="1" firstDataCol="1" rowPageCount="1" colPageCount="1"/>
  <pivotFields count="31">
    <pivotField showAll="0"/>
    <pivotField axis="axisRow" showAll="0" sortType="ascending">
      <items count="270">
        <item x="182"/>
        <item x="43"/>
        <item x="194"/>
        <item x="124"/>
        <item x="200"/>
        <item x="198"/>
        <item x="138"/>
        <item x="161"/>
        <item x="206"/>
        <item x="62"/>
        <item x="12"/>
        <item x="74"/>
        <item x="169"/>
        <item x="30"/>
        <item x="9"/>
        <item x="180"/>
        <item x="181"/>
        <item x="175"/>
        <item x="19"/>
        <item x="50"/>
        <item x="51"/>
        <item x="63"/>
        <item x="86"/>
        <item x="113"/>
        <item x="114"/>
        <item x="216"/>
        <item x="245"/>
        <item x="81"/>
        <item x="13"/>
        <item x="83"/>
        <item x="160"/>
        <item x="110"/>
        <item x="172"/>
        <item m="1" x="256"/>
        <item x="199"/>
        <item x="59"/>
        <item m="1" x="255"/>
        <item x="58"/>
        <item x="218"/>
        <item x="26"/>
        <item x="177"/>
        <item x="37"/>
        <item m="1" x="252"/>
        <item x="174"/>
        <item m="1" x="257"/>
        <item x="90"/>
        <item x="71"/>
        <item x="147"/>
        <item x="237"/>
        <item x="241"/>
        <item x="70"/>
        <item x="75"/>
        <item x="121"/>
        <item m="1" x="254"/>
        <item x="108"/>
        <item x="226"/>
        <item x="1"/>
        <item x="111"/>
        <item x="239"/>
        <item x="87"/>
        <item x="227"/>
        <item x="139"/>
        <item x="105"/>
        <item x="73"/>
        <item x="211"/>
        <item x="64"/>
        <item x="164"/>
        <item x="210"/>
        <item x="176"/>
        <item x="3"/>
        <item x="7"/>
        <item x="14"/>
        <item x="72"/>
        <item x="133"/>
        <item x="45"/>
        <item x="150"/>
        <item x="140"/>
        <item x="162"/>
        <item x="225"/>
        <item x="103"/>
        <item x="46"/>
        <item x="130"/>
        <item x="47"/>
        <item x="122"/>
        <item x="223"/>
        <item x="35"/>
        <item x="201"/>
        <item x="65"/>
        <item x="27"/>
        <item x="190"/>
        <item x="54"/>
        <item x="207"/>
        <item x="159"/>
        <item x="118"/>
        <item x="79"/>
        <item x="142"/>
        <item x="234"/>
        <item x="80"/>
        <item x="208"/>
        <item x="143"/>
        <item x="69"/>
        <item x="244"/>
        <item m="1" x="253"/>
        <item x="106"/>
        <item m="1" x="261"/>
        <item m="1" x="260"/>
        <item x="61"/>
        <item x="127"/>
        <item m="1" x="258"/>
        <item x="205"/>
        <item x="132"/>
        <item x="93"/>
        <item x="202"/>
        <item x="115"/>
        <item x="248"/>
        <item x="135"/>
        <item x="249"/>
        <item x="152"/>
        <item x="91"/>
        <item x="89"/>
        <item x="149"/>
        <item x="25"/>
        <item x="24"/>
        <item x="179"/>
        <item x="217"/>
        <item x="36"/>
        <item x="39"/>
        <item x="214"/>
        <item m="1" x="266"/>
        <item x="213"/>
        <item m="1" x="259"/>
        <item x="38"/>
        <item x="228"/>
        <item m="1" x="265"/>
        <item x="29"/>
        <item x="10"/>
        <item x="183"/>
        <item x="4"/>
        <item x="220"/>
        <item m="1" x="267"/>
        <item x="193"/>
        <item x="66"/>
        <item x="191"/>
        <item x="31"/>
        <item x="128"/>
        <item x="125"/>
        <item x="235"/>
        <item x="236"/>
        <item x="156"/>
        <item x="171"/>
        <item x="40"/>
        <item x="56"/>
        <item x="155"/>
        <item x="55"/>
        <item x="52"/>
        <item x="53"/>
        <item m="1" x="268"/>
        <item x="231"/>
        <item x="32"/>
        <item x="5"/>
        <item x="33"/>
        <item x="196"/>
        <item x="77"/>
        <item x="219"/>
        <item x="192"/>
        <item x="188"/>
        <item x="184"/>
        <item x="240"/>
        <item x="197"/>
        <item x="15"/>
        <item x="185"/>
        <item x="186"/>
        <item x="34"/>
        <item x="168"/>
        <item x="101"/>
        <item x="100"/>
        <item x="165"/>
        <item x="21"/>
        <item x="109"/>
        <item x="222"/>
        <item x="42"/>
        <item x="76"/>
        <item x="195"/>
        <item x="148"/>
        <item x="20"/>
        <item x="119"/>
        <item x="22"/>
        <item x="18"/>
        <item x="126"/>
        <item x="23"/>
        <item x="120"/>
        <item x="233"/>
        <item x="82"/>
        <item x="78"/>
        <item x="154"/>
        <item x="2"/>
        <item x="131"/>
        <item x="136"/>
        <item x="57"/>
        <item x="123"/>
        <item x="250"/>
        <item x="144"/>
        <item x="104"/>
        <item x="16"/>
        <item x="170"/>
        <item x="117"/>
        <item x="153"/>
        <item x="238"/>
        <item x="41"/>
        <item x="97"/>
        <item x="163"/>
        <item x="67"/>
        <item x="102"/>
        <item x="44"/>
        <item x="224"/>
        <item x="49"/>
        <item x="95"/>
        <item x="203"/>
        <item m="1" x="263"/>
        <item x="88"/>
        <item m="1" x="264"/>
        <item x="11"/>
        <item x="229"/>
        <item x="178"/>
        <item x="94"/>
        <item x="48"/>
        <item m="1" x="262"/>
        <item x="98"/>
        <item x="151"/>
        <item x="99"/>
        <item x="189"/>
        <item x="96"/>
        <item x="137"/>
        <item x="204"/>
        <item x="167"/>
        <item x="6"/>
        <item x="60"/>
        <item x="230"/>
        <item x="242"/>
        <item x="251"/>
        <item x="68"/>
        <item x="212"/>
        <item x="134"/>
        <item x="112"/>
        <item x="0"/>
        <item x="215"/>
        <item x="129"/>
        <item x="157"/>
        <item x="209"/>
        <item x="146"/>
        <item x="92"/>
        <item x="116"/>
        <item x="141"/>
        <item x="8"/>
        <item x="17"/>
        <item x="107"/>
        <item x="187"/>
        <item x="166"/>
        <item x="173"/>
        <item x="158"/>
        <item x="246"/>
        <item x="221"/>
        <item x="247"/>
        <item x="243"/>
        <item x="232"/>
        <item x="85"/>
        <item x="84"/>
        <item x="145"/>
        <item x="2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32">
    <i>
      <x v="6"/>
    </i>
    <i>
      <x v="7"/>
    </i>
    <i>
      <x v="8"/>
    </i>
    <i>
      <x v="55"/>
    </i>
    <i>
      <x v="67"/>
    </i>
    <i>
      <x v="115"/>
    </i>
    <i>
      <x v="117"/>
    </i>
    <i>
      <x v="129"/>
    </i>
    <i>
      <x v="152"/>
    </i>
    <i>
      <x v="179"/>
    </i>
    <i>
      <x v="180"/>
    </i>
    <i>
      <x v="181"/>
    </i>
    <i>
      <x v="182"/>
    </i>
    <i>
      <x v="183"/>
    </i>
    <i>
      <x v="185"/>
    </i>
    <i>
      <x v="190"/>
    </i>
    <i>
      <x v="194"/>
    </i>
    <i>
      <x v="196"/>
    </i>
    <i>
      <x v="197"/>
    </i>
    <i>
      <x v="199"/>
    </i>
    <i>
      <x v="201"/>
    </i>
    <i>
      <x v="205"/>
    </i>
    <i>
      <x v="206"/>
    </i>
    <i>
      <x v="207"/>
    </i>
    <i>
      <x v="232"/>
    </i>
    <i>
      <x v="249"/>
    </i>
    <i>
      <x v="257"/>
    </i>
    <i>
      <x v="258"/>
    </i>
    <i>
      <x v="259"/>
    </i>
    <i>
      <x v="264"/>
    </i>
    <i>
      <x v="267"/>
    </i>
    <i t="grand">
      <x/>
    </i>
  </rowItems>
  <colItems count="1">
    <i/>
  </colItems>
  <pageFields count="1">
    <pageField fld="10" item="1" hier="-1"/>
  </pageFields>
  <dataFields count="1">
    <dataField name=" %AVANCE PEDIDOS" fld="25" showDataAs="percentOfCol" baseField="1" baseItem="6" numFmtId="1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25B726-BB19-44BC-86F4-2752EDE3C5E7}" name="TablaDinámica6" cacheId="165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B752:F764" firstHeaderRow="1" firstDataRow="3" firstDataCol="1"/>
  <pivotFields count="18">
    <pivotField axis="axisRow" numFmtId="14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showAll="0"/>
    <pivotField showAll="0"/>
    <pivotField showAll="0"/>
    <pivotField showAll="0"/>
    <pivotField showAll="0"/>
    <pivotField showAll="0"/>
    <pivotField axis="axisCol" showAll="0">
      <items count="18">
        <item x="10"/>
        <item h="1" x="6"/>
        <item h="1" x="1"/>
        <item h="1" x="4"/>
        <item h="1" x="3"/>
        <item h="1" x="8"/>
        <item h="1" x="2"/>
        <item h="1" x="0"/>
        <item h="1" x="11"/>
        <item h="1" x="5"/>
        <item h="1" x="7"/>
        <item h="1" x="9"/>
        <item h="1" x="12"/>
        <item h="1" x="13"/>
        <item h="1" x="14"/>
        <item h="1" x="15"/>
        <item h="1" x="16"/>
        <item t="default"/>
      </items>
    </pivotField>
    <pivotField showAll="0"/>
    <pivotField name="CONSUMO2" dataField="1" showAll="0"/>
    <pivotField numFmtId="168" showAll="0"/>
    <pivotField showAll="0"/>
    <pivotField showAll="0"/>
    <pivotField dataField="1" showAll="0"/>
    <pivotField showAll="0"/>
    <pivotField numFmtId="168" showAll="0"/>
    <pivotField showAll="0"/>
    <pivotField numFmtId="168" showAll="0"/>
  </pivotFields>
  <rowFields count="1">
    <field x="0"/>
  </rowFields>
  <rowItems count="1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2">
    <field x="7"/>
    <field x="-2"/>
  </colFields>
  <colItems count="4">
    <i>
      <x/>
      <x/>
    </i>
    <i r="1" i="1">
      <x v="1"/>
    </i>
    <i t="grand">
      <x/>
    </i>
    <i t="grand" i="1">
      <x/>
    </i>
  </colItems>
  <dataFields count="2">
    <dataField name="Suma de CONSUMO2" fld="9" baseField="0" baseItem="0"/>
    <dataField name="Suma de ALCANCE FISICO" fld="13" baseField="0" baseItem="0"/>
  </dataFields>
  <chartFormats count="13">
    <chartFormat chart="0" format="0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0" format="29" series="1">
      <pivotArea type="data" outline="0" fieldPosition="0">
        <references count="1">
          <reference field="7" count="1" selected="0">
            <x v="4"/>
          </reference>
        </references>
      </pivotArea>
    </chartFormat>
    <chartFormat chart="0" format="30" series="1">
      <pivotArea type="data" outline="0" fieldPosition="0">
        <references count="1">
          <reference field="7" count="1" selected="0">
            <x v="2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2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6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8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8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0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0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68EC43-5115-43EA-ADF2-7EDF5845FFC0}" name="TablaDinámica1" cacheId="169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B4:C33" firstHeaderRow="1" firstDataRow="1" firstDataCol="1" rowPageCount="1" colPageCount="1"/>
  <pivotFields count="31">
    <pivotField showAll="0"/>
    <pivotField showAll="0"/>
    <pivotField axis="axisRow" showAll="0">
      <items count="163">
        <item x="0"/>
        <item x="125"/>
        <item x="97"/>
        <item x="84"/>
        <item x="132"/>
        <item x="11"/>
        <item x="103"/>
        <item x="27"/>
        <item x="110"/>
        <item x="106"/>
        <item x="17"/>
        <item x="47"/>
        <item x="46"/>
        <item x="53"/>
        <item x="69"/>
        <item x="157"/>
        <item x="12"/>
        <item x="67"/>
        <item x="126"/>
        <item x="22"/>
        <item x="21"/>
        <item x="23"/>
        <item x="107"/>
        <item x="139"/>
        <item x="34"/>
        <item x="105"/>
        <item x="57"/>
        <item x="154"/>
        <item x="73"/>
        <item x="66"/>
        <item x="145"/>
        <item x="1"/>
        <item x="68"/>
        <item x="65"/>
        <item x="54"/>
        <item x="136"/>
        <item x="99"/>
        <item x="135"/>
        <item x="3"/>
        <item x="13"/>
        <item x="159"/>
        <item x="7"/>
        <item x="85"/>
        <item x="41"/>
        <item x="151"/>
        <item x="64"/>
        <item x="78"/>
        <item x="43"/>
        <item x="32"/>
        <item x="74"/>
        <item x="143"/>
        <item x="42"/>
        <item x="127"/>
        <item x="24"/>
        <item x="118"/>
        <item x="50"/>
        <item x="133"/>
        <item x="71"/>
        <item x="150"/>
        <item x="131"/>
        <item x="80"/>
        <item x="128"/>
        <item x="158"/>
        <item x="58"/>
        <item x="56"/>
        <item x="109"/>
        <item x="138"/>
        <item x="146"/>
        <item x="9"/>
        <item x="4"/>
        <item x="111"/>
        <item x="141"/>
        <item x="121"/>
        <item x="28"/>
        <item x="119"/>
        <item x="76"/>
        <item x="77"/>
        <item x="94"/>
        <item x="37"/>
        <item x="93"/>
        <item x="152"/>
        <item x="51"/>
        <item x="48"/>
        <item x="49"/>
        <item x="148"/>
        <item x="29"/>
        <item x="5"/>
        <item x="30"/>
        <item x="123"/>
        <item x="140"/>
        <item x="120"/>
        <item x="116"/>
        <item x="112"/>
        <item x="153"/>
        <item x="124"/>
        <item x="14"/>
        <item x="75"/>
        <item x="82"/>
        <item x="113"/>
        <item x="114"/>
        <item x="31"/>
        <item x="102"/>
        <item x="63"/>
        <item x="62"/>
        <item x="16"/>
        <item x="20"/>
        <item x="19"/>
        <item x="122"/>
        <item x="89"/>
        <item x="18"/>
        <item x="39"/>
        <item x="72"/>
        <item x="149"/>
        <item x="92"/>
        <item x="160"/>
        <item x="38"/>
        <item x="98"/>
        <item x="35"/>
        <item x="26"/>
        <item x="33"/>
        <item x="36"/>
        <item x="40"/>
        <item x="144"/>
        <item x="45"/>
        <item x="60"/>
        <item x="44"/>
        <item x="129"/>
        <item x="55"/>
        <item x="147"/>
        <item x="10"/>
        <item x="108"/>
        <item x="79"/>
        <item x="86"/>
        <item x="61"/>
        <item x="2"/>
        <item x="117"/>
        <item x="83"/>
        <item x="130"/>
        <item x="6"/>
        <item x="101"/>
        <item x="155"/>
        <item x="137"/>
        <item x="59"/>
        <item x="134"/>
        <item x="88"/>
        <item x="8"/>
        <item x="115"/>
        <item x="142"/>
        <item x="95"/>
        <item x="100"/>
        <item x="156"/>
        <item x="96"/>
        <item x="91"/>
        <item x="70"/>
        <item x="15"/>
        <item x="104"/>
        <item x="52"/>
        <item x="87"/>
        <item x="25"/>
        <item x="161"/>
        <item x="81"/>
        <item x="90"/>
        <item t="default"/>
      </items>
    </pivotField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dataField="1" showAll="0"/>
    <pivotField numFmtId="168"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29">
    <i>
      <x/>
    </i>
    <i>
      <x v="2"/>
    </i>
    <i>
      <x v="3"/>
    </i>
    <i>
      <x v="4"/>
    </i>
    <i>
      <x v="30"/>
    </i>
    <i>
      <x v="37"/>
    </i>
    <i>
      <x v="44"/>
    </i>
    <i>
      <x v="79"/>
    </i>
    <i>
      <x v="96"/>
    </i>
    <i>
      <x v="97"/>
    </i>
    <i>
      <x v="107"/>
    </i>
    <i>
      <x v="108"/>
    </i>
    <i>
      <x v="109"/>
    </i>
    <i>
      <x v="110"/>
    </i>
    <i>
      <x v="111"/>
    </i>
    <i>
      <x v="113"/>
    </i>
    <i>
      <x v="118"/>
    </i>
    <i>
      <x v="131"/>
    </i>
    <i>
      <x v="132"/>
    </i>
    <i>
      <x v="136"/>
    </i>
    <i>
      <x v="144"/>
    </i>
    <i>
      <x v="148"/>
    </i>
    <i>
      <x v="149"/>
    </i>
    <i>
      <x v="152"/>
    </i>
    <i>
      <x v="153"/>
    </i>
    <i>
      <x v="157"/>
    </i>
    <i>
      <x v="160"/>
    </i>
    <i>
      <x v="161"/>
    </i>
    <i t="grand">
      <x/>
    </i>
  </rowItems>
  <colItems count="1">
    <i/>
  </colItems>
  <pageFields count="1">
    <pageField fld="10" item="1" hier="-1"/>
  </pageFields>
  <dataFields count="1">
    <dataField name=" AVANCE TEORICO MODULO" fld="19" baseField="1" baseItem="5" numFmtId="1"/>
  </dataFields>
  <chartFormats count="2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9DC7E8-4B37-43B5-B108-CA2BD6F72439}" name="TablaDinámica5" cacheId="169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chartFormat="1">
  <location ref="B526:E557" firstHeaderRow="0" firstDataRow="1" firstDataCol="1" rowPageCount="1" colPageCount="1"/>
  <pivotFields count="31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sortType="ascending" defaultSubtotal="0">
      <items count="32">
        <item x="0"/>
        <item x="21"/>
        <item x="11"/>
        <item x="25"/>
        <item x="28"/>
        <item x="26"/>
        <item x="30"/>
        <item x="19"/>
        <item x="9"/>
        <item x="24"/>
        <item x="15"/>
        <item x="4"/>
        <item x="1"/>
        <item x="5"/>
        <item x="18"/>
        <item x="27"/>
        <item x="12"/>
        <item x="10"/>
        <item x="14"/>
        <item x="20"/>
        <item x="22"/>
        <item x="17"/>
        <item x="3"/>
        <item x="13"/>
        <item x="8"/>
        <item x="16"/>
        <item x="6"/>
        <item m="1" x="31"/>
        <item x="2"/>
        <item x="7"/>
        <item x="23"/>
        <item x="29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Page" compact="0" outline="0" showAll="0" defaultSubtotal="0">
      <items count="2">
        <item x="0"/>
        <item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numFmtId="168" outline="0" showAll="0" defaultSubtotal="0"/>
    <pivotField compact="0" numFmtId="168" outline="0" showAll="0" defaultSubtotal="0"/>
    <pivotField compact="0" numFmtId="168" outline="0" showAll="0" defaultSubtotal="0"/>
    <pivotField compact="0" outline="0" showAll="0" defaultSubtotal="0"/>
    <pivotField compact="0" numFmtId="168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</pivotFields>
  <rowFields count="1">
    <field x="9"/>
  </rowFields>
  <rowItems count="31">
    <i>
      <x v="6"/>
    </i>
    <i>
      <x v="31"/>
    </i>
    <i>
      <x v="4"/>
    </i>
    <i>
      <x v="15"/>
    </i>
    <i>
      <x v="5"/>
    </i>
    <i>
      <x v="3"/>
    </i>
    <i>
      <x v="9"/>
    </i>
    <i>
      <x v="30"/>
    </i>
    <i>
      <x v="20"/>
    </i>
    <i>
      <x v="1"/>
    </i>
    <i>
      <x v="19"/>
    </i>
    <i>
      <x v="7"/>
    </i>
    <i>
      <x v="14"/>
    </i>
    <i>
      <x v="21"/>
    </i>
    <i>
      <x v="25"/>
    </i>
    <i>
      <x v="18"/>
    </i>
    <i>
      <x v="23"/>
    </i>
    <i>
      <x v="16"/>
    </i>
    <i>
      <x v="2"/>
    </i>
    <i>
      <x v="17"/>
    </i>
    <i>
      <x v="8"/>
    </i>
    <i>
      <x v="24"/>
    </i>
    <i>
      <x v="12"/>
    </i>
    <i>
      <x v="10"/>
    </i>
    <i>
      <x v="29"/>
    </i>
    <i>
      <x v="26"/>
    </i>
    <i>
      <x v="13"/>
    </i>
    <i>
      <x v="11"/>
    </i>
    <i>
      <x v="22"/>
    </i>
    <i>
      <x v="2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0" item="1" hier="-1"/>
  </pageFields>
  <dataFields count="3">
    <dataField name=" CANTIDAD TOTAL" fld="15" baseField="8" baseItem="1" numFmtId="3"/>
    <dataField name=" CANT. COMPRADA" fld="16" baseField="8" baseItem="1" numFmtId="171"/>
    <dataField name=" % AVANCE TOTAL" fld="30" baseField="8" baseItem="1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AF67B7-B10E-46C0-8996-E62F99B0BF19}" name="TablaDinámica4" cacheId="169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DESCRIPCIÓN">
  <location ref="B421:D428" firstHeaderRow="0" firstDataRow="1" firstDataCol="1" rowPageCount="1" colPageCount="1"/>
  <pivotFields count="31">
    <pivotField showAll="0"/>
    <pivotField axis="axisRow" showAll="0" measureFilter="1" sortType="descending">
      <items count="270">
        <item x="182"/>
        <item x="43"/>
        <item x="194"/>
        <item x="124"/>
        <item x="200"/>
        <item x="198"/>
        <item x="138"/>
        <item x="161"/>
        <item x="206"/>
        <item x="62"/>
        <item x="12"/>
        <item x="74"/>
        <item x="169"/>
        <item x="30"/>
        <item x="9"/>
        <item x="180"/>
        <item x="181"/>
        <item x="175"/>
        <item x="19"/>
        <item x="50"/>
        <item x="51"/>
        <item x="63"/>
        <item x="86"/>
        <item x="113"/>
        <item x="114"/>
        <item x="216"/>
        <item x="245"/>
        <item x="81"/>
        <item x="13"/>
        <item x="83"/>
        <item x="160"/>
        <item x="110"/>
        <item x="172"/>
        <item x="199"/>
        <item x="59"/>
        <item x="58"/>
        <item x="218"/>
        <item x="26"/>
        <item x="177"/>
        <item x="37"/>
        <item x="174"/>
        <item x="90"/>
        <item x="71"/>
        <item x="147"/>
        <item x="237"/>
        <item x="241"/>
        <item x="70"/>
        <item x="75"/>
        <item x="121"/>
        <item x="108"/>
        <item x="226"/>
        <item x="1"/>
        <item x="111"/>
        <item x="239"/>
        <item x="87"/>
        <item x="227"/>
        <item x="139"/>
        <item x="105"/>
        <item x="73"/>
        <item x="211"/>
        <item x="64"/>
        <item x="164"/>
        <item x="210"/>
        <item x="176"/>
        <item x="3"/>
        <item x="7"/>
        <item x="14"/>
        <item x="72"/>
        <item x="133"/>
        <item x="45"/>
        <item x="150"/>
        <item x="140"/>
        <item x="162"/>
        <item x="225"/>
        <item x="103"/>
        <item x="46"/>
        <item x="130"/>
        <item x="47"/>
        <item x="122"/>
        <item x="223"/>
        <item x="35"/>
        <item x="201"/>
        <item x="65"/>
        <item x="27"/>
        <item x="190"/>
        <item x="54"/>
        <item x="207"/>
        <item x="159"/>
        <item x="118"/>
        <item x="79"/>
        <item x="142"/>
        <item x="234"/>
        <item x="80"/>
        <item x="208"/>
        <item x="143"/>
        <item x="69"/>
        <item x="244"/>
        <item x="106"/>
        <item x="61"/>
        <item x="127"/>
        <item x="205"/>
        <item x="132"/>
        <item x="93"/>
        <item x="202"/>
        <item x="115"/>
        <item x="248"/>
        <item x="135"/>
        <item x="249"/>
        <item x="152"/>
        <item x="91"/>
        <item x="89"/>
        <item x="149"/>
        <item x="25"/>
        <item x="24"/>
        <item x="179"/>
        <item x="217"/>
        <item x="36"/>
        <item x="39"/>
        <item x="214"/>
        <item x="213"/>
        <item x="38"/>
        <item x="228"/>
        <item x="29"/>
        <item x="10"/>
        <item x="183"/>
        <item x="4"/>
        <item x="220"/>
        <item x="193"/>
        <item x="66"/>
        <item x="191"/>
        <item x="31"/>
        <item x="128"/>
        <item x="125"/>
        <item x="235"/>
        <item x="236"/>
        <item x="156"/>
        <item x="171"/>
        <item x="40"/>
        <item x="56"/>
        <item x="155"/>
        <item x="55"/>
        <item x="52"/>
        <item x="53"/>
        <item x="231"/>
        <item x="32"/>
        <item x="5"/>
        <item x="33"/>
        <item x="196"/>
        <item x="77"/>
        <item x="219"/>
        <item x="192"/>
        <item x="188"/>
        <item x="184"/>
        <item x="240"/>
        <item x="197"/>
        <item x="15"/>
        <item x="185"/>
        <item x="186"/>
        <item x="34"/>
        <item x="168"/>
        <item x="101"/>
        <item x="100"/>
        <item x="165"/>
        <item x="21"/>
        <item x="109"/>
        <item x="222"/>
        <item x="42"/>
        <item x="76"/>
        <item x="195"/>
        <item x="148"/>
        <item x="20"/>
        <item x="119"/>
        <item x="22"/>
        <item x="18"/>
        <item x="126"/>
        <item x="23"/>
        <item x="120"/>
        <item x="233"/>
        <item x="82"/>
        <item x="78"/>
        <item x="154"/>
        <item x="2"/>
        <item x="131"/>
        <item x="136"/>
        <item x="57"/>
        <item x="123"/>
        <item x="250"/>
        <item x="144"/>
        <item x="104"/>
        <item x="16"/>
        <item x="170"/>
        <item x="117"/>
        <item x="153"/>
        <item x="238"/>
        <item x="41"/>
        <item x="97"/>
        <item x="163"/>
        <item x="67"/>
        <item x="102"/>
        <item x="44"/>
        <item x="224"/>
        <item x="49"/>
        <item x="95"/>
        <item x="203"/>
        <item x="88"/>
        <item x="11"/>
        <item x="229"/>
        <item x="178"/>
        <item x="94"/>
        <item x="48"/>
        <item x="98"/>
        <item x="151"/>
        <item x="99"/>
        <item x="189"/>
        <item x="96"/>
        <item x="137"/>
        <item x="204"/>
        <item x="167"/>
        <item x="6"/>
        <item x="60"/>
        <item x="230"/>
        <item x="242"/>
        <item x="251"/>
        <item x="68"/>
        <item x="212"/>
        <item x="134"/>
        <item x="112"/>
        <item x="0"/>
        <item x="215"/>
        <item x="129"/>
        <item x="157"/>
        <item x="209"/>
        <item x="146"/>
        <item x="92"/>
        <item x="116"/>
        <item x="141"/>
        <item x="8"/>
        <item x="17"/>
        <item x="107"/>
        <item x="187"/>
        <item x="166"/>
        <item x="173"/>
        <item x="158"/>
        <item x="246"/>
        <item x="221"/>
        <item x="247"/>
        <item x="243"/>
        <item x="232"/>
        <item x="85"/>
        <item x="84"/>
        <item x="145"/>
        <item x="28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7">
    <i>
      <x v="38"/>
    </i>
    <i>
      <x v="72"/>
    </i>
    <i>
      <x v="135"/>
    </i>
    <i>
      <x v="241"/>
    </i>
    <i>
      <x v="40"/>
    </i>
    <i>
      <x v="8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" baseItem="0" numFmtId="10"/>
    <dataField name="COMPRAS" fld="20" baseField="1" baseItem="0" numFmtId="37"/>
  </dataFields>
  <pivotTableStyleInfo name="PivotStyleLight16" showRowHeaders="1" showColHeaders="1" showRowStripes="0" showColStripes="0" showLastColumn="1"/>
  <filters count="1">
    <filter fld="1" type="valueGreaterThanOrEqual" evalOrder="-1" id="1" iMeasureFld="0">
      <autoFilter ref="A1">
        <filterColumn colId="0">
          <customFilters>
            <customFilter operator="greaterThanOrEqual" val="1E-3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DF9836-0718-4E12-BC3F-A01EF742027E}" name="TablaDinámica1" cacheId="1688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10:H42" firstHeaderRow="1" firstDataRow="2" firstDataCol="1" rowPageCount="1" colPageCount="1"/>
  <pivotFields count="35">
    <pivotField numFmtId="14" showAll="0"/>
    <pivotField numFmtId="14" showAll="0">
      <items count="126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t="default"/>
      </items>
    </pivotField>
    <pivotField showAll="0"/>
    <pivotField showAll="0"/>
    <pivotField showAll="0"/>
    <pivotField showAll="0"/>
    <pivotField axis="axisRow" showAll="0">
      <items count="286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4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m="1" x="281"/>
        <item x="216"/>
        <item x="217"/>
        <item x="218"/>
        <item x="219"/>
        <item x="220"/>
        <item x="221"/>
        <item x="222"/>
        <item m="1" x="283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dataField="1"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2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7" item="1" hier="-1"/>
  </pageFields>
  <dataFields count="1">
    <dataField name="% DESVIACION PRECIO " fld="25" subtotal="average" baseField="5" baseItem="115" numFmtId="9"/>
  </dataFields>
  <formats count="7">
    <format dxfId="197">
      <pivotArea type="all" dataOnly="0" outline="0" fieldPosition="0"/>
    </format>
    <format dxfId="198">
      <pivotArea outline="0" collapsedLevelsAreSubtotals="1" fieldPosition="0"/>
    </format>
    <format dxfId="199">
      <pivotArea type="origin" dataOnly="0" labelOnly="1" outline="0" fieldPosition="0"/>
    </format>
    <format dxfId="200">
      <pivotArea type="topRight" dataOnly="0" labelOnly="1" outline="0" fieldPosition="0"/>
    </format>
    <format dxfId="201">
      <pivotArea field="6" type="button" dataOnly="0" labelOnly="1" outline="0" axis="axisRow" fieldPosition="0"/>
    </format>
    <format dxfId="202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203">
      <pivotArea dataOnly="0" labelOnly="1" grandRow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3A29C5-05AF-4989-AB3A-BE9C72BAC785}" name="TablaDinámica2" cacheId="1688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AP10:AV42" firstHeaderRow="1" firstDataRow="2" firstDataCol="1" rowPageCount="1" colPageCount="1"/>
  <pivotFields count="35">
    <pivotField numFmtId="14" showAll="0"/>
    <pivotField numFmtId="14" showAll="0">
      <items count="126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t="default"/>
      </items>
    </pivotField>
    <pivotField showAll="0"/>
    <pivotField showAll="0"/>
    <pivotField showAll="0"/>
    <pivotField showAll="0"/>
    <pivotField axis="axisRow" showAll="0">
      <items count="286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4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m="1" x="281"/>
        <item x="216"/>
        <item x="217"/>
        <item x="218"/>
        <item x="219"/>
        <item x="220"/>
        <item x="221"/>
        <item x="222"/>
        <item m="1" x="283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2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7" item="1" hier="-1"/>
  </pageFields>
  <dataFields count="1">
    <dataField name=" DIF VALOR TOTAL PAGADO" fld="16" baseField="5" baseItem="121" numFmtId="167"/>
  </dataFields>
  <formats count="8">
    <format dxfId="189">
      <pivotArea type="all" dataOnly="0" outline="0" fieldPosition="0"/>
    </format>
    <format dxfId="190">
      <pivotArea outline="0" collapsedLevelsAreSubtotals="1" fieldPosition="0"/>
    </format>
    <format dxfId="191">
      <pivotArea type="origin" dataOnly="0" labelOnly="1" outline="0" fieldPosition="0"/>
    </format>
    <format dxfId="192">
      <pivotArea type="topRight" dataOnly="0" labelOnly="1" outline="0" fieldPosition="0"/>
    </format>
    <format dxfId="193">
      <pivotArea field="6" type="button" dataOnly="0" labelOnly="1" outline="0" axis="axisRow" fieldPosition="0"/>
    </format>
    <format dxfId="194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195">
      <pivotArea dataOnly="0" labelOnly="1" grandRow="1" outline="0" fieldPosition="0"/>
    </format>
    <format dxfId="196">
      <pivotArea dataOnly="0" labelOnly="1" grandCol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4B3A28-20FD-4C5A-908D-6534E26B4D01}" name="TablaDinámica7" cacheId="1688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8:H40" firstHeaderRow="1" firstDataRow="2" firstDataCol="1" rowPageCount="1" colPageCount="1"/>
  <pivotFields count="35">
    <pivotField numFmtId="14" showAll="0"/>
    <pivotField numFmtId="14" showAll="0">
      <items count="126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t="default"/>
      </items>
    </pivotField>
    <pivotField showAll="0"/>
    <pivotField showAll="0"/>
    <pivotField showAll="0"/>
    <pivotField showAll="0"/>
    <pivotField axis="axisRow" showAll="0">
      <items count="286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4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m="1" x="281"/>
        <item x="216"/>
        <item x="217"/>
        <item x="218"/>
        <item x="219"/>
        <item x="220"/>
        <item x="221"/>
        <item x="222"/>
        <item m="1" x="283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2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7" item="1" hier="-1"/>
  </pageFields>
  <dataFields count="1">
    <dataField name="COMPRAS_VALOR" fld="13" baseField="6" baseItem="38" numFmtId="170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7C25B4-A1A2-4D76-9F6D-9291B20F58DE}" name="TablaDinámica8" cacheId="1688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 colHeaderCaption="CANTIDAD">
  <location ref="AI8:AO40" firstHeaderRow="1" firstDataRow="2" firstDataCol="1" rowPageCount="1" colPageCount="1"/>
  <pivotFields count="35">
    <pivotField numFmtId="14" showAll="0"/>
    <pivotField numFmtId="14" showAll="0">
      <items count="126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t="default"/>
      </items>
    </pivotField>
    <pivotField showAll="0"/>
    <pivotField showAll="0"/>
    <pivotField showAll="0"/>
    <pivotField showAll="0"/>
    <pivotField axis="axisRow" showAll="0">
      <items count="286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4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m="1" x="281"/>
        <item x="216"/>
        <item x="217"/>
        <item x="218"/>
        <item x="219"/>
        <item x="220"/>
        <item x="221"/>
        <item x="222"/>
        <item m="1" x="283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t="default"/>
      </items>
    </pivotField>
    <pivotField showAll="0"/>
    <pivotField numFmtId="168" showAll="0"/>
    <pivotField showAll="0"/>
    <pivotField dataField="1"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31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6"/>
    </i>
    <i>
      <x v="117"/>
    </i>
    <i>
      <x v="118"/>
    </i>
    <i>
      <x v="119"/>
    </i>
    <i>
      <x v="121"/>
    </i>
    <i>
      <x v="126"/>
    </i>
    <i>
      <x v="128"/>
    </i>
    <i>
      <x v="130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79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2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7" item="1" hier="-1"/>
  </pageFields>
  <dataFields count="1">
    <dataField name="Suma de CANTIDAD RECEPCIONADA" fld="10" baseField="6" baseItem="270" numFmtId="3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" connectionId="3" xr16:uid="{6BB9A53A-3AD0-44A9-BCA8-59A793AADA69}" autoFormatId="16" applyNumberFormats="0" applyBorderFormats="0" applyFontFormats="0" applyPatternFormats="0" applyAlignmentFormats="0" applyWidthHeightFormats="0">
  <queryTableRefresh nextId="11">
    <queryTableFields count="8">
      <queryTableField id="1" name="Artículo" tableColumnId="1"/>
      <queryTableField id="2" name="DESCRIPCION" tableColumnId="2"/>
      <queryTableField id="3" name="CANTIDAD POR MODULO" tableColumnId="3"/>
      <queryTableField id="6" name="CUB GP" tableColumnId="4"/>
      <queryTableField id="7" name="CUBICACION REAL" tableColumnId="5"/>
      <queryTableField id="8" name="Columna1" tableColumnId="6"/>
      <queryTableField id="9" name="CUB_ACTUALIZADA" tableColumnId="7"/>
      <queryTableField id="10" name="Columna2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" connectionId="7" xr16:uid="{25D54E7F-CE7C-49AC-B6D2-6D050ABC5D5F}" autoFormatId="16" applyNumberFormats="0" applyBorderFormats="0" applyFontFormats="0" applyPatternFormats="0" applyAlignmentFormats="0" applyWidthHeightFormats="0">
  <queryTableRefresh nextId="36" unboundColumnsRight="20">
    <queryTableFields count="29">
      <queryTableField id="1" name="CODIGO" tableColumnId="1"/>
      <queryTableField id="2" name="DESCRIPCION" tableColumnId="2"/>
      <queryTableField id="30" name="DESC CORTA" tableColumnId="26"/>
      <queryTableField id="3" name="GRUPO" tableColumnId="3"/>
      <queryTableField id="4" name="SUBGRUPO" tableColumnId="4"/>
      <queryTableField id="5" name="PPTO" tableColumnId="5"/>
      <queryTableField id="18" name="UNIDAD DE MEDIDAD" tableColumnId="14"/>
      <queryTableField id="26" name="PPTO_ACTUALIZADO" tableColumnId="22"/>
      <queryTableField id="27" name="Columna1" tableColumnId="23"/>
      <queryTableField id="28" dataBound="0" tableColumnId="24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29" dataBound="0" tableColumnId="25"/>
      <queryTableField id="11" dataBound="0" tableColumnId="11"/>
      <queryTableField id="32" dataBound="0" tableColumnId="12"/>
      <queryTableField id="33" dataBound="0" tableColumnId="27"/>
      <queryTableField id="13" dataBound="0" tableColumnId="13"/>
      <queryTableField id="19" dataBound="0" tableColumnId="15"/>
      <queryTableField id="20" dataBound="0" tableColumnId="16"/>
      <queryTableField id="21" dataBound="0" tableColumnId="17"/>
      <queryTableField id="22" dataBound="0" tableColumnId="18"/>
      <queryTableField id="23" dataBound="0" tableColumnId="19"/>
      <queryTableField id="24" dataBound="0" tableColumnId="20"/>
      <queryTableField id="25" dataBound="0" tableColumnId="21"/>
      <queryTableField id="34" dataBound="0" tableColumnId="28"/>
      <queryTableField id="35" dataBound="0" tableColumnId="29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8" xr16:uid="{21AC0BD5-D958-4AC5-9C77-566FA6709743}" autoFormatId="16" applyNumberFormats="0" applyBorderFormats="0" applyFontFormats="0" applyPatternFormats="0" applyAlignmentFormats="0" applyWidthHeightFormats="0">
  <queryTableRefresh nextId="21" unboundColumnsRight="11">
    <queryTableFields count="18">
      <queryTableField id="1" name="FECHA STOCK " tableColumnId="1"/>
      <queryTableField id="2" name="CODIGO" tableColumnId="2"/>
      <queryTableField id="3" name="MATERIAL" tableColumnId="3"/>
      <queryTableField id="4" name="U.M" tableColumnId="4"/>
      <queryTableField id="5" name="TOTAL SOLICITADO" tableColumnId="5"/>
      <queryTableField id="6" name="CANT X MODULO" tableColumnId="6"/>
      <queryTableField id="18" name="STOCK FISICO" tableColumnId="17"/>
      <queryTableField id="19" dataBound="0" tableColumnId="18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4" dataBound="0" tableColumnId="13"/>
      <queryTableField id="15" dataBound="0" tableColumnId="14"/>
      <queryTableField id="16" dataBound="0" tableColumnId="15"/>
      <queryTableField id="17" dataBound="0" tableColumnId="16"/>
      <queryTableField id="20" dataBound="0" tableColumnId="19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5" xr16:uid="{3E2EA253-B605-4D03-B8A6-261DA6BA245C}" autoFormatId="16" applyNumberFormats="0" applyBorderFormats="0" applyFontFormats="0" applyPatternFormats="0" applyAlignmentFormats="0" applyWidthHeightFormats="0">
  <queryTableRefresh nextId="40" unboundColumnsRight="5">
    <queryTableFields count="30">
      <queryTableField id="1" name="FECHA GUIA" tableColumnId="1"/>
      <queryTableField id="2" name="FECHA SOLICITUD" tableColumnId="2"/>
      <queryTableField id="3" name="OBS. MODULO" tableColumnId="3"/>
      <queryTableField id="38" name="MES" tableColumnId="27"/>
      <queryTableField id="4" name="OBS TRABAJO MODULO" tableColumnId="4"/>
      <queryTableField id="5" name="CODIGO" tableColumnId="5"/>
      <queryTableField id="6" name="DESCRIPCION MATERIALES" tableColumnId="6"/>
      <queryTableField id="7" name="UNIDAD DE MEDIDA" tableColumnId="7"/>
      <queryTableField id="8" name="CANTIDAD SOLICITADA" tableColumnId="8"/>
      <queryTableField id="9" name="DEVOLUCIÓN" tableColumnId="9"/>
      <queryTableField id="35" name="CANTIDAD RECEPCIONADA" tableColumnId="29"/>
      <queryTableField id="10" name="VALOR X UN (GD)" tableColumnId="10"/>
      <queryTableField id="11" name="VALOR TOTAL GD POR ITEM" tableColumnId="11"/>
      <queryTableField id="12" name="VALOR TOTAL POR ITEM GD" tableColumnId="12"/>
      <queryTableField id="13" name="VALOR PPTO" tableColumnId="13"/>
      <queryTableField id="14" name="DIF. VALOR UND." tableColumnId="14"/>
      <queryTableField id="15" name="DIF VALOR TOTAL PAGADO" tableColumnId="15"/>
      <queryTableField id="16" name="DIF %" tableColumnId="16"/>
      <queryTableField id="17" name="COMETARIO DIF $" tableColumnId="17"/>
      <queryTableField id="18" name="GD" tableColumnId="18"/>
      <queryTableField id="19" name="MONTO GD" tableColumnId="19"/>
      <queryTableField id="20" name="OC" tableColumnId="20"/>
      <queryTableField id="21" name="Presupuesto" tableColumnId="21"/>
      <queryTableField id="34" name="TOTAL SEGÚN PPTO" tableColumnId="28"/>
      <queryTableField id="37" name="TAREA WIP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31" dataBound="0" tableColumnId="3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6" xr16:uid="{B6761239-D7B9-4EF3-8EF5-63B19D5CCBF7}" autoFormatId="16" applyNumberFormats="0" applyBorderFormats="0" applyFontFormats="0" applyPatternFormats="0" applyAlignmentFormats="0" applyWidthHeightFormats="0">
  <queryTableRefresh nextId="14" unboundColumnsRight="1">
    <queryTableFields count="10">
      <queryTableField id="9" name="FECHA GD" tableColumnId="1"/>
      <queryTableField id="10" name="FECHA DESPACHO " tableColumnId="9"/>
      <queryTableField id="2" name="GD" tableColumnId="2"/>
      <queryTableField id="3" name="MODULO NRO SERIE " tableColumnId="3"/>
      <queryTableField id="4" name="CANTIDAD" tableColumnId="4"/>
      <queryTableField id="5" name="MONTO NETO " tableColumnId="5"/>
      <queryTableField id="6" name="MODULO" tableColumnId="6"/>
      <queryTableField id="7" name="TORRE" tableColumnId="7"/>
      <queryTableField id="8" name="TIPO" tableColumnId="8"/>
      <queryTableField id="13" dataBound="0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9D72B075-2897-4DB0-9962-372B78D6DE9D}" autoFormatId="16" applyNumberFormats="0" applyBorderFormats="0" applyFontFormats="0" applyPatternFormats="0" applyAlignmentFormats="0" applyWidthHeightFormats="0">
  <queryTableRefresh nextId="22" unboundColumnsRight="11">
    <queryTableFields count="21">
      <queryTableField id="1" name="Días" tableColumnId="1"/>
      <queryTableField id="2" name="INICIO PLANIFICADO" tableColumnId="2"/>
      <queryTableField id="3" name="PLAN ACUMULADO" tableColumnId="3"/>
      <queryTableField id="4" name="INICIO REAL" tableColumnId="4"/>
      <queryTableField id="5" name="INICIO REAL ACUMULADO" tableColumnId="5"/>
      <queryTableField id="6" name="FECHA TERMINO PLANIFICADO" tableColumnId="6"/>
      <queryTableField id="7" name="TERMINO PLAN ACUMULADO" tableColumnId="7"/>
      <queryTableField id="8" name="FECHA TERMINO REAL" tableColumnId="8"/>
      <queryTableField id="9" name="TERMINO REAL ACUMULADO" tableColumnId="9"/>
      <queryTableField id="10" name="MES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2" xr16:uid="{8B03C580-EDA9-4D06-9454-418F7F580C59}" autoFormatId="16" applyNumberFormats="0" applyBorderFormats="0" applyFontFormats="0" applyPatternFormats="0" applyAlignmentFormats="0" applyWidthHeightFormats="0">
  <queryTableRefresh nextId="63" unboundColumnsRight="4">
    <queryTableFields count="61">
      <queryTableField id="1" name="TORRE" tableColumnId="1"/>
      <queryTableField id="2" name="N° MÓDULO" tableColumnId="2"/>
      <queryTableField id="3" name="N° SERIE" tableColumnId="3"/>
      <queryTableField id="4" name="TIPO" tableColumnId="4"/>
      <queryTableField id="5" name="% AVANCE" tableColumnId="5"/>
      <queryTableField id="6" name="FECHA INICIO TEORICO" tableColumnId="6"/>
      <queryTableField id="7" name="FECHA INICIO REAL" tableColumnId="7"/>
      <queryTableField id="8" name="FECHA ULTIMO REGISTRO" tableColumnId="8"/>
      <queryTableField id="9" name="FECHA TERMINO  PLANIFICADO" tableColumnId="9"/>
      <queryTableField id="15" name="DIAS SIN MOVIMIENTO" tableColumnId="15"/>
      <queryTableField id="10" name="FECHA TERMINO" tableColumnId="10"/>
      <queryTableField id="17" name="APORTE OBRA GRUESA" tableColumnId="16"/>
      <queryTableField id="18" name="OBRA GRUESA" tableColumnId="17"/>
      <queryTableField id="19" name="PISO" tableColumnId="18"/>
      <queryTableField id="20" name="TABIQUES" tableColumnId="19"/>
      <queryTableField id="21" name="MUROS" tableColumnId="20"/>
      <queryTableField id="22" name="CIELO" tableColumnId="21"/>
      <queryTableField id="23" name="BALCÓN" tableColumnId="22"/>
      <queryTableField id="24" name="APORTE SANITARIO" tableColumnId="23"/>
      <queryTableField id="25" name="SANITARIO" tableColumnId="24"/>
      <queryTableField id="26" name="RED ALCANTARILLADO" tableColumnId="25"/>
      <queryTableField id="27" name="RED DE AGUA" tableColumnId="26"/>
      <queryTableField id="28" name="VENTILACIONES" tableColumnId="27"/>
      <queryTableField id="29" name="TINA" tableColumnId="28"/>
      <queryTableField id="30" name="WC" tableColumnId="29"/>
      <queryTableField id="31" name="LAVAMANOS / LAVAPLATOS / LAVADERO" tableColumnId="30"/>
      <queryTableField id="32" name="APORTE ELÉCTRICO" tableColumnId="31"/>
      <queryTableField id="33" name="ELÉCTRICO" tableColumnId="32"/>
      <queryTableField id="34" name="CANALIZACIÓN" tableColumnId="33"/>
      <queryTableField id="35" name="CABLEADO" tableColumnId="34"/>
      <queryTableField id="36" name="ARTEFACTOS" tableColumnId="35"/>
      <queryTableField id="37" name="TABLERO" tableColumnId="36"/>
      <queryTableField id="38" name="CAJA PAU" tableColumnId="37"/>
      <queryTableField id="39" name="APORTE TERMINACIONES" tableColumnId="38"/>
      <queryTableField id="40" name="TERMINACIONES" tableColumnId="39"/>
      <queryTableField id="41" name="INSTALACION VINILICO" tableColumnId="40"/>
      <queryTableField id="42" name="OSB CUBIERTA" tableColumnId="41"/>
      <queryTableField id="43" name="BARANDA BALCON" tableColumnId="42"/>
      <queryTableField id="44" name="OSB EXTERIOR" tableColumnId="43"/>
      <queryTableField id="45" name="SMART PANEL" tableColumnId="44"/>
      <queryTableField id="46" name="PINTURA EXTERIOR" tableColumnId="45"/>
      <queryTableField id="47" name="ZOCALOS LOGIA" tableColumnId="46"/>
      <queryTableField id="48" name="MOLDURAS" tableColumnId="47"/>
      <queryTableField id="49" name="PILASTREO" tableColumnId="48"/>
      <queryTableField id="50" name="CELOSIAS" tableColumnId="49"/>
      <queryTableField id="51" name="VENTANAS" tableColumnId="50"/>
      <queryTableField id="52" name="PUERTAS ACCESO - LOGIA - BANO" tableColumnId="51"/>
      <queryTableField id="53" name="CERRADURAS" tableColumnId="52"/>
      <queryTableField id="54" name="REVESTIMIENTO INTERIOR ZONA SECA" tableColumnId="53"/>
      <queryTableField id="55" name="REVESTIMIENTO INTERIOR ZONAS HUMEDAS" tableColumnId="54"/>
      <queryTableField id="56" name="MEMBRANA CIELO" tableColumnId="55"/>
      <queryTableField id="57" name="LIMPIEZA FINAL" tableColumnId="56"/>
      <queryTableField id="58" name="PUERTAS DORMITORIO" tableColumnId="57"/>
      <queryTableField id="59" name="REVESTIMIENTO INTERIOR BANO" tableColumnId="58"/>
      <queryTableField id="60" name="MUEBLE LAVAPLATOS" tableColumnId="59"/>
      <queryTableField id="61" name="IMPERMEABILIZACION BANO - COCINA LOGIA" tableColumnId="60"/>
      <queryTableField id="62" name="METROS CUADRADOS" tableColumnId="61"/>
      <queryTableField id="11" dataBound="0" tableColumnId="11"/>
      <queryTableField id="12" dataBound="0" tableColumnId="12"/>
      <queryTableField id="13" dataBound="0" tableColumnId="13"/>
      <queryTableField id="14" dataBound="0" tableColumnId="14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4" xr16:uid="{1F04DED3-9669-4E61-912E-74E343812F9E}" autoFormatId="16" applyNumberFormats="0" applyBorderFormats="0" applyFontFormats="0" applyPatternFormats="0" applyAlignmentFormats="0" applyWidthHeightFormats="0">
  <queryTableRefresh nextId="15" unboundColumnsRight="8">
    <queryTableFields count="14">
      <queryTableField id="1" name="Fecha" tableColumnId="1"/>
      <queryTableField id="2" name="% Avance Teórico Acumulado" tableColumnId="2"/>
      <queryTableField id="3" name="% Avance Diario" tableColumnId="3"/>
      <queryTableField id="4" name="Módulos Activos" tableColumnId="4"/>
      <queryTableField id="11" name="M2 Avance Programado" tableColumnId="11"/>
      <queryTableField id="14" name="M2 Avance Diario" tableColumnId="1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2" dataBound="0" tableColumnId="12"/>
      <queryTableField id="13" dataBound="0" tableColumnId="13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" xr10:uid="{C8C700EF-9A47-413A-80FC-50463451908D}" sourceName="TIPO PRODUCTO">
  <pivotTables>
    <pivotTable tabId="25" name="TablaDinámica1"/>
    <pivotTable tabId="25" name="TablaDinámica2"/>
  </pivotTables>
  <data>
    <tabular pivotCacheId="1087107532">
      <items count="2">
        <i x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1" xr10:uid="{83D69EAC-DDAC-46FD-9114-505C06414817}" sourceName="TIPO PRODUCTO">
  <pivotTables>
    <pivotTable tabId="28" name="TablaDinámica7"/>
    <pivotTable tabId="28" name="TablaDinámica8"/>
  </pivotTables>
  <data>
    <tabular pivotCacheId="1087107532">
      <items count="2">
        <i x="1"/>
        <i x="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" xr10:uid="{86E4DD15-B1EB-425F-A671-98491C56796F}" sourceName="DESCRIPCION 2">
  <pivotTables>
    <pivotTable tabId="23" name="TablaDinámica8"/>
  </pivotTables>
  <data>
    <tabular pivotCacheId="1087107532">
      <items count="149">
        <i x="4"/>
        <i x="96"/>
        <i x="6" s="1"/>
        <i x="12"/>
        <i x="45"/>
        <i x="121"/>
        <i x="98"/>
        <i x="43"/>
        <i x="0"/>
        <i x="14"/>
        <i x="13"/>
        <i x="65"/>
        <i x="95"/>
        <i x="46"/>
        <i x="2"/>
        <i x="3"/>
        <i x="92"/>
        <i x="57"/>
        <i x="38"/>
        <i x="10"/>
        <i x="99"/>
        <i x="8"/>
        <i x="146"/>
        <i x="145"/>
        <i x="94"/>
        <i x="93"/>
        <i x="97"/>
        <i x="100" nd="1"/>
        <i x="101" nd="1"/>
        <i x="33" nd="1"/>
        <i x="130" nd="1"/>
        <i x="58" nd="1"/>
        <i x="24" nd="1"/>
        <i x="141" nd="1"/>
        <i x="44" nd="1"/>
        <i x="83" nd="1"/>
        <i x="82" nd="1"/>
        <i x="39" nd="1"/>
        <i x="35" nd="1"/>
        <i x="113" nd="1"/>
        <i x="86" nd="1"/>
        <i x="50" nd="1"/>
        <i x="49" nd="1"/>
        <i x="51" nd="1"/>
        <i x="138" nd="1"/>
        <i x="114" nd="1"/>
        <i x="72" nd="1"/>
        <i x="139" nd="1"/>
        <i x="104" nd="1"/>
        <i x="69" nd="1"/>
        <i x="89" nd="1"/>
        <i x="9" nd="1"/>
        <i x="5" nd="1"/>
        <i x="68" nd="1"/>
        <i x="32" nd="1"/>
        <i x="142" nd="1"/>
        <i x="18" nd="1"/>
        <i x="36" nd="1"/>
        <i x="27" nd="1"/>
        <i x="137" nd="1"/>
        <i x="77" nd="1"/>
        <i x="123" nd="1"/>
        <i x="122" nd="1"/>
        <i x="79" nd="1"/>
        <i x="70" nd="1"/>
        <i x="124" nd="1"/>
        <i x="143" nd="1"/>
        <i x="78" nd="1"/>
        <i x="118" nd="1"/>
        <i x="55" nd="1"/>
        <i x="110" nd="1"/>
        <i x="88" nd="1"/>
        <i x="117" nd="1"/>
        <i x="11" nd="1"/>
        <i x="90" nd="1"/>
        <i x="66" nd="1"/>
        <i x="67" nd="1"/>
        <i x="31" nd="1"/>
        <i x="102" nd="1"/>
        <i x="112" nd="1"/>
        <i x="20" nd="1"/>
        <i x="126" nd="1"/>
        <i x="144" nd="1"/>
        <i x="29" nd="1"/>
        <i x="19" nd="1"/>
        <i x="107" nd="1"/>
        <i x="26" nd="1"/>
        <i x="128" nd="1"/>
        <i x="59" nd="1"/>
        <i x="134" nd="1"/>
        <i x="53" nd="1"/>
        <i x="54" nd="1"/>
        <i x="140" nd="1"/>
        <i x="75" nd="1"/>
        <i x="91" nd="1"/>
        <i x="84" nd="1"/>
        <i x="85" nd="1"/>
        <i x="16" nd="1"/>
        <i x="60" nd="1"/>
        <i x="22" nd="1"/>
        <i x="61" nd="1"/>
        <i x="25" nd="1"/>
        <i x="147" nd="1"/>
        <i x="133" nd="1"/>
        <i x="132" nd="1"/>
        <i x="127" nd="1"/>
        <i x="125" nd="1"/>
        <i x="37" nd="1"/>
        <i x="116" nd="1"/>
        <i x="115" nd="1"/>
        <i x="62" nd="1"/>
        <i x="129" nd="1"/>
        <i x="119" nd="1"/>
        <i x="120" nd="1"/>
        <i x="42" nd="1"/>
        <i x="48" nd="1"/>
        <i x="47" nd="1"/>
        <i x="34" nd="1"/>
        <i x="7" nd="1"/>
        <i x="131" nd="1"/>
        <i x="73" nd="1"/>
        <i x="71" nd="1"/>
        <i x="74" nd="1"/>
        <i x="76" nd="1"/>
        <i x="136" nd="1"/>
        <i x="81" nd="1"/>
        <i x="40" nd="1"/>
        <i x="80" nd="1"/>
        <i x="108" nd="1"/>
        <i x="109" nd="1"/>
        <i x="106" nd="1"/>
        <i x="30" nd="1"/>
        <i x="17" nd="1"/>
        <i x="21" nd="1"/>
        <i x="15" nd="1"/>
        <i x="111" nd="1"/>
        <i x="135" nd="1"/>
        <i x="23" nd="1"/>
        <i x="103" nd="1"/>
        <i x="52" nd="1"/>
        <i x="63" nd="1"/>
        <i x="64" nd="1"/>
        <i x="28" nd="1"/>
        <i x="105" nd="1"/>
        <i x="148" nd="1"/>
        <i x="87" nd="1"/>
        <i x="1" nd="1"/>
        <i x="41" nd="1"/>
        <i x="56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" xr10:uid="{B582C0FD-2B7B-433D-9CFE-B1E6F208B2B8}" sourceName="DESCRIPCION">
  <pivotTables>
    <pivotTable tabId="29" name="TablaDinámica6"/>
  </pivotTables>
  <data>
    <tabular pivotCacheId="1256555093">
      <items count="17">
        <i x="13"/>
        <i x="10" s="1"/>
        <i x="14"/>
        <i x="6"/>
        <i x="1"/>
        <i x="4"/>
        <i x="3"/>
        <i x="8"/>
        <i x="2"/>
        <i x="0"/>
        <i x="16"/>
        <i x="11"/>
        <i x="5"/>
        <i x="7"/>
        <i x="9"/>
        <i x="12"/>
        <i x="15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1" xr10:uid="{925EE99D-B32D-45D1-A8F5-EBE47B2F3F26}" sourceName="DESCRIPCION 2">
  <pivotTables>
    <pivotTable tabId="28" name="TablaDinámica7"/>
    <pivotTable tabId="28" name="TablaDinámica8"/>
  </pivotTables>
  <data>
    <tabular pivotCacheId="1087107532">
      <items count="149">
        <i x="4" s="1"/>
        <i x="96" s="1"/>
        <i x="6" s="1"/>
        <i x="12" s="1"/>
        <i x="45" s="1"/>
        <i x="121" s="1"/>
        <i x="98" s="1"/>
        <i x="43" s="1"/>
        <i x="0" s="1"/>
        <i x="14" s="1"/>
        <i x="13" s="1"/>
        <i x="65" s="1"/>
        <i x="95" s="1"/>
        <i x="46" s="1"/>
        <i x="2" s="1"/>
        <i x="3" s="1"/>
        <i x="92" s="1"/>
        <i x="57" s="1"/>
        <i x="38" s="1"/>
        <i x="10" s="1"/>
        <i x="99" s="1"/>
        <i x="8" s="1"/>
        <i x="146" s="1"/>
        <i x="145" s="1"/>
        <i x="94" s="1"/>
        <i x="93" s="1"/>
        <i x="97" s="1"/>
        <i x="100" s="1" nd="1"/>
        <i x="101" s="1" nd="1"/>
        <i x="33" s="1" nd="1"/>
        <i x="130" s="1" nd="1"/>
        <i x="58" s="1" nd="1"/>
        <i x="24" s="1" nd="1"/>
        <i x="141" s="1" nd="1"/>
        <i x="44" s="1" nd="1"/>
        <i x="83" s="1" nd="1"/>
        <i x="82" s="1" nd="1"/>
        <i x="39" s="1" nd="1"/>
        <i x="35" s="1" nd="1"/>
        <i x="113" s="1" nd="1"/>
        <i x="86" s="1" nd="1"/>
        <i x="50" s="1" nd="1"/>
        <i x="49" s="1" nd="1"/>
        <i x="51" s="1" nd="1"/>
        <i x="138" s="1" nd="1"/>
        <i x="114" s="1" nd="1"/>
        <i x="72" s="1" nd="1"/>
        <i x="139" s="1" nd="1"/>
        <i x="104" s="1" nd="1"/>
        <i x="69" s="1" nd="1"/>
        <i x="89" s="1" nd="1"/>
        <i x="9" s="1" nd="1"/>
        <i x="5" s="1" nd="1"/>
        <i x="68" s="1" nd="1"/>
        <i x="32" s="1" nd="1"/>
        <i x="142" s="1" nd="1"/>
        <i x="18" s="1" nd="1"/>
        <i x="36" s="1" nd="1"/>
        <i x="27" s="1" nd="1"/>
        <i x="137" s="1" nd="1"/>
        <i x="77" s="1" nd="1"/>
        <i x="123" s="1" nd="1"/>
        <i x="122" s="1" nd="1"/>
        <i x="79" s="1" nd="1"/>
        <i x="70" s="1" nd="1"/>
        <i x="124" s="1" nd="1"/>
        <i x="143" s="1" nd="1"/>
        <i x="78" s="1" nd="1"/>
        <i x="118" s="1" nd="1"/>
        <i x="55" s="1" nd="1"/>
        <i x="110" s="1" nd="1"/>
        <i x="88" s="1" nd="1"/>
        <i x="117" s="1" nd="1"/>
        <i x="11" s="1" nd="1"/>
        <i x="90" s="1" nd="1"/>
        <i x="66" s="1" nd="1"/>
        <i x="67" s="1" nd="1"/>
        <i x="31" s="1" nd="1"/>
        <i x="102" s="1" nd="1"/>
        <i x="112" s="1" nd="1"/>
        <i x="20" s="1" nd="1"/>
        <i x="126" s="1" nd="1"/>
        <i x="144" s="1" nd="1"/>
        <i x="29" s="1" nd="1"/>
        <i x="19" s="1" nd="1"/>
        <i x="107" s="1" nd="1"/>
        <i x="26" s="1" nd="1"/>
        <i x="128" s="1" nd="1"/>
        <i x="59" s="1" nd="1"/>
        <i x="134" s="1" nd="1"/>
        <i x="53" s="1" nd="1"/>
        <i x="54" s="1" nd="1"/>
        <i x="140" s="1" nd="1"/>
        <i x="75" s="1" nd="1"/>
        <i x="91" s="1" nd="1"/>
        <i x="84" s="1" nd="1"/>
        <i x="85" s="1" nd="1"/>
        <i x="16" s="1" nd="1"/>
        <i x="60" s="1" nd="1"/>
        <i x="22" s="1" nd="1"/>
        <i x="61" s="1" nd="1"/>
        <i x="25" s="1" nd="1"/>
        <i x="147" s="1" nd="1"/>
        <i x="133" s="1" nd="1"/>
        <i x="132" s="1" nd="1"/>
        <i x="127" s="1" nd="1"/>
        <i x="125" s="1" nd="1"/>
        <i x="37" s="1" nd="1"/>
        <i x="116" s="1" nd="1"/>
        <i x="115" s="1" nd="1"/>
        <i x="62" s="1" nd="1"/>
        <i x="129" s="1" nd="1"/>
        <i x="119" s="1" nd="1"/>
        <i x="120" s="1" nd="1"/>
        <i x="42" s="1" nd="1"/>
        <i x="48" s="1" nd="1"/>
        <i x="47" s="1" nd="1"/>
        <i x="34" s="1" nd="1"/>
        <i x="7" s="1" nd="1"/>
        <i x="131" s="1" nd="1"/>
        <i x="73" s="1" nd="1"/>
        <i x="71" s="1" nd="1"/>
        <i x="74" s="1" nd="1"/>
        <i x="76" s="1" nd="1"/>
        <i x="136" s="1" nd="1"/>
        <i x="81" s="1" nd="1"/>
        <i x="40" s="1" nd="1"/>
        <i x="80" s="1" nd="1"/>
        <i x="108" s="1" nd="1"/>
        <i x="109" s="1" nd="1"/>
        <i x="106" s="1" nd="1"/>
        <i x="30" s="1" nd="1"/>
        <i x="17" s="1" nd="1"/>
        <i x="21" s="1" nd="1"/>
        <i x="15" s="1" nd="1"/>
        <i x="111" s="1" nd="1"/>
        <i x="135" s="1" nd="1"/>
        <i x="23" s="1" nd="1"/>
        <i x="103" s="1" nd="1"/>
        <i x="52" s="1" nd="1"/>
        <i x="63" s="1" nd="1"/>
        <i x="64" s="1" nd="1"/>
        <i x="28" s="1" nd="1"/>
        <i x="105" s="1" nd="1"/>
        <i x="148" s="1" nd="1"/>
        <i x="87" s="1" nd="1"/>
        <i x="1" s="1" nd="1"/>
        <i x="41" s="1" nd="1"/>
        <i x="56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" xr10:uid="{8510332E-7543-49FB-B26E-9510F457A730}" sourceName="MES">
  <pivotTables>
    <pivotTable tabId="38" name="TERMINO"/>
    <pivotTable tabId="38" name="AVANCE"/>
    <pivotTable tabId="38" name="INICIO"/>
    <pivotTable tabId="38" name="SEMANA"/>
    <pivotTable tabId="38" name="GAPS"/>
    <pivotTable tabId="38" name="TablaDinámica6"/>
  </pivotTables>
  <data>
    <tabular pivotCacheId="2000300640">
      <items count="12">
        <i x="2"/>
        <i x="3"/>
        <i x="4" s="1"/>
        <i x="11" s="1" nd="1"/>
        <i x="0" s="1" nd="1"/>
        <i x="1" s="1" nd="1"/>
        <i x="5" s="1" nd="1"/>
        <i x="6" s="1" nd="1"/>
        <i x="7" s="1" nd="1"/>
        <i x="8" s="1" nd="1"/>
        <i x="9" s="1" nd="1"/>
        <i x="10" s="1" nd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ORRE" xr10:uid="{BB0E9932-C004-44E5-AECA-9E58E83432C9}" sourceName="TORRE">
  <pivotTables>
    <pivotTable tabId="38" name="TablaDinámica1"/>
    <pivotTable tabId="38" name="TablaDinámica3"/>
    <pivotTable tabId="38" name="TablaDinámica4"/>
  </pivotTables>
  <data>
    <tabular pivotCacheId="1351034243">
      <items count="22">
        <i x="0" s="1"/>
        <i x="1" s="1"/>
        <i x="2" s="1"/>
        <i x="3" s="1"/>
        <i x="4" s="1" nd="1"/>
        <i x="5" s="1" nd="1"/>
        <i x="6" s="1" nd="1"/>
        <i x="7" s="1" nd="1"/>
        <i x="8" s="1" nd="1"/>
        <i x="9" s="1" nd="1"/>
        <i x="10" s="1" nd="1"/>
        <i x="11" s="1" nd="1"/>
        <i x="12" s="1" nd="1"/>
        <i x="13" s="1" nd="1"/>
        <i x="14" s="1" nd="1"/>
        <i x="15" s="1" nd="1"/>
        <i x="16" s="1" nd="1"/>
        <i x="17" s="1" nd="1"/>
        <i x="18" s="1" nd="1"/>
        <i x="19" s="1" nd="1"/>
        <i x="20" s="1" nd="1"/>
        <i x="21" s="1" nd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28C2EF40-9718-4EB3-A88D-626D69EF362F}" sourceName="TIPO">
  <pivotTables>
    <pivotTable tabId="38" name="TablaDinámica1"/>
    <pivotTable tabId="38" name="TablaDinámica3"/>
    <pivotTable tabId="38" name="TablaDinámica4"/>
  </pivotTables>
  <data>
    <tabular pivotCacheId="1351034243">
      <items count="2">
        <i x="1" s="1"/>
        <i x="0" s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" xr10:uid="{61C756E6-B538-4188-9D1F-5DAAC208C373}" sourceName="MESES">
  <pivotTables>
    <pivotTable tabId="41" name="TablaDinámica28"/>
    <pivotTable tabId="41" name="TablaDinámica30"/>
    <pivotTable tabId="41" name="TablaDinámica31"/>
    <pivotTable tabId="41" name="GAP"/>
  </pivotTables>
  <data>
    <tabular pivotCacheId="145933510">
      <items count="12">
        <i x="0" s="1"/>
        <i x="1" s="1"/>
        <i x="2" s="1"/>
        <i x="3" s="1"/>
        <i x="4" s="1"/>
        <i x="5" s="1"/>
        <i x="6"/>
        <i x="7"/>
        <i x="8"/>
        <i x="9"/>
        <i x="10"/>
        <i x="11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s__FECHA_SOLICITUD2" xr10:uid="{F3F9DE1C-D5C4-4B8B-A904-6DDDB3E6600E}" sourceName="Años (FECHA SOLICITUD)">
  <pivotTables>
    <pivotTable tabId="25" name="TablaDinámica1"/>
    <pivotTable tabId="28" name="TablaDinámica8"/>
    <pivotTable tabId="28" name="TablaDinámica7"/>
    <pivotTable tabId="25" name="TablaDinámica2"/>
  </pivotTables>
  <data>
    <tabular pivotCacheId="1087107532">
      <items count="4">
        <i x="1"/>
        <i x="2" s="1"/>
        <i x="0" nd="1"/>
        <i x="3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__FECHA_SOLICITUD2" xr10:uid="{6B6D5FEB-2001-41F1-8FA1-A90A31E93409}" sourceName="Meses (FECHA SOLICITUD)">
  <pivotTables>
    <pivotTable tabId="25" name="TablaDinámica1"/>
    <pivotTable tabId="28" name="TablaDinámica8"/>
    <pivotTable tabId="28" name="TablaDinámica7"/>
    <pivotTable tabId="25" name="TablaDinámica2"/>
  </pivotTables>
  <data>
    <tabular pivotCacheId="1087107532">
      <items count="14">
        <i x="1" s="1"/>
        <i x="2" s="1"/>
        <i x="3" s="1"/>
        <i x="4" s="1"/>
        <i x="5" s="1"/>
        <i x="6" s="1"/>
        <i x="7" s="1" nd="1"/>
        <i x="8" s="1" nd="1"/>
        <i x="9" s="1" nd="1"/>
        <i x="10" s="1" nd="1"/>
        <i x="11" s="1" nd="1"/>
        <i x="12" s="1" nd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__FECHA_SOLICITUD" xr10:uid="{CF05DCB4-FB13-42E7-82B7-074394494EC5}" sourceName="Meses (FECHA SOLICITUD)">
  <pivotTables>
    <pivotTable tabId="23" name="VARIACION"/>
    <pivotTable tabId="23" name="TablaDinámica1"/>
    <pivotTable tabId="23" name="TablaDinámica2"/>
    <pivotTable tabId="23" name="TablaDinámica4"/>
    <pivotTable tabId="23" name="TablaDinámica5"/>
    <pivotTable tabId="23" name="TablaDinámica8"/>
    <pivotTable tabId="23" name="COMPRAS_TOTALES"/>
  </pivotTables>
  <data>
    <tabular pivotCacheId="1087107532">
      <items count="14">
        <i x="1" s="1"/>
        <i x="2" s="1"/>
        <i x="3" s="1"/>
        <i x="4" s="1"/>
        <i x="5" s="1"/>
        <i x="6" s="1"/>
        <i x="10" s="1"/>
        <i x="11" s="1"/>
        <i x="12" s="1"/>
        <i x="7" s="1" nd="1"/>
        <i x="8" s="1" nd="1"/>
        <i x="9" s="1" nd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s__FECHA_SOLICITUD" xr10:uid="{A5840B32-F7FC-49E6-879D-8399B594E178}" sourceName="Años (FECHA SOLICITUD)">
  <pivotTables>
    <pivotTable tabId="23" name="VARIACION"/>
    <pivotTable tabId="23" name="TablaDinámica1"/>
    <pivotTable tabId="23" name="TablaDinámica2"/>
    <pivotTable tabId="23" name="TablaDinámica4"/>
    <pivotTable tabId="23" name="TablaDinámica5"/>
    <pivotTable tabId="23" name="TablaDinámica8"/>
  </pivotTables>
  <data>
    <tabular pivotCacheId="1087107532">
      <items count="4">
        <i x="1" s="1"/>
        <i x="2" s="1"/>
        <i x="0" s="1" nd="1"/>
        <i x="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ES" xr10:uid="{925241BA-554B-414D-97FC-0D77A5072359}" cache="SegmentaciónDeDatos_MESES" caption="MESES" columnCount="3" style="SlicerStyleDark6" rowHeight="257175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DUCTO" xr10:uid="{50BD0E91-85E6-467D-A8C7-99AF019B09C4}" cache="SegmentaciónDeDatos_DESCRIPCION_2" caption="PRODUCTO" columnCount="2" style="SlicerStyleDark6" rowHeight="257175"/>
  <slicer name="Meses (FECHA SOLICITUD)" xr10:uid="{6C2D607A-351A-49C7-9501-A66694809A0C}" cache="SegmentaciónDeDatos_Meses__FECHA_SOLICITUD" caption="Mes" columnCount="2" style="SlicerStyleDark6" rowHeight="257175"/>
  <slicer name="Años (FECHA SOLICITUD)" xr10:uid="{28803D7A-14FE-43F0-9A03-31C940C06857}" cache="SegmentaciónDeDatos_Años__FECHA_SOLICITUD" caption="Año" style="SlicerStyleDark6" rowHeight="257175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" xr10:uid="{85ED73B0-F3CE-4708-A758-AD646D86BF78}" cache="SegmentaciónDeDatos_MES" caption="MES" columnCount="2" style="SlicerStyleDark6" rowHeight="257175"/>
  <slicer name="TORRE" xr10:uid="{A12E0F8B-76D1-4F87-A349-3067FABFBB43}" cache="SegmentaciónDeDatos_TORRE" caption="TORRE" startItem="2" style="SlicerStyleDark6" rowHeight="257175"/>
  <slicer name="TIPO" xr10:uid="{F05E3BD6-C51C-443B-BDC5-3C1865B4E3E3}" cache="SegmentaciónDeDatos_TIPO" caption="TIPO" style="SlicerStyleDark6" rowHeight="257175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ESCRIPCION" xr10:uid="{9B3C8588-4A64-4326-BD69-BE67D90522CC}" cache="SegmentaciónDeDatos_DESCRIPCION" caption="DESCRIPCION" columnCount="2" style="SlicerStyleDark6" rowHeight="257175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" xr10:uid="{556099AA-E3D1-4F75-A293-2F9BCECB1F1A}" cache="SegmentaciónDeDatos_TIPO_PRODUCTO" caption="TIPO PRODUCTO" style="SlicerStyleDark6" rowHeight="257175"/>
  <slicer name="Años (FECHA SOLICITUD) 2" xr10:uid="{EA694D4B-9B06-43F7-B4B9-8A21FFC08BCD}" cache="SegmentaciónDeDatos_Años__FECHA_SOLICITUD2" caption="Años " style="SlicerStyleDark6" rowHeight="257175"/>
  <slicer name="Meses (FECHA SOLICITUD) 2" xr10:uid="{5690379E-6C72-444C-A6F5-FC10E658D7C0}" cache="SegmentaciónDeDatos_Meses__FECHA_SOLICITUD2" caption="Meses " columnCount="3" style="SlicerStyleDark6" rowHeight="257175"/>
</slicers>
</file>

<file path=xl/slicers/slicer6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 1" xr10:uid="{537C1CDF-CCAE-41BB-92A8-2E369A045B56}" cache="SegmentaciónDeDatos_TIPO_PRODUCTO1" caption="TIPO PRODUCTO" style="SlicerStyleDark6" rowHeight="257175"/>
  <slicer name="DESCRIPCION 2" xr10:uid="{5275CB05-8C2A-44F5-81D0-30C2D82CCDF7}" cache="SegmentaciónDeDatos_DESCRIPCION_21" caption="DESCRIPCION 2" columnCount="3" style="SlicerStyleDark6" rowHeight="257175"/>
  <slicer name="Años (FECHA SOLICITUD) 1" xr10:uid="{BA22A394-F13C-4C8C-B673-FF4CC0ED7997}" cache="SegmentaciónDeDatos_Años__FECHA_SOLICITUD2" caption="Años " style="SlicerStyleDark6" rowHeight="257175"/>
  <slicer name="Meses (FECHA SOLICITUD) 1" xr10:uid="{36BEE66C-F7E5-4ACC-A986-C0AC47BF04F9}" cache="SegmentaciónDeDatos_Meses__FECHA_SOLICITUD2" caption="Meses " columnCount="3" style="SlicerStyleDark6" rowHeight="257175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67D5AD4-916B-45BD-9E40-48F3025D1E2F}" name="BD_MODULO" displayName="BD_MODULO" ref="A1:H258" tableType="queryTable" totalsRowShown="0">
  <autoFilter ref="A1:H258" xr:uid="{567D5AD4-916B-45BD-9E40-48F3025D1E2F}"/>
  <tableColumns count="8">
    <tableColumn id="1" xr3:uid="{D57A9504-D5E1-4EE3-80B6-BE41BF40671B}" uniqueName="1" name="Artículo" queryTableFieldId="1"/>
    <tableColumn id="2" xr3:uid="{AFBC739E-9A35-4962-879B-76B59FB20A2C}" uniqueName="2" name="DESCRIPCION" queryTableFieldId="2" dataDxfId="245"/>
    <tableColumn id="3" xr3:uid="{C1CBFBDE-1229-45F4-8BA9-1320006ADF8C}" uniqueName="3" name="CANTIDAD POR MODULO" queryTableFieldId="3" dataDxfId="143" dataCellStyle="Millares"/>
    <tableColumn id="4" xr3:uid="{7A6D3DC3-3571-4D13-8C02-B298801CB5F9}" uniqueName="4" name="CUB GP" queryTableFieldId="6" dataDxfId="142" dataCellStyle="Millares"/>
    <tableColumn id="5" xr3:uid="{8E1D17AB-D5A3-4D6B-8D13-5D71C1B06CF2}" uniqueName="5" name="CUBICACION REAL" queryTableFieldId="7" dataDxfId="141" dataCellStyle="Millares"/>
    <tableColumn id="6" xr3:uid="{4635D237-FCD2-4BFA-87F5-3ECDB244B328}" uniqueName="6" name="Columna1" queryTableFieldId="8" dataDxfId="140" dataCellStyle="Millares"/>
    <tableColumn id="7" xr3:uid="{68413393-99E5-4206-B7A5-0FB5FECD45F8}" uniqueName="7" name="CUB_ACTUALIZADA" queryTableFieldId="9" dataDxfId="139" dataCellStyle="Millares"/>
    <tableColumn id="8" xr3:uid="{A475C059-2CD3-4846-A3CA-9B373F702155}" uniqueName="8" name="Columna2" queryTableFieldId="10" dataDxfId="138" dataCellStyle="Millares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F8B267E-ED14-4F6D-9F71-96B0EC5EAEBB}" name="P_CRITICOS" displayName="P_CRITICOS" ref="A1:K34" totalsRowShown="0">
  <autoFilter ref="A1:K34" xr:uid="{7F8B267E-ED14-4F6D-9F71-96B0EC5EAEBB}"/>
  <tableColumns count="11">
    <tableColumn id="1" xr3:uid="{11192CA2-F958-4958-A712-DDB5DABBCB3F}" name="CODIGO"/>
    <tableColumn id="2" xr3:uid="{F616EE97-A0A9-4FA9-B2D8-1DD8F4106F40}" name="DESCRIPCION MATERIALES" dataDxfId="244"/>
    <tableColumn id="3" xr3:uid="{9AFD089A-BC1C-445C-A502-E616A7090AE1}" name="KEY"/>
    <tableColumn id="13" xr3:uid="{9DCAD00A-7481-47F0-8AC7-8B59F3385D35}" name="DESC CORTA"/>
    <tableColumn id="4" xr3:uid="{9A0FB755-FA76-4CB5-99DA-04950FE6717B}" name="CANT COMPRADA" dataDxfId="243" dataCellStyle="Millares">
      <calculatedColumnFormula>+SUMIFS(PRODUCTOS[CANT. COMPRADA],PRODUCTOS[CODIGO],P_CRITICOS[[#This Row],[CODIGO]])</calculatedColumnFormula>
    </tableColumn>
    <tableColumn id="6" xr3:uid="{5EA19C62-C7DB-447D-989F-65C1E419A189}" name="PPTO" dataDxfId="242" dataCellStyle="Millares"/>
    <tableColumn id="8" xr3:uid="{5D286AFD-13F0-4545-99E6-339A5CC1A4A7}" name="CANTIDAD X MODULOS" dataDxfId="241" dataCellStyle="Millares">
      <calculatedColumnFormula>+_xlfn.XLOOKUP(P_CRITICOS[[#This Row],[CODIGO]],PRODUCTOS[CODIGO],PRODUCTOS[CANT X MODULO],"",0)</calculatedColumnFormula>
    </tableColumn>
    <tableColumn id="9" xr3:uid="{1719D0F9-FD65-4B90-A5F3-D23B9C914D31}" name="CANT MODULOS" dataDxfId="240" dataCellStyle="Millares">
      <calculatedColumnFormula>+IFERROR(P_CRITICOS[[#This Row],[CANT COMPRADA]]/P_CRITICOS[[#This Row],[CANTIDAD X MODULOS]],"")</calculatedColumnFormula>
    </tableColumn>
    <tableColumn id="10" xr3:uid="{076BCC48-40DC-4F44-98AA-D0C3E3428999}" name="PRECIO PRESUPUESTO" dataDxfId="239" dataCellStyle="Moneda">
      <calculatedColumnFormula>+_xlfn.XLOOKUP(P_CRITICOS[[#This Row],[CODIGO]],PRODUCTOS[CODIGO],PRODUCTOS[PPTO],"",0)</calculatedColumnFormula>
    </tableColumn>
    <tableColumn id="11" xr3:uid="{E555BC8A-2069-46F2-8D47-1C6A10864323}" name="PRECIO COMPRA" dataDxfId="238" dataCellStyle="Moneda">
      <calculatedColumnFormula>+_xlfn.XLOOKUP(P_CRITICOS[[#This Row],[CODIGO]],PRODUCTOS[CODIGO],PRODUCTOS[PRECIO COMPRA UNITARIO],"",0)</calculatedColumnFormula>
    </tableColumn>
    <tableColumn id="12" xr3:uid="{A8C3B62E-4668-4395-921D-D1207D18CF75}" name="VOLUMEN COMPRA" dataDxfId="237" dataCellStyle="Porcentaje">
      <calculatedColumnFormula>+P_CRITICOS[[#This Row],[CANT COMPRADA]]/$E$36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681DCB9-1C3F-4644-8727-85C4ACC9AD65}" name="PRODUCTOS" displayName="PRODUCTOS" ref="A1:AC254" tableType="queryTable" totalsRowShown="0">
  <autoFilter ref="A1:AC254" xr:uid="{B681DCB9-1C3F-4644-8727-85C4ACC9AD65}">
    <filterColumn colId="1">
      <filters>
        <filter val="&quot;PINO NACIONAL BRUTO IMPREGNADO 1 &quot;&quot; X 4&quot;&quot; X 3,2MT &quot;"/>
        <filter val="KIT HDF AMPARO IMPERIAL IZQUIERDA DE 750X2050MM HOJA 700X2000MM MARCO PINO FINGER 30X70 C/3 BISAGRAS"/>
        <filter val="MARCO PUERTA HOME 30X120mm PINO FINGER (2 PIERNAS DE 2.400 MM - 1 CABEZAL DE 1.000 MM)"/>
        <filter val="PINO IPV CALIBRADO G2 45x45x2400mm"/>
        <filter val="PINO NACIONAL CEPILLADO 4/CARAS SECO DE 2&quot; X 2&quot; X 3.20 MT (41 X 41 mm) IMPREGNADO"/>
        <filter val="PINO NACIONAL ESTRUCTURAL CEPILLADO 4/CARAS  IMPREGNADO DE  2 X 8 X 4.00 (41 x 185 MM ) (60XPAQUETE)"/>
        <filter val="PINO NACIONAL ESTRUCTURAL CEPILLADO 4/CARAS  IMPREGNADO DE  2 X 8 X 4.00 (41 x 185 MM ) (VVSS)"/>
        <filter val="PINO NACIONAL GRADO C-16/C-24 DE 2&quot; x 4&quot; x 2,44 m (41x90mm) (VIVIENDAS SOCIALES)"/>
        <filter val="PINO NACIONAL GRADO C-16/C-24 IMPREGNADO DE 2&quot; x 4&quot; x x 3,20 m (41x90mm)"/>
        <filter val="PINO NACIONAL GRADO C-16/C-24 IMPREGNADO DE 2&quot; X 6&quot; X 3,20 m (41x138mm)"/>
        <filter val="PINO NACIONAL GRADO C-16/C-24 IMPREGNADO DE 2&quot; X 6&quot; X 4,00 m"/>
        <filter val="PINO NACIONAL GRADO C-16/C-24 IMPREGNADO DE 2&quot; X 6&quot; X 4,00 m (VIVIENDAS SOCIALES)"/>
        <filter val="PINO NACIONAL GRADO G1 CEPILLADO SECO 2X12X320 (41X280)"/>
        <filter val="PINO NACIONAL SECO  CEPILLADO DE 1 x 4 x 3.20 MTS (264 PZA X PQTE)"/>
        <filter val="PINO NACIONAL SECO  CEPILLADO DE 1 x 4 x 3.20 MTS (264 PZA X PQTE) IMPREGNADO"/>
        <filter val="PINO SYP GRADO 2 PRIME DE 2&quot; x 10&quot; x 12´ ( 38 x 230 MM )"/>
        <filter val="PINO SYP GRADO 2 PRIME IMPREGNADO DE  3&quot; x 8&quot; x 10' (63x184 mm)"/>
      </filters>
    </filterColumn>
  </autoFilter>
  <sortState xmlns:xlrd2="http://schemas.microsoft.com/office/spreadsheetml/2017/richdata2" ref="A2:AC254">
    <sortCondition descending="1" ref="T1:T253"/>
  </sortState>
  <tableColumns count="29">
    <tableColumn id="1" xr3:uid="{45539B7D-1DA9-47CB-9E4C-593F71B7949E}" uniqueName="1" name="CODIGO" queryTableFieldId="1"/>
    <tableColumn id="2" xr3:uid="{91DE921E-3A1D-49F4-8A37-12D1F7938934}" uniqueName="2" name="DESCRIPCION" queryTableFieldId="2" dataDxfId="236"/>
    <tableColumn id="26" xr3:uid="{62255327-3299-4FBC-BC2C-D837F7B20E20}" uniqueName="26" name="DESC CORTA" queryTableFieldId="30"/>
    <tableColumn id="3" xr3:uid="{A7391830-D12F-4EC3-BBFA-7E8142CC398A}" uniqueName="3" name="GRUPO" queryTableFieldId="3"/>
    <tableColumn id="4" xr3:uid="{12B0E647-0C08-4985-B786-D0CE536D6393}" uniqueName="4" name="SUBGRUPO" queryTableFieldId="4"/>
    <tableColumn id="5" xr3:uid="{AC3E5438-5FDF-4F85-8AAD-C97D3AEA7E5C}" uniqueName="5" name="PPTO" queryTableFieldId="5" dataDxfId="137" dataCellStyle="Moneda"/>
    <tableColumn id="14" xr3:uid="{A1802760-3411-4297-8335-EF8E51D4008B}" uniqueName="14" name="UNIDAD DE MEDIDAD" queryTableFieldId="18" dataDxfId="136" dataCellStyle="Moneda"/>
    <tableColumn id="22" xr3:uid="{DBFC1F14-4757-4DCA-A9E1-E029631FD0A8}" uniqueName="22" name="PPTO_ACTUALIZADO" queryTableFieldId="26" dataDxfId="135" dataCellStyle="Moneda"/>
    <tableColumn id="23" xr3:uid="{4A71DA5B-F0E1-4D3E-B609-55B32235F74E}" uniqueName="23" name="Columna1" queryTableFieldId="27"/>
    <tableColumn id="24" xr3:uid="{848DC07E-9E48-4B75-B07B-0B6C8AFC4A35}" uniqueName="24" name="DESCRIPCION CORTA" queryTableFieldId="28" dataDxfId="235">
      <calculatedColumnFormula>+_xlfn.XLOOKUP(PRODUCTOS[[#This Row],[CODIGO]],P_CRITICOS[CODIGO],P_CRITICOS[DESC CORTA],"",0)</calculatedColumnFormula>
    </tableColumn>
    <tableColumn id="6" xr3:uid="{AA8EB768-8A0D-43A2-AF52-AD0B05E21544}" uniqueName="6" name="PRODUCTO CRITICO" queryTableFieldId="6" dataDxfId="234">
      <calculatedColumnFormula>+IFERROR(IF(VLOOKUP(PRODUCTOS[[#This Row],[CODIGO]],P_CRITICOS[],3,0)="*","PRODUCTO CRITICO","NO CRITICO"),"NO CRITICO")</calculatedColumnFormula>
    </tableColumn>
    <tableColumn id="7" xr3:uid="{9543D786-5DBE-4A47-9D06-6D0978B65CB5}" uniqueName="7" name="CANT X MODULO" queryTableFieldId="7" dataDxfId="134" dataCellStyle="Millares">
      <calculatedColumnFormula>+_xlfn.XLOOKUP(PRODUCTOS[[#This Row],[CODIGO]],BD_MODULO[Artículo],BD_MODULO[CUB_ACTUALIZADA],"",0)</calculatedColumnFormula>
    </tableColumn>
    <tableColumn id="8" xr3:uid="{7AF95058-53E6-4521-8592-0637CC207B4D}" uniqueName="8" name="PPTO X MODULO" queryTableFieldId="8" dataDxfId="133" dataCellStyle="Moneda">
      <calculatedColumnFormula>+IFERROR(PRODUCTOS[[#This Row],[PPTO]]*PRODUCTOS[[#This Row],[CANT X MODULO]],"")</calculatedColumnFormula>
    </tableColumn>
    <tableColumn id="9" xr3:uid="{59EB2948-A7BC-4682-B423-D025A47ECF0D}" uniqueName="9" name="PPTO X TORRE" queryTableFieldId="9" dataDxfId="132" dataCellStyle="Moneda">
      <calculatedColumnFormula>+IFERROR(PRODUCTOS[[#This Row],[PPTO X MODULO]]*32,"")</calculatedColumnFormula>
    </tableColumn>
    <tableColumn id="10" xr3:uid="{4BC35D64-4EFD-472C-B2A6-3763B8BA5B7B}" uniqueName="10" name="PPTO TOTAL" queryTableFieldId="10" dataDxfId="131" dataCellStyle="Moneda">
      <calculatedColumnFormula>+IFERROR(PRODUCTOS[[#This Row],[PPTO X TORRE]]*22,"")</calculatedColumnFormula>
    </tableColumn>
    <tableColumn id="25" xr3:uid="{EE71C152-986F-4BBE-8781-177BE1A3B22A}" uniqueName="25" name="CANTIDAD TOTAL" queryTableFieldId="29" dataDxfId="130" dataCellStyle="Millares">
      <calculatedColumnFormula>+IFERROR(PRODUCTOS[[#This Row],[CANT X MODULO]]*702,"")</calculatedColumnFormula>
    </tableColumn>
    <tableColumn id="11" xr3:uid="{3A271777-B002-4390-92A0-E507A54C1309}" uniqueName="11" name="CANT. COMPRADA" queryTableFieldId="11" dataDxfId="129" dataCellStyle="Millares">
      <calculatedColumnFormula>+SUMIFS(DETALLE_GD_1[CANTIDAD SOLICITADA],DETALLE_GD_1[CODIGO],PRODUCTOS[[#This Row],[CODIGO]])</calculatedColumnFormula>
    </tableColumn>
    <tableColumn id="12" xr3:uid="{B849DD78-C182-4C66-BC5C-47EECF7D406D}" uniqueName="12" name="DEVOLUCIONES" queryTableFieldId="32" dataDxfId="128" dataCellStyle="Millares">
      <calculatedColumnFormula>+SUMIFS(DETALLE_GD_1[DEVOLUCIÓN],DETALLE_GD_1[CODIGO],PRODUCTOS[[#This Row],[CODIGO]])</calculatedColumnFormula>
    </tableColumn>
    <tableColumn id="27" xr3:uid="{A851702C-D197-441E-A2A9-206D72A7F224}" uniqueName="27" name="CANTIDAD RECIBIDA" queryTableFieldId="33" dataDxfId="127" dataCellStyle="Millares">
      <calculatedColumnFormula>+PRODUCTOS[[#This Row],[CANT. COMPRADA]]-PRODUCTOS[[#This Row],[DEVOLUCIONES]]</calculatedColumnFormula>
    </tableColumn>
    <tableColumn id="13" xr3:uid="{02D15EBF-8CAD-4839-A238-E3115BA1BD6B}" uniqueName="13" name="AVANCE TEORICO MODULO" queryTableFieldId="13" dataDxfId="126" dataCellStyle="Millares">
      <calculatedColumnFormula>+IFERROR(PRODUCTOS[[#This Row],[CANTIDAD RECIBIDA]]/PRODUCTOS[[#This Row],[CANT X MODULO]],"")</calculatedColumnFormula>
    </tableColumn>
    <tableColumn id="15" xr3:uid="{7CA814BF-B022-4CD6-831F-9938620BFCED}" uniqueName="15" name="PRECIO DE COMPRA" queryTableFieldId="19" dataDxfId="125" dataCellStyle="Millares">
      <calculatedColumnFormula>+SUMIFS(DETALLE_GD_1[VALOR TOTAL POR ITEM GD],DETALLE_GD_1[CODIGO],PRODUCTOS[[#This Row],[CODIGO]])</calculatedColumnFormula>
    </tableColumn>
    <tableColumn id="16" xr3:uid="{4B28FE4C-0E3C-4F72-894D-FCF98DF17008}" uniqueName="16" name="PRECIO COMPRA UNITARIO" queryTableFieldId="20" dataDxfId="124" dataCellStyle="Millares">
      <calculatedColumnFormula>+IFERROR(PRODUCTOS[[#This Row],[PRECIO DE COMPRA]]/PRODUCTOS[[#This Row],[CANT. COMPRADA]],"")</calculatedColumnFormula>
    </tableColumn>
    <tableColumn id="17" xr3:uid="{BDFE6C6C-882B-455A-B4CD-CE3D18E1A3B2}" uniqueName="17" name="PROYECCION COMPRA" queryTableFieldId="21" dataDxfId="123" dataCellStyle="Millares">
      <calculatedColumnFormula>+IFERROR(PRODUCTOS[[#This Row],[PRECIO COMPRA UNITARIO]]*PRODUCTOS[[#This Row],[PPTO FALTANTE]],"")</calculatedColumnFormula>
    </tableColumn>
    <tableColumn id="18" xr3:uid="{4323A906-3E33-4F9C-8696-6E944FF89178}" uniqueName="18" name="%VARIACION" queryTableFieldId="22" dataDxfId="122" dataCellStyle="Porcentaje">
      <calculatedColumnFormula>+IFERROR(PRODUCTOS[[#This Row],[PROYECCION COMPRA]]/PRODUCTOS[[#This Row],[PPTO TOTAL]]-1,"")</calculatedColumnFormula>
    </tableColumn>
    <tableColumn id="19" xr3:uid="{FCAA0A6E-7A5A-48ED-922C-8C7F03869698}" uniqueName="19" name="PPTO FALTANTE" queryTableFieldId="23" dataDxfId="121" dataCellStyle="Millares">
      <calculatedColumnFormula>+IFERROR((PRODUCTOS[[#This Row],[CANT X MODULO]]*704)-PRODUCTOS[[#This Row],[CANT. COMPRADA]],"")</calculatedColumnFormula>
    </tableColumn>
    <tableColumn id="20" xr3:uid="{94BFBA9A-C325-42CB-8F19-55FD2AD1E7E7}" uniqueName="20" name="%AVANCE PEDIDOS" queryTableFieldId="24" dataDxfId="120" dataCellStyle="Millares">
      <calculatedColumnFormula>+IFERROR(PRODUCTOS[[#This Row],[CANT. COMPRADA]]/PRODUCTOS[[#This Row],[PPTO FALTANTE]],"")</calculatedColumnFormula>
    </tableColumn>
    <tableColumn id="21" xr3:uid="{8CDF6A87-FB2A-4175-B6B0-76DD05453844}" uniqueName="21" name="SALDO DE COMPRA" queryTableFieldId="25" dataDxfId="119" dataCellStyle="Millares">
      <calculatedColumnFormula>+IFERROR(PRODUCTOS[[#This Row],[PROYECCION COMPRA]]-(PRODUCTOS[[#This Row],[PPTO FALTANTE]]*PRODUCTOS[[#This Row],[PPTO]]),"")</calculatedColumnFormula>
    </tableColumn>
    <tableColumn id="28" xr3:uid="{51DF625D-4B46-4109-B8B1-E0121541BE86}" uniqueName="28" name="PRECIO OFF" queryTableFieldId="34" dataDxfId="118" dataCellStyle="Millares">
      <calculatedColumnFormula>+_xlfn.XLOOKUP(PRODUCTOS[[#This Row],[CODIGO]],DETALLE_GD_1[CODIGO],DETALLE_GD_1[VALOR PPTO],"",0)</calculatedColumnFormula>
    </tableColumn>
    <tableColumn id="29" xr3:uid="{7EA447CF-0AF6-4EE9-B2FF-3D48F10CAC1D}" uniqueName="29" name="DIF PRECIO" queryTableFieldId="35" dataDxfId="117" dataCellStyle="Millares">
      <calculatedColumnFormula>+AB2-PRODUCTOS[[#This Row],[PPTO_ACTUALIZADO]]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6500C56-E277-45C0-94AC-7E2463B30BEB}" name="REG_STOCK" displayName="REG_STOCK" ref="A1:R137" tableType="queryTable" totalsRowShown="0">
  <autoFilter ref="A1:R137" xr:uid="{16500C56-E277-45C0-94AC-7E2463B30BEB}">
    <filterColumn colId="0">
      <filters>
        <dateGroupItem year="2026" month="6" day="15" dateTimeGrouping="day"/>
      </filters>
    </filterColumn>
  </autoFilter>
  <tableColumns count="18">
    <tableColumn id="1" xr3:uid="{6166434B-A4EE-4300-9498-68E3613A3C94}" uniqueName="1" name="FECHA STOCK " queryTableFieldId="1" dataDxfId="116"/>
    <tableColumn id="2" xr3:uid="{5699B8CC-A9B9-494A-BE92-CA2A39DFED09}" uniqueName="2" name="CODIGO" queryTableFieldId="2"/>
    <tableColumn id="3" xr3:uid="{AFFE68E0-54F7-4250-B075-A2AB6670FDC7}" uniqueName="3" name="MATERIAL" queryTableFieldId="3" dataDxfId="115"/>
    <tableColumn id="4" xr3:uid="{78035FAE-E64E-4DA5-9D70-DAE6FA9F2677}" uniqueName="4" name="U.M" queryTableFieldId="4" dataDxfId="114"/>
    <tableColumn id="5" xr3:uid="{4F0CEAA7-FA9A-49C0-8987-65AA1C84F7EC}" uniqueName="5" name="TOTAL SOLICITADO" queryTableFieldId="5"/>
    <tableColumn id="6" xr3:uid="{CE173441-AC4B-47DE-A221-C0A297B1C1C7}" uniqueName="6" name="CANT X MODULO" queryTableFieldId="6"/>
    <tableColumn id="17" xr3:uid="{6C576F1A-7C0F-49EF-8941-E47A7DB4AF4A}" uniqueName="17" name="STOCK FISICO" queryTableFieldId="18"/>
    <tableColumn id="18" xr3:uid="{60310440-EB24-4348-B9EA-5E6F968DCF6D}" uniqueName="18" name="DESCRIPCION" queryTableFieldId="19" dataDxfId="113">
      <calculatedColumnFormula>+_xlfn.XLOOKUP(REG_STOCK[[#This Row],[CODIGO]],PRODUCTOS[CODIGO],PRODUCTOS[DESC CORTA],"",0)</calculatedColumnFormula>
    </tableColumn>
    <tableColumn id="8" xr3:uid="{6A71FE9C-9AF6-4371-97F9-A1FCF40D425B}" uniqueName="8" name="SOLICITADO A TF" queryTableFieldId="8" dataDxfId="112">
      <calculatedColumnFormula>SUMIFS(DETALLE_GD_1[CANTIDAD RECEPCIONADA],DETALLE_GD_1[CODIGO],REG_STOCK[[#This Row],[CODIGO]],DETALLE_GD_1[FECHA SOLICITUD],"&lt;="&amp;REG_STOCK[[#This Row],[FECHA STOCK ]])+97</calculatedColumnFormula>
    </tableColumn>
    <tableColumn id="9" xr3:uid="{096022C1-DFA7-4E6D-AE56-DF1F0FE7390C}" uniqueName="9" name="CONSUMO" queryTableFieldId="9" dataDxfId="111">
      <calculatedColumnFormula>+REG_STOCK[[#This Row],[SOLICITADO A TF]]-REG_STOCK[[#This Row],[STOCK FISICO]]</calculatedColumnFormula>
    </tableColumn>
    <tableColumn id="10" xr3:uid="{F8426200-7150-4968-9252-D50E754861D5}" uniqueName="10" name="CUBICACION PPTO." queryTableFieldId="10" dataDxfId="110" dataCellStyle="Millares">
      <calculatedColumnFormula>+_xlfn.XLOOKUP(REG_STOCK[[#This Row],[CODIGO]],PRODUCTOS[CODIGO],PRODUCTOS[CANT X MODULO],"",0)</calculatedColumnFormula>
    </tableColumn>
    <tableColumn id="11" xr3:uid="{F63FA874-5635-40AE-8024-D2CCE77FBA95}" uniqueName="11" name="CONSUMO X MODULO" queryTableFieldId="11" dataDxfId="109" dataCellStyle="Millares">
      <calculatedColumnFormula>+REG_STOCK[[#This Row],[CONSUMO]]/REG_STOCK[[#This Row],[CUBICACION PPTO.]]</calculatedColumnFormula>
    </tableColumn>
    <tableColumn id="12" xr3:uid="{8D3F4228-E5B0-4358-B6B2-A5DE66BBB169}" uniqueName="12" name="ALCANCE (STOCK) X MODULO" queryTableFieldId="12" dataDxfId="108" dataCellStyle="Millares">
      <calculatedColumnFormula>+REG_STOCK[[#This Row],[STOCK FISICO]]/REG_STOCK[[#This Row],[CUBICACION PPTO.]]</calculatedColumnFormula>
    </tableColumn>
    <tableColumn id="13" xr3:uid="{5F8743E5-4317-42F5-AF24-847D3BEDE890}" uniqueName="13" name="ALCANCE FISICO" queryTableFieldId="14" dataDxfId="107" dataCellStyle="Millares">
      <calculatedColumnFormula>+REG_STOCK[[#This Row],[SOLICITADO A TF]]/REG_STOCK[[#This Row],[CUBICACION PPTO.]]</calculatedColumnFormula>
    </tableColumn>
    <tableColumn id="14" xr3:uid="{8DB83904-74A0-4AE4-8AB1-5752FA9A9F1E}" uniqueName="14" name="PERDIDA O EN PROCESO" queryTableFieldId="15" dataDxfId="106" dataCellStyle="Millares">
      <calculatedColumnFormula>IF($V$2-REG_STOCK[[#This Row],[ALCANCE FISICO]]&gt;0,"",($V$2-REG_STOCK[[#This Row],[ALCANCE FISICO]]/REG_STOCK[[#This Row],[CUBICACION PPTO.]]))</calculatedColumnFormula>
    </tableColumn>
    <tableColumn id="15" xr3:uid="{781A705B-552B-494E-913D-EF4D24E0F539}" uniqueName="15" name="VALOR UNITARIO" queryTableFieldId="16" dataDxfId="105" dataCellStyle="Millares">
      <calculatedColumnFormula>+_xlfn.XLOOKUP(REG_STOCK[[#This Row],[CODIGO]],PRODUCTOS[CODIGO],PRODUCTOS[PRECIO COMPRA UNITARIO],"",0)</calculatedColumnFormula>
    </tableColumn>
    <tableColumn id="16" xr3:uid="{3F465FC4-B6FE-481C-859A-D4C738DC0EDF}" uniqueName="16" name="VALOR PERDIDA" queryTableFieldId="17" dataDxfId="104" dataCellStyle="Millares">
      <calculatedColumnFormula>IFERROR(REG_STOCK[[#This Row],[VALOR UNITARIO]]*REG_STOCK[[#This Row],[PERDIDA O EN PROCESO]],"")</calculatedColumnFormula>
    </tableColumn>
    <tableColumn id="19" xr3:uid="{E9644C24-7633-42BE-85FC-48E271365F3F}" uniqueName="19" name="VALOR STOCK" queryTableFieldId="20" dataDxfId="103" dataCellStyle="Millares">
      <calculatedColumnFormula>+REG_STOCK[[#This Row],[VALOR UNITARIO]]*REG_STOCK[[#This Row],[STOCK FISICO]]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06EBF9-9915-4616-B9C5-04D5F54B3887}" name="DETALLE_GD_1" displayName="DETALLE_GD_1" ref="A1:AD2221" tableType="queryTable" totalsRowShown="0">
  <tableColumns count="30">
    <tableColumn id="1" xr3:uid="{F863A287-5668-47A2-9AB2-12CD81EC5723}" uniqueName="1" name="FECHA GUIA" queryTableFieldId="1" dataDxfId="102"/>
    <tableColumn id="2" xr3:uid="{4A5F2C48-EAB1-49BD-A4A7-EFEB15690485}" uniqueName="2" name="FECHA SOLICITUD" queryTableFieldId="2" dataDxfId="101"/>
    <tableColumn id="3" xr3:uid="{41E9869B-60D1-47E3-87F9-7C94C33DB541}" uniqueName="3" name="OBS. MODULO" queryTableFieldId="3" dataDxfId="100"/>
    <tableColumn id="27" xr3:uid="{9D5D1E35-9490-41E8-B895-94976D9D19CF}" uniqueName="27" name="MES" queryTableFieldId="38" dataDxfId="99" dataCellStyle="Millares"/>
    <tableColumn id="4" xr3:uid="{5DF334D3-F0D6-4372-88E1-ABF2084DE7E5}" uniqueName="4" name="OBS TRABAJO MODULO" queryTableFieldId="4" dataDxfId="98"/>
    <tableColumn id="5" xr3:uid="{D9D939F5-C016-441E-A166-62793983BCBE}" uniqueName="5" name="CODIGO" queryTableFieldId="5"/>
    <tableColumn id="6" xr3:uid="{D1C1155C-F04A-46D6-A396-7E7AE624903D}" uniqueName="6" name="DESCRIPCION MATERIALES" queryTableFieldId="6" dataDxfId="97"/>
    <tableColumn id="7" xr3:uid="{692A33A2-C449-4586-8F3F-CD183B5B624F}" uniqueName="7" name="UNIDAD DE MEDIDA" queryTableFieldId="7" dataDxfId="96"/>
    <tableColumn id="8" xr3:uid="{56C516C2-1AAE-44D7-8A0D-AF396C45720B}" uniqueName="8" name="CANTIDAD SOLICITADA" queryTableFieldId="8" dataDxfId="95" dataCellStyle="Millares"/>
    <tableColumn id="9" xr3:uid="{E5431BFC-4CEF-4614-8902-01E44155F4BF}" uniqueName="9" name="DEVOLUCIÓN" queryTableFieldId="9" dataDxfId="94" dataCellStyle="Millares"/>
    <tableColumn id="29" xr3:uid="{14CF1913-03EE-4BA2-B20E-E32EB67FEAC2}" uniqueName="29" name="CANTIDAD RECEPCIONADA" queryTableFieldId="35" dataDxfId="93" dataCellStyle="Millares"/>
    <tableColumn id="10" xr3:uid="{F1FA0DCE-9421-44D3-9FD8-4DCB8BDDDF7B}" uniqueName="10" name="VALOR X UN (GD)" queryTableFieldId="10" dataDxfId="92" dataCellStyle="Moneda"/>
    <tableColumn id="11" xr3:uid="{3874A170-0E3F-4EEA-8FF5-E3DB47B144B3}" uniqueName="11" name="VALOR TOTAL GD POR ITEM" queryTableFieldId="11" dataDxfId="91" dataCellStyle="Moneda"/>
    <tableColumn id="12" xr3:uid="{83512BF1-6F0C-41E8-B9EF-C9D54F4AB3D2}" uniqueName="12" name="VALOR TOTAL POR ITEM GD" queryTableFieldId="12" dataDxfId="90" dataCellStyle="Moneda"/>
    <tableColumn id="13" xr3:uid="{BFBE252F-2A3B-4E39-BAB8-5554D1C265FE}" uniqueName="13" name="VALOR PPTO" queryTableFieldId="13" dataDxfId="89" dataCellStyle="Moneda"/>
    <tableColumn id="14" xr3:uid="{3C303E8F-953A-4F50-A7B4-573D80E364C3}" uniqueName="14" name="DIF. VALOR UND." queryTableFieldId="14" dataDxfId="88" dataCellStyle="Moneda"/>
    <tableColumn id="15" xr3:uid="{9732C988-3591-461A-96B1-3179F4479C1B}" uniqueName="15" name="DIF VALOR TOTAL PAGADO" queryTableFieldId="15" dataDxfId="87" dataCellStyle="Moneda"/>
    <tableColumn id="16" xr3:uid="{1C1CC130-46D5-4EEE-9E23-34DA8C66F18F}" uniqueName="16" name="DIF %" queryTableFieldId="16" dataDxfId="86" dataCellStyle="Porcentaje"/>
    <tableColumn id="17" xr3:uid="{717F2F58-0079-44C4-B146-AEBD6061FBA4}" uniqueName="17" name="COMETARIO DIF $" queryTableFieldId="17"/>
    <tableColumn id="18" xr3:uid="{6BF0DB92-3B6C-4A06-8FEE-E88F35A7047E}" uniqueName="18" name="GD" queryTableFieldId="18"/>
    <tableColumn id="19" xr3:uid="{B4EF03BD-C938-4BCE-BD0A-49B65BEEEE04}" uniqueName="19" name="MONTO GD" queryTableFieldId="19" dataDxfId="85" dataCellStyle="Moneda"/>
    <tableColumn id="20" xr3:uid="{4AEA5724-A7D7-413A-83C3-83992ED82BAA}" uniqueName="20" name="OC" queryTableFieldId="20"/>
    <tableColumn id="21" xr3:uid="{CED6CD1A-340D-4EF4-B414-B8BEAA9C7041}" uniqueName="21" name="PRESUPUESTO" queryTableFieldId="21" dataDxfId="84" dataCellStyle="Moneda"/>
    <tableColumn id="28" xr3:uid="{8F779554-5451-4921-BC8B-D5C78BCBDD91}" uniqueName="28" name="TOTAL SEGÚN PPTO" queryTableFieldId="34" dataDxfId="83" dataCellStyle="Moneda"/>
    <tableColumn id="22" xr3:uid="{B6BA023C-D6D7-4AE6-A273-CBB6EEAEA057}" uniqueName="22" name="TAREA WIP" queryTableFieldId="37" dataDxfId="82" dataCellStyle="Millares"/>
    <tableColumn id="23" xr3:uid="{937B32EE-BB35-49A6-B662-77F96759C243}" uniqueName="23" name="% DESVIACION PRECIO" queryTableFieldId="23" dataDxfId="81" dataCellStyle="Porcentaje">
      <calculatedColumnFormula>+((DETALLE_GD_1[[#This Row],[VALOR X UN (GD)]]-DETALLE_GD_1[[#This Row],[VALOR PPTO]])/DETALLE_GD_1[[#This Row],[VALOR PPTO]])</calculatedColumnFormula>
    </tableColumn>
    <tableColumn id="24" xr3:uid="{A67015B1-839B-473E-B91B-9D313725E362}" uniqueName="24" name="PRESUPUESTO TOTAL PRODUCTO" queryTableFieldId="24" dataDxfId="80" dataCellStyle="Moneda">
      <calculatedColumnFormula>+DETALLE_GD_1[[#This Row],[VALOR PPTO]]*DETALLE_GD_1[[#This Row],[CANTIDAD RECIBIDA]]</calculatedColumnFormula>
    </tableColumn>
    <tableColumn id="25" xr3:uid="{AF80E83C-7749-4F81-A9AA-6A5767DE6763}" uniqueName="25" name="TIPO PRODUCTO" queryTableFieldId="25" dataDxfId="79" dataCellStyle="Moneda">
      <calculatedColumnFormula>+IF(_xlfn.XLOOKUP(DETALLE_GD_1[[#This Row],[CODIGO]],PRODUCTOS[CODIGO],PRODUCTOS[PRODUCTO CRITICO],"",0)="","NO CRITICO",_xlfn.XLOOKUP(DETALLE_GD_1[[#This Row],[CODIGO]],PRODUCTOS[CODIGO],PRODUCTOS[PRODUCTO CRITICO],"",0))</calculatedColumnFormula>
    </tableColumn>
    <tableColumn id="26" xr3:uid="{21D7BECB-322D-4462-B1A9-00D013EEF287}" uniqueName="26" name="CANTIDAD RECIBIDA" queryTableFieldId="26" dataDxfId="78" dataCellStyle="Millares">
      <calculatedColumnFormula>+DETALLE_GD_1[[#This Row],[CANTIDAD SOLICITADA]]-DETALLE_GD_1[[#This Row],[DEVOLUCIÓN]]</calculatedColumnFormula>
    </tableColumn>
    <tableColumn id="31" xr3:uid="{308530E1-3CF8-4A59-9A63-D7FE2B1FC51A}" uniqueName="31" name="DESCRIPCION 2" queryTableFieldId="31" dataDxfId="77" dataCellStyle="Millares">
      <calculatedColumnFormula>+_xlfn.XLOOKUP(DETALLE_GD_1[[#This Row],[CODIGO]],PRODUCTOS[CODIGO],PRODUCTOS[DESC CORTA],"",0)</calculatedColumnFormula>
    </tableColumn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33A07F8-5EF7-451A-8B53-7BC0846DBDBE}" name="Tabla2" displayName="Tabla2" ref="A1:J162" totalsRowShown="0">
  <autoFilter ref="A1:J162" xr:uid="{E33A07F8-5EF7-451A-8B53-7BC0846DBDBE}"/>
  <tableColumns count="10">
    <tableColumn id="1" xr3:uid="{46423568-0A55-4289-ACB0-4B1F5F0EDABB}" name="CODIGO"/>
    <tableColumn id="2" xr3:uid="{C32944B2-2ED9-43DD-AD6B-3DFAAC78CC0D}" name="DESCRIPCION MATERIALES"/>
    <tableColumn id="3" xr3:uid="{3C59EB0C-E636-405C-B1C7-0186134A0EEE}" name="DESCRIPCIÓN" dataDxfId="233">
      <calculatedColumnFormula>+_xlfn.XLOOKUP(Tabla2[[#This Row],[CODIGO]],PRODUCTOS[CODIGO],PRODUCTOS[DESC CORTA],"",0)</calculatedColumnFormula>
    </tableColumn>
    <tableColumn id="4" xr3:uid="{21AB625C-5A58-4149-B26F-FBD457A8C504}" name="CUB. PPTO" dataCellStyle="Millares">
      <calculatedColumnFormula>+_xlfn.XLOOKUP(Tabla2[[#This Row],[CODIGO]],PRODUCTOS[CODIGO],PRODUCTOS[CANT X MODULO],"",0)</calculatedColumnFormula>
    </tableColumn>
    <tableColumn id="5" xr3:uid="{B7871C97-D6DB-4E0E-9D66-6BF124C07681}" name="CUB. GP" dataCellStyle="Millares">
      <calculatedColumnFormula>+_xlfn.XLOOKUP(Tabla2[[#This Row],[CODIGO]],Tabla4[CODIGO],Tabla4[CUBICACION PROM / MODULO (PRESUPUESTO)],"",0)</calculatedColumnFormula>
    </tableColumn>
    <tableColumn id="6" xr3:uid="{417AF9AA-FFEF-4D4E-B48E-930DF97E7ED8}" name="PRECIO PPTO" dataDxfId="232" dataCellStyle="Moneda">
      <calculatedColumnFormula>+_xlfn.XLOOKUP(Tabla2[[#This Row],[CODIGO]],PRODUCTOS[CODIGO],PRODUCTOS[PPTO_ACTUALIZADO],"",0)</calculatedColumnFormula>
    </tableColumn>
    <tableColumn id="7" xr3:uid="{80D87384-4A63-4FD7-BDCE-EDA14F07B126}" name="PRECIO PROMEDIO" dataDxfId="231" dataCellStyle="Moneda">
      <calculatedColumnFormula>+_xlfn.XLOOKUP(Tabla2[[#This Row],[CODIGO]],PRODUCTOS[CODIGO],PRODUCTOS[PRECIO COMPRA UNITARIO],"",0)</calculatedColumnFormula>
    </tableColumn>
    <tableColumn id="8" xr3:uid="{B8C031F3-6683-4351-AC26-A44E943389A2}" name="DIF. PRECIO" dataDxfId="230">
      <calculatedColumnFormula>+IFERROR(Tabla2[[#This Row],[PRECIO PROMEDIO]]-Tabla2[[#This Row],[PRECIO PPTO]],"")</calculatedColumnFormula>
    </tableColumn>
    <tableColumn id="9" xr3:uid="{7F411851-147E-4E4E-8229-5FD88D821403}" name="PROYECCION PPTO" dataDxfId="229" dataCellStyle="Moneda">
      <calculatedColumnFormula>+IFERROR(Tabla2[[#This Row],[CUB. PPTO]]*Tabla2[[#This Row],[PRECIO PPTO]],"")</calculatedColumnFormula>
    </tableColumn>
    <tableColumn id="10" xr3:uid="{BCBFD347-58E3-497B-B3F1-A48997B76C04}" name="PROYECCIÓN PRECIO ACTUALIZADO" dataDxfId="228" dataCellStyle="Moneda">
      <calculatedColumnFormula>+IFERROR(Tabla2[[#This Row],[CUB. GP]]*Tabla2[[#This Row],[PRECIO PROMEDIO]],"")</calculatedColumnFormula>
    </tableColumn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EF91CBC-A3F1-48C3-82A1-704B2AC0F8EF}" name="Tabla4" displayName="Tabla4" ref="A1:C200" totalsRowShown="0">
  <autoFilter ref="A1:C200" xr:uid="{FEF91CBC-A3F1-48C3-82A1-704B2AC0F8EF}"/>
  <tableColumns count="3">
    <tableColumn id="1" xr3:uid="{8FD3180A-6BBB-478A-A916-BA63AFFF873E}" name="CODIGO"/>
    <tableColumn id="2" xr3:uid="{8EEA99F4-C2E7-4055-B24B-4B0C5EF0E6A5}" name="MATERIAL"/>
    <tableColumn id="3" xr3:uid="{566B65DA-C881-4BC8-8772-D8469F27C942}" name="CUBICACION PROM / MODULO (PRESUPUESTO)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87E2355-C71B-44D5-B8ED-064FDE83EB7C}" name="GD_MODULOS" displayName="GD_MODULOS" ref="A1:J33" tableType="queryTable" totalsRowShown="0">
  <autoFilter ref="A1:J33" xr:uid="{987E2355-C71B-44D5-B8ED-064FDE83EB7C}"/>
  <tableColumns count="10">
    <tableColumn id="1" xr3:uid="{71D4F038-C7BE-4B97-913B-54C789AAAE07}" uniqueName="1" name="FECHA GD" queryTableFieldId="9" dataDxfId="76"/>
    <tableColumn id="9" xr3:uid="{E1CD8F2A-317A-46CE-8849-822857960F96}" uniqueName="9" name="FECHA DESPACHO " queryTableFieldId="10" dataDxfId="75"/>
    <tableColumn id="2" xr3:uid="{8D83D590-F8EA-40F7-8AA6-A2B34D4A6441}" uniqueName="2" name="GD" queryTableFieldId="2"/>
    <tableColumn id="3" xr3:uid="{07A2F04F-DA66-40F5-B402-99CA8AF6A75F}" uniqueName="3" name="MODULO NRO SERIE " queryTableFieldId="3"/>
    <tableColumn id="4" xr3:uid="{EAE6DB0C-2AD3-4C95-92BD-F0F888443D44}" uniqueName="4" name="CANTIDAD" queryTableFieldId="4"/>
    <tableColumn id="5" xr3:uid="{0B61DB0C-141B-422B-A17B-A7359EDA1F31}" uniqueName="5" name="MONTO NETO " queryTableFieldId="5" dataDxfId="74" dataCellStyle="Moneda [0]"/>
    <tableColumn id="6" xr3:uid="{C67BD1D8-5335-4CDF-874D-CC1B4EB63DCD}" uniqueName="6" name="MODULO" queryTableFieldId="6" dataDxfId="73"/>
    <tableColumn id="7" xr3:uid="{7E81F653-F31D-42B7-9739-8CF8A5976D73}" uniqueName="7" name="TORRE" queryTableFieldId="7" dataDxfId="72"/>
    <tableColumn id="8" xr3:uid="{85B351B9-0317-408B-A561-C5EF51FE9386}" uniqueName="8" name="TIPO" queryTableFieldId="8" dataDxfId="71"/>
    <tableColumn id="10" xr3:uid="{E2D58785-4AB7-49BE-B773-00B804512E5F}" uniqueName="10" name="ACUMULADO" queryTableFieldId="13" dataDxfId="70">
      <calculatedColumnFormula>+GD_MODULOS[[#This Row],[CANTIDAD]]+J1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66E8402-C3EA-4F54-A56E-F11781080E54}" name="prog_desp" displayName="prog_desp" ref="M1:Q270" totalsRowShown="0">
  <autoFilter ref="M1:Q270" xr:uid="{766E8402-C3EA-4F54-A56E-F11781080E54}"/>
  <tableColumns count="5">
    <tableColumn id="1" xr3:uid="{69935823-17D6-4E65-A5B9-EFBCCFD01550}" name="FECHA" dataDxfId="227"/>
    <tableColumn id="2" xr3:uid="{E4620DE0-25E0-43DD-8366-CC32A91F0AF7}" name="MES"/>
    <tableColumn id="3" xr3:uid="{0B075B51-933C-44A1-932A-4AE46C02AB71}" name="MÓDULOS DÍA"/>
    <tableColumn id="4" xr3:uid="{91D39E59-E172-4659-8FA8-D34D99C53692}" name="MÓDULOS ASIGNADOS"/>
    <tableColumn id="5" xr3:uid="{6CA0F5A0-93EF-4F1E-944E-8AC43D6B0E46}" name="MÓDULOS ACUMULADOS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AA73989-C695-4116-B454-543D155D6334}" name="comparativa" displayName="comparativa" ref="B80:M92" totalsRowShown="0" dataDxfId="226" dataCellStyle="Porcentaje">
  <autoFilter ref="B80:M92" xr:uid="{4AA73989-C695-4116-B454-543D155D6334}"/>
  <tableColumns count="12">
    <tableColumn id="1" xr3:uid="{167326E4-8197-47EE-B063-9E36F45121A5}" name="MESES" dataDxfId="225"/>
    <tableColumn id="2" xr3:uid="{7F13EC40-6222-4D8E-B558-6E28C1AA405C}" name="COMPRA MATERIALES"/>
    <tableColumn id="3" xr3:uid="{B9458293-1FBB-44CF-A73D-767375FF10F3}" name="COMPRAS ACUMULADAS" dataDxfId="224" dataCellStyle="Moneda [0]">
      <calculatedColumnFormula>+D80+C81</calculatedColumnFormula>
    </tableColumn>
    <tableColumn id="4" xr3:uid="{C3635461-CEA5-4350-BD8F-1FD268A82375}" name="INGRESO MENSUAL" dataDxfId="223" dataCellStyle="Moneda [0]"/>
    <tableColumn id="5" xr3:uid="{B7D25F04-165E-4A37-AB50-7E98EDA3DEA4}" name="INGRESO ACUMULADO" dataDxfId="222" dataCellStyle="Moneda [0]">
      <calculatedColumnFormula>+F80+E81</calculatedColumnFormula>
    </tableColumn>
    <tableColumn id="6" xr3:uid="{A5FE8019-BCBE-4EAF-B8C9-4A87269F6BCD}" name="% AVANCE ECONOMICO"/>
    <tableColumn id="7" xr3:uid="{BDE9880C-B938-457A-AA13-149511C604D5}" name="%AVANCE ECONOMICO ACUM."/>
    <tableColumn id="8" xr3:uid="{8986EC7F-EBFD-4E5F-936A-0CE0B711F8DD}" name="%AVANCE ESPERADO ECONOMICO" dataDxfId="221" dataCellStyle="Porcentaje"/>
    <tableColumn id="9" xr3:uid="{3F9ED427-F6DC-409F-81AC-50A05CB3FE9A}" name="%AVANCE ESPERADO ECONOMICO ACUM." dataDxfId="220">
      <calculatedColumnFormula>+J80+I81</calculatedColumnFormula>
    </tableColumn>
    <tableColumn id="10" xr3:uid="{245B4028-22B8-41AF-9C03-33CE3602D178}" name="%AVANCE FISICO ACUM." dataDxfId="219" dataCellStyle="Porcentaje"/>
    <tableColumn id="11" xr3:uid="{F159507F-0736-4A71-A91B-2DF579422DA3}" name="%AVANCE FISICO MENSUAL" dataDxfId="218" dataCellStyle="Porcentaje"/>
    <tableColumn id="12" xr3:uid="{ED15780F-67ED-4946-9B63-8E6DD2FACC4B}" name="GAP ECONOMICO MENSUAL" dataDxfId="217">
      <calculatedColumnFormula>+I81-G81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4E5F191-0081-43F3-85B7-2E2534109C41}" name="AV_PLAN" displayName="AV_PLAN" ref="A1:U471" tableType="queryTable" totalsRowShown="0">
  <autoFilter ref="A1:U471" xr:uid="{24E5F191-0081-43F3-85B7-2E2534109C41}"/>
  <tableColumns count="21">
    <tableColumn id="1" xr3:uid="{64D2DF9E-5F4F-487D-9A52-F0EF4432590E}" uniqueName="1" name="Días" queryTableFieldId="1" dataDxfId="69"/>
    <tableColumn id="2" xr3:uid="{7BEE8FE3-6D3E-4358-AC33-8C4910F8C19B}" uniqueName="2" name="INICIO PLANIFICADO" queryTableFieldId="2"/>
    <tableColumn id="3" xr3:uid="{306ECE46-F950-4B4D-9A6C-FC7D9D0C8A85}" uniqueName="3" name="PLAN ACUMULADO" queryTableFieldId="3"/>
    <tableColumn id="4" xr3:uid="{417EE820-F5CC-49AA-BA77-A7A03F83FC93}" uniqueName="4" name="INICIO REAL" queryTableFieldId="4"/>
    <tableColumn id="5" xr3:uid="{F498E4F0-2119-47B2-A643-6F85194802B1}" uniqueName="5" name="INICIO REAL ACUMULADO" queryTableFieldId="5"/>
    <tableColumn id="6" xr3:uid="{F24E09E7-0D0B-4EBA-93F8-7AAACA20BDB2}" uniqueName="6" name="FECHA TERMINO PLANIFICADO" queryTableFieldId="6"/>
    <tableColumn id="7" xr3:uid="{BC2C70AF-2949-4337-90E1-6D0397D3B134}" uniqueName="7" name="TERMINO PLAN ACUMULADO" queryTableFieldId="7"/>
    <tableColumn id="8" xr3:uid="{48476EEC-B8C3-4B5B-AA4D-54AA46157284}" uniqueName="8" name="FECHA TERMINO REAL" queryTableFieldId="8"/>
    <tableColumn id="9" xr3:uid="{2689289A-0288-4018-8345-F52B4D7D52D8}" uniqueName="9" name="TERMINO REAL ACUMULADO" queryTableFieldId="9"/>
    <tableColumn id="10" xr3:uid="{B767EE9C-1FEA-44E9-BEB7-86F92AD970DF}" uniqueName="10" name="MES" queryTableFieldId="10" dataDxfId="216"/>
    <tableColumn id="11" xr3:uid="{04445DB0-1931-41BF-8A23-1CC33FBD24EF}" uniqueName="11" name="SEMANA" queryTableFieldId="11" dataDxfId="215">
      <calculatedColumnFormula>+WEEKNUM(AV_PLAN[[#This Row],[Días]])</calculatedColumnFormula>
    </tableColumn>
    <tableColumn id="12" xr3:uid="{2F4B22EF-6F52-4B2C-9BB2-6FCE99382E46}" uniqueName="12" name="%AVANCE" queryTableFieldId="12" dataDxfId="68" dataCellStyle="Porcentaje">
      <calculatedColumnFormula>IFERROR(AV_PLAN[[#This Row],[INICIO REAL ACUMULADO]]/AV_PLAN[[#This Row],[PLAN ACUMULADO]],"")</calculatedColumnFormula>
    </tableColumn>
    <tableColumn id="13" xr3:uid="{16D5F0E0-F379-4ED0-8976-C4BFD13C7F4E}" uniqueName="13" name="%TERMINO" queryTableFieldId="13" dataDxfId="67" dataCellStyle="Porcentaje">
      <calculatedColumnFormula>IFERROR(AV_PLAN[[#This Row],[TERMINO REAL ACUMULADO]]/AV_PLAN[[#This Row],[TERMINO PLAN ACUMULADO]],"")</calculatedColumnFormula>
    </tableColumn>
    <tableColumn id="14" xr3:uid="{44E59F77-569E-4368-A35A-0CC266B16CAE}" uniqueName="14" name="GAP INICIO" queryTableFieldId="14" dataDxfId="214">
      <calculatedColumnFormula>+AV_PLAN[[#This Row],[PLAN ACUMULADO]]-AV_PLAN[[#This Row],[INICIO REAL ACUMULADO]]</calculatedColumnFormula>
    </tableColumn>
    <tableColumn id="15" xr3:uid="{BBC32422-B51D-40B2-BC1D-11195BC7EEAB}" uniqueName="15" name="GAP TERMINO" queryTableFieldId="15" dataDxfId="213">
      <calculatedColumnFormula>+AV_PLAN[[#This Row],[TERMINO PLAN ACUMULADO]]-AV_PLAN[[#This Row],[TERMINO REAL ACUMULADO]]</calculatedColumnFormula>
    </tableColumn>
    <tableColumn id="16" xr3:uid="{89450D4D-EF50-41C8-9922-15402508123A}" uniqueName="16" name="META SEMANAL" queryTableFieldId="16" dataDxfId="212">
      <calculatedColumnFormula>SUMIFS(AV_PLAN[INICIO PLANIFICADO],AV_PLAN[SEMANA],AV_PLAN[[#This Row],[SEMANA]],AV_PLAN[MES],AV_PLAN[[#This Row],[MES]],AV_PLAN[Días],"&gt;="&amp;(AV_PLAN[[#This Row],[Días]]-30),AV_PLAN[Días],"&lt;="&amp;(AV_PLAN[[#This Row],[Días]]+30))</calculatedColumnFormula>
    </tableColumn>
    <tableColumn id="17" xr3:uid="{F040A41F-1E72-423E-8CA7-804FCF0B152C}" uniqueName="17" name="%AVANCE INICIO PLANIFICADO" queryTableFieldId="17" dataDxfId="66" dataCellStyle="Porcentaje">
      <calculatedColumnFormula>+AV_PLAN[[#This Row],[PLAN ACUMULADO]]/$C$471</calculatedColumnFormula>
    </tableColumn>
    <tableColumn id="18" xr3:uid="{13E340A8-5766-45CF-A364-A37AFBAB64FB}" uniqueName="18" name="%AVANCE INICIO" queryTableFieldId="18" dataDxfId="65" dataCellStyle="Porcentaje">
      <calculatedColumnFormula>IF(D2="",NA(),E2/$C$471)</calculatedColumnFormula>
    </tableColumn>
    <tableColumn id="19" xr3:uid="{3B093C63-5970-4DA5-B06A-B1BB7B8C2D1E}" uniqueName="19" name="%AVANCE TERMINO PLANIFICADO" queryTableFieldId="19" dataDxfId="64" dataCellStyle="Porcentaje">
      <calculatedColumnFormula>+AV_PLAN[[#This Row],[TERMINO PLAN ACUMULADO]]/$G$471</calculatedColumnFormula>
    </tableColumn>
    <tableColumn id="20" xr3:uid="{3A9E7460-F2FC-4712-B109-C44C45F8169E}" uniqueName="20" name="%AVANCE TERMINO" queryTableFieldId="20" dataDxfId="63" dataCellStyle="Porcentaje">
      <calculatedColumnFormula>IF(H2="",NA(),I2/$G$471)</calculatedColumnFormula>
    </tableColumn>
    <tableColumn id="21" xr3:uid="{2F994373-CCE9-42D6-BB8D-A8CE7E0F91B7}" uniqueName="21" name="%plan" queryTableFieldId="21" dataDxfId="62" dataCellStyle="Porcentaje">
      <calculatedColumnFormula>+(AV_PLAN[[#This Row],[%AVANCE INICIO PLANIFICADO]]+AV_PLAN[[#This Row],[%AVANCE TERMINO PLANIFICADO]])/2</calculatedColumnFormula>
    </tableColumn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33B259C-0C7F-4ABB-BF59-A989FD567068}" name="AVANCE" displayName="AVANCE" ref="A1:BI705" tableType="queryTable" totalsRowShown="0" headerRowDxfId="211">
  <autoFilter ref="A1:BI705" xr:uid="{733B259C-0C7F-4ABB-BF59-A989FD567068}"/>
  <tableColumns count="61">
    <tableColumn id="1" xr3:uid="{A9AE20D3-CDB0-4AA6-AB6C-FA62E0EA287C}" uniqueName="1" name="TORRE" queryTableFieldId="1" dataDxfId="210"/>
    <tableColumn id="2" xr3:uid="{D38DD590-BDE4-42C5-8AB3-CB6006C59BB0}" uniqueName="2" name="N° MÓDULO" queryTableFieldId="2" dataDxfId="209"/>
    <tableColumn id="3" xr3:uid="{2F030480-F99C-42B8-BC78-D6AA04BB3365}" uniqueName="3" name="N° SERIE" queryTableFieldId="3"/>
    <tableColumn id="4" xr3:uid="{413B0370-C4E6-401A-9FD1-29E1273EE439}" uniqueName="4" name="TIPO" queryTableFieldId="4" dataDxfId="208"/>
    <tableColumn id="5" xr3:uid="{19157F2A-0529-400B-91E0-AD6B1012674C}" uniqueName="5" name="% AVANCE" queryTableFieldId="5" dataDxfId="61" dataCellStyle="Porcentaje"/>
    <tableColumn id="6" xr3:uid="{32F7BEDD-2CA0-4339-8C62-27A7B0ABACDD}" uniqueName="6" name="FECHA INICIO TEORICO" queryTableFieldId="6" dataDxfId="60"/>
    <tableColumn id="7" xr3:uid="{06EB4CC7-2FD2-4212-81A9-BE00E67686E4}" uniqueName="7" name="FECHA INICIO REAL" queryTableFieldId="7" dataDxfId="59"/>
    <tableColumn id="8" xr3:uid="{428A066A-6E41-4300-8973-ABB89900BA39}" uniqueName="8" name="FECHA ULTIMO REGISTRO" queryTableFieldId="8" dataDxfId="58"/>
    <tableColumn id="9" xr3:uid="{8E49E33C-7563-43E5-AEEA-0D798C450BF8}" uniqueName="9" name="FECHA TERMINO  PLANIFICADO" queryTableFieldId="9" dataDxfId="57"/>
    <tableColumn id="15" xr3:uid="{B365D378-771E-4A20-B5AC-AF581646302D}" uniqueName="15" name="DIAS SIN MOVIMIENTO" queryTableFieldId="15"/>
    <tableColumn id="10" xr3:uid="{C761291C-AAB6-4B67-BC91-85F0F5A30C40}" uniqueName="10" name="FECHA TERMINO" queryTableFieldId="10" dataDxfId="56"/>
    <tableColumn id="16" xr3:uid="{796DC055-D869-431A-A4DB-E709BD5B8A77}" uniqueName="16" name="APORTE OBRA GRUESA" queryTableFieldId="17" dataDxfId="55" dataCellStyle="Porcentaje"/>
    <tableColumn id="17" xr3:uid="{8F88DC5C-8503-412D-BF90-FF98C039D6D6}" uniqueName="17" name="OBRA GRUESA" queryTableFieldId="18" dataDxfId="54" dataCellStyle="Porcentaje"/>
    <tableColumn id="18" xr3:uid="{F94F4FCF-422C-4F07-9D90-F0A4794492DC}" uniqueName="18" name="PISO" queryTableFieldId="19" dataDxfId="53" dataCellStyle="Porcentaje"/>
    <tableColumn id="19" xr3:uid="{BDA5B6DB-DB09-4D24-9A03-31B6399FE1F5}" uniqueName="19" name="TABIQUES" queryTableFieldId="20" dataDxfId="52" dataCellStyle="Porcentaje"/>
    <tableColumn id="20" xr3:uid="{CCED8385-58E2-4EDF-9262-D7B7D71BCE66}" uniqueName="20" name="MUROS" queryTableFieldId="21" dataDxfId="51" dataCellStyle="Porcentaje"/>
    <tableColumn id="21" xr3:uid="{17B0BE75-365D-4448-8B8C-554606CF4110}" uniqueName="21" name="CIELO" queryTableFieldId="22" dataDxfId="50" dataCellStyle="Porcentaje"/>
    <tableColumn id="22" xr3:uid="{49F5F0CF-1345-45F6-8960-9C8974BFFE3C}" uniqueName="22" name="BALCÓN" queryTableFieldId="23" dataDxfId="49" dataCellStyle="Porcentaje"/>
    <tableColumn id="23" xr3:uid="{2F89BFFD-B063-4F8B-ABEA-F5F7E3CC710A}" uniqueName="23" name="APORTE SANITARIO" queryTableFieldId="24" dataDxfId="48" dataCellStyle="Porcentaje"/>
    <tableColumn id="24" xr3:uid="{3E69DB8B-AA3F-4CA1-BA17-6379E66493A7}" uniqueName="24" name="SANITARIO" queryTableFieldId="25" dataDxfId="47" dataCellStyle="Porcentaje"/>
    <tableColumn id="25" xr3:uid="{772C167F-0962-482D-B962-ED230E44BDB1}" uniqueName="25" name="RED ALCANTARILLADO" queryTableFieldId="26" dataDxfId="46" dataCellStyle="Porcentaje"/>
    <tableColumn id="26" xr3:uid="{9C162A89-FFA1-4337-80D4-D0331D577CF3}" uniqueName="26" name="RED DE AGUA" queryTableFieldId="27" dataDxfId="45" dataCellStyle="Porcentaje"/>
    <tableColumn id="27" xr3:uid="{E7574C86-2CCA-43F5-870A-8E1814BB4AA1}" uniqueName="27" name="VENTILACIONES" queryTableFieldId="28" dataDxfId="44" dataCellStyle="Porcentaje"/>
    <tableColumn id="28" xr3:uid="{13F73926-1E0F-4D7F-A905-17BED5C1A80C}" uniqueName="28" name="TINA" queryTableFieldId="29" dataDxfId="43" dataCellStyle="Porcentaje"/>
    <tableColumn id="29" xr3:uid="{BE7582B8-8C85-4C53-BC05-E35A5684E427}" uniqueName="29" name="WC" queryTableFieldId="30" dataDxfId="42" dataCellStyle="Porcentaje"/>
    <tableColumn id="30" xr3:uid="{17CAFE0D-8A5F-4EC6-8364-1AABE8AC48B7}" uniqueName="30" name="LAVAMANOS / LAVAPLATOS / LAVADERO" queryTableFieldId="31" dataDxfId="41" dataCellStyle="Porcentaje"/>
    <tableColumn id="31" xr3:uid="{54AC82DC-1402-42E6-950E-0D7F05D0FFB6}" uniqueName="31" name="APORTE ELÉCTRICO" queryTableFieldId="32" dataDxfId="40" dataCellStyle="Porcentaje"/>
    <tableColumn id="32" xr3:uid="{AFF264DE-0E47-43FA-B87D-C9EB35E5DCC0}" uniqueName="32" name="ELÉCTRICO" queryTableFieldId="33" dataDxfId="39" dataCellStyle="Porcentaje"/>
    <tableColumn id="33" xr3:uid="{7BEC8067-6200-4A33-A60E-BFD0318E8890}" uniqueName="33" name="CANALIZACIÓN" queryTableFieldId="34" dataDxfId="38" dataCellStyle="Porcentaje"/>
    <tableColumn id="34" xr3:uid="{D4FBE3E4-8CFB-40C7-AE98-97EC70BE2DF8}" uniqueName="34" name="CABLEADO" queryTableFieldId="35" dataDxfId="37" dataCellStyle="Porcentaje"/>
    <tableColumn id="35" xr3:uid="{1AD2B900-F362-4E84-8281-EA08316E4BF1}" uniqueName="35" name="ARTEFACTOS" queryTableFieldId="36" dataDxfId="36" dataCellStyle="Porcentaje"/>
    <tableColumn id="36" xr3:uid="{9124AA6A-FA0C-406F-AA9B-9DDCF7A528A5}" uniqueName="36" name="TABLERO" queryTableFieldId="37" dataDxfId="35" dataCellStyle="Porcentaje"/>
    <tableColumn id="37" xr3:uid="{5A14C287-313B-45FD-95ED-50487E0BDF1D}" uniqueName="37" name="CAJA PAU" queryTableFieldId="38" dataDxfId="34" dataCellStyle="Porcentaje"/>
    <tableColumn id="38" xr3:uid="{590F69EB-7CBE-41DB-A993-6A6A89D78778}" uniqueName="38" name="APORTE TERMINACIONES" queryTableFieldId="39" dataDxfId="33" dataCellStyle="Porcentaje"/>
    <tableColumn id="39" xr3:uid="{458E63E7-8AAB-4ADF-8B96-4B51DC700AE3}" uniqueName="39" name="TERMINACIONES" queryTableFieldId="40" dataDxfId="32" dataCellStyle="Porcentaje"/>
    <tableColumn id="40" xr3:uid="{BC8165C4-7EF5-492B-B4EE-7167A04269BE}" uniqueName="40" name="INSTALACION VINILICO" queryTableFieldId="41" dataDxfId="31" dataCellStyle="Porcentaje"/>
    <tableColumn id="41" xr3:uid="{293C8940-C11A-4F44-A8AA-717CF3A21A13}" uniqueName="41" name="OSB CUBIERTA" queryTableFieldId="42" dataDxfId="30" dataCellStyle="Porcentaje"/>
    <tableColumn id="42" xr3:uid="{2EC82F4D-7DD4-4472-8912-28C1353B4CCE}" uniqueName="42" name="BARANDA BALCON" queryTableFieldId="43" dataDxfId="29" dataCellStyle="Porcentaje"/>
    <tableColumn id="43" xr3:uid="{E8986BA1-54B6-4291-AA96-49ECE80768C7}" uniqueName="43" name="OSB EXTERIOR" queryTableFieldId="44" dataDxfId="28" dataCellStyle="Porcentaje"/>
    <tableColumn id="44" xr3:uid="{ACC60169-75D8-462A-8EE8-BB7565B08FF7}" uniqueName="44" name="SMART PANEL" queryTableFieldId="45" dataDxfId="27" dataCellStyle="Porcentaje"/>
    <tableColumn id="45" xr3:uid="{54467548-33C8-404F-8260-885E8880E6E3}" uniqueName="45" name="PINTURA EXTERIOR" queryTableFieldId="46" dataDxfId="26" dataCellStyle="Porcentaje"/>
    <tableColumn id="46" xr3:uid="{08C9645C-C2C5-46CB-9182-42A195CE6242}" uniqueName="46" name="ZOCALOS LOGIA" queryTableFieldId="47" dataDxfId="25" dataCellStyle="Porcentaje"/>
    <tableColumn id="47" xr3:uid="{A80D191A-E1C0-4618-8843-46ABF98CE0C6}" uniqueName="47" name="MOLDURAS" queryTableFieldId="48" dataDxfId="24" dataCellStyle="Porcentaje"/>
    <tableColumn id="48" xr3:uid="{9538887A-0517-4637-9830-B3C74DADC053}" uniqueName="48" name="PILASTREO" queryTableFieldId="49" dataDxfId="23" dataCellStyle="Porcentaje"/>
    <tableColumn id="49" xr3:uid="{713BA9B5-081B-4D6D-9FF3-2809E9580831}" uniqueName="49" name="CELOSIAS" queryTableFieldId="50" dataDxfId="22" dataCellStyle="Porcentaje"/>
    <tableColumn id="50" xr3:uid="{B693887A-AAB5-4683-9509-5F88E7CB74E9}" uniqueName="50" name="VENTANAS" queryTableFieldId="51" dataDxfId="21" dataCellStyle="Porcentaje"/>
    <tableColumn id="51" xr3:uid="{2D127ABF-90D7-4020-BC09-E21AB1B59053}" uniqueName="51" name="PUERTAS ACCESO - LOGIA - BANO" queryTableFieldId="52" dataDxfId="20" dataCellStyle="Porcentaje"/>
    <tableColumn id="52" xr3:uid="{432E4261-1041-497E-BD45-DC80642883F6}" uniqueName="52" name="CERRADURAS" queryTableFieldId="53" dataDxfId="19" dataCellStyle="Porcentaje"/>
    <tableColumn id="53" xr3:uid="{B7F6FD3A-4338-45A0-ACDA-850E8D147B58}" uniqueName="53" name="REVESTIMIENTO INTERIOR ZONA SECA" queryTableFieldId="54" dataDxfId="18" dataCellStyle="Porcentaje"/>
    <tableColumn id="54" xr3:uid="{C513A49E-23A2-4C5A-A1B3-A62D559926F6}" uniqueName="54" name="REVESTIMIENTO INTERIOR ZONAS HUMEDAS" queryTableFieldId="55" dataDxfId="17" dataCellStyle="Porcentaje"/>
    <tableColumn id="55" xr3:uid="{B906357D-BEBA-430C-B26F-9869517391A5}" uniqueName="55" name="MEMBRANA CIELO" queryTableFieldId="56" dataDxfId="16" dataCellStyle="Porcentaje"/>
    <tableColumn id="56" xr3:uid="{512F9487-05D8-47B0-914A-E12E2F4F28BF}" uniqueName="56" name="LIMPIEZA FINAL" queryTableFieldId="57" dataDxfId="15" dataCellStyle="Porcentaje"/>
    <tableColumn id="57" xr3:uid="{99734D69-0849-4828-9395-0716952D6C86}" uniqueName="57" name="PUERTAS DORMITORIO" queryTableFieldId="58" dataDxfId="14" dataCellStyle="Porcentaje"/>
    <tableColumn id="58" xr3:uid="{D8557447-4214-4659-8CDF-D5DCCD27484A}" uniqueName="58" name="REVESTIMIENTO INTERIOR BANO" queryTableFieldId="59" dataDxfId="13" dataCellStyle="Porcentaje"/>
    <tableColumn id="59" xr3:uid="{E5702249-46EE-45F4-9582-DE913C166863}" uniqueName="59" name="MUEBLE LAVAPLATOS" queryTableFieldId="60" dataDxfId="12" dataCellStyle="Porcentaje"/>
    <tableColumn id="60" xr3:uid="{E224C186-DCE8-4032-ADCF-DAE0C6B43FB3}" uniqueName="60" name="IMPERMEABILIZACION BANO - COCINA LOGIA" queryTableFieldId="61"/>
    <tableColumn id="61" xr3:uid="{EB6E0111-FF39-40C5-8A93-91782D4EAA9A}" uniqueName="61" name="METROS CUADRADOS" queryTableFieldId="62"/>
    <tableColumn id="11" xr3:uid="{73074B8E-7CBE-460A-8100-6977F9E9FB8A}" uniqueName="11" name="ESTADO MODULO" queryTableFieldId="11" dataDxfId="11">
      <calculatedColumnFormula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calculatedColumnFormula>
    </tableColumn>
    <tableColumn id="12" xr3:uid="{8DB55211-8C26-4589-9732-A907D1DB63FF}" uniqueName="12" name="GAP INICIO (DIAS)" queryTableFieldId="12" dataDxfId="10" dataCellStyle="Millares [0]">
      <calculatedColumnFormula>+IF(AVANCE[[#This Row],[FECHA INICIO REAL]]="","",AVANCE[[#This Row],[FECHA INICIO REAL]]-AVANCE[[#This Row],[FECHA INICIO TEORICO]])</calculatedColumnFormula>
    </tableColumn>
    <tableColumn id="13" xr3:uid="{15C3081B-1733-4DD2-8F9F-447CB549227A}" uniqueName="13" name="GAP ESTADO INICIO" queryTableFieldId="13" dataDxfId="9">
      <calculatedColumnFormula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calculatedColumnFormula>
    </tableColumn>
    <tableColumn id="14" xr3:uid="{08659379-2C30-4817-AC3D-DE1F807FEADC}" uniqueName="14" name="GAP ESTADO TERMINO" queryTableFieldId="14" dataDxfId="8">
      <calculatedColumnFormula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calculatedColumnFormula>
    </tableColumn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D840DFD-6B77-450B-8883-C27573812379}" name="CURVA" displayName="CURVA" ref="A1:N448" tableType="queryTable" totalsRowShown="0">
  <autoFilter ref="A1:N448" xr:uid="{1D840DFD-6B77-450B-8883-C27573812379}"/>
  <tableColumns count="14">
    <tableColumn id="1" xr3:uid="{4EFA5579-536E-4261-AFDF-5FFA170C0788}" uniqueName="1" name="Fecha" queryTableFieldId="1" dataDxfId="7"/>
    <tableColumn id="2" xr3:uid="{5FDC7738-4032-42AC-883B-04B5E95594EA}" uniqueName="2" name="% Avance Teórico Acumulado" queryTableFieldId="2" dataDxfId="6" dataCellStyle="Porcentaje"/>
    <tableColumn id="3" xr3:uid="{E75CA05D-D05B-49C5-946C-A05CBA0DE21F}" uniqueName="3" name="% Avance Diario" queryTableFieldId="3" dataDxfId="5" dataCellStyle="Porcentaje"/>
    <tableColumn id="4" xr3:uid="{B0B0A597-0E88-4C39-BE4E-17FF1BA21A50}" uniqueName="4" name="Módulos Activos" queryTableFieldId="4"/>
    <tableColumn id="11" xr3:uid="{B2FAF8D6-9B5F-4B00-8549-F76C4E55F615}" uniqueName="11" name="M2 Avance Programado" queryTableFieldId="11" dataDxfId="4" dataCellStyle="Millares [0]"/>
    <tableColumn id="14" xr3:uid="{5A9C20C0-4F39-4036-9D00-F80F6538304E}" uniqueName="14" name="M2 Avance Diario" queryTableFieldId="14" dataDxfId="3" dataCellStyle="Millares [0]"/>
    <tableColumn id="5" xr3:uid="{AB925FE0-9464-48E6-B845-2C75B698418D}" uniqueName="5" name="MODULOS INICIADOS" queryTableFieldId="5" dataDxfId="250">
      <calculatedColumnFormula>+_xlfn.XLOOKUP(CURVA[[#This Row],[Fecha]],AV_PLAN[Días],AV_PLAN[INICIO REAL],"",0)</calculatedColumnFormula>
    </tableColumn>
    <tableColumn id="6" xr3:uid="{14C3D4E0-35C8-44CC-B0C0-FA7091F3F22A}" uniqueName="6" name="MODULOS TERMINADOS" queryTableFieldId="6" dataDxfId="249">
      <calculatedColumnFormula>+_xlfn.XLOOKUP(CURVA[[#This Row],[Fecha]],AV_PLAN[Días],AV_PLAN[FECHA TERMINO REAL],"",0)</calculatedColumnFormula>
    </tableColumn>
    <tableColumn id="7" xr3:uid="{7B68807A-0919-444D-9516-12A0B24BBEB4}" uniqueName="7" name="% AVANCE REAL" queryTableFieldId="7" dataDxfId="2"/>
    <tableColumn id="8" xr3:uid="{2EE913EA-7540-4DA5-8159-E3F63ECBBCD2}" uniqueName="8" name="DIA" queryTableFieldId="8" dataDxfId="248">
      <calculatedColumnFormula>+DAY(CURVA[[#This Row],[Fecha]])</calculatedColumnFormula>
    </tableColumn>
    <tableColumn id="9" xr3:uid="{F48D8867-8FAF-4893-8EF8-9A41A66A5B20}" uniqueName="9" name="MES" queryTableFieldId="9" dataDxfId="247">
      <calculatedColumnFormula>+TEXT(CURVA[[#This Row],[Fecha]],"MMMM")</calculatedColumnFormula>
    </tableColumn>
    <tableColumn id="10" xr3:uid="{B31119CA-4A6B-4874-B794-01136F89EA5E}" uniqueName="10" name="AÑO" queryTableFieldId="10" dataDxfId="246">
      <calculatedColumnFormula>+YEAR(CURVA[[#This Row],[Fecha]])</calculatedColumnFormula>
    </tableColumn>
    <tableColumn id="12" xr3:uid="{8456D6EB-97C4-45D8-87D4-32993E218596}" uniqueName="12" name="M2 Avance Acumulado Real" queryTableFieldId="12" dataDxfId="1">
      <calculatedColumnFormula>CURVA[[#This Row],[% AVANCE REAL]]*MAX(CURVA[M2 Avance Programado])</calculatedColumnFormula>
    </tableColumn>
    <tableColumn id="13" xr3:uid="{0B023F68-A247-4881-8557-05EF6C53631C}" uniqueName="13" name="M2 Avance Diario Real" queryTableFieldId="13" dataDxfId="0">
      <calculatedColumnFormula>IF(CURVA[[#This Row],[% AVANCE REAL]]="",0,M2-M1)</calculatedColumnFormula>
    </tableColumn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B635D85-F307-4EA2-97A3-1E0CF5CD9F9A}" name="Tabla3" displayName="Tabla3" ref="BA14:BC34" totalsRowShown="0">
  <tableColumns count="3">
    <tableColumn id="1" xr3:uid="{0FF8EBCF-6A5A-4070-BE5E-F50BECE199D3}" name="Etiquetas de fila">
      <calculatedColumnFormula>+B262</calculatedColumnFormula>
    </tableColumn>
    <tableColumn id="2" xr3:uid="{EEFABF34-BB77-4812-9F04-DCED3754AA1C}" name=" %VARIACION" dataDxfId="207" dataCellStyle="Porcentaje">
      <calculatedColumnFormula>+C262</calculatedColumnFormula>
    </tableColumn>
    <tableColumn id="3" xr3:uid="{85889510-E849-4246-9506-67BB4E38CB54}" name="COMPRAS" dataDxfId="206" dataCellStyle="Moneda">
      <calculatedColumnFormula>+D262</calculatedColumnFormula>
    </tableColumn>
  </tableColumns>
  <tableStyleInfo name="TableStyleMedium4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59D6006-2C5C-424F-968D-56378D1DB7D4}" name="Tabla5" displayName="Tabla5" ref="BA180:BC189" totalsRowShown="0">
  <tableColumns count="3">
    <tableColumn id="1" xr3:uid="{DD7B9404-8700-4D3E-BCF7-8230B44A1304}" name="Etiquetas de fila">
      <calculatedColumnFormula>+B422</calculatedColumnFormula>
    </tableColumn>
    <tableColumn id="2" xr3:uid="{AE0C4810-FDA7-4322-8A34-04C5B2BBFC46}" name=" %VARIACION" dataDxfId="205" dataCellStyle="Porcentaje">
      <calculatedColumnFormula>+C422</calculatedColumnFormula>
    </tableColumn>
    <tableColumn id="3" xr3:uid="{FC65709B-1BE1-4573-8455-DA5F41A356BF}" name="COMPRAS" dataDxfId="204" dataCellStyle="Moneda">
      <calculatedColumnFormula>+D422</calculatedColumnFormula>
    </tableColumn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ías" xr10:uid="{A3522E29-869E-447F-949A-35D7456507BB}" sourceName="Días">
  <pivotTables>
    <pivotTable tabId="38" name="SEMANA"/>
    <pivotTable tabId="38" name="AVANCE"/>
    <pivotTable tabId="38" name="GAPS"/>
    <pivotTable tabId="38" name="INICIO"/>
    <pivotTable tabId="38" name="TERMINO"/>
    <pivotTable tabId="38" name="TablaDinámica6"/>
  </pivotTables>
  <state minimalRefreshVersion="6" lastRefreshVersion="6" pivotCacheId="2000300640" filterType="dateBetween">
    <selection startDate="2026-04-08T00:00:00" endDate="2026-06-15T00:00:00"/>
    <bounds startDate="2026-01-01T00:00:00" endDate="2028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ías" xr10:uid="{E617DC15-DB30-46C7-B9C0-E06A4DEDBF52}" cache="NativeTimeline_Días" caption="Días" level="3" selectionLevel="3" scrollPosition="2026-06-05T00:00:00" style="TimeSlicerStyleDark6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2272917-7C1A-4450-A7F6-E71C7D1F0CE8}">
  <we:reference id="wa200009404" version="1.0.0.8" store="es-MX" storeType="OMEX"/>
  <we:alternateReferences>
    <we:reference id="WA200009404" version="1.0.0.8" store="WA200009404" storeType="OMEX"/>
  </we:alternateReferences>
  <we:properties>
    <we:property name="claude.fileId" value="&quot;4fe1b93f-a318-46d2-be1f-1d331b66297d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18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pivotTable" Target="../pivotTables/pivotTable17.xml"/><Relationship Id="rId2" Type="http://schemas.openxmlformats.org/officeDocument/2006/relationships/pivotTable" Target="../pivotTables/pivotTable2.xml"/><Relationship Id="rId16" Type="http://schemas.openxmlformats.org/officeDocument/2006/relationships/pivotTable" Target="../pivotTables/pivotTable16.xml"/><Relationship Id="rId20" Type="http://schemas.microsoft.com/office/2007/relationships/slicer" Target="../slicers/slicer1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10" Type="http://schemas.openxmlformats.org/officeDocument/2006/relationships/pivotTable" Target="../pivotTables/pivotTable10.xml"/><Relationship Id="rId19" Type="http://schemas.openxmlformats.org/officeDocument/2006/relationships/table" Target="../tables/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5.xml"/><Relationship Id="rId3" Type="http://schemas.openxmlformats.org/officeDocument/2006/relationships/pivotTable" Target="../pivotTables/pivotTable20.xml"/><Relationship Id="rId7" Type="http://schemas.openxmlformats.org/officeDocument/2006/relationships/pivotTable" Target="../pivotTables/pivotTable24.xml"/><Relationship Id="rId2" Type="http://schemas.openxmlformats.org/officeDocument/2006/relationships/pivotTable" Target="../pivotTables/pivotTable19.xml"/><Relationship Id="rId1" Type="http://schemas.openxmlformats.org/officeDocument/2006/relationships/pivotTable" Target="../pivotTables/pivotTable18.xml"/><Relationship Id="rId6" Type="http://schemas.openxmlformats.org/officeDocument/2006/relationships/pivotTable" Target="../pivotTables/pivotTable23.xml"/><Relationship Id="rId11" Type="http://schemas.microsoft.com/office/2007/relationships/slicer" Target="../slicers/slicer2.xml"/><Relationship Id="rId5" Type="http://schemas.openxmlformats.org/officeDocument/2006/relationships/pivotTable" Target="../pivotTables/pivotTable22.xml"/><Relationship Id="rId10" Type="http://schemas.openxmlformats.org/officeDocument/2006/relationships/drawing" Target="../drawings/drawing3.xml"/><Relationship Id="rId4" Type="http://schemas.openxmlformats.org/officeDocument/2006/relationships/pivotTable" Target="../pivotTables/pivotTable21.xml"/><Relationship Id="rId9" Type="http://schemas.openxmlformats.org/officeDocument/2006/relationships/pivotTable" Target="../pivotTables/pivotTable2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34.xml"/><Relationship Id="rId13" Type="http://schemas.openxmlformats.org/officeDocument/2006/relationships/pivotTable" Target="../pivotTables/pivotTable39.xml"/><Relationship Id="rId3" Type="http://schemas.openxmlformats.org/officeDocument/2006/relationships/pivotTable" Target="../pivotTables/pivotTable29.xml"/><Relationship Id="rId7" Type="http://schemas.openxmlformats.org/officeDocument/2006/relationships/pivotTable" Target="../pivotTables/pivotTable33.xml"/><Relationship Id="rId12" Type="http://schemas.openxmlformats.org/officeDocument/2006/relationships/pivotTable" Target="../pivotTables/pivotTable38.xml"/><Relationship Id="rId17" Type="http://schemas.microsoft.com/office/2011/relationships/timeline" Target="../timelines/timeline1.xml"/><Relationship Id="rId2" Type="http://schemas.openxmlformats.org/officeDocument/2006/relationships/pivotTable" Target="../pivotTables/pivotTable28.xml"/><Relationship Id="rId16" Type="http://schemas.microsoft.com/office/2007/relationships/slicer" Target="../slicers/slicer3.xml"/><Relationship Id="rId1" Type="http://schemas.openxmlformats.org/officeDocument/2006/relationships/pivotTable" Target="../pivotTables/pivotTable27.xml"/><Relationship Id="rId6" Type="http://schemas.openxmlformats.org/officeDocument/2006/relationships/pivotTable" Target="../pivotTables/pivotTable32.xml"/><Relationship Id="rId11" Type="http://schemas.openxmlformats.org/officeDocument/2006/relationships/pivotTable" Target="../pivotTables/pivotTable37.xml"/><Relationship Id="rId5" Type="http://schemas.openxmlformats.org/officeDocument/2006/relationships/pivotTable" Target="../pivotTables/pivotTable31.xml"/><Relationship Id="rId15" Type="http://schemas.openxmlformats.org/officeDocument/2006/relationships/drawing" Target="../drawings/drawing4.xml"/><Relationship Id="rId10" Type="http://schemas.openxmlformats.org/officeDocument/2006/relationships/pivotTable" Target="../pivotTables/pivotTable36.xml"/><Relationship Id="rId4" Type="http://schemas.openxmlformats.org/officeDocument/2006/relationships/pivotTable" Target="../pivotTables/pivotTable30.xml"/><Relationship Id="rId9" Type="http://schemas.openxmlformats.org/officeDocument/2006/relationships/pivotTable" Target="../pivotTables/pivotTable35.xml"/><Relationship Id="rId14" Type="http://schemas.openxmlformats.org/officeDocument/2006/relationships/pivotTable" Target="../pivotTables/pivotTable40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pivotTable" Target="../pivotTables/pivotTable43.xml"/><Relationship Id="rId7" Type="http://schemas.openxmlformats.org/officeDocument/2006/relationships/drawing" Target="../drawings/drawing5.xml"/><Relationship Id="rId2" Type="http://schemas.openxmlformats.org/officeDocument/2006/relationships/pivotTable" Target="../pivotTables/pivotTable42.xml"/><Relationship Id="rId1" Type="http://schemas.openxmlformats.org/officeDocument/2006/relationships/pivotTable" Target="../pivotTables/pivotTable41.xml"/><Relationship Id="rId6" Type="http://schemas.openxmlformats.org/officeDocument/2006/relationships/pivotTable" Target="../pivotTables/pivotTable46.xml"/><Relationship Id="rId5" Type="http://schemas.openxmlformats.org/officeDocument/2006/relationships/pivotTable" Target="../pivotTables/pivotTable45.xml"/><Relationship Id="rId10" Type="http://schemas.microsoft.com/office/2007/relationships/slicer" Target="../slicers/slicer4.xml"/><Relationship Id="rId4" Type="http://schemas.openxmlformats.org/officeDocument/2006/relationships/pivotTable" Target="../pivotTables/pivotTable44.xml"/><Relationship Id="rId9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ivotTable" Target="../pivotTables/pivotTable48.xml"/><Relationship Id="rId1" Type="http://schemas.openxmlformats.org/officeDocument/2006/relationships/pivotTable" Target="../pivotTables/pivotTable47.xml"/><Relationship Id="rId4" Type="http://schemas.microsoft.com/office/2007/relationships/slicer" Target="../slicers/slicer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ivotTable" Target="../pivotTables/pivotTable50.xml"/><Relationship Id="rId1" Type="http://schemas.openxmlformats.org/officeDocument/2006/relationships/pivotTable" Target="../pivotTables/pivotTable49.xml"/><Relationship Id="rId4" Type="http://schemas.microsoft.com/office/2007/relationships/slicer" Target="../slicers/slicer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48001-75F8-4B11-B86F-0D302D33DC25}">
  <sheetPr codeName="Hoja1"/>
  <dimension ref="A1:H258"/>
  <sheetViews>
    <sheetView topLeftCell="A4" zoomScale="80" zoomScaleNormal="80" workbookViewId="0">
      <selection activeCell="C16" sqref="C16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28.42578125" style="3" bestFit="1" customWidth="1"/>
    <col min="4" max="4" width="11" style="3" bestFit="1" customWidth="1"/>
    <col min="5" max="5" width="21.28515625" style="3" bestFit="1" customWidth="1"/>
    <col min="6" max="6" width="13.7109375" style="3" bestFit="1" customWidth="1"/>
    <col min="7" max="7" width="21.7109375" style="3" bestFit="1" customWidth="1"/>
    <col min="8" max="8" width="13.7109375" style="3" bestFit="1" customWidth="1"/>
  </cols>
  <sheetData>
    <row r="1" spans="1:8" x14ac:dyDescent="0.25">
      <c r="A1" t="s">
        <v>352</v>
      </c>
      <c r="B1" t="s">
        <v>354</v>
      </c>
      <c r="C1" s="3" t="s">
        <v>366</v>
      </c>
      <c r="D1" t="s">
        <v>456</v>
      </c>
      <c r="E1" t="s">
        <v>457</v>
      </c>
      <c r="F1" t="s">
        <v>458</v>
      </c>
      <c r="G1" t="s">
        <v>478</v>
      </c>
      <c r="H1" t="s">
        <v>479</v>
      </c>
    </row>
    <row r="2" spans="1:8" x14ac:dyDescent="0.25">
      <c r="A2">
        <v>106022</v>
      </c>
      <c r="B2" t="s">
        <v>245</v>
      </c>
      <c r="C2" s="3">
        <v>6.8249999999999984</v>
      </c>
      <c r="D2" s="26">
        <v>4</v>
      </c>
      <c r="E2" s="26">
        <v>6.8249999999999984</v>
      </c>
      <c r="F2" s="26" t="b">
        <v>1</v>
      </c>
      <c r="G2" s="26">
        <v>6.8249999999999984</v>
      </c>
      <c r="H2" s="26" t="b">
        <v>1</v>
      </c>
    </row>
    <row r="3" spans="1:8" x14ac:dyDescent="0.25">
      <c r="A3">
        <v>302010</v>
      </c>
      <c r="B3" t="s">
        <v>323</v>
      </c>
      <c r="C3" s="3">
        <v>34.912500000000023</v>
      </c>
      <c r="D3" s="26">
        <v>33.25</v>
      </c>
      <c r="E3" s="26">
        <v>34.912500000000023</v>
      </c>
      <c r="F3" s="26" t="b">
        <v>1</v>
      </c>
      <c r="G3" s="26">
        <v>34.912500000000023</v>
      </c>
      <c r="H3" s="26" t="b">
        <v>1</v>
      </c>
    </row>
    <row r="4" spans="1:8" x14ac:dyDescent="0.25">
      <c r="A4">
        <v>302019</v>
      </c>
      <c r="B4" t="s">
        <v>78</v>
      </c>
      <c r="D4" s="26" t="s">
        <v>355</v>
      </c>
      <c r="E4" s="26" t="s">
        <v>355</v>
      </c>
      <c r="F4" s="26" t="b">
        <v>0</v>
      </c>
      <c r="G4" s="26" t="s">
        <v>355</v>
      </c>
      <c r="H4" s="26" t="b">
        <v>1</v>
      </c>
    </row>
    <row r="5" spans="1:8" x14ac:dyDescent="0.25">
      <c r="A5">
        <v>302028</v>
      </c>
      <c r="B5" t="s">
        <v>246</v>
      </c>
      <c r="C5" s="3">
        <v>35.174999999999997</v>
      </c>
      <c r="D5" s="26">
        <v>164.5</v>
      </c>
      <c r="E5" s="26">
        <v>35.174999999999997</v>
      </c>
      <c r="F5" s="26" t="b">
        <v>0</v>
      </c>
      <c r="G5" s="26">
        <v>172.72499999999994</v>
      </c>
      <c r="H5" s="26" t="b">
        <v>0</v>
      </c>
    </row>
    <row r="6" spans="1:8" x14ac:dyDescent="0.25">
      <c r="A6">
        <v>302039</v>
      </c>
      <c r="B6" t="s">
        <v>84</v>
      </c>
      <c r="D6" s="26" t="s">
        <v>355</v>
      </c>
      <c r="E6" s="26" t="s">
        <v>355</v>
      </c>
      <c r="F6" s="26" t="b">
        <v>0</v>
      </c>
      <c r="G6" s="26" t="s">
        <v>355</v>
      </c>
      <c r="H6" s="26" t="b">
        <v>1</v>
      </c>
    </row>
    <row r="7" spans="1:8" x14ac:dyDescent="0.25">
      <c r="A7">
        <v>302044</v>
      </c>
      <c r="B7" t="s">
        <v>247</v>
      </c>
      <c r="C7" s="3">
        <v>8.9250000000000007</v>
      </c>
      <c r="D7" s="26">
        <v>34</v>
      </c>
      <c r="E7" s="26">
        <v>8.9250000000000007</v>
      </c>
      <c r="F7" s="26" t="b">
        <v>0</v>
      </c>
      <c r="G7" s="26">
        <v>35.174999999999997</v>
      </c>
      <c r="H7" s="26" t="b">
        <v>0</v>
      </c>
    </row>
    <row r="8" spans="1:8" x14ac:dyDescent="0.25">
      <c r="A8">
        <v>302046</v>
      </c>
      <c r="B8" t="s">
        <v>115</v>
      </c>
      <c r="C8" s="3">
        <v>6.3000000000000007</v>
      </c>
      <c r="D8" s="26">
        <v>33</v>
      </c>
      <c r="E8" s="26">
        <v>6.3000000000000007</v>
      </c>
      <c r="F8" s="26" t="b">
        <v>0</v>
      </c>
      <c r="G8" s="26">
        <v>34.65</v>
      </c>
      <c r="H8" s="26" t="b">
        <v>0</v>
      </c>
    </row>
    <row r="9" spans="1:8" x14ac:dyDescent="0.25">
      <c r="A9">
        <v>302048</v>
      </c>
      <c r="B9" t="s">
        <v>126</v>
      </c>
      <c r="D9" s="26">
        <v>33.5</v>
      </c>
      <c r="E9" s="26">
        <v>33.5</v>
      </c>
      <c r="F9" s="26" t="b">
        <v>0</v>
      </c>
      <c r="G9" s="26" t="s">
        <v>355</v>
      </c>
      <c r="H9" s="26" t="b">
        <v>1</v>
      </c>
    </row>
    <row r="10" spans="1:8" x14ac:dyDescent="0.25">
      <c r="A10">
        <v>302054</v>
      </c>
      <c r="B10" t="s">
        <v>356</v>
      </c>
      <c r="D10" s="26">
        <v>0</v>
      </c>
      <c r="E10" s="26">
        <v>0</v>
      </c>
      <c r="F10" s="26" t="b">
        <v>0</v>
      </c>
      <c r="G10" s="26" t="s">
        <v>355</v>
      </c>
      <c r="H10" s="26" t="b">
        <v>1</v>
      </c>
    </row>
    <row r="11" spans="1:8" x14ac:dyDescent="0.25">
      <c r="A11">
        <v>302248</v>
      </c>
      <c r="B11" t="s">
        <v>281</v>
      </c>
      <c r="C11" s="3">
        <v>1.378125</v>
      </c>
      <c r="D11" s="26">
        <v>9</v>
      </c>
      <c r="E11" s="26">
        <v>1.378125</v>
      </c>
      <c r="F11" s="26" t="b">
        <v>0</v>
      </c>
      <c r="G11" s="26">
        <v>8.9250000000000007</v>
      </c>
      <c r="H11" s="26" t="b">
        <v>0</v>
      </c>
    </row>
    <row r="12" spans="1:8" x14ac:dyDescent="0.25">
      <c r="A12">
        <v>302249</v>
      </c>
      <c r="B12" t="s">
        <v>178</v>
      </c>
      <c r="C12" s="3">
        <v>23.273250000000008</v>
      </c>
      <c r="D12" s="26">
        <v>6</v>
      </c>
      <c r="E12" s="26">
        <v>23.273250000000008</v>
      </c>
      <c r="F12" s="26" t="b">
        <v>1</v>
      </c>
      <c r="G12" s="26">
        <v>6.3000000000000007</v>
      </c>
      <c r="H12" s="26" t="b">
        <v>0</v>
      </c>
    </row>
    <row r="13" spans="1:8" x14ac:dyDescent="0.25">
      <c r="A13">
        <v>304002</v>
      </c>
      <c r="B13" t="s">
        <v>37</v>
      </c>
      <c r="C13" s="3">
        <v>47.643749999999976</v>
      </c>
      <c r="D13" s="26">
        <v>22</v>
      </c>
      <c r="E13" s="26">
        <v>47.643749999999976</v>
      </c>
      <c r="F13" s="26" t="b">
        <v>1</v>
      </c>
      <c r="G13" s="26">
        <v>23.296874999999996</v>
      </c>
      <c r="H13" s="26" t="b">
        <v>0</v>
      </c>
    </row>
    <row r="14" spans="1:8" x14ac:dyDescent="0.25">
      <c r="A14">
        <v>304007</v>
      </c>
      <c r="B14" t="s">
        <v>80</v>
      </c>
      <c r="C14" s="3">
        <v>7.35</v>
      </c>
      <c r="D14" s="26">
        <v>8.25</v>
      </c>
      <c r="E14" s="26">
        <v>7.35</v>
      </c>
      <c r="F14" s="26" t="b">
        <v>0</v>
      </c>
      <c r="G14" s="26">
        <v>8.6625000000000014</v>
      </c>
      <c r="H14" s="26" t="b">
        <v>0</v>
      </c>
    </row>
    <row r="15" spans="1:8" x14ac:dyDescent="0.25">
      <c r="A15">
        <v>304014</v>
      </c>
      <c r="B15" t="s">
        <v>23</v>
      </c>
      <c r="C15" s="3">
        <v>15.865500000000001</v>
      </c>
      <c r="D15" s="26">
        <v>0</v>
      </c>
      <c r="E15" s="26">
        <v>15.865500000000001</v>
      </c>
      <c r="F15" s="26" t="b">
        <v>1</v>
      </c>
      <c r="G15" s="26">
        <v>1.378125</v>
      </c>
      <c r="H15" s="26" t="b">
        <v>0</v>
      </c>
    </row>
    <row r="16" spans="1:8" x14ac:dyDescent="0.25">
      <c r="A16">
        <v>304049</v>
      </c>
      <c r="B16" t="s">
        <v>318</v>
      </c>
      <c r="C16" s="3">
        <v>8.4</v>
      </c>
      <c r="D16" s="26">
        <v>23.164999999999996</v>
      </c>
      <c r="E16" s="26">
        <v>8.4</v>
      </c>
      <c r="F16" s="26" t="b">
        <v>0</v>
      </c>
      <c r="G16" s="26">
        <v>23.273250000000008</v>
      </c>
      <c r="H16" s="26" t="b">
        <v>0</v>
      </c>
    </row>
    <row r="17" spans="1:8" x14ac:dyDescent="0.25">
      <c r="A17">
        <v>304101</v>
      </c>
      <c r="B17" t="s">
        <v>17</v>
      </c>
      <c r="C17" s="3">
        <v>7.8750000000000018</v>
      </c>
      <c r="D17" s="26">
        <v>45.375</v>
      </c>
      <c r="E17" s="26">
        <v>7.8750000000000018</v>
      </c>
      <c r="F17" s="26" t="b">
        <v>0</v>
      </c>
      <c r="G17" s="26">
        <v>47.643749999999976</v>
      </c>
      <c r="H17" s="26" t="b">
        <v>0</v>
      </c>
    </row>
    <row r="18" spans="1:8" x14ac:dyDescent="0.25">
      <c r="A18">
        <v>307030</v>
      </c>
      <c r="B18" t="s">
        <v>64</v>
      </c>
      <c r="C18" s="3">
        <v>65.100000000000023</v>
      </c>
      <c r="D18" s="26">
        <v>7</v>
      </c>
      <c r="E18" s="26">
        <v>65.100000000000023</v>
      </c>
      <c r="F18" s="26" t="b">
        <v>1</v>
      </c>
      <c r="G18" s="26">
        <v>7.35</v>
      </c>
      <c r="H18" s="26" t="b">
        <v>0</v>
      </c>
    </row>
    <row r="19" spans="1:8" x14ac:dyDescent="0.25">
      <c r="A19">
        <v>307031</v>
      </c>
      <c r="B19" t="s">
        <v>65</v>
      </c>
      <c r="C19" s="3">
        <v>588</v>
      </c>
      <c r="D19" s="26">
        <v>15.11</v>
      </c>
      <c r="E19" s="26">
        <v>588</v>
      </c>
      <c r="F19" s="26" t="b">
        <v>1</v>
      </c>
      <c r="G19" s="26">
        <v>15.865500000000001</v>
      </c>
      <c r="H19" s="26" t="b">
        <v>0</v>
      </c>
    </row>
    <row r="20" spans="1:8" x14ac:dyDescent="0.25">
      <c r="A20">
        <v>307032</v>
      </c>
      <c r="B20" t="s">
        <v>186</v>
      </c>
      <c r="C20" s="3">
        <v>52.5</v>
      </c>
      <c r="D20" s="26">
        <v>8</v>
      </c>
      <c r="E20" s="26">
        <v>52.5</v>
      </c>
      <c r="F20" s="26" t="b">
        <v>1</v>
      </c>
      <c r="G20" s="26">
        <v>8.4</v>
      </c>
      <c r="H20" s="26" t="b">
        <v>0</v>
      </c>
    </row>
    <row r="21" spans="1:8" x14ac:dyDescent="0.25">
      <c r="A21">
        <v>307033</v>
      </c>
      <c r="B21" t="s">
        <v>248</v>
      </c>
      <c r="C21" s="3">
        <v>4.2</v>
      </c>
      <c r="D21" s="26">
        <v>7.5</v>
      </c>
      <c r="E21" s="26">
        <v>4.2</v>
      </c>
      <c r="F21" s="26" t="b">
        <v>0</v>
      </c>
      <c r="G21" s="26">
        <v>7.8750000000000018</v>
      </c>
      <c r="H21" s="26" t="b">
        <v>0</v>
      </c>
    </row>
    <row r="22" spans="1:8" x14ac:dyDescent="0.25">
      <c r="A22">
        <v>307096</v>
      </c>
      <c r="B22" t="s">
        <v>249</v>
      </c>
      <c r="C22" s="3">
        <v>151.19999999999999</v>
      </c>
      <c r="D22" s="26">
        <v>62</v>
      </c>
      <c r="E22" s="26">
        <v>151.19999999999999</v>
      </c>
      <c r="F22" s="26" t="b">
        <v>1</v>
      </c>
      <c r="G22" s="26">
        <v>65.100000000000023</v>
      </c>
      <c r="H22" s="26" t="b">
        <v>0</v>
      </c>
    </row>
    <row r="23" spans="1:8" x14ac:dyDescent="0.25">
      <c r="A23">
        <v>307252</v>
      </c>
      <c r="B23" t="s">
        <v>86</v>
      </c>
      <c r="D23" s="26" t="s">
        <v>355</v>
      </c>
      <c r="E23" s="26" t="s">
        <v>355</v>
      </c>
      <c r="F23" s="26" t="b">
        <v>0</v>
      </c>
      <c r="G23" s="26" t="s">
        <v>355</v>
      </c>
      <c r="H23" s="26" t="b">
        <v>1</v>
      </c>
    </row>
    <row r="24" spans="1:8" x14ac:dyDescent="0.25">
      <c r="A24">
        <v>307256</v>
      </c>
      <c r="B24" t="s">
        <v>127</v>
      </c>
      <c r="D24" s="26">
        <v>0</v>
      </c>
      <c r="E24" s="26">
        <v>0</v>
      </c>
      <c r="F24" s="26" t="b">
        <v>0</v>
      </c>
      <c r="G24" s="26" t="s">
        <v>355</v>
      </c>
      <c r="H24" s="26" t="b">
        <v>1</v>
      </c>
    </row>
    <row r="25" spans="1:8" x14ac:dyDescent="0.25">
      <c r="A25">
        <v>307263</v>
      </c>
      <c r="B25" t="s">
        <v>158</v>
      </c>
      <c r="D25" s="26" t="s">
        <v>355</v>
      </c>
      <c r="E25" s="26" t="s">
        <v>355</v>
      </c>
      <c r="F25" s="26" t="b">
        <v>0</v>
      </c>
      <c r="G25" s="26" t="s">
        <v>355</v>
      </c>
      <c r="H25" s="26" t="b">
        <v>1</v>
      </c>
    </row>
    <row r="26" spans="1:8" x14ac:dyDescent="0.25">
      <c r="A26">
        <v>307275</v>
      </c>
      <c r="B26" t="s">
        <v>85</v>
      </c>
      <c r="D26" s="26" t="s">
        <v>355</v>
      </c>
      <c r="E26" s="26" t="s">
        <v>355</v>
      </c>
      <c r="F26" s="26" t="b">
        <v>0</v>
      </c>
      <c r="G26" s="26" t="s">
        <v>355</v>
      </c>
      <c r="H26" s="26" t="b">
        <v>1</v>
      </c>
    </row>
    <row r="27" spans="1:8" x14ac:dyDescent="0.25">
      <c r="A27">
        <v>403024</v>
      </c>
      <c r="B27" t="s">
        <v>324</v>
      </c>
      <c r="D27" s="26" t="s">
        <v>355</v>
      </c>
      <c r="E27" s="26" t="s">
        <v>355</v>
      </c>
      <c r="F27" s="26" t="b">
        <v>0</v>
      </c>
      <c r="G27" s="26" t="s">
        <v>355</v>
      </c>
      <c r="H27" s="26" t="b">
        <v>1</v>
      </c>
    </row>
    <row r="28" spans="1:8" x14ac:dyDescent="0.25">
      <c r="A28">
        <v>404184</v>
      </c>
      <c r="B28" t="s">
        <v>66</v>
      </c>
      <c r="D28" s="26">
        <v>0</v>
      </c>
      <c r="E28" s="26">
        <v>0</v>
      </c>
      <c r="F28" s="26" t="b">
        <v>0</v>
      </c>
      <c r="G28" s="26" t="s">
        <v>355</v>
      </c>
      <c r="H28" s="26" t="b">
        <v>1</v>
      </c>
    </row>
    <row r="29" spans="1:8" x14ac:dyDescent="0.25">
      <c r="A29">
        <v>404252</v>
      </c>
      <c r="B29" t="s">
        <v>181</v>
      </c>
      <c r="D29" s="26">
        <v>0</v>
      </c>
      <c r="E29" s="26">
        <v>0</v>
      </c>
      <c r="F29" s="26" t="b">
        <v>0</v>
      </c>
      <c r="G29" s="26" t="s">
        <v>355</v>
      </c>
      <c r="H29" s="26" t="b">
        <v>1</v>
      </c>
    </row>
    <row r="30" spans="1:8" x14ac:dyDescent="0.25">
      <c r="A30">
        <v>407010</v>
      </c>
      <c r="B30" t="s">
        <v>164</v>
      </c>
      <c r="D30" s="26">
        <v>0</v>
      </c>
      <c r="E30" s="26">
        <v>0</v>
      </c>
      <c r="F30" s="26" t="b">
        <v>0</v>
      </c>
      <c r="G30" s="26" t="s">
        <v>355</v>
      </c>
      <c r="H30" s="26" t="b">
        <v>1</v>
      </c>
    </row>
    <row r="31" spans="1:8" x14ac:dyDescent="0.25">
      <c r="A31">
        <v>407011</v>
      </c>
      <c r="B31" t="s">
        <v>30</v>
      </c>
      <c r="C31" s="3">
        <v>16.800000000000004</v>
      </c>
      <c r="D31" s="26">
        <v>580</v>
      </c>
      <c r="E31" s="26">
        <v>16.800000000000004</v>
      </c>
      <c r="F31" s="26" t="b">
        <v>0</v>
      </c>
      <c r="G31" s="26">
        <v>588</v>
      </c>
      <c r="H31" s="26" t="b">
        <v>0</v>
      </c>
    </row>
    <row r="32" spans="1:8" x14ac:dyDescent="0.25">
      <c r="A32">
        <v>407049</v>
      </c>
      <c r="B32" t="s">
        <v>232</v>
      </c>
      <c r="C32" s="3">
        <v>8.4</v>
      </c>
      <c r="D32" s="26">
        <v>60</v>
      </c>
      <c r="E32" s="26">
        <v>8.4</v>
      </c>
      <c r="F32" s="26" t="b">
        <v>0</v>
      </c>
      <c r="G32" s="26">
        <v>52.5</v>
      </c>
      <c r="H32" s="26" t="b">
        <v>0</v>
      </c>
    </row>
    <row r="33" spans="1:8" x14ac:dyDescent="0.25">
      <c r="A33">
        <v>407115</v>
      </c>
      <c r="B33" t="s">
        <v>282</v>
      </c>
      <c r="C33" s="3">
        <v>10.5</v>
      </c>
      <c r="D33" s="26">
        <v>8</v>
      </c>
      <c r="E33" s="26">
        <v>10.5</v>
      </c>
      <c r="F33" s="26" t="b">
        <v>1</v>
      </c>
      <c r="G33" s="26">
        <v>4.2</v>
      </c>
      <c r="H33" s="26" t="b">
        <v>0</v>
      </c>
    </row>
    <row r="34" spans="1:8" x14ac:dyDescent="0.25">
      <c r="A34">
        <v>407117</v>
      </c>
      <c r="B34" t="s">
        <v>32</v>
      </c>
      <c r="D34" s="26">
        <v>0</v>
      </c>
      <c r="E34" s="26">
        <v>0</v>
      </c>
      <c r="F34" s="26" t="b">
        <v>0</v>
      </c>
      <c r="G34" s="26" t="s">
        <v>355</v>
      </c>
      <c r="H34" s="26" t="b">
        <v>1</v>
      </c>
    </row>
    <row r="35" spans="1:8" x14ac:dyDescent="0.25">
      <c r="A35">
        <v>407170</v>
      </c>
      <c r="B35" t="s">
        <v>107</v>
      </c>
      <c r="C35" s="3">
        <v>5.7750000000000004</v>
      </c>
      <c r="D35" s="26">
        <v>144</v>
      </c>
      <c r="E35" s="26">
        <v>5.7750000000000004</v>
      </c>
      <c r="F35" s="26" t="b">
        <v>0</v>
      </c>
      <c r="G35" s="26">
        <v>151.19999999999999</v>
      </c>
      <c r="H35" s="26" t="b">
        <v>0</v>
      </c>
    </row>
    <row r="36" spans="1:8" x14ac:dyDescent="0.25">
      <c r="A36">
        <v>407185</v>
      </c>
      <c r="B36" t="s">
        <v>43</v>
      </c>
      <c r="C36" s="3">
        <v>7.875</v>
      </c>
      <c r="D36" s="26">
        <v>920</v>
      </c>
      <c r="E36" s="26">
        <v>7.875</v>
      </c>
      <c r="F36" s="26" t="b">
        <v>0</v>
      </c>
      <c r="G36" s="26">
        <v>966</v>
      </c>
      <c r="H36" s="26" t="b">
        <v>0</v>
      </c>
    </row>
    <row r="37" spans="1:8" x14ac:dyDescent="0.25">
      <c r="A37">
        <v>407307</v>
      </c>
      <c r="B37" t="s">
        <v>163</v>
      </c>
      <c r="D37" s="26">
        <v>62.5</v>
      </c>
      <c r="E37" s="26">
        <v>62.5</v>
      </c>
      <c r="F37" s="26" t="b">
        <v>0</v>
      </c>
      <c r="G37" s="26" t="s">
        <v>355</v>
      </c>
      <c r="H37" s="26" t="b">
        <v>1</v>
      </c>
    </row>
    <row r="38" spans="1:8" x14ac:dyDescent="0.25">
      <c r="A38">
        <v>407423</v>
      </c>
      <c r="B38" t="s">
        <v>106</v>
      </c>
      <c r="C38" s="3">
        <v>1.05</v>
      </c>
      <c r="D38" s="26">
        <v>751</v>
      </c>
      <c r="E38" s="26">
        <v>1.05</v>
      </c>
      <c r="F38" s="26" t="b">
        <v>0</v>
      </c>
      <c r="G38" s="26">
        <v>24.28125</v>
      </c>
      <c r="H38" s="26" t="b">
        <v>0</v>
      </c>
    </row>
    <row r="39" spans="1:8" x14ac:dyDescent="0.25">
      <c r="A39">
        <v>407427</v>
      </c>
      <c r="B39" t="s">
        <v>172</v>
      </c>
      <c r="C39" s="3">
        <v>0.52500000000000002</v>
      </c>
      <c r="D39" s="26">
        <v>0.2</v>
      </c>
      <c r="E39" s="26">
        <v>0.52500000000000002</v>
      </c>
      <c r="F39" s="26" t="b">
        <v>1</v>
      </c>
      <c r="G39" s="26">
        <v>0.105</v>
      </c>
      <c r="H39" s="26" t="b">
        <v>0</v>
      </c>
    </row>
    <row r="40" spans="1:8" x14ac:dyDescent="0.25">
      <c r="A40">
        <v>407795</v>
      </c>
      <c r="B40" t="s">
        <v>325</v>
      </c>
      <c r="D40" s="26">
        <v>1</v>
      </c>
      <c r="E40" s="26">
        <v>1</v>
      </c>
      <c r="F40" s="26" t="b">
        <v>0</v>
      </c>
      <c r="G40" s="26" t="s">
        <v>355</v>
      </c>
      <c r="H40" s="26" t="b">
        <v>1</v>
      </c>
    </row>
    <row r="41" spans="1:8" x14ac:dyDescent="0.25">
      <c r="A41">
        <v>408013</v>
      </c>
      <c r="B41" t="s">
        <v>128</v>
      </c>
      <c r="D41" s="26" t="s">
        <v>355</v>
      </c>
      <c r="E41" s="26" t="s">
        <v>355</v>
      </c>
      <c r="F41" s="26" t="b">
        <v>0</v>
      </c>
      <c r="G41" s="26" t="s">
        <v>355</v>
      </c>
      <c r="H41" s="26" t="b">
        <v>1</v>
      </c>
    </row>
    <row r="42" spans="1:8" x14ac:dyDescent="0.25">
      <c r="A42">
        <v>408014</v>
      </c>
      <c r="B42" t="s">
        <v>108</v>
      </c>
      <c r="C42" s="3">
        <v>0.30194718749999999</v>
      </c>
      <c r="D42" s="26">
        <v>1.2000000000000002E-2</v>
      </c>
      <c r="E42" s="26">
        <v>0.30194718749999999</v>
      </c>
      <c r="F42" s="26" t="b">
        <v>1</v>
      </c>
      <c r="G42" s="26">
        <v>0.51449999999999996</v>
      </c>
      <c r="H42" s="26" t="b">
        <v>0</v>
      </c>
    </row>
    <row r="43" spans="1:8" x14ac:dyDescent="0.25">
      <c r="A43">
        <v>408034</v>
      </c>
      <c r="B43" t="s">
        <v>250</v>
      </c>
      <c r="C43" s="3">
        <v>0.105</v>
      </c>
      <c r="D43" s="26">
        <v>6.8000000000000033E-2</v>
      </c>
      <c r="E43" s="26">
        <v>0.105</v>
      </c>
      <c r="F43" s="26" t="b">
        <v>1</v>
      </c>
      <c r="G43" s="26">
        <v>7.1400000000000005E-2</v>
      </c>
      <c r="H43" s="26" t="b">
        <v>0</v>
      </c>
    </row>
    <row r="44" spans="1:8" x14ac:dyDescent="0.25">
      <c r="A44">
        <v>408042</v>
      </c>
      <c r="B44" t="s">
        <v>144</v>
      </c>
      <c r="C44" s="3">
        <v>4.7250000000000005</v>
      </c>
      <c r="D44" s="26">
        <v>1.1224999999999998</v>
      </c>
      <c r="E44" s="26">
        <v>4.7250000000000005</v>
      </c>
      <c r="F44" s="26" t="b">
        <v>1</v>
      </c>
      <c r="G44" s="26">
        <v>0.95825624999999959</v>
      </c>
      <c r="H44" s="26" t="b">
        <v>0</v>
      </c>
    </row>
    <row r="45" spans="1:8" x14ac:dyDescent="0.25">
      <c r="A45">
        <v>408071</v>
      </c>
      <c r="B45" t="s">
        <v>111</v>
      </c>
      <c r="C45" s="3">
        <v>4.2840000000000007</v>
      </c>
      <c r="D45" s="26">
        <v>0.19350000000000001</v>
      </c>
      <c r="E45" s="26">
        <v>4.2840000000000007</v>
      </c>
      <c r="F45" s="26" t="b">
        <v>1</v>
      </c>
      <c r="G45" s="26">
        <v>0.20317500000000016</v>
      </c>
      <c r="H45" s="26" t="b">
        <v>0</v>
      </c>
    </row>
    <row r="46" spans="1:8" x14ac:dyDescent="0.25">
      <c r="A46">
        <v>408088</v>
      </c>
      <c r="B46" t="s">
        <v>109</v>
      </c>
      <c r="C46" s="3">
        <v>7.0875000000000012</v>
      </c>
      <c r="D46" s="26">
        <v>0.12000000000000004</v>
      </c>
      <c r="E46" s="26">
        <v>7.0875000000000012</v>
      </c>
      <c r="F46" s="26" t="b">
        <v>1</v>
      </c>
      <c r="G46" s="26">
        <v>0.126</v>
      </c>
      <c r="H46" s="26" t="b">
        <v>0</v>
      </c>
    </row>
    <row r="47" spans="1:8" x14ac:dyDescent="0.25">
      <c r="A47">
        <v>409011</v>
      </c>
      <c r="B47" t="s">
        <v>251</v>
      </c>
      <c r="D47" s="26" t="s">
        <v>355</v>
      </c>
      <c r="E47" s="26" t="s">
        <v>355</v>
      </c>
      <c r="F47" s="26" t="b">
        <v>0</v>
      </c>
      <c r="G47" s="26" t="s">
        <v>355</v>
      </c>
      <c r="H47" s="26" t="b">
        <v>1</v>
      </c>
    </row>
    <row r="48" spans="1:8" x14ac:dyDescent="0.25">
      <c r="A48">
        <v>409027</v>
      </c>
      <c r="B48" t="s">
        <v>152</v>
      </c>
      <c r="D48" s="26" t="s">
        <v>355</v>
      </c>
      <c r="E48" s="26" t="s">
        <v>355</v>
      </c>
      <c r="F48" s="26" t="b">
        <v>0</v>
      </c>
      <c r="G48" s="26" t="s">
        <v>355</v>
      </c>
      <c r="H48" s="26" t="b">
        <v>1</v>
      </c>
    </row>
    <row r="49" spans="1:8" x14ac:dyDescent="0.25">
      <c r="A49">
        <v>410045</v>
      </c>
      <c r="B49" t="s">
        <v>110</v>
      </c>
      <c r="C49" s="3">
        <v>21</v>
      </c>
      <c r="D49" s="26">
        <v>16</v>
      </c>
      <c r="E49" s="26">
        <v>21</v>
      </c>
      <c r="F49" s="26" t="b">
        <v>1</v>
      </c>
      <c r="G49" s="26">
        <v>16.800000000000004</v>
      </c>
      <c r="H49" s="26" t="b">
        <v>0</v>
      </c>
    </row>
    <row r="50" spans="1:8" x14ac:dyDescent="0.25">
      <c r="A50">
        <v>410046</v>
      </c>
      <c r="B50" t="s">
        <v>361</v>
      </c>
      <c r="D50" s="26">
        <v>8</v>
      </c>
      <c r="E50" s="26">
        <v>8</v>
      </c>
      <c r="F50" s="26" t="b">
        <v>0</v>
      </c>
      <c r="G50" s="26" t="s">
        <v>355</v>
      </c>
      <c r="H50" s="26" t="b">
        <v>1</v>
      </c>
    </row>
    <row r="51" spans="1:8" x14ac:dyDescent="0.25">
      <c r="A51">
        <v>410078</v>
      </c>
      <c r="B51" t="s">
        <v>252</v>
      </c>
      <c r="C51" s="3">
        <v>23.625</v>
      </c>
      <c r="D51" s="26">
        <v>8</v>
      </c>
      <c r="E51" s="26">
        <v>23.625</v>
      </c>
      <c r="F51" s="26" t="b">
        <v>1</v>
      </c>
      <c r="G51" s="26">
        <v>8.4</v>
      </c>
      <c r="H51" s="26" t="b">
        <v>0</v>
      </c>
    </row>
    <row r="52" spans="1:8" x14ac:dyDescent="0.25">
      <c r="A52">
        <v>410126</v>
      </c>
      <c r="B52" t="s">
        <v>159</v>
      </c>
      <c r="C52" s="3">
        <v>4.2</v>
      </c>
      <c r="D52" s="26">
        <v>10</v>
      </c>
      <c r="E52" s="26">
        <v>4.2</v>
      </c>
      <c r="F52" s="26" t="b">
        <v>0</v>
      </c>
      <c r="G52" s="26">
        <v>10.5</v>
      </c>
      <c r="H52" s="26" t="b">
        <v>0</v>
      </c>
    </row>
    <row r="53" spans="1:8" x14ac:dyDescent="0.25">
      <c r="A53">
        <v>412249</v>
      </c>
      <c r="B53" t="s">
        <v>33</v>
      </c>
      <c r="C53" s="3">
        <v>4.2</v>
      </c>
      <c r="D53" s="26" t="s">
        <v>355</v>
      </c>
      <c r="E53" s="26">
        <v>4.2</v>
      </c>
      <c r="F53" s="26" t="b">
        <v>0</v>
      </c>
      <c r="G53" s="26">
        <v>22.05</v>
      </c>
      <c r="H53" s="26" t="b">
        <v>0</v>
      </c>
    </row>
    <row r="54" spans="1:8" x14ac:dyDescent="0.25">
      <c r="A54">
        <v>412260</v>
      </c>
      <c r="B54" t="s">
        <v>41</v>
      </c>
      <c r="C54" s="3">
        <v>0.42</v>
      </c>
      <c r="D54" s="26">
        <v>10</v>
      </c>
      <c r="E54" s="26">
        <v>0.42</v>
      </c>
      <c r="F54" s="26" t="b">
        <v>0</v>
      </c>
      <c r="G54" s="26">
        <v>5.7750000000000004</v>
      </c>
      <c r="H54" s="26" t="b">
        <v>0</v>
      </c>
    </row>
    <row r="55" spans="1:8" x14ac:dyDescent="0.25">
      <c r="A55">
        <v>412280</v>
      </c>
      <c r="B55" t="s">
        <v>40</v>
      </c>
      <c r="C55" s="3">
        <v>3.6749999999999998</v>
      </c>
      <c r="D55" s="26">
        <v>8.5</v>
      </c>
      <c r="E55" s="26">
        <v>3.6749999999999998</v>
      </c>
      <c r="F55" s="26" t="b">
        <v>0</v>
      </c>
      <c r="G55" s="26">
        <v>7.875</v>
      </c>
      <c r="H55" s="26" t="b">
        <v>0</v>
      </c>
    </row>
    <row r="56" spans="1:8" x14ac:dyDescent="0.25">
      <c r="A56">
        <v>412281</v>
      </c>
      <c r="B56" t="s">
        <v>326</v>
      </c>
      <c r="D56" s="26">
        <v>3.5</v>
      </c>
      <c r="E56" s="26">
        <v>3.5</v>
      </c>
      <c r="F56" s="26" t="b">
        <v>0</v>
      </c>
      <c r="G56" s="26" t="s">
        <v>355</v>
      </c>
      <c r="H56" s="26" t="b">
        <v>1</v>
      </c>
    </row>
    <row r="57" spans="1:8" x14ac:dyDescent="0.25">
      <c r="A57">
        <v>412301</v>
      </c>
      <c r="B57" t="s">
        <v>327</v>
      </c>
      <c r="C57" s="3">
        <v>0.7111632270168855</v>
      </c>
      <c r="D57" s="26">
        <v>32</v>
      </c>
      <c r="E57" s="26">
        <v>0.7111632270168855</v>
      </c>
      <c r="F57" s="26" t="b">
        <v>0</v>
      </c>
      <c r="G57" s="26">
        <v>21</v>
      </c>
      <c r="H57" s="26" t="b">
        <v>0</v>
      </c>
    </row>
    <row r="58" spans="1:8" x14ac:dyDescent="0.25">
      <c r="A58">
        <v>412302</v>
      </c>
      <c r="B58" t="s">
        <v>165</v>
      </c>
      <c r="C58" s="3">
        <v>13.650000000000002</v>
      </c>
      <c r="D58" s="26">
        <v>2</v>
      </c>
      <c r="E58" s="26">
        <v>13.650000000000002</v>
      </c>
      <c r="F58" s="26" t="b">
        <v>1</v>
      </c>
      <c r="G58" s="26">
        <v>1.05</v>
      </c>
      <c r="H58" s="26" t="b">
        <v>0</v>
      </c>
    </row>
    <row r="59" spans="1:8" x14ac:dyDescent="0.25">
      <c r="A59">
        <v>412313</v>
      </c>
      <c r="B59" t="s">
        <v>253</v>
      </c>
      <c r="D59" s="26">
        <v>0.82399999999999995</v>
      </c>
      <c r="E59" s="26">
        <v>0.82399999999999995</v>
      </c>
      <c r="F59" s="26" t="b">
        <v>0</v>
      </c>
      <c r="G59" s="26" t="s">
        <v>355</v>
      </c>
      <c r="H59" s="26" t="b">
        <v>1</v>
      </c>
    </row>
    <row r="60" spans="1:8" x14ac:dyDescent="0.25">
      <c r="A60">
        <v>412592</v>
      </c>
      <c r="B60" t="s">
        <v>237</v>
      </c>
      <c r="D60" s="26">
        <v>0</v>
      </c>
      <c r="E60" s="26">
        <v>0</v>
      </c>
      <c r="F60" s="26" t="b">
        <v>0</v>
      </c>
      <c r="G60" s="26" t="s">
        <v>355</v>
      </c>
      <c r="H60" s="26" t="b">
        <v>1</v>
      </c>
    </row>
    <row r="61" spans="1:8" x14ac:dyDescent="0.25">
      <c r="A61">
        <v>412630</v>
      </c>
      <c r="B61" t="s">
        <v>284</v>
      </c>
      <c r="C61" s="3">
        <v>0.52500000000000002</v>
      </c>
      <c r="D61" s="26">
        <v>1</v>
      </c>
      <c r="E61" s="26">
        <v>0.52500000000000002</v>
      </c>
      <c r="F61" s="26" t="b">
        <v>0</v>
      </c>
      <c r="G61" s="26">
        <v>0.52500000000000002</v>
      </c>
      <c r="H61" s="26" t="b">
        <v>1</v>
      </c>
    </row>
    <row r="62" spans="1:8" x14ac:dyDescent="0.25">
      <c r="A62">
        <v>601047</v>
      </c>
      <c r="B62" t="s">
        <v>129</v>
      </c>
      <c r="D62" s="26">
        <v>0</v>
      </c>
      <c r="E62" s="26">
        <v>0</v>
      </c>
      <c r="F62" s="26" t="b">
        <v>0</v>
      </c>
      <c r="G62" s="26" t="s">
        <v>355</v>
      </c>
      <c r="H62" s="26" t="b">
        <v>1</v>
      </c>
    </row>
    <row r="63" spans="1:8" x14ac:dyDescent="0.25">
      <c r="A63">
        <v>601121</v>
      </c>
      <c r="B63" t="s">
        <v>67</v>
      </c>
      <c r="C63" s="3">
        <v>0.52500000000000002</v>
      </c>
      <c r="D63" s="26">
        <v>1.05</v>
      </c>
      <c r="E63" s="26">
        <v>0.52500000000000002</v>
      </c>
      <c r="F63" s="26" t="b">
        <v>0</v>
      </c>
      <c r="G63" s="26">
        <v>0.55125000000000002</v>
      </c>
      <c r="H63" s="26" t="b">
        <v>0</v>
      </c>
    </row>
    <row r="64" spans="1:8" x14ac:dyDescent="0.25">
      <c r="A64">
        <v>601122</v>
      </c>
      <c r="B64" t="s">
        <v>69</v>
      </c>
      <c r="D64" s="26" t="s">
        <v>355</v>
      </c>
      <c r="E64" s="26" t="s">
        <v>355</v>
      </c>
      <c r="F64" s="26" t="b">
        <v>0</v>
      </c>
      <c r="G64" s="26" t="s">
        <v>355</v>
      </c>
      <c r="H64" s="26" t="b">
        <v>1</v>
      </c>
    </row>
    <row r="65" spans="1:8" x14ac:dyDescent="0.25">
      <c r="A65">
        <v>601123</v>
      </c>
      <c r="B65" t="s">
        <v>70</v>
      </c>
      <c r="D65" s="26" t="s">
        <v>355</v>
      </c>
      <c r="E65" s="26" t="s">
        <v>355</v>
      </c>
      <c r="F65" s="26" t="b">
        <v>0</v>
      </c>
      <c r="G65" s="26" t="s">
        <v>355</v>
      </c>
      <c r="H65" s="26" t="b">
        <v>1</v>
      </c>
    </row>
    <row r="66" spans="1:8" x14ac:dyDescent="0.25">
      <c r="A66">
        <v>602060</v>
      </c>
      <c r="B66" t="s">
        <v>71</v>
      </c>
      <c r="D66" s="26" t="s">
        <v>355</v>
      </c>
      <c r="E66" s="26" t="s">
        <v>355</v>
      </c>
      <c r="F66" s="26" t="b">
        <v>0</v>
      </c>
      <c r="G66" s="26" t="s">
        <v>355</v>
      </c>
      <c r="H66" s="26" t="b">
        <v>1</v>
      </c>
    </row>
    <row r="67" spans="1:8" x14ac:dyDescent="0.25">
      <c r="A67">
        <v>602254</v>
      </c>
      <c r="B67" t="s">
        <v>214</v>
      </c>
      <c r="C67" s="3">
        <v>0.52500000000000002</v>
      </c>
      <c r="D67" s="26">
        <v>0.68420625000000002</v>
      </c>
      <c r="E67" s="26">
        <v>0.52500000000000002</v>
      </c>
      <c r="F67" s="26" t="b">
        <v>0</v>
      </c>
      <c r="G67" s="26">
        <v>0.35920828125000004</v>
      </c>
      <c r="H67" s="26" t="b">
        <v>0</v>
      </c>
    </row>
    <row r="68" spans="1:8" x14ac:dyDescent="0.25">
      <c r="A68">
        <v>602255</v>
      </c>
      <c r="B68" t="s">
        <v>203</v>
      </c>
      <c r="C68" s="3">
        <v>0.52500000000000002</v>
      </c>
      <c r="D68" s="26">
        <v>0.57513749999999997</v>
      </c>
      <c r="E68" s="26">
        <v>0.52500000000000002</v>
      </c>
      <c r="F68" s="26" t="b">
        <v>0</v>
      </c>
      <c r="G68" s="26">
        <v>0.30194718749999999</v>
      </c>
      <c r="H68" s="26" t="b">
        <v>0</v>
      </c>
    </row>
    <row r="69" spans="1:8" x14ac:dyDescent="0.25">
      <c r="A69">
        <v>608013</v>
      </c>
      <c r="B69" t="s">
        <v>328</v>
      </c>
      <c r="C69" s="3">
        <v>0.52500000000000002</v>
      </c>
      <c r="D69" s="26">
        <v>0.10000000000000002</v>
      </c>
      <c r="E69" s="26">
        <v>0.52500000000000002</v>
      </c>
      <c r="F69" s="26" t="b">
        <v>1</v>
      </c>
      <c r="G69" s="26">
        <v>0.105</v>
      </c>
      <c r="H69" s="26" t="b">
        <v>0</v>
      </c>
    </row>
    <row r="70" spans="1:8" x14ac:dyDescent="0.25">
      <c r="A70">
        <v>609007</v>
      </c>
      <c r="B70" t="s">
        <v>210</v>
      </c>
      <c r="D70" s="26">
        <v>0</v>
      </c>
      <c r="E70" s="26">
        <v>0</v>
      </c>
      <c r="F70" s="26" t="b">
        <v>0</v>
      </c>
      <c r="G70" s="26" t="s">
        <v>355</v>
      </c>
      <c r="H70" s="26" t="b">
        <v>1</v>
      </c>
    </row>
    <row r="71" spans="1:8" x14ac:dyDescent="0.25">
      <c r="A71">
        <v>609008</v>
      </c>
      <c r="B71" t="s">
        <v>57</v>
      </c>
      <c r="D71" s="26">
        <v>1</v>
      </c>
      <c r="E71" s="26">
        <v>1</v>
      </c>
      <c r="F71" s="26" t="b">
        <v>0</v>
      </c>
      <c r="G71" s="26" t="s">
        <v>355</v>
      </c>
      <c r="H71" s="26" t="b">
        <v>1</v>
      </c>
    </row>
    <row r="72" spans="1:8" x14ac:dyDescent="0.25">
      <c r="A72">
        <v>617007</v>
      </c>
      <c r="B72" t="s">
        <v>188</v>
      </c>
      <c r="D72" s="26">
        <v>0</v>
      </c>
      <c r="E72" s="26">
        <v>0</v>
      </c>
      <c r="F72" s="26" t="b">
        <v>0</v>
      </c>
      <c r="G72" s="26" t="s">
        <v>355</v>
      </c>
      <c r="H72" s="26" t="b">
        <v>1</v>
      </c>
    </row>
    <row r="73" spans="1:8" x14ac:dyDescent="0.25">
      <c r="A73">
        <v>617016</v>
      </c>
      <c r="B73" t="s">
        <v>133</v>
      </c>
      <c r="D73" s="26">
        <v>4</v>
      </c>
      <c r="E73" s="26">
        <v>4</v>
      </c>
      <c r="F73" s="26" t="b">
        <v>0</v>
      </c>
      <c r="G73" s="26" t="s">
        <v>355</v>
      </c>
      <c r="H73" s="26" t="b">
        <v>1</v>
      </c>
    </row>
    <row r="74" spans="1:8" x14ac:dyDescent="0.25">
      <c r="A74">
        <v>617055</v>
      </c>
      <c r="B74" t="s">
        <v>182</v>
      </c>
      <c r="D74" s="26">
        <v>2</v>
      </c>
      <c r="E74" s="26">
        <v>2</v>
      </c>
      <c r="F74" s="26" t="b">
        <v>0</v>
      </c>
      <c r="G74" s="26" t="s">
        <v>355</v>
      </c>
      <c r="H74" s="26" t="b">
        <v>1</v>
      </c>
    </row>
    <row r="75" spans="1:8" x14ac:dyDescent="0.25">
      <c r="A75">
        <v>617056</v>
      </c>
      <c r="B75" t="s">
        <v>135</v>
      </c>
      <c r="D75" s="26" t="s">
        <v>355</v>
      </c>
      <c r="E75" s="26" t="s">
        <v>355</v>
      </c>
      <c r="F75" s="26" t="b">
        <v>0</v>
      </c>
      <c r="G75" s="26" t="s">
        <v>355</v>
      </c>
      <c r="H75" s="26" t="b">
        <v>1</v>
      </c>
    </row>
    <row r="76" spans="1:8" x14ac:dyDescent="0.25">
      <c r="A76">
        <v>617057</v>
      </c>
      <c r="B76" t="s">
        <v>134</v>
      </c>
      <c r="D76" s="26">
        <v>1.5</v>
      </c>
      <c r="E76" s="26">
        <v>1.5</v>
      </c>
      <c r="F76" s="26" t="b">
        <v>0</v>
      </c>
      <c r="G76" s="26" t="s">
        <v>355</v>
      </c>
      <c r="H76" s="26" t="b">
        <v>1</v>
      </c>
    </row>
    <row r="77" spans="1:8" x14ac:dyDescent="0.25">
      <c r="A77">
        <v>701015</v>
      </c>
      <c r="B77" t="s">
        <v>254</v>
      </c>
      <c r="C77" s="3">
        <v>0.52500000000000002</v>
      </c>
      <c r="D77" s="26">
        <v>9</v>
      </c>
      <c r="E77" s="26">
        <v>0.52500000000000002</v>
      </c>
      <c r="F77" s="26" t="b">
        <v>0</v>
      </c>
      <c r="G77" s="26">
        <v>4.7250000000000005</v>
      </c>
      <c r="H77" s="26" t="b">
        <v>0</v>
      </c>
    </row>
    <row r="78" spans="1:8" x14ac:dyDescent="0.25">
      <c r="A78">
        <v>701022</v>
      </c>
      <c r="B78" t="s">
        <v>76</v>
      </c>
      <c r="D78" s="26" t="s">
        <v>355</v>
      </c>
      <c r="E78" s="26" t="s">
        <v>355</v>
      </c>
      <c r="F78" s="26" t="b">
        <v>0</v>
      </c>
      <c r="G78" s="26" t="s">
        <v>355</v>
      </c>
      <c r="H78" s="26" t="b">
        <v>1</v>
      </c>
    </row>
    <row r="79" spans="1:8" x14ac:dyDescent="0.25">
      <c r="A79">
        <v>701040</v>
      </c>
      <c r="B79" t="s">
        <v>19</v>
      </c>
      <c r="C79" s="3">
        <v>0.52500000000000002</v>
      </c>
      <c r="D79" s="26">
        <v>5.5</v>
      </c>
      <c r="E79" s="26">
        <v>0.52500000000000002</v>
      </c>
      <c r="F79" s="26" t="b">
        <v>0</v>
      </c>
      <c r="G79" s="26">
        <v>4.2840000000000007</v>
      </c>
      <c r="H79" s="26" t="b">
        <v>0</v>
      </c>
    </row>
    <row r="80" spans="1:8" x14ac:dyDescent="0.25">
      <c r="A80">
        <v>701043</v>
      </c>
      <c r="B80" t="s">
        <v>197</v>
      </c>
      <c r="C80" s="3">
        <v>0.52500000000000002</v>
      </c>
      <c r="D80" s="26">
        <v>6.75</v>
      </c>
      <c r="E80" s="26">
        <v>0.52500000000000002</v>
      </c>
      <c r="F80" s="26" t="b">
        <v>0</v>
      </c>
      <c r="G80" s="26">
        <v>7.0875000000000012</v>
      </c>
      <c r="H80" s="26" t="b">
        <v>0</v>
      </c>
    </row>
    <row r="81" spans="1:8" x14ac:dyDescent="0.25">
      <c r="A81">
        <v>701084</v>
      </c>
      <c r="B81" t="s">
        <v>38</v>
      </c>
      <c r="C81" s="3">
        <v>0.52500000000000002</v>
      </c>
      <c r="D81" s="26">
        <v>1.33</v>
      </c>
      <c r="E81" s="26">
        <v>0.52500000000000002</v>
      </c>
      <c r="F81" s="26" t="b">
        <v>0</v>
      </c>
      <c r="G81" s="26">
        <v>0.69825000000000004</v>
      </c>
      <c r="H81" s="26" t="b">
        <v>0</v>
      </c>
    </row>
    <row r="82" spans="1:8" x14ac:dyDescent="0.25">
      <c r="A82">
        <v>701096</v>
      </c>
      <c r="B82" t="s">
        <v>204</v>
      </c>
      <c r="C82" s="3">
        <v>0.52500000000000002</v>
      </c>
      <c r="D82" s="26">
        <v>29.75</v>
      </c>
      <c r="E82" s="26">
        <v>0.52500000000000002</v>
      </c>
      <c r="F82" s="26" t="b">
        <v>0</v>
      </c>
      <c r="G82" s="26">
        <v>31.237499999999997</v>
      </c>
      <c r="H82" s="26" t="b">
        <v>0</v>
      </c>
    </row>
    <row r="83" spans="1:8" x14ac:dyDescent="0.25">
      <c r="A83">
        <v>701183</v>
      </c>
      <c r="B83" t="s">
        <v>136</v>
      </c>
      <c r="D83" s="26">
        <v>0</v>
      </c>
      <c r="E83" s="26">
        <v>0</v>
      </c>
      <c r="F83" s="26" t="b">
        <v>0</v>
      </c>
      <c r="G83" s="26" t="s">
        <v>355</v>
      </c>
      <c r="H83" s="26" t="b">
        <v>1</v>
      </c>
    </row>
    <row r="84" spans="1:8" x14ac:dyDescent="0.25">
      <c r="A84">
        <v>704021</v>
      </c>
      <c r="B84" t="s">
        <v>329</v>
      </c>
      <c r="C84" s="3">
        <v>0.52500000000000002</v>
      </c>
      <c r="D84" s="26">
        <v>20</v>
      </c>
      <c r="E84" s="26">
        <v>0.52500000000000002</v>
      </c>
      <c r="F84" s="26" t="b">
        <v>0</v>
      </c>
      <c r="G84" s="26">
        <v>21</v>
      </c>
      <c r="H84" s="26" t="b">
        <v>0</v>
      </c>
    </row>
    <row r="85" spans="1:8" x14ac:dyDescent="0.25">
      <c r="A85">
        <v>704022</v>
      </c>
      <c r="B85" t="s">
        <v>330</v>
      </c>
      <c r="C85" s="3">
        <v>0.52500000000000002</v>
      </c>
      <c r="D85" s="26">
        <v>13.5</v>
      </c>
      <c r="E85" s="26">
        <v>0.52500000000000002</v>
      </c>
      <c r="F85" s="26" t="b">
        <v>0</v>
      </c>
      <c r="G85" s="26">
        <v>14.175000000000001</v>
      </c>
      <c r="H85" s="26" t="b">
        <v>0</v>
      </c>
    </row>
    <row r="86" spans="1:8" x14ac:dyDescent="0.25">
      <c r="A86">
        <v>704023</v>
      </c>
      <c r="B86" t="s">
        <v>331</v>
      </c>
      <c r="C86" s="3">
        <v>2.1000000000000005</v>
      </c>
      <c r="D86" s="26">
        <v>22.5</v>
      </c>
      <c r="E86" s="26">
        <v>2.1000000000000005</v>
      </c>
      <c r="F86" s="26" t="b">
        <v>0</v>
      </c>
      <c r="G86" s="26">
        <v>23.625</v>
      </c>
      <c r="H86" s="26" t="b">
        <v>0</v>
      </c>
    </row>
    <row r="87" spans="1:8" x14ac:dyDescent="0.25">
      <c r="A87">
        <v>704024</v>
      </c>
      <c r="B87" t="s">
        <v>332</v>
      </c>
      <c r="C87" s="3">
        <v>1.05</v>
      </c>
      <c r="D87" s="26">
        <v>4</v>
      </c>
      <c r="E87" s="26">
        <v>1.05</v>
      </c>
      <c r="F87" s="26" t="b">
        <v>0</v>
      </c>
      <c r="G87" s="26">
        <v>4.2</v>
      </c>
      <c r="H87" s="26" t="b">
        <v>0</v>
      </c>
    </row>
    <row r="88" spans="1:8" x14ac:dyDescent="0.25">
      <c r="A88">
        <v>704025</v>
      </c>
      <c r="B88" t="s">
        <v>333</v>
      </c>
      <c r="C88" s="3">
        <v>0.91874999999999996</v>
      </c>
      <c r="D88" s="26">
        <v>4</v>
      </c>
      <c r="E88" s="26">
        <v>0.91874999999999996</v>
      </c>
      <c r="F88" s="26" t="b">
        <v>0</v>
      </c>
      <c r="G88" s="26">
        <v>4.2</v>
      </c>
      <c r="H88" s="26" t="b">
        <v>0</v>
      </c>
    </row>
    <row r="89" spans="1:8" x14ac:dyDescent="0.25">
      <c r="A89">
        <v>704046</v>
      </c>
      <c r="B89" t="s">
        <v>255</v>
      </c>
      <c r="C89" s="3">
        <v>0.65625</v>
      </c>
      <c r="D89" s="26">
        <v>0.84262295081967231</v>
      </c>
      <c r="E89" s="26">
        <v>0.65625</v>
      </c>
      <c r="F89" s="26" t="b">
        <v>0</v>
      </c>
      <c r="G89" s="26">
        <v>0.42</v>
      </c>
      <c r="H89" s="26" t="b">
        <v>0</v>
      </c>
    </row>
    <row r="90" spans="1:8" x14ac:dyDescent="0.25">
      <c r="A90">
        <v>704079</v>
      </c>
      <c r="B90" t="s">
        <v>209</v>
      </c>
      <c r="D90" s="26">
        <v>0</v>
      </c>
      <c r="E90" s="26">
        <v>0</v>
      </c>
      <c r="F90" s="26" t="b">
        <v>0</v>
      </c>
      <c r="G90" s="26" t="s">
        <v>355</v>
      </c>
      <c r="H90" s="26" t="b">
        <v>1</v>
      </c>
    </row>
    <row r="91" spans="1:8" x14ac:dyDescent="0.25">
      <c r="A91">
        <v>704091</v>
      </c>
      <c r="B91" t="s">
        <v>130</v>
      </c>
      <c r="D91" s="26" t="s">
        <v>355</v>
      </c>
      <c r="E91" s="26" t="s">
        <v>355</v>
      </c>
      <c r="F91" s="26" t="b">
        <v>0</v>
      </c>
      <c r="G91" s="26" t="s">
        <v>355</v>
      </c>
      <c r="H91" s="26" t="b">
        <v>1</v>
      </c>
    </row>
    <row r="92" spans="1:8" x14ac:dyDescent="0.25">
      <c r="A92">
        <v>704092</v>
      </c>
      <c r="B92" t="s">
        <v>116</v>
      </c>
      <c r="D92" s="26" t="s">
        <v>355</v>
      </c>
      <c r="E92" s="26" t="s">
        <v>355</v>
      </c>
      <c r="F92" s="26" t="b">
        <v>0</v>
      </c>
      <c r="G92" s="26" t="s">
        <v>355</v>
      </c>
      <c r="H92" s="26" t="b">
        <v>1</v>
      </c>
    </row>
    <row r="93" spans="1:8" x14ac:dyDescent="0.25">
      <c r="A93">
        <v>704095</v>
      </c>
      <c r="B93" t="s">
        <v>187</v>
      </c>
      <c r="D93" s="26">
        <v>0</v>
      </c>
      <c r="E93" s="26">
        <v>0</v>
      </c>
      <c r="F93" s="26" t="b">
        <v>0</v>
      </c>
      <c r="G93" s="26" t="s">
        <v>355</v>
      </c>
      <c r="H93" s="26" t="b">
        <v>1</v>
      </c>
    </row>
    <row r="94" spans="1:8" x14ac:dyDescent="0.25">
      <c r="A94">
        <v>704107</v>
      </c>
      <c r="B94" t="s">
        <v>131</v>
      </c>
      <c r="D94" s="26" t="s">
        <v>355</v>
      </c>
      <c r="E94" s="26" t="s">
        <v>355</v>
      </c>
      <c r="F94" s="26" t="b">
        <v>0</v>
      </c>
      <c r="G94" s="26" t="s">
        <v>355</v>
      </c>
      <c r="H94" s="26" t="b">
        <v>1</v>
      </c>
    </row>
    <row r="95" spans="1:8" x14ac:dyDescent="0.25">
      <c r="A95">
        <v>705028</v>
      </c>
      <c r="B95" t="s">
        <v>72</v>
      </c>
      <c r="C95" s="3">
        <v>0.52500000000000002</v>
      </c>
      <c r="D95" s="26">
        <v>6.375</v>
      </c>
      <c r="E95" s="26">
        <v>0.52500000000000002</v>
      </c>
      <c r="F95" s="26" t="b">
        <v>0</v>
      </c>
      <c r="G95" s="26">
        <v>3.6749999999999998</v>
      </c>
      <c r="H95" s="26" t="b">
        <v>0</v>
      </c>
    </row>
    <row r="96" spans="1:8" x14ac:dyDescent="0.25">
      <c r="A96">
        <v>804070</v>
      </c>
      <c r="B96" t="s">
        <v>44</v>
      </c>
      <c r="D96" s="26" t="s">
        <v>355</v>
      </c>
      <c r="E96" s="26" t="s">
        <v>355</v>
      </c>
      <c r="F96" s="26" t="b">
        <v>0</v>
      </c>
      <c r="G96" s="26" t="s">
        <v>355</v>
      </c>
      <c r="H96" s="26" t="b">
        <v>1</v>
      </c>
    </row>
    <row r="97" spans="1:8" x14ac:dyDescent="0.25">
      <c r="A97">
        <v>810007</v>
      </c>
      <c r="B97" t="s">
        <v>235</v>
      </c>
      <c r="C97" s="3">
        <v>62.430325650000007</v>
      </c>
      <c r="D97" s="26">
        <v>2</v>
      </c>
      <c r="E97" s="26">
        <v>62.430325650000007</v>
      </c>
      <c r="F97" s="26" t="b">
        <v>1</v>
      </c>
      <c r="G97" s="26">
        <v>1.05</v>
      </c>
      <c r="H97" s="26" t="b">
        <v>0</v>
      </c>
    </row>
    <row r="98" spans="1:8" x14ac:dyDescent="0.25">
      <c r="A98">
        <v>907031</v>
      </c>
      <c r="B98" t="s">
        <v>256</v>
      </c>
      <c r="C98" s="3">
        <v>40.010249999999999</v>
      </c>
      <c r="D98" s="26">
        <v>0.67729831144465302</v>
      </c>
      <c r="E98" s="26">
        <v>40.010249999999999</v>
      </c>
      <c r="F98" s="26" t="b">
        <v>1</v>
      </c>
      <c r="G98" s="26">
        <v>0.7111632270168855</v>
      </c>
      <c r="H98" s="26" t="b">
        <v>0</v>
      </c>
    </row>
    <row r="99" spans="1:8" x14ac:dyDescent="0.25">
      <c r="A99">
        <v>1003500</v>
      </c>
      <c r="B99" t="s">
        <v>149</v>
      </c>
      <c r="C99" s="3">
        <v>31.794434700000004</v>
      </c>
      <c r="D99" s="26">
        <v>13</v>
      </c>
      <c r="E99" s="26">
        <v>31.794434700000004</v>
      </c>
      <c r="F99" s="26" t="b">
        <v>1</v>
      </c>
      <c r="G99" s="26">
        <v>13.650000000000002</v>
      </c>
      <c r="H99" s="26" t="b">
        <v>0</v>
      </c>
    </row>
    <row r="100" spans="1:8" x14ac:dyDescent="0.25">
      <c r="A100">
        <v>1101307</v>
      </c>
      <c r="B100" t="s">
        <v>309</v>
      </c>
      <c r="D100" s="26">
        <v>2</v>
      </c>
      <c r="E100" s="26">
        <v>2</v>
      </c>
      <c r="F100" s="26" t="b">
        <v>0</v>
      </c>
      <c r="G100" s="26" t="s">
        <v>355</v>
      </c>
      <c r="H100" s="26" t="b">
        <v>1</v>
      </c>
    </row>
    <row r="101" spans="1:8" x14ac:dyDescent="0.25">
      <c r="A101">
        <v>1101946</v>
      </c>
      <c r="B101" t="s">
        <v>117</v>
      </c>
      <c r="D101" s="26" t="s">
        <v>355</v>
      </c>
      <c r="E101" s="26" t="s">
        <v>355</v>
      </c>
      <c r="F101" s="26" t="b">
        <v>0</v>
      </c>
      <c r="G101" s="26" t="s">
        <v>355</v>
      </c>
      <c r="H101" s="26" t="b">
        <v>1</v>
      </c>
    </row>
    <row r="102" spans="1:8" x14ac:dyDescent="0.25">
      <c r="A102">
        <v>1101971</v>
      </c>
      <c r="B102" t="s">
        <v>100</v>
      </c>
      <c r="D102" s="26" t="s">
        <v>355</v>
      </c>
      <c r="E102" s="26" t="s">
        <v>355</v>
      </c>
      <c r="F102" s="26" t="b">
        <v>0</v>
      </c>
      <c r="G102" s="26" t="s">
        <v>355</v>
      </c>
      <c r="H102" s="26" t="b">
        <v>1</v>
      </c>
    </row>
    <row r="103" spans="1:8" x14ac:dyDescent="0.25">
      <c r="A103">
        <v>1103074</v>
      </c>
      <c r="B103" t="s">
        <v>310</v>
      </c>
      <c r="C103" s="3">
        <v>5.5125000000000002</v>
      </c>
      <c r="D103" s="26">
        <v>2</v>
      </c>
      <c r="E103" s="26">
        <v>5.5125000000000002</v>
      </c>
      <c r="F103" s="26" t="b">
        <v>1</v>
      </c>
      <c r="G103" s="26">
        <v>1.05</v>
      </c>
      <c r="H103" s="26" t="b">
        <v>0</v>
      </c>
    </row>
    <row r="104" spans="1:8" x14ac:dyDescent="0.25">
      <c r="A104">
        <v>1103076</v>
      </c>
      <c r="B104" t="s">
        <v>311</v>
      </c>
      <c r="C104" s="3">
        <v>0.7875000000000002</v>
      </c>
      <c r="D104" s="26">
        <v>2</v>
      </c>
      <c r="E104" s="26">
        <v>0.7875000000000002</v>
      </c>
      <c r="F104" s="26" t="b">
        <v>0</v>
      </c>
      <c r="G104" s="26">
        <v>1.05</v>
      </c>
      <c r="H104" s="26" t="b">
        <v>0</v>
      </c>
    </row>
    <row r="105" spans="1:8" x14ac:dyDescent="0.25">
      <c r="A105">
        <v>1103090</v>
      </c>
      <c r="B105" t="s">
        <v>290</v>
      </c>
      <c r="D105" s="26" t="s">
        <v>355</v>
      </c>
      <c r="E105" s="26" t="s">
        <v>355</v>
      </c>
      <c r="F105" s="26" t="b">
        <v>0</v>
      </c>
      <c r="G105" s="26" t="s">
        <v>355</v>
      </c>
      <c r="H105" s="26" t="b">
        <v>1</v>
      </c>
    </row>
    <row r="106" spans="1:8" x14ac:dyDescent="0.25">
      <c r="A106">
        <v>1103091</v>
      </c>
      <c r="B106" t="s">
        <v>291</v>
      </c>
      <c r="D106" s="26" t="s">
        <v>355</v>
      </c>
      <c r="E106" s="26" t="s">
        <v>355</v>
      </c>
      <c r="F106" s="26" t="b">
        <v>0</v>
      </c>
      <c r="G106" s="26" t="s">
        <v>355</v>
      </c>
      <c r="H106" s="26" t="b">
        <v>1</v>
      </c>
    </row>
    <row r="107" spans="1:8" x14ac:dyDescent="0.25">
      <c r="A107">
        <v>1105121</v>
      </c>
      <c r="B107" t="s">
        <v>119</v>
      </c>
      <c r="D107" s="26" t="s">
        <v>355</v>
      </c>
      <c r="E107" s="26" t="s">
        <v>355</v>
      </c>
      <c r="F107" s="26" t="b">
        <v>0</v>
      </c>
      <c r="G107" s="26" t="s">
        <v>355</v>
      </c>
      <c r="H107" s="26" t="b">
        <v>1</v>
      </c>
    </row>
    <row r="108" spans="1:8" x14ac:dyDescent="0.25">
      <c r="A108">
        <v>1105122</v>
      </c>
      <c r="B108" t="s">
        <v>120</v>
      </c>
      <c r="D108" s="26" t="s">
        <v>355</v>
      </c>
      <c r="E108" s="26" t="s">
        <v>355</v>
      </c>
      <c r="F108" s="26" t="b">
        <v>0</v>
      </c>
      <c r="G108" s="26" t="s">
        <v>355</v>
      </c>
      <c r="H108" s="26" t="b">
        <v>1</v>
      </c>
    </row>
    <row r="109" spans="1:8" x14ac:dyDescent="0.25">
      <c r="A109">
        <v>1206002</v>
      </c>
      <c r="B109" t="s">
        <v>192</v>
      </c>
      <c r="C109" s="3">
        <v>1.5750000000000002</v>
      </c>
      <c r="D109" s="26">
        <v>1</v>
      </c>
      <c r="E109" s="26">
        <v>1.5750000000000002</v>
      </c>
      <c r="F109" s="26" t="b">
        <v>1</v>
      </c>
      <c r="G109" s="26">
        <v>0.52500000000000002</v>
      </c>
      <c r="H109" s="26" t="b">
        <v>0</v>
      </c>
    </row>
    <row r="110" spans="1:8" x14ac:dyDescent="0.25">
      <c r="A110">
        <v>1401065</v>
      </c>
      <c r="B110" t="s">
        <v>118</v>
      </c>
      <c r="D110" s="26" t="s">
        <v>355</v>
      </c>
      <c r="E110" s="26" t="s">
        <v>355</v>
      </c>
      <c r="F110" s="26" t="b">
        <v>0</v>
      </c>
      <c r="G110" s="26" t="s">
        <v>355</v>
      </c>
      <c r="H110" s="26" t="b">
        <v>1</v>
      </c>
    </row>
    <row r="111" spans="1:8" x14ac:dyDescent="0.25">
      <c r="A111">
        <v>1405006</v>
      </c>
      <c r="B111" t="s">
        <v>199</v>
      </c>
      <c r="C111" s="3">
        <v>2.1</v>
      </c>
      <c r="D111" s="26">
        <v>29</v>
      </c>
      <c r="E111" s="26">
        <v>2.1</v>
      </c>
      <c r="F111" s="26" t="b">
        <v>0</v>
      </c>
      <c r="G111" s="26">
        <v>30.450000000000003</v>
      </c>
      <c r="H111" s="26" t="b">
        <v>0</v>
      </c>
    </row>
    <row r="112" spans="1:8" x14ac:dyDescent="0.25">
      <c r="A112">
        <v>1405025</v>
      </c>
      <c r="B112" t="s">
        <v>189</v>
      </c>
      <c r="C112" s="3">
        <v>2.1000000000000005</v>
      </c>
      <c r="D112" s="26">
        <v>1</v>
      </c>
      <c r="E112" s="26">
        <v>2.1000000000000005</v>
      </c>
      <c r="F112" s="26" t="b">
        <v>1</v>
      </c>
      <c r="G112" s="26">
        <v>0.52500000000000002</v>
      </c>
      <c r="H112" s="26" t="b">
        <v>0</v>
      </c>
    </row>
    <row r="113" spans="1:8" x14ac:dyDescent="0.25">
      <c r="A113">
        <v>1405026</v>
      </c>
      <c r="B113" t="s">
        <v>91</v>
      </c>
      <c r="D113" s="26">
        <v>1</v>
      </c>
      <c r="E113" s="26">
        <v>1</v>
      </c>
      <c r="F113" s="26" t="b">
        <v>0</v>
      </c>
      <c r="G113" s="26" t="s">
        <v>355</v>
      </c>
      <c r="H113" s="26" t="b">
        <v>1</v>
      </c>
    </row>
    <row r="114" spans="1:8" x14ac:dyDescent="0.25">
      <c r="A114">
        <v>1405027</v>
      </c>
      <c r="B114" t="s">
        <v>89</v>
      </c>
      <c r="D114" s="26">
        <v>1</v>
      </c>
      <c r="E114" s="26">
        <v>1</v>
      </c>
      <c r="F114" s="26" t="b">
        <v>0</v>
      </c>
      <c r="G114" s="26" t="s">
        <v>355</v>
      </c>
      <c r="H114" s="26" t="b">
        <v>1</v>
      </c>
    </row>
    <row r="115" spans="1:8" x14ac:dyDescent="0.25">
      <c r="A115">
        <v>1405039</v>
      </c>
      <c r="B115" t="s">
        <v>314</v>
      </c>
      <c r="C115" s="3">
        <v>0.52500000000000002</v>
      </c>
      <c r="D115" s="26">
        <v>1</v>
      </c>
      <c r="E115" s="26">
        <v>0.52500000000000002</v>
      </c>
      <c r="F115" s="26" t="b">
        <v>0</v>
      </c>
      <c r="G115" s="26">
        <v>1.5750000000000002</v>
      </c>
      <c r="H115" s="26" t="b">
        <v>0</v>
      </c>
    </row>
    <row r="116" spans="1:8" x14ac:dyDescent="0.25">
      <c r="A116">
        <v>1405040</v>
      </c>
      <c r="B116" t="s">
        <v>303</v>
      </c>
      <c r="C116" s="3">
        <v>0.52500000000000002</v>
      </c>
      <c r="D116" s="26">
        <v>1.5</v>
      </c>
      <c r="E116" s="26">
        <v>0.52500000000000002</v>
      </c>
      <c r="F116" s="26" t="b">
        <v>0</v>
      </c>
      <c r="G116" s="26">
        <v>0.52500000000000002</v>
      </c>
      <c r="H116" s="26" t="b">
        <v>1</v>
      </c>
    </row>
    <row r="117" spans="1:8" x14ac:dyDescent="0.25">
      <c r="A117">
        <v>1610007</v>
      </c>
      <c r="B117" t="s">
        <v>334</v>
      </c>
      <c r="D117" s="26">
        <v>1</v>
      </c>
      <c r="E117" s="26">
        <v>1</v>
      </c>
      <c r="F117" s="26" t="b">
        <v>0</v>
      </c>
      <c r="G117" s="26" t="s">
        <v>355</v>
      </c>
      <c r="H117" s="26" t="b">
        <v>1</v>
      </c>
    </row>
    <row r="118" spans="1:8" x14ac:dyDescent="0.25">
      <c r="A118">
        <v>1610023</v>
      </c>
      <c r="B118" t="s">
        <v>59</v>
      </c>
      <c r="D118" s="26">
        <v>0.5</v>
      </c>
      <c r="E118" s="26">
        <v>0.5</v>
      </c>
      <c r="F118" s="26" t="b">
        <v>0</v>
      </c>
      <c r="G118" s="26" t="s">
        <v>355</v>
      </c>
      <c r="H118" s="26" t="b">
        <v>1</v>
      </c>
    </row>
    <row r="119" spans="1:8" x14ac:dyDescent="0.25">
      <c r="A119">
        <v>1701071</v>
      </c>
      <c r="B119" t="s">
        <v>257</v>
      </c>
      <c r="C119" s="3">
        <v>0.52500000000000002</v>
      </c>
      <c r="D119" s="26">
        <v>1</v>
      </c>
      <c r="E119" s="26">
        <v>0.52500000000000002</v>
      </c>
      <c r="F119" s="26" t="b">
        <v>0</v>
      </c>
      <c r="G119" s="26">
        <v>0.52500000000000002</v>
      </c>
      <c r="H119" s="26" t="b">
        <v>1</v>
      </c>
    </row>
    <row r="120" spans="1:8" x14ac:dyDescent="0.25">
      <c r="A120">
        <v>1703006</v>
      </c>
      <c r="B120" t="s">
        <v>48</v>
      </c>
      <c r="C120" s="3">
        <v>0.52500000000000002</v>
      </c>
      <c r="D120" s="26">
        <v>1</v>
      </c>
      <c r="E120" s="26">
        <v>0.52500000000000002</v>
      </c>
      <c r="F120" s="26" t="b">
        <v>0</v>
      </c>
      <c r="G120" s="26">
        <v>0.52500000000000002</v>
      </c>
      <c r="H120" s="26" t="b">
        <v>1</v>
      </c>
    </row>
    <row r="121" spans="1:8" x14ac:dyDescent="0.25">
      <c r="A121">
        <v>1703046</v>
      </c>
      <c r="B121" t="s">
        <v>49</v>
      </c>
      <c r="D121" s="26" t="s">
        <v>355</v>
      </c>
      <c r="E121" s="26" t="s">
        <v>355</v>
      </c>
      <c r="F121" s="26" t="b">
        <v>0</v>
      </c>
      <c r="G121" s="26" t="s">
        <v>355</v>
      </c>
      <c r="H121" s="26" t="b">
        <v>1</v>
      </c>
    </row>
    <row r="122" spans="1:8" x14ac:dyDescent="0.25">
      <c r="A122">
        <v>1801011</v>
      </c>
      <c r="B122" t="s">
        <v>105</v>
      </c>
      <c r="D122" s="26" t="s">
        <v>355</v>
      </c>
      <c r="E122" s="26" t="s">
        <v>355</v>
      </c>
      <c r="F122" s="26" t="b">
        <v>0</v>
      </c>
      <c r="G122" s="26" t="s">
        <v>355</v>
      </c>
      <c r="H122" s="26" t="b">
        <v>1</v>
      </c>
    </row>
    <row r="123" spans="1:8" x14ac:dyDescent="0.25">
      <c r="A123">
        <v>1801020</v>
      </c>
      <c r="B123" t="s">
        <v>53</v>
      </c>
      <c r="D123" s="26">
        <v>0</v>
      </c>
      <c r="E123" s="26">
        <v>0</v>
      </c>
      <c r="F123" s="26" t="b">
        <v>0</v>
      </c>
      <c r="G123" s="26" t="s">
        <v>355</v>
      </c>
      <c r="H123" s="26" t="b">
        <v>1</v>
      </c>
    </row>
    <row r="124" spans="1:8" x14ac:dyDescent="0.25">
      <c r="A124">
        <v>1801035</v>
      </c>
      <c r="B124" t="s">
        <v>50</v>
      </c>
      <c r="D124" s="26" t="s">
        <v>355</v>
      </c>
      <c r="E124" s="26" t="s">
        <v>355</v>
      </c>
      <c r="F124" s="26" t="b">
        <v>0</v>
      </c>
      <c r="G124" s="26" t="s">
        <v>355</v>
      </c>
      <c r="H124" s="26" t="b">
        <v>1</v>
      </c>
    </row>
    <row r="125" spans="1:8" x14ac:dyDescent="0.25">
      <c r="A125">
        <v>1801154</v>
      </c>
      <c r="B125" t="s">
        <v>99</v>
      </c>
      <c r="D125" s="26" t="s">
        <v>355</v>
      </c>
      <c r="E125" s="26" t="s">
        <v>355</v>
      </c>
      <c r="F125" s="26" t="b">
        <v>0</v>
      </c>
      <c r="G125" s="26" t="s">
        <v>355</v>
      </c>
      <c r="H125" s="26" t="b">
        <v>1</v>
      </c>
    </row>
    <row r="126" spans="1:8" x14ac:dyDescent="0.25">
      <c r="A126">
        <v>1801155</v>
      </c>
      <c r="B126" t="s">
        <v>98</v>
      </c>
      <c r="D126" s="26" t="s">
        <v>355</v>
      </c>
      <c r="E126" s="26" t="s">
        <v>355</v>
      </c>
      <c r="F126" s="26" t="b">
        <v>0</v>
      </c>
      <c r="G126" s="26" t="s">
        <v>355</v>
      </c>
      <c r="H126" s="26" t="b">
        <v>1</v>
      </c>
    </row>
    <row r="127" spans="1:8" x14ac:dyDescent="0.25">
      <c r="A127">
        <v>1801229</v>
      </c>
      <c r="B127" t="s">
        <v>259</v>
      </c>
      <c r="C127" s="3">
        <v>5.46875E-2</v>
      </c>
      <c r="D127" s="26">
        <v>1</v>
      </c>
      <c r="E127" s="26">
        <v>5.46875E-2</v>
      </c>
      <c r="F127" s="26" t="b">
        <v>0</v>
      </c>
      <c r="G127" s="26">
        <v>0.52500000000000002</v>
      </c>
      <c r="H127" s="26" t="b">
        <v>0</v>
      </c>
    </row>
    <row r="128" spans="1:8" x14ac:dyDescent="0.25">
      <c r="A128">
        <v>1801230</v>
      </c>
      <c r="B128" t="s">
        <v>51</v>
      </c>
      <c r="C128" s="3">
        <v>3.4539749999999994</v>
      </c>
      <c r="D128" s="26">
        <v>1</v>
      </c>
      <c r="E128" s="26">
        <v>3.4539749999999994</v>
      </c>
      <c r="F128" s="26" t="b">
        <v>1</v>
      </c>
      <c r="G128" s="26">
        <v>0.52500000000000002</v>
      </c>
      <c r="H128" s="26" t="b">
        <v>0</v>
      </c>
    </row>
    <row r="129" spans="1:8" x14ac:dyDescent="0.25">
      <c r="A129">
        <v>1801231</v>
      </c>
      <c r="B129" t="s">
        <v>193</v>
      </c>
      <c r="D129" s="26">
        <v>0</v>
      </c>
      <c r="E129" s="26">
        <v>0</v>
      </c>
      <c r="F129" s="26" t="b">
        <v>0</v>
      </c>
      <c r="G129" s="26" t="s">
        <v>355</v>
      </c>
      <c r="H129" s="26" t="b">
        <v>1</v>
      </c>
    </row>
    <row r="130" spans="1:8" x14ac:dyDescent="0.25">
      <c r="A130">
        <v>1801232</v>
      </c>
      <c r="B130" t="s">
        <v>191</v>
      </c>
      <c r="D130" s="26">
        <v>0</v>
      </c>
      <c r="E130" s="26">
        <v>0</v>
      </c>
      <c r="F130" s="26" t="b">
        <v>0</v>
      </c>
      <c r="G130" s="26" t="s">
        <v>355</v>
      </c>
      <c r="H130" s="26" t="b">
        <v>1</v>
      </c>
    </row>
    <row r="131" spans="1:8" x14ac:dyDescent="0.25">
      <c r="A131">
        <v>1801233</v>
      </c>
      <c r="B131" t="s">
        <v>190</v>
      </c>
      <c r="D131" s="26">
        <v>0</v>
      </c>
      <c r="E131" s="26">
        <v>0</v>
      </c>
      <c r="F131" s="26" t="b">
        <v>0</v>
      </c>
      <c r="G131" s="26" t="s">
        <v>355</v>
      </c>
      <c r="H131" s="26" t="b">
        <v>1</v>
      </c>
    </row>
    <row r="132" spans="1:8" x14ac:dyDescent="0.25">
      <c r="A132">
        <v>1801236</v>
      </c>
      <c r="B132" t="s">
        <v>103</v>
      </c>
      <c r="D132" s="26" t="s">
        <v>355</v>
      </c>
      <c r="E132" s="26" t="s">
        <v>355</v>
      </c>
      <c r="F132" s="26" t="b">
        <v>0</v>
      </c>
      <c r="G132" s="26" t="s">
        <v>355</v>
      </c>
      <c r="H132" s="26" t="b">
        <v>1</v>
      </c>
    </row>
    <row r="133" spans="1:8" x14ac:dyDescent="0.25">
      <c r="A133">
        <v>1801238</v>
      </c>
      <c r="B133" t="s">
        <v>104</v>
      </c>
      <c r="D133" s="26" t="s">
        <v>355</v>
      </c>
      <c r="E133" s="26" t="s">
        <v>355</v>
      </c>
      <c r="F133" s="26" t="b">
        <v>0</v>
      </c>
      <c r="G133" s="26" t="s">
        <v>355</v>
      </c>
      <c r="H133" s="26" t="b">
        <v>1</v>
      </c>
    </row>
    <row r="134" spans="1:8" x14ac:dyDescent="0.25">
      <c r="A134">
        <v>1801700</v>
      </c>
      <c r="B134" t="s">
        <v>122</v>
      </c>
      <c r="D134" s="26" t="s">
        <v>355</v>
      </c>
      <c r="E134" s="26" t="s">
        <v>355</v>
      </c>
      <c r="F134" s="26" t="b">
        <v>0</v>
      </c>
      <c r="G134" s="26" t="s">
        <v>355</v>
      </c>
      <c r="H134" s="26" t="b">
        <v>1</v>
      </c>
    </row>
    <row r="135" spans="1:8" x14ac:dyDescent="0.25">
      <c r="A135">
        <v>1801735</v>
      </c>
      <c r="B135" t="s">
        <v>73</v>
      </c>
      <c r="C135" s="3">
        <v>0.52500000000000002</v>
      </c>
      <c r="D135" s="26">
        <v>1</v>
      </c>
      <c r="E135" s="26">
        <v>0.52500000000000002</v>
      </c>
      <c r="F135" s="26" t="b">
        <v>0</v>
      </c>
      <c r="G135" s="26">
        <v>0.52500000000000002</v>
      </c>
      <c r="H135" s="26" t="b">
        <v>1</v>
      </c>
    </row>
    <row r="136" spans="1:8" x14ac:dyDescent="0.25">
      <c r="A136">
        <v>1802005</v>
      </c>
      <c r="B136" t="s">
        <v>101</v>
      </c>
      <c r="D136" s="26" t="s">
        <v>355</v>
      </c>
      <c r="E136" s="26" t="s">
        <v>355</v>
      </c>
      <c r="F136" s="26" t="b">
        <v>0</v>
      </c>
      <c r="G136" s="26" t="s">
        <v>355</v>
      </c>
      <c r="H136" s="26" t="b">
        <v>1</v>
      </c>
    </row>
    <row r="137" spans="1:8" x14ac:dyDescent="0.25">
      <c r="A137">
        <v>1802162</v>
      </c>
      <c r="B137" t="s">
        <v>260</v>
      </c>
      <c r="C137" s="3">
        <v>17.587499999999999</v>
      </c>
      <c r="D137" s="26">
        <v>1</v>
      </c>
      <c r="E137" s="26">
        <v>17.587499999999999</v>
      </c>
      <c r="F137" s="26" t="b">
        <v>1</v>
      </c>
      <c r="G137" s="26">
        <v>0.52500000000000002</v>
      </c>
      <c r="H137" s="26" t="b">
        <v>0</v>
      </c>
    </row>
    <row r="138" spans="1:8" x14ac:dyDescent="0.25">
      <c r="A138">
        <v>1802164</v>
      </c>
      <c r="B138" t="s">
        <v>306</v>
      </c>
      <c r="C138" s="3">
        <v>1</v>
      </c>
      <c r="D138" s="26">
        <v>1</v>
      </c>
      <c r="E138" s="26">
        <v>1</v>
      </c>
      <c r="F138" s="26" t="b">
        <v>0</v>
      </c>
      <c r="G138" s="26">
        <v>0.52500000000000002</v>
      </c>
      <c r="H138" s="26" t="b">
        <v>0</v>
      </c>
    </row>
    <row r="139" spans="1:8" x14ac:dyDescent="0.25">
      <c r="A139">
        <v>1802165</v>
      </c>
      <c r="B139" t="s">
        <v>261</v>
      </c>
      <c r="C139" s="3">
        <v>1</v>
      </c>
      <c r="D139" s="26">
        <v>1</v>
      </c>
      <c r="E139" s="26">
        <v>1</v>
      </c>
      <c r="F139" s="26" t="b">
        <v>0</v>
      </c>
      <c r="G139" s="26">
        <v>0.52500000000000002</v>
      </c>
      <c r="H139" s="26" t="b">
        <v>0</v>
      </c>
    </row>
    <row r="140" spans="1:8" x14ac:dyDescent="0.25">
      <c r="A140">
        <v>1802166</v>
      </c>
      <c r="B140" t="s">
        <v>283</v>
      </c>
      <c r="C140" s="3">
        <v>1</v>
      </c>
      <c r="D140" s="26">
        <v>1</v>
      </c>
      <c r="E140" s="26">
        <v>1</v>
      </c>
      <c r="F140" s="26" t="b">
        <v>0</v>
      </c>
      <c r="G140" s="26">
        <v>0.52500000000000002</v>
      </c>
      <c r="H140" s="26" t="b">
        <v>0</v>
      </c>
    </row>
    <row r="141" spans="1:8" x14ac:dyDescent="0.25">
      <c r="A141">
        <v>1802167</v>
      </c>
      <c r="B141" t="s">
        <v>262</v>
      </c>
      <c r="C141" s="3">
        <v>1</v>
      </c>
      <c r="D141" s="26">
        <v>1</v>
      </c>
      <c r="E141" s="26">
        <v>1</v>
      </c>
      <c r="F141" s="26" t="b">
        <v>0</v>
      </c>
      <c r="G141" s="26">
        <v>0.52500000000000002</v>
      </c>
      <c r="H141" s="26" t="b">
        <v>0</v>
      </c>
    </row>
    <row r="142" spans="1:8" x14ac:dyDescent="0.25">
      <c r="A142">
        <v>1802169</v>
      </c>
      <c r="B142" t="s">
        <v>263</v>
      </c>
      <c r="C142" s="3">
        <v>1</v>
      </c>
      <c r="D142" s="26">
        <v>1</v>
      </c>
      <c r="E142" s="26">
        <v>1</v>
      </c>
      <c r="F142" s="26" t="b">
        <v>0</v>
      </c>
      <c r="G142" s="26">
        <v>0.52500000000000002</v>
      </c>
      <c r="H142" s="26" t="b">
        <v>0</v>
      </c>
    </row>
    <row r="143" spans="1:8" x14ac:dyDescent="0.25">
      <c r="A143">
        <v>1802170</v>
      </c>
      <c r="B143" t="s">
        <v>459</v>
      </c>
      <c r="C143" s="3">
        <v>1</v>
      </c>
      <c r="D143" s="26" t="s">
        <v>355</v>
      </c>
      <c r="E143" s="26">
        <v>1</v>
      </c>
      <c r="F143" s="26" t="b">
        <v>0</v>
      </c>
      <c r="G143" s="26">
        <v>0.52500000000000002</v>
      </c>
      <c r="H143" s="26" t="b">
        <v>0</v>
      </c>
    </row>
    <row r="144" spans="1:8" x14ac:dyDescent="0.25">
      <c r="A144">
        <v>1802171</v>
      </c>
      <c r="B144" t="s">
        <v>265</v>
      </c>
      <c r="C144" s="3">
        <v>1</v>
      </c>
      <c r="D144" s="26">
        <v>1</v>
      </c>
      <c r="E144" s="26">
        <v>1</v>
      </c>
      <c r="F144" s="26" t="b">
        <v>0</v>
      </c>
      <c r="G144" s="26">
        <v>0.52500000000000002</v>
      </c>
      <c r="H144" s="26" t="b">
        <v>0</v>
      </c>
    </row>
    <row r="145" spans="1:8" x14ac:dyDescent="0.25">
      <c r="A145">
        <v>1802172</v>
      </c>
      <c r="B145" t="s">
        <v>266</v>
      </c>
      <c r="C145" s="3">
        <v>1</v>
      </c>
      <c r="D145" s="26">
        <v>1</v>
      </c>
      <c r="E145" s="26">
        <v>1</v>
      </c>
      <c r="F145" s="26" t="b">
        <v>0</v>
      </c>
      <c r="G145" s="26">
        <v>0.52500000000000002</v>
      </c>
      <c r="H145" s="26" t="b">
        <v>0</v>
      </c>
    </row>
    <row r="146" spans="1:8" x14ac:dyDescent="0.25">
      <c r="A146">
        <v>1802173</v>
      </c>
      <c r="B146" t="s">
        <v>267</v>
      </c>
      <c r="C146" s="3">
        <v>1</v>
      </c>
      <c r="D146" s="26">
        <v>1</v>
      </c>
      <c r="E146" s="26">
        <v>1</v>
      </c>
      <c r="F146" s="26" t="b">
        <v>0</v>
      </c>
      <c r="G146" s="26">
        <v>0.52500000000000002</v>
      </c>
      <c r="H146" s="26" t="b">
        <v>0</v>
      </c>
    </row>
    <row r="147" spans="1:8" x14ac:dyDescent="0.25">
      <c r="A147">
        <v>1802174</v>
      </c>
      <c r="B147" t="s">
        <v>268</v>
      </c>
      <c r="C147" s="3">
        <v>1</v>
      </c>
      <c r="D147" s="26">
        <v>1</v>
      </c>
      <c r="E147" s="26">
        <v>1</v>
      </c>
      <c r="F147" s="26" t="b">
        <v>0</v>
      </c>
      <c r="G147" s="26">
        <v>0.52500000000000002</v>
      </c>
      <c r="H147" s="26" t="b">
        <v>0</v>
      </c>
    </row>
    <row r="148" spans="1:8" x14ac:dyDescent="0.25">
      <c r="A148">
        <v>1802175</v>
      </c>
      <c r="B148" t="s">
        <v>269</v>
      </c>
      <c r="C148" s="3">
        <v>1</v>
      </c>
      <c r="D148" s="26">
        <v>1</v>
      </c>
      <c r="E148" s="26">
        <v>1</v>
      </c>
      <c r="F148" s="26" t="b">
        <v>0</v>
      </c>
      <c r="G148" s="26">
        <v>0.52500000000000002</v>
      </c>
      <c r="H148" s="26" t="b">
        <v>0</v>
      </c>
    </row>
    <row r="149" spans="1:8" x14ac:dyDescent="0.25">
      <c r="A149">
        <v>1802176</v>
      </c>
      <c r="B149" t="s">
        <v>335</v>
      </c>
      <c r="C149" s="3">
        <v>1</v>
      </c>
      <c r="D149" s="26">
        <v>1</v>
      </c>
      <c r="E149" s="26">
        <v>1</v>
      </c>
      <c r="F149" s="26" t="b">
        <v>0</v>
      </c>
      <c r="G149" s="26">
        <v>0.52500000000000002</v>
      </c>
      <c r="H149" s="26" t="b">
        <v>0</v>
      </c>
    </row>
    <row r="150" spans="1:8" x14ac:dyDescent="0.25">
      <c r="A150">
        <v>1802177</v>
      </c>
      <c r="B150" t="s">
        <v>270</v>
      </c>
      <c r="C150" s="3">
        <v>0</v>
      </c>
      <c r="D150" s="26">
        <v>1</v>
      </c>
      <c r="E150" s="26">
        <v>0</v>
      </c>
      <c r="F150" s="26" t="b">
        <v>0</v>
      </c>
      <c r="G150" s="26">
        <v>0.52500000000000002</v>
      </c>
      <c r="H150" s="26" t="b">
        <v>0</v>
      </c>
    </row>
    <row r="151" spans="1:8" x14ac:dyDescent="0.25">
      <c r="A151">
        <v>1802515</v>
      </c>
      <c r="B151" t="s">
        <v>162</v>
      </c>
      <c r="D151" s="26">
        <v>0</v>
      </c>
      <c r="E151" s="26">
        <v>0</v>
      </c>
      <c r="F151" s="26" t="b">
        <v>0</v>
      </c>
      <c r="G151" s="26" t="s">
        <v>355</v>
      </c>
      <c r="H151" s="26" t="b">
        <v>1</v>
      </c>
    </row>
    <row r="152" spans="1:8" x14ac:dyDescent="0.25">
      <c r="A152">
        <v>1802517</v>
      </c>
      <c r="B152" t="s">
        <v>141</v>
      </c>
      <c r="C152" s="3">
        <v>1</v>
      </c>
      <c r="D152" s="26">
        <v>1</v>
      </c>
      <c r="E152" s="26">
        <v>1</v>
      </c>
      <c r="F152" s="26" t="b">
        <v>0</v>
      </c>
      <c r="G152" s="26">
        <v>0.52500000000000002</v>
      </c>
      <c r="H152" s="26" t="b">
        <v>0</v>
      </c>
    </row>
    <row r="153" spans="1:8" x14ac:dyDescent="0.25">
      <c r="A153">
        <v>1802659</v>
      </c>
      <c r="B153" t="s">
        <v>161</v>
      </c>
      <c r="D153" s="26">
        <v>1</v>
      </c>
      <c r="E153" s="26">
        <v>1</v>
      </c>
      <c r="F153" s="26" t="b">
        <v>0</v>
      </c>
      <c r="G153" s="26" t="s">
        <v>355</v>
      </c>
      <c r="H153" s="26" t="b">
        <v>1</v>
      </c>
    </row>
    <row r="154" spans="1:8" x14ac:dyDescent="0.25">
      <c r="A154">
        <v>1803045</v>
      </c>
      <c r="B154" t="s">
        <v>337</v>
      </c>
      <c r="C154" s="3">
        <v>1.6666666666666667</v>
      </c>
      <c r="D154" s="26">
        <v>2</v>
      </c>
      <c r="E154" s="26">
        <v>1.6666666666666667</v>
      </c>
      <c r="F154" s="26" t="b">
        <v>0</v>
      </c>
      <c r="G154" s="26">
        <v>2.1000000000000005</v>
      </c>
      <c r="H154" s="26" t="b">
        <v>0</v>
      </c>
    </row>
    <row r="155" spans="1:8" x14ac:dyDescent="0.25">
      <c r="A155">
        <v>1805340</v>
      </c>
      <c r="B155" t="s">
        <v>298</v>
      </c>
      <c r="C155" s="3">
        <v>2</v>
      </c>
      <c r="D155" s="26">
        <v>2</v>
      </c>
      <c r="E155" s="26">
        <v>2</v>
      </c>
      <c r="F155" s="26" t="b">
        <v>0</v>
      </c>
      <c r="G155" s="26">
        <v>1.05</v>
      </c>
      <c r="H155" s="26" t="b">
        <v>0</v>
      </c>
    </row>
    <row r="156" spans="1:8" x14ac:dyDescent="0.25">
      <c r="A156">
        <v>1808003</v>
      </c>
      <c r="B156" t="s">
        <v>195</v>
      </c>
      <c r="C156" s="3">
        <v>1.6666666666666667</v>
      </c>
      <c r="D156" s="26">
        <v>1.75</v>
      </c>
      <c r="E156" s="26">
        <v>1.6666666666666667</v>
      </c>
      <c r="F156" s="26" t="b">
        <v>0</v>
      </c>
      <c r="G156" s="26">
        <v>0.91874999999999996</v>
      </c>
      <c r="H156" s="26" t="b">
        <v>0</v>
      </c>
    </row>
    <row r="157" spans="1:8" x14ac:dyDescent="0.25">
      <c r="A157">
        <v>1808006</v>
      </c>
      <c r="B157" t="s">
        <v>194</v>
      </c>
      <c r="C157" s="3">
        <v>1.3333333333333333</v>
      </c>
      <c r="D157" s="26">
        <v>1.25</v>
      </c>
      <c r="E157" s="26">
        <v>1.3333333333333333</v>
      </c>
      <c r="F157" s="26" t="b">
        <v>1</v>
      </c>
      <c r="G157" s="26">
        <v>0.65625</v>
      </c>
      <c r="H157" s="26" t="b">
        <v>0</v>
      </c>
    </row>
    <row r="158" spans="1:8" x14ac:dyDescent="0.25">
      <c r="A158">
        <v>1808043</v>
      </c>
      <c r="B158" t="s">
        <v>102</v>
      </c>
      <c r="D158" s="26" t="s">
        <v>355</v>
      </c>
      <c r="E158" s="26" t="s">
        <v>355</v>
      </c>
      <c r="F158" s="26" t="b">
        <v>0</v>
      </c>
      <c r="G158" s="26" t="s">
        <v>355</v>
      </c>
      <c r="H158" s="26" t="b">
        <v>1</v>
      </c>
    </row>
    <row r="159" spans="1:8" x14ac:dyDescent="0.25">
      <c r="A159">
        <v>1808083</v>
      </c>
      <c r="B159" t="s">
        <v>271</v>
      </c>
      <c r="C159" s="3">
        <v>1</v>
      </c>
      <c r="D159" s="26" t="s">
        <v>355</v>
      </c>
      <c r="E159" s="26">
        <v>1</v>
      </c>
      <c r="F159" s="26" t="b">
        <v>0</v>
      </c>
      <c r="G159" s="26">
        <v>0.52500000000000002</v>
      </c>
      <c r="H159" s="26" t="b">
        <v>0</v>
      </c>
    </row>
    <row r="160" spans="1:8" x14ac:dyDescent="0.25">
      <c r="A160">
        <v>1808144</v>
      </c>
      <c r="B160" t="s">
        <v>272</v>
      </c>
      <c r="C160" s="3">
        <v>1</v>
      </c>
      <c r="D160" s="26">
        <v>1</v>
      </c>
      <c r="E160" s="26">
        <v>1</v>
      </c>
      <c r="F160" s="26" t="b">
        <v>0</v>
      </c>
      <c r="G160" s="26">
        <v>0.52500000000000002</v>
      </c>
      <c r="H160" s="26" t="b">
        <v>0</v>
      </c>
    </row>
    <row r="161" spans="1:8" x14ac:dyDescent="0.25">
      <c r="A161">
        <v>1808145</v>
      </c>
      <c r="B161" t="s">
        <v>273</v>
      </c>
      <c r="C161" s="3">
        <v>1</v>
      </c>
      <c r="D161" s="26">
        <v>1</v>
      </c>
      <c r="E161" s="26">
        <v>1</v>
      </c>
      <c r="F161" s="26" t="b">
        <v>0</v>
      </c>
      <c r="G161" s="26">
        <v>0.52500000000000002</v>
      </c>
      <c r="H161" s="26" t="b">
        <v>0</v>
      </c>
    </row>
    <row r="162" spans="1:8" x14ac:dyDescent="0.25">
      <c r="A162">
        <v>1808146</v>
      </c>
      <c r="B162" t="s">
        <v>274</v>
      </c>
      <c r="C162" s="3">
        <v>1</v>
      </c>
      <c r="D162" s="26">
        <v>1</v>
      </c>
      <c r="E162" s="26">
        <v>1</v>
      </c>
      <c r="F162" s="26" t="b">
        <v>0</v>
      </c>
      <c r="G162" s="26">
        <v>0.52500000000000002</v>
      </c>
      <c r="H162" s="26" t="b">
        <v>0</v>
      </c>
    </row>
    <row r="163" spans="1:8" x14ac:dyDescent="0.25">
      <c r="A163">
        <v>1808147</v>
      </c>
      <c r="B163" t="s">
        <v>275</v>
      </c>
      <c r="C163" s="3">
        <v>1</v>
      </c>
      <c r="D163" s="26">
        <v>1</v>
      </c>
      <c r="E163" s="26">
        <v>1</v>
      </c>
      <c r="F163" s="26" t="b">
        <v>0</v>
      </c>
      <c r="G163" s="26">
        <v>0.52500000000000002</v>
      </c>
      <c r="H163" s="26" t="b">
        <v>0</v>
      </c>
    </row>
    <row r="164" spans="1:8" x14ac:dyDescent="0.25">
      <c r="A164">
        <v>1808148</v>
      </c>
      <c r="B164" t="s">
        <v>276</v>
      </c>
      <c r="C164" s="3">
        <v>0</v>
      </c>
      <c r="D164" s="26">
        <v>1</v>
      </c>
      <c r="E164" s="26">
        <v>0</v>
      </c>
      <c r="F164" s="26" t="b">
        <v>0</v>
      </c>
      <c r="G164" s="26">
        <v>0.52500000000000002</v>
      </c>
      <c r="H164" s="26" t="b">
        <v>0</v>
      </c>
    </row>
    <row r="165" spans="1:8" x14ac:dyDescent="0.25">
      <c r="A165">
        <v>1808149</v>
      </c>
      <c r="B165" t="s">
        <v>52</v>
      </c>
      <c r="C165" s="3">
        <v>1</v>
      </c>
      <c r="D165" s="26" t="s">
        <v>355</v>
      </c>
      <c r="E165" s="26">
        <v>1</v>
      </c>
      <c r="F165" s="26" t="b">
        <v>0</v>
      </c>
      <c r="G165" s="26" t="s">
        <v>355</v>
      </c>
      <c r="H165" s="26" t="b">
        <v>0</v>
      </c>
    </row>
    <row r="166" spans="1:8" x14ac:dyDescent="0.25">
      <c r="A166">
        <v>1808156</v>
      </c>
      <c r="B166" t="s">
        <v>277</v>
      </c>
      <c r="C166" s="3">
        <v>1</v>
      </c>
      <c r="D166" s="26">
        <v>1</v>
      </c>
      <c r="E166" s="26">
        <v>1</v>
      </c>
      <c r="F166" s="26" t="b">
        <v>0</v>
      </c>
      <c r="G166" s="26">
        <v>0.52500000000000002</v>
      </c>
      <c r="H166" s="26" t="b">
        <v>0</v>
      </c>
    </row>
    <row r="167" spans="1:8" x14ac:dyDescent="0.25">
      <c r="A167">
        <v>1901008</v>
      </c>
      <c r="B167" t="s">
        <v>278</v>
      </c>
      <c r="C167" s="3">
        <v>100.60631599999998</v>
      </c>
      <c r="D167" s="26">
        <v>59.457453000000001</v>
      </c>
      <c r="E167" s="26">
        <v>100.60631599999998</v>
      </c>
      <c r="F167" s="26" t="b">
        <v>1</v>
      </c>
      <c r="G167" s="26">
        <v>62.430325650000007</v>
      </c>
      <c r="H167" s="26" t="b">
        <v>0</v>
      </c>
    </row>
    <row r="168" spans="1:8" x14ac:dyDescent="0.25">
      <c r="A168">
        <v>1901038</v>
      </c>
      <c r="B168" t="s">
        <v>39</v>
      </c>
      <c r="C168" s="3">
        <v>38.386666666666663</v>
      </c>
      <c r="D168" s="26">
        <v>16.199999999999996</v>
      </c>
      <c r="E168" s="26">
        <v>38.386666666666663</v>
      </c>
      <c r="F168" s="26" t="b">
        <v>1</v>
      </c>
      <c r="G168" s="26">
        <v>40.010249999999999</v>
      </c>
      <c r="H168" s="26" t="b">
        <v>0</v>
      </c>
    </row>
    <row r="169" spans="1:8" x14ac:dyDescent="0.25">
      <c r="A169">
        <v>1901086</v>
      </c>
      <c r="B169" t="s">
        <v>279</v>
      </c>
      <c r="C169" s="3">
        <v>30.702500000000001</v>
      </c>
      <c r="D169" s="26">
        <v>40.373885333333334</v>
      </c>
      <c r="E169" s="26">
        <v>30.702500000000001</v>
      </c>
      <c r="F169" s="26" t="b">
        <v>0</v>
      </c>
      <c r="G169" s="26">
        <v>31.794434700000004</v>
      </c>
      <c r="H169" s="26" t="b">
        <v>0</v>
      </c>
    </row>
    <row r="170" spans="1:8" x14ac:dyDescent="0.25">
      <c r="A170">
        <v>1901229</v>
      </c>
      <c r="B170" t="s">
        <v>125</v>
      </c>
      <c r="C170" s="3">
        <v>4.7</v>
      </c>
      <c r="D170" s="26">
        <v>4.7</v>
      </c>
      <c r="E170" s="26">
        <v>4.7</v>
      </c>
      <c r="F170" s="26" t="b">
        <v>0</v>
      </c>
      <c r="G170" s="26" t="s">
        <v>355</v>
      </c>
      <c r="H170" s="26" t="b">
        <v>0</v>
      </c>
    </row>
    <row r="171" spans="1:8" x14ac:dyDescent="0.25">
      <c r="A171">
        <v>1901505</v>
      </c>
      <c r="B171" t="s">
        <v>27</v>
      </c>
      <c r="C171" s="3">
        <v>0</v>
      </c>
      <c r="D171" s="26">
        <v>0</v>
      </c>
      <c r="E171" s="26">
        <v>0</v>
      </c>
      <c r="F171" s="26" t="b">
        <v>0</v>
      </c>
      <c r="G171" s="26">
        <v>1.2368067885117493</v>
      </c>
      <c r="H171" s="26" t="b">
        <v>0</v>
      </c>
    </row>
    <row r="172" spans="1:8" x14ac:dyDescent="0.25">
      <c r="A172">
        <v>1902003</v>
      </c>
      <c r="B172" t="s">
        <v>155</v>
      </c>
      <c r="C172" s="3">
        <v>0.47489333333333333</v>
      </c>
      <c r="D172" s="26">
        <v>0.39491999999999994</v>
      </c>
      <c r="E172" s="26">
        <v>0.47489333333333333</v>
      </c>
      <c r="F172" s="26" t="b">
        <v>1</v>
      </c>
      <c r="G172" s="26">
        <v>0.41466600000000009</v>
      </c>
      <c r="H172" s="26" t="b">
        <v>0</v>
      </c>
    </row>
    <row r="173" spans="1:8" x14ac:dyDescent="0.25">
      <c r="A173">
        <v>1902013</v>
      </c>
      <c r="B173" t="s">
        <v>338</v>
      </c>
      <c r="C173" s="3">
        <v>0.47489333333333333</v>
      </c>
      <c r="D173" s="26">
        <v>2.0075000000000003</v>
      </c>
      <c r="E173" s="26">
        <v>0.47489333333333333</v>
      </c>
      <c r="F173" s="26" t="b">
        <v>0</v>
      </c>
      <c r="G173" s="26">
        <v>130.33466250000004</v>
      </c>
      <c r="H173" s="26" t="b">
        <v>0</v>
      </c>
    </row>
    <row r="174" spans="1:8" x14ac:dyDescent="0.25">
      <c r="A174">
        <v>1902014</v>
      </c>
      <c r="B174" t="s">
        <v>316</v>
      </c>
      <c r="C174" s="3">
        <v>21</v>
      </c>
      <c r="D174" s="26">
        <v>10.528</v>
      </c>
      <c r="E174" s="26">
        <v>21</v>
      </c>
      <c r="F174" s="26" t="b">
        <v>1</v>
      </c>
      <c r="G174" s="26">
        <v>5.5125000000000002</v>
      </c>
      <c r="H174" s="26" t="b">
        <v>0</v>
      </c>
    </row>
    <row r="175" spans="1:8" x14ac:dyDescent="0.25">
      <c r="A175">
        <v>2302017</v>
      </c>
      <c r="B175" t="s">
        <v>156</v>
      </c>
      <c r="C175" s="3">
        <v>0.76000000000000012</v>
      </c>
      <c r="D175" s="26">
        <v>0.75000000000000011</v>
      </c>
      <c r="E175" s="26">
        <v>0.76000000000000012</v>
      </c>
      <c r="F175" s="26" t="b">
        <v>1</v>
      </c>
      <c r="G175" s="26">
        <v>0.7875000000000002</v>
      </c>
      <c r="H175" s="26" t="b">
        <v>0</v>
      </c>
    </row>
    <row r="176" spans="1:8" x14ac:dyDescent="0.25">
      <c r="A176">
        <v>2302024</v>
      </c>
      <c r="B176" t="s">
        <v>234</v>
      </c>
      <c r="C176" s="3">
        <v>0.25</v>
      </c>
      <c r="D176" s="26">
        <v>1.5</v>
      </c>
      <c r="E176" s="26">
        <v>0.25</v>
      </c>
      <c r="F176" s="26" t="b">
        <v>0</v>
      </c>
      <c r="G176" s="26">
        <v>0.13125000000000001</v>
      </c>
      <c r="H176" s="26" t="b">
        <v>0</v>
      </c>
    </row>
    <row r="177" spans="1:8" x14ac:dyDescent="0.25">
      <c r="A177">
        <v>2302050</v>
      </c>
      <c r="B177" t="s">
        <v>285</v>
      </c>
      <c r="C177" s="3">
        <v>3</v>
      </c>
      <c r="D177" s="26" t="s">
        <v>355</v>
      </c>
      <c r="E177" s="26">
        <v>3</v>
      </c>
      <c r="F177" s="26" t="b">
        <v>0</v>
      </c>
      <c r="G177" s="26">
        <v>3.1500000000000012</v>
      </c>
      <c r="H177" s="26" t="b">
        <v>0</v>
      </c>
    </row>
    <row r="178" spans="1:8" x14ac:dyDescent="0.25">
      <c r="A178">
        <v>2302098</v>
      </c>
      <c r="B178" t="s">
        <v>24</v>
      </c>
      <c r="C178" s="3">
        <v>0.5</v>
      </c>
      <c r="D178" s="26">
        <v>0.5</v>
      </c>
      <c r="E178" s="26">
        <v>0.5</v>
      </c>
      <c r="F178" s="26" t="b">
        <v>0</v>
      </c>
      <c r="G178" s="26">
        <v>0.52500000000000002</v>
      </c>
      <c r="H178" s="26" t="b">
        <v>0</v>
      </c>
    </row>
    <row r="179" spans="1:8" x14ac:dyDescent="0.25">
      <c r="A179">
        <v>2302118</v>
      </c>
      <c r="B179" t="s">
        <v>228</v>
      </c>
      <c r="C179" s="3">
        <v>0.54999999999999993</v>
      </c>
      <c r="D179" s="26">
        <v>0.59375</v>
      </c>
      <c r="E179" s="26">
        <v>0.54999999999999993</v>
      </c>
      <c r="F179" s="26" t="b">
        <v>0</v>
      </c>
      <c r="G179" s="26">
        <v>0.31171874999999999</v>
      </c>
      <c r="H179" s="26" t="b">
        <v>0</v>
      </c>
    </row>
    <row r="180" spans="1:8" x14ac:dyDescent="0.25">
      <c r="A180">
        <v>2302119</v>
      </c>
      <c r="B180" t="s">
        <v>74</v>
      </c>
      <c r="C180" s="3">
        <v>3</v>
      </c>
      <c r="D180" s="26">
        <v>3</v>
      </c>
      <c r="E180" s="26">
        <v>3</v>
      </c>
      <c r="F180" s="26" t="b">
        <v>0</v>
      </c>
      <c r="G180" s="26">
        <v>1.5750000000000002</v>
      </c>
      <c r="H180" s="26" t="b">
        <v>0</v>
      </c>
    </row>
    <row r="181" spans="1:8" x14ac:dyDescent="0.25">
      <c r="A181">
        <v>2304002</v>
      </c>
      <c r="B181" t="s">
        <v>212</v>
      </c>
      <c r="C181" s="3">
        <v>1</v>
      </c>
      <c r="D181" s="26">
        <v>1</v>
      </c>
      <c r="E181" s="26">
        <v>1</v>
      </c>
      <c r="F181" s="26" t="b">
        <v>0</v>
      </c>
      <c r="G181" s="26">
        <v>0.52500000000000002</v>
      </c>
      <c r="H181" s="26" t="b">
        <v>0</v>
      </c>
    </row>
    <row r="182" spans="1:8" x14ac:dyDescent="0.25">
      <c r="A182">
        <v>2304003</v>
      </c>
      <c r="B182" t="s">
        <v>132</v>
      </c>
      <c r="D182" s="26" t="s">
        <v>355</v>
      </c>
      <c r="E182" s="26" t="s">
        <v>355</v>
      </c>
      <c r="F182" s="26" t="b">
        <v>0</v>
      </c>
      <c r="G182" s="26" t="s">
        <v>355</v>
      </c>
      <c r="H182" s="26" t="b">
        <v>1</v>
      </c>
    </row>
    <row r="183" spans="1:8" x14ac:dyDescent="0.25">
      <c r="A183">
        <v>2304053</v>
      </c>
      <c r="B183" t="s">
        <v>213</v>
      </c>
      <c r="C183" s="3">
        <v>2.3333333333333335</v>
      </c>
      <c r="D183" s="26">
        <v>2</v>
      </c>
      <c r="E183" s="26">
        <v>2.3333333333333335</v>
      </c>
      <c r="F183" s="26" t="b">
        <v>1</v>
      </c>
      <c r="G183" s="26">
        <v>2.1</v>
      </c>
      <c r="H183" s="26" t="b">
        <v>0</v>
      </c>
    </row>
    <row r="184" spans="1:8" x14ac:dyDescent="0.25">
      <c r="A184">
        <v>2502036</v>
      </c>
      <c r="B184" t="s">
        <v>77</v>
      </c>
      <c r="D184" s="26" t="s">
        <v>355</v>
      </c>
      <c r="E184" s="26" t="s">
        <v>355</v>
      </c>
      <c r="F184" s="26" t="b">
        <v>0</v>
      </c>
      <c r="G184" s="26" t="s">
        <v>355</v>
      </c>
      <c r="H184" s="26" t="b">
        <v>1</v>
      </c>
    </row>
    <row r="185" spans="1:8" x14ac:dyDescent="0.25">
      <c r="A185">
        <v>2505058</v>
      </c>
      <c r="B185" t="s">
        <v>142</v>
      </c>
      <c r="C185" s="3">
        <v>1.8333333333333333</v>
      </c>
      <c r="D185" s="26">
        <v>2</v>
      </c>
      <c r="E185" s="26">
        <v>1.8333333333333333</v>
      </c>
      <c r="F185" s="26" t="b">
        <v>0</v>
      </c>
      <c r="G185" s="26">
        <v>2.1000000000000005</v>
      </c>
      <c r="H185" s="26" t="b">
        <v>0</v>
      </c>
    </row>
    <row r="186" spans="1:8" x14ac:dyDescent="0.25">
      <c r="A186">
        <v>2505059</v>
      </c>
      <c r="B186" t="s">
        <v>143</v>
      </c>
      <c r="D186" s="26" t="s">
        <v>355</v>
      </c>
      <c r="E186" s="26" t="s">
        <v>355</v>
      </c>
      <c r="F186" s="26" t="b">
        <v>0</v>
      </c>
      <c r="G186" s="26" t="s">
        <v>355</v>
      </c>
      <c r="H186" s="26" t="b">
        <v>1</v>
      </c>
    </row>
    <row r="187" spans="1:8" x14ac:dyDescent="0.25">
      <c r="A187">
        <v>2508169</v>
      </c>
      <c r="B187" t="s">
        <v>339</v>
      </c>
      <c r="C187" s="3">
        <v>1</v>
      </c>
      <c r="D187" s="26">
        <v>1</v>
      </c>
      <c r="E187" s="26">
        <v>1</v>
      </c>
      <c r="F187" s="26" t="b">
        <v>0</v>
      </c>
      <c r="G187" s="26">
        <v>0.52500000000000002</v>
      </c>
      <c r="H187" s="26" t="b">
        <v>0</v>
      </c>
    </row>
    <row r="188" spans="1:8" x14ac:dyDescent="0.25">
      <c r="A188">
        <v>2508985</v>
      </c>
      <c r="B188" t="s">
        <v>340</v>
      </c>
      <c r="C188" s="3">
        <v>1</v>
      </c>
      <c r="D188" s="26">
        <v>1</v>
      </c>
      <c r="E188" s="26">
        <v>1</v>
      </c>
      <c r="F188" s="26" t="b">
        <v>0</v>
      </c>
      <c r="G188" s="26">
        <v>0.52500000000000002</v>
      </c>
      <c r="H188" s="26" t="b">
        <v>0</v>
      </c>
    </row>
    <row r="189" spans="1:8" x14ac:dyDescent="0.25">
      <c r="A189">
        <v>2508987</v>
      </c>
      <c r="B189" t="s">
        <v>341</v>
      </c>
      <c r="C189" s="3">
        <v>1</v>
      </c>
      <c r="D189" s="26">
        <v>1</v>
      </c>
      <c r="E189" s="26">
        <v>1</v>
      </c>
      <c r="F189" s="26" t="b">
        <v>0</v>
      </c>
      <c r="G189" s="26">
        <v>0.52500000000000002</v>
      </c>
      <c r="H189" s="26" t="b">
        <v>0</v>
      </c>
    </row>
    <row r="190" spans="1:8" x14ac:dyDescent="0.25">
      <c r="A190">
        <v>4212234</v>
      </c>
      <c r="B190" t="s">
        <v>54</v>
      </c>
      <c r="C190" s="3">
        <v>1</v>
      </c>
      <c r="D190" s="26">
        <v>1</v>
      </c>
      <c r="E190" s="26">
        <v>1</v>
      </c>
      <c r="F190" s="26" t="b">
        <v>0</v>
      </c>
      <c r="G190" s="26">
        <v>0.52500000000000002</v>
      </c>
      <c r="H190" s="26" t="b">
        <v>0</v>
      </c>
    </row>
    <row r="191" spans="1:8" x14ac:dyDescent="0.25">
      <c r="A191">
        <v>4212254</v>
      </c>
      <c r="B191" t="s">
        <v>308</v>
      </c>
      <c r="C191" s="3">
        <v>1</v>
      </c>
      <c r="D191" s="26">
        <v>1</v>
      </c>
      <c r="E191" s="26">
        <v>1</v>
      </c>
      <c r="F191" s="26" t="b">
        <v>0</v>
      </c>
      <c r="G191" s="26">
        <v>0.52500000000000002</v>
      </c>
      <c r="H191" s="26" t="b">
        <v>0</v>
      </c>
    </row>
    <row r="192" spans="1:8" x14ac:dyDescent="0.25">
      <c r="A192">
        <v>5112589</v>
      </c>
      <c r="B192" t="s">
        <v>81</v>
      </c>
      <c r="D192" s="26" t="s">
        <v>355</v>
      </c>
      <c r="E192" s="26" t="s">
        <v>355</v>
      </c>
      <c r="F192" s="26" t="b">
        <v>0</v>
      </c>
      <c r="G192" s="26" t="s">
        <v>355</v>
      </c>
      <c r="H192" s="26" t="b">
        <v>1</v>
      </c>
    </row>
    <row r="193" spans="1:8" x14ac:dyDescent="0.25">
      <c r="A193">
        <v>5309018</v>
      </c>
      <c r="B193" t="s">
        <v>112</v>
      </c>
      <c r="C193" s="3">
        <v>33</v>
      </c>
      <c r="D193" s="26">
        <v>33</v>
      </c>
      <c r="E193" s="26">
        <v>33</v>
      </c>
      <c r="F193" s="26" t="b">
        <v>0</v>
      </c>
      <c r="G193" s="26">
        <v>34.649999999999991</v>
      </c>
      <c r="H193" s="26" t="b">
        <v>0</v>
      </c>
    </row>
    <row r="194" spans="1:8" x14ac:dyDescent="0.25">
      <c r="A194">
        <v>5314002</v>
      </c>
      <c r="B194" t="s">
        <v>342</v>
      </c>
      <c r="C194" s="3">
        <v>1</v>
      </c>
      <c r="D194" s="26">
        <v>0.5</v>
      </c>
      <c r="E194" s="26">
        <v>1</v>
      </c>
      <c r="F194" s="26" t="b">
        <v>1</v>
      </c>
      <c r="G194" s="26" t="s">
        <v>355</v>
      </c>
      <c r="H194" s="26" t="b">
        <v>0</v>
      </c>
    </row>
    <row r="195" spans="1:8" x14ac:dyDescent="0.25">
      <c r="A195">
        <v>5316479</v>
      </c>
      <c r="B195" t="s">
        <v>61</v>
      </c>
      <c r="C195" s="3">
        <v>1</v>
      </c>
      <c r="D195" s="26" t="s">
        <v>355</v>
      </c>
      <c r="E195" s="26">
        <v>1</v>
      </c>
      <c r="F195" s="26" t="b">
        <v>0</v>
      </c>
      <c r="G195" s="26" t="s">
        <v>355</v>
      </c>
      <c r="H195" s="26" t="b">
        <v>0</v>
      </c>
    </row>
    <row r="196" spans="1:8" x14ac:dyDescent="0.25">
      <c r="A196">
        <v>5316481</v>
      </c>
      <c r="B196" t="s">
        <v>60</v>
      </c>
      <c r="C196" s="3">
        <v>0.25</v>
      </c>
      <c r="D196" s="26" t="s">
        <v>355</v>
      </c>
      <c r="E196" s="26">
        <v>0.25</v>
      </c>
      <c r="F196" s="26" t="b">
        <v>0</v>
      </c>
      <c r="G196" s="26" t="s">
        <v>355</v>
      </c>
      <c r="H196" s="26" t="b">
        <v>0</v>
      </c>
    </row>
    <row r="197" spans="1:8" x14ac:dyDescent="0.25">
      <c r="A197">
        <v>5316482</v>
      </c>
      <c r="B197" t="s">
        <v>62</v>
      </c>
      <c r="C197" s="3">
        <v>1</v>
      </c>
      <c r="D197" s="26" t="s">
        <v>355</v>
      </c>
      <c r="E197" s="26">
        <v>1</v>
      </c>
      <c r="F197" s="26" t="b">
        <v>0</v>
      </c>
      <c r="G197" s="26" t="s">
        <v>355</v>
      </c>
      <c r="H197" s="26" t="b">
        <v>0</v>
      </c>
    </row>
    <row r="198" spans="1:8" x14ac:dyDescent="0.25">
      <c r="A198">
        <v>5316483</v>
      </c>
      <c r="B198" t="s">
        <v>97</v>
      </c>
      <c r="C198" s="3">
        <v>1</v>
      </c>
      <c r="D198" s="26">
        <v>1</v>
      </c>
      <c r="E198" s="26">
        <v>1</v>
      </c>
      <c r="F198" s="26" t="b">
        <v>0</v>
      </c>
      <c r="G198" s="26">
        <v>0.52500000000000002</v>
      </c>
      <c r="H198" s="26" t="b">
        <v>0</v>
      </c>
    </row>
    <row r="199" spans="1:8" x14ac:dyDescent="0.25">
      <c r="A199">
        <v>5316484</v>
      </c>
      <c r="B199" t="s">
        <v>96</v>
      </c>
      <c r="C199" s="3">
        <v>1</v>
      </c>
      <c r="D199" s="26">
        <v>1</v>
      </c>
      <c r="E199" s="26">
        <v>1</v>
      </c>
      <c r="F199" s="26" t="b">
        <v>0</v>
      </c>
      <c r="G199" s="26">
        <v>0.52500000000000002</v>
      </c>
      <c r="H199" s="26" t="b">
        <v>0</v>
      </c>
    </row>
    <row r="200" spans="1:8" x14ac:dyDescent="0.25">
      <c r="A200">
        <v>5316507</v>
      </c>
      <c r="B200" t="s">
        <v>55</v>
      </c>
      <c r="C200" s="3">
        <v>1</v>
      </c>
      <c r="D200" s="26">
        <v>1</v>
      </c>
      <c r="E200" s="26">
        <v>1</v>
      </c>
      <c r="F200" s="26" t="b">
        <v>0</v>
      </c>
      <c r="G200" s="26">
        <v>0.52500000000000002</v>
      </c>
      <c r="H200" s="26" t="b">
        <v>0</v>
      </c>
    </row>
    <row r="201" spans="1:8" x14ac:dyDescent="0.25">
      <c r="A201">
        <v>5316509</v>
      </c>
      <c r="B201" t="s">
        <v>56</v>
      </c>
      <c r="C201" s="3">
        <v>1</v>
      </c>
      <c r="D201" s="26">
        <v>1</v>
      </c>
      <c r="E201" s="26">
        <v>1</v>
      </c>
      <c r="F201" s="26" t="b">
        <v>0</v>
      </c>
      <c r="G201" s="26">
        <v>0.52500000000000002</v>
      </c>
      <c r="H201" s="26" t="b">
        <v>0</v>
      </c>
    </row>
    <row r="202" spans="1:8" x14ac:dyDescent="0.25">
      <c r="A202" t="s">
        <v>87</v>
      </c>
      <c r="B202" t="s">
        <v>88</v>
      </c>
      <c r="D202" s="26" t="s">
        <v>355</v>
      </c>
      <c r="E202" s="26" t="s">
        <v>355</v>
      </c>
      <c r="F202" s="26" t="b">
        <v>0</v>
      </c>
      <c r="G202" s="26" t="s">
        <v>355</v>
      </c>
      <c r="H202" s="26" t="b">
        <v>1</v>
      </c>
    </row>
    <row r="203" spans="1:8" x14ac:dyDescent="0.25">
      <c r="A203" t="s">
        <v>21</v>
      </c>
      <c r="B203" t="s">
        <v>22</v>
      </c>
      <c r="C203" s="3">
        <v>6</v>
      </c>
      <c r="D203" s="26">
        <v>6</v>
      </c>
      <c r="E203" s="26">
        <v>6</v>
      </c>
      <c r="F203" s="26" t="b">
        <v>0</v>
      </c>
      <c r="G203" s="26">
        <v>6.3000000000000007</v>
      </c>
      <c r="H203" s="26" t="b">
        <v>0</v>
      </c>
    </row>
    <row r="204" spans="1:8" x14ac:dyDescent="0.25">
      <c r="A204" t="s">
        <v>231</v>
      </c>
      <c r="B204" t="s">
        <v>180</v>
      </c>
      <c r="C204" s="3">
        <v>0.66666666666666663</v>
      </c>
      <c r="D204" s="26">
        <v>0.65555555555555545</v>
      </c>
      <c r="E204" s="26">
        <v>0.66666666666666663</v>
      </c>
      <c r="F204" s="26" t="b">
        <v>1</v>
      </c>
      <c r="G204" s="26">
        <v>0.68833333333333335</v>
      </c>
      <c r="H204" s="26" t="b">
        <v>0</v>
      </c>
    </row>
    <row r="205" spans="1:8" x14ac:dyDescent="0.25">
      <c r="A205" t="s">
        <v>225</v>
      </c>
      <c r="B205" t="s">
        <v>226</v>
      </c>
      <c r="C205" s="3">
        <v>1.1666666666666667E-2</v>
      </c>
      <c r="D205" s="26">
        <v>0.01</v>
      </c>
      <c r="E205" s="26">
        <v>1.1666666666666667E-2</v>
      </c>
      <c r="F205" s="26" t="b">
        <v>1</v>
      </c>
      <c r="G205" s="26">
        <v>1.0500000000000001E-2</v>
      </c>
      <c r="H205" s="26" t="b">
        <v>0</v>
      </c>
    </row>
    <row r="206" spans="1:8" x14ac:dyDescent="0.25">
      <c r="A206" t="s">
        <v>343</v>
      </c>
      <c r="B206" t="s">
        <v>344</v>
      </c>
      <c r="C206" s="3">
        <v>5.8333333333333327E-2</v>
      </c>
      <c r="D206" s="26" t="s">
        <v>355</v>
      </c>
      <c r="E206" s="26">
        <v>5.8333333333333327E-2</v>
      </c>
      <c r="F206" s="26" t="b">
        <v>0</v>
      </c>
      <c r="G206" s="26">
        <v>5.2499999999999998E-2</v>
      </c>
      <c r="H206" s="26" t="b">
        <v>0</v>
      </c>
    </row>
    <row r="207" spans="1:8" x14ac:dyDescent="0.25">
      <c r="A207" t="s">
        <v>206</v>
      </c>
      <c r="B207" t="s">
        <v>207</v>
      </c>
      <c r="D207" s="26">
        <v>0</v>
      </c>
      <c r="E207" s="26">
        <v>0</v>
      </c>
      <c r="F207" s="26" t="b">
        <v>0</v>
      </c>
      <c r="G207" s="26" t="s">
        <v>355</v>
      </c>
      <c r="H207" s="26" t="b">
        <v>1</v>
      </c>
    </row>
    <row r="208" spans="1:8" x14ac:dyDescent="0.25">
      <c r="A208" t="s">
        <v>241</v>
      </c>
      <c r="B208" t="s">
        <v>35</v>
      </c>
      <c r="C208" s="3">
        <v>0.20833333333333331</v>
      </c>
      <c r="D208" s="26">
        <v>0.20833333333333331</v>
      </c>
      <c r="E208" s="26">
        <v>0.20833333333333331</v>
      </c>
      <c r="F208" s="26" t="b">
        <v>0</v>
      </c>
      <c r="G208" s="26">
        <v>5.46875E-2</v>
      </c>
      <c r="H208" s="26" t="b">
        <v>0</v>
      </c>
    </row>
    <row r="209" spans="1:8" x14ac:dyDescent="0.25">
      <c r="A209" t="s">
        <v>82</v>
      </c>
      <c r="B209" t="s">
        <v>83</v>
      </c>
      <c r="C209" s="3">
        <v>3.8377500000000007</v>
      </c>
      <c r="D209" s="26">
        <v>3.2895000000000012</v>
      </c>
      <c r="E209" s="26">
        <v>3.8377500000000007</v>
      </c>
      <c r="F209" s="26" t="b">
        <v>1</v>
      </c>
      <c r="G209" s="26">
        <v>3.4539749999999994</v>
      </c>
      <c r="H209" s="26" t="b">
        <v>0</v>
      </c>
    </row>
    <row r="210" spans="1:8" x14ac:dyDescent="0.25">
      <c r="A210" t="s">
        <v>346</v>
      </c>
      <c r="B210" t="s">
        <v>46</v>
      </c>
      <c r="C210" s="3">
        <v>0.40000000000000008</v>
      </c>
      <c r="D210" s="26">
        <v>0.2</v>
      </c>
      <c r="E210" s="26">
        <v>0.40000000000000008</v>
      </c>
      <c r="F210" s="26" t="b">
        <v>1</v>
      </c>
      <c r="G210" s="26">
        <v>0.315</v>
      </c>
      <c r="H210" s="26" t="b">
        <v>0</v>
      </c>
    </row>
    <row r="211" spans="1:8" x14ac:dyDescent="0.25">
      <c r="A211" t="s">
        <v>138</v>
      </c>
      <c r="B211" t="s">
        <v>139</v>
      </c>
      <c r="D211" s="26" t="s">
        <v>355</v>
      </c>
      <c r="E211" s="26" t="s">
        <v>355</v>
      </c>
      <c r="F211" s="26" t="b">
        <v>0</v>
      </c>
      <c r="G211" s="26" t="s">
        <v>355</v>
      </c>
      <c r="H211" s="26" t="b">
        <v>1</v>
      </c>
    </row>
    <row r="212" spans="1:8" x14ac:dyDescent="0.25">
      <c r="A212" t="s">
        <v>345</v>
      </c>
      <c r="B212" t="s">
        <v>167</v>
      </c>
      <c r="C212" s="3">
        <v>14.5</v>
      </c>
      <c r="D212" s="26">
        <v>14.5</v>
      </c>
      <c r="E212" s="26">
        <v>14.5</v>
      </c>
      <c r="F212" s="26" t="b">
        <v>0</v>
      </c>
      <c r="G212" s="26">
        <v>7.6124999999999998</v>
      </c>
      <c r="H212" s="26" t="b">
        <v>0</v>
      </c>
    </row>
    <row r="213" spans="1:8" x14ac:dyDescent="0.25">
      <c r="A213" t="s">
        <v>153</v>
      </c>
      <c r="B213" t="s">
        <v>154</v>
      </c>
      <c r="D213" s="26" t="s">
        <v>355</v>
      </c>
      <c r="E213" s="26" t="s">
        <v>355</v>
      </c>
      <c r="F213" s="26" t="b">
        <v>0</v>
      </c>
      <c r="G213" s="26" t="s">
        <v>355</v>
      </c>
      <c r="H213" s="26" t="b">
        <v>1</v>
      </c>
    </row>
    <row r="214" spans="1:8" x14ac:dyDescent="0.25">
      <c r="A214" t="s">
        <v>92</v>
      </c>
      <c r="B214" t="s">
        <v>93</v>
      </c>
      <c r="D214" s="26" t="s">
        <v>355</v>
      </c>
      <c r="E214" s="26" t="s">
        <v>355</v>
      </c>
      <c r="F214" s="26" t="b">
        <v>0</v>
      </c>
      <c r="G214" s="26" t="s">
        <v>355</v>
      </c>
      <c r="H214" s="26" t="b">
        <v>1</v>
      </c>
    </row>
    <row r="215" spans="1:8" x14ac:dyDescent="0.25">
      <c r="A215" t="s">
        <v>94</v>
      </c>
      <c r="B215" t="s">
        <v>95</v>
      </c>
      <c r="C215" s="3">
        <v>3</v>
      </c>
      <c r="D215" s="26">
        <v>3</v>
      </c>
      <c r="E215" s="26">
        <v>3</v>
      </c>
      <c r="F215" s="26" t="b">
        <v>0</v>
      </c>
      <c r="G215" s="26">
        <v>3.1500000000000004</v>
      </c>
      <c r="H215" s="26" t="b">
        <v>0</v>
      </c>
    </row>
    <row r="216" spans="1:8" x14ac:dyDescent="0.25">
      <c r="A216" t="s">
        <v>183</v>
      </c>
      <c r="B216" t="s">
        <v>184</v>
      </c>
      <c r="C216" s="3">
        <v>0</v>
      </c>
      <c r="D216" s="26">
        <v>1</v>
      </c>
      <c r="E216" s="26">
        <v>0</v>
      </c>
      <c r="F216" s="26" t="b">
        <v>0</v>
      </c>
      <c r="G216" s="26" t="s">
        <v>355</v>
      </c>
      <c r="H216" s="26" t="b">
        <v>0</v>
      </c>
    </row>
    <row r="217" spans="1:8" x14ac:dyDescent="0.25">
      <c r="A217" t="s">
        <v>34</v>
      </c>
      <c r="B217" t="s">
        <v>35</v>
      </c>
      <c r="C217" s="3">
        <v>0.23</v>
      </c>
      <c r="D217" s="26" t="s">
        <v>355</v>
      </c>
      <c r="E217" s="26">
        <v>0.23</v>
      </c>
      <c r="F217" s="26" t="b">
        <v>0</v>
      </c>
      <c r="G217" s="26" t="s">
        <v>355</v>
      </c>
      <c r="H217" s="26" t="b">
        <v>0</v>
      </c>
    </row>
    <row r="218" spans="1:8" x14ac:dyDescent="0.25">
      <c r="A218" t="s">
        <v>294</v>
      </c>
      <c r="B218" t="s">
        <v>460</v>
      </c>
      <c r="C218" s="3">
        <v>1</v>
      </c>
      <c r="D218" s="26">
        <v>1</v>
      </c>
      <c r="E218" s="26">
        <v>1</v>
      </c>
      <c r="F218" s="26" t="b">
        <v>0</v>
      </c>
      <c r="G218" s="26" t="s">
        <v>355</v>
      </c>
      <c r="H218" s="26" t="b">
        <v>0</v>
      </c>
    </row>
    <row r="219" spans="1:8" x14ac:dyDescent="0.25">
      <c r="A219" t="s">
        <v>312</v>
      </c>
      <c r="B219" t="s">
        <v>460</v>
      </c>
      <c r="C219" s="3">
        <v>18</v>
      </c>
      <c r="D219" s="26" t="s">
        <v>355</v>
      </c>
      <c r="E219" s="26">
        <v>18</v>
      </c>
      <c r="F219" s="26" t="b">
        <v>0</v>
      </c>
      <c r="G219" s="26">
        <v>9.4500000000000011</v>
      </c>
      <c r="H219" s="26" t="b">
        <v>0</v>
      </c>
    </row>
    <row r="220" spans="1:8" x14ac:dyDescent="0.25">
      <c r="A220" t="s">
        <v>348</v>
      </c>
      <c r="B220" t="s">
        <v>460</v>
      </c>
      <c r="C220" s="3">
        <v>1.7000000000000001E-2</v>
      </c>
      <c r="D220" s="26">
        <v>1.7000000000000001E-2</v>
      </c>
      <c r="E220" s="26">
        <v>1.7000000000000001E-2</v>
      </c>
      <c r="F220" s="26" t="b">
        <v>0</v>
      </c>
      <c r="G220" s="26">
        <v>8.9250000000000006E-3</v>
      </c>
      <c r="H220" s="26" t="b">
        <v>0</v>
      </c>
    </row>
    <row r="221" spans="1:8" x14ac:dyDescent="0.25">
      <c r="A221" t="s">
        <v>292</v>
      </c>
      <c r="B221" t="s">
        <v>460</v>
      </c>
      <c r="C221" s="3">
        <v>1</v>
      </c>
      <c r="D221" s="26">
        <v>1</v>
      </c>
      <c r="E221" s="26">
        <v>1</v>
      </c>
      <c r="F221" s="26" t="b">
        <v>0</v>
      </c>
      <c r="G221" s="26" t="s">
        <v>355</v>
      </c>
      <c r="H221" s="26" t="b">
        <v>0</v>
      </c>
    </row>
    <row r="222" spans="1:8" x14ac:dyDescent="0.25">
      <c r="A222" t="s">
        <v>296</v>
      </c>
      <c r="B222" t="s">
        <v>460</v>
      </c>
      <c r="C222" s="3">
        <v>2</v>
      </c>
      <c r="D222" s="26">
        <v>3</v>
      </c>
      <c r="E222" s="26">
        <v>2</v>
      </c>
      <c r="F222" s="26" t="b">
        <v>0</v>
      </c>
      <c r="G222" s="26">
        <v>1.5750000000000002</v>
      </c>
      <c r="H222" s="26" t="b">
        <v>0</v>
      </c>
    </row>
    <row r="223" spans="1:8" x14ac:dyDescent="0.25">
      <c r="A223" t="s">
        <v>288</v>
      </c>
      <c r="B223" t="s">
        <v>460</v>
      </c>
      <c r="C223" s="3">
        <v>1</v>
      </c>
      <c r="D223" s="26">
        <v>1</v>
      </c>
      <c r="E223" s="26">
        <v>1</v>
      </c>
      <c r="F223" s="26" t="b">
        <v>0</v>
      </c>
      <c r="G223" s="26">
        <v>0.52500000000000002</v>
      </c>
      <c r="H223" s="26" t="b">
        <v>0</v>
      </c>
    </row>
    <row r="224" spans="1:8" x14ac:dyDescent="0.25">
      <c r="A224" t="s">
        <v>286</v>
      </c>
      <c r="B224" t="s">
        <v>460</v>
      </c>
      <c r="C224" s="3">
        <v>1</v>
      </c>
      <c r="D224" s="26">
        <v>1</v>
      </c>
      <c r="E224" s="26">
        <v>1</v>
      </c>
      <c r="F224" s="26" t="b">
        <v>0</v>
      </c>
      <c r="G224" s="26">
        <v>0.52500000000000002</v>
      </c>
      <c r="H224" s="26" t="b">
        <v>0</v>
      </c>
    </row>
    <row r="225" spans="1:8" x14ac:dyDescent="0.25">
      <c r="A225" t="s">
        <v>353</v>
      </c>
      <c r="B225" t="s">
        <v>347</v>
      </c>
      <c r="C225" s="3">
        <v>19.666666666666668</v>
      </c>
      <c r="D225" s="26">
        <v>16.75</v>
      </c>
      <c r="E225" s="26">
        <v>19.666666666666668</v>
      </c>
      <c r="F225" s="26" t="b">
        <v>1</v>
      </c>
      <c r="G225" s="26">
        <v>17.587499999999999</v>
      </c>
      <c r="H225" s="26" t="b">
        <v>0</v>
      </c>
    </row>
    <row r="226" spans="1:8" x14ac:dyDescent="0.25">
      <c r="A226">
        <v>302009</v>
      </c>
      <c r="B226" t="s">
        <v>475</v>
      </c>
      <c r="C226" s="3">
        <v>9</v>
      </c>
      <c r="D226" s="26">
        <v>8.5</v>
      </c>
      <c r="E226" s="26">
        <v>9</v>
      </c>
      <c r="F226" s="26" t="b">
        <v>1</v>
      </c>
      <c r="G226" s="26" t="s">
        <v>355</v>
      </c>
      <c r="H226" s="26" t="b">
        <v>0</v>
      </c>
    </row>
    <row r="227" spans="1:8" x14ac:dyDescent="0.25">
      <c r="A227">
        <v>2505426</v>
      </c>
      <c r="B227" t="s">
        <v>476</v>
      </c>
      <c r="D227" s="26">
        <v>2</v>
      </c>
      <c r="E227" s="26">
        <v>2</v>
      </c>
      <c r="F227" s="26" t="b">
        <v>0</v>
      </c>
      <c r="G227" s="26" t="s">
        <v>355</v>
      </c>
      <c r="H227" s="26" t="b">
        <v>1</v>
      </c>
    </row>
    <row r="228" spans="1:8" x14ac:dyDescent="0.25">
      <c r="A228">
        <v>1802103</v>
      </c>
      <c r="B228" t="s">
        <v>477</v>
      </c>
      <c r="D228" s="26">
        <v>1</v>
      </c>
      <c r="E228" s="26">
        <v>1</v>
      </c>
      <c r="F228" s="26" t="b">
        <v>0</v>
      </c>
      <c r="G228" s="26" t="s">
        <v>355</v>
      </c>
      <c r="H228" s="26" t="b">
        <v>1</v>
      </c>
    </row>
    <row r="229" spans="1:8" x14ac:dyDescent="0.25">
      <c r="A229" t="s">
        <v>296</v>
      </c>
      <c r="B229" t="s">
        <v>297</v>
      </c>
      <c r="D229" s="26">
        <v>3</v>
      </c>
      <c r="E229" s="26">
        <v>3</v>
      </c>
      <c r="F229" s="26" t="b">
        <v>0</v>
      </c>
      <c r="G229" s="26">
        <v>1.5750000000000002</v>
      </c>
      <c r="H229" s="26" t="b">
        <v>0</v>
      </c>
    </row>
    <row r="230" spans="1:8" x14ac:dyDescent="0.25">
      <c r="A230" t="s">
        <v>288</v>
      </c>
      <c r="B230" t="s">
        <v>289</v>
      </c>
      <c r="D230" s="26">
        <v>1</v>
      </c>
      <c r="E230" s="26">
        <v>1</v>
      </c>
      <c r="F230" s="26" t="b">
        <v>0</v>
      </c>
      <c r="G230" s="26">
        <v>0.52500000000000002</v>
      </c>
      <c r="H230" s="26" t="b">
        <v>0</v>
      </c>
    </row>
    <row r="231" spans="1:8" x14ac:dyDescent="0.25">
      <c r="A231" t="s">
        <v>286</v>
      </c>
      <c r="B231" t="s">
        <v>287</v>
      </c>
      <c r="D231" s="26">
        <v>1</v>
      </c>
      <c r="E231" s="26">
        <v>1</v>
      </c>
      <c r="F231" s="26" t="b">
        <v>0</v>
      </c>
      <c r="G231" s="26">
        <v>0.52500000000000002</v>
      </c>
      <c r="H231" s="26" t="b">
        <v>0</v>
      </c>
    </row>
    <row r="232" spans="1:8" x14ac:dyDescent="0.25">
      <c r="A232" t="s">
        <v>348</v>
      </c>
      <c r="B232" t="s">
        <v>363</v>
      </c>
      <c r="D232" s="26">
        <v>1.7000000000000001E-2</v>
      </c>
      <c r="E232" s="26">
        <v>1.7000000000000001E-2</v>
      </c>
      <c r="F232" s="26" t="b">
        <v>0</v>
      </c>
      <c r="G232" s="26">
        <v>8.9250000000000006E-3</v>
      </c>
      <c r="H232" s="26" t="b">
        <v>0</v>
      </c>
    </row>
    <row r="233" spans="1:8" x14ac:dyDescent="0.25">
      <c r="A233" t="s">
        <v>312</v>
      </c>
      <c r="B233" t="s">
        <v>313</v>
      </c>
      <c r="D233" s="26" t="s">
        <v>355</v>
      </c>
      <c r="E233" s="26" t="s">
        <v>355</v>
      </c>
      <c r="F233" s="26" t="b">
        <v>0</v>
      </c>
      <c r="G233" s="26">
        <v>9.4500000000000011</v>
      </c>
      <c r="H233" s="26" t="b">
        <v>0</v>
      </c>
    </row>
    <row r="234" spans="1:8" x14ac:dyDescent="0.25">
      <c r="A234" t="s">
        <v>481</v>
      </c>
      <c r="B234" t="s">
        <v>482</v>
      </c>
      <c r="D234" s="26" t="s">
        <v>355</v>
      </c>
      <c r="E234" s="26" t="s">
        <v>355</v>
      </c>
      <c r="F234" s="26" t="b">
        <v>0</v>
      </c>
      <c r="G234" s="26">
        <v>1.05</v>
      </c>
      <c r="H234" s="26" t="b">
        <v>0</v>
      </c>
    </row>
    <row r="235" spans="1:8" x14ac:dyDescent="0.25">
      <c r="A235">
        <v>404793</v>
      </c>
      <c r="B235" t="s">
        <v>483</v>
      </c>
      <c r="D235" s="26">
        <v>1</v>
      </c>
      <c r="E235" s="26">
        <v>1</v>
      </c>
      <c r="F235" s="26" t="b">
        <v>0</v>
      </c>
      <c r="G235" s="26">
        <v>0.52500000000000002</v>
      </c>
      <c r="H235" s="26" t="b">
        <v>0</v>
      </c>
    </row>
    <row r="236" spans="1:8" x14ac:dyDescent="0.25">
      <c r="A236">
        <v>2508990</v>
      </c>
      <c r="B236" t="s">
        <v>484</v>
      </c>
      <c r="D236" s="26">
        <v>1</v>
      </c>
      <c r="E236" s="26">
        <v>1</v>
      </c>
      <c r="F236" s="26" t="b">
        <v>0</v>
      </c>
      <c r="G236" s="26">
        <v>1.05</v>
      </c>
      <c r="H236" s="26" t="b">
        <v>0</v>
      </c>
    </row>
    <row r="237" spans="1:8" x14ac:dyDescent="0.25">
      <c r="A237">
        <v>2508991</v>
      </c>
      <c r="B237" t="s">
        <v>485</v>
      </c>
      <c r="D237" s="26">
        <v>1</v>
      </c>
      <c r="E237" s="26">
        <v>1</v>
      </c>
      <c r="F237" s="26" t="b">
        <v>0</v>
      </c>
      <c r="G237" s="26">
        <v>1.05</v>
      </c>
      <c r="H237" s="26" t="b">
        <v>0</v>
      </c>
    </row>
    <row r="238" spans="1:8" x14ac:dyDescent="0.25">
      <c r="A238">
        <v>2508992</v>
      </c>
      <c r="B238" t="s">
        <v>486</v>
      </c>
      <c r="D238" s="26">
        <v>1</v>
      </c>
      <c r="E238" s="26">
        <v>1</v>
      </c>
      <c r="F238" s="26" t="b">
        <v>0</v>
      </c>
      <c r="G238" s="26">
        <v>0.7875000000000002</v>
      </c>
      <c r="H238" s="26" t="b">
        <v>0</v>
      </c>
    </row>
    <row r="239" spans="1:8" x14ac:dyDescent="0.25">
      <c r="A239">
        <v>2508993</v>
      </c>
      <c r="B239" t="s">
        <v>487</v>
      </c>
      <c r="D239" s="26">
        <v>1</v>
      </c>
      <c r="E239" s="26">
        <v>1</v>
      </c>
      <c r="F239" s="26" t="b">
        <v>0</v>
      </c>
      <c r="G239" s="26">
        <v>1.05</v>
      </c>
      <c r="H239" s="26" t="b">
        <v>0</v>
      </c>
    </row>
    <row r="240" spans="1:8" x14ac:dyDescent="0.25">
      <c r="A240">
        <v>2508994</v>
      </c>
      <c r="B240" t="s">
        <v>488</v>
      </c>
      <c r="D240" s="26">
        <v>1</v>
      </c>
      <c r="E240" s="26">
        <v>1</v>
      </c>
      <c r="F240" s="26" t="b">
        <v>0</v>
      </c>
      <c r="G240" s="26">
        <v>0.52500000000000002</v>
      </c>
      <c r="H240" s="26" t="b">
        <v>0</v>
      </c>
    </row>
    <row r="241" spans="1:8" x14ac:dyDescent="0.25">
      <c r="A241">
        <v>1103086</v>
      </c>
      <c r="B241" t="s">
        <v>489</v>
      </c>
      <c r="D241" s="26">
        <v>1</v>
      </c>
      <c r="E241" s="26">
        <v>1</v>
      </c>
      <c r="F241" s="26" t="b">
        <v>0</v>
      </c>
      <c r="G241" s="26">
        <v>0.52500000000000002</v>
      </c>
      <c r="H241" s="26" t="b">
        <v>0</v>
      </c>
    </row>
    <row r="242" spans="1:8" x14ac:dyDescent="0.25">
      <c r="A242">
        <v>1103087</v>
      </c>
      <c r="B242" t="s">
        <v>490</v>
      </c>
      <c r="D242" s="26">
        <v>2</v>
      </c>
      <c r="E242" s="26">
        <v>2</v>
      </c>
      <c r="F242" s="26" t="b">
        <v>0</v>
      </c>
      <c r="G242" s="26">
        <v>0.52500000000000002</v>
      </c>
      <c r="H242" s="26" t="b">
        <v>0</v>
      </c>
    </row>
    <row r="243" spans="1:8" x14ac:dyDescent="0.25">
      <c r="A243">
        <v>1103088</v>
      </c>
      <c r="B243" t="s">
        <v>491</v>
      </c>
      <c r="D243" s="26" t="s">
        <v>355</v>
      </c>
      <c r="E243" s="26" t="s">
        <v>355</v>
      </c>
      <c r="F243" s="26" t="b">
        <v>0</v>
      </c>
      <c r="G243" s="26">
        <v>1.05</v>
      </c>
      <c r="H243" s="26" t="b">
        <v>0</v>
      </c>
    </row>
    <row r="244" spans="1:8" x14ac:dyDescent="0.25">
      <c r="A244" t="s">
        <v>492</v>
      </c>
      <c r="B244" t="s">
        <v>492</v>
      </c>
      <c r="D244" s="26" t="s">
        <v>355</v>
      </c>
      <c r="E244" s="26" t="s">
        <v>355</v>
      </c>
      <c r="F244" s="26" t="b">
        <v>0</v>
      </c>
      <c r="G244" s="26">
        <v>0.52500000000000002</v>
      </c>
      <c r="H244" s="26" t="b">
        <v>0</v>
      </c>
    </row>
    <row r="245" spans="1:8" x14ac:dyDescent="0.25">
      <c r="A245" t="s">
        <v>493</v>
      </c>
      <c r="B245" t="s">
        <v>494</v>
      </c>
      <c r="D245" s="26" t="s">
        <v>355</v>
      </c>
      <c r="E245" s="26" t="s">
        <v>355</v>
      </c>
      <c r="F245" s="26" t="b">
        <v>0</v>
      </c>
      <c r="G245" s="26">
        <v>0.52500000000000002</v>
      </c>
      <c r="H245" s="26" t="b">
        <v>0</v>
      </c>
    </row>
    <row r="246" spans="1:8" x14ac:dyDescent="0.25">
      <c r="A246">
        <v>602256</v>
      </c>
      <c r="B246" t="s">
        <v>495</v>
      </c>
      <c r="D246" s="26" t="s">
        <v>355</v>
      </c>
      <c r="E246" s="26" t="s">
        <v>355</v>
      </c>
      <c r="F246" s="26" t="b">
        <v>0</v>
      </c>
      <c r="G246" s="26">
        <v>2.3099999999999999E-2</v>
      </c>
      <c r="H246" s="26" t="b">
        <v>0</v>
      </c>
    </row>
    <row r="247" spans="1:8" x14ac:dyDescent="0.25">
      <c r="A247">
        <v>602257</v>
      </c>
      <c r="B247" t="s">
        <v>496</v>
      </c>
      <c r="D247" s="26" t="s">
        <v>355</v>
      </c>
      <c r="E247" s="26" t="s">
        <v>355</v>
      </c>
      <c r="F247" s="26" t="b">
        <v>0</v>
      </c>
      <c r="G247" s="26">
        <v>0.18637500000000001</v>
      </c>
      <c r="H247" s="26" t="b">
        <v>0</v>
      </c>
    </row>
    <row r="248" spans="1:8" x14ac:dyDescent="0.25">
      <c r="A248">
        <v>602258</v>
      </c>
      <c r="B248" t="s">
        <v>497</v>
      </c>
      <c r="D248" s="26" t="s">
        <v>355</v>
      </c>
      <c r="E248" s="26" t="s">
        <v>355</v>
      </c>
      <c r="F248" s="26" t="b">
        <v>0</v>
      </c>
      <c r="G248" s="26">
        <v>8.1375000000000003E-2</v>
      </c>
      <c r="H248" s="26" t="b">
        <v>0</v>
      </c>
    </row>
    <row r="249" spans="1:8" x14ac:dyDescent="0.25">
      <c r="A249">
        <v>1901466</v>
      </c>
      <c r="B249" t="s">
        <v>498</v>
      </c>
      <c r="D249" s="26">
        <v>28.123119999999997</v>
      </c>
      <c r="E249" s="26">
        <v>28.123119999999997</v>
      </c>
      <c r="F249" s="26" t="b">
        <v>0</v>
      </c>
      <c r="G249" s="26">
        <v>29.529275999999999</v>
      </c>
      <c r="H249" s="26" t="b">
        <v>0</v>
      </c>
    </row>
    <row r="250" spans="1:8" x14ac:dyDescent="0.25">
      <c r="A250">
        <v>407717</v>
      </c>
      <c r="B250" t="s">
        <v>364</v>
      </c>
      <c r="D250" s="26" t="s">
        <v>355</v>
      </c>
      <c r="E250" s="26" t="s">
        <v>355</v>
      </c>
      <c r="F250" s="26" t="b">
        <v>0</v>
      </c>
      <c r="G250" s="26">
        <v>18.375</v>
      </c>
      <c r="H250" s="26" t="b">
        <v>0</v>
      </c>
    </row>
    <row r="251" spans="1:8" x14ac:dyDescent="0.25">
      <c r="A251">
        <v>407154</v>
      </c>
      <c r="B251" t="s">
        <v>365</v>
      </c>
      <c r="D251" s="26" t="s">
        <v>355</v>
      </c>
      <c r="E251" s="26" t="s">
        <v>355</v>
      </c>
      <c r="F251" s="26" t="b">
        <v>0</v>
      </c>
      <c r="G251" s="26">
        <v>47.25</v>
      </c>
      <c r="H251" s="26" t="b">
        <v>0</v>
      </c>
    </row>
    <row r="252" spans="1:8" x14ac:dyDescent="0.25">
      <c r="A252">
        <v>410082</v>
      </c>
      <c r="B252" t="s">
        <v>499</v>
      </c>
      <c r="D252" s="26" t="s">
        <v>355</v>
      </c>
      <c r="E252" s="26" t="s">
        <v>355</v>
      </c>
      <c r="F252" s="26" t="b">
        <v>0</v>
      </c>
      <c r="G252" s="26">
        <v>4.4625000000000004</v>
      </c>
      <c r="H252" s="26" t="b">
        <v>0</v>
      </c>
    </row>
    <row r="253" spans="1:8" x14ac:dyDescent="0.25">
      <c r="A253">
        <v>410082</v>
      </c>
      <c r="B253" t="s">
        <v>500</v>
      </c>
      <c r="D253" s="26" t="s">
        <v>355</v>
      </c>
      <c r="E253" s="26" t="s">
        <v>355</v>
      </c>
      <c r="F253" s="26" t="b">
        <v>0</v>
      </c>
      <c r="G253" s="26">
        <v>4.4625000000000004</v>
      </c>
      <c r="H253" s="26" t="b">
        <v>0</v>
      </c>
    </row>
    <row r="254" spans="1:8" x14ac:dyDescent="0.25">
      <c r="A254">
        <v>410083</v>
      </c>
      <c r="B254" t="s">
        <v>501</v>
      </c>
      <c r="D254" s="26" t="s">
        <v>355</v>
      </c>
      <c r="E254" s="26" t="s">
        <v>355</v>
      </c>
      <c r="F254" s="26" t="b">
        <v>0</v>
      </c>
      <c r="G254" s="26">
        <v>1.05</v>
      </c>
      <c r="H254" s="26" t="b">
        <v>0</v>
      </c>
    </row>
    <row r="255" spans="1:8" x14ac:dyDescent="0.25">
      <c r="A255" t="s">
        <v>502</v>
      </c>
      <c r="B255" t="s">
        <v>503</v>
      </c>
      <c r="D255" s="26" t="s">
        <v>355</v>
      </c>
      <c r="E255" s="26" t="s">
        <v>355</v>
      </c>
      <c r="F255" s="26" t="b">
        <v>0</v>
      </c>
      <c r="G255" s="26">
        <v>2.3625000000000003</v>
      </c>
      <c r="H255" s="26" t="b">
        <v>0</v>
      </c>
    </row>
    <row r="256" spans="1:8" x14ac:dyDescent="0.25">
      <c r="A256" t="s">
        <v>504</v>
      </c>
      <c r="B256" t="s">
        <v>505</v>
      </c>
      <c r="D256" s="26" t="s">
        <v>355</v>
      </c>
      <c r="E256" s="26" t="s">
        <v>355</v>
      </c>
      <c r="F256" s="26" t="b">
        <v>0</v>
      </c>
      <c r="G256" s="26">
        <v>2.1</v>
      </c>
      <c r="H256" s="26" t="b">
        <v>0</v>
      </c>
    </row>
    <row r="257" spans="1:8" x14ac:dyDescent="0.25">
      <c r="A257" t="s">
        <v>506</v>
      </c>
      <c r="B257" t="s">
        <v>507</v>
      </c>
      <c r="D257" s="26" t="s">
        <v>355</v>
      </c>
      <c r="E257" s="26" t="s">
        <v>355</v>
      </c>
      <c r="F257" s="26" t="b">
        <v>0</v>
      </c>
      <c r="G257" s="26">
        <v>1.1812499999999999</v>
      </c>
      <c r="H257" s="26" t="b">
        <v>0</v>
      </c>
    </row>
    <row r="258" spans="1:8" x14ac:dyDescent="0.25">
      <c r="A258" t="s">
        <v>508</v>
      </c>
      <c r="B258" t="s">
        <v>509</v>
      </c>
      <c r="D258" s="26" t="s">
        <v>355</v>
      </c>
      <c r="E258" s="26" t="s">
        <v>355</v>
      </c>
      <c r="F258" s="26" t="b">
        <v>0</v>
      </c>
      <c r="G258" s="26">
        <v>4.7250000000000005</v>
      </c>
      <c r="H258" s="26" t="b">
        <v>0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26865-5AA3-477D-9A48-6649BB18D42F}">
  <sheetPr codeName="Hoja2"/>
  <dimension ref="A1:K36"/>
  <sheetViews>
    <sheetView workbookViewId="0">
      <selection activeCell="D33" sqref="D33"/>
    </sheetView>
  </sheetViews>
  <sheetFormatPr baseColWidth="10" defaultRowHeight="15" x14ac:dyDescent="0.25"/>
  <cols>
    <col min="1" max="1" width="11" bestFit="1" customWidth="1"/>
    <col min="2" max="2" width="102.42578125" bestFit="1" customWidth="1"/>
    <col min="3" max="3" width="6.7109375" bestFit="1" customWidth="1"/>
    <col min="4" max="4" width="28.5703125" bestFit="1" customWidth="1"/>
    <col min="5" max="5" width="19.42578125" style="3" bestFit="1" customWidth="1"/>
    <col min="6" max="6" width="8" style="3" bestFit="1" customWidth="1"/>
    <col min="7" max="7" width="25.85546875" style="3" bestFit="1" customWidth="1"/>
    <col min="8" max="8" width="19.5703125" style="3" bestFit="1" customWidth="1"/>
    <col min="9" max="9" width="25.5703125" style="2" bestFit="1" customWidth="1"/>
    <col min="10" max="10" width="20.28515625" style="2" bestFit="1" customWidth="1"/>
    <col min="11" max="11" width="20.85546875" style="7" bestFit="1" customWidth="1"/>
  </cols>
  <sheetData>
    <row r="1" spans="1:11" x14ac:dyDescent="0.25">
      <c r="A1" t="s">
        <v>2</v>
      </c>
      <c r="B1" t="s">
        <v>3</v>
      </c>
      <c r="C1" t="s">
        <v>367</v>
      </c>
      <c r="D1" t="s">
        <v>527</v>
      </c>
      <c r="E1" s="3" t="s">
        <v>372</v>
      </c>
      <c r="F1" s="3" t="s">
        <v>357</v>
      </c>
      <c r="G1" s="3" t="s">
        <v>373</v>
      </c>
      <c r="H1" s="3" t="s">
        <v>374</v>
      </c>
      <c r="I1" s="2" t="s">
        <v>438</v>
      </c>
      <c r="J1" s="2" t="s">
        <v>439</v>
      </c>
      <c r="K1" s="7" t="s">
        <v>440</v>
      </c>
    </row>
    <row r="2" spans="1:11" x14ac:dyDescent="0.25">
      <c r="A2" t="s">
        <v>21</v>
      </c>
      <c r="B2" t="s">
        <v>510</v>
      </c>
      <c r="C2" t="s">
        <v>320</v>
      </c>
      <c r="D2" t="s">
        <v>528</v>
      </c>
      <c r="E2" s="3">
        <f>+SUMIFS(PRODUCTOS[CANT. COMPRADA],PRODUCTOS[CODIGO],P_CRITICOS[[#This Row],[CODIGO]])</f>
        <v>808</v>
      </c>
      <c r="G2" s="3">
        <f>+_xlfn.XLOOKUP(P_CRITICOS[[#This Row],[CODIGO]],PRODUCTOS[CODIGO],PRODUCTOS[CANT X MODULO],"",0)</f>
        <v>6.3000000000000007</v>
      </c>
      <c r="H2" s="3">
        <f>+IFERROR(P_CRITICOS[[#This Row],[CANT COMPRADA]]/P_CRITICOS[[#This Row],[CANTIDAD X MODULOS]],"")</f>
        <v>128.25396825396825</v>
      </c>
      <c r="I2" s="2">
        <f>+_xlfn.XLOOKUP(P_CRITICOS[[#This Row],[CODIGO]],PRODUCTOS[CODIGO],PRODUCTOS[PPTO],"",0)</f>
        <v>15359.702784999999</v>
      </c>
      <c r="J2" s="2">
        <f>+_xlfn.XLOOKUP(P_CRITICOS[[#This Row],[CODIGO]],PRODUCTOS[CODIGO],PRODUCTOS[PRECIO COMPRA UNITARIO],"",0)</f>
        <v>15451.816831683169</v>
      </c>
      <c r="K2" s="7">
        <f>+P_CRITICOS[[#This Row],[CANT COMPRADA]]/$E$36</f>
        <v>6.4952812746185626E-3</v>
      </c>
    </row>
    <row r="3" spans="1:11" x14ac:dyDescent="0.25">
      <c r="A3" t="s">
        <v>296</v>
      </c>
      <c r="B3" t="s">
        <v>297</v>
      </c>
      <c r="C3" t="s">
        <v>320</v>
      </c>
      <c r="D3" t="s">
        <v>529</v>
      </c>
      <c r="E3" s="3">
        <f>+SUMIFS(PRODUCTOS[CANT. COMPRADA],PRODUCTOS[CODIGO],P_CRITICOS[[#This Row],[CODIGO]])</f>
        <v>114</v>
      </c>
      <c r="G3" s="3">
        <f>+_xlfn.XLOOKUP(P_CRITICOS[[#This Row],[CODIGO]],PRODUCTOS[CODIGO],PRODUCTOS[CANT X MODULO],"",0)</f>
        <v>1.5750000000000002</v>
      </c>
      <c r="H3" s="3">
        <f>+IFERROR(P_CRITICOS[[#This Row],[CANT COMPRADA]]/P_CRITICOS[[#This Row],[CANTIDAD X MODULOS]],"")</f>
        <v>72.38095238095238</v>
      </c>
      <c r="I3" s="2">
        <f>+_xlfn.XLOOKUP(P_CRITICOS[[#This Row],[CODIGO]],PRODUCTOS[CODIGO],PRODUCTOS[PPTO],"",0)</f>
        <v>205500</v>
      </c>
      <c r="J3" s="2">
        <f>+_xlfn.XLOOKUP(P_CRITICOS[[#This Row],[CODIGO]],PRODUCTOS[CODIGO],PRODUCTOS[PRECIO COMPRA UNITARIO],"",0)</f>
        <v>203232.16666666666</v>
      </c>
      <c r="K3" s="7">
        <f>+P_CRITICOS[[#This Row],[CANT COMPRADA]]/$E$36</f>
        <v>9.1641344716152995E-4</v>
      </c>
    </row>
    <row r="4" spans="1:11" x14ac:dyDescent="0.25">
      <c r="A4" t="s">
        <v>286</v>
      </c>
      <c r="B4" t="s">
        <v>287</v>
      </c>
      <c r="C4" t="s">
        <v>320</v>
      </c>
      <c r="D4" t="s">
        <v>530</v>
      </c>
      <c r="E4" s="3">
        <f>+SUMIFS(PRODUCTOS[CANT. COMPRADA],PRODUCTOS[CODIGO],P_CRITICOS[[#This Row],[CODIGO]])</f>
        <v>41</v>
      </c>
      <c r="G4" s="3">
        <f>+_xlfn.XLOOKUP(P_CRITICOS[[#This Row],[CODIGO]],PRODUCTOS[CODIGO],PRODUCTOS[CANT X MODULO],"",0)</f>
        <v>0.52500000000000002</v>
      </c>
      <c r="H4" s="3">
        <f>+IFERROR(P_CRITICOS[[#This Row],[CANT COMPRADA]]/P_CRITICOS[[#This Row],[CANTIDAD X MODULOS]],"")</f>
        <v>78.095238095238088</v>
      </c>
      <c r="I4" s="2">
        <f>+_xlfn.XLOOKUP(P_CRITICOS[[#This Row],[CODIGO]],PRODUCTOS[CODIGO],PRODUCTOS[PPTO],"",0)</f>
        <v>350139</v>
      </c>
      <c r="J4" s="2">
        <f>+_xlfn.XLOOKUP(P_CRITICOS[[#This Row],[CODIGO]],PRODUCTOS[CODIGO],PRODUCTOS[PRECIO COMPRA UNITARIO],"",0)</f>
        <v>381877.78048780491</v>
      </c>
      <c r="K4" s="7">
        <f>+P_CRITICOS[[#This Row],[CANT COMPRADA]]/$E$36</f>
        <v>3.2958729240019938E-4</v>
      </c>
    </row>
    <row r="5" spans="1:11" x14ac:dyDescent="0.25">
      <c r="A5" t="s">
        <v>353</v>
      </c>
      <c r="B5" t="s">
        <v>347</v>
      </c>
      <c r="C5" t="s">
        <v>320</v>
      </c>
      <c r="D5" t="s">
        <v>531</v>
      </c>
      <c r="E5" s="3">
        <f>+SUMIFS(PRODUCTOS[CANT. COMPRADA],PRODUCTOS[CODIGO],P_CRITICOS[[#This Row],[CODIGO]])</f>
        <v>0</v>
      </c>
      <c r="G5" s="3">
        <f>+_xlfn.XLOOKUP(P_CRITICOS[[#This Row],[CODIGO]],PRODUCTOS[CODIGO],PRODUCTOS[CANT X MODULO],"",0)</f>
        <v>17.587499999999999</v>
      </c>
      <c r="H5" s="3">
        <f>+IFERROR(P_CRITICOS[[#This Row],[CANT COMPRADA]]/P_CRITICOS[[#This Row],[CANTIDAD X MODULOS]],"")</f>
        <v>0</v>
      </c>
      <c r="I5" s="2">
        <f>+_xlfn.XLOOKUP(P_CRITICOS[[#This Row],[CODIGO]],PRODUCTOS[CODIGO],PRODUCTOS[PPTO],"",0)</f>
        <v>9390</v>
      </c>
      <c r="J5" s="2" t="str">
        <f>+_xlfn.XLOOKUP(P_CRITICOS[[#This Row],[CODIGO]],PRODUCTOS[CODIGO],PRODUCTOS[PRECIO COMPRA UNITARIO],"",0)</f>
        <v/>
      </c>
      <c r="K5" s="7">
        <f>+P_CRITICOS[[#This Row],[CANT COMPRADA]]/$E$36</f>
        <v>0</v>
      </c>
    </row>
    <row r="6" spans="1:11" x14ac:dyDescent="0.25">
      <c r="A6">
        <v>1803045</v>
      </c>
      <c r="B6" t="s">
        <v>511</v>
      </c>
      <c r="C6" t="s">
        <v>320</v>
      </c>
      <c r="D6" t="s">
        <v>532</v>
      </c>
      <c r="E6" s="3">
        <f>+SUMIFS(PRODUCTOS[CANT. COMPRADA],PRODUCTOS[CODIGO],P_CRITICOS[[#This Row],[CODIGO]])</f>
        <v>85</v>
      </c>
      <c r="G6" s="3">
        <f>+_xlfn.XLOOKUP(P_CRITICOS[[#This Row],[CODIGO]],PRODUCTOS[CODIGO],PRODUCTOS[CANT X MODULO],"",0)</f>
        <v>2.1000000000000005</v>
      </c>
      <c r="H6" s="3">
        <f>+IFERROR(P_CRITICOS[[#This Row],[CANT COMPRADA]]/P_CRITICOS[[#This Row],[CANTIDAD X MODULOS]],"")</f>
        <v>40.476190476190467</v>
      </c>
      <c r="I6" s="2">
        <f>+_xlfn.XLOOKUP(P_CRITICOS[[#This Row],[CODIGO]],PRODUCTOS[CODIGO],PRODUCTOS[PPTO],"",0)</f>
        <v>52920</v>
      </c>
      <c r="J6" s="2">
        <f>+_xlfn.XLOOKUP(P_CRITICOS[[#This Row],[CODIGO]],PRODUCTOS[CODIGO],PRODUCTOS[PRECIO COMPRA UNITARIO],"",0)</f>
        <v>51886.49411764706</v>
      </c>
      <c r="K6" s="7">
        <f>+P_CRITICOS[[#This Row],[CANT COMPRADA]]/$E$36</f>
        <v>6.8329072814675472E-4</v>
      </c>
    </row>
    <row r="7" spans="1:11" x14ac:dyDescent="0.25">
      <c r="A7" t="s">
        <v>82</v>
      </c>
      <c r="B7" t="s">
        <v>83</v>
      </c>
      <c r="C7" t="s">
        <v>320</v>
      </c>
      <c r="D7" t="s">
        <v>533</v>
      </c>
      <c r="E7" s="3">
        <f>+SUMIFS(PRODUCTOS[CANT. COMPRADA],PRODUCTOS[CODIGO],P_CRITICOS[[#This Row],[CODIGO]])</f>
        <v>51</v>
      </c>
      <c r="G7" s="3">
        <f>+_xlfn.XLOOKUP(P_CRITICOS[[#This Row],[CODIGO]],PRODUCTOS[CODIGO],PRODUCTOS[CANT X MODULO],"",0)</f>
        <v>3.4539749999999994</v>
      </c>
      <c r="H7" s="3">
        <f>+IFERROR(P_CRITICOS[[#This Row],[CANT COMPRADA]]/P_CRITICOS[[#This Row],[CANTIDAD X MODULOS]],"")</f>
        <v>14.765596160945002</v>
      </c>
      <c r="I7" s="2">
        <f>+_xlfn.XLOOKUP(P_CRITICOS[[#This Row],[CODIGO]],PRODUCTOS[CODIGO],PRODUCTOS[PPTO],"",0)</f>
        <v>36939.818182000003</v>
      </c>
      <c r="J7" s="2">
        <f>+_xlfn.XLOOKUP(P_CRITICOS[[#This Row],[CODIGO]],PRODUCTOS[CODIGO],PRODUCTOS[PRECIO COMPRA UNITARIO],"",0)</f>
        <v>36758.588235294119</v>
      </c>
      <c r="K7" s="7">
        <f>+P_CRITICOS[[#This Row],[CANT COMPRADA]]/$E$36</f>
        <v>4.0997443688805288E-4</v>
      </c>
    </row>
    <row r="8" spans="1:11" x14ac:dyDescent="0.25">
      <c r="A8" t="s">
        <v>345</v>
      </c>
      <c r="B8" t="s">
        <v>167</v>
      </c>
      <c r="C8" t="s">
        <v>320</v>
      </c>
      <c r="D8" t="s">
        <v>534</v>
      </c>
      <c r="E8" s="3">
        <f>+SUMIFS(PRODUCTOS[CANT. COMPRADA],PRODUCTOS[CODIGO],P_CRITICOS[[#This Row],[CODIGO]])</f>
        <v>640</v>
      </c>
      <c r="G8" s="3">
        <f>+_xlfn.XLOOKUP(P_CRITICOS[[#This Row],[CODIGO]],PRODUCTOS[CODIGO],PRODUCTOS[CANT X MODULO],"",0)</f>
        <v>7.6124999999999998</v>
      </c>
      <c r="H8" s="3">
        <f>+IFERROR(P_CRITICOS[[#This Row],[CANT COMPRADA]]/P_CRITICOS[[#This Row],[CANTIDAD X MODULOS]],"")</f>
        <v>84.072249589490966</v>
      </c>
      <c r="I8" s="2">
        <f>+_xlfn.XLOOKUP(P_CRITICOS[[#This Row],[CODIGO]],PRODUCTOS[CODIGO],PRODUCTOS[PPTO],"",0)</f>
        <v>11882.387917</v>
      </c>
      <c r="J8" s="2">
        <f>+_xlfn.XLOOKUP(P_CRITICOS[[#This Row],[CODIGO]],PRODUCTOS[CODIGO],PRODUCTOS[PRECIO COMPRA UNITARIO],"",0)</f>
        <v>13418.5859375</v>
      </c>
      <c r="K8" s="7">
        <f>+P_CRITICOS[[#This Row],[CANT COMPRADA]]/$E$36</f>
        <v>5.144777247222624E-3</v>
      </c>
    </row>
    <row r="9" spans="1:11" x14ac:dyDescent="0.25">
      <c r="A9">
        <v>1902014</v>
      </c>
      <c r="B9" t="s">
        <v>512</v>
      </c>
      <c r="C9" t="s">
        <v>320</v>
      </c>
      <c r="D9" t="s">
        <v>300</v>
      </c>
      <c r="E9" s="3">
        <f>+SUMIFS(PRODUCTOS[CANT. COMPRADA],PRODUCTOS[CODIGO],P_CRITICOS[[#This Row],[CODIGO]])</f>
        <v>520</v>
      </c>
      <c r="G9" s="3">
        <f>+_xlfn.XLOOKUP(P_CRITICOS[[#This Row],[CODIGO]],PRODUCTOS[CODIGO],PRODUCTOS[CANT X MODULO],"",0)</f>
        <v>5.5125000000000002</v>
      </c>
      <c r="H9" s="3">
        <f>+IFERROR(P_CRITICOS[[#This Row],[CANT COMPRADA]]/P_CRITICOS[[#This Row],[CANTIDAD X MODULOS]],"")</f>
        <v>94.331065759637184</v>
      </c>
      <c r="I9" s="2">
        <f>+_xlfn.XLOOKUP(P_CRITICOS[[#This Row],[CODIGO]],PRODUCTOS[CODIGO],PRODUCTOS[PPTO],"",0)</f>
        <v>29779</v>
      </c>
      <c r="J9" s="2">
        <f>+_xlfn.XLOOKUP(P_CRITICOS[[#This Row],[CODIGO]],PRODUCTOS[CODIGO],PRODUCTOS[PRECIO COMPRA UNITARIO],"",0)</f>
        <v>29799.757692307692</v>
      </c>
      <c r="K9" s="7">
        <f>+P_CRITICOS[[#This Row],[CANT COMPRADA]]/$E$36</f>
        <v>4.1801315133683818E-3</v>
      </c>
    </row>
    <row r="10" spans="1:11" x14ac:dyDescent="0.25">
      <c r="A10">
        <v>304101</v>
      </c>
      <c r="B10" t="s">
        <v>17</v>
      </c>
      <c r="C10" t="s">
        <v>320</v>
      </c>
      <c r="D10" t="s">
        <v>535</v>
      </c>
      <c r="E10" s="3">
        <f>+SUMIFS(PRODUCTOS[CANT. COMPRADA],PRODUCTOS[CODIGO],P_CRITICOS[[#This Row],[CODIGO]])</f>
        <v>4801</v>
      </c>
      <c r="G10" s="3">
        <f>+_xlfn.XLOOKUP(P_CRITICOS[[#This Row],[CODIGO]],PRODUCTOS[CODIGO],PRODUCTOS[CANT X MODULO],"",0)</f>
        <v>47.643749999999976</v>
      </c>
      <c r="H10" s="3">
        <f>+IFERROR(P_CRITICOS[[#This Row],[CANT COMPRADA]]/P_CRITICOS[[#This Row],[CANTIDAD X MODULOS]],"")</f>
        <v>100.76872622327173</v>
      </c>
      <c r="I10" s="2">
        <f>+_xlfn.XLOOKUP(P_CRITICOS[[#This Row],[CODIGO]],PRODUCTOS[CODIGO],PRODUCTOS[PPTO],"",0)</f>
        <v>9657.5879499999992</v>
      </c>
      <c r="J10" s="2">
        <f>+_xlfn.XLOOKUP(P_CRITICOS[[#This Row],[CODIGO]],PRODUCTOS[CODIGO],PRODUCTOS[PRECIO COMPRA UNITARIO],"",0)</f>
        <v>9652.5142678608627</v>
      </c>
      <c r="K10" s="7">
        <f>+P_CRITICOS[[#This Row],[CANT COMPRADA]]/$E$36</f>
        <v>3.8593868068618468E-2</v>
      </c>
    </row>
    <row r="11" spans="1:11" x14ac:dyDescent="0.25">
      <c r="A11">
        <v>302044</v>
      </c>
      <c r="B11" t="s">
        <v>513</v>
      </c>
      <c r="C11" t="s">
        <v>320</v>
      </c>
      <c r="D11" t="s">
        <v>536</v>
      </c>
      <c r="E11" s="3">
        <f>+SUMIFS(PRODUCTOS[CANT. COMPRADA],PRODUCTOS[CODIGO],P_CRITICOS[[#This Row],[CODIGO]])</f>
        <v>1004</v>
      </c>
      <c r="G11" s="3">
        <f>+_xlfn.XLOOKUP(P_CRITICOS[[#This Row],[CODIGO]],PRODUCTOS[CODIGO],PRODUCTOS[CANT X MODULO],"",0)</f>
        <v>35.174999999999997</v>
      </c>
      <c r="H11" s="3">
        <f>+IFERROR(P_CRITICOS[[#This Row],[CANT COMPRADA]]/P_CRITICOS[[#This Row],[CANTIDAD X MODULOS]],"")</f>
        <v>28.54299928926795</v>
      </c>
      <c r="I11" s="2">
        <f>+_xlfn.XLOOKUP(P_CRITICOS[[#This Row],[CODIGO]],PRODUCTOS[CODIGO],PRODUCTOS[PPTO],"",0)</f>
        <v>13725.962534</v>
      </c>
      <c r="J11" s="2">
        <f>+_xlfn.XLOOKUP(P_CRITICOS[[#This Row],[CODIGO]],PRODUCTOS[CODIGO],PRODUCTOS[PRECIO COMPRA UNITARIO],"",0)</f>
        <v>13784.651394422312</v>
      </c>
      <c r="K11" s="7">
        <f>+P_CRITICOS[[#This Row],[CANT COMPRADA]]/$E$36</f>
        <v>8.0708693065804915E-3</v>
      </c>
    </row>
    <row r="12" spans="1:11" x14ac:dyDescent="0.25">
      <c r="A12">
        <v>302010</v>
      </c>
      <c r="B12" t="s">
        <v>514</v>
      </c>
      <c r="C12" t="s">
        <v>320</v>
      </c>
      <c r="D12" t="s">
        <v>537</v>
      </c>
      <c r="E12" s="3">
        <f>+SUMIFS(PRODUCTOS[CANT. COMPRADA],PRODUCTOS[CODIGO],P_CRITICOS[[#This Row],[CODIGO]])</f>
        <v>3612</v>
      </c>
      <c r="G12" s="3">
        <f>+_xlfn.XLOOKUP(P_CRITICOS[[#This Row],[CODIGO]],PRODUCTOS[CODIGO],PRODUCTOS[CANT X MODULO],"",0)</f>
        <v>34.912500000000023</v>
      </c>
      <c r="H12" s="3">
        <f>+IFERROR(P_CRITICOS[[#This Row],[CANT COMPRADA]]/P_CRITICOS[[#This Row],[CANTIDAD X MODULOS]],"")</f>
        <v>103.45864661654129</v>
      </c>
      <c r="I12" s="2">
        <f>+_xlfn.XLOOKUP(P_CRITICOS[[#This Row],[CODIGO]],PRODUCTOS[CODIGO],PRODUCTOS[PPTO],"",0)</f>
        <v>6585.1337450000001</v>
      </c>
      <c r="J12" s="2">
        <f>+_xlfn.XLOOKUP(P_CRITICOS[[#This Row],[CODIGO]],PRODUCTOS[CODIGO],PRODUCTOS[PRECIO COMPRA UNITARIO],"",0)</f>
        <v>5566.8590808416393</v>
      </c>
      <c r="K12" s="7">
        <f>+P_CRITICOS[[#This Row],[CANT COMPRADA]]/$E$36</f>
        <v>2.9035836589012685E-2</v>
      </c>
    </row>
    <row r="13" spans="1:11" x14ac:dyDescent="0.25">
      <c r="A13">
        <v>302028</v>
      </c>
      <c r="B13" t="s">
        <v>515</v>
      </c>
      <c r="C13" t="s">
        <v>320</v>
      </c>
      <c r="D13" t="s">
        <v>538</v>
      </c>
      <c r="E13" s="3">
        <f>+SUMIFS(PRODUCTOS[CANT. COMPRADA],PRODUCTOS[CODIGO],P_CRITICOS[[#This Row],[CODIGO]])</f>
        <v>10441</v>
      </c>
      <c r="G13" s="3">
        <f>+_xlfn.XLOOKUP(P_CRITICOS[[#This Row],[CODIGO]],PRODUCTOS[CODIGO],PRODUCTOS[CANT X MODULO],"",0)</f>
        <v>172.72499999999994</v>
      </c>
      <c r="H13" s="3">
        <f>+IFERROR(P_CRITICOS[[#This Row],[CANT COMPRADA]]/P_CRITICOS[[#This Row],[CANTIDAD X MODULOS]],"")</f>
        <v>60.448690114343634</v>
      </c>
      <c r="I13" s="2">
        <f>+_xlfn.XLOOKUP(P_CRITICOS[[#This Row],[CODIGO]],PRODUCTOS[CODIGO],PRODUCTOS[PPTO],"",0)</f>
        <v>5123.8025269999998</v>
      </c>
      <c r="J13" s="2">
        <f>+_xlfn.XLOOKUP(P_CRITICOS[[#This Row],[CODIGO]],PRODUCTOS[CODIGO],PRODUCTOS[PRECIO COMPRA UNITARIO],"",0)</f>
        <v>4760.4046547265589</v>
      </c>
      <c r="K13" s="7">
        <f>+P_CRITICOS[[#This Row],[CANT COMPRADA]]/$E$36</f>
        <v>8.3932217559767847E-2</v>
      </c>
    </row>
    <row r="14" spans="1:11" x14ac:dyDescent="0.25">
      <c r="A14">
        <v>304049</v>
      </c>
      <c r="B14" t="s">
        <v>318</v>
      </c>
      <c r="C14" t="s">
        <v>320</v>
      </c>
      <c r="D14" t="s">
        <v>539</v>
      </c>
      <c r="E14" s="3">
        <f>+SUMIFS(PRODUCTOS[CANT. COMPRADA],PRODUCTOS[CODIGO],P_CRITICOS[[#This Row],[CODIGO]])</f>
        <v>2315</v>
      </c>
      <c r="G14" s="3">
        <f>+_xlfn.XLOOKUP(P_CRITICOS[[#This Row],[CODIGO]],PRODUCTOS[CODIGO],PRODUCTOS[CANT X MODULO],"",0)</f>
        <v>23.273250000000008</v>
      </c>
      <c r="H14" s="3">
        <f>+IFERROR(P_CRITICOS[[#This Row],[CANT COMPRADA]]/P_CRITICOS[[#This Row],[CANTIDAD X MODULOS]],"")</f>
        <v>99.470422051067175</v>
      </c>
      <c r="I14" s="2">
        <f>+_xlfn.XLOOKUP(P_CRITICOS[[#This Row],[CODIGO]],PRODUCTOS[CODIGO],PRODUCTOS[PPTO],"",0)</f>
        <v>14982</v>
      </c>
      <c r="J14" s="2">
        <f>+_xlfn.XLOOKUP(P_CRITICOS[[#This Row],[CODIGO]],PRODUCTOS[CODIGO],PRODUCTOS[PRECIO COMPRA UNITARIO],"",0)</f>
        <v>15018.620734341253</v>
      </c>
      <c r="K14" s="7">
        <f>+P_CRITICOS[[#This Row],[CANT COMPRADA]]/$E$36</f>
        <v>1.8609623948938087E-2</v>
      </c>
    </row>
    <row r="15" spans="1:11" x14ac:dyDescent="0.25">
      <c r="A15">
        <v>1901008</v>
      </c>
      <c r="B15" t="s">
        <v>516</v>
      </c>
      <c r="C15" t="s">
        <v>320</v>
      </c>
      <c r="D15" t="s">
        <v>540</v>
      </c>
      <c r="E15" s="3">
        <f>+SUMIFS(PRODUCTOS[CANT. COMPRADA],PRODUCTOS[CODIGO],P_CRITICOS[[#This Row],[CODIGO]])</f>
        <v>6207</v>
      </c>
      <c r="G15" s="3">
        <f>+_xlfn.XLOOKUP(P_CRITICOS[[#This Row],[CODIGO]],PRODUCTOS[CODIGO],PRODUCTOS[CANT X MODULO],"",0)</f>
        <v>62.430325650000007</v>
      </c>
      <c r="H15" s="3">
        <f>+IFERROR(P_CRITICOS[[#This Row],[CANT COMPRADA]]/P_CRITICOS[[#This Row],[CANTIDAD X MODULOS]],"")</f>
        <v>99.422835543065915</v>
      </c>
      <c r="I15" s="2">
        <f>+_xlfn.XLOOKUP(P_CRITICOS[[#This Row],[CODIGO]],PRODUCTOS[CODIGO],PRODUCTOS[PPTO],"",0)</f>
        <v>2112.795779</v>
      </c>
      <c r="J15" s="2">
        <f>+_xlfn.XLOOKUP(P_CRITICOS[[#This Row],[CODIGO]],PRODUCTOS[CODIGO],PRODUCTOS[PRECIO COMPRA UNITARIO],"",0)</f>
        <v>2059.785564685033</v>
      </c>
      <c r="K15" s="7">
        <f>+P_CRITICOS[[#This Row],[CANT COMPRADA]]/$E$36</f>
        <v>4.9896300583610671E-2</v>
      </c>
    </row>
    <row r="16" spans="1:11" x14ac:dyDescent="0.25">
      <c r="A16">
        <v>304007</v>
      </c>
      <c r="B16" t="s">
        <v>80</v>
      </c>
      <c r="C16" t="s">
        <v>320</v>
      </c>
      <c r="D16" t="s">
        <v>541</v>
      </c>
      <c r="E16" s="3">
        <f>+SUMIFS(PRODUCTOS[CANT. COMPRADA],PRODUCTOS[CODIGO],P_CRITICOS[[#This Row],[CODIGO]])</f>
        <v>1072</v>
      </c>
      <c r="G16" s="3">
        <f>+_xlfn.XLOOKUP(P_CRITICOS[[#This Row],[CODIGO]],PRODUCTOS[CODIGO],PRODUCTOS[CANT X MODULO],"",0)</f>
        <v>8.6625000000000014</v>
      </c>
      <c r="H16" s="3">
        <f>+IFERROR(P_CRITICOS[[#This Row],[CANT COMPRADA]]/P_CRITICOS[[#This Row],[CANTIDAD X MODULOS]],"")</f>
        <v>123.75180375180373</v>
      </c>
      <c r="I16" s="2">
        <f>+_xlfn.XLOOKUP(P_CRITICOS[[#This Row],[CODIGO]],PRODUCTOS[CODIGO],PRODUCTOS[PPTO],"",0)</f>
        <v>11444.353021999999</v>
      </c>
      <c r="J16" s="2">
        <f>+_xlfn.XLOOKUP(P_CRITICOS[[#This Row],[CODIGO]],PRODUCTOS[CODIGO],PRODUCTOS[PRECIO COMPRA UNITARIO],"",0)</f>
        <v>11557.16697761194</v>
      </c>
      <c r="K16" s="7">
        <f>+P_CRITICOS[[#This Row],[CANT COMPRADA]]/$E$36</f>
        <v>8.6175018890978956E-3</v>
      </c>
    </row>
    <row r="17" spans="1:11" x14ac:dyDescent="0.25">
      <c r="A17">
        <v>701096</v>
      </c>
      <c r="B17" t="s">
        <v>204</v>
      </c>
      <c r="C17" t="s">
        <v>320</v>
      </c>
      <c r="D17" t="s">
        <v>542</v>
      </c>
      <c r="E17" s="3">
        <f>+SUMIFS(PRODUCTOS[CANT. COMPRADA],PRODUCTOS[CODIGO],P_CRITICOS[[#This Row],[CODIGO]])</f>
        <v>2644</v>
      </c>
      <c r="G17" s="3">
        <f>+_xlfn.XLOOKUP(P_CRITICOS[[#This Row],[CODIGO]],PRODUCTOS[CODIGO],PRODUCTOS[CANT X MODULO],"",0)</f>
        <v>31.237499999999997</v>
      </c>
      <c r="H17" s="3">
        <f>+IFERROR(P_CRITICOS[[#This Row],[CANT COMPRADA]]/P_CRITICOS[[#This Row],[CANTIDAD X MODULOS]],"")</f>
        <v>84.641856742697087</v>
      </c>
      <c r="I17" s="2">
        <f>+_xlfn.XLOOKUP(P_CRITICOS[[#This Row],[CODIGO]],PRODUCTOS[CODIGO],PRODUCTOS[PPTO],"",0)</f>
        <v>16019.885684999999</v>
      </c>
      <c r="J17" s="2">
        <f>+_xlfn.XLOOKUP(P_CRITICOS[[#This Row],[CODIGO]],PRODUCTOS[CODIGO],PRODUCTOS[PRECIO COMPRA UNITARIO],"",0)</f>
        <v>16226.792738275341</v>
      </c>
      <c r="K17" s="7">
        <f>+P_CRITICOS[[#This Row],[CANT COMPRADA]]/$E$36</f>
        <v>2.1254361002588467E-2</v>
      </c>
    </row>
    <row r="18" spans="1:11" x14ac:dyDescent="0.25">
      <c r="A18">
        <v>307096</v>
      </c>
      <c r="B18" t="s">
        <v>249</v>
      </c>
      <c r="C18" t="s">
        <v>320</v>
      </c>
      <c r="D18" t="s">
        <v>543</v>
      </c>
      <c r="E18" s="3">
        <f>+SUMIFS(PRODUCTOS[CANT. COMPRADA],PRODUCTOS[CODIGO],P_CRITICOS[[#This Row],[CODIGO]])</f>
        <v>2949</v>
      </c>
      <c r="G18" s="3">
        <f>+_xlfn.XLOOKUP(P_CRITICOS[[#This Row],[CODIGO]],PRODUCTOS[CODIGO],PRODUCTOS[CANT X MODULO],"",0)</f>
        <v>65.100000000000023</v>
      </c>
      <c r="H18" s="3">
        <f>+IFERROR(P_CRITICOS[[#This Row],[CANT COMPRADA]]/P_CRITICOS[[#This Row],[CANTIDAD X MODULOS]],"")</f>
        <v>45.299539170506897</v>
      </c>
      <c r="I18" s="2">
        <f>+_xlfn.XLOOKUP(P_CRITICOS[[#This Row],[CODIGO]],PRODUCTOS[CODIGO],PRODUCTOS[PPTO],"",0)</f>
        <v>2095.3501289999999</v>
      </c>
      <c r="J18" s="2">
        <f>+_xlfn.XLOOKUP(P_CRITICOS[[#This Row],[CODIGO]],PRODUCTOS[CODIGO],PRODUCTOS[PRECIO COMPRA UNITARIO],"",0)</f>
        <v>1659.7229569345541</v>
      </c>
      <c r="K18" s="7">
        <f>+P_CRITICOS[[#This Row],[CANT COMPRADA]]/$E$36</f>
        <v>2.3706168909467997E-2</v>
      </c>
    </row>
    <row r="19" spans="1:11" x14ac:dyDescent="0.25">
      <c r="A19">
        <v>1901038</v>
      </c>
      <c r="B19" t="s">
        <v>517</v>
      </c>
      <c r="C19" t="s">
        <v>320</v>
      </c>
      <c r="D19" t="s">
        <v>544</v>
      </c>
      <c r="E19" s="3">
        <f>+SUMIFS(PRODUCTOS[CANT. COMPRADA],PRODUCTOS[CODIGO],P_CRITICOS[[#This Row],[CODIGO]])</f>
        <v>1942</v>
      </c>
      <c r="G19" s="3">
        <f>+_xlfn.XLOOKUP(P_CRITICOS[[#This Row],[CODIGO]],PRODUCTOS[CODIGO],PRODUCTOS[CANT X MODULO],"",0)</f>
        <v>40.010249999999999</v>
      </c>
      <c r="H19" s="3">
        <f>+IFERROR(P_CRITICOS[[#This Row],[CANT COMPRADA]]/P_CRITICOS[[#This Row],[CANTIDAD X MODULOS]],"")</f>
        <v>48.53756224967352</v>
      </c>
      <c r="I19" s="2">
        <f>+_xlfn.XLOOKUP(P_CRITICOS[[#This Row],[CODIGO]],PRODUCTOS[CODIGO],PRODUCTOS[PPTO],"",0)</f>
        <v>4197.4178750000001</v>
      </c>
      <c r="J19" s="2">
        <f>+_xlfn.XLOOKUP(P_CRITICOS[[#This Row],[CODIGO]],PRODUCTOS[CODIGO],PRODUCTOS[PRECIO COMPRA UNITARIO],"",0)</f>
        <v>4583.1864057672501</v>
      </c>
      <c r="K19" s="7">
        <f>+P_CRITICOS[[#This Row],[CANT COMPRADA]]/$E$36</f>
        <v>1.5611183459541151E-2</v>
      </c>
    </row>
    <row r="20" spans="1:11" x14ac:dyDescent="0.25">
      <c r="A20">
        <v>304002</v>
      </c>
      <c r="B20" t="s">
        <v>37</v>
      </c>
      <c r="C20" t="s">
        <v>320</v>
      </c>
      <c r="D20" t="s">
        <v>545</v>
      </c>
      <c r="E20" s="3">
        <f>+SUMIFS(PRODUCTOS[CANT. COMPRADA],PRODUCTOS[CODIGO],P_CRITICOS[[#This Row],[CODIGO]])</f>
        <v>2207</v>
      </c>
      <c r="G20" s="3">
        <f>+_xlfn.XLOOKUP(P_CRITICOS[[#This Row],[CODIGO]],PRODUCTOS[CODIGO],PRODUCTOS[CANT X MODULO],"",0)</f>
        <v>23.296874999999996</v>
      </c>
      <c r="H20" s="3">
        <f>+IFERROR(P_CRITICOS[[#This Row],[CANT COMPRADA]]/P_CRITICOS[[#This Row],[CANTIDAD X MODULOS]],"")</f>
        <v>94.733735747820276</v>
      </c>
      <c r="I20" s="2">
        <f>+_xlfn.XLOOKUP(P_CRITICOS[[#This Row],[CODIGO]],PRODUCTOS[CODIGO],PRODUCTOS[PPTO],"",0)</f>
        <v>21246.507152999999</v>
      </c>
      <c r="J20" s="2">
        <f>+_xlfn.XLOOKUP(P_CRITICOS[[#This Row],[CODIGO]],PRODUCTOS[CODIGO],PRODUCTOS[PRECIO COMPRA UNITARIO],"",0)</f>
        <v>21579.067512460355</v>
      </c>
      <c r="K20" s="7">
        <f>+P_CRITICOS[[#This Row],[CANT COMPRADA]]/$E$36</f>
        <v>1.7741442788469269E-2</v>
      </c>
    </row>
    <row r="21" spans="1:11" x14ac:dyDescent="0.25">
      <c r="A21">
        <v>907031</v>
      </c>
      <c r="B21" t="s">
        <v>518</v>
      </c>
      <c r="C21" t="s">
        <v>320</v>
      </c>
      <c r="D21" t="s">
        <v>546</v>
      </c>
      <c r="E21" s="3">
        <f>+SUMIFS(PRODUCTOS[CANT. COMPRADA],PRODUCTOS[CODIGO],P_CRITICOS[[#This Row],[CODIGO]])</f>
        <v>58</v>
      </c>
      <c r="G21" s="3">
        <f>+_xlfn.XLOOKUP(P_CRITICOS[[#This Row],[CODIGO]],PRODUCTOS[CODIGO],PRODUCTOS[CANT X MODULO],"",0)</f>
        <v>0.7111632270168855</v>
      </c>
      <c r="H21" s="3">
        <f>+IFERROR(P_CRITICOS[[#This Row],[CANT COMPRADA]]/P_CRITICOS[[#This Row],[CANTIDAD X MODULOS]],"")</f>
        <v>81.556522886162782</v>
      </c>
      <c r="I21" s="2">
        <f>+_xlfn.XLOOKUP(P_CRITICOS[[#This Row],[CODIGO]],PRODUCTOS[CODIGO],PRODUCTOS[PPTO],"",0)</f>
        <v>156269.16666700001</v>
      </c>
      <c r="J21" s="2">
        <f>+_xlfn.XLOOKUP(P_CRITICOS[[#This Row],[CODIGO]],PRODUCTOS[CODIGO],PRODUCTOS[PRECIO COMPRA UNITARIO],"",0)</f>
        <v>154181.27586206896</v>
      </c>
      <c r="K21" s="7">
        <f>+P_CRITICOS[[#This Row],[CANT COMPRADA]]/$E$36</f>
        <v>4.662454380295503E-4</v>
      </c>
    </row>
    <row r="22" spans="1:11" x14ac:dyDescent="0.25">
      <c r="A22">
        <v>302046</v>
      </c>
      <c r="B22" t="s">
        <v>519</v>
      </c>
      <c r="C22" t="s">
        <v>320</v>
      </c>
      <c r="D22" t="s">
        <v>547</v>
      </c>
      <c r="E22" s="3">
        <f>+SUMIFS(PRODUCTOS[CANT. COMPRADA],PRODUCTOS[CODIGO],P_CRITICOS[[#This Row],[CODIGO]])</f>
        <v>4549</v>
      </c>
      <c r="G22" s="3">
        <f>+_xlfn.XLOOKUP(P_CRITICOS[[#This Row],[CODIGO]],PRODUCTOS[CODIGO],PRODUCTOS[CANT X MODULO],"",0)</f>
        <v>34.65</v>
      </c>
      <c r="H22" s="3">
        <f>+IFERROR(P_CRITICOS[[#This Row],[CANT COMPRADA]]/P_CRITICOS[[#This Row],[CANTIDAD X MODULOS]],"")</f>
        <v>131.28427128427128</v>
      </c>
      <c r="I22" s="2">
        <f>+_xlfn.XLOOKUP(P_CRITICOS[[#This Row],[CODIGO]],PRODUCTOS[CODIGO],PRODUCTOS[PPTO],"",0)</f>
        <v>10156.598467</v>
      </c>
      <c r="J22" s="2">
        <f>+_xlfn.XLOOKUP(P_CRITICOS[[#This Row],[CODIGO]],PRODUCTOS[CODIGO],PRODUCTOS[PRECIO COMPRA UNITARIO],"",0)</f>
        <v>10292.490437458782</v>
      </c>
      <c r="K22" s="7">
        <f>+P_CRITICOS[[#This Row],[CANT COMPRADA]]/$E$36</f>
        <v>3.6568112027524559E-2</v>
      </c>
    </row>
    <row r="23" spans="1:11" x14ac:dyDescent="0.25">
      <c r="A23">
        <v>701043</v>
      </c>
      <c r="B23" t="s">
        <v>197</v>
      </c>
      <c r="C23" t="s">
        <v>320</v>
      </c>
      <c r="D23" t="s">
        <v>548</v>
      </c>
      <c r="E23" s="3">
        <f>+SUMIFS(PRODUCTOS[CANT. COMPRADA],PRODUCTOS[CODIGO],P_CRITICOS[[#This Row],[CODIGO]])</f>
        <v>956</v>
      </c>
      <c r="G23" s="3">
        <f>+_xlfn.XLOOKUP(P_CRITICOS[[#This Row],[CODIGO]],PRODUCTOS[CODIGO],PRODUCTOS[CANT X MODULO],"",0)</f>
        <v>7.0875000000000012</v>
      </c>
      <c r="H23" s="3">
        <f>+IFERROR(P_CRITICOS[[#This Row],[CANT COMPRADA]]/P_CRITICOS[[#This Row],[CANTIDAD X MODULOS]],"")</f>
        <v>134.8853615520282</v>
      </c>
      <c r="I23" s="2">
        <f>+_xlfn.XLOOKUP(P_CRITICOS[[#This Row],[CODIGO]],PRODUCTOS[CODIGO],PRODUCTOS[PPTO],"",0)</f>
        <v>22146.362772</v>
      </c>
      <c r="J23" s="2">
        <f>+_xlfn.XLOOKUP(P_CRITICOS[[#This Row],[CODIGO]],PRODUCTOS[CODIGO],PRODUCTOS[PRECIO COMPRA UNITARIO],"",0)</f>
        <v>22493.996861924687</v>
      </c>
      <c r="K23" s="7">
        <f>+P_CRITICOS[[#This Row],[CANT COMPRADA]]/$E$36</f>
        <v>7.6850110130387951E-3</v>
      </c>
    </row>
    <row r="24" spans="1:11" x14ac:dyDescent="0.25">
      <c r="A24">
        <v>407011</v>
      </c>
      <c r="B24" t="s">
        <v>30</v>
      </c>
      <c r="C24" t="s">
        <v>320</v>
      </c>
      <c r="D24" t="s">
        <v>549</v>
      </c>
      <c r="E24" s="3">
        <f>+SUMIFS(PRODUCTOS[CANT. COMPRADA],PRODUCTOS[CODIGO],P_CRITICOS[[#This Row],[CODIGO]])</f>
        <v>55298</v>
      </c>
      <c r="G24" s="3">
        <f>+_xlfn.XLOOKUP(P_CRITICOS[[#This Row],[CODIGO]],PRODUCTOS[CODIGO],PRODUCTOS[CANT X MODULO],"",0)</f>
        <v>588</v>
      </c>
      <c r="H24" s="3">
        <f>+IFERROR(P_CRITICOS[[#This Row],[CANT COMPRADA]]/P_CRITICOS[[#This Row],[CANTIDAD X MODULOS]],"")</f>
        <v>94.044217687074834</v>
      </c>
      <c r="I24" s="2">
        <f>+_xlfn.XLOOKUP(P_CRITICOS[[#This Row],[CODIGO]],PRODUCTOS[CODIGO],PRODUCTOS[PPTO],"",0)</f>
        <v>473.17523999999997</v>
      </c>
      <c r="J24" s="2">
        <f>+_xlfn.XLOOKUP(P_CRITICOS[[#This Row],[CODIGO]],PRODUCTOS[CODIGO],PRODUCTOS[PRECIO COMPRA UNITARIO],"",0)</f>
        <v>467.28299395999858</v>
      </c>
      <c r="K24" s="7">
        <f>+P_CRITICOS[[#This Row],[CANT COMPRADA]]/$E$36</f>
        <v>0.4445248315889323</v>
      </c>
    </row>
    <row r="25" spans="1:11" x14ac:dyDescent="0.25">
      <c r="A25">
        <v>1901086</v>
      </c>
      <c r="B25" t="s">
        <v>520</v>
      </c>
      <c r="C25" t="s">
        <v>320</v>
      </c>
      <c r="D25" t="s">
        <v>550</v>
      </c>
      <c r="E25" s="3">
        <f>+SUMIFS(PRODUCTOS[CANT. COMPRADA],PRODUCTOS[CODIGO],P_CRITICOS[[#This Row],[CODIGO]])</f>
        <v>2436</v>
      </c>
      <c r="G25" s="3">
        <f>+_xlfn.XLOOKUP(P_CRITICOS[[#This Row],[CODIGO]],PRODUCTOS[CODIGO],PRODUCTOS[CANT X MODULO],"",0)</f>
        <v>31.794434700000004</v>
      </c>
      <c r="H25" s="3">
        <f>+IFERROR(P_CRITICOS[[#This Row],[CANT COMPRADA]]/P_CRITICOS[[#This Row],[CANTIDAD X MODULOS]],"")</f>
        <v>76.617182314614311</v>
      </c>
      <c r="I25" s="2">
        <f>+_xlfn.XLOOKUP(P_CRITICOS[[#This Row],[CODIGO]],PRODUCTOS[CODIGO],PRODUCTOS[PPTO],"",0)</f>
        <v>3711.5870410000002</v>
      </c>
      <c r="J25" s="2">
        <f>+_xlfn.XLOOKUP(P_CRITICOS[[#This Row],[CODIGO]],PRODUCTOS[CODIGO],PRODUCTOS[PRECIO COMPRA UNITARIO],"",0)</f>
        <v>3632.8025451559934</v>
      </c>
      <c r="K25" s="7">
        <f>+P_CRITICOS[[#This Row],[CANT COMPRADA]]/$E$36</f>
        <v>1.9582308397241115E-2</v>
      </c>
    </row>
    <row r="26" spans="1:11" x14ac:dyDescent="0.25">
      <c r="A26">
        <v>412260</v>
      </c>
      <c r="B26" t="s">
        <v>521</v>
      </c>
      <c r="C26" t="s">
        <v>320</v>
      </c>
      <c r="D26" t="s">
        <v>747</v>
      </c>
      <c r="E26" s="3">
        <f>+SUMIFS(PRODUCTOS[CANT. COMPRADA],PRODUCTOS[CODIGO],P_CRITICOS[[#This Row],[CODIGO]])</f>
        <v>492</v>
      </c>
      <c r="G26" s="3">
        <f>+_xlfn.XLOOKUP(P_CRITICOS[[#This Row],[CODIGO]],PRODUCTOS[CODIGO],PRODUCTOS[CANT X MODULO],"",0)</f>
        <v>5.7750000000000004</v>
      </c>
      <c r="H26" s="3">
        <f>+IFERROR(P_CRITICOS[[#This Row],[CANT COMPRADA]]/P_CRITICOS[[#This Row],[CANTIDAD X MODULOS]],"")</f>
        <v>85.194805194805184</v>
      </c>
      <c r="I26" s="2">
        <f>+_xlfn.XLOOKUP(P_CRITICOS[[#This Row],[CODIGO]],PRODUCTOS[CODIGO],PRODUCTOS[PPTO],"",0)</f>
        <v>87567.442477999997</v>
      </c>
      <c r="J26" s="2">
        <f>+_xlfn.XLOOKUP(P_CRITICOS[[#This Row],[CODIGO]],PRODUCTOS[CODIGO],PRODUCTOS[PRECIO COMPRA UNITARIO],"",0)</f>
        <v>86902.215447154478</v>
      </c>
      <c r="K26" s="7">
        <f>+P_CRITICOS[[#This Row],[CANT COMPRADA]]/$E$36</f>
        <v>3.9550475088023923E-3</v>
      </c>
    </row>
    <row r="27" spans="1:11" x14ac:dyDescent="0.25">
      <c r="A27">
        <v>412280</v>
      </c>
      <c r="B27" t="s">
        <v>522</v>
      </c>
      <c r="C27" t="s">
        <v>320</v>
      </c>
      <c r="D27" t="s">
        <v>748</v>
      </c>
      <c r="E27" s="3">
        <f>+SUMIFS(PRODUCTOS[CANT. COMPRADA],PRODUCTOS[CODIGO],P_CRITICOS[[#This Row],[CODIGO]])</f>
        <v>798</v>
      </c>
      <c r="G27" s="3">
        <f>+_xlfn.XLOOKUP(P_CRITICOS[[#This Row],[CODIGO]],PRODUCTOS[CODIGO],PRODUCTOS[CANT X MODULO],"",0)</f>
        <v>7.875</v>
      </c>
      <c r="H27" s="3">
        <f>+IFERROR(P_CRITICOS[[#This Row],[CANT COMPRADA]]/P_CRITICOS[[#This Row],[CANTIDAD X MODULOS]],"")</f>
        <v>101.33333333333333</v>
      </c>
      <c r="I27" s="2">
        <f>+_xlfn.XLOOKUP(P_CRITICOS[[#This Row],[CODIGO]],PRODUCTOS[CODIGO],PRODUCTOS[PPTO],"",0)</f>
        <v>40002.920093000001</v>
      </c>
      <c r="J27" s="2">
        <f>+_xlfn.XLOOKUP(P_CRITICOS[[#This Row],[CODIGO]],PRODUCTOS[CODIGO],PRODUCTOS[PRECIO COMPRA UNITARIO],"",0)</f>
        <v>39215.45739348371</v>
      </c>
      <c r="K27" s="7">
        <f>+P_CRITICOS[[#This Row],[CANT COMPRADA]]/$E$36</f>
        <v>6.4148941301307091E-3</v>
      </c>
    </row>
    <row r="28" spans="1:11" x14ac:dyDescent="0.25">
      <c r="A28" t="s">
        <v>288</v>
      </c>
      <c r="B28" t="s">
        <v>289</v>
      </c>
      <c r="C28" t="s">
        <v>320</v>
      </c>
      <c r="D28" t="s">
        <v>236</v>
      </c>
      <c r="E28" s="3">
        <f>+SUMIFS(PRODUCTOS[CANT. COMPRADA],PRODUCTOS[CODIGO],P_CRITICOS[[#This Row],[CODIGO]])</f>
        <v>37</v>
      </c>
      <c r="G28" s="3">
        <f>+_xlfn.XLOOKUP(P_CRITICOS[[#This Row],[CODIGO]],PRODUCTOS[CODIGO],PRODUCTOS[CANT X MODULO],"",0)</f>
        <v>0.52500000000000002</v>
      </c>
      <c r="H28" s="3">
        <f>+IFERROR(P_CRITICOS[[#This Row],[CANT COMPRADA]]/P_CRITICOS[[#This Row],[CANTIDAD X MODULOS]],"")</f>
        <v>70.476190476190467</v>
      </c>
      <c r="I28" s="2">
        <f>+_xlfn.XLOOKUP(P_CRITICOS[[#This Row],[CODIGO]],PRODUCTOS[CODIGO],PRODUCTOS[PPTO],"",0)</f>
        <v>101229</v>
      </c>
      <c r="J28" s="2">
        <f>+_xlfn.XLOOKUP(P_CRITICOS[[#This Row],[CODIGO]],PRODUCTOS[CODIGO],PRODUCTOS[PRECIO COMPRA UNITARIO],"",0)</f>
        <v>120089.29729729729</v>
      </c>
      <c r="K28" s="7">
        <f>+P_CRITICOS[[#This Row],[CANT COMPRADA]]/$E$36</f>
        <v>2.9743243460505798E-4</v>
      </c>
    </row>
    <row r="29" spans="1:11" x14ac:dyDescent="0.25">
      <c r="A29">
        <v>302054</v>
      </c>
      <c r="B29" t="s">
        <v>356</v>
      </c>
      <c r="C29" t="s">
        <v>320</v>
      </c>
      <c r="D29" t="s">
        <v>2007</v>
      </c>
      <c r="E29" s="3">
        <f>+SUMIFS(PRODUCTOS[CANT. COMPRADA],PRODUCTOS[CODIGO],P_CRITICOS[[#This Row],[CODIGO]])</f>
        <v>15000</v>
      </c>
      <c r="G29" s="3" t="str">
        <f>+_xlfn.XLOOKUP(P_CRITICOS[[#This Row],[CODIGO]],PRODUCTOS[CODIGO],PRODUCTOS[CANT X MODULO],"",0)</f>
        <v/>
      </c>
      <c r="H29" s="3" t="str">
        <f>+IFERROR(P_CRITICOS[[#This Row],[CANT COMPRADA]]/P_CRITICOS[[#This Row],[CANTIDAD X MODULOS]],"")</f>
        <v/>
      </c>
      <c r="I29" s="2">
        <f>+_xlfn.XLOOKUP(P_CRITICOS[[#This Row],[CODIGO]],PRODUCTOS[CODIGO],PRODUCTOS[PPTO],"",0)</f>
        <v>5713</v>
      </c>
      <c r="J29" s="2">
        <f>+_xlfn.XLOOKUP(P_CRITICOS[[#This Row],[CODIGO]],PRODUCTOS[CODIGO],PRODUCTOS[PRECIO COMPRA UNITARIO],"",0)</f>
        <v>4898.2382666666663</v>
      </c>
      <c r="K29" s="7">
        <f>+P_CRITICOS[[#This Row],[CANT COMPRADA]]/$E$36</f>
        <v>0.12058071673178025</v>
      </c>
    </row>
    <row r="30" spans="1:11" x14ac:dyDescent="0.25">
      <c r="A30">
        <v>302048</v>
      </c>
      <c r="B30" t="s">
        <v>126</v>
      </c>
      <c r="C30" t="s">
        <v>320</v>
      </c>
      <c r="D30" t="s">
        <v>536</v>
      </c>
      <c r="E30" s="3">
        <f>+SUMIFS(PRODUCTOS[CANT. COMPRADA],PRODUCTOS[CODIGO],P_CRITICOS[[#This Row],[CODIGO]])</f>
        <v>2598</v>
      </c>
      <c r="G30" s="3" t="str">
        <f>+_xlfn.XLOOKUP(P_CRITICOS[[#This Row],[CODIGO]],PRODUCTOS[CODIGO],PRODUCTOS[CANT X MODULO],"",0)</f>
        <v/>
      </c>
      <c r="H30" s="3" t="str">
        <f>+IFERROR(P_CRITICOS[[#This Row],[CANT COMPRADA]]/P_CRITICOS[[#This Row],[CANTIDAD X MODULOS]],"")</f>
        <v/>
      </c>
      <c r="I30" s="2">
        <f>+_xlfn.XLOOKUP(P_CRITICOS[[#This Row],[CODIGO]],PRODUCTOS[CODIGO],PRODUCTOS[PPTO],"",0)</f>
        <v>13710.694960999999</v>
      </c>
      <c r="J30" s="2">
        <f>+_xlfn.XLOOKUP(P_CRITICOS[[#This Row],[CODIGO]],PRODUCTOS[CODIGO],PRODUCTOS[PRECIO COMPRA UNITARIO],"",0)</f>
        <v>13720.09507313318</v>
      </c>
      <c r="K30" s="7">
        <f>+P_CRITICOS[[#This Row],[CANT COMPRADA]]/$E$36</f>
        <v>2.088458013794434E-2</v>
      </c>
    </row>
    <row r="31" spans="1:11" x14ac:dyDescent="0.25">
      <c r="A31">
        <v>705028</v>
      </c>
      <c r="B31" t="s">
        <v>72</v>
      </c>
      <c r="C31" t="s">
        <v>320</v>
      </c>
      <c r="D31" t="s">
        <v>590</v>
      </c>
      <c r="E31" s="3">
        <f>+SUMIFS(PRODUCTOS[CANT. COMPRADA],PRODUCTOS[CODIGO],P_CRITICOS[[#This Row],[CODIGO]])</f>
        <v>409</v>
      </c>
      <c r="G31" s="3">
        <f>+_xlfn.XLOOKUP(P_CRITICOS[[#This Row],[CODIGO]],PRODUCTOS[CODIGO],PRODUCTOS[CANT X MODULO],"",0)</f>
        <v>3.6749999999999998</v>
      </c>
      <c r="H31" s="3">
        <f>+IFERROR(P_CRITICOS[[#This Row],[CANT COMPRADA]]/P_CRITICOS[[#This Row],[CANTIDAD X MODULOS]],"")</f>
        <v>111.29251700680273</v>
      </c>
      <c r="I31" s="2">
        <f>+_xlfn.XLOOKUP(P_CRITICOS[[#This Row],[CODIGO]],PRODUCTOS[CODIGO],PRODUCTOS[PPTO],"",0)</f>
        <v>22927.086207</v>
      </c>
      <c r="J31" s="2">
        <f>+_xlfn.XLOOKUP(P_CRITICOS[[#This Row],[CODIGO]],PRODUCTOS[CODIGO],PRODUCTOS[PRECIO COMPRA UNITARIO],"",0)</f>
        <v>22787.611246943765</v>
      </c>
      <c r="K31" s="7">
        <f>+P_CRITICOS[[#This Row],[CANT COMPRADA]]/$E$36</f>
        <v>3.2878342095532084E-3</v>
      </c>
    </row>
    <row r="32" spans="1:11" x14ac:dyDescent="0.25">
      <c r="A32">
        <v>1902013</v>
      </c>
      <c r="B32" t="s">
        <v>338</v>
      </c>
      <c r="C32" t="s">
        <v>320</v>
      </c>
      <c r="D32" t="s">
        <v>2008</v>
      </c>
      <c r="E32" s="3">
        <f>+SUMIFS(PRODUCTOS[CANT. COMPRADA],PRODUCTOS[CODIGO],P_CRITICOS[[#This Row],[CODIGO]])</f>
        <v>314</v>
      </c>
      <c r="G32" s="3">
        <f>+_xlfn.XLOOKUP(P_CRITICOS[[#This Row],[CODIGO]],PRODUCTOS[CODIGO],PRODUCTOS[CANT X MODULO],"",0)</f>
        <v>130.33466250000004</v>
      </c>
      <c r="H32" s="3">
        <f>+IFERROR(P_CRITICOS[[#This Row],[CANT COMPRADA]]/P_CRITICOS[[#This Row],[CANTIDAD X MODULOS]],"")</f>
        <v>2.4091825917759975</v>
      </c>
      <c r="I32" s="2">
        <f>+_xlfn.XLOOKUP(P_CRITICOS[[#This Row],[CODIGO]],PRODUCTOS[CODIGO],PRODUCTOS[PPTO],"",0)</f>
        <v>48058.833333000002</v>
      </c>
      <c r="J32" s="2">
        <f>+_xlfn.XLOOKUP(P_CRITICOS[[#This Row],[CODIGO]],PRODUCTOS[CODIGO],PRODUCTOS[PRECIO COMPRA UNITARIO],"",0)</f>
        <v>39952.315286624202</v>
      </c>
      <c r="K32" s="7">
        <f>+P_CRITICOS[[#This Row],[CANT COMPRADA]]/$E$36</f>
        <v>2.5241563369185998E-3</v>
      </c>
    </row>
    <row r="33" spans="3:11" x14ac:dyDescent="0.25">
      <c r="C33" t="s">
        <v>320</v>
      </c>
      <c r="E33" s="3">
        <f>+SUMIFS(PRODUCTOS[CANT. COMPRADA],PRODUCTOS[CODIGO],P_CRITICOS[[#This Row],[CODIGO]])</f>
        <v>0</v>
      </c>
      <c r="G33" s="3" t="str">
        <f>+_xlfn.XLOOKUP(P_CRITICOS[[#This Row],[CODIGO]],PRODUCTOS[CODIGO],PRODUCTOS[CANT X MODULO],"",0)</f>
        <v/>
      </c>
      <c r="H33" s="3" t="str">
        <f>+IFERROR(P_CRITICOS[[#This Row],[CANT COMPRADA]]/P_CRITICOS[[#This Row],[CANTIDAD X MODULOS]],"")</f>
        <v/>
      </c>
      <c r="I33" s="2" t="str">
        <f>+_xlfn.XLOOKUP(P_CRITICOS[[#This Row],[CODIGO]],PRODUCTOS[CODIGO],PRODUCTOS[PPTO],"",0)</f>
        <v/>
      </c>
      <c r="J33" s="2" t="str">
        <f>+_xlfn.XLOOKUP(P_CRITICOS[[#This Row],[CODIGO]],PRODUCTOS[CODIGO],PRODUCTOS[PRECIO COMPRA UNITARIO],"",0)</f>
        <v/>
      </c>
      <c r="K33" s="7">
        <f>+P_CRITICOS[[#This Row],[CANT COMPRADA]]/$E$36</f>
        <v>0</v>
      </c>
    </row>
    <row r="34" spans="3:11" x14ac:dyDescent="0.25">
      <c r="C34" t="s">
        <v>320</v>
      </c>
      <c r="E34" s="3">
        <f>+SUMIFS(PRODUCTOS[CANT. COMPRADA],PRODUCTOS[CODIGO],P_CRITICOS[[#This Row],[CODIGO]])</f>
        <v>0</v>
      </c>
      <c r="G34" s="3" t="str">
        <f>+_xlfn.XLOOKUP(P_CRITICOS[[#This Row],[CODIGO]],PRODUCTOS[CODIGO],PRODUCTOS[CANT X MODULO],"",0)</f>
        <v/>
      </c>
      <c r="H34" s="3" t="str">
        <f>+IFERROR(P_CRITICOS[[#This Row],[CANT COMPRADA]]/P_CRITICOS[[#This Row],[CANTIDAD X MODULOS]],"")</f>
        <v/>
      </c>
      <c r="I34" s="2" t="str">
        <f>+_xlfn.XLOOKUP(P_CRITICOS[[#This Row],[CODIGO]],PRODUCTOS[CODIGO],PRODUCTOS[PPTO],"",0)</f>
        <v/>
      </c>
      <c r="J34" s="2" t="str">
        <f>+_xlfn.XLOOKUP(P_CRITICOS[[#This Row],[CODIGO]],PRODUCTOS[CODIGO],PRODUCTOS[PRECIO COMPRA UNITARIO],"",0)</f>
        <v/>
      </c>
      <c r="K34" s="7">
        <f>+P_CRITICOS[[#This Row],[CANT COMPRADA]]/$E$36</f>
        <v>0</v>
      </c>
    </row>
    <row r="36" spans="3:11" x14ac:dyDescent="0.25">
      <c r="E36" s="3">
        <f>+SUM(P_CRITICOS[CANT COMPRADA])</f>
        <v>124398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656FE-1D07-412C-9F5D-5619EBB3C34A}">
  <sheetPr codeName="Hoja3"/>
  <dimension ref="A1:AC254"/>
  <sheetViews>
    <sheetView zoomScaleNormal="100" workbookViewId="0">
      <selection activeCell="B128" sqref="B128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64.5703125" bestFit="1" customWidth="1"/>
    <col min="4" max="4" width="13.42578125" bestFit="1" customWidth="1"/>
    <col min="5" max="5" width="18" style="2" customWidth="1"/>
    <col min="6" max="6" width="10" style="2" bestFit="1" customWidth="1"/>
    <col min="7" max="7" width="22.85546875" style="2" bestFit="1" customWidth="1"/>
    <col min="8" max="8" width="23" style="2" bestFit="1" customWidth="1"/>
    <col min="9" max="9" width="12.42578125" style="2" bestFit="1" customWidth="1"/>
    <col min="10" max="10" width="28.5703125" style="2" bestFit="1" customWidth="1"/>
    <col min="11" max="11" width="22" style="2" bestFit="1" customWidth="1"/>
    <col min="12" max="12" width="20" style="16" bestFit="1" customWidth="1"/>
    <col min="13" max="13" width="19.7109375" style="2" bestFit="1" customWidth="1"/>
    <col min="14" max="14" width="17.5703125" style="2" bestFit="1" customWidth="1"/>
    <col min="15" max="15" width="15.42578125" bestFit="1" customWidth="1"/>
    <col min="16" max="16" width="20.42578125" style="3" bestFit="1" customWidth="1"/>
    <col min="17" max="17" width="21.42578125" style="3" bestFit="1" customWidth="1"/>
    <col min="18" max="18" width="19.42578125" style="3" bestFit="1" customWidth="1"/>
    <col min="19" max="19" width="23.7109375" style="3" bestFit="1" customWidth="1"/>
    <col min="20" max="20" width="29.85546875" style="2" bestFit="1" customWidth="1"/>
    <col min="21" max="21" width="21.85546875" style="2" bestFit="1" customWidth="1"/>
    <col min="22" max="22" width="28.140625" style="3" bestFit="1" customWidth="1"/>
    <col min="23" max="23" width="24.42578125" style="3" bestFit="1" customWidth="1"/>
    <col min="24" max="24" width="15" style="7" bestFit="1" customWidth="1"/>
    <col min="25" max="25" width="17.28515625" bestFit="1" customWidth="1"/>
    <col min="26" max="26" width="21.140625" style="7" bestFit="1" customWidth="1"/>
    <col min="27" max="27" width="21" bestFit="1" customWidth="1"/>
    <col min="28" max="28" width="14.140625" bestFit="1" customWidth="1"/>
    <col min="29" max="29" width="13.7109375" bestFit="1" customWidth="1"/>
  </cols>
  <sheetData>
    <row r="1" spans="1:29" x14ac:dyDescent="0.25">
      <c r="A1" t="s">
        <v>2</v>
      </c>
      <c r="B1" t="s">
        <v>354</v>
      </c>
      <c r="C1" t="s">
        <v>527</v>
      </c>
      <c r="D1" t="s">
        <v>239</v>
      </c>
      <c r="E1" t="s">
        <v>359</v>
      </c>
      <c r="F1" s="2" t="s">
        <v>357</v>
      </c>
      <c r="G1" t="s">
        <v>400</v>
      </c>
      <c r="H1" s="2" t="s">
        <v>480</v>
      </c>
      <c r="I1" t="s">
        <v>458</v>
      </c>
      <c r="J1" t="s">
        <v>553</v>
      </c>
      <c r="K1" t="s">
        <v>319</v>
      </c>
      <c r="L1" s="15" t="s">
        <v>371</v>
      </c>
      <c r="M1" s="2" t="s">
        <v>368</v>
      </c>
      <c r="N1" s="2" t="s">
        <v>369</v>
      </c>
      <c r="O1" s="2" t="s">
        <v>370</v>
      </c>
      <c r="P1" s="3" t="s">
        <v>555</v>
      </c>
      <c r="Q1" s="3" t="s">
        <v>321</v>
      </c>
      <c r="R1" s="3" t="s">
        <v>749</v>
      </c>
      <c r="S1" s="3" t="s">
        <v>701</v>
      </c>
      <c r="T1" s="3" t="s">
        <v>525</v>
      </c>
      <c r="U1" t="s">
        <v>434</v>
      </c>
      <c r="V1" t="s">
        <v>435</v>
      </c>
      <c r="W1" t="s">
        <v>447</v>
      </c>
      <c r="X1" s="7" t="s">
        <v>448</v>
      </c>
      <c r="Y1" t="s">
        <v>474</v>
      </c>
      <c r="Z1" s="7" t="s">
        <v>454</v>
      </c>
      <c r="AA1" t="s">
        <v>471</v>
      </c>
      <c r="AB1" t="s">
        <v>752</v>
      </c>
      <c r="AC1" t="s">
        <v>753</v>
      </c>
    </row>
    <row r="2" spans="1:29" hidden="1" x14ac:dyDescent="0.25">
      <c r="A2">
        <v>407117</v>
      </c>
      <c r="B2" t="s">
        <v>32</v>
      </c>
      <c r="C2">
        <v>0</v>
      </c>
      <c r="D2" t="s">
        <v>240</v>
      </c>
      <c r="E2" t="s">
        <v>399</v>
      </c>
      <c r="F2" s="2">
        <v>585.07205299999998</v>
      </c>
      <c r="G2" s="6" t="s">
        <v>355</v>
      </c>
      <c r="H2" s="2" t="s">
        <v>355</v>
      </c>
      <c r="I2" t="b">
        <v>0</v>
      </c>
      <c r="J2" t="str">
        <f>+_xlfn.XLOOKUP(PRODUCTOS[[#This Row],[CODIGO]],P_CRITICOS[CODIGO],P_CRITICOS[DESC CORTA],"",0)</f>
        <v/>
      </c>
      <c r="K2" t="str">
        <f>+IFERROR(IF(VLOOKUP(PRODUCTOS[[#This Row],[CODIGO]],P_CRITICOS[],3,0)="*","PRODUCTO CRITICO","NO CRITICO"),"NO CRITICO")</f>
        <v>NO CRITICO</v>
      </c>
      <c r="L2" s="15" t="str">
        <f>+_xlfn.XLOOKUP(PRODUCTOS[[#This Row],[CODIGO]],BD_MODULO[Artículo],BD_MODULO[CUB_ACTUALIZADA],"",0)</f>
        <v/>
      </c>
      <c r="M2" s="2" t="str">
        <f>+IFERROR(PRODUCTOS[[#This Row],[PPTO]]*PRODUCTOS[[#This Row],[CANT X MODULO]],"")</f>
        <v/>
      </c>
      <c r="N2" s="2" t="str">
        <f>+IFERROR(PRODUCTOS[[#This Row],[PPTO X MODULO]]*32,"")</f>
        <v/>
      </c>
      <c r="O2" s="2" t="str">
        <f>+IFERROR(PRODUCTOS[[#This Row],[PPTO X TORRE]]*22,"")</f>
        <v/>
      </c>
      <c r="P2" s="3" t="str">
        <f>+IFERROR(PRODUCTOS[[#This Row],[CANT X MODULO]]*702,"")</f>
        <v/>
      </c>
      <c r="Q2" s="3">
        <f>+SUMIFS(DETALLE_GD_1[CANTIDAD SOLICITADA],DETALLE_GD_1[CODIGO],PRODUCTOS[[#This Row],[CODIGO]])</f>
        <v>240</v>
      </c>
      <c r="R2" s="3">
        <f>+SUMIFS(DETALLE_GD_1[DEVOLUCIÓN],DETALLE_GD_1[CODIGO],PRODUCTOS[[#This Row],[CODIGO]])</f>
        <v>0</v>
      </c>
      <c r="S2" s="3">
        <f>+PRODUCTOS[[#This Row],[CANT. COMPRADA]]-PRODUCTOS[[#This Row],[DEVOLUCIONES]]</f>
        <v>240</v>
      </c>
      <c r="T2" s="3" t="str">
        <f>+IFERROR(PRODUCTOS[[#This Row],[CANTIDAD RECIBIDA]]/PRODUCTOS[[#This Row],[CANT X MODULO]],"")</f>
        <v/>
      </c>
      <c r="U2" s="3">
        <f>+SUMIFS(DETALLE_GD_1[VALOR TOTAL POR ITEM GD],DETALLE_GD_1[CODIGO],PRODUCTOS[[#This Row],[CODIGO]])</f>
        <v>140417</v>
      </c>
      <c r="V2" s="3">
        <f>+IFERROR(PRODUCTOS[[#This Row],[PRECIO DE COMPRA]]/PRODUCTOS[[#This Row],[CANT. COMPRADA]],"")</f>
        <v>585.07083333333333</v>
      </c>
      <c r="W2" s="3" t="str">
        <f>+IFERROR(PRODUCTOS[[#This Row],[PRECIO COMPRA UNITARIO]]*PRODUCTOS[[#This Row],[PPTO FALTANTE]],"")</f>
        <v/>
      </c>
      <c r="X2" s="7" t="str">
        <f>+IFERROR(PRODUCTOS[[#This Row],[PROYECCION COMPRA]]/PRODUCTOS[[#This Row],[PPTO TOTAL]]-1,"")</f>
        <v/>
      </c>
      <c r="Y2" s="3" t="str">
        <f>+IFERROR((PRODUCTOS[[#This Row],[CANT X MODULO]]*704)-PRODUCTOS[[#This Row],[CANT. COMPRADA]],"")</f>
        <v/>
      </c>
      <c r="Z2" s="17" t="str">
        <f>+IFERROR(PRODUCTOS[[#This Row],[CANT. COMPRADA]]/PRODUCTOS[[#This Row],[PPTO FALTANTE]],"")</f>
        <v/>
      </c>
      <c r="AA2" s="3" t="str">
        <f>+IFERROR(PRODUCTOS[[#This Row],[PROYECCION COMPRA]]-(PRODUCTOS[[#This Row],[PPTO FALTANTE]]*PRODUCTOS[[#This Row],[PPTO]]),"")</f>
        <v/>
      </c>
      <c r="AB2" s="3">
        <f>+_xlfn.XLOOKUP(PRODUCTOS[[#This Row],[CODIGO]],DETALLE_GD_1[CODIGO],DETALLE_GD_1[VALOR PPTO],"",0)</f>
        <v>585.07209999999998</v>
      </c>
      <c r="AC2" s="3" t="e">
        <f>+AB2-PRODUCTOS[[#This Row],[PPTO_ACTUALIZADO]]</f>
        <v>#VALUE!</v>
      </c>
    </row>
    <row r="3" spans="1:29" hidden="1" x14ac:dyDescent="0.25">
      <c r="A3" t="s">
        <v>34</v>
      </c>
      <c r="B3" t="s">
        <v>35</v>
      </c>
      <c r="C3" t="s">
        <v>566</v>
      </c>
      <c r="D3" t="s">
        <v>240</v>
      </c>
      <c r="E3" t="s">
        <v>399</v>
      </c>
      <c r="F3" s="2">
        <v>233358.08791199999</v>
      </c>
      <c r="G3" s="6" t="s">
        <v>355</v>
      </c>
      <c r="H3" s="2" t="s">
        <v>355</v>
      </c>
      <c r="I3" t="b">
        <v>0</v>
      </c>
      <c r="J3" t="str">
        <f>+_xlfn.XLOOKUP(PRODUCTOS[[#This Row],[CODIGO]],P_CRITICOS[CODIGO],P_CRITICOS[DESC CORTA],"",0)</f>
        <v/>
      </c>
      <c r="K3" t="str">
        <f>+IFERROR(IF(VLOOKUP(PRODUCTOS[[#This Row],[CODIGO]],P_CRITICOS[],3,0)="*","PRODUCTO CRITICO","NO CRITICO"),"NO CRITICO")</f>
        <v>NO CRITICO</v>
      </c>
      <c r="L3" s="15" t="str">
        <f>+_xlfn.XLOOKUP(PRODUCTOS[[#This Row],[CODIGO]],BD_MODULO[Artículo],BD_MODULO[CUB_ACTUALIZADA],"",0)</f>
        <v/>
      </c>
      <c r="M3" s="2" t="str">
        <f>+IFERROR(PRODUCTOS[[#This Row],[PPTO]]*PRODUCTOS[[#This Row],[CANT X MODULO]],"")</f>
        <v/>
      </c>
      <c r="N3" s="2" t="str">
        <f>+IFERROR(PRODUCTOS[[#This Row],[PPTO X MODULO]]*32,"")</f>
        <v/>
      </c>
      <c r="O3" s="2" t="str">
        <f>+IFERROR(PRODUCTOS[[#This Row],[PPTO X TORRE]]*22,"")</f>
        <v/>
      </c>
      <c r="P3" s="3" t="str">
        <f>+IFERROR(PRODUCTOS[[#This Row],[CANT X MODULO]]*702,"")</f>
        <v/>
      </c>
      <c r="Q3" s="3">
        <f>+SUMIFS(DETALLE_GD_1[CANTIDAD SOLICITADA],DETALLE_GD_1[CODIGO],PRODUCTOS[[#This Row],[CODIGO]])</f>
        <v>3</v>
      </c>
      <c r="R3" s="3">
        <f>+SUMIFS(DETALLE_GD_1[DEVOLUCIÓN],DETALLE_GD_1[CODIGO],PRODUCTOS[[#This Row],[CODIGO]])</f>
        <v>0</v>
      </c>
      <c r="S3" s="3">
        <f>+PRODUCTOS[[#This Row],[CANT. COMPRADA]]-PRODUCTOS[[#This Row],[DEVOLUCIONES]]</f>
        <v>3</v>
      </c>
      <c r="T3" s="3" t="str">
        <f>+IFERROR(PRODUCTOS[[#This Row],[CANTIDAD RECIBIDA]]/PRODUCTOS[[#This Row],[CANT X MODULO]],"")</f>
        <v/>
      </c>
      <c r="U3" s="3">
        <f>+SUMIFS(DETALLE_GD_1[VALOR TOTAL POR ITEM GD],DETALLE_GD_1[CODIGO],PRODUCTOS[[#This Row],[CODIGO]])</f>
        <v>700074</v>
      </c>
      <c r="V3" s="3">
        <f>+IFERROR(PRODUCTOS[[#This Row],[PRECIO DE COMPRA]]/PRODUCTOS[[#This Row],[CANT. COMPRADA]],"")</f>
        <v>233358</v>
      </c>
      <c r="W3" s="3" t="str">
        <f>+IFERROR(PRODUCTOS[[#This Row],[PRECIO COMPRA UNITARIO]]*PRODUCTOS[[#This Row],[PPTO FALTANTE]],"")</f>
        <v/>
      </c>
      <c r="X3" s="7" t="str">
        <f>+IFERROR(PRODUCTOS[[#This Row],[PROYECCION COMPRA]]/PRODUCTOS[[#This Row],[PPTO TOTAL]]-1,"")</f>
        <v/>
      </c>
      <c r="Y3" s="3" t="str">
        <f>+IFERROR((PRODUCTOS[[#This Row],[CANT X MODULO]]*704)-PRODUCTOS[[#This Row],[CANT. COMPRADA]],"")</f>
        <v/>
      </c>
      <c r="Z3" s="17" t="str">
        <f>+IFERROR(PRODUCTOS[[#This Row],[CANT. COMPRADA]]/PRODUCTOS[[#This Row],[PPTO FALTANTE]],"")</f>
        <v/>
      </c>
      <c r="AA3" s="3" t="str">
        <f>+IFERROR(PRODUCTOS[[#This Row],[PROYECCION COMPRA]]-(PRODUCTOS[[#This Row],[PPTO FALTANTE]]*PRODUCTOS[[#This Row],[PPTO]]),"")</f>
        <v/>
      </c>
      <c r="AB3" s="3">
        <f>+_xlfn.XLOOKUP(PRODUCTOS[[#This Row],[CODIGO]],DETALLE_GD_1[CODIGO],DETALLE_GD_1[VALOR PPTO],"",0)</f>
        <v>233358.08790000001</v>
      </c>
      <c r="AC3" s="3" t="e">
        <f>+AB3-PRODUCTOS[[#This Row],[PPTO_ACTUALIZADO]]</f>
        <v>#VALUE!</v>
      </c>
    </row>
    <row r="4" spans="1:29" hidden="1" x14ac:dyDescent="0.25">
      <c r="A4">
        <v>804070</v>
      </c>
      <c r="B4" t="s">
        <v>44</v>
      </c>
      <c r="C4" t="s">
        <v>568</v>
      </c>
      <c r="D4" t="s">
        <v>355</v>
      </c>
      <c r="E4" t="s">
        <v>355</v>
      </c>
      <c r="F4" s="2">
        <v>6479.9989750000004</v>
      </c>
      <c r="G4" s="6" t="s">
        <v>355</v>
      </c>
      <c r="H4" s="2" t="s">
        <v>355</v>
      </c>
      <c r="I4" t="b">
        <v>0</v>
      </c>
      <c r="J4" t="str">
        <f>+_xlfn.XLOOKUP(PRODUCTOS[[#This Row],[CODIGO]],P_CRITICOS[CODIGO],P_CRITICOS[DESC CORTA],"",0)</f>
        <v/>
      </c>
      <c r="K4" t="str">
        <f>+IFERROR(IF(VLOOKUP(PRODUCTOS[[#This Row],[CODIGO]],P_CRITICOS[],3,0)="*","PRODUCTO CRITICO","NO CRITICO"),"NO CRITICO")</f>
        <v>NO CRITICO</v>
      </c>
      <c r="L4" s="15" t="str">
        <f>+_xlfn.XLOOKUP(PRODUCTOS[[#This Row],[CODIGO]],BD_MODULO[Artículo],BD_MODULO[CUB_ACTUALIZADA],"",0)</f>
        <v/>
      </c>
      <c r="M4" s="2" t="str">
        <f>+IFERROR(PRODUCTOS[[#This Row],[PPTO]]*PRODUCTOS[[#This Row],[CANT X MODULO]],"")</f>
        <v/>
      </c>
      <c r="N4" s="2" t="str">
        <f>+IFERROR(PRODUCTOS[[#This Row],[PPTO X MODULO]]*32,"")</f>
        <v/>
      </c>
      <c r="O4" s="2" t="str">
        <f>+IFERROR(PRODUCTOS[[#This Row],[PPTO X TORRE]]*22,"")</f>
        <v/>
      </c>
      <c r="P4" s="3" t="str">
        <f>+IFERROR(PRODUCTOS[[#This Row],[CANT X MODULO]]*702,"")</f>
        <v/>
      </c>
      <c r="Q4" s="3">
        <f>+SUMIFS(DETALLE_GD_1[CANTIDAD SOLICITADA],DETALLE_GD_1[CODIGO],PRODUCTOS[[#This Row],[CODIGO]])</f>
        <v>46</v>
      </c>
      <c r="R4" s="3">
        <f>+SUMIFS(DETALLE_GD_1[DEVOLUCIÓN],DETALLE_GD_1[CODIGO],PRODUCTOS[[#This Row],[CODIGO]])</f>
        <v>0</v>
      </c>
      <c r="S4" s="3">
        <f>+PRODUCTOS[[#This Row],[CANT. COMPRADA]]-PRODUCTOS[[#This Row],[DEVOLUCIONES]]</f>
        <v>46</v>
      </c>
      <c r="T4" s="3" t="str">
        <f>+IFERROR(PRODUCTOS[[#This Row],[CANTIDAD RECIBIDA]]/PRODUCTOS[[#This Row],[CANT X MODULO]],"")</f>
        <v/>
      </c>
      <c r="U4" s="3">
        <f>+SUMIFS(DETALLE_GD_1[VALOR TOTAL POR ITEM GD],DETALLE_GD_1[CODIGO],PRODUCTOS[[#This Row],[CODIGO]])</f>
        <v>286277</v>
      </c>
      <c r="V4" s="3">
        <f>+IFERROR(PRODUCTOS[[#This Row],[PRECIO DE COMPRA]]/PRODUCTOS[[#This Row],[CANT. COMPRADA]],"")</f>
        <v>6223.413043478261</v>
      </c>
      <c r="W4" s="3" t="str">
        <f>+IFERROR(PRODUCTOS[[#This Row],[PRECIO COMPRA UNITARIO]]*PRODUCTOS[[#This Row],[PPTO FALTANTE]],"")</f>
        <v/>
      </c>
      <c r="X4" s="7" t="str">
        <f>+IFERROR(PRODUCTOS[[#This Row],[PROYECCION COMPRA]]/PRODUCTOS[[#This Row],[PPTO TOTAL]]-1,"")</f>
        <v/>
      </c>
      <c r="Y4" s="3" t="str">
        <f>+IFERROR((PRODUCTOS[[#This Row],[CANT X MODULO]]*704)-PRODUCTOS[[#This Row],[CANT. COMPRADA]],"")</f>
        <v/>
      </c>
      <c r="Z4" s="17" t="str">
        <f>+IFERROR(PRODUCTOS[[#This Row],[CANT. COMPRADA]]/PRODUCTOS[[#This Row],[PPTO FALTANTE]],"")</f>
        <v/>
      </c>
      <c r="AA4" s="3" t="str">
        <f>+IFERROR(PRODUCTOS[[#This Row],[PROYECCION COMPRA]]-(PRODUCTOS[[#This Row],[PPTO FALTANTE]]*PRODUCTOS[[#This Row],[PPTO]]),"")</f>
        <v/>
      </c>
      <c r="AB4" s="3">
        <f>+_xlfn.XLOOKUP(PRODUCTOS[[#This Row],[CODIGO]],DETALLE_GD_1[CODIGO],DETALLE_GD_1[VALOR PPTO],"",0)</f>
        <v>6479.9989999999998</v>
      </c>
      <c r="AC4" s="3" t="e">
        <f>+AB4-PRODUCTOS[[#This Row],[PPTO_ACTUALIZADO]]</f>
        <v>#VALUE!</v>
      </c>
    </row>
    <row r="5" spans="1:29" hidden="1" x14ac:dyDescent="0.25">
      <c r="A5">
        <v>1703046</v>
      </c>
      <c r="B5" t="s">
        <v>49</v>
      </c>
      <c r="C5" t="s">
        <v>571</v>
      </c>
      <c r="D5">
        <v>0</v>
      </c>
      <c r="E5">
        <v>0</v>
      </c>
      <c r="F5" s="2">
        <v>3138</v>
      </c>
      <c r="G5" s="6" t="s">
        <v>355</v>
      </c>
      <c r="H5" s="2" t="s">
        <v>355</v>
      </c>
      <c r="I5" t="b">
        <v>0</v>
      </c>
      <c r="J5" t="str">
        <f>+_xlfn.XLOOKUP(PRODUCTOS[[#This Row],[CODIGO]],P_CRITICOS[CODIGO],P_CRITICOS[DESC CORTA],"",0)</f>
        <v/>
      </c>
      <c r="K5" t="str">
        <f>+IFERROR(IF(VLOOKUP(PRODUCTOS[[#This Row],[CODIGO]],P_CRITICOS[],3,0)="*","PRODUCTO CRITICO","NO CRITICO"),"NO CRITICO")</f>
        <v>NO CRITICO</v>
      </c>
      <c r="L5" s="15" t="str">
        <f>+_xlfn.XLOOKUP(PRODUCTOS[[#This Row],[CODIGO]],BD_MODULO[Artículo],BD_MODULO[CUB_ACTUALIZADA],"",0)</f>
        <v/>
      </c>
      <c r="M5" s="2" t="str">
        <f>+IFERROR(PRODUCTOS[[#This Row],[PPTO]]*PRODUCTOS[[#This Row],[CANT X MODULO]],"")</f>
        <v/>
      </c>
      <c r="N5" s="2" t="str">
        <f>+IFERROR(PRODUCTOS[[#This Row],[PPTO X MODULO]]*32,"")</f>
        <v/>
      </c>
      <c r="O5" s="2" t="str">
        <f>+IFERROR(PRODUCTOS[[#This Row],[PPTO X TORRE]]*22,"")</f>
        <v/>
      </c>
      <c r="P5" s="3" t="str">
        <f>+IFERROR(PRODUCTOS[[#This Row],[CANT X MODULO]]*702,"")</f>
        <v/>
      </c>
      <c r="Q5" s="3">
        <f>+SUMIFS(DETALLE_GD_1[CANTIDAD SOLICITADA],DETALLE_GD_1[CODIGO],PRODUCTOS[[#This Row],[CODIGO]])</f>
        <v>1</v>
      </c>
      <c r="R5" s="3">
        <f>+SUMIFS(DETALLE_GD_1[DEVOLUCIÓN],DETALLE_GD_1[CODIGO],PRODUCTOS[[#This Row],[CODIGO]])</f>
        <v>0</v>
      </c>
      <c r="S5" s="3">
        <f>+PRODUCTOS[[#This Row],[CANT. COMPRADA]]-PRODUCTOS[[#This Row],[DEVOLUCIONES]]</f>
        <v>1</v>
      </c>
      <c r="T5" s="3" t="str">
        <f>+IFERROR(PRODUCTOS[[#This Row],[CANTIDAD RECIBIDA]]/PRODUCTOS[[#This Row],[CANT X MODULO]],"")</f>
        <v/>
      </c>
      <c r="U5" s="3">
        <f>+SUMIFS(DETALLE_GD_1[VALOR TOTAL POR ITEM GD],DETALLE_GD_1[CODIGO],PRODUCTOS[[#This Row],[CODIGO]])</f>
        <v>3138</v>
      </c>
      <c r="V5" s="3">
        <f>+IFERROR(PRODUCTOS[[#This Row],[PRECIO DE COMPRA]]/PRODUCTOS[[#This Row],[CANT. COMPRADA]],"")</f>
        <v>3138</v>
      </c>
      <c r="W5" s="3" t="str">
        <f>+IFERROR(PRODUCTOS[[#This Row],[PRECIO COMPRA UNITARIO]]*PRODUCTOS[[#This Row],[PPTO FALTANTE]],"")</f>
        <v/>
      </c>
      <c r="X5" s="7" t="str">
        <f>+IFERROR(PRODUCTOS[[#This Row],[PROYECCION COMPRA]]/PRODUCTOS[[#This Row],[PPTO TOTAL]]-1,"")</f>
        <v/>
      </c>
      <c r="Y5" s="3" t="str">
        <f>+IFERROR((PRODUCTOS[[#This Row],[CANT X MODULO]]*704)-PRODUCTOS[[#This Row],[CANT. COMPRADA]],"")</f>
        <v/>
      </c>
      <c r="Z5" s="17" t="str">
        <f>+IFERROR(PRODUCTOS[[#This Row],[CANT. COMPRADA]]/PRODUCTOS[[#This Row],[PPTO FALTANTE]],"")</f>
        <v/>
      </c>
      <c r="AA5" s="3" t="str">
        <f>+IFERROR(PRODUCTOS[[#This Row],[PROYECCION COMPRA]]-(PRODUCTOS[[#This Row],[PPTO FALTANTE]]*PRODUCTOS[[#This Row],[PPTO]]),"")</f>
        <v/>
      </c>
      <c r="AB5" s="3">
        <f>+_xlfn.XLOOKUP(PRODUCTOS[[#This Row],[CODIGO]],DETALLE_GD_1[CODIGO],DETALLE_GD_1[VALOR PPTO],"",0)</f>
        <v>3138</v>
      </c>
      <c r="AC5" s="3" t="e">
        <f>+AB5-PRODUCTOS[[#This Row],[PPTO_ACTUALIZADO]]</f>
        <v>#VALUE!</v>
      </c>
    </row>
    <row r="6" spans="1:29" hidden="1" x14ac:dyDescent="0.25">
      <c r="A6">
        <v>1801035</v>
      </c>
      <c r="B6" t="s">
        <v>50</v>
      </c>
      <c r="C6" t="s">
        <v>572</v>
      </c>
      <c r="D6">
        <v>0</v>
      </c>
      <c r="E6">
        <v>0</v>
      </c>
      <c r="F6" s="2">
        <v>18126.208332999999</v>
      </c>
      <c r="G6" s="6" t="s">
        <v>355</v>
      </c>
      <c r="H6" s="2" t="s">
        <v>355</v>
      </c>
      <c r="I6" t="b">
        <v>0</v>
      </c>
      <c r="J6" t="str">
        <f>+_xlfn.XLOOKUP(PRODUCTOS[[#This Row],[CODIGO]],P_CRITICOS[CODIGO],P_CRITICOS[DESC CORTA],"",0)</f>
        <v/>
      </c>
      <c r="K6" t="str">
        <f>+IFERROR(IF(VLOOKUP(PRODUCTOS[[#This Row],[CODIGO]],P_CRITICOS[],3,0)="*","PRODUCTO CRITICO","NO CRITICO"),"NO CRITICO")</f>
        <v>NO CRITICO</v>
      </c>
      <c r="L6" s="15" t="str">
        <f>+_xlfn.XLOOKUP(PRODUCTOS[[#This Row],[CODIGO]],BD_MODULO[Artículo],BD_MODULO[CUB_ACTUALIZADA],"",0)</f>
        <v/>
      </c>
      <c r="M6" s="2" t="str">
        <f>+IFERROR(PRODUCTOS[[#This Row],[PPTO]]*PRODUCTOS[[#This Row],[CANT X MODULO]],"")</f>
        <v/>
      </c>
      <c r="N6" s="2" t="str">
        <f>+IFERROR(PRODUCTOS[[#This Row],[PPTO X MODULO]]*32,"")</f>
        <v/>
      </c>
      <c r="O6" s="2" t="str">
        <f>+IFERROR(PRODUCTOS[[#This Row],[PPTO X TORRE]]*22,"")</f>
        <v/>
      </c>
      <c r="P6" s="3" t="str">
        <f>+IFERROR(PRODUCTOS[[#This Row],[CANT X MODULO]]*702,"")</f>
        <v/>
      </c>
      <c r="Q6" s="3">
        <f>+SUMIFS(DETALLE_GD_1[CANTIDAD SOLICITADA],DETALLE_GD_1[CODIGO],PRODUCTOS[[#This Row],[CODIGO]])</f>
        <v>1</v>
      </c>
      <c r="R6" s="3">
        <f>+SUMIFS(DETALLE_GD_1[DEVOLUCIÓN],DETALLE_GD_1[CODIGO],PRODUCTOS[[#This Row],[CODIGO]])</f>
        <v>0</v>
      </c>
      <c r="S6" s="3">
        <f>+PRODUCTOS[[#This Row],[CANT. COMPRADA]]-PRODUCTOS[[#This Row],[DEVOLUCIONES]]</f>
        <v>1</v>
      </c>
      <c r="T6" s="3" t="str">
        <f>+IFERROR(PRODUCTOS[[#This Row],[CANTIDAD RECIBIDA]]/PRODUCTOS[[#This Row],[CANT X MODULO]],"")</f>
        <v/>
      </c>
      <c r="U6" s="3">
        <f>+SUMIFS(DETALLE_GD_1[VALOR TOTAL POR ITEM GD],DETALLE_GD_1[CODIGO],PRODUCTOS[[#This Row],[CODIGO]])</f>
        <v>18126</v>
      </c>
      <c r="V6" s="3">
        <f>+IFERROR(PRODUCTOS[[#This Row],[PRECIO DE COMPRA]]/PRODUCTOS[[#This Row],[CANT. COMPRADA]],"")</f>
        <v>18126</v>
      </c>
      <c r="W6" s="3" t="str">
        <f>+IFERROR(PRODUCTOS[[#This Row],[PRECIO COMPRA UNITARIO]]*PRODUCTOS[[#This Row],[PPTO FALTANTE]],"")</f>
        <v/>
      </c>
      <c r="X6" s="7" t="str">
        <f>+IFERROR(PRODUCTOS[[#This Row],[PROYECCION COMPRA]]/PRODUCTOS[[#This Row],[PPTO TOTAL]]-1,"")</f>
        <v/>
      </c>
      <c r="Y6" s="3" t="str">
        <f>+IFERROR((PRODUCTOS[[#This Row],[CANT X MODULO]]*704)-PRODUCTOS[[#This Row],[CANT. COMPRADA]],"")</f>
        <v/>
      </c>
      <c r="Z6" s="17" t="str">
        <f>+IFERROR(PRODUCTOS[[#This Row],[CANT. COMPRADA]]/PRODUCTOS[[#This Row],[PPTO FALTANTE]],"")</f>
        <v/>
      </c>
      <c r="AA6" s="3" t="str">
        <f>+IFERROR(PRODUCTOS[[#This Row],[PROYECCION COMPRA]]-(PRODUCTOS[[#This Row],[PPTO FALTANTE]]*PRODUCTOS[[#This Row],[PPTO]]),"")</f>
        <v/>
      </c>
      <c r="AB6" s="3">
        <f>+_xlfn.XLOOKUP(PRODUCTOS[[#This Row],[CODIGO]],DETALLE_GD_1[CODIGO],DETALLE_GD_1[VALOR PPTO],"",0)</f>
        <v>18126.208299999998</v>
      </c>
      <c r="AC6" s="3" t="e">
        <f>+AB6-PRODUCTOS[[#This Row],[PPTO_ACTUALIZADO]]</f>
        <v>#VALUE!</v>
      </c>
    </row>
    <row r="7" spans="1:29" hidden="1" x14ac:dyDescent="0.25">
      <c r="A7">
        <v>1808149</v>
      </c>
      <c r="B7" t="s">
        <v>52</v>
      </c>
      <c r="C7" t="s">
        <v>575</v>
      </c>
      <c r="D7">
        <v>0</v>
      </c>
      <c r="E7">
        <v>0</v>
      </c>
      <c r="F7" s="2">
        <v>20303.2</v>
      </c>
      <c r="G7" s="6" t="s">
        <v>355</v>
      </c>
      <c r="H7" s="2" t="s">
        <v>355</v>
      </c>
      <c r="I7" t="b">
        <v>0</v>
      </c>
      <c r="J7" t="str">
        <f>+_xlfn.XLOOKUP(PRODUCTOS[[#This Row],[CODIGO]],P_CRITICOS[CODIGO],P_CRITICOS[DESC CORTA],"",0)</f>
        <v/>
      </c>
      <c r="K7" t="str">
        <f>+IFERROR(IF(VLOOKUP(PRODUCTOS[[#This Row],[CODIGO]],P_CRITICOS[],3,0)="*","PRODUCTO CRITICO","NO CRITICO"),"NO CRITICO")</f>
        <v>NO CRITICO</v>
      </c>
      <c r="L7" s="15" t="str">
        <f>+_xlfn.XLOOKUP(PRODUCTOS[[#This Row],[CODIGO]],BD_MODULO[Artículo],BD_MODULO[CUB_ACTUALIZADA],"",0)</f>
        <v/>
      </c>
      <c r="M7" s="2" t="str">
        <f>+IFERROR(PRODUCTOS[[#This Row],[PPTO]]*PRODUCTOS[[#This Row],[CANT X MODULO]],"")</f>
        <v/>
      </c>
      <c r="N7" s="2" t="str">
        <f>+IFERROR(PRODUCTOS[[#This Row],[PPTO X MODULO]]*32,"")</f>
        <v/>
      </c>
      <c r="O7" s="2" t="str">
        <f>+IFERROR(PRODUCTOS[[#This Row],[PPTO X TORRE]]*22,"")</f>
        <v/>
      </c>
      <c r="P7" s="3" t="str">
        <f>+IFERROR(PRODUCTOS[[#This Row],[CANT X MODULO]]*702,"")</f>
        <v/>
      </c>
      <c r="Q7" s="3">
        <f>+SUMIFS(DETALLE_GD_1[CANTIDAD SOLICITADA],DETALLE_GD_1[CODIGO],PRODUCTOS[[#This Row],[CODIGO]])</f>
        <v>1</v>
      </c>
      <c r="R7" s="3">
        <f>+SUMIFS(DETALLE_GD_1[DEVOLUCIÓN],DETALLE_GD_1[CODIGO],PRODUCTOS[[#This Row],[CODIGO]])</f>
        <v>0</v>
      </c>
      <c r="S7" s="3">
        <f>+PRODUCTOS[[#This Row],[CANT. COMPRADA]]-PRODUCTOS[[#This Row],[DEVOLUCIONES]]</f>
        <v>1</v>
      </c>
      <c r="T7" s="3" t="str">
        <f>+IFERROR(PRODUCTOS[[#This Row],[CANTIDAD RECIBIDA]]/PRODUCTOS[[#This Row],[CANT X MODULO]],"")</f>
        <v/>
      </c>
      <c r="U7" s="3">
        <f>+SUMIFS(DETALLE_GD_1[VALOR TOTAL POR ITEM GD],DETALLE_GD_1[CODIGO],PRODUCTOS[[#This Row],[CODIGO]])</f>
        <v>20303</v>
      </c>
      <c r="V7" s="3">
        <f>+IFERROR(PRODUCTOS[[#This Row],[PRECIO DE COMPRA]]/PRODUCTOS[[#This Row],[CANT. COMPRADA]],"")</f>
        <v>20303</v>
      </c>
      <c r="W7" s="3" t="str">
        <f>+IFERROR(PRODUCTOS[[#This Row],[PRECIO COMPRA UNITARIO]]*PRODUCTOS[[#This Row],[PPTO FALTANTE]],"")</f>
        <v/>
      </c>
      <c r="X7" s="7" t="str">
        <f>+IFERROR(PRODUCTOS[[#This Row],[PROYECCION COMPRA]]/PRODUCTOS[[#This Row],[PPTO TOTAL]]-1,"")</f>
        <v/>
      </c>
      <c r="Y7" s="3" t="str">
        <f>+IFERROR((PRODUCTOS[[#This Row],[CANT X MODULO]]*704)-PRODUCTOS[[#This Row],[CANT. COMPRADA]],"")</f>
        <v/>
      </c>
      <c r="Z7" s="17" t="str">
        <f>+IFERROR(PRODUCTOS[[#This Row],[CANT. COMPRADA]]/PRODUCTOS[[#This Row],[PPTO FALTANTE]],"")</f>
        <v/>
      </c>
      <c r="AA7" s="3" t="str">
        <f>+IFERROR(PRODUCTOS[[#This Row],[PROYECCION COMPRA]]-(PRODUCTOS[[#This Row],[PPTO FALTANTE]]*PRODUCTOS[[#This Row],[PPTO]]),"")</f>
        <v/>
      </c>
      <c r="AB7" s="3">
        <f>+_xlfn.XLOOKUP(PRODUCTOS[[#This Row],[CODIGO]],DETALLE_GD_1[CODIGO],DETALLE_GD_1[VALOR PPTO],"",0)</f>
        <v>20303.2</v>
      </c>
      <c r="AC7" s="3" t="e">
        <f>+AB7-PRODUCTOS[[#This Row],[PPTO_ACTUALIZADO]]</f>
        <v>#VALUE!</v>
      </c>
    </row>
    <row r="8" spans="1:29" hidden="1" x14ac:dyDescent="0.25">
      <c r="A8">
        <v>1801020</v>
      </c>
      <c r="B8" t="s">
        <v>53</v>
      </c>
      <c r="C8" t="s">
        <v>576</v>
      </c>
      <c r="D8">
        <v>0</v>
      </c>
      <c r="E8">
        <v>0</v>
      </c>
      <c r="F8" s="2">
        <v>30757</v>
      </c>
      <c r="G8" s="6" t="s">
        <v>355</v>
      </c>
      <c r="H8" s="2" t="s">
        <v>355</v>
      </c>
      <c r="I8" t="b">
        <v>0</v>
      </c>
      <c r="J8" t="str">
        <f>+_xlfn.XLOOKUP(PRODUCTOS[[#This Row],[CODIGO]],P_CRITICOS[CODIGO],P_CRITICOS[DESC CORTA],"",0)</f>
        <v/>
      </c>
      <c r="K8" t="str">
        <f>+IFERROR(IF(VLOOKUP(PRODUCTOS[[#This Row],[CODIGO]],P_CRITICOS[],3,0)="*","PRODUCTO CRITICO","NO CRITICO"),"NO CRITICO")</f>
        <v>NO CRITICO</v>
      </c>
      <c r="L8" s="15" t="str">
        <f>+_xlfn.XLOOKUP(PRODUCTOS[[#This Row],[CODIGO]],BD_MODULO[Artículo],BD_MODULO[CUB_ACTUALIZADA],"",0)</f>
        <v/>
      </c>
      <c r="M8" s="2" t="str">
        <f>+IFERROR(PRODUCTOS[[#This Row],[PPTO]]*PRODUCTOS[[#This Row],[CANT X MODULO]],"")</f>
        <v/>
      </c>
      <c r="N8" s="2" t="str">
        <f>+IFERROR(PRODUCTOS[[#This Row],[PPTO X MODULO]]*32,"")</f>
        <v/>
      </c>
      <c r="O8" s="2" t="str">
        <f>+IFERROR(PRODUCTOS[[#This Row],[PPTO X TORRE]]*22,"")</f>
        <v/>
      </c>
      <c r="P8" s="3" t="str">
        <f>+IFERROR(PRODUCTOS[[#This Row],[CANT X MODULO]]*702,"")</f>
        <v/>
      </c>
      <c r="Q8" s="3">
        <f>+SUMIFS(DETALLE_GD_1[CANTIDAD SOLICITADA],DETALLE_GD_1[CODIGO],PRODUCTOS[[#This Row],[CODIGO]])</f>
        <v>2</v>
      </c>
      <c r="R8" s="3">
        <f>+SUMIFS(DETALLE_GD_1[DEVOLUCIÓN],DETALLE_GD_1[CODIGO],PRODUCTOS[[#This Row],[CODIGO]])</f>
        <v>0</v>
      </c>
      <c r="S8" s="3">
        <f>+PRODUCTOS[[#This Row],[CANT. COMPRADA]]-PRODUCTOS[[#This Row],[DEVOLUCIONES]]</f>
        <v>2</v>
      </c>
      <c r="T8" s="3" t="str">
        <f>+IFERROR(PRODUCTOS[[#This Row],[CANTIDAD RECIBIDA]]/PRODUCTOS[[#This Row],[CANT X MODULO]],"")</f>
        <v/>
      </c>
      <c r="U8" s="3">
        <f>+SUMIFS(DETALLE_GD_1[VALOR TOTAL POR ITEM GD],DETALLE_GD_1[CODIGO],PRODUCTOS[[#This Row],[CODIGO]])</f>
        <v>61514</v>
      </c>
      <c r="V8" s="3">
        <f>+IFERROR(PRODUCTOS[[#This Row],[PRECIO DE COMPRA]]/PRODUCTOS[[#This Row],[CANT. COMPRADA]],"")</f>
        <v>30757</v>
      </c>
      <c r="W8" s="3" t="str">
        <f>+IFERROR(PRODUCTOS[[#This Row],[PRECIO COMPRA UNITARIO]]*PRODUCTOS[[#This Row],[PPTO FALTANTE]],"")</f>
        <v/>
      </c>
      <c r="X8" s="7" t="str">
        <f>+IFERROR(PRODUCTOS[[#This Row],[PROYECCION COMPRA]]/PRODUCTOS[[#This Row],[PPTO TOTAL]]-1,"")</f>
        <v/>
      </c>
      <c r="Y8" s="3" t="str">
        <f>+IFERROR((PRODUCTOS[[#This Row],[CANT X MODULO]]*704)-PRODUCTOS[[#This Row],[CANT. COMPRADA]],"")</f>
        <v/>
      </c>
      <c r="Z8" s="17" t="str">
        <f>+IFERROR(PRODUCTOS[[#This Row],[CANT. COMPRADA]]/PRODUCTOS[[#This Row],[PPTO FALTANTE]],"")</f>
        <v/>
      </c>
      <c r="AA8" s="3" t="str">
        <f>+IFERROR(PRODUCTOS[[#This Row],[PROYECCION COMPRA]]-(PRODUCTOS[[#This Row],[PPTO FALTANTE]]*PRODUCTOS[[#This Row],[PPTO]]),"")</f>
        <v/>
      </c>
      <c r="AB8" s="3">
        <f>+_xlfn.XLOOKUP(PRODUCTOS[[#This Row],[CODIGO]],DETALLE_GD_1[CODIGO],DETALLE_GD_1[VALOR PPTO],"",0)</f>
        <v>30757</v>
      </c>
      <c r="AC8" s="3" t="e">
        <f>+AB8-PRODUCTOS[[#This Row],[PPTO_ACTUALIZADO]]</f>
        <v>#VALUE!</v>
      </c>
    </row>
    <row r="9" spans="1:29" hidden="1" x14ac:dyDescent="0.25">
      <c r="A9">
        <v>609008</v>
      </c>
      <c r="B9" t="s">
        <v>57</v>
      </c>
      <c r="C9" t="s">
        <v>580</v>
      </c>
      <c r="D9">
        <v>0</v>
      </c>
      <c r="E9">
        <v>0</v>
      </c>
      <c r="F9" s="2">
        <v>2130.75731</v>
      </c>
      <c r="G9" s="6" t="s">
        <v>58</v>
      </c>
      <c r="H9" s="2" t="s">
        <v>355</v>
      </c>
      <c r="I9" t="b">
        <v>0</v>
      </c>
      <c r="J9" t="str">
        <f>+_xlfn.XLOOKUP(PRODUCTOS[[#This Row],[CODIGO]],P_CRITICOS[CODIGO],P_CRITICOS[DESC CORTA],"",0)</f>
        <v/>
      </c>
      <c r="K9" t="str">
        <f>+IFERROR(IF(VLOOKUP(PRODUCTOS[[#This Row],[CODIGO]],P_CRITICOS[],3,0)="*","PRODUCTO CRITICO","NO CRITICO"),"NO CRITICO")</f>
        <v>NO CRITICO</v>
      </c>
      <c r="L9" s="15" t="str">
        <f>+_xlfn.XLOOKUP(PRODUCTOS[[#This Row],[CODIGO]],BD_MODULO[Artículo],BD_MODULO[CUB_ACTUALIZADA],"",0)</f>
        <v/>
      </c>
      <c r="M9" s="2" t="str">
        <f>+IFERROR(PRODUCTOS[[#This Row],[PPTO]]*PRODUCTOS[[#This Row],[CANT X MODULO]],"")</f>
        <v/>
      </c>
      <c r="N9" s="2" t="str">
        <f>+IFERROR(PRODUCTOS[[#This Row],[PPTO X MODULO]]*32,"")</f>
        <v/>
      </c>
      <c r="O9" s="2" t="str">
        <f>+IFERROR(PRODUCTOS[[#This Row],[PPTO X TORRE]]*22,"")</f>
        <v/>
      </c>
      <c r="P9" s="3" t="str">
        <f>+IFERROR(PRODUCTOS[[#This Row],[CANT X MODULO]]*702,"")</f>
        <v/>
      </c>
      <c r="Q9" s="3">
        <f>+SUMIFS(DETALLE_GD_1[CANTIDAD SOLICITADA],DETALLE_GD_1[CODIGO],PRODUCTOS[[#This Row],[CODIGO]])</f>
        <v>101</v>
      </c>
      <c r="R9" s="3">
        <f>+SUMIFS(DETALLE_GD_1[DEVOLUCIÓN],DETALLE_GD_1[CODIGO],PRODUCTOS[[#This Row],[CODIGO]])</f>
        <v>0</v>
      </c>
      <c r="S9" s="3">
        <f>+PRODUCTOS[[#This Row],[CANT. COMPRADA]]-PRODUCTOS[[#This Row],[DEVOLUCIONES]]</f>
        <v>101</v>
      </c>
      <c r="T9" s="3" t="str">
        <f>+IFERROR(PRODUCTOS[[#This Row],[CANTIDAD RECIBIDA]]/PRODUCTOS[[#This Row],[CANT X MODULO]],"")</f>
        <v/>
      </c>
      <c r="U9" s="3">
        <f>+SUMIFS(DETALLE_GD_1[VALOR TOTAL POR ITEM GD],DETALLE_GD_1[CODIGO],PRODUCTOS[[#This Row],[CODIGO]])</f>
        <v>219342</v>
      </c>
      <c r="V9" s="3">
        <f>+IFERROR(PRODUCTOS[[#This Row],[PRECIO DE COMPRA]]/PRODUCTOS[[#This Row],[CANT. COMPRADA]],"")</f>
        <v>2171.7029702970299</v>
      </c>
      <c r="W9" s="3" t="str">
        <f>+IFERROR(PRODUCTOS[[#This Row],[PRECIO COMPRA UNITARIO]]*PRODUCTOS[[#This Row],[PPTO FALTANTE]],"")</f>
        <v/>
      </c>
      <c r="X9" s="7" t="str">
        <f>+IFERROR(PRODUCTOS[[#This Row],[PROYECCION COMPRA]]/PRODUCTOS[[#This Row],[PPTO TOTAL]]-1,"")</f>
        <v/>
      </c>
      <c r="Y9" s="3" t="str">
        <f>+IFERROR((PRODUCTOS[[#This Row],[CANT X MODULO]]*704)-PRODUCTOS[[#This Row],[CANT. COMPRADA]],"")</f>
        <v/>
      </c>
      <c r="Z9" s="17" t="str">
        <f>+IFERROR(PRODUCTOS[[#This Row],[CANT. COMPRADA]]/PRODUCTOS[[#This Row],[PPTO FALTANTE]],"")</f>
        <v/>
      </c>
      <c r="AA9" s="3" t="str">
        <f>+IFERROR(PRODUCTOS[[#This Row],[PROYECCION COMPRA]]-(PRODUCTOS[[#This Row],[PPTO FALTANTE]]*PRODUCTOS[[#This Row],[PPTO]]),"")</f>
        <v/>
      </c>
      <c r="AB9" s="3">
        <f>+_xlfn.XLOOKUP(PRODUCTOS[[#This Row],[CODIGO]],DETALLE_GD_1[CODIGO],DETALLE_GD_1[VALOR PPTO],"",0)</f>
        <v>2130.7573000000002</v>
      </c>
      <c r="AC9" s="3" t="e">
        <f>+AB9-PRODUCTOS[[#This Row],[PPTO_ACTUALIZADO]]</f>
        <v>#VALUE!</v>
      </c>
    </row>
    <row r="10" spans="1:29" hidden="1" x14ac:dyDescent="0.25">
      <c r="A10">
        <v>1610023</v>
      </c>
      <c r="B10" t="s">
        <v>351</v>
      </c>
      <c r="C10" t="s">
        <v>59</v>
      </c>
      <c r="D10">
        <v>0</v>
      </c>
      <c r="E10">
        <v>0</v>
      </c>
      <c r="F10" s="2">
        <v>2109.0585420000002</v>
      </c>
      <c r="G10" s="6" t="s">
        <v>28</v>
      </c>
      <c r="H10" s="2" t="s">
        <v>355</v>
      </c>
      <c r="I10" t="b">
        <v>0</v>
      </c>
      <c r="J10" t="str">
        <f>+_xlfn.XLOOKUP(PRODUCTOS[[#This Row],[CODIGO]],P_CRITICOS[CODIGO],P_CRITICOS[DESC CORTA],"",0)</f>
        <v/>
      </c>
      <c r="K10" t="str">
        <f>+IFERROR(IF(VLOOKUP(PRODUCTOS[[#This Row],[CODIGO]],P_CRITICOS[],3,0)="*","PRODUCTO CRITICO","NO CRITICO"),"NO CRITICO")</f>
        <v>NO CRITICO</v>
      </c>
      <c r="L10" s="15" t="str">
        <f>+_xlfn.XLOOKUP(PRODUCTOS[[#This Row],[CODIGO]],BD_MODULO[Artículo],BD_MODULO[CUB_ACTUALIZADA],"",0)</f>
        <v/>
      </c>
      <c r="M10" s="2" t="str">
        <f>+IFERROR(PRODUCTOS[[#This Row],[PPTO]]*PRODUCTOS[[#This Row],[CANT X MODULO]],"")</f>
        <v/>
      </c>
      <c r="N10" s="2" t="str">
        <f>+IFERROR(PRODUCTOS[[#This Row],[PPTO X MODULO]]*32,"")</f>
        <v/>
      </c>
      <c r="O10" s="2" t="str">
        <f>+IFERROR(PRODUCTOS[[#This Row],[PPTO X TORRE]]*22,"")</f>
        <v/>
      </c>
      <c r="P10" s="3" t="str">
        <f>+IFERROR(PRODUCTOS[[#This Row],[CANT X MODULO]]*702,"")</f>
        <v/>
      </c>
      <c r="Q10" s="3">
        <f>+SUMIFS(DETALLE_GD_1[CANTIDAD SOLICITADA],DETALLE_GD_1[CODIGO],PRODUCTOS[[#This Row],[CODIGO]])</f>
        <v>106</v>
      </c>
      <c r="R10" s="3">
        <f>+SUMIFS(DETALLE_GD_1[DEVOLUCIÓN],DETALLE_GD_1[CODIGO],PRODUCTOS[[#This Row],[CODIGO]])</f>
        <v>0</v>
      </c>
      <c r="S10" s="3">
        <f>+PRODUCTOS[[#This Row],[CANT. COMPRADA]]-PRODUCTOS[[#This Row],[DEVOLUCIONES]]</f>
        <v>106</v>
      </c>
      <c r="T10" s="3" t="str">
        <f>+IFERROR(PRODUCTOS[[#This Row],[CANTIDAD RECIBIDA]]/PRODUCTOS[[#This Row],[CANT X MODULO]],"")</f>
        <v/>
      </c>
      <c r="U10" s="3">
        <f>+SUMIFS(DETALLE_GD_1[VALOR TOTAL POR ITEM GD],DETALLE_GD_1[CODIGO],PRODUCTOS[[#This Row],[CODIGO]])</f>
        <v>238561</v>
      </c>
      <c r="V10" s="3">
        <f>+IFERROR(PRODUCTOS[[#This Row],[PRECIO DE COMPRA]]/PRODUCTOS[[#This Row],[CANT. COMPRADA]],"")</f>
        <v>2250.5754716981132</v>
      </c>
      <c r="W10" s="3" t="str">
        <f>+IFERROR(PRODUCTOS[[#This Row],[PRECIO COMPRA UNITARIO]]*PRODUCTOS[[#This Row],[PPTO FALTANTE]],"")</f>
        <v/>
      </c>
      <c r="X10" s="7" t="str">
        <f>+IFERROR(PRODUCTOS[[#This Row],[PROYECCION COMPRA]]/PRODUCTOS[[#This Row],[PPTO TOTAL]]-1,"")</f>
        <v/>
      </c>
      <c r="Y10" s="3" t="str">
        <f>+IFERROR((PRODUCTOS[[#This Row],[CANT X MODULO]]*704)-PRODUCTOS[[#This Row],[CANT. COMPRADA]],"")</f>
        <v/>
      </c>
      <c r="Z10" s="17" t="str">
        <f>+IFERROR(PRODUCTOS[[#This Row],[CANT. COMPRADA]]/PRODUCTOS[[#This Row],[PPTO FALTANTE]],"")</f>
        <v/>
      </c>
      <c r="AA10" s="3" t="str">
        <f>+IFERROR(PRODUCTOS[[#This Row],[PROYECCION COMPRA]]-(PRODUCTOS[[#This Row],[PPTO FALTANTE]]*PRODUCTOS[[#This Row],[PPTO]]),"")</f>
        <v/>
      </c>
      <c r="AB10" s="3">
        <f>+_xlfn.XLOOKUP(PRODUCTOS[[#This Row],[CODIGO]],DETALLE_GD_1[CODIGO],DETALLE_GD_1[VALOR PPTO],"",0)</f>
        <v>2109.0585000000001</v>
      </c>
      <c r="AC10" s="3" t="e">
        <f>+AB10-PRODUCTOS[[#This Row],[PPTO_ACTUALIZADO]]</f>
        <v>#VALUE!</v>
      </c>
    </row>
    <row r="11" spans="1:29" hidden="1" x14ac:dyDescent="0.25">
      <c r="A11">
        <v>5316481</v>
      </c>
      <c r="B11" t="s">
        <v>60</v>
      </c>
      <c r="C11">
        <v>0</v>
      </c>
      <c r="D11">
        <v>0</v>
      </c>
      <c r="E11">
        <v>0</v>
      </c>
      <c r="F11" s="2">
        <v>11769.175824</v>
      </c>
      <c r="G11" s="6" t="s">
        <v>355</v>
      </c>
      <c r="H11" s="2" t="s">
        <v>355</v>
      </c>
      <c r="I11" t="b">
        <v>0</v>
      </c>
      <c r="J11" t="str">
        <f>+_xlfn.XLOOKUP(PRODUCTOS[[#This Row],[CODIGO]],P_CRITICOS[CODIGO],P_CRITICOS[DESC CORTA],"",0)</f>
        <v/>
      </c>
      <c r="K11" t="str">
        <f>+IFERROR(IF(VLOOKUP(PRODUCTOS[[#This Row],[CODIGO]],P_CRITICOS[],3,0)="*","PRODUCTO CRITICO","NO CRITICO"),"NO CRITICO")</f>
        <v>NO CRITICO</v>
      </c>
      <c r="L11" s="15" t="str">
        <f>+_xlfn.XLOOKUP(PRODUCTOS[[#This Row],[CODIGO]],BD_MODULO[Artículo],BD_MODULO[CUB_ACTUALIZADA],"",0)</f>
        <v/>
      </c>
      <c r="M11" s="2" t="str">
        <f>+IFERROR(PRODUCTOS[[#This Row],[PPTO]]*PRODUCTOS[[#This Row],[CANT X MODULO]],"")</f>
        <v/>
      </c>
      <c r="N11" s="2" t="str">
        <f>+IFERROR(PRODUCTOS[[#This Row],[PPTO X MODULO]]*32,"")</f>
        <v/>
      </c>
      <c r="O11" s="2" t="str">
        <f>+IFERROR(PRODUCTOS[[#This Row],[PPTO X TORRE]]*22,"")</f>
        <v/>
      </c>
      <c r="P11" s="3" t="str">
        <f>+IFERROR(PRODUCTOS[[#This Row],[CANT X MODULO]]*702,"")</f>
        <v/>
      </c>
      <c r="Q11" s="3">
        <f>+SUMIFS(DETALLE_GD_1[CANTIDAD SOLICITADA],DETALLE_GD_1[CODIGO],PRODUCTOS[[#This Row],[CODIGO]])</f>
        <v>1</v>
      </c>
      <c r="R11" s="3">
        <f>+SUMIFS(DETALLE_GD_1[DEVOLUCIÓN],DETALLE_GD_1[CODIGO],PRODUCTOS[[#This Row],[CODIGO]])</f>
        <v>0</v>
      </c>
      <c r="S11" s="3">
        <f>+PRODUCTOS[[#This Row],[CANT. COMPRADA]]-PRODUCTOS[[#This Row],[DEVOLUCIONES]]</f>
        <v>1</v>
      </c>
      <c r="T11" s="3" t="str">
        <f>+IFERROR(PRODUCTOS[[#This Row],[CANTIDAD RECIBIDA]]/PRODUCTOS[[#This Row],[CANT X MODULO]],"")</f>
        <v/>
      </c>
      <c r="U11" s="3">
        <f>+SUMIFS(DETALLE_GD_1[VALOR TOTAL POR ITEM GD],DETALLE_GD_1[CODIGO],PRODUCTOS[[#This Row],[CODIGO]])</f>
        <v>11769</v>
      </c>
      <c r="V11" s="3">
        <f>+IFERROR(PRODUCTOS[[#This Row],[PRECIO DE COMPRA]]/PRODUCTOS[[#This Row],[CANT. COMPRADA]],"")</f>
        <v>11769</v>
      </c>
      <c r="W11" s="3" t="str">
        <f>+IFERROR(PRODUCTOS[[#This Row],[PRECIO COMPRA UNITARIO]]*PRODUCTOS[[#This Row],[PPTO FALTANTE]],"")</f>
        <v/>
      </c>
      <c r="X11" s="7" t="str">
        <f>+IFERROR(PRODUCTOS[[#This Row],[PROYECCION COMPRA]]/PRODUCTOS[[#This Row],[PPTO TOTAL]]-1,"")</f>
        <v/>
      </c>
      <c r="Y11" s="3" t="str">
        <f>+IFERROR((PRODUCTOS[[#This Row],[CANT X MODULO]]*704)-PRODUCTOS[[#This Row],[CANT. COMPRADA]],"")</f>
        <v/>
      </c>
      <c r="Z11" s="17" t="str">
        <f>+IFERROR(PRODUCTOS[[#This Row],[CANT. COMPRADA]]/PRODUCTOS[[#This Row],[PPTO FALTANTE]],"")</f>
        <v/>
      </c>
      <c r="AA11" s="3" t="str">
        <f>+IFERROR(PRODUCTOS[[#This Row],[PROYECCION COMPRA]]-(PRODUCTOS[[#This Row],[PPTO FALTANTE]]*PRODUCTOS[[#This Row],[PPTO]]),"")</f>
        <v/>
      </c>
      <c r="AB11" s="3">
        <f>+_xlfn.XLOOKUP(PRODUCTOS[[#This Row],[CODIGO]],DETALLE_GD_1[CODIGO],DETALLE_GD_1[VALOR PPTO],"",0)</f>
        <v>11769.175800000001</v>
      </c>
      <c r="AC11" s="3" t="e">
        <f>+AB11-PRODUCTOS[[#This Row],[PPTO_ACTUALIZADO]]</f>
        <v>#VALUE!</v>
      </c>
    </row>
    <row r="12" spans="1:29" hidden="1" x14ac:dyDescent="0.25">
      <c r="A12">
        <v>5316479</v>
      </c>
      <c r="B12" t="s">
        <v>61</v>
      </c>
      <c r="C12" t="s">
        <v>581</v>
      </c>
      <c r="D12">
        <v>0</v>
      </c>
      <c r="E12">
        <v>0</v>
      </c>
      <c r="F12" s="2">
        <v>10525</v>
      </c>
      <c r="G12" s="6" t="s">
        <v>355</v>
      </c>
      <c r="H12" s="2" t="s">
        <v>355</v>
      </c>
      <c r="I12" t="b">
        <v>0</v>
      </c>
      <c r="J12" t="str">
        <f>+_xlfn.XLOOKUP(PRODUCTOS[[#This Row],[CODIGO]],P_CRITICOS[CODIGO],P_CRITICOS[DESC CORTA],"",0)</f>
        <v/>
      </c>
      <c r="K12" t="str">
        <f>+IFERROR(IF(VLOOKUP(PRODUCTOS[[#This Row],[CODIGO]],P_CRITICOS[],3,0)="*","PRODUCTO CRITICO","NO CRITICO"),"NO CRITICO")</f>
        <v>NO CRITICO</v>
      </c>
      <c r="L12" s="15" t="str">
        <f>+_xlfn.XLOOKUP(PRODUCTOS[[#This Row],[CODIGO]],BD_MODULO[Artículo],BD_MODULO[CUB_ACTUALIZADA],"",0)</f>
        <v/>
      </c>
      <c r="M12" s="2" t="str">
        <f>+IFERROR(PRODUCTOS[[#This Row],[PPTO]]*PRODUCTOS[[#This Row],[CANT X MODULO]],"")</f>
        <v/>
      </c>
      <c r="N12" s="2" t="str">
        <f>+IFERROR(PRODUCTOS[[#This Row],[PPTO X MODULO]]*32,"")</f>
        <v/>
      </c>
      <c r="O12" s="2" t="str">
        <f>+IFERROR(PRODUCTOS[[#This Row],[PPTO X TORRE]]*22,"")</f>
        <v/>
      </c>
      <c r="P12" s="3" t="str">
        <f>+IFERROR(PRODUCTOS[[#This Row],[CANT X MODULO]]*702,"")</f>
        <v/>
      </c>
      <c r="Q12" s="3">
        <f>+SUMIFS(DETALLE_GD_1[CANTIDAD SOLICITADA],DETALLE_GD_1[CODIGO],PRODUCTOS[[#This Row],[CODIGO]])</f>
        <v>1</v>
      </c>
      <c r="R12" s="3">
        <f>+SUMIFS(DETALLE_GD_1[DEVOLUCIÓN],DETALLE_GD_1[CODIGO],PRODUCTOS[[#This Row],[CODIGO]])</f>
        <v>0</v>
      </c>
      <c r="S12" s="3">
        <f>+PRODUCTOS[[#This Row],[CANT. COMPRADA]]-PRODUCTOS[[#This Row],[DEVOLUCIONES]]</f>
        <v>1</v>
      </c>
      <c r="T12" s="3" t="str">
        <f>+IFERROR(PRODUCTOS[[#This Row],[CANTIDAD RECIBIDA]]/PRODUCTOS[[#This Row],[CANT X MODULO]],"")</f>
        <v/>
      </c>
      <c r="U12" s="3">
        <f>+SUMIFS(DETALLE_GD_1[VALOR TOTAL POR ITEM GD],DETALLE_GD_1[CODIGO],PRODUCTOS[[#This Row],[CODIGO]])</f>
        <v>10525</v>
      </c>
      <c r="V12" s="3">
        <f>+IFERROR(PRODUCTOS[[#This Row],[PRECIO DE COMPRA]]/PRODUCTOS[[#This Row],[CANT. COMPRADA]],"")</f>
        <v>10525</v>
      </c>
      <c r="W12" s="3" t="str">
        <f>+IFERROR(PRODUCTOS[[#This Row],[PRECIO COMPRA UNITARIO]]*PRODUCTOS[[#This Row],[PPTO FALTANTE]],"")</f>
        <v/>
      </c>
      <c r="X12" s="7" t="str">
        <f>+IFERROR(PRODUCTOS[[#This Row],[PROYECCION COMPRA]]/PRODUCTOS[[#This Row],[PPTO TOTAL]]-1,"")</f>
        <v/>
      </c>
      <c r="Y12" s="3" t="str">
        <f>+IFERROR((PRODUCTOS[[#This Row],[CANT X MODULO]]*704)-PRODUCTOS[[#This Row],[CANT. COMPRADA]],"")</f>
        <v/>
      </c>
      <c r="Z12" s="17" t="str">
        <f>+IFERROR(PRODUCTOS[[#This Row],[CANT. COMPRADA]]/PRODUCTOS[[#This Row],[PPTO FALTANTE]],"")</f>
        <v/>
      </c>
      <c r="AA12" s="3" t="str">
        <f>+IFERROR(PRODUCTOS[[#This Row],[PROYECCION COMPRA]]-(PRODUCTOS[[#This Row],[PPTO FALTANTE]]*PRODUCTOS[[#This Row],[PPTO]]),"")</f>
        <v/>
      </c>
      <c r="AB12" s="3">
        <f>+_xlfn.XLOOKUP(PRODUCTOS[[#This Row],[CODIGO]],DETALLE_GD_1[CODIGO],DETALLE_GD_1[VALOR PPTO],"",0)</f>
        <v>10525</v>
      </c>
      <c r="AC12" s="3" t="e">
        <f>+AB12-PRODUCTOS[[#This Row],[PPTO_ACTUALIZADO]]</f>
        <v>#VALUE!</v>
      </c>
    </row>
    <row r="13" spans="1:29" hidden="1" x14ac:dyDescent="0.25">
      <c r="A13">
        <v>5316482</v>
      </c>
      <c r="B13" t="s">
        <v>62</v>
      </c>
      <c r="C13" t="s">
        <v>582</v>
      </c>
      <c r="D13">
        <v>0</v>
      </c>
      <c r="E13">
        <v>0</v>
      </c>
      <c r="F13" s="2">
        <v>1511</v>
      </c>
      <c r="G13" s="6" t="s">
        <v>355</v>
      </c>
      <c r="H13" s="2" t="s">
        <v>355</v>
      </c>
      <c r="I13" t="b">
        <v>0</v>
      </c>
      <c r="J13" t="str">
        <f>+_xlfn.XLOOKUP(PRODUCTOS[[#This Row],[CODIGO]],P_CRITICOS[CODIGO],P_CRITICOS[DESC CORTA],"",0)</f>
        <v/>
      </c>
      <c r="K13" t="str">
        <f>+IFERROR(IF(VLOOKUP(PRODUCTOS[[#This Row],[CODIGO]],P_CRITICOS[],3,0)="*","PRODUCTO CRITICO","NO CRITICO"),"NO CRITICO")</f>
        <v>NO CRITICO</v>
      </c>
      <c r="L13" s="15" t="str">
        <f>+_xlfn.XLOOKUP(PRODUCTOS[[#This Row],[CODIGO]],BD_MODULO[Artículo],BD_MODULO[CUB_ACTUALIZADA],"",0)</f>
        <v/>
      </c>
      <c r="M13" s="2" t="str">
        <f>+IFERROR(PRODUCTOS[[#This Row],[PPTO]]*PRODUCTOS[[#This Row],[CANT X MODULO]],"")</f>
        <v/>
      </c>
      <c r="N13" s="2" t="str">
        <f>+IFERROR(PRODUCTOS[[#This Row],[PPTO X MODULO]]*32,"")</f>
        <v/>
      </c>
      <c r="O13" s="2" t="str">
        <f>+IFERROR(PRODUCTOS[[#This Row],[PPTO X TORRE]]*22,"")</f>
        <v/>
      </c>
      <c r="P13" s="3" t="str">
        <f>+IFERROR(PRODUCTOS[[#This Row],[CANT X MODULO]]*702,"")</f>
        <v/>
      </c>
      <c r="Q13" s="3">
        <f>+SUMIFS(DETALLE_GD_1[CANTIDAD SOLICITADA],DETALLE_GD_1[CODIGO],PRODUCTOS[[#This Row],[CODIGO]])</f>
        <v>1</v>
      </c>
      <c r="R13" s="3">
        <f>+SUMIFS(DETALLE_GD_1[DEVOLUCIÓN],DETALLE_GD_1[CODIGO],PRODUCTOS[[#This Row],[CODIGO]])</f>
        <v>0</v>
      </c>
      <c r="S13" s="3">
        <f>+PRODUCTOS[[#This Row],[CANT. COMPRADA]]-PRODUCTOS[[#This Row],[DEVOLUCIONES]]</f>
        <v>1</v>
      </c>
      <c r="T13" s="3" t="str">
        <f>+IFERROR(PRODUCTOS[[#This Row],[CANTIDAD RECIBIDA]]/PRODUCTOS[[#This Row],[CANT X MODULO]],"")</f>
        <v/>
      </c>
      <c r="U13" s="3">
        <f>+SUMIFS(DETALLE_GD_1[VALOR TOTAL POR ITEM GD],DETALLE_GD_1[CODIGO],PRODUCTOS[[#This Row],[CODIGO]])</f>
        <v>1511</v>
      </c>
      <c r="V13" s="3">
        <f>+IFERROR(PRODUCTOS[[#This Row],[PRECIO DE COMPRA]]/PRODUCTOS[[#This Row],[CANT. COMPRADA]],"")</f>
        <v>1511</v>
      </c>
      <c r="W13" s="3" t="str">
        <f>+IFERROR(PRODUCTOS[[#This Row],[PRECIO COMPRA UNITARIO]]*PRODUCTOS[[#This Row],[PPTO FALTANTE]],"")</f>
        <v/>
      </c>
      <c r="X13" s="7" t="str">
        <f>+IFERROR(PRODUCTOS[[#This Row],[PROYECCION COMPRA]]/PRODUCTOS[[#This Row],[PPTO TOTAL]]-1,"")</f>
        <v/>
      </c>
      <c r="Y13" s="3" t="str">
        <f>+IFERROR((PRODUCTOS[[#This Row],[CANT X MODULO]]*704)-PRODUCTOS[[#This Row],[CANT. COMPRADA]],"")</f>
        <v/>
      </c>
      <c r="Z13" s="17" t="str">
        <f>+IFERROR(PRODUCTOS[[#This Row],[CANT. COMPRADA]]/PRODUCTOS[[#This Row],[PPTO FALTANTE]],"")</f>
        <v/>
      </c>
      <c r="AA13" s="3" t="str">
        <f>+IFERROR(PRODUCTOS[[#This Row],[PROYECCION COMPRA]]-(PRODUCTOS[[#This Row],[PPTO FALTANTE]]*PRODUCTOS[[#This Row],[PPTO]]),"")</f>
        <v/>
      </c>
      <c r="AB13" s="3">
        <f>+_xlfn.XLOOKUP(PRODUCTOS[[#This Row],[CODIGO]],DETALLE_GD_1[CODIGO],DETALLE_GD_1[VALOR PPTO],"",0)</f>
        <v>1511</v>
      </c>
      <c r="AC13" s="3" t="e">
        <f>+AB13-PRODUCTOS[[#This Row],[PPTO_ACTUALIZADO]]</f>
        <v>#VALUE!</v>
      </c>
    </row>
    <row r="14" spans="1:29" hidden="1" x14ac:dyDescent="0.25">
      <c r="A14">
        <v>404184</v>
      </c>
      <c r="B14" t="s">
        <v>66</v>
      </c>
      <c r="C14" t="s">
        <v>585</v>
      </c>
      <c r="D14">
        <v>0</v>
      </c>
      <c r="E14">
        <v>0</v>
      </c>
      <c r="F14" s="2">
        <v>1754.8757310000001</v>
      </c>
      <c r="G14" s="6" t="s">
        <v>355</v>
      </c>
      <c r="H14" s="2" t="s">
        <v>355</v>
      </c>
      <c r="I14" t="b">
        <v>0</v>
      </c>
      <c r="J14" t="str">
        <f>+_xlfn.XLOOKUP(PRODUCTOS[[#This Row],[CODIGO]],P_CRITICOS[CODIGO],P_CRITICOS[DESC CORTA],"",0)</f>
        <v/>
      </c>
      <c r="K14" t="str">
        <f>+IFERROR(IF(VLOOKUP(PRODUCTOS[[#This Row],[CODIGO]],P_CRITICOS[],3,0)="*","PRODUCTO CRITICO","NO CRITICO"),"NO CRITICO")</f>
        <v>NO CRITICO</v>
      </c>
      <c r="L14" s="15" t="str">
        <f>+_xlfn.XLOOKUP(PRODUCTOS[[#This Row],[CODIGO]],BD_MODULO[Artículo],BD_MODULO[CUB_ACTUALIZADA],"",0)</f>
        <v/>
      </c>
      <c r="M14" s="2" t="str">
        <f>+IFERROR(PRODUCTOS[[#This Row],[PPTO]]*PRODUCTOS[[#This Row],[CANT X MODULO]],"")</f>
        <v/>
      </c>
      <c r="N14" s="2" t="str">
        <f>+IFERROR(PRODUCTOS[[#This Row],[PPTO X MODULO]]*32,"")</f>
        <v/>
      </c>
      <c r="O14" s="2" t="str">
        <f>+IFERROR(PRODUCTOS[[#This Row],[PPTO X TORRE]]*22,"")</f>
        <v/>
      </c>
      <c r="P14" s="3" t="str">
        <f>+IFERROR(PRODUCTOS[[#This Row],[CANT X MODULO]]*702,"")</f>
        <v/>
      </c>
      <c r="Q14" s="3">
        <f>+SUMIFS(DETALLE_GD_1[CANTIDAD SOLICITADA],DETALLE_GD_1[CODIGO],PRODUCTOS[[#This Row],[CODIGO]])</f>
        <v>139</v>
      </c>
      <c r="R14" s="3">
        <f>+SUMIFS(DETALLE_GD_1[DEVOLUCIÓN],DETALLE_GD_1[CODIGO],PRODUCTOS[[#This Row],[CODIGO]])</f>
        <v>0</v>
      </c>
      <c r="S14" s="3">
        <f>+PRODUCTOS[[#This Row],[CANT. COMPRADA]]-PRODUCTOS[[#This Row],[DEVOLUCIONES]]</f>
        <v>139</v>
      </c>
      <c r="T14" s="3" t="str">
        <f>+IFERROR(PRODUCTOS[[#This Row],[CANTIDAD RECIBIDA]]/PRODUCTOS[[#This Row],[CANT X MODULO]],"")</f>
        <v/>
      </c>
      <c r="U14" s="3">
        <f>+SUMIFS(DETALLE_GD_1[VALOR TOTAL POR ITEM GD],DETALLE_GD_1[CODIGO],PRODUCTOS[[#This Row],[CODIGO]])</f>
        <v>243449</v>
      </c>
      <c r="V14" s="3">
        <f>+IFERROR(PRODUCTOS[[#This Row],[PRECIO DE COMPRA]]/PRODUCTOS[[#This Row],[CANT. COMPRADA]],"")</f>
        <v>1751.4316546762591</v>
      </c>
      <c r="W14" s="3" t="str">
        <f>+IFERROR(PRODUCTOS[[#This Row],[PRECIO COMPRA UNITARIO]]*PRODUCTOS[[#This Row],[PPTO FALTANTE]],"")</f>
        <v/>
      </c>
      <c r="X14" s="7" t="str">
        <f>+IFERROR(PRODUCTOS[[#This Row],[PROYECCION COMPRA]]/PRODUCTOS[[#This Row],[PPTO TOTAL]]-1,"")</f>
        <v/>
      </c>
      <c r="Y14" s="3" t="str">
        <f>+IFERROR((PRODUCTOS[[#This Row],[CANT X MODULO]]*704)-PRODUCTOS[[#This Row],[CANT. COMPRADA]],"")</f>
        <v/>
      </c>
      <c r="Z14" s="17" t="str">
        <f>+IFERROR(PRODUCTOS[[#This Row],[CANT. COMPRADA]]/PRODUCTOS[[#This Row],[PPTO FALTANTE]],"")</f>
        <v/>
      </c>
      <c r="AA14" s="3" t="str">
        <f>+IFERROR(PRODUCTOS[[#This Row],[PROYECCION COMPRA]]-(PRODUCTOS[[#This Row],[PPTO FALTANTE]]*PRODUCTOS[[#This Row],[PPTO]]),"")</f>
        <v/>
      </c>
      <c r="AB14" s="3">
        <f>+_xlfn.XLOOKUP(PRODUCTOS[[#This Row],[CODIGO]],DETALLE_GD_1[CODIGO],DETALLE_GD_1[VALOR PPTO],"",0)</f>
        <v>1754.8757000000001</v>
      </c>
      <c r="AC14" s="3" t="e">
        <f>+AB14-PRODUCTOS[[#This Row],[PPTO_ACTUALIZADO]]</f>
        <v>#VALUE!</v>
      </c>
    </row>
    <row r="15" spans="1:29" hidden="1" x14ac:dyDescent="0.25">
      <c r="A15">
        <v>601122</v>
      </c>
      <c r="B15" t="s">
        <v>69</v>
      </c>
      <c r="C15" t="s">
        <v>587</v>
      </c>
      <c r="D15">
        <v>0</v>
      </c>
      <c r="E15">
        <v>0</v>
      </c>
      <c r="F15" s="2">
        <v>12000</v>
      </c>
      <c r="G15" s="6" t="s">
        <v>355</v>
      </c>
      <c r="H15" s="2" t="s">
        <v>355</v>
      </c>
      <c r="I15" t="b">
        <v>0</v>
      </c>
      <c r="J15" t="str">
        <f>+_xlfn.XLOOKUP(PRODUCTOS[[#This Row],[CODIGO]],P_CRITICOS[CODIGO],P_CRITICOS[DESC CORTA],"",0)</f>
        <v/>
      </c>
      <c r="K15" t="str">
        <f>+IFERROR(IF(VLOOKUP(PRODUCTOS[[#This Row],[CODIGO]],P_CRITICOS[],3,0)="*","PRODUCTO CRITICO","NO CRITICO"),"NO CRITICO")</f>
        <v>NO CRITICO</v>
      </c>
      <c r="L15" s="15" t="str">
        <f>+_xlfn.XLOOKUP(PRODUCTOS[[#This Row],[CODIGO]],BD_MODULO[Artículo],BD_MODULO[CUB_ACTUALIZADA],"",0)</f>
        <v/>
      </c>
      <c r="M15" s="2" t="str">
        <f>+IFERROR(PRODUCTOS[[#This Row],[PPTO]]*PRODUCTOS[[#This Row],[CANT X MODULO]],"")</f>
        <v/>
      </c>
      <c r="N15" s="2" t="str">
        <f>+IFERROR(PRODUCTOS[[#This Row],[PPTO X MODULO]]*32,"")</f>
        <v/>
      </c>
      <c r="O15" s="2" t="str">
        <f>+IFERROR(PRODUCTOS[[#This Row],[PPTO X TORRE]]*22,"")</f>
        <v/>
      </c>
      <c r="P15" s="3" t="str">
        <f>+IFERROR(PRODUCTOS[[#This Row],[CANT X MODULO]]*702,"")</f>
        <v/>
      </c>
      <c r="Q15" s="3">
        <f>+SUMIFS(DETALLE_GD_1[CANTIDAD SOLICITADA],DETALLE_GD_1[CODIGO],PRODUCTOS[[#This Row],[CODIGO]])</f>
        <v>1</v>
      </c>
      <c r="R15" s="3">
        <f>+SUMIFS(DETALLE_GD_1[DEVOLUCIÓN],DETALLE_GD_1[CODIGO],PRODUCTOS[[#This Row],[CODIGO]])</f>
        <v>0</v>
      </c>
      <c r="S15" s="3">
        <f>+PRODUCTOS[[#This Row],[CANT. COMPRADA]]-PRODUCTOS[[#This Row],[DEVOLUCIONES]]</f>
        <v>1</v>
      </c>
      <c r="T15" s="3" t="str">
        <f>+IFERROR(PRODUCTOS[[#This Row],[CANTIDAD RECIBIDA]]/PRODUCTOS[[#This Row],[CANT X MODULO]],"")</f>
        <v/>
      </c>
      <c r="U15" s="3">
        <f>+SUMIFS(DETALLE_GD_1[VALOR TOTAL POR ITEM GD],DETALLE_GD_1[CODIGO],PRODUCTOS[[#This Row],[CODIGO]])</f>
        <v>12000</v>
      </c>
      <c r="V15" s="3">
        <f>+IFERROR(PRODUCTOS[[#This Row],[PRECIO DE COMPRA]]/PRODUCTOS[[#This Row],[CANT. COMPRADA]],"")</f>
        <v>12000</v>
      </c>
      <c r="W15" s="3" t="str">
        <f>+IFERROR(PRODUCTOS[[#This Row],[PRECIO COMPRA UNITARIO]]*PRODUCTOS[[#This Row],[PPTO FALTANTE]],"")</f>
        <v/>
      </c>
      <c r="X15" s="7" t="str">
        <f>+IFERROR(PRODUCTOS[[#This Row],[PROYECCION COMPRA]]/PRODUCTOS[[#This Row],[PPTO TOTAL]]-1,"")</f>
        <v/>
      </c>
      <c r="Y15" s="3" t="str">
        <f>+IFERROR((PRODUCTOS[[#This Row],[CANT X MODULO]]*704)-PRODUCTOS[[#This Row],[CANT. COMPRADA]],"")</f>
        <v/>
      </c>
      <c r="Z15" s="17" t="str">
        <f>+IFERROR(PRODUCTOS[[#This Row],[CANT. COMPRADA]]/PRODUCTOS[[#This Row],[PPTO FALTANTE]],"")</f>
        <v/>
      </c>
      <c r="AA15" s="3" t="str">
        <f>+IFERROR(PRODUCTOS[[#This Row],[PROYECCION COMPRA]]-(PRODUCTOS[[#This Row],[PPTO FALTANTE]]*PRODUCTOS[[#This Row],[PPTO]]),"")</f>
        <v/>
      </c>
      <c r="AB15" s="3">
        <f>+_xlfn.XLOOKUP(PRODUCTOS[[#This Row],[CODIGO]],DETALLE_GD_1[CODIGO],DETALLE_GD_1[VALOR PPTO],"",0)</f>
        <v>12000</v>
      </c>
      <c r="AC15" s="3" t="e">
        <f>+AB15-PRODUCTOS[[#This Row],[PPTO_ACTUALIZADO]]</f>
        <v>#VALUE!</v>
      </c>
    </row>
    <row r="16" spans="1:29" hidden="1" x14ac:dyDescent="0.25">
      <c r="A16">
        <v>601123</v>
      </c>
      <c r="B16" t="s">
        <v>70</v>
      </c>
      <c r="C16" t="s">
        <v>588</v>
      </c>
      <c r="D16">
        <v>0</v>
      </c>
      <c r="E16">
        <v>0</v>
      </c>
      <c r="F16" s="2">
        <v>11427.75</v>
      </c>
      <c r="G16" s="6" t="s">
        <v>355</v>
      </c>
      <c r="H16" s="2" t="s">
        <v>355</v>
      </c>
      <c r="I16" t="b">
        <v>0</v>
      </c>
      <c r="J16" t="str">
        <f>+_xlfn.XLOOKUP(PRODUCTOS[[#This Row],[CODIGO]],P_CRITICOS[CODIGO],P_CRITICOS[DESC CORTA],"",0)</f>
        <v/>
      </c>
      <c r="K16" t="str">
        <f>+IFERROR(IF(VLOOKUP(PRODUCTOS[[#This Row],[CODIGO]],P_CRITICOS[],3,0)="*","PRODUCTO CRITICO","NO CRITICO"),"NO CRITICO")</f>
        <v>NO CRITICO</v>
      </c>
      <c r="L16" s="15" t="str">
        <f>+_xlfn.XLOOKUP(PRODUCTOS[[#This Row],[CODIGO]],BD_MODULO[Artículo],BD_MODULO[CUB_ACTUALIZADA],"",0)</f>
        <v/>
      </c>
      <c r="M16" s="2" t="str">
        <f>+IFERROR(PRODUCTOS[[#This Row],[PPTO]]*PRODUCTOS[[#This Row],[CANT X MODULO]],"")</f>
        <v/>
      </c>
      <c r="N16" s="2" t="str">
        <f>+IFERROR(PRODUCTOS[[#This Row],[PPTO X MODULO]]*32,"")</f>
        <v/>
      </c>
      <c r="O16" s="2" t="str">
        <f>+IFERROR(PRODUCTOS[[#This Row],[PPTO X TORRE]]*22,"")</f>
        <v/>
      </c>
      <c r="P16" s="3" t="str">
        <f>+IFERROR(PRODUCTOS[[#This Row],[CANT X MODULO]]*702,"")</f>
        <v/>
      </c>
      <c r="Q16" s="3">
        <f>+SUMIFS(DETALLE_GD_1[CANTIDAD SOLICITADA],DETALLE_GD_1[CODIGO],PRODUCTOS[[#This Row],[CODIGO]])</f>
        <v>1</v>
      </c>
      <c r="R16" s="3">
        <f>+SUMIFS(DETALLE_GD_1[DEVOLUCIÓN],DETALLE_GD_1[CODIGO],PRODUCTOS[[#This Row],[CODIGO]])</f>
        <v>0</v>
      </c>
      <c r="S16" s="3">
        <f>+PRODUCTOS[[#This Row],[CANT. COMPRADA]]-PRODUCTOS[[#This Row],[DEVOLUCIONES]]</f>
        <v>1</v>
      </c>
      <c r="T16" s="3" t="str">
        <f>+IFERROR(PRODUCTOS[[#This Row],[CANTIDAD RECIBIDA]]/PRODUCTOS[[#This Row],[CANT X MODULO]],"")</f>
        <v/>
      </c>
      <c r="U16" s="3">
        <f>+SUMIFS(DETALLE_GD_1[VALOR TOTAL POR ITEM GD],DETALLE_GD_1[CODIGO],PRODUCTOS[[#This Row],[CODIGO]])</f>
        <v>11428</v>
      </c>
      <c r="V16" s="3">
        <f>+IFERROR(PRODUCTOS[[#This Row],[PRECIO DE COMPRA]]/PRODUCTOS[[#This Row],[CANT. COMPRADA]],"")</f>
        <v>11428</v>
      </c>
      <c r="W16" s="3" t="str">
        <f>+IFERROR(PRODUCTOS[[#This Row],[PRECIO COMPRA UNITARIO]]*PRODUCTOS[[#This Row],[PPTO FALTANTE]],"")</f>
        <v/>
      </c>
      <c r="X16" s="7" t="str">
        <f>+IFERROR(PRODUCTOS[[#This Row],[PROYECCION COMPRA]]/PRODUCTOS[[#This Row],[PPTO TOTAL]]-1,"")</f>
        <v/>
      </c>
      <c r="Y16" s="3" t="str">
        <f>+IFERROR((PRODUCTOS[[#This Row],[CANT X MODULO]]*704)-PRODUCTOS[[#This Row],[CANT. COMPRADA]],"")</f>
        <v/>
      </c>
      <c r="Z16" s="17" t="str">
        <f>+IFERROR(PRODUCTOS[[#This Row],[CANT. COMPRADA]]/PRODUCTOS[[#This Row],[PPTO FALTANTE]],"")</f>
        <v/>
      </c>
      <c r="AA16" s="3" t="str">
        <f>+IFERROR(PRODUCTOS[[#This Row],[PROYECCION COMPRA]]-(PRODUCTOS[[#This Row],[PPTO FALTANTE]]*PRODUCTOS[[#This Row],[PPTO]]),"")</f>
        <v/>
      </c>
      <c r="AB16" s="3">
        <f>+_xlfn.XLOOKUP(PRODUCTOS[[#This Row],[CODIGO]],DETALLE_GD_1[CODIGO],DETALLE_GD_1[VALOR PPTO],"",0)</f>
        <v>11427.75</v>
      </c>
      <c r="AC16" s="3" t="e">
        <f>+AB16-PRODUCTOS[[#This Row],[PPTO_ACTUALIZADO]]</f>
        <v>#VALUE!</v>
      </c>
    </row>
    <row r="17" spans="1:29" hidden="1" x14ac:dyDescent="0.25">
      <c r="A17">
        <v>602060</v>
      </c>
      <c r="B17" t="s">
        <v>71</v>
      </c>
      <c r="C17" t="s">
        <v>589</v>
      </c>
      <c r="D17">
        <v>0</v>
      </c>
      <c r="E17">
        <v>0</v>
      </c>
      <c r="F17" s="2">
        <v>63032</v>
      </c>
      <c r="G17" s="6" t="s">
        <v>355</v>
      </c>
      <c r="H17" s="2" t="s">
        <v>355</v>
      </c>
      <c r="I17" t="b">
        <v>0</v>
      </c>
      <c r="J17" t="str">
        <f>+_xlfn.XLOOKUP(PRODUCTOS[[#This Row],[CODIGO]],P_CRITICOS[CODIGO],P_CRITICOS[DESC CORTA],"",0)</f>
        <v/>
      </c>
      <c r="K17" t="str">
        <f>+IFERROR(IF(VLOOKUP(PRODUCTOS[[#This Row],[CODIGO]],P_CRITICOS[],3,0)="*","PRODUCTO CRITICO","NO CRITICO"),"NO CRITICO")</f>
        <v>NO CRITICO</v>
      </c>
      <c r="L17" s="15" t="str">
        <f>+_xlfn.XLOOKUP(PRODUCTOS[[#This Row],[CODIGO]],BD_MODULO[Artículo],BD_MODULO[CUB_ACTUALIZADA],"",0)</f>
        <v/>
      </c>
      <c r="M17" s="2" t="str">
        <f>+IFERROR(PRODUCTOS[[#This Row],[PPTO]]*PRODUCTOS[[#This Row],[CANT X MODULO]],"")</f>
        <v/>
      </c>
      <c r="N17" s="2" t="str">
        <f>+IFERROR(PRODUCTOS[[#This Row],[PPTO X MODULO]]*32,"")</f>
        <v/>
      </c>
      <c r="O17" s="2" t="str">
        <f>+IFERROR(PRODUCTOS[[#This Row],[PPTO X TORRE]]*22,"")</f>
        <v/>
      </c>
      <c r="P17" s="3" t="str">
        <f>+IFERROR(PRODUCTOS[[#This Row],[CANT X MODULO]]*702,"")</f>
        <v/>
      </c>
      <c r="Q17" s="3">
        <f>+SUMIFS(DETALLE_GD_1[CANTIDAD SOLICITADA],DETALLE_GD_1[CODIGO],PRODUCTOS[[#This Row],[CODIGO]])</f>
        <v>1</v>
      </c>
      <c r="R17" s="3">
        <f>+SUMIFS(DETALLE_GD_1[DEVOLUCIÓN],DETALLE_GD_1[CODIGO],PRODUCTOS[[#This Row],[CODIGO]])</f>
        <v>0</v>
      </c>
      <c r="S17" s="3">
        <f>+PRODUCTOS[[#This Row],[CANT. COMPRADA]]-PRODUCTOS[[#This Row],[DEVOLUCIONES]]</f>
        <v>1</v>
      </c>
      <c r="T17" s="3" t="str">
        <f>+IFERROR(PRODUCTOS[[#This Row],[CANTIDAD RECIBIDA]]/PRODUCTOS[[#This Row],[CANT X MODULO]],"")</f>
        <v/>
      </c>
      <c r="U17" s="3">
        <f>+SUMIFS(DETALLE_GD_1[VALOR TOTAL POR ITEM GD],DETALLE_GD_1[CODIGO],PRODUCTOS[[#This Row],[CODIGO]])</f>
        <v>63032</v>
      </c>
      <c r="V17" s="3">
        <f>+IFERROR(PRODUCTOS[[#This Row],[PRECIO DE COMPRA]]/PRODUCTOS[[#This Row],[CANT. COMPRADA]],"")</f>
        <v>63032</v>
      </c>
      <c r="W17" s="3" t="str">
        <f>+IFERROR(PRODUCTOS[[#This Row],[PRECIO COMPRA UNITARIO]]*PRODUCTOS[[#This Row],[PPTO FALTANTE]],"")</f>
        <v/>
      </c>
      <c r="X17" s="7" t="str">
        <f>+IFERROR(PRODUCTOS[[#This Row],[PROYECCION COMPRA]]/PRODUCTOS[[#This Row],[PPTO TOTAL]]-1,"")</f>
        <v/>
      </c>
      <c r="Y17" s="3" t="str">
        <f>+IFERROR((PRODUCTOS[[#This Row],[CANT X MODULO]]*704)-PRODUCTOS[[#This Row],[CANT. COMPRADA]],"")</f>
        <v/>
      </c>
      <c r="Z17" s="17" t="str">
        <f>+IFERROR(PRODUCTOS[[#This Row],[CANT. COMPRADA]]/PRODUCTOS[[#This Row],[PPTO FALTANTE]],"")</f>
        <v/>
      </c>
      <c r="AA17" s="3" t="str">
        <f>+IFERROR(PRODUCTOS[[#This Row],[PROYECCION COMPRA]]-(PRODUCTOS[[#This Row],[PPTO FALTANTE]]*PRODUCTOS[[#This Row],[PPTO]]),"")</f>
        <v/>
      </c>
      <c r="AB17" s="3">
        <f>+_xlfn.XLOOKUP(PRODUCTOS[[#This Row],[CODIGO]],DETALLE_GD_1[CODIGO],DETALLE_GD_1[VALOR PPTO],"",0)</f>
        <v>63032</v>
      </c>
      <c r="AC17" s="3" t="e">
        <f>+AB17-PRODUCTOS[[#This Row],[PPTO_ACTUALIZADO]]</f>
        <v>#VALUE!</v>
      </c>
    </row>
    <row r="18" spans="1:29" hidden="1" x14ac:dyDescent="0.25">
      <c r="A18">
        <v>701022</v>
      </c>
      <c r="B18" t="s">
        <v>76</v>
      </c>
      <c r="C18" t="s">
        <v>563</v>
      </c>
      <c r="D18">
        <v>0</v>
      </c>
      <c r="E18">
        <v>0</v>
      </c>
      <c r="F18" s="2">
        <v>11163.59851</v>
      </c>
      <c r="G18" s="6" t="s">
        <v>355</v>
      </c>
      <c r="H18" s="2" t="s">
        <v>355</v>
      </c>
      <c r="I18" t="b">
        <v>0</v>
      </c>
      <c r="J18" t="str">
        <f>+_xlfn.XLOOKUP(PRODUCTOS[[#This Row],[CODIGO]],P_CRITICOS[CODIGO],P_CRITICOS[DESC CORTA],"",0)</f>
        <v/>
      </c>
      <c r="K18" t="str">
        <f>+IFERROR(IF(VLOOKUP(PRODUCTOS[[#This Row],[CODIGO]],P_CRITICOS[],3,0)="*","PRODUCTO CRITICO","NO CRITICO"),"NO CRITICO")</f>
        <v>NO CRITICO</v>
      </c>
      <c r="L18" s="15" t="str">
        <f>+_xlfn.XLOOKUP(PRODUCTOS[[#This Row],[CODIGO]],BD_MODULO[Artículo],BD_MODULO[CUB_ACTUALIZADA],"",0)</f>
        <v/>
      </c>
      <c r="M18" s="2" t="str">
        <f>+IFERROR(PRODUCTOS[[#This Row],[PPTO]]*PRODUCTOS[[#This Row],[CANT X MODULO]],"")</f>
        <v/>
      </c>
      <c r="N18" s="2" t="str">
        <f>+IFERROR(PRODUCTOS[[#This Row],[PPTO X MODULO]]*32,"")</f>
        <v/>
      </c>
      <c r="O18" s="2" t="str">
        <f>+IFERROR(PRODUCTOS[[#This Row],[PPTO X TORRE]]*22,"")</f>
        <v/>
      </c>
      <c r="P18" s="3" t="str">
        <f>+IFERROR(PRODUCTOS[[#This Row],[CANT X MODULO]]*702,"")</f>
        <v/>
      </c>
      <c r="Q18" s="3">
        <f>+SUMIFS(DETALLE_GD_1[CANTIDAD SOLICITADA],DETALLE_GD_1[CODIGO],PRODUCTOS[[#This Row],[CODIGO]])</f>
        <v>31</v>
      </c>
      <c r="R18" s="3">
        <f>+SUMIFS(DETALLE_GD_1[DEVOLUCIÓN],DETALLE_GD_1[CODIGO],PRODUCTOS[[#This Row],[CODIGO]])</f>
        <v>0</v>
      </c>
      <c r="S18" s="3">
        <f>+PRODUCTOS[[#This Row],[CANT. COMPRADA]]-PRODUCTOS[[#This Row],[DEVOLUCIONES]]</f>
        <v>31</v>
      </c>
      <c r="T18" s="3" t="str">
        <f>+IFERROR(PRODUCTOS[[#This Row],[CANTIDAD RECIBIDA]]/PRODUCTOS[[#This Row],[CANT X MODULO]],"")</f>
        <v/>
      </c>
      <c r="U18" s="3">
        <f>+SUMIFS(DETALLE_GD_1[VALOR TOTAL POR ITEM GD],DETALLE_GD_1[CODIGO],PRODUCTOS[[#This Row],[CODIGO]])</f>
        <v>344416</v>
      </c>
      <c r="V18" s="3">
        <f>+IFERROR(PRODUCTOS[[#This Row],[PRECIO DE COMPRA]]/PRODUCTOS[[#This Row],[CANT. COMPRADA]],"")</f>
        <v>11110.193548387097</v>
      </c>
      <c r="W18" s="3" t="str">
        <f>+IFERROR(PRODUCTOS[[#This Row],[PRECIO COMPRA UNITARIO]]*PRODUCTOS[[#This Row],[PPTO FALTANTE]],"")</f>
        <v/>
      </c>
      <c r="X18" s="7" t="str">
        <f>+IFERROR(PRODUCTOS[[#This Row],[PROYECCION COMPRA]]/PRODUCTOS[[#This Row],[PPTO TOTAL]]-1,"")</f>
        <v/>
      </c>
      <c r="Y18" s="3" t="str">
        <f>+IFERROR((PRODUCTOS[[#This Row],[CANT X MODULO]]*704)-PRODUCTOS[[#This Row],[CANT. COMPRADA]],"")</f>
        <v/>
      </c>
      <c r="Z18" s="17" t="str">
        <f>+IFERROR(PRODUCTOS[[#This Row],[CANT. COMPRADA]]/PRODUCTOS[[#This Row],[PPTO FALTANTE]],"")</f>
        <v/>
      </c>
      <c r="AA18" s="3" t="str">
        <f>+IFERROR(PRODUCTOS[[#This Row],[PROYECCION COMPRA]]-(PRODUCTOS[[#This Row],[PPTO FALTANTE]]*PRODUCTOS[[#This Row],[PPTO]]),"")</f>
        <v/>
      </c>
      <c r="AB18" s="3">
        <f>+_xlfn.XLOOKUP(PRODUCTOS[[#This Row],[CODIGO]],DETALLE_GD_1[CODIGO],DETALLE_GD_1[VALOR PPTO],"",0)</f>
        <v>11163.5985</v>
      </c>
      <c r="AC18" s="3" t="e">
        <f>+AB18-PRODUCTOS[[#This Row],[PPTO_ACTUALIZADO]]</f>
        <v>#VALUE!</v>
      </c>
    </row>
    <row r="19" spans="1:29" hidden="1" x14ac:dyDescent="0.25">
      <c r="A19">
        <v>2502036</v>
      </c>
      <c r="B19" t="s">
        <v>77</v>
      </c>
      <c r="C19">
        <v>0</v>
      </c>
      <c r="D19">
        <v>0</v>
      </c>
      <c r="E19">
        <v>0</v>
      </c>
      <c r="F19" s="2">
        <v>47856.412698</v>
      </c>
      <c r="G19" s="6" t="s">
        <v>355</v>
      </c>
      <c r="H19" s="2" t="s">
        <v>355</v>
      </c>
      <c r="I19" t="b">
        <v>0</v>
      </c>
      <c r="J19" t="str">
        <f>+_xlfn.XLOOKUP(PRODUCTOS[[#This Row],[CODIGO]],P_CRITICOS[CODIGO],P_CRITICOS[DESC CORTA],"",0)</f>
        <v/>
      </c>
      <c r="K19" t="str">
        <f>+IFERROR(IF(VLOOKUP(PRODUCTOS[[#This Row],[CODIGO]],P_CRITICOS[],3,0)="*","PRODUCTO CRITICO","NO CRITICO"),"NO CRITICO")</f>
        <v>NO CRITICO</v>
      </c>
      <c r="L19" s="15" t="str">
        <f>+_xlfn.XLOOKUP(PRODUCTOS[[#This Row],[CODIGO]],BD_MODULO[Artículo],BD_MODULO[CUB_ACTUALIZADA],"",0)</f>
        <v/>
      </c>
      <c r="M19" s="2" t="str">
        <f>+IFERROR(PRODUCTOS[[#This Row],[PPTO]]*PRODUCTOS[[#This Row],[CANT X MODULO]],"")</f>
        <v/>
      </c>
      <c r="N19" s="2" t="str">
        <f>+IFERROR(PRODUCTOS[[#This Row],[PPTO X MODULO]]*32,"")</f>
        <v/>
      </c>
      <c r="O19" s="2" t="str">
        <f>+IFERROR(PRODUCTOS[[#This Row],[PPTO X TORRE]]*22,"")</f>
        <v/>
      </c>
      <c r="P19" s="3" t="str">
        <f>+IFERROR(PRODUCTOS[[#This Row],[CANT X MODULO]]*702,"")</f>
        <v/>
      </c>
      <c r="Q19" s="3">
        <f>+SUMIFS(DETALLE_GD_1[CANTIDAD SOLICITADA],DETALLE_GD_1[CODIGO],PRODUCTOS[[#This Row],[CODIGO]])</f>
        <v>3</v>
      </c>
      <c r="R19" s="3">
        <f>+SUMIFS(DETALLE_GD_1[DEVOLUCIÓN],DETALLE_GD_1[CODIGO],PRODUCTOS[[#This Row],[CODIGO]])</f>
        <v>0</v>
      </c>
      <c r="S19" s="3">
        <f>+PRODUCTOS[[#This Row],[CANT. COMPRADA]]-PRODUCTOS[[#This Row],[DEVOLUCIONES]]</f>
        <v>3</v>
      </c>
      <c r="T19" s="3" t="str">
        <f>+IFERROR(PRODUCTOS[[#This Row],[CANTIDAD RECIBIDA]]/PRODUCTOS[[#This Row],[CANT X MODULO]],"")</f>
        <v/>
      </c>
      <c r="U19" s="3">
        <f>+SUMIFS(DETALLE_GD_1[VALOR TOTAL POR ITEM GD],DETALLE_GD_1[CODIGO],PRODUCTOS[[#This Row],[CODIGO]])</f>
        <v>118452</v>
      </c>
      <c r="V19" s="3">
        <f>+IFERROR(PRODUCTOS[[#This Row],[PRECIO DE COMPRA]]/PRODUCTOS[[#This Row],[CANT. COMPRADA]],"")</f>
        <v>39484</v>
      </c>
      <c r="W19" s="3" t="str">
        <f>+IFERROR(PRODUCTOS[[#This Row],[PRECIO COMPRA UNITARIO]]*PRODUCTOS[[#This Row],[PPTO FALTANTE]],"")</f>
        <v/>
      </c>
      <c r="X19" s="7" t="str">
        <f>+IFERROR(PRODUCTOS[[#This Row],[PROYECCION COMPRA]]/PRODUCTOS[[#This Row],[PPTO TOTAL]]-1,"")</f>
        <v/>
      </c>
      <c r="Y19" s="3" t="str">
        <f>+IFERROR((PRODUCTOS[[#This Row],[CANT X MODULO]]*704)-PRODUCTOS[[#This Row],[CANT. COMPRADA]],"")</f>
        <v/>
      </c>
      <c r="Z19" s="17" t="str">
        <f>+IFERROR(PRODUCTOS[[#This Row],[CANT. COMPRADA]]/PRODUCTOS[[#This Row],[PPTO FALTANTE]],"")</f>
        <v/>
      </c>
      <c r="AA19" s="3" t="str">
        <f>+IFERROR(PRODUCTOS[[#This Row],[PROYECCION COMPRA]]-(PRODUCTOS[[#This Row],[PPTO FALTANTE]]*PRODUCTOS[[#This Row],[PPTO]]),"")</f>
        <v/>
      </c>
      <c r="AB19" s="3">
        <f>+_xlfn.XLOOKUP(PRODUCTOS[[#This Row],[CODIGO]],DETALLE_GD_1[CODIGO],DETALLE_GD_1[VALOR PPTO],"",0)</f>
        <v>47856.412700000001</v>
      </c>
      <c r="AC19" s="3" t="e">
        <f>+AB19-PRODUCTOS[[#This Row],[PPTO_ACTUALIZADO]]</f>
        <v>#VALUE!</v>
      </c>
    </row>
    <row r="20" spans="1:29" x14ac:dyDescent="0.25">
      <c r="A20">
        <v>302019</v>
      </c>
      <c r="B20" t="s">
        <v>78</v>
      </c>
      <c r="C20" t="s">
        <v>594</v>
      </c>
      <c r="D20" t="s">
        <v>240</v>
      </c>
      <c r="E20" t="s">
        <v>403</v>
      </c>
      <c r="F20" s="2">
        <v>1660.342954</v>
      </c>
      <c r="G20" s="6" t="s">
        <v>355</v>
      </c>
      <c r="H20" s="2" t="s">
        <v>355</v>
      </c>
      <c r="I20" t="b">
        <v>0</v>
      </c>
      <c r="J20" t="str">
        <f>+_xlfn.XLOOKUP(PRODUCTOS[[#This Row],[CODIGO]],P_CRITICOS[CODIGO],P_CRITICOS[DESC CORTA],"",0)</f>
        <v/>
      </c>
      <c r="K20" t="str">
        <f>+IFERROR(IF(VLOOKUP(PRODUCTOS[[#This Row],[CODIGO]],P_CRITICOS[],3,0)="*","PRODUCTO CRITICO","NO CRITICO"),"NO CRITICO")</f>
        <v>NO CRITICO</v>
      </c>
      <c r="L20" s="15" t="str">
        <f>+_xlfn.XLOOKUP(PRODUCTOS[[#This Row],[CODIGO]],BD_MODULO[Artículo],BD_MODULO[CUB_ACTUALIZADA],"",0)</f>
        <v/>
      </c>
      <c r="M20" s="2" t="str">
        <f>+IFERROR(PRODUCTOS[[#This Row],[PPTO]]*PRODUCTOS[[#This Row],[CANT X MODULO]],"")</f>
        <v/>
      </c>
      <c r="N20" s="2" t="str">
        <f>+IFERROR(PRODUCTOS[[#This Row],[PPTO X MODULO]]*32,"")</f>
        <v/>
      </c>
      <c r="O20" s="2" t="str">
        <f>+IFERROR(PRODUCTOS[[#This Row],[PPTO X TORRE]]*22,"")</f>
        <v/>
      </c>
      <c r="P20" s="3" t="str">
        <f>+IFERROR(PRODUCTOS[[#This Row],[CANT X MODULO]]*702,"")</f>
        <v/>
      </c>
      <c r="Q20" s="3">
        <f>+SUMIFS(DETALLE_GD_1[CANTIDAD SOLICITADA],DETALLE_GD_1[CODIGO],PRODUCTOS[[#This Row],[CODIGO]])</f>
        <v>17</v>
      </c>
      <c r="R20" s="3">
        <f>+SUMIFS(DETALLE_GD_1[DEVOLUCIÓN],DETALLE_GD_1[CODIGO],PRODUCTOS[[#This Row],[CODIGO]])</f>
        <v>0</v>
      </c>
      <c r="S20" s="3">
        <f>+PRODUCTOS[[#This Row],[CANT. COMPRADA]]-PRODUCTOS[[#This Row],[DEVOLUCIONES]]</f>
        <v>17</v>
      </c>
      <c r="T20" s="3" t="str">
        <f>+IFERROR(PRODUCTOS[[#This Row],[CANTIDAD RECIBIDA]]/PRODUCTOS[[#This Row],[CANT X MODULO]],"")</f>
        <v/>
      </c>
      <c r="U20" s="3">
        <f>+SUMIFS(DETALLE_GD_1[VALOR TOTAL POR ITEM GD],DETALLE_GD_1[CODIGO],PRODUCTOS[[#This Row],[CODIGO]])</f>
        <v>28241</v>
      </c>
      <c r="V20" s="3">
        <f>+IFERROR(PRODUCTOS[[#This Row],[PRECIO DE COMPRA]]/PRODUCTOS[[#This Row],[CANT. COMPRADA]],"")</f>
        <v>1661.2352941176471</v>
      </c>
      <c r="W20" s="3" t="str">
        <f>+IFERROR(PRODUCTOS[[#This Row],[PRECIO COMPRA UNITARIO]]*PRODUCTOS[[#This Row],[PPTO FALTANTE]],"")</f>
        <v/>
      </c>
      <c r="X20" s="7" t="str">
        <f>+IFERROR(PRODUCTOS[[#This Row],[PROYECCION COMPRA]]/PRODUCTOS[[#This Row],[PPTO TOTAL]]-1,"")</f>
        <v/>
      </c>
      <c r="Y20" s="3" t="str">
        <f>+IFERROR((PRODUCTOS[[#This Row],[CANT X MODULO]]*704)-PRODUCTOS[[#This Row],[CANT. COMPRADA]],"")</f>
        <v/>
      </c>
      <c r="Z20" s="17" t="str">
        <f>+IFERROR(PRODUCTOS[[#This Row],[CANT. COMPRADA]]/PRODUCTOS[[#This Row],[PPTO FALTANTE]],"")</f>
        <v/>
      </c>
      <c r="AA20" s="3" t="str">
        <f>+IFERROR(PRODUCTOS[[#This Row],[PROYECCION COMPRA]]-(PRODUCTOS[[#This Row],[PPTO FALTANTE]]*PRODUCTOS[[#This Row],[PPTO]]),"")</f>
        <v/>
      </c>
      <c r="AB20" s="3">
        <f>+_xlfn.XLOOKUP(PRODUCTOS[[#This Row],[CODIGO]],DETALLE_GD_1[CODIGO],DETALLE_GD_1[VALOR PPTO],"",0)</f>
        <v>1660.3430000000001</v>
      </c>
      <c r="AC20" s="3" t="e">
        <f>+AB20-PRODUCTOS[[#This Row],[PPTO_ACTUALIZADO]]</f>
        <v>#VALUE!</v>
      </c>
    </row>
    <row r="21" spans="1:29" hidden="1" x14ac:dyDescent="0.25">
      <c r="A21">
        <v>5112589</v>
      </c>
      <c r="B21" t="s">
        <v>81</v>
      </c>
      <c r="C21" t="s">
        <v>595</v>
      </c>
      <c r="D21">
        <v>0</v>
      </c>
      <c r="E21">
        <v>0</v>
      </c>
      <c r="F21" s="2">
        <v>5090.0923080000002</v>
      </c>
      <c r="G21" s="6" t="s">
        <v>355</v>
      </c>
      <c r="H21" s="2" t="s">
        <v>355</v>
      </c>
      <c r="I21" t="b">
        <v>0</v>
      </c>
      <c r="J21" t="str">
        <f>+_xlfn.XLOOKUP(PRODUCTOS[[#This Row],[CODIGO]],P_CRITICOS[CODIGO],P_CRITICOS[DESC CORTA],"",0)</f>
        <v/>
      </c>
      <c r="K21" t="str">
        <f>+IFERROR(IF(VLOOKUP(PRODUCTOS[[#This Row],[CODIGO]],P_CRITICOS[],3,0)="*","PRODUCTO CRITICO","NO CRITICO"),"NO CRITICO")</f>
        <v>NO CRITICO</v>
      </c>
      <c r="L21" s="15" t="str">
        <f>+_xlfn.XLOOKUP(PRODUCTOS[[#This Row],[CODIGO]],BD_MODULO[Artículo],BD_MODULO[CUB_ACTUALIZADA],"",0)</f>
        <v/>
      </c>
      <c r="M21" s="2" t="str">
        <f>+IFERROR(PRODUCTOS[[#This Row],[PPTO]]*PRODUCTOS[[#This Row],[CANT X MODULO]],"")</f>
        <v/>
      </c>
      <c r="N21" s="2" t="str">
        <f>+IFERROR(PRODUCTOS[[#This Row],[PPTO X MODULO]]*32,"")</f>
        <v/>
      </c>
      <c r="O21" s="2" t="str">
        <f>+IFERROR(PRODUCTOS[[#This Row],[PPTO X TORRE]]*22,"")</f>
        <v/>
      </c>
      <c r="P21" s="3" t="str">
        <f>+IFERROR(PRODUCTOS[[#This Row],[CANT X MODULO]]*702,"")</f>
        <v/>
      </c>
      <c r="Q21" s="3">
        <f>+SUMIFS(DETALLE_GD_1[CANTIDAD SOLICITADA],DETALLE_GD_1[CODIGO],PRODUCTOS[[#This Row],[CODIGO]])</f>
        <v>10</v>
      </c>
      <c r="R21" s="3">
        <f>+SUMIFS(DETALLE_GD_1[DEVOLUCIÓN],DETALLE_GD_1[CODIGO],PRODUCTOS[[#This Row],[CODIGO]])</f>
        <v>0</v>
      </c>
      <c r="S21" s="3">
        <f>+PRODUCTOS[[#This Row],[CANT. COMPRADA]]-PRODUCTOS[[#This Row],[DEVOLUCIONES]]</f>
        <v>10</v>
      </c>
      <c r="T21" s="3" t="str">
        <f>+IFERROR(PRODUCTOS[[#This Row],[CANTIDAD RECIBIDA]]/PRODUCTOS[[#This Row],[CANT X MODULO]],"")</f>
        <v/>
      </c>
      <c r="U21" s="3">
        <f>+SUMIFS(DETALLE_GD_1[VALOR TOTAL POR ITEM GD],DETALLE_GD_1[CODIGO],PRODUCTOS[[#This Row],[CODIGO]])</f>
        <v>55051</v>
      </c>
      <c r="V21" s="3">
        <f>+IFERROR(PRODUCTOS[[#This Row],[PRECIO DE COMPRA]]/PRODUCTOS[[#This Row],[CANT. COMPRADA]],"")</f>
        <v>5505.1</v>
      </c>
      <c r="W21" s="3" t="str">
        <f>+IFERROR(PRODUCTOS[[#This Row],[PRECIO COMPRA UNITARIO]]*PRODUCTOS[[#This Row],[PPTO FALTANTE]],"")</f>
        <v/>
      </c>
      <c r="X21" s="7" t="str">
        <f>+IFERROR(PRODUCTOS[[#This Row],[PROYECCION COMPRA]]/PRODUCTOS[[#This Row],[PPTO TOTAL]]-1,"")</f>
        <v/>
      </c>
      <c r="Y21" s="3" t="str">
        <f>+IFERROR((PRODUCTOS[[#This Row],[CANT X MODULO]]*704)-PRODUCTOS[[#This Row],[CANT. COMPRADA]],"")</f>
        <v/>
      </c>
      <c r="Z21" s="17" t="str">
        <f>+IFERROR(PRODUCTOS[[#This Row],[CANT. COMPRADA]]/PRODUCTOS[[#This Row],[PPTO FALTANTE]],"")</f>
        <v/>
      </c>
      <c r="AA21" s="3" t="str">
        <f>+IFERROR(PRODUCTOS[[#This Row],[PROYECCION COMPRA]]-(PRODUCTOS[[#This Row],[PPTO FALTANTE]]*PRODUCTOS[[#This Row],[PPTO]]),"")</f>
        <v/>
      </c>
      <c r="AB21" s="3">
        <f>+_xlfn.XLOOKUP(PRODUCTOS[[#This Row],[CODIGO]],DETALLE_GD_1[CODIGO],DETALLE_GD_1[VALOR PPTO],"",0)</f>
        <v>5090.0923000000003</v>
      </c>
      <c r="AC21" s="3" t="e">
        <f>+AB21-PRODUCTOS[[#This Row],[PPTO_ACTUALIZADO]]</f>
        <v>#VALUE!</v>
      </c>
    </row>
    <row r="22" spans="1:29" x14ac:dyDescent="0.25">
      <c r="A22">
        <v>302039</v>
      </c>
      <c r="B22" t="s">
        <v>84</v>
      </c>
      <c r="C22" t="s">
        <v>547</v>
      </c>
      <c r="D22" t="s">
        <v>240</v>
      </c>
      <c r="E22" t="s">
        <v>403</v>
      </c>
      <c r="F22" s="2">
        <v>9825.5479560000003</v>
      </c>
      <c r="G22" s="6" t="s">
        <v>355</v>
      </c>
      <c r="H22" s="2" t="s">
        <v>355</v>
      </c>
      <c r="I22" t="b">
        <v>0</v>
      </c>
      <c r="J22" t="str">
        <f>+_xlfn.XLOOKUP(PRODUCTOS[[#This Row],[CODIGO]],P_CRITICOS[CODIGO],P_CRITICOS[DESC CORTA],"",0)</f>
        <v/>
      </c>
      <c r="K22" t="str">
        <f>+IFERROR(IF(VLOOKUP(PRODUCTOS[[#This Row],[CODIGO]],P_CRITICOS[],3,0)="*","PRODUCTO CRITICO","NO CRITICO"),"NO CRITICO")</f>
        <v>NO CRITICO</v>
      </c>
      <c r="L22" s="15" t="str">
        <f>+_xlfn.XLOOKUP(PRODUCTOS[[#This Row],[CODIGO]],BD_MODULO[Artículo],BD_MODULO[CUB_ACTUALIZADA],"",0)</f>
        <v/>
      </c>
      <c r="M22" s="2" t="str">
        <f>+IFERROR(PRODUCTOS[[#This Row],[PPTO]]*PRODUCTOS[[#This Row],[CANT X MODULO]],"")</f>
        <v/>
      </c>
      <c r="N22" s="2" t="str">
        <f>+IFERROR(PRODUCTOS[[#This Row],[PPTO X MODULO]]*32,"")</f>
        <v/>
      </c>
      <c r="O22" s="2" t="str">
        <f>+IFERROR(PRODUCTOS[[#This Row],[PPTO X TORRE]]*22,"")</f>
        <v/>
      </c>
      <c r="P22" s="3" t="str">
        <f>+IFERROR(PRODUCTOS[[#This Row],[CANT X MODULO]]*702,"")</f>
        <v/>
      </c>
      <c r="Q22" s="3">
        <f>+SUMIFS(DETALLE_GD_1[CANTIDAD SOLICITADA],DETALLE_GD_1[CODIGO],PRODUCTOS[[#This Row],[CODIGO]])</f>
        <v>97</v>
      </c>
      <c r="R22" s="3">
        <f>+SUMIFS(DETALLE_GD_1[DEVOLUCIÓN],DETALLE_GD_1[CODIGO],PRODUCTOS[[#This Row],[CODIGO]])</f>
        <v>0</v>
      </c>
      <c r="S22" s="3">
        <f>+PRODUCTOS[[#This Row],[CANT. COMPRADA]]-PRODUCTOS[[#This Row],[DEVOLUCIONES]]</f>
        <v>97</v>
      </c>
      <c r="T22" s="3" t="str">
        <f>+IFERROR(PRODUCTOS[[#This Row],[CANTIDAD RECIBIDA]]/PRODUCTOS[[#This Row],[CANT X MODULO]],"")</f>
        <v/>
      </c>
      <c r="U22" s="3">
        <f>+SUMIFS(DETALLE_GD_1[VALOR TOTAL POR ITEM GD],DETALLE_GD_1[CODIGO],PRODUCTOS[[#This Row],[CODIGO]])</f>
        <v>983186</v>
      </c>
      <c r="V22" s="3">
        <f>+IFERROR(PRODUCTOS[[#This Row],[PRECIO DE COMPRA]]/PRODUCTOS[[#This Row],[CANT. COMPRADA]],"")</f>
        <v>10135.938144329897</v>
      </c>
      <c r="W22" s="3" t="str">
        <f>+IFERROR(PRODUCTOS[[#This Row],[PRECIO COMPRA UNITARIO]]*PRODUCTOS[[#This Row],[PPTO FALTANTE]],"")</f>
        <v/>
      </c>
      <c r="X22" s="7" t="str">
        <f>+IFERROR(PRODUCTOS[[#This Row],[PROYECCION COMPRA]]/PRODUCTOS[[#This Row],[PPTO TOTAL]]-1,"")</f>
        <v/>
      </c>
      <c r="Y22" s="3" t="str">
        <f>+IFERROR((PRODUCTOS[[#This Row],[CANT X MODULO]]*704)-PRODUCTOS[[#This Row],[CANT. COMPRADA]],"")</f>
        <v/>
      </c>
      <c r="Z22" s="17" t="str">
        <f>+IFERROR(PRODUCTOS[[#This Row],[CANT. COMPRADA]]/PRODUCTOS[[#This Row],[PPTO FALTANTE]],"")</f>
        <v/>
      </c>
      <c r="AA22" s="3" t="str">
        <f>+IFERROR(PRODUCTOS[[#This Row],[PROYECCION COMPRA]]-(PRODUCTOS[[#This Row],[PPTO FALTANTE]]*PRODUCTOS[[#This Row],[PPTO]]),"")</f>
        <v/>
      </c>
      <c r="AB22" s="3">
        <f>+_xlfn.XLOOKUP(PRODUCTOS[[#This Row],[CODIGO]],DETALLE_GD_1[CODIGO],DETALLE_GD_1[VALOR PPTO],"",0)</f>
        <v>9825.5480000000007</v>
      </c>
      <c r="AC22" s="3" t="e">
        <f>+AB22-PRODUCTOS[[#This Row],[PPTO_ACTUALIZADO]]</f>
        <v>#VALUE!</v>
      </c>
    </row>
    <row r="23" spans="1:29" x14ac:dyDescent="0.25">
      <c r="A23">
        <v>307275</v>
      </c>
      <c r="B23" t="s">
        <v>85</v>
      </c>
      <c r="C23">
        <v>0</v>
      </c>
      <c r="D23" t="s">
        <v>240</v>
      </c>
      <c r="E23" t="s">
        <v>403</v>
      </c>
      <c r="F23" s="2">
        <v>1482.060064</v>
      </c>
      <c r="G23" s="6" t="s">
        <v>355</v>
      </c>
      <c r="H23" s="2" t="s">
        <v>355</v>
      </c>
      <c r="I23" t="b">
        <v>0</v>
      </c>
      <c r="J23" t="str">
        <f>+_xlfn.XLOOKUP(PRODUCTOS[[#This Row],[CODIGO]],P_CRITICOS[CODIGO],P_CRITICOS[DESC CORTA],"",0)</f>
        <v/>
      </c>
      <c r="K23" t="str">
        <f>+IFERROR(IF(VLOOKUP(PRODUCTOS[[#This Row],[CODIGO]],P_CRITICOS[],3,0)="*","PRODUCTO CRITICO","NO CRITICO"),"NO CRITICO")</f>
        <v>NO CRITICO</v>
      </c>
      <c r="L23" s="15" t="str">
        <f>+_xlfn.XLOOKUP(PRODUCTOS[[#This Row],[CODIGO]],BD_MODULO[Artículo],BD_MODULO[CUB_ACTUALIZADA],"",0)</f>
        <v/>
      </c>
      <c r="M23" s="2" t="str">
        <f>+IFERROR(PRODUCTOS[[#This Row],[PPTO]]*PRODUCTOS[[#This Row],[CANT X MODULO]],"")</f>
        <v/>
      </c>
      <c r="N23" s="2" t="str">
        <f>+IFERROR(PRODUCTOS[[#This Row],[PPTO X MODULO]]*32,"")</f>
        <v/>
      </c>
      <c r="O23" s="2" t="str">
        <f>+IFERROR(PRODUCTOS[[#This Row],[PPTO X TORRE]]*22,"")</f>
        <v/>
      </c>
      <c r="P23" s="3" t="str">
        <f>+IFERROR(PRODUCTOS[[#This Row],[CANT X MODULO]]*702,"")</f>
        <v/>
      </c>
      <c r="Q23" s="3">
        <f>+SUMIFS(DETALLE_GD_1[CANTIDAD SOLICITADA],DETALLE_GD_1[CODIGO],PRODUCTOS[[#This Row],[CODIGO]])</f>
        <v>80</v>
      </c>
      <c r="R23" s="3">
        <f>+SUMIFS(DETALLE_GD_1[DEVOLUCIÓN],DETALLE_GD_1[CODIGO],PRODUCTOS[[#This Row],[CODIGO]])</f>
        <v>0</v>
      </c>
      <c r="S23" s="3">
        <f>+PRODUCTOS[[#This Row],[CANT. COMPRADA]]-PRODUCTOS[[#This Row],[DEVOLUCIONES]]</f>
        <v>80</v>
      </c>
      <c r="T23" s="3" t="str">
        <f>+IFERROR(PRODUCTOS[[#This Row],[CANTIDAD RECIBIDA]]/PRODUCTOS[[#This Row],[CANT X MODULO]],"")</f>
        <v/>
      </c>
      <c r="U23" s="3">
        <f>+SUMIFS(DETALLE_GD_1[VALOR TOTAL POR ITEM GD],DETALLE_GD_1[CODIGO],PRODUCTOS[[#This Row],[CODIGO]])</f>
        <v>118565</v>
      </c>
      <c r="V23" s="3">
        <f>+IFERROR(PRODUCTOS[[#This Row],[PRECIO DE COMPRA]]/PRODUCTOS[[#This Row],[CANT. COMPRADA]],"")</f>
        <v>1482.0625</v>
      </c>
      <c r="W23" s="3" t="str">
        <f>+IFERROR(PRODUCTOS[[#This Row],[PRECIO COMPRA UNITARIO]]*PRODUCTOS[[#This Row],[PPTO FALTANTE]],"")</f>
        <v/>
      </c>
      <c r="X23" s="7" t="str">
        <f>+IFERROR(PRODUCTOS[[#This Row],[PROYECCION COMPRA]]/PRODUCTOS[[#This Row],[PPTO TOTAL]]-1,"")</f>
        <v/>
      </c>
      <c r="Y23" s="3" t="str">
        <f>+IFERROR((PRODUCTOS[[#This Row],[CANT X MODULO]]*704)-PRODUCTOS[[#This Row],[CANT. COMPRADA]],"")</f>
        <v/>
      </c>
      <c r="Z23" s="17" t="str">
        <f>+IFERROR(PRODUCTOS[[#This Row],[CANT. COMPRADA]]/PRODUCTOS[[#This Row],[PPTO FALTANTE]],"")</f>
        <v/>
      </c>
      <c r="AA23" s="3" t="str">
        <f>+IFERROR(PRODUCTOS[[#This Row],[PROYECCION COMPRA]]-(PRODUCTOS[[#This Row],[PPTO FALTANTE]]*PRODUCTOS[[#This Row],[PPTO]]),"")</f>
        <v/>
      </c>
      <c r="AB23" s="3">
        <f>+_xlfn.XLOOKUP(PRODUCTOS[[#This Row],[CODIGO]],DETALLE_GD_1[CODIGO],DETALLE_GD_1[VALOR PPTO],"",0)</f>
        <v>1482.0600999999999</v>
      </c>
      <c r="AC23" s="3" t="e">
        <f>+AB23-PRODUCTOS[[#This Row],[PPTO_ACTUALIZADO]]</f>
        <v>#VALUE!</v>
      </c>
    </row>
    <row r="24" spans="1:29" x14ac:dyDescent="0.25">
      <c r="A24">
        <v>307252</v>
      </c>
      <c r="B24" t="s">
        <v>86</v>
      </c>
      <c r="C24" t="s">
        <v>596</v>
      </c>
      <c r="D24" t="s">
        <v>240</v>
      </c>
      <c r="E24" t="s">
        <v>403</v>
      </c>
      <c r="F24" s="2">
        <v>16753.020979000001</v>
      </c>
      <c r="G24" s="6" t="s">
        <v>355</v>
      </c>
      <c r="H24" s="2" t="s">
        <v>355</v>
      </c>
      <c r="I24" t="b">
        <v>0</v>
      </c>
      <c r="J24" t="str">
        <f>+_xlfn.XLOOKUP(PRODUCTOS[[#This Row],[CODIGO]],P_CRITICOS[CODIGO],P_CRITICOS[DESC CORTA],"",0)</f>
        <v/>
      </c>
      <c r="K24" t="str">
        <f>+IFERROR(IF(VLOOKUP(PRODUCTOS[[#This Row],[CODIGO]],P_CRITICOS[],3,0)="*","PRODUCTO CRITICO","NO CRITICO"),"NO CRITICO")</f>
        <v>NO CRITICO</v>
      </c>
      <c r="L24" s="15" t="str">
        <f>+_xlfn.XLOOKUP(PRODUCTOS[[#This Row],[CODIGO]],BD_MODULO[Artículo],BD_MODULO[CUB_ACTUALIZADA],"",0)</f>
        <v/>
      </c>
      <c r="M24" s="2" t="str">
        <f>+IFERROR(PRODUCTOS[[#This Row],[PPTO]]*PRODUCTOS[[#This Row],[CANT X MODULO]],"")</f>
        <v/>
      </c>
      <c r="N24" s="2" t="str">
        <f>+IFERROR(PRODUCTOS[[#This Row],[PPTO X MODULO]]*32,"")</f>
        <v/>
      </c>
      <c r="O24" s="2" t="str">
        <f>+IFERROR(PRODUCTOS[[#This Row],[PPTO X TORRE]]*22,"")</f>
        <v/>
      </c>
      <c r="P24" s="3" t="str">
        <f>+IFERROR(PRODUCTOS[[#This Row],[CANT X MODULO]]*702,"")</f>
        <v/>
      </c>
      <c r="Q24" s="3">
        <f>+SUMIFS(DETALLE_GD_1[CANTIDAD SOLICITADA],DETALLE_GD_1[CODIGO],PRODUCTOS[[#This Row],[CODIGO]])</f>
        <v>8</v>
      </c>
      <c r="R24" s="3">
        <f>+SUMIFS(DETALLE_GD_1[DEVOLUCIÓN],DETALLE_GD_1[CODIGO],PRODUCTOS[[#This Row],[CODIGO]])</f>
        <v>0</v>
      </c>
      <c r="S24" s="3">
        <f>+PRODUCTOS[[#This Row],[CANT. COMPRADA]]-PRODUCTOS[[#This Row],[DEVOLUCIONES]]</f>
        <v>8</v>
      </c>
      <c r="T24" s="3" t="str">
        <f>+IFERROR(PRODUCTOS[[#This Row],[CANTIDAD RECIBIDA]]/PRODUCTOS[[#This Row],[CANT X MODULO]],"")</f>
        <v/>
      </c>
      <c r="U24" s="3">
        <f>+SUMIFS(DETALLE_GD_1[VALOR TOTAL POR ITEM GD],DETALLE_GD_1[CODIGO],PRODUCTOS[[#This Row],[CODIGO]])</f>
        <v>134024</v>
      </c>
      <c r="V24" s="3">
        <f>+IFERROR(PRODUCTOS[[#This Row],[PRECIO DE COMPRA]]/PRODUCTOS[[#This Row],[CANT. COMPRADA]],"")</f>
        <v>16753</v>
      </c>
      <c r="W24" s="3" t="str">
        <f>+IFERROR(PRODUCTOS[[#This Row],[PRECIO COMPRA UNITARIO]]*PRODUCTOS[[#This Row],[PPTO FALTANTE]],"")</f>
        <v/>
      </c>
      <c r="X24" s="7" t="str">
        <f>+IFERROR(PRODUCTOS[[#This Row],[PROYECCION COMPRA]]/PRODUCTOS[[#This Row],[PPTO TOTAL]]-1,"")</f>
        <v/>
      </c>
      <c r="Y24" s="3" t="str">
        <f>+IFERROR((PRODUCTOS[[#This Row],[CANT X MODULO]]*704)-PRODUCTOS[[#This Row],[CANT. COMPRADA]],"")</f>
        <v/>
      </c>
      <c r="Z24" s="17" t="str">
        <f>+IFERROR(PRODUCTOS[[#This Row],[CANT. COMPRADA]]/PRODUCTOS[[#This Row],[PPTO FALTANTE]],"")</f>
        <v/>
      </c>
      <c r="AA24" s="3" t="str">
        <f>+IFERROR(PRODUCTOS[[#This Row],[PROYECCION COMPRA]]-(PRODUCTOS[[#This Row],[PPTO FALTANTE]]*PRODUCTOS[[#This Row],[PPTO]]),"")</f>
        <v/>
      </c>
      <c r="AB24" s="3">
        <f>+_xlfn.XLOOKUP(PRODUCTOS[[#This Row],[CODIGO]],DETALLE_GD_1[CODIGO],DETALLE_GD_1[VALOR PPTO],"",0)</f>
        <v>16753.021000000001</v>
      </c>
      <c r="AC24" s="3" t="e">
        <f>+AB24-PRODUCTOS[[#This Row],[PPTO_ACTUALIZADO]]</f>
        <v>#VALUE!</v>
      </c>
    </row>
    <row r="25" spans="1:29" x14ac:dyDescent="0.25">
      <c r="A25" t="s">
        <v>87</v>
      </c>
      <c r="B25" t="s">
        <v>88</v>
      </c>
      <c r="C25" t="s">
        <v>597</v>
      </c>
      <c r="D25" t="s">
        <v>240</v>
      </c>
      <c r="E25" t="s">
        <v>403</v>
      </c>
      <c r="F25" s="2">
        <v>17998</v>
      </c>
      <c r="G25" s="6" t="s">
        <v>355</v>
      </c>
      <c r="H25" s="2" t="s">
        <v>355</v>
      </c>
      <c r="I25" t="b">
        <v>0</v>
      </c>
      <c r="J25" t="str">
        <f>+_xlfn.XLOOKUP(PRODUCTOS[[#This Row],[CODIGO]],P_CRITICOS[CODIGO],P_CRITICOS[DESC CORTA],"",0)</f>
        <v/>
      </c>
      <c r="K25" t="str">
        <f>+IFERROR(IF(VLOOKUP(PRODUCTOS[[#This Row],[CODIGO]],P_CRITICOS[],3,0)="*","PRODUCTO CRITICO","NO CRITICO"),"NO CRITICO")</f>
        <v>NO CRITICO</v>
      </c>
      <c r="L25" s="15" t="str">
        <f>+_xlfn.XLOOKUP(PRODUCTOS[[#This Row],[CODIGO]],BD_MODULO[Artículo],BD_MODULO[CUB_ACTUALIZADA],"",0)</f>
        <v/>
      </c>
      <c r="M25" s="2" t="str">
        <f>+IFERROR(PRODUCTOS[[#This Row],[PPTO]]*PRODUCTOS[[#This Row],[CANT X MODULO]],"")</f>
        <v/>
      </c>
      <c r="N25" s="2" t="str">
        <f>+IFERROR(PRODUCTOS[[#This Row],[PPTO X MODULO]]*32,"")</f>
        <v/>
      </c>
      <c r="O25" s="2" t="str">
        <f>+IFERROR(PRODUCTOS[[#This Row],[PPTO X TORRE]]*22,"")</f>
        <v/>
      </c>
      <c r="P25" s="3" t="str">
        <f>+IFERROR(PRODUCTOS[[#This Row],[CANT X MODULO]]*702,"")</f>
        <v/>
      </c>
      <c r="Q25" s="3">
        <f>+SUMIFS(DETALLE_GD_1[CANTIDAD SOLICITADA],DETALLE_GD_1[CODIGO],PRODUCTOS[[#This Row],[CODIGO]])</f>
        <v>3</v>
      </c>
      <c r="R25" s="3">
        <f>+SUMIFS(DETALLE_GD_1[DEVOLUCIÓN],DETALLE_GD_1[CODIGO],PRODUCTOS[[#This Row],[CODIGO]])</f>
        <v>0</v>
      </c>
      <c r="S25" s="3">
        <f>+PRODUCTOS[[#This Row],[CANT. COMPRADA]]-PRODUCTOS[[#This Row],[DEVOLUCIONES]]</f>
        <v>3</v>
      </c>
      <c r="T25" s="3" t="str">
        <f>+IFERROR(PRODUCTOS[[#This Row],[CANTIDAD RECIBIDA]]/PRODUCTOS[[#This Row],[CANT X MODULO]],"")</f>
        <v/>
      </c>
      <c r="U25" s="3">
        <f>+SUMIFS(DETALLE_GD_1[VALOR TOTAL POR ITEM GD],DETALLE_GD_1[CODIGO],PRODUCTOS[[#This Row],[CODIGO]])</f>
        <v>53994</v>
      </c>
      <c r="V25" s="3">
        <f>+IFERROR(PRODUCTOS[[#This Row],[PRECIO DE COMPRA]]/PRODUCTOS[[#This Row],[CANT. COMPRADA]],"")</f>
        <v>17998</v>
      </c>
      <c r="W25" s="3" t="str">
        <f>+IFERROR(PRODUCTOS[[#This Row],[PRECIO COMPRA UNITARIO]]*PRODUCTOS[[#This Row],[PPTO FALTANTE]],"")</f>
        <v/>
      </c>
      <c r="X25" s="7" t="str">
        <f>+IFERROR(PRODUCTOS[[#This Row],[PROYECCION COMPRA]]/PRODUCTOS[[#This Row],[PPTO TOTAL]]-1,"")</f>
        <v/>
      </c>
      <c r="Y25" s="3" t="str">
        <f>+IFERROR((PRODUCTOS[[#This Row],[CANT X MODULO]]*704)-PRODUCTOS[[#This Row],[CANT. COMPRADA]],"")</f>
        <v/>
      </c>
      <c r="Z25" s="17" t="str">
        <f>+IFERROR(PRODUCTOS[[#This Row],[CANT. COMPRADA]]/PRODUCTOS[[#This Row],[PPTO FALTANTE]],"")</f>
        <v/>
      </c>
      <c r="AA25" s="3" t="str">
        <f>+IFERROR(PRODUCTOS[[#This Row],[PROYECCION COMPRA]]-(PRODUCTOS[[#This Row],[PPTO FALTANTE]]*PRODUCTOS[[#This Row],[PPTO]]),"")</f>
        <v/>
      </c>
      <c r="AB25" s="3">
        <f>+_xlfn.XLOOKUP(PRODUCTOS[[#This Row],[CODIGO]],DETALLE_GD_1[CODIGO],DETALLE_GD_1[VALOR PPTO],"",0)</f>
        <v>17998</v>
      </c>
      <c r="AC25" s="3" t="e">
        <f>+AB25-PRODUCTOS[[#This Row],[PPTO_ACTUALIZADO]]</f>
        <v>#VALUE!</v>
      </c>
    </row>
    <row r="26" spans="1:29" hidden="1" x14ac:dyDescent="0.25">
      <c r="A26">
        <v>1405027</v>
      </c>
      <c r="B26" t="s">
        <v>89</v>
      </c>
      <c r="C26" t="s">
        <v>598</v>
      </c>
      <c r="D26" t="s">
        <v>244</v>
      </c>
      <c r="E26" t="s">
        <v>408</v>
      </c>
      <c r="F26" s="2">
        <v>20069</v>
      </c>
      <c r="G26" s="6" t="s">
        <v>90</v>
      </c>
      <c r="H26" s="2" t="s">
        <v>355</v>
      </c>
      <c r="I26" t="b">
        <v>0</v>
      </c>
      <c r="J26" t="str">
        <f>+_xlfn.XLOOKUP(PRODUCTOS[[#This Row],[CODIGO]],P_CRITICOS[CODIGO],P_CRITICOS[DESC CORTA],"",0)</f>
        <v/>
      </c>
      <c r="K26" t="str">
        <f>+IFERROR(IF(VLOOKUP(PRODUCTOS[[#This Row],[CODIGO]],P_CRITICOS[],3,0)="*","PRODUCTO CRITICO","NO CRITICO"),"NO CRITICO")</f>
        <v>NO CRITICO</v>
      </c>
      <c r="L26" s="15" t="str">
        <f>+_xlfn.XLOOKUP(PRODUCTOS[[#This Row],[CODIGO]],BD_MODULO[Artículo],BD_MODULO[CUB_ACTUALIZADA],"",0)</f>
        <v/>
      </c>
      <c r="M26" s="2" t="str">
        <f>+IFERROR(PRODUCTOS[[#This Row],[PPTO]]*PRODUCTOS[[#This Row],[CANT X MODULO]],"")</f>
        <v/>
      </c>
      <c r="N26" s="2" t="str">
        <f>+IFERROR(PRODUCTOS[[#This Row],[PPTO X MODULO]]*32,"")</f>
        <v/>
      </c>
      <c r="O26" s="2" t="str">
        <f>+IFERROR(PRODUCTOS[[#This Row],[PPTO X TORRE]]*22,"")</f>
        <v/>
      </c>
      <c r="P26" s="3" t="str">
        <f>+IFERROR(PRODUCTOS[[#This Row],[CANT X MODULO]]*702,"")</f>
        <v/>
      </c>
      <c r="Q26" s="3">
        <f>+SUMIFS(DETALLE_GD_1[CANTIDAD SOLICITADA],DETALLE_GD_1[CODIGO],PRODUCTOS[[#This Row],[CODIGO]])</f>
        <v>1</v>
      </c>
      <c r="R26" s="3">
        <f>+SUMIFS(DETALLE_GD_1[DEVOLUCIÓN],DETALLE_GD_1[CODIGO],PRODUCTOS[[#This Row],[CODIGO]])</f>
        <v>0</v>
      </c>
      <c r="S26" s="3">
        <f>+PRODUCTOS[[#This Row],[CANT. COMPRADA]]-PRODUCTOS[[#This Row],[DEVOLUCIONES]]</f>
        <v>1</v>
      </c>
      <c r="T26" s="3" t="str">
        <f>+IFERROR(PRODUCTOS[[#This Row],[CANTIDAD RECIBIDA]]/PRODUCTOS[[#This Row],[CANT X MODULO]],"")</f>
        <v/>
      </c>
      <c r="U26" s="3">
        <f>+SUMIFS(DETALLE_GD_1[VALOR TOTAL POR ITEM GD],DETALLE_GD_1[CODIGO],PRODUCTOS[[#This Row],[CODIGO]])</f>
        <v>20069</v>
      </c>
      <c r="V26" s="3">
        <f>+IFERROR(PRODUCTOS[[#This Row],[PRECIO DE COMPRA]]/PRODUCTOS[[#This Row],[CANT. COMPRADA]],"")</f>
        <v>20069</v>
      </c>
      <c r="W26" s="3" t="str">
        <f>+IFERROR(PRODUCTOS[[#This Row],[PRECIO COMPRA UNITARIO]]*PRODUCTOS[[#This Row],[PPTO FALTANTE]],"")</f>
        <v/>
      </c>
      <c r="X26" s="7" t="str">
        <f>+IFERROR(PRODUCTOS[[#This Row],[PROYECCION COMPRA]]/PRODUCTOS[[#This Row],[PPTO TOTAL]]-1,"")</f>
        <v/>
      </c>
      <c r="Y26" s="3" t="str">
        <f>+IFERROR((PRODUCTOS[[#This Row],[CANT X MODULO]]*704)-PRODUCTOS[[#This Row],[CANT. COMPRADA]],"")</f>
        <v/>
      </c>
      <c r="Z26" s="17" t="str">
        <f>+IFERROR(PRODUCTOS[[#This Row],[CANT. COMPRADA]]/PRODUCTOS[[#This Row],[PPTO FALTANTE]],"")</f>
        <v/>
      </c>
      <c r="AA26" s="3" t="str">
        <f>+IFERROR(PRODUCTOS[[#This Row],[PROYECCION COMPRA]]-(PRODUCTOS[[#This Row],[PPTO FALTANTE]]*PRODUCTOS[[#This Row],[PPTO]]),"")</f>
        <v/>
      </c>
      <c r="AB26" s="3">
        <f>+_xlfn.XLOOKUP(PRODUCTOS[[#This Row],[CODIGO]],DETALLE_GD_1[CODIGO],DETALLE_GD_1[VALOR PPTO],"",0)</f>
        <v>20069</v>
      </c>
      <c r="AC26" s="3" t="e">
        <f>+AB26-PRODUCTOS[[#This Row],[PPTO_ACTUALIZADO]]</f>
        <v>#VALUE!</v>
      </c>
    </row>
    <row r="27" spans="1:29" hidden="1" x14ac:dyDescent="0.25">
      <c r="A27">
        <v>1405026</v>
      </c>
      <c r="B27" t="s">
        <v>91</v>
      </c>
      <c r="C27" t="s">
        <v>599</v>
      </c>
      <c r="D27" t="s">
        <v>244</v>
      </c>
      <c r="E27" t="s">
        <v>408</v>
      </c>
      <c r="F27" s="2">
        <v>18880.599999999999</v>
      </c>
      <c r="G27" s="6" t="s">
        <v>90</v>
      </c>
      <c r="H27" s="2" t="s">
        <v>355</v>
      </c>
      <c r="I27" t="b">
        <v>0</v>
      </c>
      <c r="J27" t="str">
        <f>+_xlfn.XLOOKUP(PRODUCTOS[[#This Row],[CODIGO]],P_CRITICOS[CODIGO],P_CRITICOS[DESC CORTA],"",0)</f>
        <v/>
      </c>
      <c r="K27" t="str">
        <f>+IFERROR(IF(VLOOKUP(PRODUCTOS[[#This Row],[CODIGO]],P_CRITICOS[],3,0)="*","PRODUCTO CRITICO","NO CRITICO"),"NO CRITICO")</f>
        <v>NO CRITICO</v>
      </c>
      <c r="L27" s="15" t="str">
        <f>+_xlfn.XLOOKUP(PRODUCTOS[[#This Row],[CODIGO]],BD_MODULO[Artículo],BD_MODULO[CUB_ACTUALIZADA],"",0)</f>
        <v/>
      </c>
      <c r="M27" s="2" t="str">
        <f>+IFERROR(PRODUCTOS[[#This Row],[PPTO]]*PRODUCTOS[[#This Row],[CANT X MODULO]],"")</f>
        <v/>
      </c>
      <c r="N27" s="2" t="str">
        <f>+IFERROR(PRODUCTOS[[#This Row],[PPTO X MODULO]]*32,"")</f>
        <v/>
      </c>
      <c r="O27" s="2" t="str">
        <f>+IFERROR(PRODUCTOS[[#This Row],[PPTO X TORRE]]*22,"")</f>
        <v/>
      </c>
      <c r="P27" s="3" t="str">
        <f>+IFERROR(PRODUCTOS[[#This Row],[CANT X MODULO]]*702,"")</f>
        <v/>
      </c>
      <c r="Q27" s="3">
        <f>+SUMIFS(DETALLE_GD_1[CANTIDAD SOLICITADA],DETALLE_GD_1[CODIGO],PRODUCTOS[[#This Row],[CODIGO]])</f>
        <v>2</v>
      </c>
      <c r="R27" s="3">
        <f>+SUMIFS(DETALLE_GD_1[DEVOLUCIÓN],DETALLE_GD_1[CODIGO],PRODUCTOS[[#This Row],[CODIGO]])</f>
        <v>0</v>
      </c>
      <c r="S27" s="3">
        <f>+PRODUCTOS[[#This Row],[CANT. COMPRADA]]-PRODUCTOS[[#This Row],[DEVOLUCIONES]]</f>
        <v>2</v>
      </c>
      <c r="T27" s="3" t="str">
        <f>+IFERROR(PRODUCTOS[[#This Row],[CANTIDAD RECIBIDA]]/PRODUCTOS[[#This Row],[CANT X MODULO]],"")</f>
        <v/>
      </c>
      <c r="U27" s="3">
        <f>+SUMIFS(DETALLE_GD_1[VALOR TOTAL POR ITEM GD],DETALLE_GD_1[CODIGO],PRODUCTOS[[#This Row],[CODIGO]])</f>
        <v>37698</v>
      </c>
      <c r="V27" s="3">
        <f>+IFERROR(PRODUCTOS[[#This Row],[PRECIO DE COMPRA]]/PRODUCTOS[[#This Row],[CANT. COMPRADA]],"")</f>
        <v>18849</v>
      </c>
      <c r="W27" s="3" t="str">
        <f>+IFERROR(PRODUCTOS[[#This Row],[PRECIO COMPRA UNITARIO]]*PRODUCTOS[[#This Row],[PPTO FALTANTE]],"")</f>
        <v/>
      </c>
      <c r="X27" s="7" t="str">
        <f>+IFERROR(PRODUCTOS[[#This Row],[PROYECCION COMPRA]]/PRODUCTOS[[#This Row],[PPTO TOTAL]]-1,"")</f>
        <v/>
      </c>
      <c r="Y27" s="3" t="str">
        <f>+IFERROR((PRODUCTOS[[#This Row],[CANT X MODULO]]*704)-PRODUCTOS[[#This Row],[CANT. COMPRADA]],"")</f>
        <v/>
      </c>
      <c r="Z27" s="17" t="str">
        <f>+IFERROR(PRODUCTOS[[#This Row],[CANT. COMPRADA]]/PRODUCTOS[[#This Row],[PPTO FALTANTE]],"")</f>
        <v/>
      </c>
      <c r="AA27" s="3" t="str">
        <f>+IFERROR(PRODUCTOS[[#This Row],[PROYECCION COMPRA]]-(PRODUCTOS[[#This Row],[PPTO FALTANTE]]*PRODUCTOS[[#This Row],[PPTO]]),"")</f>
        <v/>
      </c>
      <c r="AB27" s="3">
        <f>+_xlfn.XLOOKUP(PRODUCTOS[[#This Row],[CODIGO]],DETALLE_GD_1[CODIGO],DETALLE_GD_1[VALOR PPTO],"",0)</f>
        <v>18880.599999999999</v>
      </c>
      <c r="AC27" s="3" t="e">
        <f>+AB27-PRODUCTOS[[#This Row],[PPTO_ACTUALIZADO]]</f>
        <v>#VALUE!</v>
      </c>
    </row>
    <row r="28" spans="1:29" hidden="1" x14ac:dyDescent="0.25">
      <c r="A28" t="s">
        <v>92</v>
      </c>
      <c r="B28" t="s">
        <v>93</v>
      </c>
      <c r="C28" t="s">
        <v>600</v>
      </c>
      <c r="D28">
        <v>0</v>
      </c>
      <c r="E28">
        <v>0</v>
      </c>
      <c r="F28" s="2">
        <v>17428.493505999999</v>
      </c>
      <c r="G28" s="6" t="s">
        <v>355</v>
      </c>
      <c r="H28" s="2" t="s">
        <v>355</v>
      </c>
      <c r="I28" t="b">
        <v>0</v>
      </c>
      <c r="J28" t="str">
        <f>+_xlfn.XLOOKUP(PRODUCTOS[[#This Row],[CODIGO]],P_CRITICOS[CODIGO],P_CRITICOS[DESC CORTA],"",0)</f>
        <v/>
      </c>
      <c r="K28" t="str">
        <f>+IFERROR(IF(VLOOKUP(PRODUCTOS[[#This Row],[CODIGO]],P_CRITICOS[],3,0)="*","PRODUCTO CRITICO","NO CRITICO"),"NO CRITICO")</f>
        <v>NO CRITICO</v>
      </c>
      <c r="L28" s="15" t="str">
        <f>+_xlfn.XLOOKUP(PRODUCTOS[[#This Row],[CODIGO]],BD_MODULO[Artículo],BD_MODULO[CUB_ACTUALIZADA],"",0)</f>
        <v/>
      </c>
      <c r="M28" s="2" t="str">
        <f>+IFERROR(PRODUCTOS[[#This Row],[PPTO]]*PRODUCTOS[[#This Row],[CANT X MODULO]],"")</f>
        <v/>
      </c>
      <c r="N28" s="2" t="str">
        <f>+IFERROR(PRODUCTOS[[#This Row],[PPTO X MODULO]]*32,"")</f>
        <v/>
      </c>
      <c r="O28" s="2" t="str">
        <f>+IFERROR(PRODUCTOS[[#This Row],[PPTO X TORRE]]*22,"")</f>
        <v/>
      </c>
      <c r="P28" s="3" t="str">
        <f>+IFERROR(PRODUCTOS[[#This Row],[CANT X MODULO]]*702,"")</f>
        <v/>
      </c>
      <c r="Q28" s="3">
        <f>+SUMIFS(DETALLE_GD_1[CANTIDAD SOLICITADA],DETALLE_GD_1[CODIGO],PRODUCTOS[[#This Row],[CODIGO]])</f>
        <v>1</v>
      </c>
      <c r="R28" s="3">
        <f>+SUMIFS(DETALLE_GD_1[DEVOLUCIÓN],DETALLE_GD_1[CODIGO],PRODUCTOS[[#This Row],[CODIGO]])</f>
        <v>0</v>
      </c>
      <c r="S28" s="3">
        <f>+PRODUCTOS[[#This Row],[CANT. COMPRADA]]-PRODUCTOS[[#This Row],[DEVOLUCIONES]]</f>
        <v>1</v>
      </c>
      <c r="T28" s="3" t="str">
        <f>+IFERROR(PRODUCTOS[[#This Row],[CANTIDAD RECIBIDA]]/PRODUCTOS[[#This Row],[CANT X MODULO]],"")</f>
        <v/>
      </c>
      <c r="U28" s="3">
        <f>+SUMIFS(DETALLE_GD_1[VALOR TOTAL POR ITEM GD],DETALLE_GD_1[CODIGO],PRODUCTOS[[#This Row],[CODIGO]])</f>
        <v>17428</v>
      </c>
      <c r="V28" s="3">
        <f>+IFERROR(PRODUCTOS[[#This Row],[PRECIO DE COMPRA]]/PRODUCTOS[[#This Row],[CANT. COMPRADA]],"")</f>
        <v>17428</v>
      </c>
      <c r="W28" s="3" t="str">
        <f>+IFERROR(PRODUCTOS[[#This Row],[PRECIO COMPRA UNITARIO]]*PRODUCTOS[[#This Row],[PPTO FALTANTE]],"")</f>
        <v/>
      </c>
      <c r="X28" s="7" t="str">
        <f>+IFERROR(PRODUCTOS[[#This Row],[PROYECCION COMPRA]]/PRODUCTOS[[#This Row],[PPTO TOTAL]]-1,"")</f>
        <v/>
      </c>
      <c r="Y28" s="3" t="str">
        <f>+IFERROR((PRODUCTOS[[#This Row],[CANT X MODULO]]*704)-PRODUCTOS[[#This Row],[CANT. COMPRADA]],"")</f>
        <v/>
      </c>
      <c r="Z28" s="17" t="str">
        <f>+IFERROR(PRODUCTOS[[#This Row],[CANT. COMPRADA]]/PRODUCTOS[[#This Row],[PPTO FALTANTE]],"")</f>
        <v/>
      </c>
      <c r="AA28" s="3" t="str">
        <f>+IFERROR(PRODUCTOS[[#This Row],[PROYECCION COMPRA]]-(PRODUCTOS[[#This Row],[PPTO FALTANTE]]*PRODUCTOS[[#This Row],[PPTO]]),"")</f>
        <v/>
      </c>
      <c r="AB28" s="3">
        <f>+_xlfn.XLOOKUP(PRODUCTOS[[#This Row],[CODIGO]],DETALLE_GD_1[CODIGO],DETALLE_GD_1[VALOR PPTO],"",0)</f>
        <v>17428.4935</v>
      </c>
      <c r="AC28" s="3" t="e">
        <f>+AB28-PRODUCTOS[[#This Row],[PPTO_ACTUALIZADO]]</f>
        <v>#VALUE!</v>
      </c>
    </row>
    <row r="29" spans="1:29" hidden="1" x14ac:dyDescent="0.25">
      <c r="A29">
        <v>1801155</v>
      </c>
      <c r="B29" t="s">
        <v>98</v>
      </c>
      <c r="C29" t="s">
        <v>604</v>
      </c>
      <c r="D29" t="s">
        <v>244</v>
      </c>
      <c r="E29" t="s">
        <v>406</v>
      </c>
      <c r="F29" s="2">
        <v>23733.489796000002</v>
      </c>
      <c r="G29" s="6" t="s">
        <v>355</v>
      </c>
      <c r="H29" s="2" t="s">
        <v>355</v>
      </c>
      <c r="I29" t="b">
        <v>0</v>
      </c>
      <c r="J29" t="str">
        <f>+_xlfn.XLOOKUP(PRODUCTOS[[#This Row],[CODIGO]],P_CRITICOS[CODIGO],P_CRITICOS[DESC CORTA],"",0)</f>
        <v/>
      </c>
      <c r="K29" t="str">
        <f>+IFERROR(IF(VLOOKUP(PRODUCTOS[[#This Row],[CODIGO]],P_CRITICOS[],3,0)="*","PRODUCTO CRITICO","NO CRITICO"),"NO CRITICO")</f>
        <v>NO CRITICO</v>
      </c>
      <c r="L29" s="15" t="str">
        <f>+_xlfn.XLOOKUP(PRODUCTOS[[#This Row],[CODIGO]],BD_MODULO[Artículo],BD_MODULO[CUB_ACTUALIZADA],"",0)</f>
        <v/>
      </c>
      <c r="M29" s="2" t="str">
        <f>+IFERROR(PRODUCTOS[[#This Row],[PPTO]]*PRODUCTOS[[#This Row],[CANT X MODULO]],"")</f>
        <v/>
      </c>
      <c r="N29" s="2" t="str">
        <f>+IFERROR(PRODUCTOS[[#This Row],[PPTO X MODULO]]*32,"")</f>
        <v/>
      </c>
      <c r="O29" s="2" t="str">
        <f>+IFERROR(PRODUCTOS[[#This Row],[PPTO X TORRE]]*22,"")</f>
        <v/>
      </c>
      <c r="P29" s="3" t="str">
        <f>+IFERROR(PRODUCTOS[[#This Row],[CANT X MODULO]]*702,"")</f>
        <v/>
      </c>
      <c r="Q29" s="3">
        <f>+SUMIFS(DETALLE_GD_1[CANTIDAD SOLICITADA],DETALLE_GD_1[CODIGO],PRODUCTOS[[#This Row],[CODIGO]])</f>
        <v>1</v>
      </c>
      <c r="R29" s="3">
        <f>+SUMIFS(DETALLE_GD_1[DEVOLUCIÓN],DETALLE_GD_1[CODIGO],PRODUCTOS[[#This Row],[CODIGO]])</f>
        <v>0</v>
      </c>
      <c r="S29" s="3">
        <f>+PRODUCTOS[[#This Row],[CANT. COMPRADA]]-PRODUCTOS[[#This Row],[DEVOLUCIONES]]</f>
        <v>1</v>
      </c>
      <c r="T29" s="3" t="str">
        <f>+IFERROR(PRODUCTOS[[#This Row],[CANTIDAD RECIBIDA]]/PRODUCTOS[[#This Row],[CANT X MODULO]],"")</f>
        <v/>
      </c>
      <c r="U29" s="3">
        <f>+SUMIFS(DETALLE_GD_1[VALOR TOTAL POR ITEM GD],DETALLE_GD_1[CODIGO],PRODUCTOS[[#This Row],[CODIGO]])</f>
        <v>23734</v>
      </c>
      <c r="V29" s="3">
        <f>+IFERROR(PRODUCTOS[[#This Row],[PRECIO DE COMPRA]]/PRODUCTOS[[#This Row],[CANT. COMPRADA]],"")</f>
        <v>23734</v>
      </c>
      <c r="W29" s="3" t="str">
        <f>+IFERROR(PRODUCTOS[[#This Row],[PRECIO COMPRA UNITARIO]]*PRODUCTOS[[#This Row],[PPTO FALTANTE]],"")</f>
        <v/>
      </c>
      <c r="X29" s="7" t="str">
        <f>+IFERROR(PRODUCTOS[[#This Row],[PROYECCION COMPRA]]/PRODUCTOS[[#This Row],[PPTO TOTAL]]-1,"")</f>
        <v/>
      </c>
      <c r="Y29" s="3" t="str">
        <f>+IFERROR((PRODUCTOS[[#This Row],[CANT X MODULO]]*704)-PRODUCTOS[[#This Row],[CANT. COMPRADA]],"")</f>
        <v/>
      </c>
      <c r="Z29" s="17" t="str">
        <f>+IFERROR(PRODUCTOS[[#This Row],[CANT. COMPRADA]]/PRODUCTOS[[#This Row],[PPTO FALTANTE]],"")</f>
        <v/>
      </c>
      <c r="AA29" s="3" t="str">
        <f>+IFERROR(PRODUCTOS[[#This Row],[PROYECCION COMPRA]]-(PRODUCTOS[[#This Row],[PPTO FALTANTE]]*PRODUCTOS[[#This Row],[PPTO]]),"")</f>
        <v/>
      </c>
      <c r="AB29" s="3">
        <f>+_xlfn.XLOOKUP(PRODUCTOS[[#This Row],[CODIGO]],DETALLE_GD_1[CODIGO],DETALLE_GD_1[VALOR PPTO],"",0)</f>
        <v>23733.489799999999</v>
      </c>
      <c r="AC29" s="3" t="e">
        <f>+AB29-PRODUCTOS[[#This Row],[PPTO_ACTUALIZADO]]</f>
        <v>#VALUE!</v>
      </c>
    </row>
    <row r="30" spans="1:29" hidden="1" x14ac:dyDescent="0.25">
      <c r="A30">
        <v>1801154</v>
      </c>
      <c r="B30" t="s">
        <v>99</v>
      </c>
      <c r="C30" t="s">
        <v>605</v>
      </c>
      <c r="D30" t="s">
        <v>244</v>
      </c>
      <c r="E30" t="s">
        <v>406</v>
      </c>
      <c r="F30" s="2">
        <v>32738.5</v>
      </c>
      <c r="G30" s="6" t="s">
        <v>355</v>
      </c>
      <c r="H30" s="2" t="s">
        <v>355</v>
      </c>
      <c r="I30" t="b">
        <v>0</v>
      </c>
      <c r="J30" t="str">
        <f>+_xlfn.XLOOKUP(PRODUCTOS[[#This Row],[CODIGO]],P_CRITICOS[CODIGO],P_CRITICOS[DESC CORTA],"",0)</f>
        <v/>
      </c>
      <c r="K30" t="str">
        <f>+IFERROR(IF(VLOOKUP(PRODUCTOS[[#This Row],[CODIGO]],P_CRITICOS[],3,0)="*","PRODUCTO CRITICO","NO CRITICO"),"NO CRITICO")</f>
        <v>NO CRITICO</v>
      </c>
      <c r="L30" s="15" t="str">
        <f>+_xlfn.XLOOKUP(PRODUCTOS[[#This Row],[CODIGO]],BD_MODULO[Artículo],BD_MODULO[CUB_ACTUALIZADA],"",0)</f>
        <v/>
      </c>
      <c r="M30" s="2" t="str">
        <f>+IFERROR(PRODUCTOS[[#This Row],[PPTO]]*PRODUCTOS[[#This Row],[CANT X MODULO]],"")</f>
        <v/>
      </c>
      <c r="N30" s="2" t="str">
        <f>+IFERROR(PRODUCTOS[[#This Row],[PPTO X MODULO]]*32,"")</f>
        <v/>
      </c>
      <c r="O30" s="2" t="str">
        <f>+IFERROR(PRODUCTOS[[#This Row],[PPTO X TORRE]]*22,"")</f>
        <v/>
      </c>
      <c r="P30" s="3" t="str">
        <f>+IFERROR(PRODUCTOS[[#This Row],[CANT X MODULO]]*702,"")</f>
        <v/>
      </c>
      <c r="Q30" s="3">
        <f>+SUMIFS(DETALLE_GD_1[CANTIDAD SOLICITADA],DETALLE_GD_1[CODIGO],PRODUCTOS[[#This Row],[CODIGO]])</f>
        <v>4</v>
      </c>
      <c r="R30" s="3">
        <f>+SUMIFS(DETALLE_GD_1[DEVOLUCIÓN],DETALLE_GD_1[CODIGO],PRODUCTOS[[#This Row],[CODIGO]])</f>
        <v>0</v>
      </c>
      <c r="S30" s="3">
        <f>+PRODUCTOS[[#This Row],[CANT. COMPRADA]]-PRODUCTOS[[#This Row],[DEVOLUCIONES]]</f>
        <v>4</v>
      </c>
      <c r="T30" s="3" t="str">
        <f>+IFERROR(PRODUCTOS[[#This Row],[CANTIDAD RECIBIDA]]/PRODUCTOS[[#This Row],[CANT X MODULO]],"")</f>
        <v/>
      </c>
      <c r="U30" s="3">
        <f>+SUMIFS(DETALLE_GD_1[VALOR TOTAL POR ITEM GD],DETALLE_GD_1[CODIGO],PRODUCTOS[[#This Row],[CODIGO]])</f>
        <v>36428</v>
      </c>
      <c r="V30" s="3">
        <f>+IFERROR(PRODUCTOS[[#This Row],[PRECIO DE COMPRA]]/PRODUCTOS[[#This Row],[CANT. COMPRADA]],"")</f>
        <v>9107</v>
      </c>
      <c r="W30" s="3" t="str">
        <f>+IFERROR(PRODUCTOS[[#This Row],[PRECIO COMPRA UNITARIO]]*PRODUCTOS[[#This Row],[PPTO FALTANTE]],"")</f>
        <v/>
      </c>
      <c r="X30" s="7" t="str">
        <f>+IFERROR(PRODUCTOS[[#This Row],[PROYECCION COMPRA]]/PRODUCTOS[[#This Row],[PPTO TOTAL]]-1,"")</f>
        <v/>
      </c>
      <c r="Y30" s="3" t="str">
        <f>+IFERROR((PRODUCTOS[[#This Row],[CANT X MODULO]]*704)-PRODUCTOS[[#This Row],[CANT. COMPRADA]],"")</f>
        <v/>
      </c>
      <c r="Z30" s="17" t="str">
        <f>+IFERROR(PRODUCTOS[[#This Row],[CANT. COMPRADA]]/PRODUCTOS[[#This Row],[PPTO FALTANTE]],"")</f>
        <v/>
      </c>
      <c r="AA30" s="3" t="str">
        <f>+IFERROR(PRODUCTOS[[#This Row],[PROYECCION COMPRA]]-(PRODUCTOS[[#This Row],[PPTO FALTANTE]]*PRODUCTOS[[#This Row],[PPTO]]),"")</f>
        <v/>
      </c>
      <c r="AB30" s="3">
        <f>+_xlfn.XLOOKUP(PRODUCTOS[[#This Row],[CODIGO]],DETALLE_GD_1[CODIGO],DETALLE_GD_1[VALOR PPTO],"",0)</f>
        <v>32738.5</v>
      </c>
      <c r="AC30" s="3" t="e">
        <f>+AB30-PRODUCTOS[[#This Row],[PPTO_ACTUALIZADO]]</f>
        <v>#VALUE!</v>
      </c>
    </row>
    <row r="31" spans="1:29" hidden="1" x14ac:dyDescent="0.25">
      <c r="A31">
        <v>1101971</v>
      </c>
      <c r="B31" t="s">
        <v>100</v>
      </c>
      <c r="C31" t="s">
        <v>532</v>
      </c>
      <c r="D31">
        <v>0</v>
      </c>
      <c r="E31">
        <v>0</v>
      </c>
      <c r="F31" s="2">
        <v>44950</v>
      </c>
      <c r="G31" s="6" t="s">
        <v>355</v>
      </c>
      <c r="H31" s="2" t="s">
        <v>355</v>
      </c>
      <c r="I31" t="b">
        <v>0</v>
      </c>
      <c r="J31" t="str">
        <f>+_xlfn.XLOOKUP(PRODUCTOS[[#This Row],[CODIGO]],P_CRITICOS[CODIGO],P_CRITICOS[DESC CORTA],"",0)</f>
        <v/>
      </c>
      <c r="K31" t="str">
        <f>+IFERROR(IF(VLOOKUP(PRODUCTOS[[#This Row],[CODIGO]],P_CRITICOS[],3,0)="*","PRODUCTO CRITICO","NO CRITICO"),"NO CRITICO")</f>
        <v>NO CRITICO</v>
      </c>
      <c r="L31" s="15" t="str">
        <f>+_xlfn.XLOOKUP(PRODUCTOS[[#This Row],[CODIGO]],BD_MODULO[Artículo],BD_MODULO[CUB_ACTUALIZADA],"",0)</f>
        <v/>
      </c>
      <c r="M31" s="2" t="str">
        <f>+IFERROR(PRODUCTOS[[#This Row],[PPTO]]*PRODUCTOS[[#This Row],[CANT X MODULO]],"")</f>
        <v/>
      </c>
      <c r="N31" s="2" t="str">
        <f>+IFERROR(PRODUCTOS[[#This Row],[PPTO X MODULO]]*32,"")</f>
        <v/>
      </c>
      <c r="O31" s="2" t="str">
        <f>+IFERROR(PRODUCTOS[[#This Row],[PPTO X TORRE]]*22,"")</f>
        <v/>
      </c>
      <c r="P31" s="3" t="str">
        <f>+IFERROR(PRODUCTOS[[#This Row],[CANT X MODULO]]*702,"")</f>
        <v/>
      </c>
      <c r="Q31" s="3">
        <f>+SUMIFS(DETALLE_GD_1[CANTIDAD SOLICITADA],DETALLE_GD_1[CODIGO],PRODUCTOS[[#This Row],[CODIGO]])</f>
        <v>3</v>
      </c>
      <c r="R31" s="3">
        <f>+SUMIFS(DETALLE_GD_1[DEVOLUCIÓN],DETALLE_GD_1[CODIGO],PRODUCTOS[[#This Row],[CODIGO]])</f>
        <v>0</v>
      </c>
      <c r="S31" s="3">
        <f>+PRODUCTOS[[#This Row],[CANT. COMPRADA]]-PRODUCTOS[[#This Row],[DEVOLUCIONES]]</f>
        <v>3</v>
      </c>
      <c r="T31" s="3" t="str">
        <f>+IFERROR(PRODUCTOS[[#This Row],[CANTIDAD RECIBIDA]]/PRODUCTOS[[#This Row],[CANT X MODULO]],"")</f>
        <v/>
      </c>
      <c r="U31" s="3">
        <f>+SUMIFS(DETALLE_GD_1[VALOR TOTAL POR ITEM GD],DETALLE_GD_1[CODIGO],PRODUCTOS[[#This Row],[CODIGO]])</f>
        <v>134850</v>
      </c>
      <c r="V31" s="3">
        <f>+IFERROR(PRODUCTOS[[#This Row],[PRECIO DE COMPRA]]/PRODUCTOS[[#This Row],[CANT. COMPRADA]],"")</f>
        <v>44950</v>
      </c>
      <c r="W31" s="3" t="str">
        <f>+IFERROR(PRODUCTOS[[#This Row],[PRECIO COMPRA UNITARIO]]*PRODUCTOS[[#This Row],[PPTO FALTANTE]],"")</f>
        <v/>
      </c>
      <c r="X31" s="7" t="str">
        <f>+IFERROR(PRODUCTOS[[#This Row],[PROYECCION COMPRA]]/PRODUCTOS[[#This Row],[PPTO TOTAL]]-1,"")</f>
        <v/>
      </c>
      <c r="Y31" s="3" t="str">
        <f>+IFERROR((PRODUCTOS[[#This Row],[CANT X MODULO]]*704)-PRODUCTOS[[#This Row],[CANT. COMPRADA]],"")</f>
        <v/>
      </c>
      <c r="Z31" s="17" t="str">
        <f>+IFERROR(PRODUCTOS[[#This Row],[CANT. COMPRADA]]/PRODUCTOS[[#This Row],[PPTO FALTANTE]],"")</f>
        <v/>
      </c>
      <c r="AA31" s="3" t="str">
        <f>+IFERROR(PRODUCTOS[[#This Row],[PROYECCION COMPRA]]-(PRODUCTOS[[#This Row],[PPTO FALTANTE]]*PRODUCTOS[[#This Row],[PPTO]]),"")</f>
        <v/>
      </c>
      <c r="AB31" s="3">
        <f>+_xlfn.XLOOKUP(PRODUCTOS[[#This Row],[CODIGO]],DETALLE_GD_1[CODIGO],DETALLE_GD_1[VALOR PPTO],"",0)</f>
        <v>44950</v>
      </c>
      <c r="AC31" s="3" t="e">
        <f>+AB31-PRODUCTOS[[#This Row],[PPTO_ACTUALIZADO]]</f>
        <v>#VALUE!</v>
      </c>
    </row>
    <row r="32" spans="1:29" hidden="1" x14ac:dyDescent="0.25">
      <c r="A32">
        <v>1802005</v>
      </c>
      <c r="B32" t="s">
        <v>101</v>
      </c>
      <c r="C32" t="s">
        <v>606</v>
      </c>
      <c r="D32" t="s">
        <v>244</v>
      </c>
      <c r="E32" t="s">
        <v>406</v>
      </c>
      <c r="F32" s="2">
        <v>3780.4087909999998</v>
      </c>
      <c r="G32" s="6" t="s">
        <v>355</v>
      </c>
      <c r="H32" s="2" t="s">
        <v>355</v>
      </c>
      <c r="I32" t="b">
        <v>0</v>
      </c>
      <c r="J32" t="str">
        <f>+_xlfn.XLOOKUP(PRODUCTOS[[#This Row],[CODIGO]],P_CRITICOS[CODIGO],P_CRITICOS[DESC CORTA],"",0)</f>
        <v/>
      </c>
      <c r="K32" t="str">
        <f>+IFERROR(IF(VLOOKUP(PRODUCTOS[[#This Row],[CODIGO]],P_CRITICOS[],3,0)="*","PRODUCTO CRITICO","NO CRITICO"),"NO CRITICO")</f>
        <v>NO CRITICO</v>
      </c>
      <c r="L32" s="15" t="str">
        <f>+_xlfn.XLOOKUP(PRODUCTOS[[#This Row],[CODIGO]],BD_MODULO[Artículo],BD_MODULO[CUB_ACTUALIZADA],"",0)</f>
        <v/>
      </c>
      <c r="M32" s="2" t="str">
        <f>+IFERROR(PRODUCTOS[[#This Row],[PPTO]]*PRODUCTOS[[#This Row],[CANT X MODULO]],"")</f>
        <v/>
      </c>
      <c r="N32" s="2" t="str">
        <f>+IFERROR(PRODUCTOS[[#This Row],[PPTO X MODULO]]*32,"")</f>
        <v/>
      </c>
      <c r="O32" s="2" t="str">
        <f>+IFERROR(PRODUCTOS[[#This Row],[PPTO X TORRE]]*22,"")</f>
        <v/>
      </c>
      <c r="P32" s="3" t="str">
        <f>+IFERROR(PRODUCTOS[[#This Row],[CANT X MODULO]]*702,"")</f>
        <v/>
      </c>
      <c r="Q32" s="3">
        <f>+SUMIFS(DETALLE_GD_1[CANTIDAD SOLICITADA],DETALLE_GD_1[CODIGO],PRODUCTOS[[#This Row],[CODIGO]])</f>
        <v>1</v>
      </c>
      <c r="R32" s="3">
        <f>+SUMIFS(DETALLE_GD_1[DEVOLUCIÓN],DETALLE_GD_1[CODIGO],PRODUCTOS[[#This Row],[CODIGO]])</f>
        <v>0</v>
      </c>
      <c r="S32" s="3">
        <f>+PRODUCTOS[[#This Row],[CANT. COMPRADA]]-PRODUCTOS[[#This Row],[DEVOLUCIONES]]</f>
        <v>1</v>
      </c>
      <c r="T32" s="3" t="str">
        <f>+IFERROR(PRODUCTOS[[#This Row],[CANTIDAD RECIBIDA]]/PRODUCTOS[[#This Row],[CANT X MODULO]],"")</f>
        <v/>
      </c>
      <c r="U32" s="3">
        <f>+SUMIFS(DETALLE_GD_1[VALOR TOTAL POR ITEM GD],DETALLE_GD_1[CODIGO],PRODUCTOS[[#This Row],[CODIGO]])</f>
        <v>3780</v>
      </c>
      <c r="V32" s="3">
        <f>+IFERROR(PRODUCTOS[[#This Row],[PRECIO DE COMPRA]]/PRODUCTOS[[#This Row],[CANT. COMPRADA]],"")</f>
        <v>3780</v>
      </c>
      <c r="W32" s="3" t="str">
        <f>+IFERROR(PRODUCTOS[[#This Row],[PRECIO COMPRA UNITARIO]]*PRODUCTOS[[#This Row],[PPTO FALTANTE]],"")</f>
        <v/>
      </c>
      <c r="X32" s="7" t="str">
        <f>+IFERROR(PRODUCTOS[[#This Row],[PROYECCION COMPRA]]/PRODUCTOS[[#This Row],[PPTO TOTAL]]-1,"")</f>
        <v/>
      </c>
      <c r="Y32" s="3" t="str">
        <f>+IFERROR((PRODUCTOS[[#This Row],[CANT X MODULO]]*704)-PRODUCTOS[[#This Row],[CANT. COMPRADA]],"")</f>
        <v/>
      </c>
      <c r="Z32" s="17" t="str">
        <f>+IFERROR(PRODUCTOS[[#This Row],[CANT. COMPRADA]]/PRODUCTOS[[#This Row],[PPTO FALTANTE]],"")</f>
        <v/>
      </c>
      <c r="AA32" s="3" t="str">
        <f>+IFERROR(PRODUCTOS[[#This Row],[PROYECCION COMPRA]]-(PRODUCTOS[[#This Row],[PPTO FALTANTE]]*PRODUCTOS[[#This Row],[PPTO]]),"")</f>
        <v/>
      </c>
      <c r="AB32" s="3">
        <f>+_xlfn.XLOOKUP(PRODUCTOS[[#This Row],[CODIGO]],DETALLE_GD_1[CODIGO],DETALLE_GD_1[VALOR PPTO],"",0)</f>
        <v>3780.4088000000002</v>
      </c>
      <c r="AC32" s="3" t="e">
        <f>+AB32-PRODUCTOS[[#This Row],[PPTO_ACTUALIZADO]]</f>
        <v>#VALUE!</v>
      </c>
    </row>
    <row r="33" spans="1:29" hidden="1" x14ac:dyDescent="0.25">
      <c r="A33">
        <v>1808043</v>
      </c>
      <c r="B33" t="s">
        <v>102</v>
      </c>
      <c r="C33" t="s">
        <v>607</v>
      </c>
      <c r="D33">
        <v>0</v>
      </c>
      <c r="E33">
        <v>0</v>
      </c>
      <c r="F33" s="2">
        <v>2779.727273</v>
      </c>
      <c r="G33" s="6" t="s">
        <v>355</v>
      </c>
      <c r="H33" s="2" t="s">
        <v>355</v>
      </c>
      <c r="I33" t="b">
        <v>0</v>
      </c>
      <c r="J33" t="str">
        <f>+_xlfn.XLOOKUP(PRODUCTOS[[#This Row],[CODIGO]],P_CRITICOS[CODIGO],P_CRITICOS[DESC CORTA],"",0)</f>
        <v/>
      </c>
      <c r="K33" t="str">
        <f>+IFERROR(IF(VLOOKUP(PRODUCTOS[[#This Row],[CODIGO]],P_CRITICOS[],3,0)="*","PRODUCTO CRITICO","NO CRITICO"),"NO CRITICO")</f>
        <v>NO CRITICO</v>
      </c>
      <c r="L33" s="15" t="str">
        <f>+_xlfn.XLOOKUP(PRODUCTOS[[#This Row],[CODIGO]],BD_MODULO[Artículo],BD_MODULO[CUB_ACTUALIZADA],"",0)</f>
        <v/>
      </c>
      <c r="M33" s="2" t="str">
        <f>+IFERROR(PRODUCTOS[[#This Row],[PPTO]]*PRODUCTOS[[#This Row],[CANT X MODULO]],"")</f>
        <v/>
      </c>
      <c r="N33" s="2" t="str">
        <f>+IFERROR(PRODUCTOS[[#This Row],[PPTO X MODULO]]*32,"")</f>
        <v/>
      </c>
      <c r="O33" s="2" t="str">
        <f>+IFERROR(PRODUCTOS[[#This Row],[PPTO X TORRE]]*22,"")</f>
        <v/>
      </c>
      <c r="P33" s="3" t="str">
        <f>+IFERROR(PRODUCTOS[[#This Row],[CANT X MODULO]]*702,"")</f>
        <v/>
      </c>
      <c r="Q33" s="3">
        <f>+SUMIFS(DETALLE_GD_1[CANTIDAD SOLICITADA],DETALLE_GD_1[CODIGO],PRODUCTOS[[#This Row],[CODIGO]])</f>
        <v>1</v>
      </c>
      <c r="R33" s="3">
        <f>+SUMIFS(DETALLE_GD_1[DEVOLUCIÓN],DETALLE_GD_1[CODIGO],PRODUCTOS[[#This Row],[CODIGO]])</f>
        <v>0</v>
      </c>
      <c r="S33" s="3">
        <f>+PRODUCTOS[[#This Row],[CANT. COMPRADA]]-PRODUCTOS[[#This Row],[DEVOLUCIONES]]</f>
        <v>1</v>
      </c>
      <c r="T33" s="3" t="str">
        <f>+IFERROR(PRODUCTOS[[#This Row],[CANTIDAD RECIBIDA]]/PRODUCTOS[[#This Row],[CANT X MODULO]],"")</f>
        <v/>
      </c>
      <c r="U33" s="3">
        <f>+SUMIFS(DETALLE_GD_1[VALOR TOTAL POR ITEM GD],DETALLE_GD_1[CODIGO],PRODUCTOS[[#This Row],[CODIGO]])</f>
        <v>2780</v>
      </c>
      <c r="V33" s="3">
        <f>+IFERROR(PRODUCTOS[[#This Row],[PRECIO DE COMPRA]]/PRODUCTOS[[#This Row],[CANT. COMPRADA]],"")</f>
        <v>2780</v>
      </c>
      <c r="W33" s="3" t="str">
        <f>+IFERROR(PRODUCTOS[[#This Row],[PRECIO COMPRA UNITARIO]]*PRODUCTOS[[#This Row],[PPTO FALTANTE]],"")</f>
        <v/>
      </c>
      <c r="X33" s="7" t="str">
        <f>+IFERROR(PRODUCTOS[[#This Row],[PROYECCION COMPRA]]/PRODUCTOS[[#This Row],[PPTO TOTAL]]-1,"")</f>
        <v/>
      </c>
      <c r="Y33" s="3" t="str">
        <f>+IFERROR((PRODUCTOS[[#This Row],[CANT X MODULO]]*704)-PRODUCTOS[[#This Row],[CANT. COMPRADA]],"")</f>
        <v/>
      </c>
      <c r="Z33" s="17" t="str">
        <f>+IFERROR(PRODUCTOS[[#This Row],[CANT. COMPRADA]]/PRODUCTOS[[#This Row],[PPTO FALTANTE]],"")</f>
        <v/>
      </c>
      <c r="AA33" s="3" t="str">
        <f>+IFERROR(PRODUCTOS[[#This Row],[PROYECCION COMPRA]]-(PRODUCTOS[[#This Row],[PPTO FALTANTE]]*PRODUCTOS[[#This Row],[PPTO]]),"")</f>
        <v/>
      </c>
      <c r="AB33" s="3">
        <f>+_xlfn.XLOOKUP(PRODUCTOS[[#This Row],[CODIGO]],DETALLE_GD_1[CODIGO],DETALLE_GD_1[VALOR PPTO],"",0)</f>
        <v>2779.7273</v>
      </c>
      <c r="AC33" s="3" t="e">
        <f>+AB33-PRODUCTOS[[#This Row],[PPTO_ACTUALIZADO]]</f>
        <v>#VALUE!</v>
      </c>
    </row>
    <row r="34" spans="1:29" hidden="1" x14ac:dyDescent="0.25">
      <c r="A34">
        <v>1801236</v>
      </c>
      <c r="B34" t="s">
        <v>103</v>
      </c>
      <c r="C34" t="s">
        <v>608</v>
      </c>
      <c r="D34" t="s">
        <v>258</v>
      </c>
      <c r="E34">
        <v>0</v>
      </c>
      <c r="F34" s="2">
        <v>8938</v>
      </c>
      <c r="G34" s="6" t="s">
        <v>355</v>
      </c>
      <c r="H34" s="2" t="s">
        <v>355</v>
      </c>
      <c r="I34" t="b">
        <v>0</v>
      </c>
      <c r="J34" t="str">
        <f>+_xlfn.XLOOKUP(PRODUCTOS[[#This Row],[CODIGO]],P_CRITICOS[CODIGO],P_CRITICOS[DESC CORTA],"",0)</f>
        <v/>
      </c>
      <c r="K34" t="str">
        <f>+IFERROR(IF(VLOOKUP(PRODUCTOS[[#This Row],[CODIGO]],P_CRITICOS[],3,0)="*","PRODUCTO CRITICO","NO CRITICO"),"NO CRITICO")</f>
        <v>NO CRITICO</v>
      </c>
      <c r="L34" s="15" t="str">
        <f>+_xlfn.XLOOKUP(PRODUCTOS[[#This Row],[CODIGO]],BD_MODULO[Artículo],BD_MODULO[CUB_ACTUALIZADA],"",0)</f>
        <v/>
      </c>
      <c r="M34" s="2" t="str">
        <f>+IFERROR(PRODUCTOS[[#This Row],[PPTO]]*PRODUCTOS[[#This Row],[CANT X MODULO]],"")</f>
        <v/>
      </c>
      <c r="N34" s="2" t="str">
        <f>+IFERROR(PRODUCTOS[[#This Row],[PPTO X MODULO]]*32,"")</f>
        <v/>
      </c>
      <c r="O34" s="2" t="str">
        <f>+IFERROR(PRODUCTOS[[#This Row],[PPTO X TORRE]]*22,"")</f>
        <v/>
      </c>
      <c r="P34" s="3" t="str">
        <f>+IFERROR(PRODUCTOS[[#This Row],[CANT X MODULO]]*702,"")</f>
        <v/>
      </c>
      <c r="Q34" s="3">
        <f>+SUMIFS(DETALLE_GD_1[CANTIDAD SOLICITADA],DETALLE_GD_1[CODIGO],PRODUCTOS[[#This Row],[CODIGO]])</f>
        <v>1</v>
      </c>
      <c r="R34" s="3">
        <f>+SUMIFS(DETALLE_GD_1[DEVOLUCIÓN],DETALLE_GD_1[CODIGO],PRODUCTOS[[#This Row],[CODIGO]])</f>
        <v>0</v>
      </c>
      <c r="S34" s="3">
        <f>+PRODUCTOS[[#This Row],[CANT. COMPRADA]]-PRODUCTOS[[#This Row],[DEVOLUCIONES]]</f>
        <v>1</v>
      </c>
      <c r="T34" s="3" t="str">
        <f>+IFERROR(PRODUCTOS[[#This Row],[CANTIDAD RECIBIDA]]/PRODUCTOS[[#This Row],[CANT X MODULO]],"")</f>
        <v/>
      </c>
      <c r="U34" s="3">
        <f>+SUMIFS(DETALLE_GD_1[VALOR TOTAL POR ITEM GD],DETALLE_GD_1[CODIGO],PRODUCTOS[[#This Row],[CODIGO]])</f>
        <v>9269</v>
      </c>
      <c r="V34" s="3">
        <f>+IFERROR(PRODUCTOS[[#This Row],[PRECIO DE COMPRA]]/PRODUCTOS[[#This Row],[CANT. COMPRADA]],"")</f>
        <v>9269</v>
      </c>
      <c r="W34" s="3" t="str">
        <f>+IFERROR(PRODUCTOS[[#This Row],[PRECIO COMPRA UNITARIO]]*PRODUCTOS[[#This Row],[PPTO FALTANTE]],"")</f>
        <v/>
      </c>
      <c r="X34" s="7" t="str">
        <f>+IFERROR(PRODUCTOS[[#This Row],[PROYECCION COMPRA]]/PRODUCTOS[[#This Row],[PPTO TOTAL]]-1,"")</f>
        <v/>
      </c>
      <c r="Y34" s="3" t="str">
        <f>+IFERROR((PRODUCTOS[[#This Row],[CANT X MODULO]]*704)-PRODUCTOS[[#This Row],[CANT. COMPRADA]],"")</f>
        <v/>
      </c>
      <c r="Z34" s="17" t="str">
        <f>+IFERROR(PRODUCTOS[[#This Row],[CANT. COMPRADA]]/PRODUCTOS[[#This Row],[PPTO FALTANTE]],"")</f>
        <v/>
      </c>
      <c r="AA34" s="3" t="str">
        <f>+IFERROR(PRODUCTOS[[#This Row],[PROYECCION COMPRA]]-(PRODUCTOS[[#This Row],[PPTO FALTANTE]]*PRODUCTOS[[#This Row],[PPTO]]),"")</f>
        <v/>
      </c>
      <c r="AB34" s="3">
        <f>+_xlfn.XLOOKUP(PRODUCTOS[[#This Row],[CODIGO]],DETALLE_GD_1[CODIGO],DETALLE_GD_1[VALOR PPTO],"",0)</f>
        <v>8938</v>
      </c>
      <c r="AC34" s="3" t="e">
        <f>+AB34-PRODUCTOS[[#This Row],[PPTO_ACTUALIZADO]]</f>
        <v>#VALUE!</v>
      </c>
    </row>
    <row r="35" spans="1:29" hidden="1" x14ac:dyDescent="0.25">
      <c r="A35">
        <v>1801238</v>
      </c>
      <c r="B35" t="s">
        <v>104</v>
      </c>
      <c r="C35" t="s">
        <v>609</v>
      </c>
      <c r="D35" t="s">
        <v>258</v>
      </c>
      <c r="E35" t="s">
        <v>355</v>
      </c>
      <c r="F35" s="2">
        <v>16615</v>
      </c>
      <c r="G35" s="6" t="s">
        <v>355</v>
      </c>
      <c r="H35" s="2" t="s">
        <v>355</v>
      </c>
      <c r="I35" t="b">
        <v>0</v>
      </c>
      <c r="J35" t="str">
        <f>+_xlfn.XLOOKUP(PRODUCTOS[[#This Row],[CODIGO]],P_CRITICOS[CODIGO],P_CRITICOS[DESC CORTA],"",0)</f>
        <v/>
      </c>
      <c r="K35" t="str">
        <f>+IFERROR(IF(VLOOKUP(PRODUCTOS[[#This Row],[CODIGO]],P_CRITICOS[],3,0)="*","PRODUCTO CRITICO","NO CRITICO"),"NO CRITICO")</f>
        <v>NO CRITICO</v>
      </c>
      <c r="L35" s="15" t="str">
        <f>+_xlfn.XLOOKUP(PRODUCTOS[[#This Row],[CODIGO]],BD_MODULO[Artículo],BD_MODULO[CUB_ACTUALIZADA],"",0)</f>
        <v/>
      </c>
      <c r="M35" s="2" t="str">
        <f>+IFERROR(PRODUCTOS[[#This Row],[PPTO]]*PRODUCTOS[[#This Row],[CANT X MODULO]],"")</f>
        <v/>
      </c>
      <c r="N35" s="2" t="str">
        <f>+IFERROR(PRODUCTOS[[#This Row],[PPTO X MODULO]]*32,"")</f>
        <v/>
      </c>
      <c r="O35" s="2" t="str">
        <f>+IFERROR(PRODUCTOS[[#This Row],[PPTO X TORRE]]*22,"")</f>
        <v/>
      </c>
      <c r="P35" s="3" t="str">
        <f>+IFERROR(PRODUCTOS[[#This Row],[CANT X MODULO]]*702,"")</f>
        <v/>
      </c>
      <c r="Q35" s="3">
        <f>+SUMIFS(DETALLE_GD_1[CANTIDAD SOLICITADA],DETALLE_GD_1[CODIGO],PRODUCTOS[[#This Row],[CODIGO]])</f>
        <v>1</v>
      </c>
      <c r="R35" s="3">
        <f>+SUMIFS(DETALLE_GD_1[DEVOLUCIÓN],DETALLE_GD_1[CODIGO],PRODUCTOS[[#This Row],[CODIGO]])</f>
        <v>0</v>
      </c>
      <c r="S35" s="3">
        <f>+PRODUCTOS[[#This Row],[CANT. COMPRADA]]-PRODUCTOS[[#This Row],[DEVOLUCIONES]]</f>
        <v>1</v>
      </c>
      <c r="T35" s="3" t="str">
        <f>+IFERROR(PRODUCTOS[[#This Row],[CANTIDAD RECIBIDA]]/PRODUCTOS[[#This Row],[CANT X MODULO]],"")</f>
        <v/>
      </c>
      <c r="U35" s="3">
        <f>+SUMIFS(DETALLE_GD_1[VALOR TOTAL POR ITEM GD],DETALLE_GD_1[CODIGO],PRODUCTOS[[#This Row],[CODIGO]])</f>
        <v>16615</v>
      </c>
      <c r="V35" s="3">
        <f>+IFERROR(PRODUCTOS[[#This Row],[PRECIO DE COMPRA]]/PRODUCTOS[[#This Row],[CANT. COMPRADA]],"")</f>
        <v>16615</v>
      </c>
      <c r="W35" s="3" t="str">
        <f>+IFERROR(PRODUCTOS[[#This Row],[PRECIO COMPRA UNITARIO]]*PRODUCTOS[[#This Row],[PPTO FALTANTE]],"")</f>
        <v/>
      </c>
      <c r="X35" s="7" t="str">
        <f>+IFERROR(PRODUCTOS[[#This Row],[PROYECCION COMPRA]]/PRODUCTOS[[#This Row],[PPTO TOTAL]]-1,"")</f>
        <v/>
      </c>
      <c r="Y35" s="3" t="str">
        <f>+IFERROR((PRODUCTOS[[#This Row],[CANT X MODULO]]*704)-PRODUCTOS[[#This Row],[CANT. COMPRADA]],"")</f>
        <v/>
      </c>
      <c r="Z35" s="17" t="str">
        <f>+IFERROR(PRODUCTOS[[#This Row],[CANT. COMPRADA]]/PRODUCTOS[[#This Row],[PPTO FALTANTE]],"")</f>
        <v/>
      </c>
      <c r="AA35" s="3" t="str">
        <f>+IFERROR(PRODUCTOS[[#This Row],[PROYECCION COMPRA]]-(PRODUCTOS[[#This Row],[PPTO FALTANTE]]*PRODUCTOS[[#This Row],[PPTO]]),"")</f>
        <v/>
      </c>
      <c r="AB35" s="3">
        <f>+_xlfn.XLOOKUP(PRODUCTOS[[#This Row],[CODIGO]],DETALLE_GD_1[CODIGO],DETALLE_GD_1[VALOR PPTO],"",0)</f>
        <v>16615</v>
      </c>
      <c r="AC35" s="3" t="e">
        <f>+AB35-PRODUCTOS[[#This Row],[PPTO_ACTUALIZADO]]</f>
        <v>#VALUE!</v>
      </c>
    </row>
    <row r="36" spans="1:29" hidden="1" x14ac:dyDescent="0.25">
      <c r="A36">
        <v>1801011</v>
      </c>
      <c r="B36" t="s">
        <v>105</v>
      </c>
      <c r="C36" t="s">
        <v>610</v>
      </c>
      <c r="D36">
        <v>0</v>
      </c>
      <c r="E36">
        <v>0</v>
      </c>
      <c r="F36" s="2">
        <v>9242.4217690000005</v>
      </c>
      <c r="G36" s="6" t="s">
        <v>355</v>
      </c>
      <c r="H36" s="2" t="s">
        <v>355</v>
      </c>
      <c r="I36" t="b">
        <v>0</v>
      </c>
      <c r="J36" t="str">
        <f>+_xlfn.XLOOKUP(PRODUCTOS[[#This Row],[CODIGO]],P_CRITICOS[CODIGO],P_CRITICOS[DESC CORTA],"",0)</f>
        <v/>
      </c>
      <c r="K36" t="str">
        <f>+IFERROR(IF(VLOOKUP(PRODUCTOS[[#This Row],[CODIGO]],P_CRITICOS[],3,0)="*","PRODUCTO CRITICO","NO CRITICO"),"NO CRITICO")</f>
        <v>NO CRITICO</v>
      </c>
      <c r="L36" s="15" t="str">
        <f>+_xlfn.XLOOKUP(PRODUCTOS[[#This Row],[CODIGO]],BD_MODULO[Artículo],BD_MODULO[CUB_ACTUALIZADA],"",0)</f>
        <v/>
      </c>
      <c r="M36" s="2" t="str">
        <f>+IFERROR(PRODUCTOS[[#This Row],[PPTO]]*PRODUCTOS[[#This Row],[CANT X MODULO]],"")</f>
        <v/>
      </c>
      <c r="N36" s="2" t="str">
        <f>+IFERROR(PRODUCTOS[[#This Row],[PPTO X MODULO]]*32,"")</f>
        <v/>
      </c>
      <c r="O36" s="2" t="str">
        <f>+IFERROR(PRODUCTOS[[#This Row],[PPTO X TORRE]]*22,"")</f>
        <v/>
      </c>
      <c r="P36" s="3" t="str">
        <f>+IFERROR(PRODUCTOS[[#This Row],[CANT X MODULO]]*702,"")</f>
        <v/>
      </c>
      <c r="Q36" s="3">
        <f>+SUMIFS(DETALLE_GD_1[CANTIDAD SOLICITADA],DETALLE_GD_1[CODIGO],PRODUCTOS[[#This Row],[CODIGO]])</f>
        <v>1</v>
      </c>
      <c r="R36" s="3">
        <f>+SUMIFS(DETALLE_GD_1[DEVOLUCIÓN],DETALLE_GD_1[CODIGO],PRODUCTOS[[#This Row],[CODIGO]])</f>
        <v>0</v>
      </c>
      <c r="S36" s="3">
        <f>+PRODUCTOS[[#This Row],[CANT. COMPRADA]]-PRODUCTOS[[#This Row],[DEVOLUCIONES]]</f>
        <v>1</v>
      </c>
      <c r="T36" s="3" t="str">
        <f>+IFERROR(PRODUCTOS[[#This Row],[CANTIDAD RECIBIDA]]/PRODUCTOS[[#This Row],[CANT X MODULO]],"")</f>
        <v/>
      </c>
      <c r="U36" s="3">
        <f>+SUMIFS(DETALLE_GD_1[VALOR TOTAL POR ITEM GD],DETALLE_GD_1[CODIGO],PRODUCTOS[[#This Row],[CODIGO]])</f>
        <v>9273</v>
      </c>
      <c r="V36" s="3">
        <f>+IFERROR(PRODUCTOS[[#This Row],[PRECIO DE COMPRA]]/PRODUCTOS[[#This Row],[CANT. COMPRADA]],"")</f>
        <v>9273</v>
      </c>
      <c r="W36" s="3" t="str">
        <f>+IFERROR(PRODUCTOS[[#This Row],[PRECIO COMPRA UNITARIO]]*PRODUCTOS[[#This Row],[PPTO FALTANTE]],"")</f>
        <v/>
      </c>
      <c r="X36" s="7" t="str">
        <f>+IFERROR(PRODUCTOS[[#This Row],[PROYECCION COMPRA]]/PRODUCTOS[[#This Row],[PPTO TOTAL]]-1,"")</f>
        <v/>
      </c>
      <c r="Y36" s="3" t="str">
        <f>+IFERROR((PRODUCTOS[[#This Row],[CANT X MODULO]]*704)-PRODUCTOS[[#This Row],[CANT. COMPRADA]],"")</f>
        <v/>
      </c>
      <c r="Z36" s="17" t="str">
        <f>+IFERROR(PRODUCTOS[[#This Row],[CANT. COMPRADA]]/PRODUCTOS[[#This Row],[PPTO FALTANTE]],"")</f>
        <v/>
      </c>
      <c r="AA36" s="3" t="str">
        <f>+IFERROR(PRODUCTOS[[#This Row],[PROYECCION COMPRA]]-(PRODUCTOS[[#This Row],[PPTO FALTANTE]]*PRODUCTOS[[#This Row],[PPTO]]),"")</f>
        <v/>
      </c>
      <c r="AB36" s="3">
        <f>+_xlfn.XLOOKUP(PRODUCTOS[[#This Row],[CODIGO]],DETALLE_GD_1[CODIGO],DETALLE_GD_1[VALOR PPTO],"",0)</f>
        <v>9242.4218000000001</v>
      </c>
      <c r="AC36" s="3" t="e">
        <f>+AB36-PRODUCTOS[[#This Row],[PPTO_ACTUALIZADO]]</f>
        <v>#VALUE!</v>
      </c>
    </row>
    <row r="37" spans="1:29" hidden="1" x14ac:dyDescent="0.25">
      <c r="A37">
        <v>704092</v>
      </c>
      <c r="B37" t="s">
        <v>116</v>
      </c>
      <c r="C37" t="s">
        <v>617</v>
      </c>
      <c r="D37" t="s">
        <v>244</v>
      </c>
      <c r="E37" t="s">
        <v>355</v>
      </c>
      <c r="F37" s="2">
        <v>273.47427099999999</v>
      </c>
      <c r="G37" s="6" t="s">
        <v>355</v>
      </c>
      <c r="H37" s="2" t="s">
        <v>355</v>
      </c>
      <c r="I37" t="b">
        <v>0</v>
      </c>
      <c r="J37" t="str">
        <f>+_xlfn.XLOOKUP(PRODUCTOS[[#This Row],[CODIGO]],P_CRITICOS[CODIGO],P_CRITICOS[DESC CORTA],"",0)</f>
        <v/>
      </c>
      <c r="K37" t="str">
        <f>+IFERROR(IF(VLOOKUP(PRODUCTOS[[#This Row],[CODIGO]],P_CRITICOS[],3,0)="*","PRODUCTO CRITICO","NO CRITICO"),"NO CRITICO")</f>
        <v>NO CRITICO</v>
      </c>
      <c r="L37" s="15" t="str">
        <f>+_xlfn.XLOOKUP(PRODUCTOS[[#This Row],[CODIGO]],BD_MODULO[Artículo],BD_MODULO[CUB_ACTUALIZADA],"",0)</f>
        <v/>
      </c>
      <c r="M37" s="2" t="str">
        <f>+IFERROR(PRODUCTOS[[#This Row],[PPTO]]*PRODUCTOS[[#This Row],[CANT X MODULO]],"")</f>
        <v/>
      </c>
      <c r="N37" s="2" t="str">
        <f>+IFERROR(PRODUCTOS[[#This Row],[PPTO X MODULO]]*32,"")</f>
        <v/>
      </c>
      <c r="O37" s="2" t="str">
        <f>+IFERROR(PRODUCTOS[[#This Row],[PPTO X TORRE]]*22,"")</f>
        <v/>
      </c>
      <c r="P37" s="3" t="str">
        <f>+IFERROR(PRODUCTOS[[#This Row],[CANT X MODULO]]*702,"")</f>
        <v/>
      </c>
      <c r="Q37" s="3">
        <f>+SUMIFS(DETALLE_GD_1[CANTIDAD SOLICITADA],DETALLE_GD_1[CODIGO],PRODUCTOS[[#This Row],[CODIGO]])</f>
        <v>54</v>
      </c>
      <c r="R37" s="3">
        <f>+SUMIFS(DETALLE_GD_1[DEVOLUCIÓN],DETALLE_GD_1[CODIGO],PRODUCTOS[[#This Row],[CODIGO]])</f>
        <v>0</v>
      </c>
      <c r="S37" s="3">
        <f>+PRODUCTOS[[#This Row],[CANT. COMPRADA]]-PRODUCTOS[[#This Row],[DEVOLUCIONES]]</f>
        <v>54</v>
      </c>
      <c r="T37" s="3" t="str">
        <f>+IFERROR(PRODUCTOS[[#This Row],[CANTIDAD RECIBIDA]]/PRODUCTOS[[#This Row],[CANT X MODULO]],"")</f>
        <v/>
      </c>
      <c r="U37" s="3">
        <f>+SUMIFS(DETALLE_GD_1[VALOR TOTAL POR ITEM GD],DETALLE_GD_1[CODIGO],PRODUCTOS[[#This Row],[CODIGO]])</f>
        <v>14768</v>
      </c>
      <c r="V37" s="3">
        <f>+IFERROR(PRODUCTOS[[#This Row],[PRECIO DE COMPRA]]/PRODUCTOS[[#This Row],[CANT. COMPRADA]],"")</f>
        <v>273.48148148148147</v>
      </c>
      <c r="W37" s="3" t="str">
        <f>+IFERROR(PRODUCTOS[[#This Row],[PRECIO COMPRA UNITARIO]]*PRODUCTOS[[#This Row],[PPTO FALTANTE]],"")</f>
        <v/>
      </c>
      <c r="X37" s="7" t="str">
        <f>+IFERROR(PRODUCTOS[[#This Row],[PROYECCION COMPRA]]/PRODUCTOS[[#This Row],[PPTO TOTAL]]-1,"")</f>
        <v/>
      </c>
      <c r="Y37" s="3" t="str">
        <f>+IFERROR((PRODUCTOS[[#This Row],[CANT X MODULO]]*704)-PRODUCTOS[[#This Row],[CANT. COMPRADA]],"")</f>
        <v/>
      </c>
      <c r="Z37" s="17" t="str">
        <f>+IFERROR(PRODUCTOS[[#This Row],[CANT. COMPRADA]]/PRODUCTOS[[#This Row],[PPTO FALTANTE]],"")</f>
        <v/>
      </c>
      <c r="AA37" s="3" t="str">
        <f>+IFERROR(PRODUCTOS[[#This Row],[PROYECCION COMPRA]]-(PRODUCTOS[[#This Row],[PPTO FALTANTE]]*PRODUCTOS[[#This Row],[PPTO]]),"")</f>
        <v/>
      </c>
      <c r="AB37" s="3">
        <f>+_xlfn.XLOOKUP(PRODUCTOS[[#This Row],[CODIGO]],DETALLE_GD_1[CODIGO],DETALLE_GD_1[VALOR PPTO],"",0)</f>
        <v>273.47430000000003</v>
      </c>
      <c r="AC37" s="3" t="e">
        <f>+AB37-PRODUCTOS[[#This Row],[PPTO_ACTUALIZADO]]</f>
        <v>#VALUE!</v>
      </c>
    </row>
    <row r="38" spans="1:29" x14ac:dyDescent="0.25">
      <c r="A38">
        <v>1101946</v>
      </c>
      <c r="B38" t="s">
        <v>117</v>
      </c>
      <c r="C38" t="s">
        <v>618</v>
      </c>
      <c r="D38">
        <v>0</v>
      </c>
      <c r="E38">
        <v>0</v>
      </c>
      <c r="F38" s="2">
        <v>52385.051282</v>
      </c>
      <c r="G38" s="6" t="s">
        <v>355</v>
      </c>
      <c r="H38" s="2" t="s">
        <v>355</v>
      </c>
      <c r="I38" t="b">
        <v>0</v>
      </c>
      <c r="J38" t="str">
        <f>+_xlfn.XLOOKUP(PRODUCTOS[[#This Row],[CODIGO]],P_CRITICOS[CODIGO],P_CRITICOS[DESC CORTA],"",0)</f>
        <v/>
      </c>
      <c r="K38" t="str">
        <f>+IFERROR(IF(VLOOKUP(PRODUCTOS[[#This Row],[CODIGO]],P_CRITICOS[],3,0)="*","PRODUCTO CRITICO","NO CRITICO"),"NO CRITICO")</f>
        <v>NO CRITICO</v>
      </c>
      <c r="L38" s="15" t="str">
        <f>+_xlfn.XLOOKUP(PRODUCTOS[[#This Row],[CODIGO]],BD_MODULO[Artículo],BD_MODULO[CUB_ACTUALIZADA],"",0)</f>
        <v/>
      </c>
      <c r="M38" s="2" t="str">
        <f>+IFERROR(PRODUCTOS[[#This Row],[PPTO]]*PRODUCTOS[[#This Row],[CANT X MODULO]],"")</f>
        <v/>
      </c>
      <c r="N38" s="2" t="str">
        <f>+IFERROR(PRODUCTOS[[#This Row],[PPTO X MODULO]]*32,"")</f>
        <v/>
      </c>
      <c r="O38" s="2" t="str">
        <f>+IFERROR(PRODUCTOS[[#This Row],[PPTO X TORRE]]*22,"")</f>
        <v/>
      </c>
      <c r="P38" s="3" t="str">
        <f>+IFERROR(PRODUCTOS[[#This Row],[CANT X MODULO]]*702,"")</f>
        <v/>
      </c>
      <c r="Q38" s="3">
        <f>+SUMIFS(DETALLE_GD_1[CANTIDAD SOLICITADA],DETALLE_GD_1[CODIGO],PRODUCTOS[[#This Row],[CODIGO]])</f>
        <v>1</v>
      </c>
      <c r="R38" s="3">
        <f>+SUMIFS(DETALLE_GD_1[DEVOLUCIÓN],DETALLE_GD_1[CODIGO],PRODUCTOS[[#This Row],[CODIGO]])</f>
        <v>0</v>
      </c>
      <c r="S38" s="3">
        <f>+PRODUCTOS[[#This Row],[CANT. COMPRADA]]-PRODUCTOS[[#This Row],[DEVOLUCIONES]]</f>
        <v>1</v>
      </c>
      <c r="T38" s="3" t="str">
        <f>+IFERROR(PRODUCTOS[[#This Row],[CANTIDAD RECIBIDA]]/PRODUCTOS[[#This Row],[CANT X MODULO]],"")</f>
        <v/>
      </c>
      <c r="U38" s="3">
        <f>+SUMIFS(DETALLE_GD_1[VALOR TOTAL POR ITEM GD],DETALLE_GD_1[CODIGO],PRODUCTOS[[#This Row],[CODIGO]])</f>
        <v>52060</v>
      </c>
      <c r="V38" s="3">
        <f>+IFERROR(PRODUCTOS[[#This Row],[PRECIO DE COMPRA]]/PRODUCTOS[[#This Row],[CANT. COMPRADA]],"")</f>
        <v>52060</v>
      </c>
      <c r="W38" s="3" t="str">
        <f>+IFERROR(PRODUCTOS[[#This Row],[PRECIO COMPRA UNITARIO]]*PRODUCTOS[[#This Row],[PPTO FALTANTE]],"")</f>
        <v/>
      </c>
      <c r="X38" s="7" t="str">
        <f>+IFERROR(PRODUCTOS[[#This Row],[PROYECCION COMPRA]]/PRODUCTOS[[#This Row],[PPTO TOTAL]]-1,"")</f>
        <v/>
      </c>
      <c r="Y38" s="3" t="str">
        <f>+IFERROR((PRODUCTOS[[#This Row],[CANT X MODULO]]*704)-PRODUCTOS[[#This Row],[CANT. COMPRADA]],"")</f>
        <v/>
      </c>
      <c r="Z38" s="17" t="str">
        <f>+IFERROR(PRODUCTOS[[#This Row],[CANT. COMPRADA]]/PRODUCTOS[[#This Row],[PPTO FALTANTE]],"")</f>
        <v/>
      </c>
      <c r="AA38" s="3" t="str">
        <f>+IFERROR(PRODUCTOS[[#This Row],[PROYECCION COMPRA]]-(PRODUCTOS[[#This Row],[PPTO FALTANTE]]*PRODUCTOS[[#This Row],[PPTO]]),"")</f>
        <v/>
      </c>
      <c r="AB38" s="3">
        <f>+_xlfn.XLOOKUP(PRODUCTOS[[#This Row],[CODIGO]],DETALLE_GD_1[CODIGO],DETALLE_GD_1[VALOR PPTO],"",0)</f>
        <v>52385.051299999999</v>
      </c>
      <c r="AC38" s="3" t="e">
        <f>+AB38-PRODUCTOS[[#This Row],[PPTO_ACTUALIZADO]]</f>
        <v>#VALUE!</v>
      </c>
    </row>
    <row r="39" spans="1:29" hidden="1" x14ac:dyDescent="0.25">
      <c r="A39">
        <v>1401065</v>
      </c>
      <c r="B39" t="s">
        <v>118</v>
      </c>
      <c r="C39" t="s">
        <v>619</v>
      </c>
      <c r="D39" t="s">
        <v>244</v>
      </c>
      <c r="E39" t="s">
        <v>355</v>
      </c>
      <c r="F39" s="2">
        <v>13116.498607</v>
      </c>
      <c r="G39" s="6" t="s">
        <v>355</v>
      </c>
      <c r="H39" s="2" t="s">
        <v>355</v>
      </c>
      <c r="I39" t="b">
        <v>0</v>
      </c>
      <c r="J39" t="str">
        <f>+_xlfn.XLOOKUP(PRODUCTOS[[#This Row],[CODIGO]],P_CRITICOS[CODIGO],P_CRITICOS[DESC CORTA],"",0)</f>
        <v/>
      </c>
      <c r="K39" t="str">
        <f>+IFERROR(IF(VLOOKUP(PRODUCTOS[[#This Row],[CODIGO]],P_CRITICOS[],3,0)="*","PRODUCTO CRITICO","NO CRITICO"),"NO CRITICO")</f>
        <v>NO CRITICO</v>
      </c>
      <c r="L39" s="15" t="str">
        <f>+_xlfn.XLOOKUP(PRODUCTOS[[#This Row],[CODIGO]],BD_MODULO[Artículo],BD_MODULO[CUB_ACTUALIZADA],"",0)</f>
        <v/>
      </c>
      <c r="M39" s="2" t="str">
        <f>+IFERROR(PRODUCTOS[[#This Row],[PPTO]]*PRODUCTOS[[#This Row],[CANT X MODULO]],"")</f>
        <v/>
      </c>
      <c r="N39" s="2" t="str">
        <f>+IFERROR(PRODUCTOS[[#This Row],[PPTO X MODULO]]*32,"")</f>
        <v/>
      </c>
      <c r="O39" s="2" t="str">
        <f>+IFERROR(PRODUCTOS[[#This Row],[PPTO X TORRE]]*22,"")</f>
        <v/>
      </c>
      <c r="P39" s="3" t="str">
        <f>+IFERROR(PRODUCTOS[[#This Row],[CANT X MODULO]]*702,"")</f>
        <v/>
      </c>
      <c r="Q39" s="3">
        <f>+SUMIFS(DETALLE_GD_1[CANTIDAD SOLICITADA],DETALLE_GD_1[CODIGO],PRODUCTOS[[#This Row],[CODIGO]])</f>
        <v>3</v>
      </c>
      <c r="R39" s="3">
        <f>+SUMIFS(DETALLE_GD_1[DEVOLUCIÓN],DETALLE_GD_1[CODIGO],PRODUCTOS[[#This Row],[CODIGO]])</f>
        <v>0</v>
      </c>
      <c r="S39" s="3">
        <f>+PRODUCTOS[[#This Row],[CANT. COMPRADA]]-PRODUCTOS[[#This Row],[DEVOLUCIONES]]</f>
        <v>3</v>
      </c>
      <c r="T39" s="3" t="str">
        <f>+IFERROR(PRODUCTOS[[#This Row],[CANTIDAD RECIBIDA]]/PRODUCTOS[[#This Row],[CANT X MODULO]],"")</f>
        <v/>
      </c>
      <c r="U39" s="3">
        <f>+SUMIFS(DETALLE_GD_1[VALOR TOTAL POR ITEM GD],DETALLE_GD_1[CODIGO],PRODUCTOS[[#This Row],[CODIGO]])</f>
        <v>39438</v>
      </c>
      <c r="V39" s="3">
        <f>+IFERROR(PRODUCTOS[[#This Row],[PRECIO DE COMPRA]]/PRODUCTOS[[#This Row],[CANT. COMPRADA]],"")</f>
        <v>13146</v>
      </c>
      <c r="W39" s="3" t="str">
        <f>+IFERROR(PRODUCTOS[[#This Row],[PRECIO COMPRA UNITARIO]]*PRODUCTOS[[#This Row],[PPTO FALTANTE]],"")</f>
        <v/>
      </c>
      <c r="X39" s="7" t="str">
        <f>+IFERROR(PRODUCTOS[[#This Row],[PROYECCION COMPRA]]/PRODUCTOS[[#This Row],[PPTO TOTAL]]-1,"")</f>
        <v/>
      </c>
      <c r="Y39" s="3" t="str">
        <f>+IFERROR((PRODUCTOS[[#This Row],[CANT X MODULO]]*704)-PRODUCTOS[[#This Row],[CANT. COMPRADA]],"")</f>
        <v/>
      </c>
      <c r="Z39" s="17" t="str">
        <f>+IFERROR(PRODUCTOS[[#This Row],[CANT. COMPRADA]]/PRODUCTOS[[#This Row],[PPTO FALTANTE]],"")</f>
        <v/>
      </c>
      <c r="AA39" s="3" t="str">
        <f>+IFERROR(PRODUCTOS[[#This Row],[PROYECCION COMPRA]]-(PRODUCTOS[[#This Row],[PPTO FALTANTE]]*PRODUCTOS[[#This Row],[PPTO]]),"")</f>
        <v/>
      </c>
      <c r="AB39" s="3">
        <f>+_xlfn.XLOOKUP(PRODUCTOS[[#This Row],[CODIGO]],DETALLE_GD_1[CODIGO],DETALLE_GD_1[VALOR PPTO],"",0)</f>
        <v>13116.498600000001</v>
      </c>
      <c r="AC39" s="3" t="e">
        <f>+AB39-PRODUCTOS[[#This Row],[PPTO_ACTUALIZADO]]</f>
        <v>#VALUE!</v>
      </c>
    </row>
    <row r="40" spans="1:29" hidden="1" x14ac:dyDescent="0.25">
      <c r="A40">
        <v>1105121</v>
      </c>
      <c r="B40" t="s">
        <v>119</v>
      </c>
      <c r="C40" t="s">
        <v>620</v>
      </c>
      <c r="D40" t="s">
        <v>244</v>
      </c>
      <c r="E40" t="s">
        <v>355</v>
      </c>
      <c r="F40" s="2">
        <v>96540.363635999995</v>
      </c>
      <c r="G40" s="6" t="s">
        <v>355</v>
      </c>
      <c r="H40" s="2" t="s">
        <v>355</v>
      </c>
      <c r="I40" t="b">
        <v>0</v>
      </c>
      <c r="J40" t="str">
        <f>+_xlfn.XLOOKUP(PRODUCTOS[[#This Row],[CODIGO]],P_CRITICOS[CODIGO],P_CRITICOS[DESC CORTA],"",0)</f>
        <v/>
      </c>
      <c r="K40" t="str">
        <f>+IFERROR(IF(VLOOKUP(PRODUCTOS[[#This Row],[CODIGO]],P_CRITICOS[],3,0)="*","PRODUCTO CRITICO","NO CRITICO"),"NO CRITICO")</f>
        <v>NO CRITICO</v>
      </c>
      <c r="L40" s="15" t="str">
        <f>+_xlfn.XLOOKUP(PRODUCTOS[[#This Row],[CODIGO]],BD_MODULO[Artículo],BD_MODULO[CUB_ACTUALIZADA],"",0)</f>
        <v/>
      </c>
      <c r="M40" s="2" t="str">
        <f>+IFERROR(PRODUCTOS[[#This Row],[PPTO]]*PRODUCTOS[[#This Row],[CANT X MODULO]],"")</f>
        <v/>
      </c>
      <c r="N40" s="2" t="str">
        <f>+IFERROR(PRODUCTOS[[#This Row],[PPTO X MODULO]]*32,"")</f>
        <v/>
      </c>
      <c r="O40" s="2" t="str">
        <f>+IFERROR(PRODUCTOS[[#This Row],[PPTO X TORRE]]*22,"")</f>
        <v/>
      </c>
      <c r="P40" s="3" t="str">
        <f>+IFERROR(PRODUCTOS[[#This Row],[CANT X MODULO]]*702,"")</f>
        <v/>
      </c>
      <c r="Q40" s="3">
        <f>+SUMIFS(DETALLE_GD_1[CANTIDAD SOLICITADA],DETALLE_GD_1[CODIGO],PRODUCTOS[[#This Row],[CODIGO]])</f>
        <v>1</v>
      </c>
      <c r="R40" s="3">
        <f>+SUMIFS(DETALLE_GD_1[DEVOLUCIÓN],DETALLE_GD_1[CODIGO],PRODUCTOS[[#This Row],[CODIGO]])</f>
        <v>0</v>
      </c>
      <c r="S40" s="3">
        <f>+PRODUCTOS[[#This Row],[CANT. COMPRADA]]-PRODUCTOS[[#This Row],[DEVOLUCIONES]]</f>
        <v>1</v>
      </c>
      <c r="T40" s="3" t="str">
        <f>+IFERROR(PRODUCTOS[[#This Row],[CANTIDAD RECIBIDA]]/PRODUCTOS[[#This Row],[CANT X MODULO]],"")</f>
        <v/>
      </c>
      <c r="U40" s="3">
        <f>+SUMIFS(DETALLE_GD_1[VALOR TOTAL POR ITEM GD],DETALLE_GD_1[CODIGO],PRODUCTOS[[#This Row],[CODIGO]])</f>
        <v>96540</v>
      </c>
      <c r="V40" s="3">
        <f>+IFERROR(PRODUCTOS[[#This Row],[PRECIO DE COMPRA]]/PRODUCTOS[[#This Row],[CANT. COMPRADA]],"")</f>
        <v>96540</v>
      </c>
      <c r="W40" s="3" t="str">
        <f>+IFERROR(PRODUCTOS[[#This Row],[PRECIO COMPRA UNITARIO]]*PRODUCTOS[[#This Row],[PPTO FALTANTE]],"")</f>
        <v/>
      </c>
      <c r="X40" s="7" t="str">
        <f>+IFERROR(PRODUCTOS[[#This Row],[PROYECCION COMPRA]]/PRODUCTOS[[#This Row],[PPTO TOTAL]]-1,"")</f>
        <v/>
      </c>
      <c r="Y40" s="3" t="str">
        <f>+IFERROR((PRODUCTOS[[#This Row],[CANT X MODULO]]*704)-PRODUCTOS[[#This Row],[CANT. COMPRADA]],"")</f>
        <v/>
      </c>
      <c r="Z40" s="17" t="str">
        <f>+IFERROR(PRODUCTOS[[#This Row],[CANT. COMPRADA]]/PRODUCTOS[[#This Row],[PPTO FALTANTE]],"")</f>
        <v/>
      </c>
      <c r="AA40" s="3" t="str">
        <f>+IFERROR(PRODUCTOS[[#This Row],[PROYECCION COMPRA]]-(PRODUCTOS[[#This Row],[PPTO FALTANTE]]*PRODUCTOS[[#This Row],[PPTO]]),"")</f>
        <v/>
      </c>
      <c r="AB40" s="3">
        <f>+_xlfn.XLOOKUP(PRODUCTOS[[#This Row],[CODIGO]],DETALLE_GD_1[CODIGO],DETALLE_GD_1[VALOR PPTO],"",0)</f>
        <v>96540.363599999997</v>
      </c>
      <c r="AC40" s="3" t="e">
        <f>+AB40-PRODUCTOS[[#This Row],[PPTO_ACTUALIZADO]]</f>
        <v>#VALUE!</v>
      </c>
    </row>
    <row r="41" spans="1:29" hidden="1" x14ac:dyDescent="0.25">
      <c r="A41">
        <v>1105122</v>
      </c>
      <c r="B41" t="s">
        <v>120</v>
      </c>
      <c r="C41" t="s">
        <v>621</v>
      </c>
      <c r="D41" t="s">
        <v>244</v>
      </c>
      <c r="E41" t="s">
        <v>355</v>
      </c>
      <c r="F41" s="2">
        <v>134750</v>
      </c>
      <c r="G41" s="6" t="s">
        <v>355</v>
      </c>
      <c r="H41" s="2" t="s">
        <v>355</v>
      </c>
      <c r="I41" t="b">
        <v>0</v>
      </c>
      <c r="J41" t="str">
        <f>+_xlfn.XLOOKUP(PRODUCTOS[[#This Row],[CODIGO]],P_CRITICOS[CODIGO],P_CRITICOS[DESC CORTA],"",0)</f>
        <v/>
      </c>
      <c r="K41" t="str">
        <f>+IFERROR(IF(VLOOKUP(PRODUCTOS[[#This Row],[CODIGO]],P_CRITICOS[],3,0)="*","PRODUCTO CRITICO","NO CRITICO"),"NO CRITICO")</f>
        <v>NO CRITICO</v>
      </c>
      <c r="L41" s="15" t="str">
        <f>+_xlfn.XLOOKUP(PRODUCTOS[[#This Row],[CODIGO]],BD_MODULO[Artículo],BD_MODULO[CUB_ACTUALIZADA],"",0)</f>
        <v/>
      </c>
      <c r="M41" s="2" t="str">
        <f>+IFERROR(PRODUCTOS[[#This Row],[PPTO]]*PRODUCTOS[[#This Row],[CANT X MODULO]],"")</f>
        <v/>
      </c>
      <c r="N41" s="2" t="str">
        <f>+IFERROR(PRODUCTOS[[#This Row],[PPTO X MODULO]]*32,"")</f>
        <v/>
      </c>
      <c r="O41" s="2" t="str">
        <f>+IFERROR(PRODUCTOS[[#This Row],[PPTO X TORRE]]*22,"")</f>
        <v/>
      </c>
      <c r="P41" s="3" t="str">
        <f>+IFERROR(PRODUCTOS[[#This Row],[CANT X MODULO]]*702,"")</f>
        <v/>
      </c>
      <c r="Q41" s="3">
        <f>+SUMIFS(DETALLE_GD_1[CANTIDAD SOLICITADA],DETALLE_GD_1[CODIGO],PRODUCTOS[[#This Row],[CODIGO]])</f>
        <v>1</v>
      </c>
      <c r="R41" s="3">
        <f>+SUMIFS(DETALLE_GD_1[DEVOLUCIÓN],DETALLE_GD_1[CODIGO],PRODUCTOS[[#This Row],[CODIGO]])</f>
        <v>0</v>
      </c>
      <c r="S41" s="3">
        <f>+PRODUCTOS[[#This Row],[CANT. COMPRADA]]-PRODUCTOS[[#This Row],[DEVOLUCIONES]]</f>
        <v>1</v>
      </c>
      <c r="T41" s="3" t="str">
        <f>+IFERROR(PRODUCTOS[[#This Row],[CANTIDAD RECIBIDA]]/PRODUCTOS[[#This Row],[CANT X MODULO]],"")</f>
        <v/>
      </c>
      <c r="U41" s="3">
        <f>+SUMIFS(DETALLE_GD_1[VALOR TOTAL POR ITEM GD],DETALLE_GD_1[CODIGO],PRODUCTOS[[#This Row],[CODIGO]])</f>
        <v>134750</v>
      </c>
      <c r="V41" s="3">
        <f>+IFERROR(PRODUCTOS[[#This Row],[PRECIO DE COMPRA]]/PRODUCTOS[[#This Row],[CANT. COMPRADA]],"")</f>
        <v>134750</v>
      </c>
      <c r="W41" s="3" t="str">
        <f>+IFERROR(PRODUCTOS[[#This Row],[PRECIO COMPRA UNITARIO]]*PRODUCTOS[[#This Row],[PPTO FALTANTE]],"")</f>
        <v/>
      </c>
      <c r="X41" s="7" t="str">
        <f>+IFERROR(PRODUCTOS[[#This Row],[PROYECCION COMPRA]]/PRODUCTOS[[#This Row],[PPTO TOTAL]]-1,"")</f>
        <v/>
      </c>
      <c r="Y41" s="3" t="str">
        <f>+IFERROR((PRODUCTOS[[#This Row],[CANT X MODULO]]*704)-PRODUCTOS[[#This Row],[CANT. COMPRADA]],"")</f>
        <v/>
      </c>
      <c r="Z41" s="17" t="str">
        <f>+IFERROR(PRODUCTOS[[#This Row],[CANT. COMPRADA]]/PRODUCTOS[[#This Row],[PPTO FALTANTE]],"")</f>
        <v/>
      </c>
      <c r="AA41" s="3" t="str">
        <f>+IFERROR(PRODUCTOS[[#This Row],[PROYECCION COMPRA]]-(PRODUCTOS[[#This Row],[PPTO FALTANTE]]*PRODUCTOS[[#This Row],[PPTO]]),"")</f>
        <v/>
      </c>
      <c r="AB41" s="3">
        <f>+_xlfn.XLOOKUP(PRODUCTOS[[#This Row],[CODIGO]],DETALLE_GD_1[CODIGO],DETALLE_GD_1[VALOR PPTO],"",0)</f>
        <v>134750</v>
      </c>
      <c r="AC41" s="3" t="e">
        <f>+AB41-PRODUCTOS[[#This Row],[PPTO_ACTUALIZADO]]</f>
        <v>#VALUE!</v>
      </c>
    </row>
    <row r="42" spans="1:29" x14ac:dyDescent="0.25">
      <c r="A42">
        <v>1801700</v>
      </c>
      <c r="B42" t="s">
        <v>122</v>
      </c>
      <c r="C42" t="s">
        <v>622</v>
      </c>
      <c r="D42">
        <v>0</v>
      </c>
      <c r="E42">
        <v>0</v>
      </c>
      <c r="F42" s="2">
        <v>13379.859504</v>
      </c>
      <c r="G42" s="6" t="s">
        <v>355</v>
      </c>
      <c r="H42" s="2" t="s">
        <v>355</v>
      </c>
      <c r="I42" t="b">
        <v>0</v>
      </c>
      <c r="J42" t="str">
        <f>+_xlfn.XLOOKUP(PRODUCTOS[[#This Row],[CODIGO]],P_CRITICOS[CODIGO],P_CRITICOS[DESC CORTA],"",0)</f>
        <v/>
      </c>
      <c r="K42" t="str">
        <f>+IFERROR(IF(VLOOKUP(PRODUCTOS[[#This Row],[CODIGO]],P_CRITICOS[],3,0)="*","PRODUCTO CRITICO","NO CRITICO"),"NO CRITICO")</f>
        <v>NO CRITICO</v>
      </c>
      <c r="L42" s="15" t="str">
        <f>+_xlfn.XLOOKUP(PRODUCTOS[[#This Row],[CODIGO]],BD_MODULO[Artículo],BD_MODULO[CUB_ACTUALIZADA],"",0)</f>
        <v/>
      </c>
      <c r="M42" s="2" t="str">
        <f>+IFERROR(PRODUCTOS[[#This Row],[PPTO]]*PRODUCTOS[[#This Row],[CANT X MODULO]],"")</f>
        <v/>
      </c>
      <c r="N42" s="2" t="str">
        <f>+IFERROR(PRODUCTOS[[#This Row],[PPTO X MODULO]]*32,"")</f>
        <v/>
      </c>
      <c r="O42" s="2" t="str">
        <f>+IFERROR(PRODUCTOS[[#This Row],[PPTO X TORRE]]*22,"")</f>
        <v/>
      </c>
      <c r="P42" s="3" t="str">
        <f>+IFERROR(PRODUCTOS[[#This Row],[CANT X MODULO]]*702,"")</f>
        <v/>
      </c>
      <c r="Q42" s="3">
        <f>+SUMIFS(DETALLE_GD_1[CANTIDAD SOLICITADA],DETALLE_GD_1[CODIGO],PRODUCTOS[[#This Row],[CODIGO]])</f>
        <v>3</v>
      </c>
      <c r="R42" s="3">
        <f>+SUMIFS(DETALLE_GD_1[DEVOLUCIÓN],DETALLE_GD_1[CODIGO],PRODUCTOS[[#This Row],[CODIGO]])</f>
        <v>0</v>
      </c>
      <c r="S42" s="3">
        <f>+PRODUCTOS[[#This Row],[CANT. COMPRADA]]-PRODUCTOS[[#This Row],[DEVOLUCIONES]]</f>
        <v>3</v>
      </c>
      <c r="T42" s="3" t="str">
        <f>+IFERROR(PRODUCTOS[[#This Row],[CANTIDAD RECIBIDA]]/PRODUCTOS[[#This Row],[CANT X MODULO]],"")</f>
        <v/>
      </c>
      <c r="U42" s="3">
        <f>+SUMIFS(DETALLE_GD_1[VALOR TOTAL POR ITEM GD],DETALLE_GD_1[CODIGO],PRODUCTOS[[#This Row],[CODIGO]])</f>
        <v>46652</v>
      </c>
      <c r="V42" s="3">
        <f>+IFERROR(PRODUCTOS[[#This Row],[PRECIO DE COMPRA]]/PRODUCTOS[[#This Row],[CANT. COMPRADA]],"")</f>
        <v>15550.666666666666</v>
      </c>
      <c r="W42" s="3" t="str">
        <f>+IFERROR(PRODUCTOS[[#This Row],[PRECIO COMPRA UNITARIO]]*PRODUCTOS[[#This Row],[PPTO FALTANTE]],"")</f>
        <v/>
      </c>
      <c r="X42" s="7" t="str">
        <f>+IFERROR(PRODUCTOS[[#This Row],[PROYECCION COMPRA]]/PRODUCTOS[[#This Row],[PPTO TOTAL]]-1,"")</f>
        <v/>
      </c>
      <c r="Y42" s="3" t="str">
        <f>+IFERROR((PRODUCTOS[[#This Row],[CANT X MODULO]]*704)-PRODUCTOS[[#This Row],[CANT. COMPRADA]],"")</f>
        <v/>
      </c>
      <c r="Z42" s="17" t="str">
        <f>+IFERROR(PRODUCTOS[[#This Row],[CANT. COMPRADA]]/PRODUCTOS[[#This Row],[PPTO FALTANTE]],"")</f>
        <v/>
      </c>
      <c r="AA42" s="3" t="str">
        <f>+IFERROR(PRODUCTOS[[#This Row],[PROYECCION COMPRA]]-(PRODUCTOS[[#This Row],[PPTO FALTANTE]]*PRODUCTOS[[#This Row],[PPTO]]),"")</f>
        <v/>
      </c>
      <c r="AB42" s="3">
        <f>+_xlfn.XLOOKUP(PRODUCTOS[[#This Row],[CODIGO]],DETALLE_GD_1[CODIGO],DETALLE_GD_1[VALOR PPTO],"",0)</f>
        <v>13379.8595</v>
      </c>
      <c r="AC42" s="3" t="e">
        <f>+AB42-PRODUCTOS[[#This Row],[PPTO_ACTUALIZADO]]</f>
        <v>#VALUE!</v>
      </c>
    </row>
    <row r="43" spans="1:29" hidden="1" x14ac:dyDescent="0.25">
      <c r="A43">
        <v>1901229</v>
      </c>
      <c r="B43" t="s">
        <v>125</v>
      </c>
      <c r="C43" t="s">
        <v>565</v>
      </c>
      <c r="D43" t="s">
        <v>240</v>
      </c>
      <c r="E43" t="s">
        <v>404</v>
      </c>
      <c r="F43" s="2">
        <v>1896.2317370000001</v>
      </c>
      <c r="G43" s="6" t="s">
        <v>355</v>
      </c>
      <c r="H43" s="2" t="s">
        <v>355</v>
      </c>
      <c r="I43" t="b">
        <v>0</v>
      </c>
      <c r="J43" t="str">
        <f>+_xlfn.XLOOKUP(PRODUCTOS[[#This Row],[CODIGO]],P_CRITICOS[CODIGO],P_CRITICOS[DESC CORTA],"",0)</f>
        <v/>
      </c>
      <c r="K43" t="str">
        <f>+IFERROR(IF(VLOOKUP(PRODUCTOS[[#This Row],[CODIGO]],P_CRITICOS[],3,0)="*","PRODUCTO CRITICO","NO CRITICO"),"NO CRITICO")</f>
        <v>NO CRITICO</v>
      </c>
      <c r="L43" s="15" t="str">
        <f>+_xlfn.XLOOKUP(PRODUCTOS[[#This Row],[CODIGO]],BD_MODULO[Artículo],BD_MODULO[CUB_ACTUALIZADA],"",0)</f>
        <v/>
      </c>
      <c r="M43" s="2" t="str">
        <f>+IFERROR(PRODUCTOS[[#This Row],[PPTO]]*PRODUCTOS[[#This Row],[CANT X MODULO]],"")</f>
        <v/>
      </c>
      <c r="N43" s="2" t="str">
        <f>+IFERROR(PRODUCTOS[[#This Row],[PPTO X MODULO]]*32,"")</f>
        <v/>
      </c>
      <c r="O43" s="2" t="str">
        <f>+IFERROR(PRODUCTOS[[#This Row],[PPTO X TORRE]]*22,"")</f>
        <v/>
      </c>
      <c r="P43" s="3" t="str">
        <f>+IFERROR(PRODUCTOS[[#This Row],[CANT X MODULO]]*702,"")</f>
        <v/>
      </c>
      <c r="Q43" s="3">
        <f>+SUMIFS(DETALLE_GD_1[CANTIDAD SOLICITADA],DETALLE_GD_1[CODIGO],PRODUCTOS[[#This Row],[CODIGO]])</f>
        <v>197</v>
      </c>
      <c r="R43" s="3">
        <f>+SUMIFS(DETALLE_GD_1[DEVOLUCIÓN],DETALLE_GD_1[CODIGO],PRODUCTOS[[#This Row],[CODIGO]])</f>
        <v>0</v>
      </c>
      <c r="S43" s="3">
        <f>+PRODUCTOS[[#This Row],[CANT. COMPRADA]]-PRODUCTOS[[#This Row],[DEVOLUCIONES]]</f>
        <v>197</v>
      </c>
      <c r="T43" s="3" t="str">
        <f>+IFERROR(PRODUCTOS[[#This Row],[CANTIDAD RECIBIDA]]/PRODUCTOS[[#This Row],[CANT X MODULO]],"")</f>
        <v/>
      </c>
      <c r="U43" s="3">
        <f>+SUMIFS(DETALLE_GD_1[VALOR TOTAL POR ITEM GD],DETALLE_GD_1[CODIGO],PRODUCTOS[[#This Row],[CODIGO]])</f>
        <v>373619</v>
      </c>
      <c r="V43" s="3">
        <f>+IFERROR(PRODUCTOS[[#This Row],[PRECIO DE COMPRA]]/PRODUCTOS[[#This Row],[CANT. COMPRADA]],"")</f>
        <v>1896.5431472081218</v>
      </c>
      <c r="W43" s="3" t="str">
        <f>+IFERROR(PRODUCTOS[[#This Row],[PRECIO COMPRA UNITARIO]]*PRODUCTOS[[#This Row],[PPTO FALTANTE]],"")</f>
        <v/>
      </c>
      <c r="X43" s="7" t="str">
        <f>+IFERROR(PRODUCTOS[[#This Row],[PROYECCION COMPRA]]/PRODUCTOS[[#This Row],[PPTO TOTAL]]-1,"")</f>
        <v/>
      </c>
      <c r="Y43" s="3" t="str">
        <f>+IFERROR((PRODUCTOS[[#This Row],[CANT X MODULO]]*704)-PRODUCTOS[[#This Row],[CANT. COMPRADA]],"")</f>
        <v/>
      </c>
      <c r="Z43" s="17" t="str">
        <f>+IFERROR(PRODUCTOS[[#This Row],[CANT. COMPRADA]]/PRODUCTOS[[#This Row],[PPTO FALTANTE]],"")</f>
        <v/>
      </c>
      <c r="AA43" s="3" t="str">
        <f>+IFERROR(PRODUCTOS[[#This Row],[PROYECCION COMPRA]]-(PRODUCTOS[[#This Row],[PPTO FALTANTE]]*PRODUCTOS[[#This Row],[PPTO]]),"")</f>
        <v/>
      </c>
      <c r="AB43" s="3">
        <f>+_xlfn.XLOOKUP(PRODUCTOS[[#This Row],[CODIGO]],DETALLE_GD_1[CODIGO],DETALLE_GD_1[VALOR PPTO],"",0)</f>
        <v>1896.2317</v>
      </c>
      <c r="AC43" s="3" t="e">
        <f>+AB43-PRODUCTOS[[#This Row],[PPTO_ACTUALIZADO]]</f>
        <v>#VALUE!</v>
      </c>
    </row>
    <row r="44" spans="1:29" x14ac:dyDescent="0.25">
      <c r="A44">
        <v>302048</v>
      </c>
      <c r="B44" t="s">
        <v>126</v>
      </c>
      <c r="C44" t="s">
        <v>536</v>
      </c>
      <c r="D44" t="s">
        <v>240</v>
      </c>
      <c r="E44" t="s">
        <v>403</v>
      </c>
      <c r="F44" s="2">
        <v>13710.694960999999</v>
      </c>
      <c r="G44" s="6" t="s">
        <v>20</v>
      </c>
      <c r="H44" s="2" t="s">
        <v>355</v>
      </c>
      <c r="I44" t="b">
        <v>0</v>
      </c>
      <c r="J44" t="str">
        <f>+_xlfn.XLOOKUP(PRODUCTOS[[#This Row],[CODIGO]],P_CRITICOS[CODIGO],P_CRITICOS[DESC CORTA],"",0)</f>
        <v>PINO 2X8X4</v>
      </c>
      <c r="K44" t="str">
        <f>+IFERROR(IF(VLOOKUP(PRODUCTOS[[#This Row],[CODIGO]],P_CRITICOS[],3,0)="*","PRODUCTO CRITICO","NO CRITICO"),"NO CRITICO")</f>
        <v>PRODUCTO CRITICO</v>
      </c>
      <c r="L44" s="15" t="str">
        <f>+_xlfn.XLOOKUP(PRODUCTOS[[#This Row],[CODIGO]],BD_MODULO[Artículo],BD_MODULO[CUB_ACTUALIZADA],"",0)</f>
        <v/>
      </c>
      <c r="M44" s="2" t="str">
        <f>+IFERROR(PRODUCTOS[[#This Row],[PPTO]]*PRODUCTOS[[#This Row],[CANT X MODULO]],"")</f>
        <v/>
      </c>
      <c r="N44" s="2" t="str">
        <f>+IFERROR(PRODUCTOS[[#This Row],[PPTO X MODULO]]*32,"")</f>
        <v/>
      </c>
      <c r="O44" s="2" t="str">
        <f>+IFERROR(PRODUCTOS[[#This Row],[PPTO X TORRE]]*22,"")</f>
        <v/>
      </c>
      <c r="P44" s="3" t="str">
        <f>+IFERROR(PRODUCTOS[[#This Row],[CANT X MODULO]]*702,"")</f>
        <v/>
      </c>
      <c r="Q44" s="3">
        <f>+SUMIFS(DETALLE_GD_1[CANTIDAD SOLICITADA],DETALLE_GD_1[CODIGO],PRODUCTOS[[#This Row],[CODIGO]])</f>
        <v>2598</v>
      </c>
      <c r="R44" s="3">
        <f>+SUMIFS(DETALLE_GD_1[DEVOLUCIÓN],DETALLE_GD_1[CODIGO],PRODUCTOS[[#This Row],[CODIGO]])</f>
        <v>0</v>
      </c>
      <c r="S44" s="3">
        <f>+PRODUCTOS[[#This Row],[CANT. COMPRADA]]-PRODUCTOS[[#This Row],[DEVOLUCIONES]]</f>
        <v>2598</v>
      </c>
      <c r="T44" s="3" t="str">
        <f>+IFERROR(PRODUCTOS[[#This Row],[CANTIDAD RECIBIDA]]/PRODUCTOS[[#This Row],[CANT X MODULO]],"")</f>
        <v/>
      </c>
      <c r="U44" s="3">
        <f>+SUMIFS(DETALLE_GD_1[VALOR TOTAL POR ITEM GD],DETALLE_GD_1[CODIGO],PRODUCTOS[[#This Row],[CODIGO]])</f>
        <v>35644807</v>
      </c>
      <c r="V44" s="3">
        <f>+IFERROR(PRODUCTOS[[#This Row],[PRECIO DE COMPRA]]/PRODUCTOS[[#This Row],[CANT. COMPRADA]],"")</f>
        <v>13720.09507313318</v>
      </c>
      <c r="W44" s="3" t="str">
        <f>+IFERROR(PRODUCTOS[[#This Row],[PRECIO COMPRA UNITARIO]]*PRODUCTOS[[#This Row],[PPTO FALTANTE]],"")</f>
        <v/>
      </c>
      <c r="X44" s="7" t="str">
        <f>+IFERROR(PRODUCTOS[[#This Row],[PROYECCION COMPRA]]/PRODUCTOS[[#This Row],[PPTO TOTAL]]-1,"")</f>
        <v/>
      </c>
      <c r="Y44" s="3" t="str">
        <f>+IFERROR((PRODUCTOS[[#This Row],[CANT X MODULO]]*704)-PRODUCTOS[[#This Row],[CANT. COMPRADA]],"")</f>
        <v/>
      </c>
      <c r="Z44" s="17" t="str">
        <f>+IFERROR(PRODUCTOS[[#This Row],[CANT. COMPRADA]]/PRODUCTOS[[#This Row],[PPTO FALTANTE]],"")</f>
        <v/>
      </c>
      <c r="AA44" s="3" t="str">
        <f>+IFERROR(PRODUCTOS[[#This Row],[PROYECCION COMPRA]]-(PRODUCTOS[[#This Row],[PPTO FALTANTE]]*PRODUCTOS[[#This Row],[PPTO]]),"")</f>
        <v/>
      </c>
      <c r="AB44" s="3">
        <f>+_xlfn.XLOOKUP(PRODUCTOS[[#This Row],[CODIGO]],DETALLE_GD_1[CODIGO],DETALLE_GD_1[VALOR PPTO],"",0)</f>
        <v>13710.695</v>
      </c>
      <c r="AC44" s="3" t="e">
        <f>+AB44-PRODUCTOS[[#This Row],[PPTO_ACTUALIZADO]]</f>
        <v>#VALUE!</v>
      </c>
    </row>
    <row r="45" spans="1:29" x14ac:dyDescent="0.25">
      <c r="A45">
        <v>307256</v>
      </c>
      <c r="B45" t="s">
        <v>127</v>
      </c>
      <c r="C45" t="s">
        <v>594</v>
      </c>
      <c r="D45" t="s">
        <v>240</v>
      </c>
      <c r="E45" t="s">
        <v>403</v>
      </c>
      <c r="F45" s="2">
        <v>1896.957447</v>
      </c>
      <c r="G45" s="6" t="s">
        <v>355</v>
      </c>
      <c r="H45" s="2" t="s">
        <v>355</v>
      </c>
      <c r="I45" t="b">
        <v>0</v>
      </c>
      <c r="J45" t="str">
        <f>+_xlfn.XLOOKUP(PRODUCTOS[[#This Row],[CODIGO]],P_CRITICOS[CODIGO],P_CRITICOS[DESC CORTA],"",0)</f>
        <v/>
      </c>
      <c r="K45" t="str">
        <f>+IFERROR(IF(VLOOKUP(PRODUCTOS[[#This Row],[CODIGO]],P_CRITICOS[],3,0)="*","PRODUCTO CRITICO","NO CRITICO"),"NO CRITICO")</f>
        <v>NO CRITICO</v>
      </c>
      <c r="L45" s="15" t="str">
        <f>+_xlfn.XLOOKUP(PRODUCTOS[[#This Row],[CODIGO]],BD_MODULO[Artículo],BD_MODULO[CUB_ACTUALIZADA],"",0)</f>
        <v/>
      </c>
      <c r="M45" s="2" t="str">
        <f>+IFERROR(PRODUCTOS[[#This Row],[PPTO]]*PRODUCTOS[[#This Row],[CANT X MODULO]],"")</f>
        <v/>
      </c>
      <c r="N45" s="2" t="str">
        <f>+IFERROR(PRODUCTOS[[#This Row],[PPTO X MODULO]]*32,"")</f>
        <v/>
      </c>
      <c r="O45" s="2" t="str">
        <f>+IFERROR(PRODUCTOS[[#This Row],[PPTO X TORRE]]*22,"")</f>
        <v/>
      </c>
      <c r="P45" s="3" t="str">
        <f>+IFERROR(PRODUCTOS[[#This Row],[CANT X MODULO]]*702,"")</f>
        <v/>
      </c>
      <c r="Q45" s="3">
        <f>+SUMIFS(DETALLE_GD_1[CANTIDAD SOLICITADA],DETALLE_GD_1[CODIGO],PRODUCTOS[[#This Row],[CODIGO]])</f>
        <v>490</v>
      </c>
      <c r="R45" s="3">
        <f>+SUMIFS(DETALLE_GD_1[DEVOLUCIÓN],DETALLE_GD_1[CODIGO],PRODUCTOS[[#This Row],[CODIGO]])</f>
        <v>0</v>
      </c>
      <c r="S45" s="3">
        <f>+PRODUCTOS[[#This Row],[CANT. COMPRADA]]-PRODUCTOS[[#This Row],[DEVOLUCIONES]]</f>
        <v>490</v>
      </c>
      <c r="T45" s="3" t="str">
        <f>+IFERROR(PRODUCTOS[[#This Row],[CANTIDAD RECIBIDA]]/PRODUCTOS[[#This Row],[CANT X MODULO]],"")</f>
        <v/>
      </c>
      <c r="U45" s="3">
        <f>+SUMIFS(DETALLE_GD_1[VALOR TOTAL POR ITEM GD],DETALLE_GD_1[CODIGO],PRODUCTOS[[#This Row],[CODIGO]])</f>
        <v>929511</v>
      </c>
      <c r="V45" s="3">
        <f>+IFERROR(PRODUCTOS[[#This Row],[PRECIO DE COMPRA]]/PRODUCTOS[[#This Row],[CANT. COMPRADA]],"")</f>
        <v>1896.961224489796</v>
      </c>
      <c r="W45" s="3" t="str">
        <f>+IFERROR(PRODUCTOS[[#This Row],[PRECIO COMPRA UNITARIO]]*PRODUCTOS[[#This Row],[PPTO FALTANTE]],"")</f>
        <v/>
      </c>
      <c r="X45" s="7" t="str">
        <f>+IFERROR(PRODUCTOS[[#This Row],[PROYECCION COMPRA]]/PRODUCTOS[[#This Row],[PPTO TOTAL]]-1,"")</f>
        <v/>
      </c>
      <c r="Y45" s="3" t="str">
        <f>+IFERROR((PRODUCTOS[[#This Row],[CANT X MODULO]]*704)-PRODUCTOS[[#This Row],[CANT. COMPRADA]],"")</f>
        <v/>
      </c>
      <c r="Z45" s="17" t="str">
        <f>+IFERROR(PRODUCTOS[[#This Row],[CANT. COMPRADA]]/PRODUCTOS[[#This Row],[PPTO FALTANTE]],"")</f>
        <v/>
      </c>
      <c r="AA45" s="3" t="str">
        <f>+IFERROR(PRODUCTOS[[#This Row],[PROYECCION COMPRA]]-(PRODUCTOS[[#This Row],[PPTO FALTANTE]]*PRODUCTOS[[#This Row],[PPTO]]),"")</f>
        <v/>
      </c>
      <c r="AB45" s="3">
        <f>+_xlfn.XLOOKUP(PRODUCTOS[[#This Row],[CODIGO]],DETALLE_GD_1[CODIGO],DETALLE_GD_1[VALOR PPTO],"",0)</f>
        <v>1896.9574</v>
      </c>
      <c r="AC45" s="3" t="e">
        <f>+AB45-PRODUCTOS[[#This Row],[PPTO_ACTUALIZADO]]</f>
        <v>#VALUE!</v>
      </c>
    </row>
    <row r="46" spans="1:29" hidden="1" x14ac:dyDescent="0.25">
      <c r="A46">
        <v>408013</v>
      </c>
      <c r="B46" t="s">
        <v>128</v>
      </c>
      <c r="C46" t="s">
        <v>623</v>
      </c>
      <c r="D46">
        <v>0</v>
      </c>
      <c r="E46">
        <v>0</v>
      </c>
      <c r="F46" s="2">
        <v>2520.47678</v>
      </c>
      <c r="G46" s="6" t="s">
        <v>355</v>
      </c>
      <c r="H46" s="2" t="s">
        <v>355</v>
      </c>
      <c r="I46" t="b">
        <v>0</v>
      </c>
      <c r="J46" t="str">
        <f>+_xlfn.XLOOKUP(PRODUCTOS[[#This Row],[CODIGO]],P_CRITICOS[CODIGO],P_CRITICOS[DESC CORTA],"",0)</f>
        <v/>
      </c>
      <c r="K46" t="str">
        <f>+IFERROR(IF(VLOOKUP(PRODUCTOS[[#This Row],[CODIGO]],P_CRITICOS[],3,0)="*","PRODUCTO CRITICO","NO CRITICO"),"NO CRITICO")</f>
        <v>NO CRITICO</v>
      </c>
      <c r="L46" s="15" t="str">
        <f>+_xlfn.XLOOKUP(PRODUCTOS[[#This Row],[CODIGO]],BD_MODULO[Artículo],BD_MODULO[CUB_ACTUALIZADA],"",0)</f>
        <v/>
      </c>
      <c r="M46" s="2" t="str">
        <f>+IFERROR(PRODUCTOS[[#This Row],[PPTO]]*PRODUCTOS[[#This Row],[CANT X MODULO]],"")</f>
        <v/>
      </c>
      <c r="N46" s="2" t="str">
        <f>+IFERROR(PRODUCTOS[[#This Row],[PPTO X MODULO]]*32,"")</f>
        <v/>
      </c>
      <c r="O46" s="2" t="str">
        <f>+IFERROR(PRODUCTOS[[#This Row],[PPTO X TORRE]]*22,"")</f>
        <v/>
      </c>
      <c r="P46" s="3" t="str">
        <f>+IFERROR(PRODUCTOS[[#This Row],[CANT X MODULO]]*702,"")</f>
        <v/>
      </c>
      <c r="Q46" s="3">
        <f>+SUMIFS(DETALLE_GD_1[CANTIDAD SOLICITADA],DETALLE_GD_1[CODIGO],PRODUCTOS[[#This Row],[CODIGO]])</f>
        <v>1</v>
      </c>
      <c r="R46" s="3">
        <f>+SUMIFS(DETALLE_GD_1[DEVOLUCIÓN],DETALLE_GD_1[CODIGO],PRODUCTOS[[#This Row],[CODIGO]])</f>
        <v>0</v>
      </c>
      <c r="S46" s="3">
        <f>+PRODUCTOS[[#This Row],[CANT. COMPRADA]]-PRODUCTOS[[#This Row],[DEVOLUCIONES]]</f>
        <v>1</v>
      </c>
      <c r="T46" s="3" t="str">
        <f>+IFERROR(PRODUCTOS[[#This Row],[CANTIDAD RECIBIDA]]/PRODUCTOS[[#This Row],[CANT X MODULO]],"")</f>
        <v/>
      </c>
      <c r="U46" s="3">
        <f>+SUMIFS(DETALLE_GD_1[VALOR TOTAL POR ITEM GD],DETALLE_GD_1[CODIGO],PRODUCTOS[[#This Row],[CODIGO]])</f>
        <v>2698</v>
      </c>
      <c r="V46" s="3">
        <f>+IFERROR(PRODUCTOS[[#This Row],[PRECIO DE COMPRA]]/PRODUCTOS[[#This Row],[CANT. COMPRADA]],"")</f>
        <v>2698</v>
      </c>
      <c r="W46" s="3" t="str">
        <f>+IFERROR(PRODUCTOS[[#This Row],[PRECIO COMPRA UNITARIO]]*PRODUCTOS[[#This Row],[PPTO FALTANTE]],"")</f>
        <v/>
      </c>
      <c r="X46" s="7" t="str">
        <f>+IFERROR(PRODUCTOS[[#This Row],[PROYECCION COMPRA]]/PRODUCTOS[[#This Row],[PPTO TOTAL]]-1,"")</f>
        <v/>
      </c>
      <c r="Y46" s="3" t="str">
        <f>+IFERROR((PRODUCTOS[[#This Row],[CANT X MODULO]]*704)-PRODUCTOS[[#This Row],[CANT. COMPRADA]],"")</f>
        <v/>
      </c>
      <c r="Z46" s="17" t="str">
        <f>+IFERROR(PRODUCTOS[[#This Row],[CANT. COMPRADA]]/PRODUCTOS[[#This Row],[PPTO FALTANTE]],"")</f>
        <v/>
      </c>
      <c r="AA46" s="3" t="str">
        <f>+IFERROR(PRODUCTOS[[#This Row],[PROYECCION COMPRA]]-(PRODUCTOS[[#This Row],[PPTO FALTANTE]]*PRODUCTOS[[#This Row],[PPTO]]),"")</f>
        <v/>
      </c>
      <c r="AB46" s="3">
        <f>+_xlfn.XLOOKUP(PRODUCTOS[[#This Row],[CODIGO]],DETALLE_GD_1[CODIGO],DETALLE_GD_1[VALOR PPTO],"",0)</f>
        <v>2520.4767999999999</v>
      </c>
      <c r="AC46" s="3" t="e">
        <f>+AB46-PRODUCTOS[[#This Row],[PPTO_ACTUALIZADO]]</f>
        <v>#VALUE!</v>
      </c>
    </row>
    <row r="47" spans="1:29" hidden="1" x14ac:dyDescent="0.25">
      <c r="A47">
        <v>601047</v>
      </c>
      <c r="B47" t="s">
        <v>129</v>
      </c>
      <c r="C47" t="s">
        <v>624</v>
      </c>
      <c r="D47">
        <v>0</v>
      </c>
      <c r="E47">
        <v>0</v>
      </c>
      <c r="F47" s="2">
        <v>50286.86</v>
      </c>
      <c r="G47" s="6" t="s">
        <v>355</v>
      </c>
      <c r="H47" s="2" t="s">
        <v>355</v>
      </c>
      <c r="I47" t="b">
        <v>0</v>
      </c>
      <c r="J47" t="str">
        <f>+_xlfn.XLOOKUP(PRODUCTOS[[#This Row],[CODIGO]],P_CRITICOS[CODIGO],P_CRITICOS[DESC CORTA],"",0)</f>
        <v/>
      </c>
      <c r="K47" t="str">
        <f>+IFERROR(IF(VLOOKUP(PRODUCTOS[[#This Row],[CODIGO]],P_CRITICOS[],3,0)="*","PRODUCTO CRITICO","NO CRITICO"),"NO CRITICO")</f>
        <v>NO CRITICO</v>
      </c>
      <c r="L47" s="15" t="str">
        <f>+_xlfn.XLOOKUP(PRODUCTOS[[#This Row],[CODIGO]],BD_MODULO[Artículo],BD_MODULO[CUB_ACTUALIZADA],"",0)</f>
        <v/>
      </c>
      <c r="M47" s="2" t="str">
        <f>+IFERROR(PRODUCTOS[[#This Row],[PPTO]]*PRODUCTOS[[#This Row],[CANT X MODULO]],"")</f>
        <v/>
      </c>
      <c r="N47" s="2" t="str">
        <f>+IFERROR(PRODUCTOS[[#This Row],[PPTO X MODULO]]*32,"")</f>
        <v/>
      </c>
      <c r="O47" s="2" t="str">
        <f>+IFERROR(PRODUCTOS[[#This Row],[PPTO X TORRE]]*22,"")</f>
        <v/>
      </c>
      <c r="P47" s="3" t="str">
        <f>+IFERROR(PRODUCTOS[[#This Row],[CANT X MODULO]]*702,"")</f>
        <v/>
      </c>
      <c r="Q47" s="3">
        <f>+SUMIFS(DETALLE_GD_1[CANTIDAD SOLICITADA],DETALLE_GD_1[CODIGO],PRODUCTOS[[#This Row],[CODIGO]])</f>
        <v>16</v>
      </c>
      <c r="R47" s="3">
        <f>+SUMIFS(DETALLE_GD_1[DEVOLUCIÓN],DETALLE_GD_1[CODIGO],PRODUCTOS[[#This Row],[CODIGO]])</f>
        <v>0</v>
      </c>
      <c r="S47" s="3">
        <f>+PRODUCTOS[[#This Row],[CANT. COMPRADA]]-PRODUCTOS[[#This Row],[DEVOLUCIONES]]</f>
        <v>16</v>
      </c>
      <c r="T47" s="3" t="str">
        <f>+IFERROR(PRODUCTOS[[#This Row],[CANTIDAD RECIBIDA]]/PRODUCTOS[[#This Row],[CANT X MODULO]],"")</f>
        <v/>
      </c>
      <c r="U47" s="3">
        <f>+SUMIFS(DETALLE_GD_1[VALOR TOTAL POR ITEM GD],DETALLE_GD_1[CODIGO],PRODUCTOS[[#This Row],[CODIGO]])</f>
        <v>790137</v>
      </c>
      <c r="V47" s="3">
        <f>+IFERROR(PRODUCTOS[[#This Row],[PRECIO DE COMPRA]]/PRODUCTOS[[#This Row],[CANT. COMPRADA]],"")</f>
        <v>49383.5625</v>
      </c>
      <c r="W47" s="3" t="str">
        <f>+IFERROR(PRODUCTOS[[#This Row],[PRECIO COMPRA UNITARIO]]*PRODUCTOS[[#This Row],[PPTO FALTANTE]],"")</f>
        <v/>
      </c>
      <c r="X47" s="7" t="str">
        <f>+IFERROR(PRODUCTOS[[#This Row],[PROYECCION COMPRA]]/PRODUCTOS[[#This Row],[PPTO TOTAL]]-1,"")</f>
        <v/>
      </c>
      <c r="Y47" s="3" t="str">
        <f>+IFERROR((PRODUCTOS[[#This Row],[CANT X MODULO]]*704)-PRODUCTOS[[#This Row],[CANT. COMPRADA]],"")</f>
        <v/>
      </c>
      <c r="Z47" s="17" t="str">
        <f>+IFERROR(PRODUCTOS[[#This Row],[CANT. COMPRADA]]/PRODUCTOS[[#This Row],[PPTO FALTANTE]],"")</f>
        <v/>
      </c>
      <c r="AA47" s="3" t="str">
        <f>+IFERROR(PRODUCTOS[[#This Row],[PROYECCION COMPRA]]-(PRODUCTOS[[#This Row],[PPTO FALTANTE]]*PRODUCTOS[[#This Row],[PPTO]]),"")</f>
        <v/>
      </c>
      <c r="AB47" s="3">
        <f>+_xlfn.XLOOKUP(PRODUCTOS[[#This Row],[CODIGO]],DETALLE_GD_1[CODIGO],DETALLE_GD_1[VALOR PPTO],"",0)</f>
        <v>50286.86</v>
      </c>
      <c r="AC47" s="3" t="e">
        <f>+AB47-PRODUCTOS[[#This Row],[PPTO_ACTUALIZADO]]</f>
        <v>#VALUE!</v>
      </c>
    </row>
    <row r="48" spans="1:29" hidden="1" x14ac:dyDescent="0.25">
      <c r="A48">
        <v>704091</v>
      </c>
      <c r="B48" t="s">
        <v>130</v>
      </c>
      <c r="C48" t="s">
        <v>625</v>
      </c>
      <c r="D48">
        <v>0</v>
      </c>
      <c r="E48">
        <v>0</v>
      </c>
      <c r="F48" s="2">
        <v>175.15508600000001</v>
      </c>
      <c r="G48" s="6" t="s">
        <v>355</v>
      </c>
      <c r="H48" s="2" t="s">
        <v>355</v>
      </c>
      <c r="I48" t="b">
        <v>0</v>
      </c>
      <c r="J48" t="str">
        <f>+_xlfn.XLOOKUP(PRODUCTOS[[#This Row],[CODIGO]],P_CRITICOS[CODIGO],P_CRITICOS[DESC CORTA],"",0)</f>
        <v/>
      </c>
      <c r="K48" t="str">
        <f>+IFERROR(IF(VLOOKUP(PRODUCTOS[[#This Row],[CODIGO]],P_CRITICOS[],3,0)="*","PRODUCTO CRITICO","NO CRITICO"),"NO CRITICO")</f>
        <v>NO CRITICO</v>
      </c>
      <c r="L48" s="15" t="str">
        <f>+_xlfn.XLOOKUP(PRODUCTOS[[#This Row],[CODIGO]],BD_MODULO[Artículo],BD_MODULO[CUB_ACTUALIZADA],"",0)</f>
        <v/>
      </c>
      <c r="M48" s="2" t="str">
        <f>+IFERROR(PRODUCTOS[[#This Row],[PPTO]]*PRODUCTOS[[#This Row],[CANT X MODULO]],"")</f>
        <v/>
      </c>
      <c r="N48" s="2" t="str">
        <f>+IFERROR(PRODUCTOS[[#This Row],[PPTO X MODULO]]*32,"")</f>
        <v/>
      </c>
      <c r="O48" s="2" t="str">
        <f>+IFERROR(PRODUCTOS[[#This Row],[PPTO X TORRE]]*22,"")</f>
        <v/>
      </c>
      <c r="P48" s="3" t="str">
        <f>+IFERROR(PRODUCTOS[[#This Row],[CANT X MODULO]]*702,"")</f>
        <v/>
      </c>
      <c r="Q48" s="3">
        <f>+SUMIFS(DETALLE_GD_1[CANTIDAD SOLICITADA],DETALLE_GD_1[CODIGO],PRODUCTOS[[#This Row],[CODIGO]])</f>
        <v>100</v>
      </c>
      <c r="R48" s="3">
        <f>+SUMIFS(DETALLE_GD_1[DEVOLUCIÓN],DETALLE_GD_1[CODIGO],PRODUCTOS[[#This Row],[CODIGO]])</f>
        <v>0</v>
      </c>
      <c r="S48" s="3">
        <f>+PRODUCTOS[[#This Row],[CANT. COMPRADA]]-PRODUCTOS[[#This Row],[DEVOLUCIONES]]</f>
        <v>100</v>
      </c>
      <c r="T48" s="3" t="str">
        <f>+IFERROR(PRODUCTOS[[#This Row],[CANTIDAD RECIBIDA]]/PRODUCTOS[[#This Row],[CANT X MODULO]],"")</f>
        <v/>
      </c>
      <c r="U48" s="3">
        <f>+SUMIFS(DETALLE_GD_1[VALOR TOTAL POR ITEM GD],DETALLE_GD_1[CODIGO],PRODUCTOS[[#This Row],[CODIGO]])</f>
        <v>17516</v>
      </c>
      <c r="V48" s="3">
        <f>+IFERROR(PRODUCTOS[[#This Row],[PRECIO DE COMPRA]]/PRODUCTOS[[#This Row],[CANT. COMPRADA]],"")</f>
        <v>175.16</v>
      </c>
      <c r="W48" s="3" t="str">
        <f>+IFERROR(PRODUCTOS[[#This Row],[PRECIO COMPRA UNITARIO]]*PRODUCTOS[[#This Row],[PPTO FALTANTE]],"")</f>
        <v/>
      </c>
      <c r="X48" s="7" t="str">
        <f>+IFERROR(PRODUCTOS[[#This Row],[PROYECCION COMPRA]]/PRODUCTOS[[#This Row],[PPTO TOTAL]]-1,"")</f>
        <v/>
      </c>
      <c r="Y48" s="3" t="str">
        <f>+IFERROR((PRODUCTOS[[#This Row],[CANT X MODULO]]*704)-PRODUCTOS[[#This Row],[CANT. COMPRADA]],"")</f>
        <v/>
      </c>
      <c r="Z48" s="17" t="str">
        <f>+IFERROR(PRODUCTOS[[#This Row],[CANT. COMPRADA]]/PRODUCTOS[[#This Row],[PPTO FALTANTE]],"")</f>
        <v/>
      </c>
      <c r="AA48" s="3" t="str">
        <f>+IFERROR(PRODUCTOS[[#This Row],[PROYECCION COMPRA]]-(PRODUCTOS[[#This Row],[PPTO FALTANTE]]*PRODUCTOS[[#This Row],[PPTO]]),"")</f>
        <v/>
      </c>
      <c r="AB48" s="3">
        <f>+_xlfn.XLOOKUP(PRODUCTOS[[#This Row],[CODIGO]],DETALLE_GD_1[CODIGO],DETALLE_GD_1[VALOR PPTO],"",0)</f>
        <v>175.1551</v>
      </c>
      <c r="AC48" s="3" t="e">
        <f>+AB48-PRODUCTOS[[#This Row],[PPTO_ACTUALIZADO]]</f>
        <v>#VALUE!</v>
      </c>
    </row>
    <row r="49" spans="1:29" hidden="1" x14ac:dyDescent="0.25">
      <c r="A49">
        <v>704107</v>
      </c>
      <c r="B49" t="s">
        <v>131</v>
      </c>
      <c r="C49" t="s">
        <v>626</v>
      </c>
      <c r="D49">
        <v>0</v>
      </c>
      <c r="E49">
        <v>0</v>
      </c>
      <c r="F49" s="2">
        <v>236.855018</v>
      </c>
      <c r="G49" s="6" t="s">
        <v>355</v>
      </c>
      <c r="H49" s="2" t="s">
        <v>355</v>
      </c>
      <c r="I49" t="b">
        <v>0</v>
      </c>
      <c r="J49" t="str">
        <f>+_xlfn.XLOOKUP(PRODUCTOS[[#This Row],[CODIGO]],P_CRITICOS[CODIGO],P_CRITICOS[DESC CORTA],"",0)</f>
        <v/>
      </c>
      <c r="K49" t="str">
        <f>+IFERROR(IF(VLOOKUP(PRODUCTOS[[#This Row],[CODIGO]],P_CRITICOS[],3,0)="*","PRODUCTO CRITICO","NO CRITICO"),"NO CRITICO")</f>
        <v>NO CRITICO</v>
      </c>
      <c r="L49" s="15" t="str">
        <f>+_xlfn.XLOOKUP(PRODUCTOS[[#This Row],[CODIGO]],BD_MODULO[Artículo],BD_MODULO[CUB_ACTUALIZADA],"",0)</f>
        <v/>
      </c>
      <c r="M49" s="2" t="str">
        <f>+IFERROR(PRODUCTOS[[#This Row],[PPTO]]*PRODUCTOS[[#This Row],[CANT X MODULO]],"")</f>
        <v/>
      </c>
      <c r="N49" s="2" t="str">
        <f>+IFERROR(PRODUCTOS[[#This Row],[PPTO X MODULO]]*32,"")</f>
        <v/>
      </c>
      <c r="O49" s="2" t="str">
        <f>+IFERROR(PRODUCTOS[[#This Row],[PPTO X TORRE]]*22,"")</f>
        <v/>
      </c>
      <c r="P49" s="3" t="str">
        <f>+IFERROR(PRODUCTOS[[#This Row],[CANT X MODULO]]*702,"")</f>
        <v/>
      </c>
      <c r="Q49" s="3">
        <f>+SUMIFS(DETALLE_GD_1[CANTIDAD SOLICITADA],DETALLE_GD_1[CODIGO],PRODUCTOS[[#This Row],[CODIGO]])</f>
        <v>100</v>
      </c>
      <c r="R49" s="3">
        <f>+SUMIFS(DETALLE_GD_1[DEVOLUCIÓN],DETALLE_GD_1[CODIGO],PRODUCTOS[[#This Row],[CODIGO]])</f>
        <v>0</v>
      </c>
      <c r="S49" s="3">
        <f>+PRODUCTOS[[#This Row],[CANT. COMPRADA]]-PRODUCTOS[[#This Row],[DEVOLUCIONES]]</f>
        <v>100</v>
      </c>
      <c r="T49" s="3" t="str">
        <f>+IFERROR(PRODUCTOS[[#This Row],[CANTIDAD RECIBIDA]]/PRODUCTOS[[#This Row],[CANT X MODULO]],"")</f>
        <v/>
      </c>
      <c r="U49" s="3">
        <f>+SUMIFS(DETALLE_GD_1[VALOR TOTAL POR ITEM GD],DETALLE_GD_1[CODIGO],PRODUCTOS[[#This Row],[CODIGO]])</f>
        <v>23685</v>
      </c>
      <c r="V49" s="3">
        <f>+IFERROR(PRODUCTOS[[#This Row],[PRECIO DE COMPRA]]/PRODUCTOS[[#This Row],[CANT. COMPRADA]],"")</f>
        <v>236.85</v>
      </c>
      <c r="W49" s="3" t="str">
        <f>+IFERROR(PRODUCTOS[[#This Row],[PRECIO COMPRA UNITARIO]]*PRODUCTOS[[#This Row],[PPTO FALTANTE]],"")</f>
        <v/>
      </c>
      <c r="X49" s="7" t="str">
        <f>+IFERROR(PRODUCTOS[[#This Row],[PROYECCION COMPRA]]/PRODUCTOS[[#This Row],[PPTO TOTAL]]-1,"")</f>
        <v/>
      </c>
      <c r="Y49" s="3" t="str">
        <f>+IFERROR((PRODUCTOS[[#This Row],[CANT X MODULO]]*704)-PRODUCTOS[[#This Row],[CANT. COMPRADA]],"")</f>
        <v/>
      </c>
      <c r="Z49" s="17" t="str">
        <f>+IFERROR(PRODUCTOS[[#This Row],[CANT. COMPRADA]]/PRODUCTOS[[#This Row],[PPTO FALTANTE]],"")</f>
        <v/>
      </c>
      <c r="AA49" s="3" t="str">
        <f>+IFERROR(PRODUCTOS[[#This Row],[PROYECCION COMPRA]]-(PRODUCTOS[[#This Row],[PPTO FALTANTE]]*PRODUCTOS[[#This Row],[PPTO]]),"")</f>
        <v/>
      </c>
      <c r="AB49" s="3">
        <f>+_xlfn.XLOOKUP(PRODUCTOS[[#This Row],[CODIGO]],DETALLE_GD_1[CODIGO],DETALLE_GD_1[VALOR PPTO],"",0)</f>
        <v>236.85499999999999</v>
      </c>
      <c r="AC49" s="3" t="e">
        <f>+AB49-PRODUCTOS[[#This Row],[PPTO_ACTUALIZADO]]</f>
        <v>#VALUE!</v>
      </c>
    </row>
    <row r="50" spans="1:29" hidden="1" x14ac:dyDescent="0.25">
      <c r="A50">
        <v>2304003</v>
      </c>
      <c r="B50" t="s">
        <v>132</v>
      </c>
      <c r="C50" t="s">
        <v>627</v>
      </c>
      <c r="D50">
        <v>0</v>
      </c>
      <c r="E50">
        <v>0</v>
      </c>
      <c r="F50" s="2">
        <v>1297.135262</v>
      </c>
      <c r="G50" s="6" t="s">
        <v>355</v>
      </c>
      <c r="H50" s="2" t="s">
        <v>355</v>
      </c>
      <c r="I50" t="b">
        <v>0</v>
      </c>
      <c r="J50" t="str">
        <f>+_xlfn.XLOOKUP(PRODUCTOS[[#This Row],[CODIGO]],P_CRITICOS[CODIGO],P_CRITICOS[DESC CORTA],"",0)</f>
        <v/>
      </c>
      <c r="K50" t="str">
        <f>+IFERROR(IF(VLOOKUP(PRODUCTOS[[#This Row],[CODIGO]],P_CRITICOS[],3,0)="*","PRODUCTO CRITICO","NO CRITICO"),"NO CRITICO")</f>
        <v>NO CRITICO</v>
      </c>
      <c r="L50" s="15" t="str">
        <f>+_xlfn.XLOOKUP(PRODUCTOS[[#This Row],[CODIGO]],BD_MODULO[Artículo],BD_MODULO[CUB_ACTUALIZADA],"",0)</f>
        <v/>
      </c>
      <c r="M50" s="2" t="str">
        <f>+IFERROR(PRODUCTOS[[#This Row],[PPTO]]*PRODUCTOS[[#This Row],[CANT X MODULO]],"")</f>
        <v/>
      </c>
      <c r="N50" s="2" t="str">
        <f>+IFERROR(PRODUCTOS[[#This Row],[PPTO X MODULO]]*32,"")</f>
        <v/>
      </c>
      <c r="O50" s="2" t="str">
        <f>+IFERROR(PRODUCTOS[[#This Row],[PPTO X TORRE]]*22,"")</f>
        <v/>
      </c>
      <c r="P50" s="3" t="str">
        <f>+IFERROR(PRODUCTOS[[#This Row],[CANT X MODULO]]*702,"")</f>
        <v/>
      </c>
      <c r="Q50" s="3">
        <f>+SUMIFS(DETALLE_GD_1[CANTIDAD SOLICITADA],DETALLE_GD_1[CODIGO],PRODUCTOS[[#This Row],[CODIGO]])</f>
        <v>43</v>
      </c>
      <c r="R50" s="3">
        <f>+SUMIFS(DETALLE_GD_1[DEVOLUCIÓN],DETALLE_GD_1[CODIGO],PRODUCTOS[[#This Row],[CODIGO]])</f>
        <v>0</v>
      </c>
      <c r="S50" s="3">
        <f>+PRODUCTOS[[#This Row],[CANT. COMPRADA]]-PRODUCTOS[[#This Row],[DEVOLUCIONES]]</f>
        <v>43</v>
      </c>
      <c r="T50" s="3" t="str">
        <f>+IFERROR(PRODUCTOS[[#This Row],[CANTIDAD RECIBIDA]]/PRODUCTOS[[#This Row],[CANT X MODULO]],"")</f>
        <v/>
      </c>
      <c r="U50" s="3">
        <f>+SUMIFS(DETALLE_GD_1[VALOR TOTAL POR ITEM GD],DETALLE_GD_1[CODIGO],PRODUCTOS[[#This Row],[CODIGO]])</f>
        <v>55825</v>
      </c>
      <c r="V50" s="3">
        <f>+IFERROR(PRODUCTOS[[#This Row],[PRECIO DE COMPRA]]/PRODUCTOS[[#This Row],[CANT. COMPRADA]],"")</f>
        <v>1298.2558139534883</v>
      </c>
      <c r="W50" s="3" t="str">
        <f>+IFERROR(PRODUCTOS[[#This Row],[PRECIO COMPRA UNITARIO]]*PRODUCTOS[[#This Row],[PPTO FALTANTE]],"")</f>
        <v/>
      </c>
      <c r="X50" s="7" t="str">
        <f>+IFERROR(PRODUCTOS[[#This Row],[PROYECCION COMPRA]]/PRODUCTOS[[#This Row],[PPTO TOTAL]]-1,"")</f>
        <v/>
      </c>
      <c r="Y50" s="3" t="str">
        <f>+IFERROR((PRODUCTOS[[#This Row],[CANT X MODULO]]*704)-PRODUCTOS[[#This Row],[CANT. COMPRADA]],"")</f>
        <v/>
      </c>
      <c r="Z50" s="17" t="str">
        <f>+IFERROR(PRODUCTOS[[#This Row],[CANT. COMPRADA]]/PRODUCTOS[[#This Row],[PPTO FALTANTE]],"")</f>
        <v/>
      </c>
      <c r="AA50" s="3" t="str">
        <f>+IFERROR(PRODUCTOS[[#This Row],[PROYECCION COMPRA]]-(PRODUCTOS[[#This Row],[PPTO FALTANTE]]*PRODUCTOS[[#This Row],[PPTO]]),"")</f>
        <v/>
      </c>
      <c r="AB50" s="3">
        <f>+_xlfn.XLOOKUP(PRODUCTOS[[#This Row],[CODIGO]],DETALLE_GD_1[CODIGO],DETALLE_GD_1[VALOR PPTO],"",0)</f>
        <v>1297.1352999999999</v>
      </c>
      <c r="AC50" s="3" t="e">
        <f>+AB50-PRODUCTOS[[#This Row],[PPTO_ACTUALIZADO]]</f>
        <v>#VALUE!</v>
      </c>
    </row>
    <row r="51" spans="1:29" hidden="1" x14ac:dyDescent="0.25">
      <c r="A51">
        <v>617016</v>
      </c>
      <c r="B51" t="s">
        <v>133</v>
      </c>
      <c r="C51" t="s">
        <v>628</v>
      </c>
      <c r="D51">
        <v>0</v>
      </c>
      <c r="E51">
        <v>0</v>
      </c>
      <c r="F51" s="2">
        <v>2857.5132739999999</v>
      </c>
      <c r="G51" s="6" t="s">
        <v>31</v>
      </c>
      <c r="H51" s="2" t="s">
        <v>355</v>
      </c>
      <c r="I51" t="b">
        <v>0</v>
      </c>
      <c r="J51" t="str">
        <f>+_xlfn.XLOOKUP(PRODUCTOS[[#This Row],[CODIGO]],P_CRITICOS[CODIGO],P_CRITICOS[DESC CORTA],"",0)</f>
        <v/>
      </c>
      <c r="K51" t="str">
        <f>+IFERROR(IF(VLOOKUP(PRODUCTOS[[#This Row],[CODIGO]],P_CRITICOS[],3,0)="*","PRODUCTO CRITICO","NO CRITICO"),"NO CRITICO")</f>
        <v>NO CRITICO</v>
      </c>
      <c r="L51" s="15" t="str">
        <f>+_xlfn.XLOOKUP(PRODUCTOS[[#This Row],[CODIGO]],BD_MODULO[Artículo],BD_MODULO[CUB_ACTUALIZADA],"",0)</f>
        <v/>
      </c>
      <c r="M51" s="2" t="str">
        <f>+IFERROR(PRODUCTOS[[#This Row],[PPTO]]*PRODUCTOS[[#This Row],[CANT X MODULO]],"")</f>
        <v/>
      </c>
      <c r="N51" s="2" t="str">
        <f>+IFERROR(PRODUCTOS[[#This Row],[PPTO X MODULO]]*32,"")</f>
        <v/>
      </c>
      <c r="O51" s="2" t="str">
        <f>+IFERROR(PRODUCTOS[[#This Row],[PPTO X TORRE]]*22,"")</f>
        <v/>
      </c>
      <c r="P51" s="3" t="str">
        <f>+IFERROR(PRODUCTOS[[#This Row],[CANT X MODULO]]*702,"")</f>
        <v/>
      </c>
      <c r="Q51" s="3">
        <f>+SUMIFS(DETALLE_GD_1[CANTIDAD SOLICITADA],DETALLE_GD_1[CODIGO],PRODUCTOS[[#This Row],[CODIGO]])</f>
        <v>203</v>
      </c>
      <c r="R51" s="3">
        <f>+SUMIFS(DETALLE_GD_1[DEVOLUCIÓN],DETALLE_GD_1[CODIGO],PRODUCTOS[[#This Row],[CODIGO]])</f>
        <v>0</v>
      </c>
      <c r="S51" s="3">
        <f>+PRODUCTOS[[#This Row],[CANT. COMPRADA]]-PRODUCTOS[[#This Row],[DEVOLUCIONES]]</f>
        <v>203</v>
      </c>
      <c r="T51" s="3" t="str">
        <f>+IFERROR(PRODUCTOS[[#This Row],[CANTIDAD RECIBIDA]]/PRODUCTOS[[#This Row],[CANT X MODULO]],"")</f>
        <v/>
      </c>
      <c r="U51" s="3">
        <f>+SUMIFS(DETALLE_GD_1[VALOR TOTAL POR ITEM GD],DETALLE_GD_1[CODIGO],PRODUCTOS[[#This Row],[CODIGO]])</f>
        <v>581371</v>
      </c>
      <c r="V51" s="3">
        <f>+IFERROR(PRODUCTOS[[#This Row],[PRECIO DE COMPRA]]/PRODUCTOS[[#This Row],[CANT. COMPRADA]],"")</f>
        <v>2863.8965517241381</v>
      </c>
      <c r="W51" s="3" t="str">
        <f>+IFERROR(PRODUCTOS[[#This Row],[PRECIO COMPRA UNITARIO]]*PRODUCTOS[[#This Row],[PPTO FALTANTE]],"")</f>
        <v/>
      </c>
      <c r="X51" s="7" t="str">
        <f>+IFERROR(PRODUCTOS[[#This Row],[PROYECCION COMPRA]]/PRODUCTOS[[#This Row],[PPTO TOTAL]]-1,"")</f>
        <v/>
      </c>
      <c r="Y51" s="3" t="str">
        <f>+IFERROR((PRODUCTOS[[#This Row],[CANT X MODULO]]*704)-PRODUCTOS[[#This Row],[CANT. COMPRADA]],"")</f>
        <v/>
      </c>
      <c r="Z51" s="17" t="str">
        <f>+IFERROR(PRODUCTOS[[#This Row],[CANT. COMPRADA]]/PRODUCTOS[[#This Row],[PPTO FALTANTE]],"")</f>
        <v/>
      </c>
      <c r="AA51" s="3" t="str">
        <f>+IFERROR(PRODUCTOS[[#This Row],[PROYECCION COMPRA]]-(PRODUCTOS[[#This Row],[PPTO FALTANTE]]*PRODUCTOS[[#This Row],[PPTO]]),"")</f>
        <v/>
      </c>
      <c r="AB51" s="3">
        <f>+_xlfn.XLOOKUP(PRODUCTOS[[#This Row],[CODIGO]],DETALLE_GD_1[CODIGO],DETALLE_GD_1[VALOR PPTO],"",0)</f>
        <v>2857.5133000000001</v>
      </c>
      <c r="AC51" s="3" t="e">
        <f>+AB51-PRODUCTOS[[#This Row],[PPTO_ACTUALIZADO]]</f>
        <v>#VALUE!</v>
      </c>
    </row>
    <row r="52" spans="1:29" hidden="1" x14ac:dyDescent="0.25">
      <c r="A52">
        <v>617057</v>
      </c>
      <c r="B52" t="s">
        <v>134</v>
      </c>
      <c r="C52" t="s">
        <v>629</v>
      </c>
      <c r="D52">
        <v>0</v>
      </c>
      <c r="E52">
        <v>0</v>
      </c>
      <c r="F52" s="2">
        <v>2042.119706</v>
      </c>
      <c r="G52" s="6" t="s">
        <v>31</v>
      </c>
      <c r="H52" s="2" t="s">
        <v>355</v>
      </c>
      <c r="I52" t="b">
        <v>0</v>
      </c>
      <c r="J52" t="str">
        <f>+_xlfn.XLOOKUP(PRODUCTOS[[#This Row],[CODIGO]],P_CRITICOS[CODIGO],P_CRITICOS[DESC CORTA],"",0)</f>
        <v/>
      </c>
      <c r="K52" t="str">
        <f>+IFERROR(IF(VLOOKUP(PRODUCTOS[[#This Row],[CODIGO]],P_CRITICOS[],3,0)="*","PRODUCTO CRITICO","NO CRITICO"),"NO CRITICO")</f>
        <v>NO CRITICO</v>
      </c>
      <c r="L52" s="15" t="str">
        <f>+_xlfn.XLOOKUP(PRODUCTOS[[#This Row],[CODIGO]],BD_MODULO[Artículo],BD_MODULO[CUB_ACTUALIZADA],"",0)</f>
        <v/>
      </c>
      <c r="M52" s="2" t="str">
        <f>+IFERROR(PRODUCTOS[[#This Row],[PPTO]]*PRODUCTOS[[#This Row],[CANT X MODULO]],"")</f>
        <v/>
      </c>
      <c r="N52" s="2" t="str">
        <f>+IFERROR(PRODUCTOS[[#This Row],[PPTO X MODULO]]*32,"")</f>
        <v/>
      </c>
      <c r="O52" s="2" t="str">
        <f>+IFERROR(PRODUCTOS[[#This Row],[PPTO X TORRE]]*22,"")</f>
        <v/>
      </c>
      <c r="P52" s="3" t="str">
        <f>+IFERROR(PRODUCTOS[[#This Row],[CANT X MODULO]]*702,"")</f>
        <v/>
      </c>
      <c r="Q52" s="3">
        <f>+SUMIFS(DETALLE_GD_1[CANTIDAD SOLICITADA],DETALLE_GD_1[CODIGO],PRODUCTOS[[#This Row],[CODIGO]])</f>
        <v>204</v>
      </c>
      <c r="R52" s="3">
        <f>+SUMIFS(DETALLE_GD_1[DEVOLUCIÓN],DETALLE_GD_1[CODIGO],PRODUCTOS[[#This Row],[CODIGO]])</f>
        <v>0</v>
      </c>
      <c r="S52" s="3">
        <f>+PRODUCTOS[[#This Row],[CANT. COMPRADA]]-PRODUCTOS[[#This Row],[DEVOLUCIONES]]</f>
        <v>204</v>
      </c>
      <c r="T52" s="3" t="str">
        <f>+IFERROR(PRODUCTOS[[#This Row],[CANTIDAD RECIBIDA]]/PRODUCTOS[[#This Row],[CANT X MODULO]],"")</f>
        <v/>
      </c>
      <c r="U52" s="3">
        <f>+SUMIFS(DETALLE_GD_1[VALOR TOTAL POR ITEM GD],DETALLE_GD_1[CODIGO],PRODUCTOS[[#This Row],[CODIGO]])</f>
        <v>378271</v>
      </c>
      <c r="V52" s="3">
        <f>+IFERROR(PRODUCTOS[[#This Row],[PRECIO DE COMPRA]]/PRODUCTOS[[#This Row],[CANT. COMPRADA]],"")</f>
        <v>1854.2696078431372</v>
      </c>
      <c r="W52" s="3" t="str">
        <f>+IFERROR(PRODUCTOS[[#This Row],[PRECIO COMPRA UNITARIO]]*PRODUCTOS[[#This Row],[PPTO FALTANTE]],"")</f>
        <v/>
      </c>
      <c r="X52" s="7" t="str">
        <f>+IFERROR(PRODUCTOS[[#This Row],[PROYECCION COMPRA]]/PRODUCTOS[[#This Row],[PPTO TOTAL]]-1,"")</f>
        <v/>
      </c>
      <c r="Y52" s="3" t="str">
        <f>+IFERROR((PRODUCTOS[[#This Row],[CANT X MODULO]]*704)-PRODUCTOS[[#This Row],[CANT. COMPRADA]],"")</f>
        <v/>
      </c>
      <c r="Z52" s="17" t="str">
        <f>+IFERROR(PRODUCTOS[[#This Row],[CANT. COMPRADA]]/PRODUCTOS[[#This Row],[PPTO FALTANTE]],"")</f>
        <v/>
      </c>
      <c r="AA52" s="3" t="str">
        <f>+IFERROR(PRODUCTOS[[#This Row],[PROYECCION COMPRA]]-(PRODUCTOS[[#This Row],[PPTO FALTANTE]]*PRODUCTOS[[#This Row],[PPTO]]),"")</f>
        <v/>
      </c>
      <c r="AB52" s="3">
        <f>+_xlfn.XLOOKUP(PRODUCTOS[[#This Row],[CODIGO]],DETALLE_GD_1[CODIGO],DETALLE_GD_1[VALOR PPTO],"",0)</f>
        <v>2042.1197</v>
      </c>
      <c r="AC52" s="3" t="e">
        <f>+AB52-PRODUCTOS[[#This Row],[PPTO_ACTUALIZADO]]</f>
        <v>#VALUE!</v>
      </c>
    </row>
    <row r="53" spans="1:29" hidden="1" x14ac:dyDescent="0.25">
      <c r="A53">
        <v>617056</v>
      </c>
      <c r="B53" t="s">
        <v>135</v>
      </c>
      <c r="C53" t="s">
        <v>630</v>
      </c>
      <c r="D53">
        <v>0</v>
      </c>
      <c r="E53">
        <v>0</v>
      </c>
      <c r="F53" s="2">
        <v>1320.5</v>
      </c>
      <c r="G53" s="6" t="s">
        <v>355</v>
      </c>
      <c r="H53" s="2" t="s">
        <v>355</v>
      </c>
      <c r="I53" t="b">
        <v>0</v>
      </c>
      <c r="J53" t="str">
        <f>+_xlfn.XLOOKUP(PRODUCTOS[[#This Row],[CODIGO]],P_CRITICOS[CODIGO],P_CRITICOS[DESC CORTA],"",0)</f>
        <v/>
      </c>
      <c r="K53" t="str">
        <f>+IFERROR(IF(VLOOKUP(PRODUCTOS[[#This Row],[CODIGO]],P_CRITICOS[],3,0)="*","PRODUCTO CRITICO","NO CRITICO"),"NO CRITICO")</f>
        <v>NO CRITICO</v>
      </c>
      <c r="L53" s="15" t="str">
        <f>+_xlfn.XLOOKUP(PRODUCTOS[[#This Row],[CODIGO]],BD_MODULO[Artículo],BD_MODULO[CUB_ACTUALIZADA],"",0)</f>
        <v/>
      </c>
      <c r="M53" s="2" t="str">
        <f>+IFERROR(PRODUCTOS[[#This Row],[PPTO]]*PRODUCTOS[[#This Row],[CANT X MODULO]],"")</f>
        <v/>
      </c>
      <c r="N53" s="2" t="str">
        <f>+IFERROR(PRODUCTOS[[#This Row],[PPTO X MODULO]]*32,"")</f>
        <v/>
      </c>
      <c r="O53" s="2" t="str">
        <f>+IFERROR(PRODUCTOS[[#This Row],[PPTO X TORRE]]*22,"")</f>
        <v/>
      </c>
      <c r="P53" s="3" t="str">
        <f>+IFERROR(PRODUCTOS[[#This Row],[CANT X MODULO]]*702,"")</f>
        <v/>
      </c>
      <c r="Q53" s="3">
        <f>+SUMIFS(DETALLE_GD_1[CANTIDAD SOLICITADA],DETALLE_GD_1[CODIGO],PRODUCTOS[[#This Row],[CODIGO]])</f>
        <v>2</v>
      </c>
      <c r="R53" s="3">
        <f>+SUMIFS(DETALLE_GD_1[DEVOLUCIÓN],DETALLE_GD_1[CODIGO],PRODUCTOS[[#This Row],[CODIGO]])</f>
        <v>0</v>
      </c>
      <c r="S53" s="3">
        <f>+PRODUCTOS[[#This Row],[CANT. COMPRADA]]-PRODUCTOS[[#This Row],[DEVOLUCIONES]]</f>
        <v>2</v>
      </c>
      <c r="T53" s="3" t="str">
        <f>+IFERROR(PRODUCTOS[[#This Row],[CANTIDAD RECIBIDA]]/PRODUCTOS[[#This Row],[CANT X MODULO]],"")</f>
        <v/>
      </c>
      <c r="U53" s="3">
        <f>+SUMIFS(DETALLE_GD_1[VALOR TOTAL POR ITEM GD],DETALLE_GD_1[CODIGO],PRODUCTOS[[#This Row],[CODIGO]])</f>
        <v>2929</v>
      </c>
      <c r="V53" s="3">
        <f>+IFERROR(PRODUCTOS[[#This Row],[PRECIO DE COMPRA]]/PRODUCTOS[[#This Row],[CANT. COMPRADA]],"")</f>
        <v>1464.5</v>
      </c>
      <c r="W53" s="3" t="str">
        <f>+IFERROR(PRODUCTOS[[#This Row],[PRECIO COMPRA UNITARIO]]*PRODUCTOS[[#This Row],[PPTO FALTANTE]],"")</f>
        <v/>
      </c>
      <c r="X53" s="7" t="str">
        <f>+IFERROR(PRODUCTOS[[#This Row],[PROYECCION COMPRA]]/PRODUCTOS[[#This Row],[PPTO TOTAL]]-1,"")</f>
        <v/>
      </c>
      <c r="Y53" s="3" t="str">
        <f>+IFERROR((PRODUCTOS[[#This Row],[CANT X MODULO]]*704)-PRODUCTOS[[#This Row],[CANT. COMPRADA]],"")</f>
        <v/>
      </c>
      <c r="Z53" s="17" t="str">
        <f>+IFERROR(PRODUCTOS[[#This Row],[CANT. COMPRADA]]/PRODUCTOS[[#This Row],[PPTO FALTANTE]],"")</f>
        <v/>
      </c>
      <c r="AA53" s="3" t="str">
        <f>+IFERROR(PRODUCTOS[[#This Row],[PROYECCION COMPRA]]-(PRODUCTOS[[#This Row],[PPTO FALTANTE]]*PRODUCTOS[[#This Row],[PPTO]]),"")</f>
        <v/>
      </c>
      <c r="AB53" s="3">
        <f>+_xlfn.XLOOKUP(PRODUCTOS[[#This Row],[CODIGO]],DETALLE_GD_1[CODIGO],DETALLE_GD_1[VALOR PPTO],"",0)</f>
        <v>1320.5</v>
      </c>
      <c r="AC53" s="3" t="e">
        <f>+AB53-PRODUCTOS[[#This Row],[PPTO_ACTUALIZADO]]</f>
        <v>#VALUE!</v>
      </c>
    </row>
    <row r="54" spans="1:29" hidden="1" x14ac:dyDescent="0.25">
      <c r="A54">
        <v>701183</v>
      </c>
      <c r="B54" t="s">
        <v>136</v>
      </c>
      <c r="C54" t="s">
        <v>631</v>
      </c>
      <c r="D54">
        <v>0</v>
      </c>
      <c r="E54">
        <v>0</v>
      </c>
      <c r="F54" s="2">
        <v>996.5</v>
      </c>
      <c r="G54" s="6" t="s">
        <v>355</v>
      </c>
      <c r="H54" s="2" t="s">
        <v>355</v>
      </c>
      <c r="I54" t="b">
        <v>0</v>
      </c>
      <c r="J54" t="str">
        <f>+_xlfn.XLOOKUP(PRODUCTOS[[#This Row],[CODIGO]],P_CRITICOS[CODIGO],P_CRITICOS[DESC CORTA],"",0)</f>
        <v/>
      </c>
      <c r="K54" t="str">
        <f>+IFERROR(IF(VLOOKUP(PRODUCTOS[[#This Row],[CODIGO]],P_CRITICOS[],3,0)="*","PRODUCTO CRITICO","NO CRITICO"),"NO CRITICO")</f>
        <v>NO CRITICO</v>
      </c>
      <c r="L54" s="15" t="str">
        <f>+_xlfn.XLOOKUP(PRODUCTOS[[#This Row],[CODIGO]],BD_MODULO[Artículo],BD_MODULO[CUB_ACTUALIZADA],"",0)</f>
        <v/>
      </c>
      <c r="M54" s="2" t="str">
        <f>+IFERROR(PRODUCTOS[[#This Row],[PPTO]]*PRODUCTOS[[#This Row],[CANT X MODULO]],"")</f>
        <v/>
      </c>
      <c r="N54" s="2" t="str">
        <f>+IFERROR(PRODUCTOS[[#This Row],[PPTO X MODULO]]*32,"")</f>
        <v/>
      </c>
      <c r="O54" s="2" t="str">
        <f>+IFERROR(PRODUCTOS[[#This Row],[PPTO X TORRE]]*22,"")</f>
        <v/>
      </c>
      <c r="P54" s="3" t="str">
        <f>+IFERROR(PRODUCTOS[[#This Row],[CANT X MODULO]]*702,"")</f>
        <v/>
      </c>
      <c r="Q54" s="3">
        <f>+SUMIFS(DETALLE_GD_1[CANTIDAD SOLICITADA],DETALLE_GD_1[CODIGO],PRODUCTOS[[#This Row],[CODIGO]])</f>
        <v>21</v>
      </c>
      <c r="R54" s="3">
        <f>+SUMIFS(DETALLE_GD_1[DEVOLUCIÓN],DETALLE_GD_1[CODIGO],PRODUCTOS[[#This Row],[CODIGO]])</f>
        <v>0</v>
      </c>
      <c r="S54" s="3">
        <f>+PRODUCTOS[[#This Row],[CANT. COMPRADA]]-PRODUCTOS[[#This Row],[DEVOLUCIONES]]</f>
        <v>21</v>
      </c>
      <c r="T54" s="3" t="str">
        <f>+IFERROR(PRODUCTOS[[#This Row],[CANTIDAD RECIBIDA]]/PRODUCTOS[[#This Row],[CANT X MODULO]],"")</f>
        <v/>
      </c>
      <c r="U54" s="3">
        <f>+SUMIFS(DETALLE_GD_1[VALOR TOTAL POR ITEM GD],DETALLE_GD_1[CODIGO],PRODUCTOS[[#This Row],[CODIGO]])</f>
        <v>20910</v>
      </c>
      <c r="V54" s="3">
        <f>+IFERROR(PRODUCTOS[[#This Row],[PRECIO DE COMPRA]]/PRODUCTOS[[#This Row],[CANT. COMPRADA]],"")</f>
        <v>995.71428571428567</v>
      </c>
      <c r="W54" s="3" t="str">
        <f>+IFERROR(PRODUCTOS[[#This Row],[PRECIO COMPRA UNITARIO]]*PRODUCTOS[[#This Row],[PPTO FALTANTE]],"")</f>
        <v/>
      </c>
      <c r="X54" s="7" t="str">
        <f>+IFERROR(PRODUCTOS[[#This Row],[PROYECCION COMPRA]]/PRODUCTOS[[#This Row],[PPTO TOTAL]]-1,"")</f>
        <v/>
      </c>
      <c r="Y54" s="3" t="str">
        <f>+IFERROR((PRODUCTOS[[#This Row],[CANT X MODULO]]*704)-PRODUCTOS[[#This Row],[CANT. COMPRADA]],"")</f>
        <v/>
      </c>
      <c r="Z54" s="17" t="str">
        <f>+IFERROR(PRODUCTOS[[#This Row],[CANT. COMPRADA]]/PRODUCTOS[[#This Row],[PPTO FALTANTE]],"")</f>
        <v/>
      </c>
      <c r="AA54" s="3" t="str">
        <f>+IFERROR(PRODUCTOS[[#This Row],[PROYECCION COMPRA]]-(PRODUCTOS[[#This Row],[PPTO FALTANTE]]*PRODUCTOS[[#This Row],[PPTO]]),"")</f>
        <v/>
      </c>
      <c r="AB54" s="3">
        <f>+_xlfn.XLOOKUP(PRODUCTOS[[#This Row],[CODIGO]],DETALLE_GD_1[CODIGO],DETALLE_GD_1[VALOR PPTO],"",0)</f>
        <v>996.5</v>
      </c>
      <c r="AC54" s="3" t="e">
        <f>+AB54-PRODUCTOS[[#This Row],[PPTO_ACTUALIZADO]]</f>
        <v>#VALUE!</v>
      </c>
    </row>
    <row r="55" spans="1:29" hidden="1" x14ac:dyDescent="0.25">
      <c r="A55" t="s">
        <v>138</v>
      </c>
      <c r="B55" t="s">
        <v>139</v>
      </c>
      <c r="C55" t="s">
        <v>632</v>
      </c>
      <c r="D55">
        <v>0</v>
      </c>
      <c r="E55">
        <v>0</v>
      </c>
      <c r="F55" s="2">
        <v>265.85816599999998</v>
      </c>
      <c r="G55" s="6" t="s">
        <v>355</v>
      </c>
      <c r="H55" s="2" t="s">
        <v>355</v>
      </c>
      <c r="I55" t="b">
        <v>0</v>
      </c>
      <c r="J55" t="str">
        <f>+_xlfn.XLOOKUP(PRODUCTOS[[#This Row],[CODIGO]],P_CRITICOS[CODIGO],P_CRITICOS[DESC CORTA],"",0)</f>
        <v/>
      </c>
      <c r="K55" t="str">
        <f>+IFERROR(IF(VLOOKUP(PRODUCTOS[[#This Row],[CODIGO]],P_CRITICOS[],3,0)="*","PRODUCTO CRITICO","NO CRITICO"),"NO CRITICO")</f>
        <v>NO CRITICO</v>
      </c>
      <c r="L55" s="15" t="str">
        <f>+_xlfn.XLOOKUP(PRODUCTOS[[#This Row],[CODIGO]],BD_MODULO[Artículo],BD_MODULO[CUB_ACTUALIZADA],"",0)</f>
        <v/>
      </c>
      <c r="M55" s="2" t="str">
        <f>+IFERROR(PRODUCTOS[[#This Row],[PPTO]]*PRODUCTOS[[#This Row],[CANT X MODULO]],"")</f>
        <v/>
      </c>
      <c r="N55" s="2" t="str">
        <f>+IFERROR(PRODUCTOS[[#This Row],[PPTO X MODULO]]*32,"")</f>
        <v/>
      </c>
      <c r="O55" s="2" t="str">
        <f>+IFERROR(PRODUCTOS[[#This Row],[PPTO X TORRE]]*22,"")</f>
        <v/>
      </c>
      <c r="P55" s="3" t="str">
        <f>+IFERROR(PRODUCTOS[[#This Row],[CANT X MODULO]]*702,"")</f>
        <v/>
      </c>
      <c r="Q55" s="3">
        <f>+SUMIFS(DETALLE_GD_1[CANTIDAD SOLICITADA],DETALLE_GD_1[CODIGO],PRODUCTOS[[#This Row],[CODIGO]])</f>
        <v>1</v>
      </c>
      <c r="R55" s="3">
        <f>+SUMIFS(DETALLE_GD_1[DEVOLUCIÓN],DETALLE_GD_1[CODIGO],PRODUCTOS[[#This Row],[CODIGO]])</f>
        <v>0</v>
      </c>
      <c r="S55" s="3">
        <f>+PRODUCTOS[[#This Row],[CANT. COMPRADA]]-PRODUCTOS[[#This Row],[DEVOLUCIONES]]</f>
        <v>1</v>
      </c>
      <c r="T55" s="3" t="str">
        <f>+IFERROR(PRODUCTOS[[#This Row],[CANTIDAD RECIBIDA]]/PRODUCTOS[[#This Row],[CANT X MODULO]],"")</f>
        <v/>
      </c>
      <c r="U55" s="3">
        <f>+SUMIFS(DETALLE_GD_1[VALOR TOTAL POR ITEM GD],DETALLE_GD_1[CODIGO],PRODUCTOS[[#This Row],[CODIGO]])</f>
        <v>229</v>
      </c>
      <c r="V55" s="3">
        <f>+IFERROR(PRODUCTOS[[#This Row],[PRECIO DE COMPRA]]/PRODUCTOS[[#This Row],[CANT. COMPRADA]],"")</f>
        <v>229</v>
      </c>
      <c r="W55" s="3" t="str">
        <f>+IFERROR(PRODUCTOS[[#This Row],[PRECIO COMPRA UNITARIO]]*PRODUCTOS[[#This Row],[PPTO FALTANTE]],"")</f>
        <v/>
      </c>
      <c r="X55" s="7" t="str">
        <f>+IFERROR(PRODUCTOS[[#This Row],[PROYECCION COMPRA]]/PRODUCTOS[[#This Row],[PPTO TOTAL]]-1,"")</f>
        <v/>
      </c>
      <c r="Y55" s="3" t="str">
        <f>+IFERROR((PRODUCTOS[[#This Row],[CANT X MODULO]]*704)-PRODUCTOS[[#This Row],[CANT. COMPRADA]],"")</f>
        <v/>
      </c>
      <c r="Z55" s="17" t="str">
        <f>+IFERROR(PRODUCTOS[[#This Row],[CANT. COMPRADA]]/PRODUCTOS[[#This Row],[PPTO FALTANTE]],"")</f>
        <v/>
      </c>
      <c r="AA55" s="3" t="str">
        <f>+IFERROR(PRODUCTOS[[#This Row],[PROYECCION COMPRA]]-(PRODUCTOS[[#This Row],[PPTO FALTANTE]]*PRODUCTOS[[#This Row],[PPTO]]),"")</f>
        <v/>
      </c>
      <c r="AB55" s="3">
        <f>+_xlfn.XLOOKUP(PRODUCTOS[[#This Row],[CODIGO]],DETALLE_GD_1[CODIGO],DETALLE_GD_1[VALOR PPTO],"",0)</f>
        <v>265.85820000000001</v>
      </c>
      <c r="AC55" s="3" t="e">
        <f>+AB55-PRODUCTOS[[#This Row],[PPTO_ACTUALIZADO]]</f>
        <v>#VALUE!</v>
      </c>
    </row>
    <row r="56" spans="1:29" hidden="1" x14ac:dyDescent="0.25">
      <c r="A56">
        <v>2505059</v>
      </c>
      <c r="B56" t="s">
        <v>143</v>
      </c>
      <c r="C56" t="s">
        <v>635</v>
      </c>
      <c r="D56">
        <v>0</v>
      </c>
      <c r="E56">
        <v>0</v>
      </c>
      <c r="F56" s="2">
        <v>75790.3125</v>
      </c>
      <c r="G56" s="6" t="s">
        <v>355</v>
      </c>
      <c r="H56" s="2" t="s">
        <v>355</v>
      </c>
      <c r="I56" t="b">
        <v>0</v>
      </c>
      <c r="J56" t="str">
        <f>+_xlfn.XLOOKUP(PRODUCTOS[[#This Row],[CODIGO]],P_CRITICOS[CODIGO],P_CRITICOS[DESC CORTA],"",0)</f>
        <v/>
      </c>
      <c r="K56" t="str">
        <f>+IFERROR(IF(VLOOKUP(PRODUCTOS[[#This Row],[CODIGO]],P_CRITICOS[],3,0)="*","PRODUCTO CRITICO","NO CRITICO"),"NO CRITICO")</f>
        <v>NO CRITICO</v>
      </c>
      <c r="L56" s="15" t="str">
        <f>+_xlfn.XLOOKUP(PRODUCTOS[[#This Row],[CODIGO]],BD_MODULO[Artículo],BD_MODULO[CUB_ACTUALIZADA],"",0)</f>
        <v/>
      </c>
      <c r="M56" s="2" t="str">
        <f>+IFERROR(PRODUCTOS[[#This Row],[PPTO]]*PRODUCTOS[[#This Row],[CANT X MODULO]],"")</f>
        <v/>
      </c>
      <c r="N56" s="2" t="str">
        <f>+IFERROR(PRODUCTOS[[#This Row],[PPTO X MODULO]]*32,"")</f>
        <v/>
      </c>
      <c r="O56" s="2" t="str">
        <f>+IFERROR(PRODUCTOS[[#This Row],[PPTO X TORRE]]*22,"")</f>
        <v/>
      </c>
      <c r="P56" s="3" t="str">
        <f>+IFERROR(PRODUCTOS[[#This Row],[CANT X MODULO]]*702,"")</f>
        <v/>
      </c>
      <c r="Q56" s="3">
        <f>+SUMIFS(DETALLE_GD_1[CANTIDAD SOLICITADA],DETALLE_GD_1[CODIGO],PRODUCTOS[[#This Row],[CODIGO]])</f>
        <v>2</v>
      </c>
      <c r="R56" s="3">
        <f>+SUMIFS(DETALLE_GD_1[DEVOLUCIÓN],DETALLE_GD_1[CODIGO],PRODUCTOS[[#This Row],[CODIGO]])</f>
        <v>0</v>
      </c>
      <c r="S56" s="3">
        <f>+PRODUCTOS[[#This Row],[CANT. COMPRADA]]-PRODUCTOS[[#This Row],[DEVOLUCIONES]]</f>
        <v>2</v>
      </c>
      <c r="T56" s="3" t="str">
        <f>+IFERROR(PRODUCTOS[[#This Row],[CANTIDAD RECIBIDA]]/PRODUCTOS[[#This Row],[CANT X MODULO]],"")</f>
        <v/>
      </c>
      <c r="U56" s="3">
        <f>+SUMIFS(DETALLE_GD_1[VALOR TOTAL POR ITEM GD],DETALLE_GD_1[CODIGO],PRODUCTOS[[#This Row],[CODIGO]])</f>
        <v>151581</v>
      </c>
      <c r="V56" s="3">
        <f>+IFERROR(PRODUCTOS[[#This Row],[PRECIO DE COMPRA]]/PRODUCTOS[[#This Row],[CANT. COMPRADA]],"")</f>
        <v>75790.5</v>
      </c>
      <c r="W56" s="3" t="str">
        <f>+IFERROR(PRODUCTOS[[#This Row],[PRECIO COMPRA UNITARIO]]*PRODUCTOS[[#This Row],[PPTO FALTANTE]],"")</f>
        <v/>
      </c>
      <c r="X56" s="7" t="str">
        <f>+IFERROR(PRODUCTOS[[#This Row],[PROYECCION COMPRA]]/PRODUCTOS[[#This Row],[PPTO TOTAL]]-1,"")</f>
        <v/>
      </c>
      <c r="Y56" s="3" t="str">
        <f>+IFERROR((PRODUCTOS[[#This Row],[CANT X MODULO]]*704)-PRODUCTOS[[#This Row],[CANT. COMPRADA]],"")</f>
        <v/>
      </c>
      <c r="Z56" s="17" t="str">
        <f>+IFERROR(PRODUCTOS[[#This Row],[CANT. COMPRADA]]/PRODUCTOS[[#This Row],[PPTO FALTANTE]],"")</f>
        <v/>
      </c>
      <c r="AA56" s="3" t="str">
        <f>+IFERROR(PRODUCTOS[[#This Row],[PROYECCION COMPRA]]-(PRODUCTOS[[#This Row],[PPTO FALTANTE]]*PRODUCTOS[[#This Row],[PPTO]]),"")</f>
        <v/>
      </c>
      <c r="AB56" s="3">
        <f>+_xlfn.XLOOKUP(PRODUCTOS[[#This Row],[CODIGO]],DETALLE_GD_1[CODIGO],DETALLE_GD_1[VALOR PPTO],"",0)</f>
        <v>75790.3125</v>
      </c>
      <c r="AC56" s="3" t="e">
        <f>+AB56-PRODUCTOS[[#This Row],[PPTO_ACTUALIZADO]]</f>
        <v>#VALUE!</v>
      </c>
    </row>
    <row r="57" spans="1:29" hidden="1" x14ac:dyDescent="0.25">
      <c r="A57">
        <v>409027</v>
      </c>
      <c r="B57" t="s">
        <v>152</v>
      </c>
      <c r="C57" t="s">
        <v>638</v>
      </c>
      <c r="D57" t="s">
        <v>355</v>
      </c>
      <c r="E57" t="s">
        <v>355</v>
      </c>
      <c r="F57" s="2">
        <v>6469.1028470000001</v>
      </c>
      <c r="G57" s="6" t="s">
        <v>355</v>
      </c>
      <c r="H57" s="2" t="s">
        <v>355</v>
      </c>
      <c r="I57" t="b">
        <v>0</v>
      </c>
      <c r="J57" t="str">
        <f>+_xlfn.XLOOKUP(PRODUCTOS[[#This Row],[CODIGO]],P_CRITICOS[CODIGO],P_CRITICOS[DESC CORTA],"",0)</f>
        <v/>
      </c>
      <c r="K57" t="str">
        <f>+IFERROR(IF(VLOOKUP(PRODUCTOS[[#This Row],[CODIGO]],P_CRITICOS[],3,0)="*","PRODUCTO CRITICO","NO CRITICO"),"NO CRITICO")</f>
        <v>NO CRITICO</v>
      </c>
      <c r="L57" s="15" t="str">
        <f>+_xlfn.XLOOKUP(PRODUCTOS[[#This Row],[CODIGO]],BD_MODULO[Artículo],BD_MODULO[CUB_ACTUALIZADA],"",0)</f>
        <v/>
      </c>
      <c r="M57" s="2" t="str">
        <f>+IFERROR(PRODUCTOS[[#This Row],[PPTO]]*PRODUCTOS[[#This Row],[CANT X MODULO]],"")</f>
        <v/>
      </c>
      <c r="N57" s="2" t="str">
        <f>+IFERROR(PRODUCTOS[[#This Row],[PPTO X MODULO]]*32,"")</f>
        <v/>
      </c>
      <c r="O57" s="2" t="str">
        <f>+IFERROR(PRODUCTOS[[#This Row],[PPTO X TORRE]]*22,"")</f>
        <v/>
      </c>
      <c r="P57" s="3" t="str">
        <f>+IFERROR(PRODUCTOS[[#This Row],[CANT X MODULO]]*702,"")</f>
        <v/>
      </c>
      <c r="Q57" s="3">
        <f>+SUMIFS(DETALLE_GD_1[CANTIDAD SOLICITADA],DETALLE_GD_1[CODIGO],PRODUCTOS[[#This Row],[CODIGO]])</f>
        <v>12</v>
      </c>
      <c r="R57" s="3">
        <f>+SUMIFS(DETALLE_GD_1[DEVOLUCIÓN],DETALLE_GD_1[CODIGO],PRODUCTOS[[#This Row],[CODIGO]])</f>
        <v>0</v>
      </c>
      <c r="S57" s="3">
        <f>+PRODUCTOS[[#This Row],[CANT. COMPRADA]]-PRODUCTOS[[#This Row],[DEVOLUCIONES]]</f>
        <v>12</v>
      </c>
      <c r="T57" s="3" t="str">
        <f>+IFERROR(PRODUCTOS[[#This Row],[CANTIDAD RECIBIDA]]/PRODUCTOS[[#This Row],[CANT X MODULO]],"")</f>
        <v/>
      </c>
      <c r="U57" s="3">
        <f>+SUMIFS(DETALLE_GD_1[VALOR TOTAL POR ITEM GD],DETALLE_GD_1[CODIGO],PRODUCTOS[[#This Row],[CODIGO]])</f>
        <v>75785</v>
      </c>
      <c r="V57" s="3">
        <f>+IFERROR(PRODUCTOS[[#This Row],[PRECIO DE COMPRA]]/PRODUCTOS[[#This Row],[CANT. COMPRADA]],"")</f>
        <v>6315.416666666667</v>
      </c>
      <c r="W57" s="3" t="str">
        <f>+IFERROR(PRODUCTOS[[#This Row],[PRECIO COMPRA UNITARIO]]*PRODUCTOS[[#This Row],[PPTO FALTANTE]],"")</f>
        <v/>
      </c>
      <c r="X57" s="7" t="str">
        <f>+IFERROR(PRODUCTOS[[#This Row],[PROYECCION COMPRA]]/PRODUCTOS[[#This Row],[PPTO TOTAL]]-1,"")</f>
        <v/>
      </c>
      <c r="Y57" s="3" t="str">
        <f>+IFERROR((PRODUCTOS[[#This Row],[CANT X MODULO]]*704)-PRODUCTOS[[#This Row],[CANT. COMPRADA]],"")</f>
        <v/>
      </c>
      <c r="Z57" s="17" t="str">
        <f>+IFERROR(PRODUCTOS[[#This Row],[CANT. COMPRADA]]/PRODUCTOS[[#This Row],[PPTO FALTANTE]],"")</f>
        <v/>
      </c>
      <c r="AA57" s="3" t="str">
        <f>+IFERROR(PRODUCTOS[[#This Row],[PROYECCION COMPRA]]-(PRODUCTOS[[#This Row],[PPTO FALTANTE]]*PRODUCTOS[[#This Row],[PPTO]]),"")</f>
        <v/>
      </c>
      <c r="AB57" s="3">
        <f>+_xlfn.XLOOKUP(PRODUCTOS[[#This Row],[CODIGO]],DETALLE_GD_1[CODIGO],DETALLE_GD_1[VALOR PPTO],"",0)</f>
        <v>6469.1027999999997</v>
      </c>
      <c r="AC57" s="3" t="e">
        <f>+AB57-PRODUCTOS[[#This Row],[PPTO_ACTUALIZADO]]</f>
        <v>#VALUE!</v>
      </c>
    </row>
    <row r="58" spans="1:29" hidden="1" x14ac:dyDescent="0.25">
      <c r="A58" t="s">
        <v>153</v>
      </c>
      <c r="B58" t="s">
        <v>154</v>
      </c>
      <c r="C58">
        <v>0</v>
      </c>
      <c r="D58" t="s">
        <v>355</v>
      </c>
      <c r="E58" t="s">
        <v>355</v>
      </c>
      <c r="F58" s="2">
        <v>5771.9989420000002</v>
      </c>
      <c r="G58" s="6" t="s">
        <v>355</v>
      </c>
      <c r="H58" s="2" t="s">
        <v>355</v>
      </c>
      <c r="I58" t="b">
        <v>0</v>
      </c>
      <c r="J58" t="str">
        <f>+_xlfn.XLOOKUP(PRODUCTOS[[#This Row],[CODIGO]],P_CRITICOS[CODIGO],P_CRITICOS[DESC CORTA],"",0)</f>
        <v/>
      </c>
      <c r="K58" t="str">
        <f>+IFERROR(IF(VLOOKUP(PRODUCTOS[[#This Row],[CODIGO]],P_CRITICOS[],3,0)="*","PRODUCTO CRITICO","NO CRITICO"),"NO CRITICO")</f>
        <v>NO CRITICO</v>
      </c>
      <c r="L58" s="15" t="str">
        <f>+_xlfn.XLOOKUP(PRODUCTOS[[#This Row],[CODIGO]],BD_MODULO[Artículo],BD_MODULO[CUB_ACTUALIZADA],"",0)</f>
        <v/>
      </c>
      <c r="M58" s="2" t="str">
        <f>+IFERROR(PRODUCTOS[[#This Row],[PPTO]]*PRODUCTOS[[#This Row],[CANT X MODULO]],"")</f>
        <v/>
      </c>
      <c r="N58" s="2" t="str">
        <f>+IFERROR(PRODUCTOS[[#This Row],[PPTO X MODULO]]*32,"")</f>
        <v/>
      </c>
      <c r="O58" s="2" t="str">
        <f>+IFERROR(PRODUCTOS[[#This Row],[PPTO X TORRE]]*22,"")</f>
        <v/>
      </c>
      <c r="P58" s="3" t="str">
        <f>+IFERROR(PRODUCTOS[[#This Row],[CANT X MODULO]]*702,"")</f>
        <v/>
      </c>
      <c r="Q58" s="3">
        <f>+SUMIFS(DETALLE_GD_1[CANTIDAD SOLICITADA],DETALLE_GD_1[CODIGO],PRODUCTOS[[#This Row],[CODIGO]])</f>
        <v>102</v>
      </c>
      <c r="R58" s="3">
        <f>+SUMIFS(DETALLE_GD_1[DEVOLUCIÓN],DETALLE_GD_1[CODIGO],PRODUCTOS[[#This Row],[CODIGO]])</f>
        <v>0</v>
      </c>
      <c r="S58" s="3">
        <f>+PRODUCTOS[[#This Row],[CANT. COMPRADA]]-PRODUCTOS[[#This Row],[DEVOLUCIONES]]</f>
        <v>102</v>
      </c>
      <c r="T58" s="3" t="str">
        <f>+IFERROR(PRODUCTOS[[#This Row],[CANTIDAD RECIBIDA]]/PRODUCTOS[[#This Row],[CANT X MODULO]],"")</f>
        <v/>
      </c>
      <c r="U58" s="3">
        <f>+SUMIFS(DETALLE_GD_1[VALOR TOTAL POR ITEM GD],DETALLE_GD_1[CODIGO],PRODUCTOS[[#This Row],[CODIGO]])</f>
        <v>591630</v>
      </c>
      <c r="V58" s="3">
        <f>+IFERROR(PRODUCTOS[[#This Row],[PRECIO DE COMPRA]]/PRODUCTOS[[#This Row],[CANT. COMPRADA]],"")</f>
        <v>5800.2941176470586</v>
      </c>
      <c r="W58" s="3" t="str">
        <f>+IFERROR(PRODUCTOS[[#This Row],[PRECIO COMPRA UNITARIO]]*PRODUCTOS[[#This Row],[PPTO FALTANTE]],"")</f>
        <v/>
      </c>
      <c r="X58" s="7" t="str">
        <f>+IFERROR(PRODUCTOS[[#This Row],[PROYECCION COMPRA]]/PRODUCTOS[[#This Row],[PPTO TOTAL]]-1,"")</f>
        <v/>
      </c>
      <c r="Y58" s="3" t="str">
        <f>+IFERROR((PRODUCTOS[[#This Row],[CANT X MODULO]]*704)-PRODUCTOS[[#This Row],[CANT. COMPRADA]],"")</f>
        <v/>
      </c>
      <c r="Z58" s="17" t="str">
        <f>+IFERROR(PRODUCTOS[[#This Row],[CANT. COMPRADA]]/PRODUCTOS[[#This Row],[PPTO FALTANTE]],"")</f>
        <v/>
      </c>
      <c r="AA58" s="3" t="str">
        <f>+IFERROR(PRODUCTOS[[#This Row],[PROYECCION COMPRA]]-(PRODUCTOS[[#This Row],[PPTO FALTANTE]]*PRODUCTOS[[#This Row],[PPTO]]),"")</f>
        <v/>
      </c>
      <c r="AB58" s="3">
        <f>+_xlfn.XLOOKUP(PRODUCTOS[[#This Row],[CODIGO]],DETALLE_GD_1[CODIGO],DETALLE_GD_1[VALOR PPTO],"",0)</f>
        <v>5771.9988999999996</v>
      </c>
      <c r="AC58" s="3" t="e">
        <f>+AB58-PRODUCTOS[[#This Row],[PPTO_ACTUALIZADO]]</f>
        <v>#VALUE!</v>
      </c>
    </row>
    <row r="59" spans="1:29" hidden="1" x14ac:dyDescent="0.25">
      <c r="A59">
        <v>307263</v>
      </c>
      <c r="B59" t="s">
        <v>158</v>
      </c>
      <c r="C59">
        <v>0</v>
      </c>
      <c r="D59" t="s">
        <v>355</v>
      </c>
      <c r="E59" t="s">
        <v>355</v>
      </c>
      <c r="F59" s="2">
        <v>9514.2179489999999</v>
      </c>
      <c r="G59" s="6" t="s">
        <v>355</v>
      </c>
      <c r="H59" s="2" t="s">
        <v>355</v>
      </c>
      <c r="I59" t="b">
        <v>0</v>
      </c>
      <c r="J59" t="str">
        <f>+_xlfn.XLOOKUP(PRODUCTOS[[#This Row],[CODIGO]],P_CRITICOS[CODIGO],P_CRITICOS[DESC CORTA],"",0)</f>
        <v/>
      </c>
      <c r="K59" t="str">
        <f>+IFERROR(IF(VLOOKUP(PRODUCTOS[[#This Row],[CODIGO]],P_CRITICOS[],3,0)="*","PRODUCTO CRITICO","NO CRITICO"),"NO CRITICO")</f>
        <v>NO CRITICO</v>
      </c>
      <c r="L59" s="15" t="str">
        <f>+_xlfn.XLOOKUP(PRODUCTOS[[#This Row],[CODIGO]],BD_MODULO[Artículo],BD_MODULO[CUB_ACTUALIZADA],"",0)</f>
        <v/>
      </c>
      <c r="M59" s="2" t="str">
        <f>+IFERROR(PRODUCTOS[[#This Row],[PPTO]]*PRODUCTOS[[#This Row],[CANT X MODULO]],"")</f>
        <v/>
      </c>
      <c r="N59" s="2" t="str">
        <f>+IFERROR(PRODUCTOS[[#This Row],[PPTO X MODULO]]*32,"")</f>
        <v/>
      </c>
      <c r="O59" s="2" t="str">
        <f>+IFERROR(PRODUCTOS[[#This Row],[PPTO X TORRE]]*22,"")</f>
        <v/>
      </c>
      <c r="P59" s="3" t="str">
        <f>+IFERROR(PRODUCTOS[[#This Row],[CANT X MODULO]]*702,"")</f>
        <v/>
      </c>
      <c r="Q59" s="3">
        <f>+SUMIFS(DETALLE_GD_1[CANTIDAD SOLICITADA],DETALLE_GD_1[CODIGO],PRODUCTOS[[#This Row],[CODIGO]])</f>
        <v>7</v>
      </c>
      <c r="R59" s="3">
        <f>+SUMIFS(DETALLE_GD_1[DEVOLUCIÓN],DETALLE_GD_1[CODIGO],PRODUCTOS[[#This Row],[CODIGO]])</f>
        <v>0</v>
      </c>
      <c r="S59" s="3">
        <f>+PRODUCTOS[[#This Row],[CANT. COMPRADA]]-PRODUCTOS[[#This Row],[DEVOLUCIONES]]</f>
        <v>7</v>
      </c>
      <c r="T59" s="3" t="str">
        <f>+IFERROR(PRODUCTOS[[#This Row],[CANTIDAD RECIBIDA]]/PRODUCTOS[[#This Row],[CANT X MODULO]],"")</f>
        <v/>
      </c>
      <c r="U59" s="3">
        <f>+SUMIFS(DETALLE_GD_1[VALOR TOTAL POR ITEM GD],DETALLE_GD_1[CODIGO],PRODUCTOS[[#This Row],[CODIGO]])</f>
        <v>66599</v>
      </c>
      <c r="V59" s="3">
        <f>+IFERROR(PRODUCTOS[[#This Row],[PRECIO DE COMPRA]]/PRODUCTOS[[#This Row],[CANT. COMPRADA]],"")</f>
        <v>9514.1428571428569</v>
      </c>
      <c r="W59" s="3" t="str">
        <f>+IFERROR(PRODUCTOS[[#This Row],[PRECIO COMPRA UNITARIO]]*PRODUCTOS[[#This Row],[PPTO FALTANTE]],"")</f>
        <v/>
      </c>
      <c r="X59" s="7" t="str">
        <f>+IFERROR(PRODUCTOS[[#This Row],[PROYECCION COMPRA]]/PRODUCTOS[[#This Row],[PPTO TOTAL]]-1,"")</f>
        <v/>
      </c>
      <c r="Y59" s="3" t="str">
        <f>+IFERROR((PRODUCTOS[[#This Row],[CANT X MODULO]]*704)-PRODUCTOS[[#This Row],[CANT. COMPRADA]],"")</f>
        <v/>
      </c>
      <c r="Z59" s="17" t="str">
        <f>+IFERROR(PRODUCTOS[[#This Row],[CANT. COMPRADA]]/PRODUCTOS[[#This Row],[PPTO FALTANTE]],"")</f>
        <v/>
      </c>
      <c r="AA59" s="3" t="str">
        <f>+IFERROR(PRODUCTOS[[#This Row],[PROYECCION COMPRA]]-(PRODUCTOS[[#This Row],[PPTO FALTANTE]]*PRODUCTOS[[#This Row],[PPTO]]),"")</f>
        <v/>
      </c>
      <c r="AB59" s="3">
        <f>+_xlfn.XLOOKUP(PRODUCTOS[[#This Row],[CODIGO]],DETALLE_GD_1[CODIGO],DETALLE_GD_1[VALOR PPTO],"",0)</f>
        <v>9514.2178999999996</v>
      </c>
      <c r="AC59" s="3" t="e">
        <f>+AB59-PRODUCTOS[[#This Row],[PPTO_ACTUALIZADO]]</f>
        <v>#VALUE!</v>
      </c>
    </row>
    <row r="60" spans="1:29" hidden="1" x14ac:dyDescent="0.25">
      <c r="A60">
        <v>1802659</v>
      </c>
      <c r="B60" t="s">
        <v>161</v>
      </c>
      <c r="C60">
        <v>0</v>
      </c>
      <c r="D60" t="s">
        <v>355</v>
      </c>
      <c r="E60" t="s">
        <v>355</v>
      </c>
      <c r="F60" s="2">
        <v>2929.463158</v>
      </c>
      <c r="G60" s="6" t="s">
        <v>355</v>
      </c>
      <c r="H60" s="2" t="s">
        <v>355</v>
      </c>
      <c r="I60" t="b">
        <v>0</v>
      </c>
      <c r="J60" t="str">
        <f>+_xlfn.XLOOKUP(PRODUCTOS[[#This Row],[CODIGO]],P_CRITICOS[CODIGO],P_CRITICOS[DESC CORTA],"",0)</f>
        <v/>
      </c>
      <c r="K60" t="str">
        <f>+IFERROR(IF(VLOOKUP(PRODUCTOS[[#This Row],[CODIGO]],P_CRITICOS[],3,0)="*","PRODUCTO CRITICO","NO CRITICO"),"NO CRITICO")</f>
        <v>NO CRITICO</v>
      </c>
      <c r="L60" s="15" t="str">
        <f>+_xlfn.XLOOKUP(PRODUCTOS[[#This Row],[CODIGO]],BD_MODULO[Artículo],BD_MODULO[CUB_ACTUALIZADA],"",0)</f>
        <v/>
      </c>
      <c r="M60" s="2" t="str">
        <f>+IFERROR(PRODUCTOS[[#This Row],[PPTO]]*PRODUCTOS[[#This Row],[CANT X MODULO]],"")</f>
        <v/>
      </c>
      <c r="N60" s="2" t="str">
        <f>+IFERROR(PRODUCTOS[[#This Row],[PPTO X MODULO]]*32,"")</f>
        <v/>
      </c>
      <c r="O60" s="2" t="str">
        <f>+IFERROR(PRODUCTOS[[#This Row],[PPTO X TORRE]]*22,"")</f>
        <v/>
      </c>
      <c r="P60" s="3" t="str">
        <f>+IFERROR(PRODUCTOS[[#This Row],[CANT X MODULO]]*702,"")</f>
        <v/>
      </c>
      <c r="Q60" s="3">
        <f>+SUMIFS(DETALLE_GD_1[CANTIDAD SOLICITADA],DETALLE_GD_1[CODIGO],PRODUCTOS[[#This Row],[CODIGO]])</f>
        <v>65</v>
      </c>
      <c r="R60" s="3">
        <f>+SUMIFS(DETALLE_GD_1[DEVOLUCIÓN],DETALLE_GD_1[CODIGO],PRODUCTOS[[#This Row],[CODIGO]])</f>
        <v>0</v>
      </c>
      <c r="S60" s="3">
        <f>+PRODUCTOS[[#This Row],[CANT. COMPRADA]]-PRODUCTOS[[#This Row],[DEVOLUCIONES]]</f>
        <v>65</v>
      </c>
      <c r="T60" s="3" t="str">
        <f>+IFERROR(PRODUCTOS[[#This Row],[CANTIDAD RECIBIDA]]/PRODUCTOS[[#This Row],[CANT X MODULO]],"")</f>
        <v/>
      </c>
      <c r="U60" s="3">
        <f>+SUMIFS(DETALLE_GD_1[VALOR TOTAL POR ITEM GD],DETALLE_GD_1[CODIGO],PRODUCTOS[[#This Row],[CODIGO]])</f>
        <v>159515</v>
      </c>
      <c r="V60" s="3">
        <f>+IFERROR(PRODUCTOS[[#This Row],[PRECIO DE COMPRA]]/PRODUCTOS[[#This Row],[CANT. COMPRADA]],"")</f>
        <v>2454.0769230769229</v>
      </c>
      <c r="W60" s="3" t="str">
        <f>+IFERROR(PRODUCTOS[[#This Row],[PRECIO COMPRA UNITARIO]]*PRODUCTOS[[#This Row],[PPTO FALTANTE]],"")</f>
        <v/>
      </c>
      <c r="X60" s="7" t="str">
        <f>+IFERROR(PRODUCTOS[[#This Row],[PROYECCION COMPRA]]/PRODUCTOS[[#This Row],[PPTO TOTAL]]-1,"")</f>
        <v/>
      </c>
      <c r="Y60" s="3" t="str">
        <f>+IFERROR((PRODUCTOS[[#This Row],[CANT X MODULO]]*704)-PRODUCTOS[[#This Row],[CANT. COMPRADA]],"")</f>
        <v/>
      </c>
      <c r="Z60" s="17" t="str">
        <f>+IFERROR(PRODUCTOS[[#This Row],[CANT. COMPRADA]]/PRODUCTOS[[#This Row],[PPTO FALTANTE]],"")</f>
        <v/>
      </c>
      <c r="AA60" s="3" t="str">
        <f>+IFERROR(PRODUCTOS[[#This Row],[PROYECCION COMPRA]]-(PRODUCTOS[[#This Row],[PPTO FALTANTE]]*PRODUCTOS[[#This Row],[PPTO]]),"")</f>
        <v/>
      </c>
      <c r="AB60" s="3">
        <f>+_xlfn.XLOOKUP(PRODUCTOS[[#This Row],[CODIGO]],DETALLE_GD_1[CODIGO],DETALLE_GD_1[VALOR PPTO],"",0)</f>
        <v>2929.4632000000001</v>
      </c>
      <c r="AC60" s="3" t="e">
        <f>+AB60-PRODUCTOS[[#This Row],[PPTO_ACTUALIZADO]]</f>
        <v>#VALUE!</v>
      </c>
    </row>
    <row r="61" spans="1:29" hidden="1" x14ac:dyDescent="0.25">
      <c r="A61">
        <v>1802515</v>
      </c>
      <c r="B61" t="s">
        <v>162</v>
      </c>
      <c r="C61">
        <v>0</v>
      </c>
      <c r="D61" t="s">
        <v>355</v>
      </c>
      <c r="E61" t="s">
        <v>355</v>
      </c>
      <c r="F61" s="2">
        <v>2827.2510459999999</v>
      </c>
      <c r="G61" s="6" t="s">
        <v>355</v>
      </c>
      <c r="H61" s="2" t="s">
        <v>355</v>
      </c>
      <c r="I61" t="b">
        <v>0</v>
      </c>
      <c r="J61" t="str">
        <f>+_xlfn.XLOOKUP(PRODUCTOS[[#This Row],[CODIGO]],P_CRITICOS[CODIGO],P_CRITICOS[DESC CORTA],"",0)</f>
        <v/>
      </c>
      <c r="K61" t="str">
        <f>+IFERROR(IF(VLOOKUP(PRODUCTOS[[#This Row],[CODIGO]],P_CRITICOS[],3,0)="*","PRODUCTO CRITICO","NO CRITICO"),"NO CRITICO")</f>
        <v>NO CRITICO</v>
      </c>
      <c r="L61" s="15" t="str">
        <f>+_xlfn.XLOOKUP(PRODUCTOS[[#This Row],[CODIGO]],BD_MODULO[Artículo],BD_MODULO[CUB_ACTUALIZADA],"",0)</f>
        <v/>
      </c>
      <c r="M61" s="2" t="str">
        <f>+IFERROR(PRODUCTOS[[#This Row],[PPTO]]*PRODUCTOS[[#This Row],[CANT X MODULO]],"")</f>
        <v/>
      </c>
      <c r="N61" s="2" t="str">
        <f>+IFERROR(PRODUCTOS[[#This Row],[PPTO X MODULO]]*32,"")</f>
        <v/>
      </c>
      <c r="O61" s="2" t="str">
        <f>+IFERROR(PRODUCTOS[[#This Row],[PPTO X TORRE]]*22,"")</f>
        <v/>
      </c>
      <c r="P61" s="3" t="str">
        <f>+IFERROR(PRODUCTOS[[#This Row],[CANT X MODULO]]*702,"")</f>
        <v/>
      </c>
      <c r="Q61" s="3">
        <f>+SUMIFS(DETALLE_GD_1[CANTIDAD SOLICITADA],DETALLE_GD_1[CODIGO],PRODUCTOS[[#This Row],[CODIGO]])</f>
        <v>1</v>
      </c>
      <c r="R61" s="3">
        <f>+SUMIFS(DETALLE_GD_1[DEVOLUCIÓN],DETALLE_GD_1[CODIGO],PRODUCTOS[[#This Row],[CODIGO]])</f>
        <v>0</v>
      </c>
      <c r="S61" s="3">
        <f>+PRODUCTOS[[#This Row],[CANT. COMPRADA]]-PRODUCTOS[[#This Row],[DEVOLUCIONES]]</f>
        <v>1</v>
      </c>
      <c r="T61" s="3" t="str">
        <f>+IFERROR(PRODUCTOS[[#This Row],[CANTIDAD RECIBIDA]]/PRODUCTOS[[#This Row],[CANT X MODULO]],"")</f>
        <v/>
      </c>
      <c r="U61" s="3">
        <f>+SUMIFS(DETALLE_GD_1[VALOR TOTAL POR ITEM GD],DETALLE_GD_1[CODIGO],PRODUCTOS[[#This Row],[CODIGO]])</f>
        <v>2827</v>
      </c>
      <c r="V61" s="3">
        <f>+IFERROR(PRODUCTOS[[#This Row],[PRECIO DE COMPRA]]/PRODUCTOS[[#This Row],[CANT. COMPRADA]],"")</f>
        <v>2827</v>
      </c>
      <c r="W61" s="3" t="str">
        <f>+IFERROR(PRODUCTOS[[#This Row],[PRECIO COMPRA UNITARIO]]*PRODUCTOS[[#This Row],[PPTO FALTANTE]],"")</f>
        <v/>
      </c>
      <c r="X61" s="7" t="str">
        <f>+IFERROR(PRODUCTOS[[#This Row],[PROYECCION COMPRA]]/PRODUCTOS[[#This Row],[PPTO TOTAL]]-1,"")</f>
        <v/>
      </c>
      <c r="Y61" s="3" t="str">
        <f>+IFERROR((PRODUCTOS[[#This Row],[CANT X MODULO]]*704)-PRODUCTOS[[#This Row],[CANT. COMPRADA]],"")</f>
        <v/>
      </c>
      <c r="Z61" s="17" t="str">
        <f>+IFERROR(PRODUCTOS[[#This Row],[CANT. COMPRADA]]/PRODUCTOS[[#This Row],[PPTO FALTANTE]],"")</f>
        <v/>
      </c>
      <c r="AA61" s="3" t="str">
        <f>+IFERROR(PRODUCTOS[[#This Row],[PROYECCION COMPRA]]-(PRODUCTOS[[#This Row],[PPTO FALTANTE]]*PRODUCTOS[[#This Row],[PPTO]]),"")</f>
        <v/>
      </c>
      <c r="AB61" s="3">
        <f>+_xlfn.XLOOKUP(PRODUCTOS[[#This Row],[CODIGO]],DETALLE_GD_1[CODIGO],DETALLE_GD_1[VALOR PPTO],"",0)</f>
        <v>2827.2510000000002</v>
      </c>
      <c r="AC61" s="3" t="e">
        <f>+AB61-PRODUCTOS[[#This Row],[PPTO_ACTUALIZADO]]</f>
        <v>#VALUE!</v>
      </c>
    </row>
    <row r="62" spans="1:29" hidden="1" x14ac:dyDescent="0.25">
      <c r="A62">
        <v>407307</v>
      </c>
      <c r="B62" t="s">
        <v>163</v>
      </c>
      <c r="C62">
        <v>0</v>
      </c>
      <c r="D62" t="s">
        <v>240</v>
      </c>
      <c r="E62" t="s">
        <v>399</v>
      </c>
      <c r="F62" s="2">
        <v>69.472774999999999</v>
      </c>
      <c r="G62" s="6" t="s">
        <v>31</v>
      </c>
      <c r="H62" s="2" t="s">
        <v>355</v>
      </c>
      <c r="I62" t="b">
        <v>0</v>
      </c>
      <c r="J62" t="str">
        <f>+_xlfn.XLOOKUP(PRODUCTOS[[#This Row],[CODIGO]],P_CRITICOS[CODIGO],P_CRITICOS[DESC CORTA],"",0)</f>
        <v/>
      </c>
      <c r="K62" t="str">
        <f>+IFERROR(IF(VLOOKUP(PRODUCTOS[[#This Row],[CODIGO]],P_CRITICOS[],3,0)="*","PRODUCTO CRITICO","NO CRITICO"),"NO CRITICO")</f>
        <v>NO CRITICO</v>
      </c>
      <c r="L62" s="15" t="str">
        <f>+_xlfn.XLOOKUP(PRODUCTOS[[#This Row],[CODIGO]],BD_MODULO[Artículo],BD_MODULO[CUB_ACTUALIZADA],"",0)</f>
        <v/>
      </c>
      <c r="M62" s="2" t="str">
        <f>+IFERROR(PRODUCTOS[[#This Row],[PPTO]]*PRODUCTOS[[#This Row],[CANT X MODULO]],"")</f>
        <v/>
      </c>
      <c r="N62" s="2" t="str">
        <f>+IFERROR(PRODUCTOS[[#This Row],[PPTO X MODULO]]*32,"")</f>
        <v/>
      </c>
      <c r="O62" s="2" t="str">
        <f>+IFERROR(PRODUCTOS[[#This Row],[PPTO X TORRE]]*22,"")</f>
        <v/>
      </c>
      <c r="P62" s="3" t="str">
        <f>+IFERROR(PRODUCTOS[[#This Row],[CANT X MODULO]]*702,"")</f>
        <v/>
      </c>
      <c r="Q62" s="3">
        <f>+SUMIFS(DETALLE_GD_1[CANTIDAD SOLICITADA],DETALLE_GD_1[CODIGO],PRODUCTOS[[#This Row],[CODIGO]])</f>
        <v>2620</v>
      </c>
      <c r="R62" s="3">
        <f>+SUMIFS(DETALLE_GD_1[DEVOLUCIÓN],DETALLE_GD_1[CODIGO],PRODUCTOS[[#This Row],[CODIGO]])</f>
        <v>0</v>
      </c>
      <c r="S62" s="3">
        <f>+PRODUCTOS[[#This Row],[CANT. COMPRADA]]-PRODUCTOS[[#This Row],[DEVOLUCIONES]]</f>
        <v>2620</v>
      </c>
      <c r="T62" s="3" t="str">
        <f>+IFERROR(PRODUCTOS[[#This Row],[CANTIDAD RECIBIDA]]/PRODUCTOS[[#This Row],[CANT X MODULO]],"")</f>
        <v/>
      </c>
      <c r="U62" s="3">
        <f>+SUMIFS(DETALLE_GD_1[VALOR TOTAL POR ITEM GD],DETALLE_GD_1[CODIGO],PRODUCTOS[[#This Row],[CODIGO]])</f>
        <v>189527</v>
      </c>
      <c r="V62" s="3">
        <f>+IFERROR(PRODUCTOS[[#This Row],[PRECIO DE COMPRA]]/PRODUCTOS[[#This Row],[CANT. COMPRADA]],"")</f>
        <v>72.338549618320613</v>
      </c>
      <c r="W62" s="3" t="str">
        <f>+IFERROR(PRODUCTOS[[#This Row],[PRECIO COMPRA UNITARIO]]*PRODUCTOS[[#This Row],[PPTO FALTANTE]],"")</f>
        <v/>
      </c>
      <c r="X62" s="7" t="str">
        <f>+IFERROR(PRODUCTOS[[#This Row],[PROYECCION COMPRA]]/PRODUCTOS[[#This Row],[PPTO TOTAL]]-1,"")</f>
        <v/>
      </c>
      <c r="Y62" s="3" t="str">
        <f>+IFERROR((PRODUCTOS[[#This Row],[CANT X MODULO]]*704)-PRODUCTOS[[#This Row],[CANT. COMPRADA]],"")</f>
        <v/>
      </c>
      <c r="Z62" s="17" t="str">
        <f>+IFERROR(PRODUCTOS[[#This Row],[CANT. COMPRADA]]/PRODUCTOS[[#This Row],[PPTO FALTANTE]],"")</f>
        <v/>
      </c>
      <c r="AA62" s="3" t="str">
        <f>+IFERROR(PRODUCTOS[[#This Row],[PROYECCION COMPRA]]-(PRODUCTOS[[#This Row],[PPTO FALTANTE]]*PRODUCTOS[[#This Row],[PPTO]]),"")</f>
        <v/>
      </c>
      <c r="AB62" s="3">
        <f>+_xlfn.XLOOKUP(PRODUCTOS[[#This Row],[CODIGO]],DETALLE_GD_1[CODIGO],DETALLE_GD_1[VALOR PPTO],"",0)</f>
        <v>69.472800000000007</v>
      </c>
      <c r="AC62" s="3" t="e">
        <f>+AB62-PRODUCTOS[[#This Row],[PPTO_ACTUALIZADO]]</f>
        <v>#VALUE!</v>
      </c>
    </row>
    <row r="63" spans="1:29" hidden="1" x14ac:dyDescent="0.25">
      <c r="A63">
        <v>407010</v>
      </c>
      <c r="B63" t="s">
        <v>164</v>
      </c>
      <c r="C63">
        <v>0</v>
      </c>
      <c r="D63" t="s">
        <v>355</v>
      </c>
      <c r="E63" t="s">
        <v>355</v>
      </c>
      <c r="F63" s="2">
        <v>11.50126</v>
      </c>
      <c r="G63" s="6" t="s">
        <v>355</v>
      </c>
      <c r="H63" s="2" t="s">
        <v>355</v>
      </c>
      <c r="I63" t="b">
        <v>0</v>
      </c>
      <c r="J63" t="str">
        <f>+_xlfn.XLOOKUP(PRODUCTOS[[#This Row],[CODIGO]],P_CRITICOS[CODIGO],P_CRITICOS[DESC CORTA],"",0)</f>
        <v/>
      </c>
      <c r="K63" t="str">
        <f>+IFERROR(IF(VLOOKUP(PRODUCTOS[[#This Row],[CODIGO]],P_CRITICOS[],3,0)="*","PRODUCTO CRITICO","NO CRITICO"),"NO CRITICO")</f>
        <v>NO CRITICO</v>
      </c>
      <c r="L63" s="15" t="str">
        <f>+_xlfn.XLOOKUP(PRODUCTOS[[#This Row],[CODIGO]],BD_MODULO[Artículo],BD_MODULO[CUB_ACTUALIZADA],"",0)</f>
        <v/>
      </c>
      <c r="M63" s="2" t="str">
        <f>+IFERROR(PRODUCTOS[[#This Row],[PPTO]]*PRODUCTOS[[#This Row],[CANT X MODULO]],"")</f>
        <v/>
      </c>
      <c r="N63" s="2" t="str">
        <f>+IFERROR(PRODUCTOS[[#This Row],[PPTO X MODULO]]*32,"")</f>
        <v/>
      </c>
      <c r="O63" s="2" t="str">
        <f>+IFERROR(PRODUCTOS[[#This Row],[PPTO X TORRE]]*22,"")</f>
        <v/>
      </c>
      <c r="P63" s="3" t="str">
        <f>+IFERROR(PRODUCTOS[[#This Row],[CANT X MODULO]]*702,"")</f>
        <v/>
      </c>
      <c r="Q63" s="3">
        <f>+SUMIFS(DETALLE_GD_1[CANTIDAD SOLICITADA],DETALLE_GD_1[CODIGO],PRODUCTOS[[#This Row],[CODIGO]])</f>
        <v>1282</v>
      </c>
      <c r="R63" s="3">
        <f>+SUMIFS(DETALLE_GD_1[DEVOLUCIÓN],DETALLE_GD_1[CODIGO],PRODUCTOS[[#This Row],[CODIGO]])</f>
        <v>0</v>
      </c>
      <c r="S63" s="3">
        <f>+PRODUCTOS[[#This Row],[CANT. COMPRADA]]-PRODUCTOS[[#This Row],[DEVOLUCIONES]]</f>
        <v>1282</v>
      </c>
      <c r="T63" s="3" t="str">
        <f>+IFERROR(PRODUCTOS[[#This Row],[CANTIDAD RECIBIDA]]/PRODUCTOS[[#This Row],[CANT X MODULO]],"")</f>
        <v/>
      </c>
      <c r="U63" s="3">
        <f>+SUMIFS(DETALLE_GD_1[VALOR TOTAL POR ITEM GD],DETALLE_GD_1[CODIGO],PRODUCTOS[[#This Row],[CODIGO]])</f>
        <v>15257</v>
      </c>
      <c r="V63" s="3">
        <f>+IFERROR(PRODUCTOS[[#This Row],[PRECIO DE COMPRA]]/PRODUCTOS[[#This Row],[CANT. COMPRADA]],"")</f>
        <v>11.900936037441499</v>
      </c>
      <c r="W63" s="3" t="str">
        <f>+IFERROR(PRODUCTOS[[#This Row],[PRECIO COMPRA UNITARIO]]*PRODUCTOS[[#This Row],[PPTO FALTANTE]],"")</f>
        <v/>
      </c>
      <c r="X63" s="7" t="str">
        <f>+IFERROR(PRODUCTOS[[#This Row],[PROYECCION COMPRA]]/PRODUCTOS[[#This Row],[PPTO TOTAL]]-1,"")</f>
        <v/>
      </c>
      <c r="Y63" s="3" t="str">
        <f>+IFERROR((PRODUCTOS[[#This Row],[CANT X MODULO]]*704)-PRODUCTOS[[#This Row],[CANT. COMPRADA]],"")</f>
        <v/>
      </c>
      <c r="Z63" s="17" t="str">
        <f>+IFERROR(PRODUCTOS[[#This Row],[CANT. COMPRADA]]/PRODUCTOS[[#This Row],[PPTO FALTANTE]],"")</f>
        <v/>
      </c>
      <c r="AA63" s="3" t="str">
        <f>+IFERROR(PRODUCTOS[[#This Row],[PROYECCION COMPRA]]-(PRODUCTOS[[#This Row],[PPTO FALTANTE]]*PRODUCTOS[[#This Row],[PPTO]]),"")</f>
        <v/>
      </c>
      <c r="AB63" s="3">
        <f>+_xlfn.XLOOKUP(PRODUCTOS[[#This Row],[CODIGO]],DETALLE_GD_1[CODIGO],DETALLE_GD_1[VALOR PPTO],"",0)</f>
        <v>11.501300000000001</v>
      </c>
      <c r="AC63" s="3" t="e">
        <f>+AB63-PRODUCTOS[[#This Row],[PPTO_ACTUALIZADO]]</f>
        <v>#VALUE!</v>
      </c>
    </row>
    <row r="64" spans="1:29" hidden="1" x14ac:dyDescent="0.25">
      <c r="A64">
        <v>404252</v>
      </c>
      <c r="B64" t="s">
        <v>181</v>
      </c>
      <c r="C64">
        <v>0</v>
      </c>
      <c r="D64" t="s">
        <v>355</v>
      </c>
      <c r="E64" t="s">
        <v>355</v>
      </c>
      <c r="F64" s="2">
        <v>1110.043876</v>
      </c>
      <c r="G64" s="6" t="s">
        <v>355</v>
      </c>
      <c r="H64" s="2" t="s">
        <v>355</v>
      </c>
      <c r="I64" t="b">
        <v>0</v>
      </c>
      <c r="J64" t="str">
        <f>+_xlfn.XLOOKUP(PRODUCTOS[[#This Row],[CODIGO]],P_CRITICOS[CODIGO],P_CRITICOS[DESC CORTA],"",0)</f>
        <v/>
      </c>
      <c r="K64" t="str">
        <f>+IFERROR(IF(VLOOKUP(PRODUCTOS[[#This Row],[CODIGO]],P_CRITICOS[],3,0)="*","PRODUCTO CRITICO","NO CRITICO"),"NO CRITICO")</f>
        <v>NO CRITICO</v>
      </c>
      <c r="L64" s="15" t="str">
        <f>+_xlfn.XLOOKUP(PRODUCTOS[[#This Row],[CODIGO]],BD_MODULO[Artículo],BD_MODULO[CUB_ACTUALIZADA],"",0)</f>
        <v/>
      </c>
      <c r="M64" s="2" t="str">
        <f>+IFERROR(PRODUCTOS[[#This Row],[PPTO]]*PRODUCTOS[[#This Row],[CANT X MODULO]],"")</f>
        <v/>
      </c>
      <c r="N64" s="2" t="str">
        <f>+IFERROR(PRODUCTOS[[#This Row],[PPTO X MODULO]]*32,"")</f>
        <v/>
      </c>
      <c r="O64" s="2" t="str">
        <f>+IFERROR(PRODUCTOS[[#This Row],[PPTO X TORRE]]*22,"")</f>
        <v/>
      </c>
      <c r="P64" s="3" t="str">
        <f>+IFERROR(PRODUCTOS[[#This Row],[CANT X MODULO]]*702,"")</f>
        <v/>
      </c>
      <c r="Q64" s="3">
        <f>+SUMIFS(DETALLE_GD_1[CANTIDAD SOLICITADA],DETALLE_GD_1[CODIGO],PRODUCTOS[[#This Row],[CODIGO]])</f>
        <v>247</v>
      </c>
      <c r="R64" s="3">
        <f>+SUMIFS(DETALLE_GD_1[DEVOLUCIÓN],DETALLE_GD_1[CODIGO],PRODUCTOS[[#This Row],[CODIGO]])</f>
        <v>0</v>
      </c>
      <c r="S64" s="3">
        <f>+PRODUCTOS[[#This Row],[CANT. COMPRADA]]-PRODUCTOS[[#This Row],[DEVOLUCIONES]]</f>
        <v>247</v>
      </c>
      <c r="T64" s="3" t="str">
        <f>+IFERROR(PRODUCTOS[[#This Row],[CANTIDAD RECIBIDA]]/PRODUCTOS[[#This Row],[CANT X MODULO]],"")</f>
        <v/>
      </c>
      <c r="U64" s="3">
        <f>+SUMIFS(DETALLE_GD_1[VALOR TOTAL POR ITEM GD],DETALLE_GD_1[CODIGO],PRODUCTOS[[#This Row],[CODIGO]])</f>
        <v>363526</v>
      </c>
      <c r="V64" s="3">
        <f>+IFERROR(PRODUCTOS[[#This Row],[PRECIO DE COMPRA]]/PRODUCTOS[[#This Row],[CANT. COMPRADA]],"")</f>
        <v>1471.7651821862348</v>
      </c>
      <c r="W64" s="3" t="str">
        <f>+IFERROR(PRODUCTOS[[#This Row],[PRECIO COMPRA UNITARIO]]*PRODUCTOS[[#This Row],[PPTO FALTANTE]],"")</f>
        <v/>
      </c>
      <c r="X64" s="7" t="str">
        <f>+IFERROR(PRODUCTOS[[#This Row],[PROYECCION COMPRA]]/PRODUCTOS[[#This Row],[PPTO TOTAL]]-1,"")</f>
        <v/>
      </c>
      <c r="Y64" s="3" t="str">
        <f>+IFERROR((PRODUCTOS[[#This Row],[CANT X MODULO]]*704)-PRODUCTOS[[#This Row],[CANT. COMPRADA]],"")</f>
        <v/>
      </c>
      <c r="Z64" s="17" t="str">
        <f>+IFERROR(PRODUCTOS[[#This Row],[CANT. COMPRADA]]/PRODUCTOS[[#This Row],[PPTO FALTANTE]],"")</f>
        <v/>
      </c>
      <c r="AA64" s="3" t="str">
        <f>+IFERROR(PRODUCTOS[[#This Row],[PROYECCION COMPRA]]-(PRODUCTOS[[#This Row],[PPTO FALTANTE]]*PRODUCTOS[[#This Row],[PPTO]]),"")</f>
        <v/>
      </c>
      <c r="AB64" s="3">
        <f>+_xlfn.XLOOKUP(PRODUCTOS[[#This Row],[CODIGO]],DETALLE_GD_1[CODIGO],DETALLE_GD_1[VALOR PPTO],"",0)</f>
        <v>1110.0438999999999</v>
      </c>
      <c r="AC64" s="3" t="e">
        <f>+AB64-PRODUCTOS[[#This Row],[PPTO_ACTUALIZADO]]</f>
        <v>#VALUE!</v>
      </c>
    </row>
    <row r="65" spans="1:29" hidden="1" x14ac:dyDescent="0.25">
      <c r="A65">
        <v>617055</v>
      </c>
      <c r="B65" t="s">
        <v>182</v>
      </c>
      <c r="C65">
        <v>0</v>
      </c>
      <c r="D65">
        <v>0</v>
      </c>
      <c r="E65">
        <v>0</v>
      </c>
      <c r="F65" s="2">
        <v>920.35378100000003</v>
      </c>
      <c r="G65" s="6" t="s">
        <v>31</v>
      </c>
      <c r="H65" s="2" t="s">
        <v>355</v>
      </c>
      <c r="I65" t="b">
        <v>0</v>
      </c>
      <c r="J65" t="str">
        <f>+_xlfn.XLOOKUP(PRODUCTOS[[#This Row],[CODIGO]],P_CRITICOS[CODIGO],P_CRITICOS[DESC CORTA],"",0)</f>
        <v/>
      </c>
      <c r="K65" t="str">
        <f>+IFERROR(IF(VLOOKUP(PRODUCTOS[[#This Row],[CODIGO]],P_CRITICOS[],3,0)="*","PRODUCTO CRITICO","NO CRITICO"),"NO CRITICO")</f>
        <v>NO CRITICO</v>
      </c>
      <c r="L65" s="15" t="str">
        <f>+_xlfn.XLOOKUP(PRODUCTOS[[#This Row],[CODIGO]],BD_MODULO[Artículo],BD_MODULO[CUB_ACTUALIZADA],"",0)</f>
        <v/>
      </c>
      <c r="M65" s="2" t="str">
        <f>+IFERROR(PRODUCTOS[[#This Row],[PPTO]]*PRODUCTOS[[#This Row],[CANT X MODULO]],"")</f>
        <v/>
      </c>
      <c r="N65" s="2" t="str">
        <f>+IFERROR(PRODUCTOS[[#This Row],[PPTO X MODULO]]*32,"")</f>
        <v/>
      </c>
      <c r="O65" s="2" t="str">
        <f>+IFERROR(PRODUCTOS[[#This Row],[PPTO X TORRE]]*22,"")</f>
        <v/>
      </c>
      <c r="P65" s="3" t="str">
        <f>+IFERROR(PRODUCTOS[[#This Row],[CANT X MODULO]]*702,"")</f>
        <v/>
      </c>
      <c r="Q65" s="3">
        <f>+SUMIFS(DETALLE_GD_1[CANTIDAD SOLICITADA],DETALLE_GD_1[CODIGO],PRODUCTOS[[#This Row],[CODIGO]])</f>
        <v>127</v>
      </c>
      <c r="R65" s="3">
        <f>+SUMIFS(DETALLE_GD_1[DEVOLUCIÓN],DETALLE_GD_1[CODIGO],PRODUCTOS[[#This Row],[CODIGO]])</f>
        <v>0</v>
      </c>
      <c r="S65" s="3">
        <f>+PRODUCTOS[[#This Row],[CANT. COMPRADA]]-PRODUCTOS[[#This Row],[DEVOLUCIONES]]</f>
        <v>127</v>
      </c>
      <c r="T65" s="3" t="str">
        <f>+IFERROR(PRODUCTOS[[#This Row],[CANTIDAD RECIBIDA]]/PRODUCTOS[[#This Row],[CANT X MODULO]],"")</f>
        <v/>
      </c>
      <c r="U65" s="3">
        <f>+SUMIFS(DETALLE_GD_1[VALOR TOTAL POR ITEM GD],DETALLE_GD_1[CODIGO],PRODUCTOS[[#This Row],[CODIGO]])</f>
        <v>98462</v>
      </c>
      <c r="V65" s="3">
        <f>+IFERROR(PRODUCTOS[[#This Row],[PRECIO DE COMPRA]]/PRODUCTOS[[#This Row],[CANT. COMPRADA]],"")</f>
        <v>775.29133858267721</v>
      </c>
      <c r="W65" s="3" t="str">
        <f>+IFERROR(PRODUCTOS[[#This Row],[PRECIO COMPRA UNITARIO]]*PRODUCTOS[[#This Row],[PPTO FALTANTE]],"")</f>
        <v/>
      </c>
      <c r="X65" s="7" t="str">
        <f>+IFERROR(PRODUCTOS[[#This Row],[PROYECCION COMPRA]]/PRODUCTOS[[#This Row],[PPTO TOTAL]]-1,"")</f>
        <v/>
      </c>
      <c r="Y65" s="3" t="str">
        <f>+IFERROR((PRODUCTOS[[#This Row],[CANT X MODULO]]*704)-PRODUCTOS[[#This Row],[CANT. COMPRADA]],"")</f>
        <v/>
      </c>
      <c r="Z65" s="17" t="str">
        <f>+IFERROR(PRODUCTOS[[#This Row],[CANT. COMPRADA]]/PRODUCTOS[[#This Row],[PPTO FALTANTE]],"")</f>
        <v/>
      </c>
      <c r="AA65" s="3" t="str">
        <f>+IFERROR(PRODUCTOS[[#This Row],[PROYECCION COMPRA]]-(PRODUCTOS[[#This Row],[PPTO FALTANTE]]*PRODUCTOS[[#This Row],[PPTO]]),"")</f>
        <v/>
      </c>
      <c r="AB65" s="3">
        <f>+_xlfn.XLOOKUP(PRODUCTOS[[#This Row],[CODIGO]],DETALLE_GD_1[CODIGO],DETALLE_GD_1[VALOR PPTO],"",0)</f>
        <v>920.35379999999998</v>
      </c>
      <c r="AC65" s="3" t="e">
        <f>+AB65-PRODUCTOS[[#This Row],[PPTO_ACTUALIZADO]]</f>
        <v>#VALUE!</v>
      </c>
    </row>
    <row r="66" spans="1:29" hidden="1" x14ac:dyDescent="0.25">
      <c r="A66" t="s">
        <v>183</v>
      </c>
      <c r="B66" t="s">
        <v>184</v>
      </c>
      <c r="C66">
        <v>0</v>
      </c>
      <c r="D66">
        <v>0</v>
      </c>
      <c r="E66">
        <v>0</v>
      </c>
      <c r="F66" s="2">
        <v>6798.3407129999996</v>
      </c>
      <c r="G66" s="6" t="s">
        <v>355</v>
      </c>
      <c r="H66" s="2" t="s">
        <v>355</v>
      </c>
      <c r="I66" t="b">
        <v>0</v>
      </c>
      <c r="J66" t="str">
        <f>+_xlfn.XLOOKUP(PRODUCTOS[[#This Row],[CODIGO]],P_CRITICOS[CODIGO],P_CRITICOS[DESC CORTA],"",0)</f>
        <v/>
      </c>
      <c r="K66" t="str">
        <f>+IFERROR(IF(VLOOKUP(PRODUCTOS[[#This Row],[CODIGO]],P_CRITICOS[],3,0)="*","PRODUCTO CRITICO","NO CRITICO"),"NO CRITICO")</f>
        <v>NO CRITICO</v>
      </c>
      <c r="L66" s="15" t="str">
        <f>+_xlfn.XLOOKUP(PRODUCTOS[[#This Row],[CODIGO]],BD_MODULO[Artículo],BD_MODULO[CUB_ACTUALIZADA],"",0)</f>
        <v/>
      </c>
      <c r="M66" s="2" t="str">
        <f>+IFERROR(PRODUCTOS[[#This Row],[PPTO]]*PRODUCTOS[[#This Row],[CANT X MODULO]],"")</f>
        <v/>
      </c>
      <c r="N66" s="2" t="str">
        <f>+IFERROR(PRODUCTOS[[#This Row],[PPTO X MODULO]]*32,"")</f>
        <v/>
      </c>
      <c r="O66" s="2" t="str">
        <f>+IFERROR(PRODUCTOS[[#This Row],[PPTO X TORRE]]*22,"")</f>
        <v/>
      </c>
      <c r="P66" s="3" t="str">
        <f>+IFERROR(PRODUCTOS[[#This Row],[CANT X MODULO]]*702,"")</f>
        <v/>
      </c>
      <c r="Q66" s="3">
        <f>+SUMIFS(DETALLE_GD_1[CANTIDAD SOLICITADA],DETALLE_GD_1[CODIGO],PRODUCTOS[[#This Row],[CODIGO]])</f>
        <v>1</v>
      </c>
      <c r="R66" s="3">
        <f>+SUMIFS(DETALLE_GD_1[DEVOLUCIÓN],DETALLE_GD_1[CODIGO],PRODUCTOS[[#This Row],[CODIGO]])</f>
        <v>0</v>
      </c>
      <c r="S66" s="3">
        <f>+PRODUCTOS[[#This Row],[CANT. COMPRADA]]-PRODUCTOS[[#This Row],[DEVOLUCIONES]]</f>
        <v>1</v>
      </c>
      <c r="T66" s="3" t="str">
        <f>+IFERROR(PRODUCTOS[[#This Row],[CANTIDAD RECIBIDA]]/PRODUCTOS[[#This Row],[CANT X MODULO]],"")</f>
        <v/>
      </c>
      <c r="U66" s="3">
        <f>+SUMIFS(DETALLE_GD_1[VALOR TOTAL POR ITEM GD],DETALLE_GD_1[CODIGO],PRODUCTOS[[#This Row],[CODIGO]])</f>
        <v>6797</v>
      </c>
      <c r="V66" s="3">
        <f>+IFERROR(PRODUCTOS[[#This Row],[PRECIO DE COMPRA]]/PRODUCTOS[[#This Row],[CANT. COMPRADA]],"")</f>
        <v>6797</v>
      </c>
      <c r="W66" s="3" t="str">
        <f>+IFERROR(PRODUCTOS[[#This Row],[PRECIO COMPRA UNITARIO]]*PRODUCTOS[[#This Row],[PPTO FALTANTE]],"")</f>
        <v/>
      </c>
      <c r="X66" s="7" t="str">
        <f>+IFERROR(PRODUCTOS[[#This Row],[PROYECCION COMPRA]]/PRODUCTOS[[#This Row],[PPTO TOTAL]]-1,"")</f>
        <v/>
      </c>
      <c r="Y66" s="3" t="str">
        <f>+IFERROR((PRODUCTOS[[#This Row],[CANT X MODULO]]*704)-PRODUCTOS[[#This Row],[CANT. COMPRADA]],"")</f>
        <v/>
      </c>
      <c r="Z66" s="17" t="str">
        <f>+IFERROR(PRODUCTOS[[#This Row],[CANT. COMPRADA]]/PRODUCTOS[[#This Row],[PPTO FALTANTE]],"")</f>
        <v/>
      </c>
      <c r="AA66" s="3" t="str">
        <f>+IFERROR(PRODUCTOS[[#This Row],[PROYECCION COMPRA]]-(PRODUCTOS[[#This Row],[PPTO FALTANTE]]*PRODUCTOS[[#This Row],[PPTO]]),"")</f>
        <v/>
      </c>
      <c r="AB66" s="3">
        <f>+_xlfn.XLOOKUP(PRODUCTOS[[#This Row],[CODIGO]],DETALLE_GD_1[CODIGO],DETALLE_GD_1[VALOR PPTO],"",0)</f>
        <v>6798.3406999999997</v>
      </c>
      <c r="AC66" s="3" t="e">
        <f>+AB66-PRODUCTOS[[#This Row],[PPTO_ACTUALIZADO]]</f>
        <v>#VALUE!</v>
      </c>
    </row>
    <row r="67" spans="1:29" hidden="1" x14ac:dyDescent="0.25">
      <c r="A67">
        <v>704095</v>
      </c>
      <c r="B67" t="s">
        <v>187</v>
      </c>
      <c r="C67">
        <v>0</v>
      </c>
      <c r="D67" t="s">
        <v>355</v>
      </c>
      <c r="E67" t="s">
        <v>355</v>
      </c>
      <c r="F67" s="2">
        <v>250.00118800000001</v>
      </c>
      <c r="G67" s="6" t="s">
        <v>355</v>
      </c>
      <c r="H67" s="2" t="s">
        <v>355</v>
      </c>
      <c r="I67" t="b">
        <v>0</v>
      </c>
      <c r="J67" t="str">
        <f>+_xlfn.XLOOKUP(PRODUCTOS[[#This Row],[CODIGO]],P_CRITICOS[CODIGO],P_CRITICOS[DESC CORTA],"",0)</f>
        <v/>
      </c>
      <c r="K67" t="str">
        <f>+IFERROR(IF(VLOOKUP(PRODUCTOS[[#This Row],[CODIGO]],P_CRITICOS[],3,0)="*","PRODUCTO CRITICO","NO CRITICO"),"NO CRITICO")</f>
        <v>NO CRITICO</v>
      </c>
      <c r="L67" s="15" t="str">
        <f>+_xlfn.XLOOKUP(PRODUCTOS[[#This Row],[CODIGO]],BD_MODULO[Artículo],BD_MODULO[CUB_ACTUALIZADA],"",0)</f>
        <v/>
      </c>
      <c r="M67" s="2" t="str">
        <f>+IFERROR(PRODUCTOS[[#This Row],[PPTO]]*PRODUCTOS[[#This Row],[CANT X MODULO]],"")</f>
        <v/>
      </c>
      <c r="N67" s="2" t="str">
        <f>+IFERROR(PRODUCTOS[[#This Row],[PPTO X MODULO]]*32,"")</f>
        <v/>
      </c>
      <c r="O67" s="2" t="str">
        <f>+IFERROR(PRODUCTOS[[#This Row],[PPTO X TORRE]]*22,"")</f>
        <v/>
      </c>
      <c r="P67" s="3" t="str">
        <f>+IFERROR(PRODUCTOS[[#This Row],[CANT X MODULO]]*702,"")</f>
        <v/>
      </c>
      <c r="Q67" s="3">
        <f>+SUMIFS(DETALLE_GD_1[CANTIDAD SOLICITADA],DETALLE_GD_1[CODIGO],PRODUCTOS[[#This Row],[CODIGO]])</f>
        <v>60</v>
      </c>
      <c r="R67" s="3">
        <f>+SUMIFS(DETALLE_GD_1[DEVOLUCIÓN],DETALLE_GD_1[CODIGO],PRODUCTOS[[#This Row],[CODIGO]])</f>
        <v>0</v>
      </c>
      <c r="S67" s="3">
        <f>+PRODUCTOS[[#This Row],[CANT. COMPRADA]]-PRODUCTOS[[#This Row],[DEVOLUCIONES]]</f>
        <v>60</v>
      </c>
      <c r="T67" s="3" t="str">
        <f>+IFERROR(PRODUCTOS[[#This Row],[CANTIDAD RECIBIDA]]/PRODUCTOS[[#This Row],[CANT X MODULO]],"")</f>
        <v/>
      </c>
      <c r="U67" s="3">
        <f>+SUMIFS(DETALLE_GD_1[VALOR TOTAL POR ITEM GD],DETALLE_GD_1[CODIGO],PRODUCTOS[[#This Row],[CODIGO]])</f>
        <v>15000</v>
      </c>
      <c r="V67" s="3">
        <f>+IFERROR(PRODUCTOS[[#This Row],[PRECIO DE COMPRA]]/PRODUCTOS[[#This Row],[CANT. COMPRADA]],"")</f>
        <v>250</v>
      </c>
      <c r="W67" s="3" t="str">
        <f>+IFERROR(PRODUCTOS[[#This Row],[PRECIO COMPRA UNITARIO]]*PRODUCTOS[[#This Row],[PPTO FALTANTE]],"")</f>
        <v/>
      </c>
      <c r="X67" s="7" t="str">
        <f>+IFERROR(PRODUCTOS[[#This Row],[PROYECCION COMPRA]]/PRODUCTOS[[#This Row],[PPTO TOTAL]]-1,"")</f>
        <v/>
      </c>
      <c r="Y67" s="3" t="str">
        <f>+IFERROR((PRODUCTOS[[#This Row],[CANT X MODULO]]*704)-PRODUCTOS[[#This Row],[CANT. COMPRADA]],"")</f>
        <v/>
      </c>
      <c r="Z67" s="17" t="str">
        <f>+IFERROR(PRODUCTOS[[#This Row],[CANT. COMPRADA]]/PRODUCTOS[[#This Row],[PPTO FALTANTE]],"")</f>
        <v/>
      </c>
      <c r="AA67" s="3" t="str">
        <f>+IFERROR(PRODUCTOS[[#This Row],[PROYECCION COMPRA]]-(PRODUCTOS[[#This Row],[PPTO FALTANTE]]*PRODUCTOS[[#This Row],[PPTO]]),"")</f>
        <v/>
      </c>
      <c r="AB67" s="3">
        <f>+_xlfn.XLOOKUP(PRODUCTOS[[#This Row],[CODIGO]],DETALLE_GD_1[CODIGO],DETALLE_GD_1[VALOR PPTO],"",0)</f>
        <v>250.00120000000001</v>
      </c>
      <c r="AC67" s="3" t="e">
        <f>+AB67-PRODUCTOS[[#This Row],[PPTO_ACTUALIZADO]]</f>
        <v>#VALUE!</v>
      </c>
    </row>
    <row r="68" spans="1:29" hidden="1" x14ac:dyDescent="0.25">
      <c r="A68">
        <v>617007</v>
      </c>
      <c r="B68" t="s">
        <v>188</v>
      </c>
      <c r="C68">
        <v>0</v>
      </c>
      <c r="D68" t="s">
        <v>355</v>
      </c>
      <c r="E68" t="s">
        <v>355</v>
      </c>
      <c r="F68" s="2">
        <v>99.963820999999996</v>
      </c>
      <c r="G68" s="6" t="s">
        <v>355</v>
      </c>
      <c r="H68" s="2" t="s">
        <v>355</v>
      </c>
      <c r="I68" t="b">
        <v>0</v>
      </c>
      <c r="J68" t="str">
        <f>+_xlfn.XLOOKUP(PRODUCTOS[[#This Row],[CODIGO]],P_CRITICOS[CODIGO],P_CRITICOS[DESC CORTA],"",0)</f>
        <v/>
      </c>
      <c r="K68" t="str">
        <f>+IFERROR(IF(VLOOKUP(PRODUCTOS[[#This Row],[CODIGO]],P_CRITICOS[],3,0)="*","PRODUCTO CRITICO","NO CRITICO"),"NO CRITICO")</f>
        <v>NO CRITICO</v>
      </c>
      <c r="L68" s="15" t="str">
        <f>+_xlfn.XLOOKUP(PRODUCTOS[[#This Row],[CODIGO]],BD_MODULO[Artículo],BD_MODULO[CUB_ACTUALIZADA],"",0)</f>
        <v/>
      </c>
      <c r="M68" s="2" t="str">
        <f>+IFERROR(PRODUCTOS[[#This Row],[PPTO]]*PRODUCTOS[[#This Row],[CANT X MODULO]],"")</f>
        <v/>
      </c>
      <c r="N68" s="2" t="str">
        <f>+IFERROR(PRODUCTOS[[#This Row],[PPTO X MODULO]]*32,"")</f>
        <v/>
      </c>
      <c r="O68" s="2" t="str">
        <f>+IFERROR(PRODUCTOS[[#This Row],[PPTO X TORRE]]*22,"")</f>
        <v/>
      </c>
      <c r="P68" s="3" t="str">
        <f>+IFERROR(PRODUCTOS[[#This Row],[CANT X MODULO]]*702,"")</f>
        <v/>
      </c>
      <c r="Q68" s="3">
        <f>+SUMIFS(DETALLE_GD_1[CANTIDAD SOLICITADA],DETALLE_GD_1[CODIGO],PRODUCTOS[[#This Row],[CODIGO]])</f>
        <v>13</v>
      </c>
      <c r="R68" s="3">
        <f>+SUMIFS(DETALLE_GD_1[DEVOLUCIÓN],DETALLE_GD_1[CODIGO],PRODUCTOS[[#This Row],[CODIGO]])</f>
        <v>0</v>
      </c>
      <c r="S68" s="3">
        <f>+PRODUCTOS[[#This Row],[CANT. COMPRADA]]-PRODUCTOS[[#This Row],[DEVOLUCIONES]]</f>
        <v>13</v>
      </c>
      <c r="T68" s="3" t="str">
        <f>+IFERROR(PRODUCTOS[[#This Row],[CANTIDAD RECIBIDA]]/PRODUCTOS[[#This Row],[CANT X MODULO]],"")</f>
        <v/>
      </c>
      <c r="U68" s="3">
        <f>+SUMIFS(DETALLE_GD_1[VALOR TOTAL POR ITEM GD],DETALLE_GD_1[CODIGO],PRODUCTOS[[#This Row],[CODIGO]])</f>
        <v>1300</v>
      </c>
      <c r="V68" s="3">
        <f>+IFERROR(PRODUCTOS[[#This Row],[PRECIO DE COMPRA]]/PRODUCTOS[[#This Row],[CANT. COMPRADA]],"")</f>
        <v>100</v>
      </c>
      <c r="W68" s="3" t="str">
        <f>+IFERROR(PRODUCTOS[[#This Row],[PRECIO COMPRA UNITARIO]]*PRODUCTOS[[#This Row],[PPTO FALTANTE]],"")</f>
        <v/>
      </c>
      <c r="X68" s="7" t="str">
        <f>+IFERROR(PRODUCTOS[[#This Row],[PROYECCION COMPRA]]/PRODUCTOS[[#This Row],[PPTO TOTAL]]-1,"")</f>
        <v/>
      </c>
      <c r="Y68" s="3" t="str">
        <f>+IFERROR((PRODUCTOS[[#This Row],[CANT X MODULO]]*704)-PRODUCTOS[[#This Row],[CANT. COMPRADA]],"")</f>
        <v/>
      </c>
      <c r="Z68" s="17" t="str">
        <f>+IFERROR(PRODUCTOS[[#This Row],[CANT. COMPRADA]]/PRODUCTOS[[#This Row],[PPTO FALTANTE]],"")</f>
        <v/>
      </c>
      <c r="AA68" s="3" t="str">
        <f>+IFERROR(PRODUCTOS[[#This Row],[PROYECCION COMPRA]]-(PRODUCTOS[[#This Row],[PPTO FALTANTE]]*PRODUCTOS[[#This Row],[PPTO]]),"")</f>
        <v/>
      </c>
      <c r="AB68" s="3">
        <f>+_xlfn.XLOOKUP(PRODUCTOS[[#This Row],[CODIGO]],DETALLE_GD_1[CODIGO],DETALLE_GD_1[VALOR PPTO],"",0)</f>
        <v>99.963800000000006</v>
      </c>
      <c r="AC68" s="3" t="e">
        <f>+AB68-PRODUCTOS[[#This Row],[PPTO_ACTUALIZADO]]</f>
        <v>#VALUE!</v>
      </c>
    </row>
    <row r="69" spans="1:29" hidden="1" x14ac:dyDescent="0.25">
      <c r="A69">
        <v>1801233</v>
      </c>
      <c r="B69" t="s">
        <v>190</v>
      </c>
      <c r="C69">
        <v>0</v>
      </c>
      <c r="D69" t="s">
        <v>355</v>
      </c>
      <c r="E69" t="s">
        <v>355</v>
      </c>
      <c r="F69" s="2">
        <v>7404.4100719999997</v>
      </c>
      <c r="G69" s="6" t="s">
        <v>355</v>
      </c>
      <c r="H69" s="2" t="s">
        <v>355</v>
      </c>
      <c r="I69" t="b">
        <v>0</v>
      </c>
      <c r="J69" t="str">
        <f>+_xlfn.XLOOKUP(PRODUCTOS[[#This Row],[CODIGO]],P_CRITICOS[CODIGO],P_CRITICOS[DESC CORTA],"",0)</f>
        <v/>
      </c>
      <c r="K69" t="str">
        <f>+IFERROR(IF(VLOOKUP(PRODUCTOS[[#This Row],[CODIGO]],P_CRITICOS[],3,0)="*","PRODUCTO CRITICO","NO CRITICO"),"NO CRITICO")</f>
        <v>NO CRITICO</v>
      </c>
      <c r="L69" s="15" t="str">
        <f>+_xlfn.XLOOKUP(PRODUCTOS[[#This Row],[CODIGO]],BD_MODULO[Artículo],BD_MODULO[CUB_ACTUALIZADA],"",0)</f>
        <v/>
      </c>
      <c r="M69" s="2" t="str">
        <f>+IFERROR(PRODUCTOS[[#This Row],[PPTO]]*PRODUCTOS[[#This Row],[CANT X MODULO]],"")</f>
        <v/>
      </c>
      <c r="N69" s="2" t="str">
        <f>+IFERROR(PRODUCTOS[[#This Row],[PPTO X MODULO]]*32,"")</f>
        <v/>
      </c>
      <c r="O69" s="2" t="str">
        <f>+IFERROR(PRODUCTOS[[#This Row],[PPTO X TORRE]]*22,"")</f>
        <v/>
      </c>
      <c r="P69" s="3" t="str">
        <f>+IFERROR(PRODUCTOS[[#This Row],[CANT X MODULO]]*702,"")</f>
        <v/>
      </c>
      <c r="Q69" s="3">
        <f>+SUMIFS(DETALLE_GD_1[CANTIDAD SOLICITADA],DETALLE_GD_1[CODIGO],PRODUCTOS[[#This Row],[CODIGO]])</f>
        <v>1</v>
      </c>
      <c r="R69" s="3">
        <f>+SUMIFS(DETALLE_GD_1[DEVOLUCIÓN],DETALLE_GD_1[CODIGO],PRODUCTOS[[#This Row],[CODIGO]])</f>
        <v>0</v>
      </c>
      <c r="S69" s="3">
        <f>+PRODUCTOS[[#This Row],[CANT. COMPRADA]]-PRODUCTOS[[#This Row],[DEVOLUCIONES]]</f>
        <v>1</v>
      </c>
      <c r="T69" s="3" t="str">
        <f>+IFERROR(PRODUCTOS[[#This Row],[CANTIDAD RECIBIDA]]/PRODUCTOS[[#This Row],[CANT X MODULO]],"")</f>
        <v/>
      </c>
      <c r="U69" s="3">
        <f>+SUMIFS(DETALLE_GD_1[VALOR TOTAL POR ITEM GD],DETALLE_GD_1[CODIGO],PRODUCTOS[[#This Row],[CODIGO]])</f>
        <v>7404</v>
      </c>
      <c r="V69" s="3">
        <f>+IFERROR(PRODUCTOS[[#This Row],[PRECIO DE COMPRA]]/PRODUCTOS[[#This Row],[CANT. COMPRADA]],"")</f>
        <v>7404</v>
      </c>
      <c r="W69" s="3" t="str">
        <f>+IFERROR(PRODUCTOS[[#This Row],[PRECIO COMPRA UNITARIO]]*PRODUCTOS[[#This Row],[PPTO FALTANTE]],"")</f>
        <v/>
      </c>
      <c r="X69" s="7" t="str">
        <f>+IFERROR(PRODUCTOS[[#This Row],[PROYECCION COMPRA]]/PRODUCTOS[[#This Row],[PPTO TOTAL]]-1,"")</f>
        <v/>
      </c>
      <c r="Y69" s="3" t="str">
        <f>+IFERROR((PRODUCTOS[[#This Row],[CANT X MODULO]]*704)-PRODUCTOS[[#This Row],[CANT. COMPRADA]],"")</f>
        <v/>
      </c>
      <c r="Z69" s="17" t="str">
        <f>+IFERROR(PRODUCTOS[[#This Row],[CANT. COMPRADA]]/PRODUCTOS[[#This Row],[PPTO FALTANTE]],"")</f>
        <v/>
      </c>
      <c r="AA69" s="3" t="str">
        <f>+IFERROR(PRODUCTOS[[#This Row],[PROYECCION COMPRA]]-(PRODUCTOS[[#This Row],[PPTO FALTANTE]]*PRODUCTOS[[#This Row],[PPTO]]),"")</f>
        <v/>
      </c>
      <c r="AB69" s="3">
        <f>+_xlfn.XLOOKUP(PRODUCTOS[[#This Row],[CODIGO]],DETALLE_GD_1[CODIGO],DETALLE_GD_1[VALOR PPTO],"",0)</f>
        <v>7404.4101000000001</v>
      </c>
      <c r="AC69" s="3" t="e">
        <f>+AB69-PRODUCTOS[[#This Row],[PPTO_ACTUALIZADO]]</f>
        <v>#VALUE!</v>
      </c>
    </row>
    <row r="70" spans="1:29" hidden="1" x14ac:dyDescent="0.25">
      <c r="A70">
        <v>1801232</v>
      </c>
      <c r="B70" t="s">
        <v>191</v>
      </c>
      <c r="C70">
        <v>0</v>
      </c>
      <c r="D70" t="s">
        <v>355</v>
      </c>
      <c r="E70" t="s">
        <v>355</v>
      </c>
      <c r="F70" s="2">
        <v>6876.3333329999996</v>
      </c>
      <c r="G70" s="6" t="s">
        <v>355</v>
      </c>
      <c r="H70" s="2" t="s">
        <v>355</v>
      </c>
      <c r="I70" t="b">
        <v>0</v>
      </c>
      <c r="J70" t="str">
        <f>+_xlfn.XLOOKUP(PRODUCTOS[[#This Row],[CODIGO]],P_CRITICOS[CODIGO],P_CRITICOS[DESC CORTA],"",0)</f>
        <v/>
      </c>
      <c r="K70" t="str">
        <f>+IFERROR(IF(VLOOKUP(PRODUCTOS[[#This Row],[CODIGO]],P_CRITICOS[],3,0)="*","PRODUCTO CRITICO","NO CRITICO"),"NO CRITICO")</f>
        <v>NO CRITICO</v>
      </c>
      <c r="L70" s="15" t="str">
        <f>+_xlfn.XLOOKUP(PRODUCTOS[[#This Row],[CODIGO]],BD_MODULO[Artículo],BD_MODULO[CUB_ACTUALIZADA],"",0)</f>
        <v/>
      </c>
      <c r="M70" s="2" t="str">
        <f>+IFERROR(PRODUCTOS[[#This Row],[PPTO]]*PRODUCTOS[[#This Row],[CANT X MODULO]],"")</f>
        <v/>
      </c>
      <c r="N70" s="2" t="str">
        <f>+IFERROR(PRODUCTOS[[#This Row],[PPTO X MODULO]]*32,"")</f>
        <v/>
      </c>
      <c r="O70" s="2" t="str">
        <f>+IFERROR(PRODUCTOS[[#This Row],[PPTO X TORRE]]*22,"")</f>
        <v/>
      </c>
      <c r="P70" s="3" t="str">
        <f>+IFERROR(PRODUCTOS[[#This Row],[CANT X MODULO]]*702,"")</f>
        <v/>
      </c>
      <c r="Q70" s="3">
        <f>+SUMIFS(DETALLE_GD_1[CANTIDAD SOLICITADA],DETALLE_GD_1[CODIGO],PRODUCTOS[[#This Row],[CODIGO]])</f>
        <v>1</v>
      </c>
      <c r="R70" s="3">
        <f>+SUMIFS(DETALLE_GD_1[DEVOLUCIÓN],DETALLE_GD_1[CODIGO],PRODUCTOS[[#This Row],[CODIGO]])</f>
        <v>0</v>
      </c>
      <c r="S70" s="3">
        <f>+PRODUCTOS[[#This Row],[CANT. COMPRADA]]-PRODUCTOS[[#This Row],[DEVOLUCIONES]]</f>
        <v>1</v>
      </c>
      <c r="T70" s="3" t="str">
        <f>+IFERROR(PRODUCTOS[[#This Row],[CANTIDAD RECIBIDA]]/PRODUCTOS[[#This Row],[CANT X MODULO]],"")</f>
        <v/>
      </c>
      <c r="U70" s="3">
        <f>+SUMIFS(DETALLE_GD_1[VALOR TOTAL POR ITEM GD],DETALLE_GD_1[CODIGO],PRODUCTOS[[#This Row],[CODIGO]])</f>
        <v>6876</v>
      </c>
      <c r="V70" s="3">
        <f>+IFERROR(PRODUCTOS[[#This Row],[PRECIO DE COMPRA]]/PRODUCTOS[[#This Row],[CANT. COMPRADA]],"")</f>
        <v>6876</v>
      </c>
      <c r="W70" s="3" t="str">
        <f>+IFERROR(PRODUCTOS[[#This Row],[PRECIO COMPRA UNITARIO]]*PRODUCTOS[[#This Row],[PPTO FALTANTE]],"")</f>
        <v/>
      </c>
      <c r="X70" s="7" t="str">
        <f>+IFERROR(PRODUCTOS[[#This Row],[PROYECCION COMPRA]]/PRODUCTOS[[#This Row],[PPTO TOTAL]]-1,"")</f>
        <v/>
      </c>
      <c r="Y70" s="3" t="str">
        <f>+IFERROR((PRODUCTOS[[#This Row],[CANT X MODULO]]*704)-PRODUCTOS[[#This Row],[CANT. COMPRADA]],"")</f>
        <v/>
      </c>
      <c r="Z70" s="17" t="str">
        <f>+IFERROR(PRODUCTOS[[#This Row],[CANT. COMPRADA]]/PRODUCTOS[[#This Row],[PPTO FALTANTE]],"")</f>
        <v/>
      </c>
      <c r="AA70" s="3" t="str">
        <f>+IFERROR(PRODUCTOS[[#This Row],[PROYECCION COMPRA]]-(PRODUCTOS[[#This Row],[PPTO FALTANTE]]*PRODUCTOS[[#This Row],[PPTO]]),"")</f>
        <v/>
      </c>
      <c r="AB70" s="3">
        <f>+_xlfn.XLOOKUP(PRODUCTOS[[#This Row],[CODIGO]],DETALLE_GD_1[CODIGO],DETALLE_GD_1[VALOR PPTO],"",0)</f>
        <v>6876.3333000000002</v>
      </c>
      <c r="AC70" s="3" t="e">
        <f>+AB70-PRODUCTOS[[#This Row],[PPTO_ACTUALIZADO]]</f>
        <v>#VALUE!</v>
      </c>
    </row>
    <row r="71" spans="1:29" hidden="1" x14ac:dyDescent="0.25">
      <c r="A71">
        <v>1801231</v>
      </c>
      <c r="B71" t="s">
        <v>193</v>
      </c>
      <c r="C71">
        <v>0</v>
      </c>
      <c r="D71" t="s">
        <v>355</v>
      </c>
      <c r="E71" t="s">
        <v>355</v>
      </c>
      <c r="F71" s="2">
        <v>5708.8</v>
      </c>
      <c r="G71" s="6" t="s">
        <v>355</v>
      </c>
      <c r="H71" s="2" t="s">
        <v>355</v>
      </c>
      <c r="I71" t="b">
        <v>0</v>
      </c>
      <c r="J71" t="str">
        <f>+_xlfn.XLOOKUP(PRODUCTOS[[#This Row],[CODIGO]],P_CRITICOS[CODIGO],P_CRITICOS[DESC CORTA],"",0)</f>
        <v/>
      </c>
      <c r="K71" t="str">
        <f>+IFERROR(IF(VLOOKUP(PRODUCTOS[[#This Row],[CODIGO]],P_CRITICOS[],3,0)="*","PRODUCTO CRITICO","NO CRITICO"),"NO CRITICO")</f>
        <v>NO CRITICO</v>
      </c>
      <c r="L71" s="15" t="str">
        <f>+_xlfn.XLOOKUP(PRODUCTOS[[#This Row],[CODIGO]],BD_MODULO[Artículo],BD_MODULO[CUB_ACTUALIZADA],"",0)</f>
        <v/>
      </c>
      <c r="M71" s="2" t="str">
        <f>+IFERROR(PRODUCTOS[[#This Row],[PPTO]]*PRODUCTOS[[#This Row],[CANT X MODULO]],"")</f>
        <v/>
      </c>
      <c r="N71" s="2" t="str">
        <f>+IFERROR(PRODUCTOS[[#This Row],[PPTO X MODULO]]*32,"")</f>
        <v/>
      </c>
      <c r="O71" s="2" t="str">
        <f>+IFERROR(PRODUCTOS[[#This Row],[PPTO X TORRE]]*22,"")</f>
        <v/>
      </c>
      <c r="P71" s="3" t="str">
        <f>+IFERROR(PRODUCTOS[[#This Row],[CANT X MODULO]]*702,"")</f>
        <v/>
      </c>
      <c r="Q71" s="3">
        <f>+SUMIFS(DETALLE_GD_1[CANTIDAD SOLICITADA],DETALLE_GD_1[CODIGO],PRODUCTOS[[#This Row],[CODIGO]])</f>
        <v>1</v>
      </c>
      <c r="R71" s="3">
        <f>+SUMIFS(DETALLE_GD_1[DEVOLUCIÓN],DETALLE_GD_1[CODIGO],PRODUCTOS[[#This Row],[CODIGO]])</f>
        <v>0</v>
      </c>
      <c r="S71" s="3">
        <f>+PRODUCTOS[[#This Row],[CANT. COMPRADA]]-PRODUCTOS[[#This Row],[DEVOLUCIONES]]</f>
        <v>1</v>
      </c>
      <c r="T71" s="3" t="str">
        <f>+IFERROR(PRODUCTOS[[#This Row],[CANTIDAD RECIBIDA]]/PRODUCTOS[[#This Row],[CANT X MODULO]],"")</f>
        <v/>
      </c>
      <c r="U71" s="3">
        <f>+SUMIFS(DETALLE_GD_1[VALOR TOTAL POR ITEM GD],DETALLE_GD_1[CODIGO],PRODUCTOS[[#This Row],[CODIGO]])</f>
        <v>5709</v>
      </c>
      <c r="V71" s="3">
        <f>+IFERROR(PRODUCTOS[[#This Row],[PRECIO DE COMPRA]]/PRODUCTOS[[#This Row],[CANT. COMPRADA]],"")</f>
        <v>5709</v>
      </c>
      <c r="W71" s="3" t="str">
        <f>+IFERROR(PRODUCTOS[[#This Row],[PRECIO COMPRA UNITARIO]]*PRODUCTOS[[#This Row],[PPTO FALTANTE]],"")</f>
        <v/>
      </c>
      <c r="X71" s="7" t="str">
        <f>+IFERROR(PRODUCTOS[[#This Row],[PROYECCION COMPRA]]/PRODUCTOS[[#This Row],[PPTO TOTAL]]-1,"")</f>
        <v/>
      </c>
      <c r="Y71" s="3" t="str">
        <f>+IFERROR((PRODUCTOS[[#This Row],[CANT X MODULO]]*704)-PRODUCTOS[[#This Row],[CANT. COMPRADA]],"")</f>
        <v/>
      </c>
      <c r="Z71" s="17" t="str">
        <f>+IFERROR(PRODUCTOS[[#This Row],[CANT. COMPRADA]]/PRODUCTOS[[#This Row],[PPTO FALTANTE]],"")</f>
        <v/>
      </c>
      <c r="AA71" s="3" t="str">
        <f>+IFERROR(PRODUCTOS[[#This Row],[PROYECCION COMPRA]]-(PRODUCTOS[[#This Row],[PPTO FALTANTE]]*PRODUCTOS[[#This Row],[PPTO]]),"")</f>
        <v/>
      </c>
      <c r="AB71" s="3">
        <f>+_xlfn.XLOOKUP(PRODUCTOS[[#This Row],[CODIGO]],DETALLE_GD_1[CODIGO],DETALLE_GD_1[VALOR PPTO],"",0)</f>
        <v>5708.8</v>
      </c>
      <c r="AC71" s="3" t="e">
        <f>+AB71-PRODUCTOS[[#This Row],[PPTO_ACTUALIZADO]]</f>
        <v>#VALUE!</v>
      </c>
    </row>
    <row r="72" spans="1:29" hidden="1" x14ac:dyDescent="0.25">
      <c r="A72" t="s">
        <v>206</v>
      </c>
      <c r="B72" t="s">
        <v>207</v>
      </c>
      <c r="C72">
        <v>0</v>
      </c>
      <c r="D72" t="s">
        <v>355</v>
      </c>
      <c r="E72" t="s">
        <v>355</v>
      </c>
      <c r="F72" s="2">
        <v>41451.848739000001</v>
      </c>
      <c r="G72" s="6" t="s">
        <v>355</v>
      </c>
      <c r="H72" s="2" t="s">
        <v>355</v>
      </c>
      <c r="I72" t="b">
        <v>0</v>
      </c>
      <c r="J72" t="str">
        <f>+_xlfn.XLOOKUP(PRODUCTOS[[#This Row],[CODIGO]],P_CRITICOS[CODIGO],P_CRITICOS[DESC CORTA],"",0)</f>
        <v/>
      </c>
      <c r="K72" t="str">
        <f>+IFERROR(IF(VLOOKUP(PRODUCTOS[[#This Row],[CODIGO]],P_CRITICOS[],3,0)="*","PRODUCTO CRITICO","NO CRITICO"),"NO CRITICO")</f>
        <v>NO CRITICO</v>
      </c>
      <c r="L72" s="15" t="str">
        <f>+_xlfn.XLOOKUP(PRODUCTOS[[#This Row],[CODIGO]],BD_MODULO[Artículo],BD_MODULO[CUB_ACTUALIZADA],"",0)</f>
        <v/>
      </c>
      <c r="M72" s="2" t="str">
        <f>+IFERROR(PRODUCTOS[[#This Row],[PPTO]]*PRODUCTOS[[#This Row],[CANT X MODULO]],"")</f>
        <v/>
      </c>
      <c r="N72" s="2" t="str">
        <f>+IFERROR(PRODUCTOS[[#This Row],[PPTO X MODULO]]*32,"")</f>
        <v/>
      </c>
      <c r="O72" s="2" t="str">
        <f>+IFERROR(PRODUCTOS[[#This Row],[PPTO X TORRE]]*22,"")</f>
        <v/>
      </c>
      <c r="P72" s="3" t="str">
        <f>+IFERROR(PRODUCTOS[[#This Row],[CANT X MODULO]]*702,"")</f>
        <v/>
      </c>
      <c r="Q72" s="3">
        <f>+SUMIFS(DETALLE_GD_1[CANTIDAD SOLICITADA],DETALLE_GD_1[CODIGO],PRODUCTOS[[#This Row],[CODIGO]])</f>
        <v>1</v>
      </c>
      <c r="R72" s="3">
        <f>+SUMIFS(DETALLE_GD_1[DEVOLUCIÓN],DETALLE_GD_1[CODIGO],PRODUCTOS[[#This Row],[CODIGO]])</f>
        <v>0</v>
      </c>
      <c r="S72" s="3">
        <f>+PRODUCTOS[[#This Row],[CANT. COMPRADA]]-PRODUCTOS[[#This Row],[DEVOLUCIONES]]</f>
        <v>1</v>
      </c>
      <c r="T72" s="3" t="str">
        <f>+IFERROR(PRODUCTOS[[#This Row],[CANTIDAD RECIBIDA]]/PRODUCTOS[[#This Row],[CANT X MODULO]],"")</f>
        <v/>
      </c>
      <c r="U72" s="3">
        <f>+SUMIFS(DETALLE_GD_1[VALOR TOTAL POR ITEM GD],DETALLE_GD_1[CODIGO],PRODUCTOS[[#This Row],[CODIGO]])</f>
        <v>41452</v>
      </c>
      <c r="V72" s="3">
        <f>+IFERROR(PRODUCTOS[[#This Row],[PRECIO DE COMPRA]]/PRODUCTOS[[#This Row],[CANT. COMPRADA]],"")</f>
        <v>41452</v>
      </c>
      <c r="W72" s="3" t="str">
        <f>+IFERROR(PRODUCTOS[[#This Row],[PRECIO COMPRA UNITARIO]]*PRODUCTOS[[#This Row],[PPTO FALTANTE]],"")</f>
        <v/>
      </c>
      <c r="X72" s="7" t="str">
        <f>+IFERROR(PRODUCTOS[[#This Row],[PROYECCION COMPRA]]/PRODUCTOS[[#This Row],[PPTO TOTAL]]-1,"")</f>
        <v/>
      </c>
      <c r="Y72" s="3" t="str">
        <f>+IFERROR((PRODUCTOS[[#This Row],[CANT X MODULO]]*704)-PRODUCTOS[[#This Row],[CANT. COMPRADA]],"")</f>
        <v/>
      </c>
      <c r="Z72" s="17" t="str">
        <f>+IFERROR(PRODUCTOS[[#This Row],[CANT. COMPRADA]]/PRODUCTOS[[#This Row],[PPTO FALTANTE]],"")</f>
        <v/>
      </c>
      <c r="AA72" s="3" t="str">
        <f>+IFERROR(PRODUCTOS[[#This Row],[PROYECCION COMPRA]]-(PRODUCTOS[[#This Row],[PPTO FALTANTE]]*PRODUCTOS[[#This Row],[PPTO]]),"")</f>
        <v/>
      </c>
      <c r="AB72" s="3">
        <f>+_xlfn.XLOOKUP(PRODUCTOS[[#This Row],[CODIGO]],DETALLE_GD_1[CODIGO],DETALLE_GD_1[VALOR PPTO],"",0)</f>
        <v>41451.848700000002</v>
      </c>
      <c r="AC72" s="3" t="e">
        <f>+AB72-PRODUCTOS[[#This Row],[PPTO_ACTUALIZADO]]</f>
        <v>#VALUE!</v>
      </c>
    </row>
    <row r="73" spans="1:29" hidden="1" x14ac:dyDescent="0.25">
      <c r="A73">
        <v>704079</v>
      </c>
      <c r="B73" t="s">
        <v>209</v>
      </c>
      <c r="C73">
        <v>0</v>
      </c>
      <c r="D73" t="s">
        <v>355</v>
      </c>
      <c r="E73" t="s">
        <v>355</v>
      </c>
      <c r="F73" s="2">
        <v>755.704882</v>
      </c>
      <c r="G73" s="6" t="s">
        <v>355</v>
      </c>
      <c r="H73" s="2" t="s">
        <v>355</v>
      </c>
      <c r="I73" t="b">
        <v>0</v>
      </c>
      <c r="J73" t="str">
        <f>+_xlfn.XLOOKUP(PRODUCTOS[[#This Row],[CODIGO]],P_CRITICOS[CODIGO],P_CRITICOS[DESC CORTA],"",0)</f>
        <v/>
      </c>
      <c r="K73" t="str">
        <f>+IFERROR(IF(VLOOKUP(PRODUCTOS[[#This Row],[CODIGO]],P_CRITICOS[],3,0)="*","PRODUCTO CRITICO","NO CRITICO"),"NO CRITICO")</f>
        <v>NO CRITICO</v>
      </c>
      <c r="L73" s="15" t="str">
        <f>+_xlfn.XLOOKUP(PRODUCTOS[[#This Row],[CODIGO]],BD_MODULO[Artículo],BD_MODULO[CUB_ACTUALIZADA],"",0)</f>
        <v/>
      </c>
      <c r="M73" s="2" t="str">
        <f>+IFERROR(PRODUCTOS[[#This Row],[PPTO]]*PRODUCTOS[[#This Row],[CANT X MODULO]],"")</f>
        <v/>
      </c>
      <c r="N73" s="2" t="str">
        <f>+IFERROR(PRODUCTOS[[#This Row],[PPTO X MODULO]]*32,"")</f>
        <v/>
      </c>
      <c r="O73" s="2" t="str">
        <f>+IFERROR(PRODUCTOS[[#This Row],[PPTO X TORRE]]*22,"")</f>
        <v/>
      </c>
      <c r="P73" s="3" t="str">
        <f>+IFERROR(PRODUCTOS[[#This Row],[CANT X MODULO]]*702,"")</f>
        <v/>
      </c>
      <c r="Q73" s="3">
        <f>+SUMIFS(DETALLE_GD_1[CANTIDAD SOLICITADA],DETALLE_GD_1[CODIGO],PRODUCTOS[[#This Row],[CODIGO]])</f>
        <v>121</v>
      </c>
      <c r="R73" s="3">
        <f>+SUMIFS(DETALLE_GD_1[DEVOLUCIÓN],DETALLE_GD_1[CODIGO],PRODUCTOS[[#This Row],[CODIGO]])</f>
        <v>0</v>
      </c>
      <c r="S73" s="3">
        <f>+PRODUCTOS[[#This Row],[CANT. COMPRADA]]-PRODUCTOS[[#This Row],[DEVOLUCIONES]]</f>
        <v>121</v>
      </c>
      <c r="T73" s="3" t="str">
        <f>+IFERROR(PRODUCTOS[[#This Row],[CANTIDAD RECIBIDA]]/PRODUCTOS[[#This Row],[CANT X MODULO]],"")</f>
        <v/>
      </c>
      <c r="U73" s="3">
        <f>+SUMIFS(DETALLE_GD_1[VALOR TOTAL POR ITEM GD],DETALLE_GD_1[CODIGO],PRODUCTOS[[#This Row],[CODIGO]])</f>
        <v>87774</v>
      </c>
      <c r="V73" s="3">
        <f>+IFERROR(PRODUCTOS[[#This Row],[PRECIO DE COMPRA]]/PRODUCTOS[[#This Row],[CANT. COMPRADA]],"")</f>
        <v>725.40495867768595</v>
      </c>
      <c r="W73" s="3" t="str">
        <f>+IFERROR(PRODUCTOS[[#This Row],[PRECIO COMPRA UNITARIO]]*PRODUCTOS[[#This Row],[PPTO FALTANTE]],"")</f>
        <v/>
      </c>
      <c r="X73" s="7" t="str">
        <f>+IFERROR(PRODUCTOS[[#This Row],[PROYECCION COMPRA]]/PRODUCTOS[[#This Row],[PPTO TOTAL]]-1,"")</f>
        <v/>
      </c>
      <c r="Y73" s="3" t="str">
        <f>+IFERROR((PRODUCTOS[[#This Row],[CANT X MODULO]]*704)-PRODUCTOS[[#This Row],[CANT. COMPRADA]],"")</f>
        <v/>
      </c>
      <c r="Z73" s="17" t="str">
        <f>+IFERROR(PRODUCTOS[[#This Row],[CANT. COMPRADA]]/PRODUCTOS[[#This Row],[PPTO FALTANTE]],"")</f>
        <v/>
      </c>
      <c r="AA73" s="3" t="str">
        <f>+IFERROR(PRODUCTOS[[#This Row],[PROYECCION COMPRA]]-(PRODUCTOS[[#This Row],[PPTO FALTANTE]]*PRODUCTOS[[#This Row],[PPTO]]),"")</f>
        <v/>
      </c>
      <c r="AB73" s="3">
        <f>+_xlfn.XLOOKUP(PRODUCTOS[[#This Row],[CODIGO]],DETALLE_GD_1[CODIGO],DETALLE_GD_1[VALOR PPTO],"",0)</f>
        <v>755.70489999999995</v>
      </c>
      <c r="AC73" s="3" t="e">
        <f>+AB73-PRODUCTOS[[#This Row],[PPTO_ACTUALIZADO]]</f>
        <v>#VALUE!</v>
      </c>
    </row>
    <row r="74" spans="1:29" hidden="1" x14ac:dyDescent="0.25">
      <c r="A74">
        <v>609007</v>
      </c>
      <c r="B74" t="s">
        <v>210</v>
      </c>
      <c r="C74">
        <v>0</v>
      </c>
      <c r="D74" t="s">
        <v>355</v>
      </c>
      <c r="E74" t="s">
        <v>355</v>
      </c>
      <c r="F74" s="2">
        <v>8164.9821430000002</v>
      </c>
      <c r="G74" s="6" t="s">
        <v>355</v>
      </c>
      <c r="H74" s="2" t="s">
        <v>355</v>
      </c>
      <c r="I74" t="b">
        <v>0</v>
      </c>
      <c r="J74" t="str">
        <f>+_xlfn.XLOOKUP(PRODUCTOS[[#This Row],[CODIGO]],P_CRITICOS[CODIGO],P_CRITICOS[DESC CORTA],"",0)</f>
        <v/>
      </c>
      <c r="K74" t="str">
        <f>+IFERROR(IF(VLOOKUP(PRODUCTOS[[#This Row],[CODIGO]],P_CRITICOS[],3,0)="*","PRODUCTO CRITICO","NO CRITICO"),"NO CRITICO")</f>
        <v>NO CRITICO</v>
      </c>
      <c r="L74" s="15" t="str">
        <f>+_xlfn.XLOOKUP(PRODUCTOS[[#This Row],[CODIGO]],BD_MODULO[Artículo],BD_MODULO[CUB_ACTUALIZADA],"",0)</f>
        <v/>
      </c>
      <c r="M74" s="2" t="str">
        <f>+IFERROR(PRODUCTOS[[#This Row],[PPTO]]*PRODUCTOS[[#This Row],[CANT X MODULO]],"")</f>
        <v/>
      </c>
      <c r="N74" s="2" t="str">
        <f>+IFERROR(PRODUCTOS[[#This Row],[PPTO X MODULO]]*32,"")</f>
        <v/>
      </c>
      <c r="O74" s="2" t="str">
        <f>+IFERROR(PRODUCTOS[[#This Row],[PPTO X TORRE]]*22,"")</f>
        <v/>
      </c>
      <c r="P74" s="3" t="str">
        <f>+IFERROR(PRODUCTOS[[#This Row],[CANT X MODULO]]*702,"")</f>
        <v/>
      </c>
      <c r="Q74" s="3">
        <f>+SUMIFS(DETALLE_GD_1[CANTIDAD SOLICITADA],DETALLE_GD_1[CODIGO],PRODUCTOS[[#This Row],[CODIGO]])</f>
        <v>7</v>
      </c>
      <c r="R74" s="3">
        <f>+SUMIFS(DETALLE_GD_1[DEVOLUCIÓN],DETALLE_GD_1[CODIGO],PRODUCTOS[[#This Row],[CODIGO]])</f>
        <v>0</v>
      </c>
      <c r="S74" s="3">
        <f>+PRODUCTOS[[#This Row],[CANT. COMPRADA]]-PRODUCTOS[[#This Row],[DEVOLUCIONES]]</f>
        <v>7</v>
      </c>
      <c r="T74" s="3" t="str">
        <f>+IFERROR(PRODUCTOS[[#This Row],[CANTIDAD RECIBIDA]]/PRODUCTOS[[#This Row],[CANT X MODULO]],"")</f>
        <v/>
      </c>
      <c r="U74" s="3">
        <f>+SUMIFS(DETALLE_GD_1[VALOR TOTAL POR ITEM GD],DETALLE_GD_1[CODIGO],PRODUCTOS[[#This Row],[CODIGO]])</f>
        <v>57155</v>
      </c>
      <c r="V74" s="3">
        <f>+IFERROR(PRODUCTOS[[#This Row],[PRECIO DE COMPRA]]/PRODUCTOS[[#This Row],[CANT. COMPRADA]],"")</f>
        <v>8165</v>
      </c>
      <c r="W74" s="3" t="str">
        <f>+IFERROR(PRODUCTOS[[#This Row],[PRECIO COMPRA UNITARIO]]*PRODUCTOS[[#This Row],[PPTO FALTANTE]],"")</f>
        <v/>
      </c>
      <c r="X74" s="7" t="str">
        <f>+IFERROR(PRODUCTOS[[#This Row],[PROYECCION COMPRA]]/PRODUCTOS[[#This Row],[PPTO TOTAL]]-1,"")</f>
        <v/>
      </c>
      <c r="Y74" s="3" t="str">
        <f>+IFERROR((PRODUCTOS[[#This Row],[CANT X MODULO]]*704)-PRODUCTOS[[#This Row],[CANT. COMPRADA]],"")</f>
        <v/>
      </c>
      <c r="Z74" s="17" t="str">
        <f>+IFERROR(PRODUCTOS[[#This Row],[CANT. COMPRADA]]/PRODUCTOS[[#This Row],[PPTO FALTANTE]],"")</f>
        <v/>
      </c>
      <c r="AA74" s="3" t="str">
        <f>+IFERROR(PRODUCTOS[[#This Row],[PROYECCION COMPRA]]-(PRODUCTOS[[#This Row],[PPTO FALTANTE]]*PRODUCTOS[[#This Row],[PPTO]]),"")</f>
        <v/>
      </c>
      <c r="AB74" s="3">
        <f>+_xlfn.XLOOKUP(PRODUCTOS[[#This Row],[CODIGO]],DETALLE_GD_1[CODIGO],DETALLE_GD_1[VALOR PPTO],"",0)</f>
        <v>8164.9821000000002</v>
      </c>
      <c r="AC74" s="3" t="e">
        <f>+AB74-PRODUCTOS[[#This Row],[PPTO_ACTUALIZADO]]</f>
        <v>#VALUE!</v>
      </c>
    </row>
    <row r="75" spans="1:29" hidden="1" x14ac:dyDescent="0.25">
      <c r="A75">
        <v>410046</v>
      </c>
      <c r="B75" t="s">
        <v>361</v>
      </c>
      <c r="C75">
        <v>0</v>
      </c>
      <c r="D75" t="s">
        <v>355</v>
      </c>
      <c r="E75" t="s">
        <v>355</v>
      </c>
      <c r="F75" s="2">
        <v>746</v>
      </c>
      <c r="G75" s="6" t="s">
        <v>31</v>
      </c>
      <c r="H75" s="2" t="s">
        <v>355</v>
      </c>
      <c r="I75" t="b">
        <v>0</v>
      </c>
      <c r="J75" t="str">
        <f>+_xlfn.XLOOKUP(PRODUCTOS[[#This Row],[CODIGO]],P_CRITICOS[CODIGO],P_CRITICOS[DESC CORTA],"",0)</f>
        <v/>
      </c>
      <c r="K75" t="str">
        <f>+IFERROR(IF(VLOOKUP(PRODUCTOS[[#This Row],[CODIGO]],P_CRITICOS[],3,0)="*","PRODUCTO CRITICO","NO CRITICO"),"NO CRITICO")</f>
        <v>NO CRITICO</v>
      </c>
      <c r="L75" s="15" t="str">
        <f>+_xlfn.XLOOKUP(PRODUCTOS[[#This Row],[CODIGO]],BD_MODULO[Artículo],BD_MODULO[CUB_ACTUALIZADA],"",0)</f>
        <v/>
      </c>
      <c r="M75" s="2" t="str">
        <f>+IFERROR(PRODUCTOS[[#This Row],[PPTO]]*PRODUCTOS[[#This Row],[CANT X MODULO]],"")</f>
        <v/>
      </c>
      <c r="N75" s="2" t="str">
        <f>+IFERROR(PRODUCTOS[[#This Row],[PPTO X MODULO]]*32,"")</f>
        <v/>
      </c>
      <c r="O75" s="2" t="str">
        <f>+IFERROR(PRODUCTOS[[#This Row],[PPTO X TORRE]]*22,"")</f>
        <v/>
      </c>
      <c r="P75" s="3" t="str">
        <f>+IFERROR(PRODUCTOS[[#This Row],[CANT X MODULO]]*702,"")</f>
        <v/>
      </c>
      <c r="Q75" s="3">
        <f>+SUMIFS(DETALLE_GD_1[CANTIDAD SOLICITADA],DETALLE_GD_1[CODIGO],PRODUCTOS[[#This Row],[CODIGO]])</f>
        <v>1032</v>
      </c>
      <c r="R75" s="3">
        <f>+SUMIFS(DETALLE_GD_1[DEVOLUCIÓN],DETALLE_GD_1[CODIGO],PRODUCTOS[[#This Row],[CODIGO]])</f>
        <v>0</v>
      </c>
      <c r="S75" s="3">
        <f>+PRODUCTOS[[#This Row],[CANT. COMPRADA]]-PRODUCTOS[[#This Row],[DEVOLUCIONES]]</f>
        <v>1032</v>
      </c>
      <c r="T75" s="3" t="str">
        <f>+IFERROR(PRODUCTOS[[#This Row],[CANTIDAD RECIBIDA]]/PRODUCTOS[[#This Row],[CANT X MODULO]],"")</f>
        <v/>
      </c>
      <c r="U75" s="3">
        <f>+SUMIFS(DETALLE_GD_1[VALOR TOTAL POR ITEM GD],DETALLE_GD_1[CODIGO],PRODUCTOS[[#This Row],[CODIGO]])</f>
        <v>769872</v>
      </c>
      <c r="V75" s="3">
        <f>+IFERROR(PRODUCTOS[[#This Row],[PRECIO DE COMPRA]]/PRODUCTOS[[#This Row],[CANT. COMPRADA]],"")</f>
        <v>746</v>
      </c>
      <c r="W75" s="3" t="str">
        <f>+IFERROR(PRODUCTOS[[#This Row],[PRECIO COMPRA UNITARIO]]*PRODUCTOS[[#This Row],[PPTO FALTANTE]],"")</f>
        <v/>
      </c>
      <c r="X75" s="7" t="str">
        <f>+IFERROR(PRODUCTOS[[#This Row],[PROYECCION COMPRA]]/PRODUCTOS[[#This Row],[PPTO TOTAL]]-1,"")</f>
        <v/>
      </c>
      <c r="Y75" s="3" t="str">
        <f>+IFERROR((PRODUCTOS[[#This Row],[CANT X MODULO]]*704)-PRODUCTOS[[#This Row],[CANT. COMPRADA]],"")</f>
        <v/>
      </c>
      <c r="Z75" s="17" t="str">
        <f>+IFERROR(PRODUCTOS[[#This Row],[CANT. COMPRADA]]/PRODUCTOS[[#This Row],[PPTO FALTANTE]],"")</f>
        <v/>
      </c>
      <c r="AA75" s="3" t="str">
        <f>+IFERROR(PRODUCTOS[[#This Row],[PROYECCION COMPRA]]-(PRODUCTOS[[#This Row],[PPTO FALTANTE]]*PRODUCTOS[[#This Row],[PPTO]]),"")</f>
        <v/>
      </c>
      <c r="AB75" s="3">
        <f>+_xlfn.XLOOKUP(PRODUCTOS[[#This Row],[CODIGO]],DETALLE_GD_1[CODIGO],DETALLE_GD_1[VALOR PPTO],"",0)</f>
        <v>746</v>
      </c>
      <c r="AC75" s="3" t="e">
        <f>+AB75-PRODUCTOS[[#This Row],[PPTO_ACTUALIZADO]]</f>
        <v>#VALUE!</v>
      </c>
    </row>
    <row r="76" spans="1:29" hidden="1" x14ac:dyDescent="0.25">
      <c r="A76">
        <v>412592</v>
      </c>
      <c r="B76" t="s">
        <v>237</v>
      </c>
      <c r="C76">
        <v>0</v>
      </c>
      <c r="D76" t="s">
        <v>355</v>
      </c>
      <c r="E76" t="s">
        <v>355</v>
      </c>
      <c r="F76" s="2">
        <v>3152.283293</v>
      </c>
      <c r="G76" s="6" t="s">
        <v>355</v>
      </c>
      <c r="H76" s="2" t="s">
        <v>355</v>
      </c>
      <c r="I76" t="b">
        <v>0</v>
      </c>
      <c r="J76" t="str">
        <f>+_xlfn.XLOOKUP(PRODUCTOS[[#This Row],[CODIGO]],P_CRITICOS[CODIGO],P_CRITICOS[DESC CORTA],"",0)</f>
        <v/>
      </c>
      <c r="K76" t="str">
        <f>+IFERROR(IF(VLOOKUP(PRODUCTOS[[#This Row],[CODIGO]],P_CRITICOS[],3,0)="*","PRODUCTO CRITICO","NO CRITICO"),"NO CRITICO")</f>
        <v>NO CRITICO</v>
      </c>
      <c r="L76" s="15" t="str">
        <f>+_xlfn.XLOOKUP(PRODUCTOS[[#This Row],[CODIGO]],BD_MODULO[Artículo],BD_MODULO[CUB_ACTUALIZADA],"",0)</f>
        <v/>
      </c>
      <c r="M76" s="2" t="str">
        <f>+IFERROR(PRODUCTOS[[#This Row],[PPTO]]*PRODUCTOS[[#This Row],[CANT X MODULO]],"")</f>
        <v/>
      </c>
      <c r="N76" s="2" t="str">
        <f>+IFERROR(PRODUCTOS[[#This Row],[PPTO X MODULO]]*32,"")</f>
        <v/>
      </c>
      <c r="O76" s="2" t="str">
        <f>+IFERROR(PRODUCTOS[[#This Row],[PPTO X TORRE]]*22,"")</f>
        <v/>
      </c>
      <c r="P76" s="3" t="str">
        <f>+IFERROR(PRODUCTOS[[#This Row],[CANT X MODULO]]*702,"")</f>
        <v/>
      </c>
      <c r="Q76" s="3">
        <f>+SUMIFS(DETALLE_GD_1[CANTIDAD SOLICITADA],DETALLE_GD_1[CODIGO],PRODUCTOS[[#This Row],[CODIGO]])</f>
        <v>2</v>
      </c>
      <c r="R76" s="3">
        <f>+SUMIFS(DETALLE_GD_1[DEVOLUCIÓN],DETALLE_GD_1[CODIGO],PRODUCTOS[[#This Row],[CODIGO]])</f>
        <v>0</v>
      </c>
      <c r="S76" s="3">
        <f>+PRODUCTOS[[#This Row],[CANT. COMPRADA]]-PRODUCTOS[[#This Row],[DEVOLUCIONES]]</f>
        <v>2</v>
      </c>
      <c r="T76" s="3" t="str">
        <f>+IFERROR(PRODUCTOS[[#This Row],[CANTIDAD RECIBIDA]]/PRODUCTOS[[#This Row],[CANT X MODULO]],"")</f>
        <v/>
      </c>
      <c r="U76" s="3">
        <f>+SUMIFS(DETALLE_GD_1[VALOR TOTAL POR ITEM GD],DETALLE_GD_1[CODIGO],PRODUCTOS[[#This Row],[CODIGO]])</f>
        <v>6305</v>
      </c>
      <c r="V76" s="3">
        <f>+IFERROR(PRODUCTOS[[#This Row],[PRECIO DE COMPRA]]/PRODUCTOS[[#This Row],[CANT. COMPRADA]],"")</f>
        <v>3152.5</v>
      </c>
      <c r="W76" s="3" t="str">
        <f>+IFERROR(PRODUCTOS[[#This Row],[PRECIO COMPRA UNITARIO]]*PRODUCTOS[[#This Row],[PPTO FALTANTE]],"")</f>
        <v/>
      </c>
      <c r="X76" s="7" t="str">
        <f>+IFERROR(PRODUCTOS[[#This Row],[PROYECCION COMPRA]]/PRODUCTOS[[#This Row],[PPTO TOTAL]]-1,"")</f>
        <v/>
      </c>
      <c r="Y76" s="3" t="str">
        <f>+IFERROR((PRODUCTOS[[#This Row],[CANT X MODULO]]*704)-PRODUCTOS[[#This Row],[CANT. COMPRADA]],"")</f>
        <v/>
      </c>
      <c r="Z76" s="17" t="str">
        <f>+IFERROR(PRODUCTOS[[#This Row],[CANT. COMPRADA]]/PRODUCTOS[[#This Row],[PPTO FALTANTE]],"")</f>
        <v/>
      </c>
      <c r="AA76" s="3" t="str">
        <f>+IFERROR(PRODUCTOS[[#This Row],[PROYECCION COMPRA]]-(PRODUCTOS[[#This Row],[PPTO FALTANTE]]*PRODUCTOS[[#This Row],[PPTO]]),"")</f>
        <v/>
      </c>
      <c r="AB76" s="3">
        <f>+_xlfn.XLOOKUP(PRODUCTOS[[#This Row],[CODIGO]],DETALLE_GD_1[CODIGO],DETALLE_GD_1[VALOR PPTO],"",0)</f>
        <v>3152.2833000000001</v>
      </c>
      <c r="AC76" s="3" t="e">
        <f>+AB76-PRODUCTOS[[#This Row],[PPTO_ACTUALIZADO]]</f>
        <v>#VALUE!</v>
      </c>
    </row>
    <row r="77" spans="1:29" hidden="1" x14ac:dyDescent="0.25">
      <c r="A77">
        <v>412313</v>
      </c>
      <c r="B77" t="s">
        <v>253</v>
      </c>
      <c r="C77">
        <v>0</v>
      </c>
      <c r="D77" t="s">
        <v>355</v>
      </c>
      <c r="E77" t="s">
        <v>355</v>
      </c>
      <c r="F77" s="2">
        <v>23724.067384999998</v>
      </c>
      <c r="G77" s="6" t="s">
        <v>36</v>
      </c>
      <c r="H77" s="2" t="s">
        <v>355</v>
      </c>
      <c r="I77" t="b">
        <v>0</v>
      </c>
      <c r="J77" t="str">
        <f>+_xlfn.XLOOKUP(PRODUCTOS[[#This Row],[CODIGO]],P_CRITICOS[CODIGO],P_CRITICOS[DESC CORTA],"",0)</f>
        <v/>
      </c>
      <c r="K77" t="str">
        <f>+IFERROR(IF(VLOOKUP(PRODUCTOS[[#This Row],[CODIGO]],P_CRITICOS[],3,0)="*","PRODUCTO CRITICO","NO CRITICO"),"NO CRITICO")</f>
        <v>NO CRITICO</v>
      </c>
      <c r="L77" s="15" t="str">
        <f>+_xlfn.XLOOKUP(PRODUCTOS[[#This Row],[CODIGO]],BD_MODULO[Artículo],BD_MODULO[CUB_ACTUALIZADA],"",0)</f>
        <v/>
      </c>
      <c r="M77" s="2" t="str">
        <f>+IFERROR(PRODUCTOS[[#This Row],[PPTO]]*PRODUCTOS[[#This Row],[CANT X MODULO]],"")</f>
        <v/>
      </c>
      <c r="N77" s="2" t="str">
        <f>+IFERROR(PRODUCTOS[[#This Row],[PPTO X MODULO]]*32,"")</f>
        <v/>
      </c>
      <c r="O77" s="2" t="str">
        <f>+IFERROR(PRODUCTOS[[#This Row],[PPTO X TORRE]]*22,"")</f>
        <v/>
      </c>
      <c r="P77" s="3" t="str">
        <f>+IFERROR(PRODUCTOS[[#This Row],[CANT X MODULO]]*702,"")</f>
        <v/>
      </c>
      <c r="Q77" s="3">
        <f>+SUMIFS(DETALLE_GD_1[CANTIDAD SOLICITADA],DETALLE_GD_1[CODIGO],PRODUCTOS[[#This Row],[CODIGO]])</f>
        <v>72</v>
      </c>
      <c r="R77" s="3">
        <f>+SUMIFS(DETALLE_GD_1[DEVOLUCIÓN],DETALLE_GD_1[CODIGO],PRODUCTOS[[#This Row],[CODIGO]])</f>
        <v>0</v>
      </c>
      <c r="S77" s="3">
        <f>+PRODUCTOS[[#This Row],[CANT. COMPRADA]]-PRODUCTOS[[#This Row],[DEVOLUCIONES]]</f>
        <v>72</v>
      </c>
      <c r="T77" s="3" t="str">
        <f>+IFERROR(PRODUCTOS[[#This Row],[CANTIDAD RECIBIDA]]/PRODUCTOS[[#This Row],[CANT X MODULO]],"")</f>
        <v/>
      </c>
      <c r="U77" s="3">
        <f>+SUMIFS(DETALLE_GD_1[VALOR TOTAL POR ITEM GD],DETALLE_GD_1[CODIGO],PRODUCTOS[[#This Row],[CODIGO]])</f>
        <v>1708130</v>
      </c>
      <c r="V77" s="3">
        <f>+IFERROR(PRODUCTOS[[#This Row],[PRECIO DE COMPRA]]/PRODUCTOS[[#This Row],[CANT. COMPRADA]],"")</f>
        <v>23724.027777777777</v>
      </c>
      <c r="W77" s="3" t="str">
        <f>+IFERROR(PRODUCTOS[[#This Row],[PRECIO COMPRA UNITARIO]]*PRODUCTOS[[#This Row],[PPTO FALTANTE]],"")</f>
        <v/>
      </c>
      <c r="X77" s="7" t="str">
        <f>+IFERROR(PRODUCTOS[[#This Row],[PROYECCION COMPRA]]/PRODUCTOS[[#This Row],[PPTO TOTAL]]-1,"")</f>
        <v/>
      </c>
      <c r="Y77" s="3" t="str">
        <f>+IFERROR((PRODUCTOS[[#This Row],[CANT X MODULO]]*704)-PRODUCTOS[[#This Row],[CANT. COMPRADA]],"")</f>
        <v/>
      </c>
      <c r="Z77" s="17" t="str">
        <f>+IFERROR(PRODUCTOS[[#This Row],[CANT. COMPRADA]]/PRODUCTOS[[#This Row],[PPTO FALTANTE]],"")</f>
        <v/>
      </c>
      <c r="AA77" s="3" t="str">
        <f>+IFERROR(PRODUCTOS[[#This Row],[PROYECCION COMPRA]]-(PRODUCTOS[[#This Row],[PPTO FALTANTE]]*PRODUCTOS[[#This Row],[PPTO]]),"")</f>
        <v/>
      </c>
      <c r="AB77" s="3">
        <f>+_xlfn.XLOOKUP(PRODUCTOS[[#This Row],[CODIGO]],DETALLE_GD_1[CODIGO],DETALLE_GD_1[VALOR PPTO],"",0)</f>
        <v>23724.0674</v>
      </c>
      <c r="AC77" s="3" t="e">
        <f>+AB77-PRODUCTOS[[#This Row],[PPTO_ACTUALIZADO]]</f>
        <v>#VALUE!</v>
      </c>
    </row>
    <row r="78" spans="1:29" x14ac:dyDescent="0.25">
      <c r="A78">
        <v>302054</v>
      </c>
      <c r="B78" t="s">
        <v>356</v>
      </c>
      <c r="C78">
        <v>0</v>
      </c>
      <c r="D78" t="s">
        <v>240</v>
      </c>
      <c r="E78" t="s">
        <v>403</v>
      </c>
      <c r="F78" s="2">
        <v>5713</v>
      </c>
      <c r="G78" s="6" t="s">
        <v>355</v>
      </c>
      <c r="H78" s="2" t="s">
        <v>355</v>
      </c>
      <c r="I78" t="b">
        <v>0</v>
      </c>
      <c r="J78" t="str">
        <f>+_xlfn.XLOOKUP(PRODUCTOS[[#This Row],[CODIGO]],P_CRITICOS[CODIGO],P_CRITICOS[DESC CORTA],"",0)</f>
        <v>PINO 2X4X2,44</v>
      </c>
      <c r="K78" t="str">
        <f>+IFERROR(IF(VLOOKUP(PRODUCTOS[[#This Row],[CODIGO]],P_CRITICOS[],3,0)="*","PRODUCTO CRITICO","NO CRITICO"),"NO CRITICO")</f>
        <v>PRODUCTO CRITICO</v>
      </c>
      <c r="L78" s="15" t="str">
        <f>+_xlfn.XLOOKUP(PRODUCTOS[[#This Row],[CODIGO]],BD_MODULO[Artículo],BD_MODULO[CUB_ACTUALIZADA],"",0)</f>
        <v/>
      </c>
      <c r="M78" s="2" t="str">
        <f>+IFERROR(PRODUCTOS[[#This Row],[PPTO]]*PRODUCTOS[[#This Row],[CANT X MODULO]],"")</f>
        <v/>
      </c>
      <c r="N78" s="2" t="str">
        <f>+IFERROR(PRODUCTOS[[#This Row],[PPTO X MODULO]]*32,"")</f>
        <v/>
      </c>
      <c r="O78" s="2" t="str">
        <f>+IFERROR(PRODUCTOS[[#This Row],[PPTO X TORRE]]*22,"")</f>
        <v/>
      </c>
      <c r="P78" s="3" t="str">
        <f>+IFERROR(PRODUCTOS[[#This Row],[CANT X MODULO]]*702,"")</f>
        <v/>
      </c>
      <c r="Q78" s="3">
        <f>+SUMIFS(DETALLE_GD_1[CANTIDAD SOLICITADA],DETALLE_GD_1[CODIGO],PRODUCTOS[[#This Row],[CODIGO]])</f>
        <v>15000</v>
      </c>
      <c r="R78" s="3">
        <f>+SUMIFS(DETALLE_GD_1[DEVOLUCIÓN],DETALLE_GD_1[CODIGO],PRODUCTOS[[#This Row],[CODIGO]])</f>
        <v>0</v>
      </c>
      <c r="S78" s="3">
        <f>+PRODUCTOS[[#This Row],[CANT. COMPRADA]]-PRODUCTOS[[#This Row],[DEVOLUCIONES]]</f>
        <v>15000</v>
      </c>
      <c r="T78" s="3" t="str">
        <f>+IFERROR(PRODUCTOS[[#This Row],[CANTIDAD RECIBIDA]]/PRODUCTOS[[#This Row],[CANT X MODULO]],"")</f>
        <v/>
      </c>
      <c r="U78" s="3">
        <f>+SUMIFS(DETALLE_GD_1[VALOR TOTAL POR ITEM GD],DETALLE_GD_1[CODIGO],PRODUCTOS[[#This Row],[CODIGO]])</f>
        <v>73473574</v>
      </c>
      <c r="V78" s="3">
        <f>+IFERROR(PRODUCTOS[[#This Row],[PRECIO DE COMPRA]]/PRODUCTOS[[#This Row],[CANT. COMPRADA]],"")</f>
        <v>4898.2382666666663</v>
      </c>
      <c r="W78" s="3" t="str">
        <f>+IFERROR(PRODUCTOS[[#This Row],[PRECIO COMPRA UNITARIO]]*PRODUCTOS[[#This Row],[PPTO FALTANTE]],"")</f>
        <v/>
      </c>
      <c r="X78" s="7" t="str">
        <f>+IFERROR(PRODUCTOS[[#This Row],[PROYECCION COMPRA]]/PRODUCTOS[[#This Row],[PPTO TOTAL]]-1,"")</f>
        <v/>
      </c>
      <c r="Y78" s="3" t="str">
        <f>+IFERROR((PRODUCTOS[[#This Row],[CANT X MODULO]]*704)-PRODUCTOS[[#This Row],[CANT. COMPRADA]],"")</f>
        <v/>
      </c>
      <c r="Z78" s="17" t="str">
        <f>+IFERROR(PRODUCTOS[[#This Row],[CANT. COMPRADA]]/PRODUCTOS[[#This Row],[PPTO FALTANTE]],"")</f>
        <v/>
      </c>
      <c r="AA78" s="3" t="str">
        <f>+IFERROR(PRODUCTOS[[#This Row],[PROYECCION COMPRA]]-(PRODUCTOS[[#This Row],[PPTO FALTANTE]]*PRODUCTOS[[#This Row],[PPTO]]),"")</f>
        <v/>
      </c>
      <c r="AB78" s="3">
        <f>+_xlfn.XLOOKUP(PRODUCTOS[[#This Row],[CODIGO]],DETALLE_GD_1[CODIGO],DETALLE_GD_1[VALOR PPTO],"",0)</f>
        <v>5713</v>
      </c>
      <c r="AC78" s="3" t="e">
        <f>+AB78-PRODUCTOS[[#This Row],[PPTO_ACTUALIZADO]]</f>
        <v>#VALUE!</v>
      </c>
    </row>
    <row r="79" spans="1:29" hidden="1" x14ac:dyDescent="0.25">
      <c r="A79">
        <v>409011</v>
      </c>
      <c r="B79" t="s">
        <v>251</v>
      </c>
      <c r="C79">
        <v>0</v>
      </c>
      <c r="D79">
        <v>0</v>
      </c>
      <c r="E79">
        <v>0</v>
      </c>
      <c r="F79" s="2">
        <v>13713.269504</v>
      </c>
      <c r="G79" s="6" t="s">
        <v>137</v>
      </c>
      <c r="H79" s="2" t="s">
        <v>355</v>
      </c>
      <c r="I79" t="b">
        <v>0</v>
      </c>
      <c r="J79" t="str">
        <f>+_xlfn.XLOOKUP(PRODUCTOS[[#This Row],[CODIGO]],P_CRITICOS[CODIGO],P_CRITICOS[DESC CORTA],"",0)</f>
        <v/>
      </c>
      <c r="K79" t="str">
        <f>+IFERROR(IF(VLOOKUP(PRODUCTOS[[#This Row],[CODIGO]],P_CRITICOS[],3,0)="*","PRODUCTO CRITICO","NO CRITICO"),"NO CRITICO")</f>
        <v>NO CRITICO</v>
      </c>
      <c r="L79" s="15" t="str">
        <f>+_xlfn.XLOOKUP(PRODUCTOS[[#This Row],[CODIGO]],BD_MODULO[Artículo],BD_MODULO[CUB_ACTUALIZADA],"",0)</f>
        <v/>
      </c>
      <c r="M79" s="2" t="str">
        <f>+IFERROR(PRODUCTOS[[#This Row],[PPTO]]*PRODUCTOS[[#This Row],[CANT X MODULO]],"")</f>
        <v/>
      </c>
      <c r="N79" s="2" t="str">
        <f>+IFERROR(PRODUCTOS[[#This Row],[PPTO X MODULO]]*32,"")</f>
        <v/>
      </c>
      <c r="O79" s="2" t="str">
        <f>+IFERROR(PRODUCTOS[[#This Row],[PPTO X TORRE]]*22,"")</f>
        <v/>
      </c>
      <c r="P79" s="3" t="str">
        <f>+IFERROR(PRODUCTOS[[#This Row],[CANT X MODULO]]*702,"")</f>
        <v/>
      </c>
      <c r="Q79" s="3">
        <f>+SUMIFS(DETALLE_GD_1[CANTIDAD SOLICITADA],DETALLE_GD_1[CODIGO],PRODUCTOS[[#This Row],[CODIGO]])</f>
        <v>13</v>
      </c>
      <c r="R79" s="3">
        <f>+SUMIFS(DETALLE_GD_1[DEVOLUCIÓN],DETALLE_GD_1[CODIGO],PRODUCTOS[[#This Row],[CODIGO]])</f>
        <v>0</v>
      </c>
      <c r="S79" s="3">
        <f>+PRODUCTOS[[#This Row],[CANT. COMPRADA]]-PRODUCTOS[[#This Row],[DEVOLUCIONES]]</f>
        <v>13</v>
      </c>
      <c r="T79" s="3" t="str">
        <f>+IFERROR(PRODUCTOS[[#This Row],[CANTIDAD RECIBIDA]]/PRODUCTOS[[#This Row],[CANT X MODULO]],"")</f>
        <v/>
      </c>
      <c r="U79" s="3">
        <f>+SUMIFS(DETALLE_GD_1[VALOR TOTAL POR ITEM GD],DETALLE_GD_1[CODIGO],PRODUCTOS[[#This Row],[CODIGO]])</f>
        <v>192563</v>
      </c>
      <c r="V79" s="3">
        <f>+IFERROR(PRODUCTOS[[#This Row],[PRECIO DE COMPRA]]/PRODUCTOS[[#This Row],[CANT. COMPRADA]],"")</f>
        <v>14812.538461538461</v>
      </c>
      <c r="W79" s="3" t="str">
        <f>+IFERROR(PRODUCTOS[[#This Row],[PRECIO COMPRA UNITARIO]]*PRODUCTOS[[#This Row],[PPTO FALTANTE]],"")</f>
        <v/>
      </c>
      <c r="X79" s="7" t="str">
        <f>+IFERROR(PRODUCTOS[[#This Row],[PROYECCION COMPRA]]/PRODUCTOS[[#This Row],[PPTO TOTAL]]-1,"")</f>
        <v/>
      </c>
      <c r="Y79" s="3" t="str">
        <f>+IFERROR((PRODUCTOS[[#This Row],[CANT X MODULO]]*704)-PRODUCTOS[[#This Row],[CANT. COMPRADA]],"")</f>
        <v/>
      </c>
      <c r="Z79" s="17" t="str">
        <f>+IFERROR(PRODUCTOS[[#This Row],[CANT. COMPRADA]]/PRODUCTOS[[#This Row],[PPTO FALTANTE]],"")</f>
        <v/>
      </c>
      <c r="AA79" s="3" t="str">
        <f>+IFERROR(PRODUCTOS[[#This Row],[PROYECCION COMPRA]]-(PRODUCTOS[[#This Row],[PPTO FALTANTE]]*PRODUCTOS[[#This Row],[PPTO]]),"")</f>
        <v/>
      </c>
      <c r="AB79" s="3">
        <f>+_xlfn.XLOOKUP(PRODUCTOS[[#This Row],[CODIGO]],DETALLE_GD_1[CODIGO],DETALLE_GD_1[VALOR PPTO],"",0)</f>
        <v>13713.2695</v>
      </c>
      <c r="AC79" s="3" t="e">
        <f>+AB79-PRODUCTOS[[#This Row],[PPTO_ACTUALIZADO]]</f>
        <v>#VALUE!</v>
      </c>
    </row>
    <row r="80" spans="1:29" hidden="1" x14ac:dyDescent="0.25">
      <c r="A80" t="s">
        <v>242</v>
      </c>
      <c r="B80" t="s">
        <v>243</v>
      </c>
      <c r="C80">
        <v>0</v>
      </c>
      <c r="D80" t="s">
        <v>244</v>
      </c>
      <c r="E80" t="s">
        <v>409</v>
      </c>
      <c r="F80" s="2">
        <v>6762.9578080000001</v>
      </c>
      <c r="G80" s="6" t="s">
        <v>355</v>
      </c>
      <c r="H80" s="2" t="s">
        <v>355</v>
      </c>
      <c r="I80" t="b">
        <v>0</v>
      </c>
      <c r="J80" t="str">
        <f>+_xlfn.XLOOKUP(PRODUCTOS[[#This Row],[CODIGO]],P_CRITICOS[CODIGO],P_CRITICOS[DESC CORTA],"",0)</f>
        <v/>
      </c>
      <c r="K80" t="str">
        <f>+IFERROR(IF(VLOOKUP(PRODUCTOS[[#This Row],[CODIGO]],P_CRITICOS[],3,0)="*","PRODUCTO CRITICO","NO CRITICO"),"NO CRITICO")</f>
        <v>NO CRITICO</v>
      </c>
      <c r="L80" s="15" t="str">
        <f>+_xlfn.XLOOKUP(PRODUCTOS[[#This Row],[CODIGO]],BD_MODULO[Artículo],BD_MODULO[CUB_ACTUALIZADA],"",0)</f>
        <v/>
      </c>
      <c r="M80" s="2" t="str">
        <f>+IFERROR(PRODUCTOS[[#This Row],[PPTO]]*PRODUCTOS[[#This Row],[CANT X MODULO]],"")</f>
        <v/>
      </c>
      <c r="N80" s="2" t="str">
        <f>+IFERROR(PRODUCTOS[[#This Row],[PPTO X MODULO]]*32,"")</f>
        <v/>
      </c>
      <c r="O80" s="2" t="str">
        <f>+IFERROR(PRODUCTOS[[#This Row],[PPTO X TORRE]]*22,"")</f>
        <v/>
      </c>
      <c r="P80" s="3" t="str">
        <f>+IFERROR(PRODUCTOS[[#This Row],[CANT X MODULO]]*702,"")</f>
        <v/>
      </c>
      <c r="Q80" s="3">
        <f>+SUMIFS(DETALLE_GD_1[CANTIDAD SOLICITADA],DETALLE_GD_1[CODIGO],PRODUCTOS[[#This Row],[CODIGO]])</f>
        <v>0</v>
      </c>
      <c r="R80" s="3">
        <f>+SUMIFS(DETALLE_GD_1[DEVOLUCIÓN],DETALLE_GD_1[CODIGO],PRODUCTOS[[#This Row],[CODIGO]])</f>
        <v>0</v>
      </c>
      <c r="S80" s="3">
        <f>+PRODUCTOS[[#This Row],[CANT. COMPRADA]]-PRODUCTOS[[#This Row],[DEVOLUCIONES]]</f>
        <v>0</v>
      </c>
      <c r="T80" s="3" t="str">
        <f>+IFERROR(PRODUCTOS[[#This Row],[CANTIDAD RECIBIDA]]/PRODUCTOS[[#This Row],[CANT X MODULO]],"")</f>
        <v/>
      </c>
      <c r="U80" s="3">
        <f>+SUMIFS(DETALLE_GD_1[VALOR TOTAL POR ITEM GD],DETALLE_GD_1[CODIGO],PRODUCTOS[[#This Row],[CODIGO]])</f>
        <v>0</v>
      </c>
      <c r="V80" s="3" t="str">
        <f>+IFERROR(PRODUCTOS[[#This Row],[PRECIO DE COMPRA]]/PRODUCTOS[[#This Row],[CANT. COMPRADA]],"")</f>
        <v/>
      </c>
      <c r="W80" s="3" t="str">
        <f>+IFERROR(PRODUCTOS[[#This Row],[PRECIO COMPRA UNITARIO]]*PRODUCTOS[[#This Row],[PPTO FALTANTE]],"")</f>
        <v/>
      </c>
      <c r="X80" s="7" t="str">
        <f>+IFERROR(PRODUCTOS[[#This Row],[PROYECCION COMPRA]]/PRODUCTOS[[#This Row],[PPTO TOTAL]]-1,"")</f>
        <v/>
      </c>
      <c r="Y80" s="3" t="str">
        <f>+IFERROR((PRODUCTOS[[#This Row],[CANT X MODULO]]*704)-PRODUCTOS[[#This Row],[CANT. COMPRADA]],"")</f>
        <v/>
      </c>
      <c r="Z80" s="17" t="str">
        <f>+IFERROR(PRODUCTOS[[#This Row],[CANT. COMPRADA]]/PRODUCTOS[[#This Row],[PPTO FALTANTE]],"")</f>
        <v/>
      </c>
      <c r="AA80" s="3" t="str">
        <f>+IFERROR(PRODUCTOS[[#This Row],[PROYECCION COMPRA]]-(PRODUCTOS[[#This Row],[PPTO FALTANTE]]*PRODUCTOS[[#This Row],[PPTO]]),"")</f>
        <v/>
      </c>
      <c r="AB80" s="3" t="str">
        <f>+_xlfn.XLOOKUP(PRODUCTOS[[#This Row],[CODIGO]],DETALLE_GD_1[CODIGO],DETALLE_GD_1[VALOR PPTO],"",0)</f>
        <v/>
      </c>
      <c r="AC80" s="3" t="e">
        <f>+AB80-PRODUCTOS[[#This Row],[PPTO_ACTUALIZADO]]</f>
        <v>#VALUE!</v>
      </c>
    </row>
    <row r="81" spans="1:29" hidden="1" x14ac:dyDescent="0.25">
      <c r="A81">
        <v>1103090</v>
      </c>
      <c r="B81" t="s">
        <v>290</v>
      </c>
      <c r="C81">
        <v>0</v>
      </c>
      <c r="D81" t="s">
        <v>240</v>
      </c>
      <c r="E81" t="s">
        <v>411</v>
      </c>
      <c r="F81" s="2">
        <v>11800</v>
      </c>
      <c r="G81" s="6" t="s">
        <v>355</v>
      </c>
      <c r="H81" s="2" t="s">
        <v>355</v>
      </c>
      <c r="I81" t="b">
        <v>0</v>
      </c>
      <c r="J81" t="str">
        <f>+_xlfn.XLOOKUP(PRODUCTOS[[#This Row],[CODIGO]],P_CRITICOS[CODIGO],P_CRITICOS[DESC CORTA],"",0)</f>
        <v/>
      </c>
      <c r="K81" t="str">
        <f>+IFERROR(IF(VLOOKUP(PRODUCTOS[[#This Row],[CODIGO]],P_CRITICOS[],3,0)="*","PRODUCTO CRITICO","NO CRITICO"),"NO CRITICO")</f>
        <v>NO CRITICO</v>
      </c>
      <c r="L81" s="15" t="str">
        <f>+_xlfn.XLOOKUP(PRODUCTOS[[#This Row],[CODIGO]],BD_MODULO[Artículo],BD_MODULO[CUB_ACTUALIZADA],"",0)</f>
        <v/>
      </c>
      <c r="M81" s="2" t="str">
        <f>+IFERROR(PRODUCTOS[[#This Row],[PPTO]]*PRODUCTOS[[#This Row],[CANT X MODULO]],"")</f>
        <v/>
      </c>
      <c r="N81" s="2" t="str">
        <f>+IFERROR(PRODUCTOS[[#This Row],[PPTO X MODULO]]*32,"")</f>
        <v/>
      </c>
      <c r="O81" s="2" t="str">
        <f>+IFERROR(PRODUCTOS[[#This Row],[PPTO X TORRE]]*22,"")</f>
        <v/>
      </c>
      <c r="P81" s="3" t="str">
        <f>+IFERROR(PRODUCTOS[[#This Row],[CANT X MODULO]]*702,"")</f>
        <v/>
      </c>
      <c r="Q81" s="3">
        <f>+SUMIFS(DETALLE_GD_1[CANTIDAD SOLICITADA],DETALLE_GD_1[CODIGO],PRODUCTOS[[#This Row],[CODIGO]])</f>
        <v>0</v>
      </c>
      <c r="R81" s="3">
        <f>+SUMIFS(DETALLE_GD_1[DEVOLUCIÓN],DETALLE_GD_1[CODIGO],PRODUCTOS[[#This Row],[CODIGO]])</f>
        <v>0</v>
      </c>
      <c r="S81" s="3">
        <f>+PRODUCTOS[[#This Row],[CANT. COMPRADA]]-PRODUCTOS[[#This Row],[DEVOLUCIONES]]</f>
        <v>0</v>
      </c>
      <c r="T81" s="3" t="str">
        <f>+IFERROR(PRODUCTOS[[#This Row],[CANTIDAD RECIBIDA]]/PRODUCTOS[[#This Row],[CANT X MODULO]],"")</f>
        <v/>
      </c>
      <c r="U81" s="3">
        <f>+SUMIFS(DETALLE_GD_1[VALOR TOTAL POR ITEM GD],DETALLE_GD_1[CODIGO],PRODUCTOS[[#This Row],[CODIGO]])</f>
        <v>0</v>
      </c>
      <c r="V81" s="3" t="str">
        <f>+IFERROR(PRODUCTOS[[#This Row],[PRECIO DE COMPRA]]/PRODUCTOS[[#This Row],[CANT. COMPRADA]],"")</f>
        <v/>
      </c>
      <c r="W81" s="3" t="str">
        <f>+IFERROR(PRODUCTOS[[#This Row],[PRECIO COMPRA UNITARIO]]*PRODUCTOS[[#This Row],[PPTO FALTANTE]],"")</f>
        <v/>
      </c>
      <c r="X81" s="7" t="str">
        <f>+IFERROR(PRODUCTOS[[#This Row],[PROYECCION COMPRA]]/PRODUCTOS[[#This Row],[PPTO TOTAL]]-1,"")</f>
        <v/>
      </c>
      <c r="Y81" s="3" t="str">
        <f>+IFERROR((PRODUCTOS[[#This Row],[CANT X MODULO]]*704)-PRODUCTOS[[#This Row],[CANT. COMPRADA]],"")</f>
        <v/>
      </c>
      <c r="Z81" s="17" t="str">
        <f>+IFERROR(PRODUCTOS[[#This Row],[CANT. COMPRADA]]/PRODUCTOS[[#This Row],[PPTO FALTANTE]],"")</f>
        <v/>
      </c>
      <c r="AA81" s="3" t="str">
        <f>+IFERROR(PRODUCTOS[[#This Row],[PROYECCION COMPRA]]-(PRODUCTOS[[#This Row],[PPTO FALTANTE]]*PRODUCTOS[[#This Row],[PPTO]]),"")</f>
        <v/>
      </c>
      <c r="AB81" s="3" t="str">
        <f>+_xlfn.XLOOKUP(PRODUCTOS[[#This Row],[CODIGO]],DETALLE_GD_1[CODIGO],DETALLE_GD_1[VALOR PPTO],"",0)</f>
        <v/>
      </c>
      <c r="AC81" s="3" t="e">
        <f>+AB81-PRODUCTOS[[#This Row],[PPTO_ACTUALIZADO]]</f>
        <v>#VALUE!</v>
      </c>
    </row>
    <row r="82" spans="1:29" hidden="1" x14ac:dyDescent="0.25">
      <c r="A82">
        <v>1103091</v>
      </c>
      <c r="B82" t="s">
        <v>291</v>
      </c>
      <c r="C82">
        <v>0</v>
      </c>
      <c r="D82" t="s">
        <v>240</v>
      </c>
      <c r="E82" t="s">
        <v>411</v>
      </c>
      <c r="F82" s="2">
        <v>8850</v>
      </c>
      <c r="G82" s="6" t="s">
        <v>355</v>
      </c>
      <c r="H82" s="2" t="s">
        <v>355</v>
      </c>
      <c r="I82" t="b">
        <v>0</v>
      </c>
      <c r="J82" t="str">
        <f>+_xlfn.XLOOKUP(PRODUCTOS[[#This Row],[CODIGO]],P_CRITICOS[CODIGO],P_CRITICOS[DESC CORTA],"",0)</f>
        <v/>
      </c>
      <c r="K82" t="str">
        <f>+IFERROR(IF(VLOOKUP(PRODUCTOS[[#This Row],[CODIGO]],P_CRITICOS[],3,0)="*","PRODUCTO CRITICO","NO CRITICO"),"NO CRITICO")</f>
        <v>NO CRITICO</v>
      </c>
      <c r="L82" s="15" t="str">
        <f>+_xlfn.XLOOKUP(PRODUCTOS[[#This Row],[CODIGO]],BD_MODULO[Artículo],BD_MODULO[CUB_ACTUALIZADA],"",0)</f>
        <v/>
      </c>
      <c r="M82" s="2" t="str">
        <f>+IFERROR(PRODUCTOS[[#This Row],[PPTO]]*PRODUCTOS[[#This Row],[CANT X MODULO]],"")</f>
        <v/>
      </c>
      <c r="N82" s="2" t="str">
        <f>+IFERROR(PRODUCTOS[[#This Row],[PPTO X MODULO]]*32,"")</f>
        <v/>
      </c>
      <c r="O82" s="2" t="str">
        <f>+IFERROR(PRODUCTOS[[#This Row],[PPTO X TORRE]]*22,"")</f>
        <v/>
      </c>
      <c r="P82" s="3" t="str">
        <f>+IFERROR(PRODUCTOS[[#This Row],[CANT X MODULO]]*702,"")</f>
        <v/>
      </c>
      <c r="Q82" s="3">
        <f>+SUMIFS(DETALLE_GD_1[CANTIDAD SOLICITADA],DETALLE_GD_1[CODIGO],PRODUCTOS[[#This Row],[CODIGO]])</f>
        <v>0</v>
      </c>
      <c r="R82" s="3">
        <f>+SUMIFS(DETALLE_GD_1[DEVOLUCIÓN],DETALLE_GD_1[CODIGO],PRODUCTOS[[#This Row],[CODIGO]])</f>
        <v>0</v>
      </c>
      <c r="S82" s="3">
        <f>+PRODUCTOS[[#This Row],[CANT. COMPRADA]]-PRODUCTOS[[#This Row],[DEVOLUCIONES]]</f>
        <v>0</v>
      </c>
      <c r="T82" s="3" t="str">
        <f>+IFERROR(PRODUCTOS[[#This Row],[CANTIDAD RECIBIDA]]/PRODUCTOS[[#This Row],[CANT X MODULO]],"")</f>
        <v/>
      </c>
      <c r="U82" s="3">
        <f>+SUMIFS(DETALLE_GD_1[VALOR TOTAL POR ITEM GD],DETALLE_GD_1[CODIGO],PRODUCTOS[[#This Row],[CODIGO]])</f>
        <v>0</v>
      </c>
      <c r="V82" s="3" t="str">
        <f>+IFERROR(PRODUCTOS[[#This Row],[PRECIO DE COMPRA]]/PRODUCTOS[[#This Row],[CANT. COMPRADA]],"")</f>
        <v/>
      </c>
      <c r="W82" s="3" t="str">
        <f>+IFERROR(PRODUCTOS[[#This Row],[PRECIO COMPRA UNITARIO]]*PRODUCTOS[[#This Row],[PPTO FALTANTE]],"")</f>
        <v/>
      </c>
      <c r="X82" s="7" t="str">
        <f>+IFERROR(PRODUCTOS[[#This Row],[PROYECCION COMPRA]]/PRODUCTOS[[#This Row],[PPTO TOTAL]]-1,"")</f>
        <v/>
      </c>
      <c r="Y82" s="3" t="str">
        <f>+IFERROR((PRODUCTOS[[#This Row],[CANT X MODULO]]*704)-PRODUCTOS[[#This Row],[CANT. COMPRADA]],"")</f>
        <v/>
      </c>
      <c r="Z82" s="17" t="str">
        <f>+IFERROR(PRODUCTOS[[#This Row],[CANT. COMPRADA]]/PRODUCTOS[[#This Row],[PPTO FALTANTE]],"")</f>
        <v/>
      </c>
      <c r="AA82" s="3" t="str">
        <f>+IFERROR(PRODUCTOS[[#This Row],[PROYECCION COMPRA]]-(PRODUCTOS[[#This Row],[PPTO FALTANTE]]*PRODUCTOS[[#This Row],[PPTO]]),"")</f>
        <v/>
      </c>
      <c r="AB82" s="3" t="str">
        <f>+_xlfn.XLOOKUP(PRODUCTOS[[#This Row],[CODIGO]],DETALLE_GD_1[CODIGO],DETALLE_GD_1[VALOR PPTO],"",0)</f>
        <v/>
      </c>
      <c r="AC82" s="3" t="e">
        <f>+AB82-PRODUCTOS[[#This Row],[PPTO_ACTUALIZADO]]</f>
        <v>#VALUE!</v>
      </c>
    </row>
    <row r="83" spans="1:29" hidden="1" x14ac:dyDescent="0.25">
      <c r="A83" t="s">
        <v>294</v>
      </c>
      <c r="B83" t="s">
        <v>295</v>
      </c>
      <c r="C83">
        <v>0</v>
      </c>
      <c r="D83" t="s">
        <v>244</v>
      </c>
      <c r="E83" t="s">
        <v>124</v>
      </c>
      <c r="F83" s="2">
        <v>1</v>
      </c>
      <c r="G83" s="6" t="s">
        <v>355</v>
      </c>
      <c r="H83" s="2" t="s">
        <v>355</v>
      </c>
      <c r="I83" t="b">
        <v>0</v>
      </c>
      <c r="J83" t="str">
        <f>+_xlfn.XLOOKUP(PRODUCTOS[[#This Row],[CODIGO]],P_CRITICOS[CODIGO],P_CRITICOS[DESC CORTA],"",0)</f>
        <v/>
      </c>
      <c r="K83" t="str">
        <f>+IFERROR(IF(VLOOKUP(PRODUCTOS[[#This Row],[CODIGO]],P_CRITICOS[],3,0)="*","PRODUCTO CRITICO","NO CRITICO"),"NO CRITICO")</f>
        <v>NO CRITICO</v>
      </c>
      <c r="L83" s="15" t="str">
        <f>+_xlfn.XLOOKUP(PRODUCTOS[[#This Row],[CODIGO]],BD_MODULO[Artículo],BD_MODULO[CUB_ACTUALIZADA],"",0)</f>
        <v/>
      </c>
      <c r="M83" s="2" t="str">
        <f>+IFERROR(PRODUCTOS[[#This Row],[PPTO]]*PRODUCTOS[[#This Row],[CANT X MODULO]],"")</f>
        <v/>
      </c>
      <c r="N83" s="2" t="str">
        <f>+IFERROR(PRODUCTOS[[#This Row],[PPTO X MODULO]]*32,"")</f>
        <v/>
      </c>
      <c r="O83" s="2" t="str">
        <f>+IFERROR(PRODUCTOS[[#This Row],[PPTO X TORRE]]*22,"")</f>
        <v/>
      </c>
      <c r="P83" s="3" t="str">
        <f>+IFERROR(PRODUCTOS[[#This Row],[CANT X MODULO]]*702,"")</f>
        <v/>
      </c>
      <c r="Q83" s="3">
        <f>+SUMIFS(DETALLE_GD_1[CANTIDAD SOLICITADA],DETALLE_GD_1[CODIGO],PRODUCTOS[[#This Row],[CODIGO]])</f>
        <v>0</v>
      </c>
      <c r="R83" s="3">
        <f>+SUMIFS(DETALLE_GD_1[DEVOLUCIÓN],DETALLE_GD_1[CODIGO],PRODUCTOS[[#This Row],[CODIGO]])</f>
        <v>0</v>
      </c>
      <c r="S83" s="3">
        <f>+PRODUCTOS[[#This Row],[CANT. COMPRADA]]-PRODUCTOS[[#This Row],[DEVOLUCIONES]]</f>
        <v>0</v>
      </c>
      <c r="T83" s="3" t="str">
        <f>+IFERROR(PRODUCTOS[[#This Row],[CANTIDAD RECIBIDA]]/PRODUCTOS[[#This Row],[CANT X MODULO]],"")</f>
        <v/>
      </c>
      <c r="U83" s="3">
        <f>+SUMIFS(DETALLE_GD_1[VALOR TOTAL POR ITEM GD],DETALLE_GD_1[CODIGO],PRODUCTOS[[#This Row],[CODIGO]])</f>
        <v>0</v>
      </c>
      <c r="V83" s="3" t="str">
        <f>+IFERROR(PRODUCTOS[[#This Row],[PRECIO DE COMPRA]]/PRODUCTOS[[#This Row],[CANT. COMPRADA]],"")</f>
        <v/>
      </c>
      <c r="W83" s="3" t="str">
        <f>+IFERROR(PRODUCTOS[[#This Row],[PRECIO COMPRA UNITARIO]]*PRODUCTOS[[#This Row],[PPTO FALTANTE]],"")</f>
        <v/>
      </c>
      <c r="X83" s="7" t="str">
        <f>+IFERROR(PRODUCTOS[[#This Row],[PROYECCION COMPRA]]/PRODUCTOS[[#This Row],[PPTO TOTAL]]-1,"")</f>
        <v/>
      </c>
      <c r="Y83" s="3" t="str">
        <f>+IFERROR((PRODUCTOS[[#This Row],[CANT X MODULO]]*704)-PRODUCTOS[[#This Row],[CANT. COMPRADA]],"")</f>
        <v/>
      </c>
      <c r="Z83" s="17" t="str">
        <f>+IFERROR(PRODUCTOS[[#This Row],[CANT. COMPRADA]]/PRODUCTOS[[#This Row],[PPTO FALTANTE]],"")</f>
        <v/>
      </c>
      <c r="AA83" s="3" t="str">
        <f>+IFERROR(PRODUCTOS[[#This Row],[PROYECCION COMPRA]]-(PRODUCTOS[[#This Row],[PPTO FALTANTE]]*PRODUCTOS[[#This Row],[PPTO]]),"")</f>
        <v/>
      </c>
      <c r="AB83" s="3" t="str">
        <f>+_xlfn.XLOOKUP(PRODUCTOS[[#This Row],[CODIGO]],DETALLE_GD_1[CODIGO],DETALLE_GD_1[VALOR PPTO],"",0)</f>
        <v/>
      </c>
      <c r="AC83" s="3" t="e">
        <f>+AB83-PRODUCTOS[[#This Row],[PPTO_ACTUALIZADO]]</f>
        <v>#VALUE!</v>
      </c>
    </row>
    <row r="84" spans="1:29" hidden="1" x14ac:dyDescent="0.25">
      <c r="A84" t="s">
        <v>292</v>
      </c>
      <c r="B84" t="s">
        <v>293</v>
      </c>
      <c r="C84">
        <v>0</v>
      </c>
      <c r="D84" t="s">
        <v>244</v>
      </c>
      <c r="E84" t="s">
        <v>407</v>
      </c>
      <c r="F84" s="2">
        <v>1</v>
      </c>
      <c r="G84" s="6" t="s">
        <v>68</v>
      </c>
      <c r="H84" s="2" t="s">
        <v>355</v>
      </c>
      <c r="I84" t="b">
        <v>0</v>
      </c>
      <c r="J84" t="str">
        <f>+_xlfn.XLOOKUP(PRODUCTOS[[#This Row],[CODIGO]],P_CRITICOS[CODIGO],P_CRITICOS[DESC CORTA],"",0)</f>
        <v/>
      </c>
      <c r="K84" t="str">
        <f>+IFERROR(IF(VLOOKUP(PRODUCTOS[[#This Row],[CODIGO]],P_CRITICOS[],3,0)="*","PRODUCTO CRITICO","NO CRITICO"),"NO CRITICO")</f>
        <v>NO CRITICO</v>
      </c>
      <c r="L84" s="15" t="str">
        <f>+_xlfn.XLOOKUP(PRODUCTOS[[#This Row],[CODIGO]],BD_MODULO[Artículo],BD_MODULO[CUB_ACTUALIZADA],"",0)</f>
        <v/>
      </c>
      <c r="M84" s="2" t="str">
        <f>+IFERROR(PRODUCTOS[[#This Row],[PPTO]]*PRODUCTOS[[#This Row],[CANT X MODULO]],"")</f>
        <v/>
      </c>
      <c r="N84" s="2" t="str">
        <f>+IFERROR(PRODUCTOS[[#This Row],[PPTO X MODULO]]*32,"")</f>
        <v/>
      </c>
      <c r="O84" s="2" t="str">
        <f>+IFERROR(PRODUCTOS[[#This Row],[PPTO X TORRE]]*22,"")</f>
        <v/>
      </c>
      <c r="P84" s="3" t="str">
        <f>+IFERROR(PRODUCTOS[[#This Row],[CANT X MODULO]]*702,"")</f>
        <v/>
      </c>
      <c r="Q84" s="3">
        <f>+SUMIFS(DETALLE_GD_1[CANTIDAD SOLICITADA],DETALLE_GD_1[CODIGO],PRODUCTOS[[#This Row],[CODIGO]])</f>
        <v>0</v>
      </c>
      <c r="R84" s="3">
        <f>+SUMIFS(DETALLE_GD_1[DEVOLUCIÓN],DETALLE_GD_1[CODIGO],PRODUCTOS[[#This Row],[CODIGO]])</f>
        <v>0</v>
      </c>
      <c r="S84" s="3">
        <f>+PRODUCTOS[[#This Row],[CANT. COMPRADA]]-PRODUCTOS[[#This Row],[DEVOLUCIONES]]</f>
        <v>0</v>
      </c>
      <c r="T84" s="3" t="str">
        <f>+IFERROR(PRODUCTOS[[#This Row],[CANTIDAD RECIBIDA]]/PRODUCTOS[[#This Row],[CANT X MODULO]],"")</f>
        <v/>
      </c>
      <c r="U84" s="3">
        <f>+SUMIFS(DETALLE_GD_1[VALOR TOTAL POR ITEM GD],DETALLE_GD_1[CODIGO],PRODUCTOS[[#This Row],[CODIGO]])</f>
        <v>0</v>
      </c>
      <c r="V84" s="3" t="str">
        <f>+IFERROR(PRODUCTOS[[#This Row],[PRECIO DE COMPRA]]/PRODUCTOS[[#This Row],[CANT. COMPRADA]],"")</f>
        <v/>
      </c>
      <c r="W84" s="3" t="str">
        <f>+IFERROR(PRODUCTOS[[#This Row],[PRECIO COMPRA UNITARIO]]*PRODUCTOS[[#This Row],[PPTO FALTANTE]],"")</f>
        <v/>
      </c>
      <c r="X84" s="7" t="str">
        <f>+IFERROR(PRODUCTOS[[#This Row],[PROYECCION COMPRA]]/PRODUCTOS[[#This Row],[PPTO TOTAL]]-1,"")</f>
        <v/>
      </c>
      <c r="Y84" s="3" t="str">
        <f>+IFERROR((PRODUCTOS[[#This Row],[CANT X MODULO]]*704)-PRODUCTOS[[#This Row],[CANT. COMPRADA]],"")</f>
        <v/>
      </c>
      <c r="Z84" s="17" t="str">
        <f>+IFERROR(PRODUCTOS[[#This Row],[CANT. COMPRADA]]/PRODUCTOS[[#This Row],[PPTO FALTANTE]],"")</f>
        <v/>
      </c>
      <c r="AA84" s="3" t="str">
        <f>+IFERROR(PRODUCTOS[[#This Row],[PROYECCION COMPRA]]-(PRODUCTOS[[#This Row],[PPTO FALTANTE]]*PRODUCTOS[[#This Row],[PPTO]]),"")</f>
        <v/>
      </c>
      <c r="AB84" s="3" t="str">
        <f>+_xlfn.XLOOKUP(PRODUCTOS[[#This Row],[CODIGO]],DETALLE_GD_1[CODIGO],DETALLE_GD_1[VALOR PPTO],"",0)</f>
        <v/>
      </c>
      <c r="AC84" s="3" t="e">
        <f>+AB84-PRODUCTOS[[#This Row],[PPTO_ACTUALIZADO]]</f>
        <v>#VALUE!</v>
      </c>
    </row>
    <row r="85" spans="1:29" hidden="1" x14ac:dyDescent="0.25">
      <c r="A85" t="s">
        <v>358</v>
      </c>
      <c r="B85" t="s">
        <v>362</v>
      </c>
      <c r="C85">
        <v>0</v>
      </c>
      <c r="D85">
        <v>0</v>
      </c>
      <c r="E85">
        <v>0</v>
      </c>
      <c r="F85" s="2">
        <v>102900</v>
      </c>
      <c r="G85" s="6" t="s">
        <v>355</v>
      </c>
      <c r="H85" s="2" t="s">
        <v>355</v>
      </c>
      <c r="I85" t="b">
        <v>0</v>
      </c>
      <c r="J85" t="str">
        <f>+_xlfn.XLOOKUP(PRODUCTOS[[#This Row],[CODIGO]],P_CRITICOS[CODIGO],P_CRITICOS[DESC CORTA],"",0)</f>
        <v/>
      </c>
      <c r="K85" t="str">
        <f>+IFERROR(IF(VLOOKUP(PRODUCTOS[[#This Row],[CODIGO]],P_CRITICOS[],3,0)="*","PRODUCTO CRITICO","NO CRITICO"),"NO CRITICO")</f>
        <v>NO CRITICO</v>
      </c>
      <c r="L85" s="15" t="str">
        <f>+_xlfn.XLOOKUP(PRODUCTOS[[#This Row],[CODIGO]],BD_MODULO[Artículo],BD_MODULO[CUB_ACTUALIZADA],"",0)</f>
        <v/>
      </c>
      <c r="M85" s="2" t="str">
        <f>+IFERROR(PRODUCTOS[[#This Row],[PPTO]]*PRODUCTOS[[#This Row],[CANT X MODULO]],"")</f>
        <v/>
      </c>
      <c r="N85" s="2" t="str">
        <f>+IFERROR(PRODUCTOS[[#This Row],[PPTO X MODULO]]*32,"")</f>
        <v/>
      </c>
      <c r="O85" s="2" t="str">
        <f>+IFERROR(PRODUCTOS[[#This Row],[PPTO X TORRE]]*22,"")</f>
        <v/>
      </c>
      <c r="P85" s="3" t="str">
        <f>+IFERROR(PRODUCTOS[[#This Row],[CANT X MODULO]]*702,"")</f>
        <v/>
      </c>
      <c r="Q85" s="3">
        <f>+SUMIFS(DETALLE_GD_1[CANTIDAD SOLICITADA],DETALLE_GD_1[CODIGO],PRODUCTOS[[#This Row],[CODIGO]])</f>
        <v>0</v>
      </c>
      <c r="R85" s="3">
        <f>+SUMIFS(DETALLE_GD_1[DEVOLUCIÓN],DETALLE_GD_1[CODIGO],PRODUCTOS[[#This Row],[CODIGO]])</f>
        <v>0</v>
      </c>
      <c r="S85" s="3">
        <f>+PRODUCTOS[[#This Row],[CANT. COMPRADA]]-PRODUCTOS[[#This Row],[DEVOLUCIONES]]</f>
        <v>0</v>
      </c>
      <c r="T85" s="3" t="str">
        <f>+IFERROR(PRODUCTOS[[#This Row],[CANTIDAD RECIBIDA]]/PRODUCTOS[[#This Row],[CANT X MODULO]],"")</f>
        <v/>
      </c>
      <c r="U85" s="3">
        <f>+SUMIFS(DETALLE_GD_1[VALOR TOTAL POR ITEM GD],DETALLE_GD_1[CODIGO],PRODUCTOS[[#This Row],[CODIGO]])</f>
        <v>0</v>
      </c>
      <c r="V85" s="3" t="str">
        <f>+IFERROR(PRODUCTOS[[#This Row],[PRECIO DE COMPRA]]/PRODUCTOS[[#This Row],[CANT. COMPRADA]],"")</f>
        <v/>
      </c>
      <c r="W85" s="3" t="str">
        <f>+IFERROR(PRODUCTOS[[#This Row],[PRECIO COMPRA UNITARIO]]*PRODUCTOS[[#This Row],[PPTO FALTANTE]],"")</f>
        <v/>
      </c>
      <c r="X85" s="7" t="str">
        <f>+IFERROR(PRODUCTOS[[#This Row],[PROYECCION COMPRA]]/PRODUCTOS[[#This Row],[PPTO TOTAL]]-1,"")</f>
        <v/>
      </c>
      <c r="Y85" s="3" t="str">
        <f>+IFERROR((PRODUCTOS[[#This Row],[CANT X MODULO]]*704)-PRODUCTOS[[#This Row],[CANT. COMPRADA]],"")</f>
        <v/>
      </c>
      <c r="Z85" s="17" t="str">
        <f>+IFERROR(PRODUCTOS[[#This Row],[CANT. COMPRADA]]/PRODUCTOS[[#This Row],[PPTO FALTANTE]],"")</f>
        <v/>
      </c>
      <c r="AA85" s="3" t="str">
        <f>+IFERROR(PRODUCTOS[[#This Row],[PROYECCION COMPRA]]-(PRODUCTOS[[#This Row],[PPTO FALTANTE]]*PRODUCTOS[[#This Row],[PPTO]]),"")</f>
        <v/>
      </c>
      <c r="AB85" s="3" t="str">
        <f>+_xlfn.XLOOKUP(PRODUCTOS[[#This Row],[CODIGO]],DETALLE_GD_1[CODIGO],DETALLE_GD_1[VALOR PPTO],"",0)</f>
        <v/>
      </c>
      <c r="AC85" s="3" t="e">
        <f>+AB85-PRODUCTOS[[#This Row],[PPTO_ACTUALIZADO]]</f>
        <v>#VALUE!</v>
      </c>
    </row>
    <row r="86" spans="1:29" hidden="1" x14ac:dyDescent="0.25">
      <c r="A86" t="s">
        <v>299</v>
      </c>
      <c r="B86" t="s">
        <v>300</v>
      </c>
      <c r="C86">
        <v>0</v>
      </c>
      <c r="D86">
        <v>0</v>
      </c>
      <c r="E86">
        <v>0</v>
      </c>
      <c r="F86" s="2">
        <v>29779</v>
      </c>
      <c r="G86" s="6" t="s">
        <v>355</v>
      </c>
      <c r="H86" s="2" t="s">
        <v>355</v>
      </c>
      <c r="I86" t="b">
        <v>0</v>
      </c>
      <c r="J86" t="str">
        <f>+_xlfn.XLOOKUP(PRODUCTOS[[#This Row],[CODIGO]],P_CRITICOS[CODIGO],P_CRITICOS[DESC CORTA],"",0)</f>
        <v/>
      </c>
      <c r="K86" t="str">
        <f>+IFERROR(IF(VLOOKUP(PRODUCTOS[[#This Row],[CODIGO]],P_CRITICOS[],3,0)="*","PRODUCTO CRITICO","NO CRITICO"),"NO CRITICO")</f>
        <v>NO CRITICO</v>
      </c>
      <c r="L86" s="15" t="str">
        <f>+_xlfn.XLOOKUP(PRODUCTOS[[#This Row],[CODIGO]],BD_MODULO[Artículo],BD_MODULO[CUB_ACTUALIZADA],"",0)</f>
        <v/>
      </c>
      <c r="M86" s="2" t="str">
        <f>+IFERROR(PRODUCTOS[[#This Row],[PPTO]]*PRODUCTOS[[#This Row],[CANT X MODULO]],"")</f>
        <v/>
      </c>
      <c r="N86" s="2" t="str">
        <f>+IFERROR(PRODUCTOS[[#This Row],[PPTO X MODULO]]*32,"")</f>
        <v/>
      </c>
      <c r="O86" s="2" t="str">
        <f>+IFERROR(PRODUCTOS[[#This Row],[PPTO X TORRE]]*22,"")</f>
        <v/>
      </c>
      <c r="P86" s="3" t="str">
        <f>+IFERROR(PRODUCTOS[[#This Row],[CANT X MODULO]]*702,"")</f>
        <v/>
      </c>
      <c r="Q86" s="3">
        <f>+SUMIFS(DETALLE_GD_1[CANTIDAD SOLICITADA],DETALLE_GD_1[CODIGO],PRODUCTOS[[#This Row],[CODIGO]])</f>
        <v>0</v>
      </c>
      <c r="R86" s="3">
        <f>+SUMIFS(DETALLE_GD_1[DEVOLUCIÓN],DETALLE_GD_1[CODIGO],PRODUCTOS[[#This Row],[CODIGO]])</f>
        <v>0</v>
      </c>
      <c r="S86" s="3">
        <f>+PRODUCTOS[[#This Row],[CANT. COMPRADA]]-PRODUCTOS[[#This Row],[DEVOLUCIONES]]</f>
        <v>0</v>
      </c>
      <c r="T86" s="3" t="str">
        <f>+IFERROR(PRODUCTOS[[#This Row],[CANTIDAD RECIBIDA]]/PRODUCTOS[[#This Row],[CANT X MODULO]],"")</f>
        <v/>
      </c>
      <c r="U86" s="3">
        <f>+SUMIFS(DETALLE_GD_1[VALOR TOTAL POR ITEM GD],DETALLE_GD_1[CODIGO],PRODUCTOS[[#This Row],[CODIGO]])</f>
        <v>0</v>
      </c>
      <c r="V86" s="3" t="str">
        <f>+IFERROR(PRODUCTOS[[#This Row],[PRECIO DE COMPRA]]/PRODUCTOS[[#This Row],[CANT. COMPRADA]],"")</f>
        <v/>
      </c>
      <c r="W86" s="3" t="str">
        <f>+IFERROR(PRODUCTOS[[#This Row],[PRECIO COMPRA UNITARIO]]*PRODUCTOS[[#This Row],[PPTO FALTANTE]],"")</f>
        <v/>
      </c>
      <c r="X86" s="7" t="str">
        <f>+IFERROR(PRODUCTOS[[#This Row],[PROYECCION COMPRA]]/PRODUCTOS[[#This Row],[PPTO TOTAL]]-1,"")</f>
        <v/>
      </c>
      <c r="Y86" s="3" t="str">
        <f>+IFERROR((PRODUCTOS[[#This Row],[CANT X MODULO]]*704)-PRODUCTOS[[#This Row],[CANT. COMPRADA]],"")</f>
        <v/>
      </c>
      <c r="Z86" s="17" t="str">
        <f>+IFERROR(PRODUCTOS[[#This Row],[CANT. COMPRADA]]/PRODUCTOS[[#This Row],[PPTO FALTANTE]],"")</f>
        <v/>
      </c>
      <c r="AA86" s="3" t="str">
        <f>+IFERROR(PRODUCTOS[[#This Row],[PROYECCION COMPRA]]-(PRODUCTOS[[#This Row],[PPTO FALTANTE]]*PRODUCTOS[[#This Row],[PPTO]]),"")</f>
        <v/>
      </c>
      <c r="AB86" s="3" t="str">
        <f>+_xlfn.XLOOKUP(PRODUCTOS[[#This Row],[CODIGO]],DETALLE_GD_1[CODIGO],DETALLE_GD_1[VALOR PPTO],"",0)</f>
        <v/>
      </c>
      <c r="AC86" s="3" t="e">
        <f>+AB86-PRODUCTOS[[#This Row],[PPTO_ACTUALIZADO]]</f>
        <v>#VALUE!</v>
      </c>
    </row>
    <row r="87" spans="1:29" hidden="1" x14ac:dyDescent="0.25">
      <c r="A87" t="s">
        <v>301</v>
      </c>
      <c r="B87" t="s">
        <v>302</v>
      </c>
      <c r="C87" t="s">
        <v>639</v>
      </c>
      <c r="D87" t="s">
        <v>240</v>
      </c>
      <c r="E87" t="s">
        <v>404</v>
      </c>
      <c r="F87" s="2">
        <v>651.5</v>
      </c>
      <c r="G87" s="6" t="s">
        <v>355</v>
      </c>
      <c r="H87" s="2" t="s">
        <v>355</v>
      </c>
      <c r="I87" t="b">
        <v>0</v>
      </c>
      <c r="J87" t="str">
        <f>+_xlfn.XLOOKUP(PRODUCTOS[[#This Row],[CODIGO]],P_CRITICOS[CODIGO],P_CRITICOS[DESC CORTA],"",0)</f>
        <v/>
      </c>
      <c r="K87" t="str">
        <f>+IFERROR(IF(VLOOKUP(PRODUCTOS[[#This Row],[CODIGO]],P_CRITICOS[],3,0)="*","PRODUCTO CRITICO","NO CRITICO"),"NO CRITICO")</f>
        <v>NO CRITICO</v>
      </c>
      <c r="L87" s="15" t="str">
        <f>+_xlfn.XLOOKUP(PRODUCTOS[[#This Row],[CODIGO]],BD_MODULO[Artículo],BD_MODULO[CUB_ACTUALIZADA],"",0)</f>
        <v/>
      </c>
      <c r="M87" s="2" t="str">
        <f>+IFERROR(PRODUCTOS[[#This Row],[PPTO]]*PRODUCTOS[[#This Row],[CANT X MODULO]],"")</f>
        <v/>
      </c>
      <c r="N87" s="2" t="str">
        <f>+IFERROR(PRODUCTOS[[#This Row],[PPTO X MODULO]]*32,"")</f>
        <v/>
      </c>
      <c r="O87" s="2" t="str">
        <f>+IFERROR(PRODUCTOS[[#This Row],[PPTO X TORRE]]*22,"")</f>
        <v/>
      </c>
      <c r="P87" s="3" t="str">
        <f>+IFERROR(PRODUCTOS[[#This Row],[CANT X MODULO]]*702,"")</f>
        <v/>
      </c>
      <c r="Q87" s="3">
        <f>+SUMIFS(DETALLE_GD_1[CANTIDAD SOLICITADA],DETALLE_GD_1[CODIGO],PRODUCTOS[[#This Row],[CODIGO]])</f>
        <v>0</v>
      </c>
      <c r="R87" s="3">
        <f>+SUMIFS(DETALLE_GD_1[DEVOLUCIÓN],DETALLE_GD_1[CODIGO],PRODUCTOS[[#This Row],[CODIGO]])</f>
        <v>0</v>
      </c>
      <c r="S87" s="3">
        <f>+PRODUCTOS[[#This Row],[CANT. COMPRADA]]-PRODUCTOS[[#This Row],[DEVOLUCIONES]]</f>
        <v>0</v>
      </c>
      <c r="T87" s="3" t="str">
        <f>+IFERROR(PRODUCTOS[[#This Row],[CANTIDAD RECIBIDA]]/PRODUCTOS[[#This Row],[CANT X MODULO]],"")</f>
        <v/>
      </c>
      <c r="U87" s="3">
        <f>+SUMIFS(DETALLE_GD_1[VALOR TOTAL POR ITEM GD],DETALLE_GD_1[CODIGO],PRODUCTOS[[#This Row],[CODIGO]])</f>
        <v>0</v>
      </c>
      <c r="V87" s="3" t="str">
        <f>+IFERROR(PRODUCTOS[[#This Row],[PRECIO DE COMPRA]]/PRODUCTOS[[#This Row],[CANT. COMPRADA]],"")</f>
        <v/>
      </c>
      <c r="W87" s="3" t="str">
        <f>+IFERROR(PRODUCTOS[[#This Row],[PRECIO COMPRA UNITARIO]]*PRODUCTOS[[#This Row],[PPTO FALTANTE]],"")</f>
        <v/>
      </c>
      <c r="X87" s="7" t="str">
        <f>+IFERROR(PRODUCTOS[[#This Row],[PROYECCION COMPRA]]/PRODUCTOS[[#This Row],[PPTO TOTAL]]-1,"")</f>
        <v/>
      </c>
      <c r="Y87" s="3" t="str">
        <f>+IFERROR((PRODUCTOS[[#This Row],[CANT X MODULO]]*704)-PRODUCTOS[[#This Row],[CANT. COMPRADA]],"")</f>
        <v/>
      </c>
      <c r="Z87" s="17" t="str">
        <f>+IFERROR(PRODUCTOS[[#This Row],[CANT. COMPRADA]]/PRODUCTOS[[#This Row],[PPTO FALTANTE]],"")</f>
        <v/>
      </c>
      <c r="AA87" s="3" t="str">
        <f>+IFERROR(PRODUCTOS[[#This Row],[PROYECCION COMPRA]]-(PRODUCTOS[[#This Row],[PPTO FALTANTE]]*PRODUCTOS[[#This Row],[PPTO]]),"")</f>
        <v/>
      </c>
      <c r="AB87" s="3" t="str">
        <f>+_xlfn.XLOOKUP(PRODUCTOS[[#This Row],[CODIGO]],DETALLE_GD_1[CODIGO],DETALLE_GD_1[VALOR PPTO],"",0)</f>
        <v/>
      </c>
      <c r="AC87" s="3" t="e">
        <f>+AB87-PRODUCTOS[[#This Row],[PPTO_ACTUALIZADO]]</f>
        <v>#VALUE!</v>
      </c>
    </row>
    <row r="88" spans="1:29" hidden="1" x14ac:dyDescent="0.25">
      <c r="A88">
        <v>1101307</v>
      </c>
      <c r="B88" t="s">
        <v>309</v>
      </c>
      <c r="C88" t="s">
        <v>663</v>
      </c>
      <c r="D88" t="s">
        <v>244</v>
      </c>
      <c r="E88">
        <v>0</v>
      </c>
      <c r="F88" s="2">
        <v>1670</v>
      </c>
      <c r="G88" s="6" t="s">
        <v>140</v>
      </c>
      <c r="H88" s="2" t="s">
        <v>355</v>
      </c>
      <c r="I88" t="b">
        <v>0</v>
      </c>
      <c r="J88" t="str">
        <f>+_xlfn.XLOOKUP(PRODUCTOS[[#This Row],[CODIGO]],P_CRITICOS[CODIGO],P_CRITICOS[DESC CORTA],"",0)</f>
        <v/>
      </c>
      <c r="K88" t="str">
        <f>+IFERROR(IF(VLOOKUP(PRODUCTOS[[#This Row],[CODIGO]],P_CRITICOS[],3,0)="*","PRODUCTO CRITICO","NO CRITICO"),"NO CRITICO")</f>
        <v>NO CRITICO</v>
      </c>
      <c r="L88" s="15" t="str">
        <f>+_xlfn.XLOOKUP(PRODUCTOS[[#This Row],[CODIGO]],BD_MODULO[Artículo],BD_MODULO[CUB_ACTUALIZADA],"",0)</f>
        <v/>
      </c>
      <c r="M88" s="2" t="str">
        <f>+IFERROR(PRODUCTOS[[#This Row],[PPTO]]*PRODUCTOS[[#This Row],[CANT X MODULO]],"")</f>
        <v/>
      </c>
      <c r="N88" s="2" t="str">
        <f>+IFERROR(PRODUCTOS[[#This Row],[PPTO X MODULO]]*32,"")</f>
        <v/>
      </c>
      <c r="O88" s="2" t="str">
        <f>+IFERROR(PRODUCTOS[[#This Row],[PPTO X TORRE]]*22,"")</f>
        <v/>
      </c>
      <c r="P88" s="3" t="str">
        <f>+IFERROR(PRODUCTOS[[#This Row],[CANT X MODULO]]*702,"")</f>
        <v/>
      </c>
      <c r="Q88" s="3">
        <f>+SUMIFS(DETALLE_GD_1[CANTIDAD SOLICITADA],DETALLE_GD_1[CODIGO],PRODUCTOS[[#This Row],[CODIGO]])</f>
        <v>0</v>
      </c>
      <c r="R88" s="3">
        <f>+SUMIFS(DETALLE_GD_1[DEVOLUCIÓN],DETALLE_GD_1[CODIGO],PRODUCTOS[[#This Row],[CODIGO]])</f>
        <v>0</v>
      </c>
      <c r="S88" s="3">
        <f>+PRODUCTOS[[#This Row],[CANT. COMPRADA]]-PRODUCTOS[[#This Row],[DEVOLUCIONES]]</f>
        <v>0</v>
      </c>
      <c r="T88" s="3" t="str">
        <f>+IFERROR(PRODUCTOS[[#This Row],[CANTIDAD RECIBIDA]]/PRODUCTOS[[#This Row],[CANT X MODULO]],"")</f>
        <v/>
      </c>
      <c r="U88" s="3">
        <f>+SUMIFS(DETALLE_GD_1[VALOR TOTAL POR ITEM GD],DETALLE_GD_1[CODIGO],PRODUCTOS[[#This Row],[CODIGO]])</f>
        <v>0</v>
      </c>
      <c r="V88" s="3" t="str">
        <f>+IFERROR(PRODUCTOS[[#This Row],[PRECIO DE COMPRA]]/PRODUCTOS[[#This Row],[CANT. COMPRADA]],"")</f>
        <v/>
      </c>
      <c r="W88" s="3" t="str">
        <f>+IFERROR(PRODUCTOS[[#This Row],[PRECIO COMPRA UNITARIO]]*PRODUCTOS[[#This Row],[PPTO FALTANTE]],"")</f>
        <v/>
      </c>
      <c r="X88" s="7" t="str">
        <f>+IFERROR(PRODUCTOS[[#This Row],[PROYECCION COMPRA]]/PRODUCTOS[[#This Row],[PPTO TOTAL]]-1,"")</f>
        <v/>
      </c>
      <c r="Y88" s="3" t="str">
        <f>+IFERROR((PRODUCTOS[[#This Row],[CANT X MODULO]]*704)-PRODUCTOS[[#This Row],[CANT. COMPRADA]],"")</f>
        <v/>
      </c>
      <c r="Z88" s="17" t="str">
        <f>+IFERROR(PRODUCTOS[[#This Row],[CANT. COMPRADA]]/PRODUCTOS[[#This Row],[PPTO FALTANTE]],"")</f>
        <v/>
      </c>
      <c r="AA88" s="3" t="str">
        <f>+IFERROR(PRODUCTOS[[#This Row],[PROYECCION COMPRA]]-(PRODUCTOS[[#This Row],[PPTO FALTANTE]]*PRODUCTOS[[#This Row],[PPTO]]),"")</f>
        <v/>
      </c>
      <c r="AB88" s="3" t="str">
        <f>+_xlfn.XLOOKUP(PRODUCTOS[[#This Row],[CODIGO]],DETALLE_GD_1[CODIGO],DETALLE_GD_1[VALOR PPTO],"",0)</f>
        <v/>
      </c>
      <c r="AC88" s="3" t="e">
        <f>+AB88-PRODUCTOS[[#This Row],[PPTO_ACTUALIZADO]]</f>
        <v>#VALUE!</v>
      </c>
    </row>
    <row r="89" spans="1:29" hidden="1" x14ac:dyDescent="0.25">
      <c r="A89">
        <v>403024</v>
      </c>
      <c r="B89" t="s">
        <v>324</v>
      </c>
      <c r="C89" t="s">
        <v>675</v>
      </c>
      <c r="D89" t="s">
        <v>240</v>
      </c>
      <c r="E89" t="s">
        <v>399</v>
      </c>
      <c r="F89" s="2">
        <v>0</v>
      </c>
      <c r="G89" s="6" t="s">
        <v>31</v>
      </c>
      <c r="H89" s="2" t="s">
        <v>355</v>
      </c>
      <c r="I89" t="b">
        <v>0</v>
      </c>
      <c r="J89" t="str">
        <f>+_xlfn.XLOOKUP(PRODUCTOS[[#This Row],[CODIGO]],P_CRITICOS[CODIGO],P_CRITICOS[DESC CORTA],"",0)</f>
        <v/>
      </c>
      <c r="K89" t="str">
        <f>+IFERROR(IF(VLOOKUP(PRODUCTOS[[#This Row],[CODIGO]],P_CRITICOS[],3,0)="*","PRODUCTO CRITICO","NO CRITICO"),"NO CRITICO")</f>
        <v>NO CRITICO</v>
      </c>
      <c r="L89" s="15" t="str">
        <f>+_xlfn.XLOOKUP(PRODUCTOS[[#This Row],[CODIGO]],BD_MODULO[Artículo],BD_MODULO[CUB_ACTUALIZADA],"",0)</f>
        <v/>
      </c>
      <c r="M89" s="2" t="str">
        <f>+IFERROR(PRODUCTOS[[#This Row],[PPTO]]*PRODUCTOS[[#This Row],[CANT X MODULO]],"")</f>
        <v/>
      </c>
      <c r="N89" s="2" t="str">
        <f>+IFERROR(PRODUCTOS[[#This Row],[PPTO X MODULO]]*32,"")</f>
        <v/>
      </c>
      <c r="O89" s="2" t="str">
        <f>+IFERROR(PRODUCTOS[[#This Row],[PPTO X TORRE]]*22,"")</f>
        <v/>
      </c>
      <c r="P89" s="3" t="str">
        <f>+IFERROR(PRODUCTOS[[#This Row],[CANT X MODULO]]*702,"")</f>
        <v/>
      </c>
      <c r="Q89" s="3">
        <f>+SUMIFS(DETALLE_GD_1[CANTIDAD SOLICITADA],DETALLE_GD_1[CODIGO],PRODUCTOS[[#This Row],[CODIGO]])</f>
        <v>0</v>
      </c>
      <c r="R89" s="3">
        <f>+SUMIFS(DETALLE_GD_1[DEVOLUCIÓN],DETALLE_GD_1[CODIGO],PRODUCTOS[[#This Row],[CODIGO]])</f>
        <v>0</v>
      </c>
      <c r="S89" s="3">
        <f>+PRODUCTOS[[#This Row],[CANT. COMPRADA]]-PRODUCTOS[[#This Row],[DEVOLUCIONES]]</f>
        <v>0</v>
      </c>
      <c r="T89" s="3" t="str">
        <f>+IFERROR(PRODUCTOS[[#This Row],[CANTIDAD RECIBIDA]]/PRODUCTOS[[#This Row],[CANT X MODULO]],"")</f>
        <v/>
      </c>
      <c r="U89" s="3">
        <f>+SUMIFS(DETALLE_GD_1[VALOR TOTAL POR ITEM GD],DETALLE_GD_1[CODIGO],PRODUCTOS[[#This Row],[CODIGO]])</f>
        <v>0</v>
      </c>
      <c r="V89" s="3" t="str">
        <f>+IFERROR(PRODUCTOS[[#This Row],[PRECIO DE COMPRA]]/PRODUCTOS[[#This Row],[CANT. COMPRADA]],"")</f>
        <v/>
      </c>
      <c r="W89" s="3" t="str">
        <f>+IFERROR(PRODUCTOS[[#This Row],[PRECIO COMPRA UNITARIO]]*PRODUCTOS[[#This Row],[PPTO FALTANTE]],"")</f>
        <v/>
      </c>
      <c r="X89" s="7" t="str">
        <f>+IFERROR(PRODUCTOS[[#This Row],[PROYECCION COMPRA]]/PRODUCTOS[[#This Row],[PPTO TOTAL]]-1,"")</f>
        <v/>
      </c>
      <c r="Y89" s="3" t="str">
        <f>+IFERROR((PRODUCTOS[[#This Row],[CANT X MODULO]]*704)-PRODUCTOS[[#This Row],[CANT. COMPRADA]],"")</f>
        <v/>
      </c>
      <c r="Z89" s="17" t="str">
        <f>+IFERROR(PRODUCTOS[[#This Row],[CANT. COMPRADA]]/PRODUCTOS[[#This Row],[PPTO FALTANTE]],"")</f>
        <v/>
      </c>
      <c r="AA89" s="3" t="str">
        <f>+IFERROR(PRODUCTOS[[#This Row],[PROYECCION COMPRA]]-(PRODUCTOS[[#This Row],[PPTO FALTANTE]]*PRODUCTOS[[#This Row],[PPTO]]),"")</f>
        <v/>
      </c>
      <c r="AB89" s="3" t="str">
        <f>+_xlfn.XLOOKUP(PRODUCTOS[[#This Row],[CODIGO]],DETALLE_GD_1[CODIGO],DETALLE_GD_1[VALOR PPTO],"",0)</f>
        <v/>
      </c>
      <c r="AC89" s="3" t="e">
        <f>+AB89-PRODUCTOS[[#This Row],[PPTO_ACTUALIZADO]]</f>
        <v>#VALUE!</v>
      </c>
    </row>
    <row r="90" spans="1:29" hidden="1" x14ac:dyDescent="0.25">
      <c r="A90">
        <v>407795</v>
      </c>
      <c r="B90" t="s">
        <v>325</v>
      </c>
      <c r="C90" t="s">
        <v>676</v>
      </c>
      <c r="D90" t="s">
        <v>258</v>
      </c>
      <c r="E90" t="s">
        <v>406</v>
      </c>
      <c r="F90" s="2">
        <v>1610.93361</v>
      </c>
      <c r="G90" s="6" t="s">
        <v>31</v>
      </c>
      <c r="H90" s="2" t="s">
        <v>355</v>
      </c>
      <c r="I90" t="b">
        <v>0</v>
      </c>
      <c r="J90" t="str">
        <f>+_xlfn.XLOOKUP(PRODUCTOS[[#This Row],[CODIGO]],P_CRITICOS[CODIGO],P_CRITICOS[DESC CORTA],"",0)</f>
        <v/>
      </c>
      <c r="K90" t="str">
        <f>+IFERROR(IF(VLOOKUP(PRODUCTOS[[#This Row],[CODIGO]],P_CRITICOS[],3,0)="*","PRODUCTO CRITICO","NO CRITICO"),"NO CRITICO")</f>
        <v>NO CRITICO</v>
      </c>
      <c r="L90" s="15" t="str">
        <f>+_xlfn.XLOOKUP(PRODUCTOS[[#This Row],[CODIGO]],BD_MODULO[Artículo],BD_MODULO[CUB_ACTUALIZADA],"",0)</f>
        <v/>
      </c>
      <c r="M90" s="2" t="str">
        <f>+IFERROR(PRODUCTOS[[#This Row],[PPTO]]*PRODUCTOS[[#This Row],[CANT X MODULO]],"")</f>
        <v/>
      </c>
      <c r="N90" s="2" t="str">
        <f>+IFERROR(PRODUCTOS[[#This Row],[PPTO X MODULO]]*32,"")</f>
        <v/>
      </c>
      <c r="O90" s="2" t="str">
        <f>+IFERROR(PRODUCTOS[[#This Row],[PPTO X TORRE]]*22,"")</f>
        <v/>
      </c>
      <c r="P90" s="3" t="str">
        <f>+IFERROR(PRODUCTOS[[#This Row],[CANT X MODULO]]*702,"")</f>
        <v/>
      </c>
      <c r="Q90" s="3">
        <f>+SUMIFS(DETALLE_GD_1[CANTIDAD SOLICITADA],DETALLE_GD_1[CODIGO],PRODUCTOS[[#This Row],[CODIGO]])</f>
        <v>29</v>
      </c>
      <c r="R90" s="3">
        <f>+SUMIFS(DETALLE_GD_1[DEVOLUCIÓN],DETALLE_GD_1[CODIGO],PRODUCTOS[[#This Row],[CODIGO]])</f>
        <v>0</v>
      </c>
      <c r="S90" s="3">
        <f>+PRODUCTOS[[#This Row],[CANT. COMPRADA]]-PRODUCTOS[[#This Row],[DEVOLUCIONES]]</f>
        <v>29</v>
      </c>
      <c r="T90" s="3" t="str">
        <f>+IFERROR(PRODUCTOS[[#This Row],[CANTIDAD RECIBIDA]]/PRODUCTOS[[#This Row],[CANT X MODULO]],"")</f>
        <v/>
      </c>
      <c r="U90" s="3">
        <f>+SUMIFS(DETALLE_GD_1[VALOR TOTAL POR ITEM GD],DETALLE_GD_1[CODIGO],PRODUCTOS[[#This Row],[CODIGO]])</f>
        <v>44573</v>
      </c>
      <c r="V90" s="3">
        <f>+IFERROR(PRODUCTOS[[#This Row],[PRECIO DE COMPRA]]/PRODUCTOS[[#This Row],[CANT. COMPRADA]],"")</f>
        <v>1537</v>
      </c>
      <c r="W90" s="3" t="str">
        <f>+IFERROR(PRODUCTOS[[#This Row],[PRECIO COMPRA UNITARIO]]*PRODUCTOS[[#This Row],[PPTO FALTANTE]],"")</f>
        <v/>
      </c>
      <c r="X90" s="7" t="str">
        <f>+IFERROR(PRODUCTOS[[#This Row],[PROYECCION COMPRA]]/PRODUCTOS[[#This Row],[PPTO TOTAL]]-1,"")</f>
        <v/>
      </c>
      <c r="Y90" s="3" t="str">
        <f>+IFERROR((PRODUCTOS[[#This Row],[CANT X MODULO]]*704)-PRODUCTOS[[#This Row],[CANT. COMPRADA]],"")</f>
        <v/>
      </c>
      <c r="Z90" s="17" t="str">
        <f>+IFERROR(PRODUCTOS[[#This Row],[CANT. COMPRADA]]/PRODUCTOS[[#This Row],[PPTO FALTANTE]],"")</f>
        <v/>
      </c>
      <c r="AA90" s="3" t="str">
        <f>+IFERROR(PRODUCTOS[[#This Row],[PROYECCION COMPRA]]-(PRODUCTOS[[#This Row],[PPTO FALTANTE]]*PRODUCTOS[[#This Row],[PPTO]]),"")</f>
        <v/>
      </c>
      <c r="AB90" s="3">
        <f>+_xlfn.XLOOKUP(PRODUCTOS[[#This Row],[CODIGO]],DETALLE_GD_1[CODIGO],DETALLE_GD_1[VALOR PPTO],"",0)</f>
        <v>1610.9336000000001</v>
      </c>
      <c r="AC90" s="3" t="e">
        <f>+AB90-PRODUCTOS[[#This Row],[PPTO_ACTUALIZADO]]</f>
        <v>#VALUE!</v>
      </c>
    </row>
    <row r="91" spans="1:29" hidden="1" x14ac:dyDescent="0.25">
      <c r="A91">
        <v>1610007</v>
      </c>
      <c r="B91" t="s">
        <v>334</v>
      </c>
      <c r="C91" t="s">
        <v>677</v>
      </c>
      <c r="D91">
        <v>0</v>
      </c>
      <c r="E91">
        <v>0</v>
      </c>
      <c r="F91" s="2">
        <v>1624.474037</v>
      </c>
      <c r="G91" s="6" t="s">
        <v>28</v>
      </c>
      <c r="H91" s="2" t="s">
        <v>355</v>
      </c>
      <c r="I91" t="b">
        <v>0</v>
      </c>
      <c r="J91" t="str">
        <f>+_xlfn.XLOOKUP(PRODUCTOS[[#This Row],[CODIGO]],P_CRITICOS[CODIGO],P_CRITICOS[DESC CORTA],"",0)</f>
        <v/>
      </c>
      <c r="K91" t="str">
        <f>+IFERROR(IF(VLOOKUP(PRODUCTOS[[#This Row],[CODIGO]],P_CRITICOS[],3,0)="*","PRODUCTO CRITICO","NO CRITICO"),"NO CRITICO")</f>
        <v>NO CRITICO</v>
      </c>
      <c r="L91" s="15" t="str">
        <f>+_xlfn.XLOOKUP(PRODUCTOS[[#This Row],[CODIGO]],BD_MODULO[Artículo],BD_MODULO[CUB_ACTUALIZADA],"",0)</f>
        <v/>
      </c>
      <c r="M91" s="2" t="str">
        <f>+IFERROR(PRODUCTOS[[#This Row],[PPTO]]*PRODUCTOS[[#This Row],[CANT X MODULO]],"")</f>
        <v/>
      </c>
      <c r="N91" s="2" t="str">
        <f>+IFERROR(PRODUCTOS[[#This Row],[PPTO X MODULO]]*32,"")</f>
        <v/>
      </c>
      <c r="O91" s="2" t="str">
        <f>+IFERROR(PRODUCTOS[[#This Row],[PPTO X TORRE]]*22,"")</f>
        <v/>
      </c>
      <c r="P91" s="3" t="str">
        <f>+IFERROR(PRODUCTOS[[#This Row],[CANT X MODULO]]*702,"")</f>
        <v/>
      </c>
      <c r="Q91" s="3">
        <f>+SUMIFS(DETALLE_GD_1[CANTIDAD SOLICITADA],DETALLE_GD_1[CODIGO],PRODUCTOS[[#This Row],[CODIGO]])</f>
        <v>14</v>
      </c>
      <c r="R91" s="3">
        <f>+SUMIFS(DETALLE_GD_1[DEVOLUCIÓN],DETALLE_GD_1[CODIGO],PRODUCTOS[[#This Row],[CODIGO]])</f>
        <v>0</v>
      </c>
      <c r="S91" s="3">
        <f>+PRODUCTOS[[#This Row],[CANT. COMPRADA]]-PRODUCTOS[[#This Row],[DEVOLUCIONES]]</f>
        <v>14</v>
      </c>
      <c r="T91" s="3" t="str">
        <f>+IFERROR(PRODUCTOS[[#This Row],[CANTIDAD RECIBIDA]]/PRODUCTOS[[#This Row],[CANT X MODULO]],"")</f>
        <v/>
      </c>
      <c r="U91" s="3">
        <f>+SUMIFS(DETALLE_GD_1[VALOR TOTAL POR ITEM GD],DETALLE_GD_1[CODIGO],PRODUCTOS[[#This Row],[CODIGO]])</f>
        <v>22725</v>
      </c>
      <c r="V91" s="3">
        <f>+IFERROR(PRODUCTOS[[#This Row],[PRECIO DE COMPRA]]/PRODUCTOS[[#This Row],[CANT. COMPRADA]],"")</f>
        <v>1623.2142857142858</v>
      </c>
      <c r="W91" s="3" t="str">
        <f>+IFERROR(PRODUCTOS[[#This Row],[PRECIO COMPRA UNITARIO]]*PRODUCTOS[[#This Row],[PPTO FALTANTE]],"")</f>
        <v/>
      </c>
      <c r="X91" s="7" t="str">
        <f>+IFERROR(PRODUCTOS[[#This Row],[PROYECCION COMPRA]]/PRODUCTOS[[#This Row],[PPTO TOTAL]]-1,"")</f>
        <v/>
      </c>
      <c r="Y91" s="3" t="str">
        <f>+IFERROR((PRODUCTOS[[#This Row],[CANT X MODULO]]*704)-PRODUCTOS[[#This Row],[CANT. COMPRADA]],"")</f>
        <v/>
      </c>
      <c r="Z91" s="17" t="str">
        <f>+IFERROR(PRODUCTOS[[#This Row],[CANT. COMPRADA]]/PRODUCTOS[[#This Row],[PPTO FALTANTE]],"")</f>
        <v/>
      </c>
      <c r="AA91" s="3" t="str">
        <f>+IFERROR(PRODUCTOS[[#This Row],[PROYECCION COMPRA]]-(PRODUCTOS[[#This Row],[PPTO FALTANTE]]*PRODUCTOS[[#This Row],[PPTO]]),"")</f>
        <v/>
      </c>
      <c r="AB91" s="3">
        <f>+_xlfn.XLOOKUP(PRODUCTOS[[#This Row],[CODIGO]],DETALLE_GD_1[CODIGO],DETALLE_GD_1[VALOR PPTO],"",0)</f>
        <v>1624.4739999999999</v>
      </c>
      <c r="AC91" s="3" t="e">
        <f>+AB91-PRODUCTOS[[#This Row],[PPTO_ACTUALIZADO]]</f>
        <v>#VALUE!</v>
      </c>
    </row>
    <row r="92" spans="1:29" hidden="1" x14ac:dyDescent="0.25">
      <c r="A92">
        <v>5314002</v>
      </c>
      <c r="B92" t="s">
        <v>342</v>
      </c>
      <c r="C92" t="s">
        <v>342</v>
      </c>
      <c r="D92">
        <v>0</v>
      </c>
      <c r="E92">
        <v>0</v>
      </c>
      <c r="F92" s="2">
        <v>311.91986600000001</v>
      </c>
      <c r="G92" s="6" t="s">
        <v>31</v>
      </c>
      <c r="H92" s="2" t="s">
        <v>355</v>
      </c>
      <c r="I92" t="b">
        <v>0</v>
      </c>
      <c r="J92" t="str">
        <f>+_xlfn.XLOOKUP(PRODUCTOS[[#This Row],[CODIGO]],P_CRITICOS[CODIGO],P_CRITICOS[DESC CORTA],"",0)</f>
        <v/>
      </c>
      <c r="K92" t="str">
        <f>+IFERROR(IF(VLOOKUP(PRODUCTOS[[#This Row],[CODIGO]],P_CRITICOS[],3,0)="*","PRODUCTO CRITICO","NO CRITICO"),"NO CRITICO")</f>
        <v>NO CRITICO</v>
      </c>
      <c r="L92" s="15" t="str">
        <f>+_xlfn.XLOOKUP(PRODUCTOS[[#This Row],[CODIGO]],BD_MODULO[Artículo],BD_MODULO[CUB_ACTUALIZADA],"",0)</f>
        <v/>
      </c>
      <c r="M92" s="2" t="str">
        <f>+IFERROR(PRODUCTOS[[#This Row],[PPTO]]*PRODUCTOS[[#This Row],[CANT X MODULO]],"")</f>
        <v/>
      </c>
      <c r="N92" s="2" t="str">
        <f>+IFERROR(PRODUCTOS[[#This Row],[PPTO X MODULO]]*32,"")</f>
        <v/>
      </c>
      <c r="O92" s="2" t="str">
        <f>+IFERROR(PRODUCTOS[[#This Row],[PPTO X TORRE]]*22,"")</f>
        <v/>
      </c>
      <c r="P92" s="3" t="str">
        <f>+IFERROR(PRODUCTOS[[#This Row],[CANT X MODULO]]*702,"")</f>
        <v/>
      </c>
      <c r="Q92" s="3">
        <f>+SUMIFS(DETALLE_GD_1[CANTIDAD SOLICITADA],DETALLE_GD_1[CODIGO],PRODUCTOS[[#This Row],[CODIGO]])</f>
        <v>27</v>
      </c>
      <c r="R92" s="3">
        <f>+SUMIFS(DETALLE_GD_1[DEVOLUCIÓN],DETALLE_GD_1[CODIGO],PRODUCTOS[[#This Row],[CODIGO]])</f>
        <v>0</v>
      </c>
      <c r="S92" s="3">
        <f>+PRODUCTOS[[#This Row],[CANT. COMPRADA]]-PRODUCTOS[[#This Row],[DEVOLUCIONES]]</f>
        <v>27</v>
      </c>
      <c r="T92" s="3" t="str">
        <f>+IFERROR(PRODUCTOS[[#This Row],[CANTIDAD RECIBIDA]]/PRODUCTOS[[#This Row],[CANT X MODULO]],"")</f>
        <v/>
      </c>
      <c r="U92" s="3">
        <f>+SUMIFS(DETALLE_GD_1[VALOR TOTAL POR ITEM GD],DETALLE_GD_1[CODIGO],PRODUCTOS[[#This Row],[CODIGO]])</f>
        <v>8423</v>
      </c>
      <c r="V92" s="3">
        <f>+IFERROR(PRODUCTOS[[#This Row],[PRECIO DE COMPRA]]/PRODUCTOS[[#This Row],[CANT. COMPRADA]],"")</f>
        <v>311.96296296296299</v>
      </c>
      <c r="W92" s="3" t="str">
        <f>+IFERROR(PRODUCTOS[[#This Row],[PRECIO COMPRA UNITARIO]]*PRODUCTOS[[#This Row],[PPTO FALTANTE]],"")</f>
        <v/>
      </c>
      <c r="X92" s="7" t="str">
        <f>+IFERROR(PRODUCTOS[[#This Row],[PROYECCION COMPRA]]/PRODUCTOS[[#This Row],[PPTO TOTAL]]-1,"")</f>
        <v/>
      </c>
      <c r="Y92" s="3" t="str">
        <f>+IFERROR((PRODUCTOS[[#This Row],[CANT X MODULO]]*704)-PRODUCTOS[[#This Row],[CANT. COMPRADA]],"")</f>
        <v/>
      </c>
      <c r="Z92" s="17" t="str">
        <f>+IFERROR(PRODUCTOS[[#This Row],[CANT. COMPRADA]]/PRODUCTOS[[#This Row],[PPTO FALTANTE]],"")</f>
        <v/>
      </c>
      <c r="AA92" s="3" t="str">
        <f>+IFERROR(PRODUCTOS[[#This Row],[PROYECCION COMPRA]]-(PRODUCTOS[[#This Row],[PPTO FALTANTE]]*PRODUCTOS[[#This Row],[PPTO]]),"")</f>
        <v/>
      </c>
      <c r="AB92" s="3">
        <f>+_xlfn.XLOOKUP(PRODUCTOS[[#This Row],[CODIGO]],DETALLE_GD_1[CODIGO],DETALLE_GD_1[VALOR PPTO],"",0)</f>
        <v>311.91989999999998</v>
      </c>
      <c r="AC92" s="3" t="e">
        <f>+AB92-PRODUCTOS[[#This Row],[PPTO_ACTUALIZADO]]</f>
        <v>#VALUE!</v>
      </c>
    </row>
    <row r="93" spans="1:29" hidden="1" x14ac:dyDescent="0.25">
      <c r="A93">
        <v>412281</v>
      </c>
      <c r="B93" t="s">
        <v>326</v>
      </c>
      <c r="C93" t="s">
        <v>678</v>
      </c>
      <c r="D93" t="s">
        <v>240</v>
      </c>
      <c r="E93" t="s">
        <v>399</v>
      </c>
      <c r="F93" s="2">
        <v>0</v>
      </c>
      <c r="G93" s="6" t="s">
        <v>31</v>
      </c>
      <c r="H93" s="2" t="s">
        <v>355</v>
      </c>
      <c r="I93" t="b">
        <v>0</v>
      </c>
      <c r="J93" t="str">
        <f>+_xlfn.XLOOKUP(PRODUCTOS[[#This Row],[CODIGO]],P_CRITICOS[CODIGO],P_CRITICOS[DESC CORTA],"",0)</f>
        <v/>
      </c>
      <c r="K93" t="str">
        <f>+IFERROR(IF(VLOOKUP(PRODUCTOS[[#This Row],[CODIGO]],P_CRITICOS[],3,0)="*","PRODUCTO CRITICO","NO CRITICO"),"NO CRITICO")</f>
        <v>NO CRITICO</v>
      </c>
      <c r="L93" s="15" t="str">
        <f>+_xlfn.XLOOKUP(PRODUCTOS[[#This Row],[CODIGO]],BD_MODULO[Artículo],BD_MODULO[CUB_ACTUALIZADA],"",0)</f>
        <v/>
      </c>
      <c r="M93" s="2" t="str">
        <f>+IFERROR(PRODUCTOS[[#This Row],[PPTO]]*PRODUCTOS[[#This Row],[CANT X MODULO]],"")</f>
        <v/>
      </c>
      <c r="N93" s="2" t="str">
        <f>+IFERROR(PRODUCTOS[[#This Row],[PPTO X MODULO]]*32,"")</f>
        <v/>
      </c>
      <c r="O93" s="2" t="str">
        <f>+IFERROR(PRODUCTOS[[#This Row],[PPTO X TORRE]]*22,"")</f>
        <v/>
      </c>
      <c r="P93" s="3" t="str">
        <f>+IFERROR(PRODUCTOS[[#This Row],[CANT X MODULO]]*702,"")</f>
        <v/>
      </c>
      <c r="Q93" s="3">
        <f>+SUMIFS(DETALLE_GD_1[CANTIDAD SOLICITADA],DETALLE_GD_1[CODIGO],PRODUCTOS[[#This Row],[CODIGO]])</f>
        <v>186</v>
      </c>
      <c r="R93" s="3">
        <f>+SUMIFS(DETALLE_GD_1[DEVOLUCIÓN],DETALLE_GD_1[CODIGO],PRODUCTOS[[#This Row],[CODIGO]])</f>
        <v>0</v>
      </c>
      <c r="S93" s="3">
        <f>+PRODUCTOS[[#This Row],[CANT. COMPRADA]]-PRODUCTOS[[#This Row],[DEVOLUCIONES]]</f>
        <v>186</v>
      </c>
      <c r="T93" s="3" t="str">
        <f>+IFERROR(PRODUCTOS[[#This Row],[CANTIDAD RECIBIDA]]/PRODUCTOS[[#This Row],[CANT X MODULO]],"")</f>
        <v/>
      </c>
      <c r="U93" s="3">
        <f>+SUMIFS(DETALLE_GD_1[VALOR TOTAL POR ITEM GD],DETALLE_GD_1[CODIGO],PRODUCTOS[[#This Row],[CODIGO]])</f>
        <v>1664968</v>
      </c>
      <c r="V93" s="3">
        <f>+IFERROR(PRODUCTOS[[#This Row],[PRECIO DE COMPRA]]/PRODUCTOS[[#This Row],[CANT. COMPRADA]],"")</f>
        <v>8951.4408602150543</v>
      </c>
      <c r="W93" s="3" t="str">
        <f>+IFERROR(PRODUCTOS[[#This Row],[PRECIO COMPRA UNITARIO]]*PRODUCTOS[[#This Row],[PPTO FALTANTE]],"")</f>
        <v/>
      </c>
      <c r="X93" s="7" t="str">
        <f>+IFERROR(PRODUCTOS[[#This Row],[PROYECCION COMPRA]]/PRODUCTOS[[#This Row],[PPTO TOTAL]]-1,"")</f>
        <v/>
      </c>
      <c r="Y93" s="3" t="str">
        <f>+IFERROR((PRODUCTOS[[#This Row],[CANT X MODULO]]*704)-PRODUCTOS[[#This Row],[CANT. COMPRADA]],"")</f>
        <v/>
      </c>
      <c r="Z93" s="17" t="str">
        <f>+IFERROR(PRODUCTOS[[#This Row],[CANT. COMPRADA]]/PRODUCTOS[[#This Row],[PPTO FALTANTE]],"")</f>
        <v/>
      </c>
      <c r="AA93" s="3" t="str">
        <f>+IFERROR(PRODUCTOS[[#This Row],[PROYECCION COMPRA]]-(PRODUCTOS[[#This Row],[PPTO FALTANTE]]*PRODUCTOS[[#This Row],[PPTO]]),"")</f>
        <v/>
      </c>
      <c r="AB93" s="3">
        <f>+_xlfn.XLOOKUP(PRODUCTOS[[#This Row],[CODIGO]],DETALLE_GD_1[CODIGO],DETALLE_GD_1[VALOR PPTO],"",0)</f>
        <v>0</v>
      </c>
      <c r="AC93" s="3" t="e">
        <f>+AB93-PRODUCTOS[[#This Row],[PPTO_ACTUALIZADO]]</f>
        <v>#VALUE!</v>
      </c>
    </row>
    <row r="94" spans="1:29" hidden="1" x14ac:dyDescent="0.25">
      <c r="A94">
        <v>407423</v>
      </c>
      <c r="B94" t="s">
        <v>106</v>
      </c>
      <c r="C94" t="s">
        <v>611</v>
      </c>
      <c r="D94" t="s">
        <v>240</v>
      </c>
      <c r="E94" t="s">
        <v>399</v>
      </c>
      <c r="F94" s="2">
        <v>3.388029</v>
      </c>
      <c r="G94" s="6" t="s">
        <v>31</v>
      </c>
      <c r="H94" s="2">
        <v>106.64050198378378</v>
      </c>
      <c r="I94" t="b">
        <v>0</v>
      </c>
      <c r="J94" t="str">
        <f>+_xlfn.XLOOKUP(PRODUCTOS[[#This Row],[CODIGO]],P_CRITICOS[CODIGO],P_CRITICOS[DESC CORTA],"",0)</f>
        <v/>
      </c>
      <c r="K94" t="str">
        <f>+IFERROR(IF(VLOOKUP(PRODUCTOS[[#This Row],[CODIGO]],P_CRITICOS[],3,0)="*","PRODUCTO CRITICO","NO CRITICO"),"NO CRITICO")</f>
        <v>NO CRITICO</v>
      </c>
      <c r="L94" s="15">
        <f>+_xlfn.XLOOKUP(PRODUCTOS[[#This Row],[CODIGO]],BD_MODULO[Artículo],BD_MODULO[CUB_ACTUALIZADA],"",0)</f>
        <v>24.28125</v>
      </c>
      <c r="M94" s="2">
        <f>+IFERROR(PRODUCTOS[[#This Row],[PPTO]]*PRODUCTOS[[#This Row],[CANT X MODULO]],"")</f>
        <v>82.265579156249999</v>
      </c>
      <c r="N94" s="2">
        <f>+IFERROR(PRODUCTOS[[#This Row],[PPTO X MODULO]]*32,"")</f>
        <v>2632.498533</v>
      </c>
      <c r="O94" s="2">
        <f>+IFERROR(PRODUCTOS[[#This Row],[PPTO X TORRE]]*22,"")</f>
        <v>57914.967726000003</v>
      </c>
      <c r="P94" s="3">
        <f>+IFERROR(PRODUCTOS[[#This Row],[CANT X MODULO]]*702,"")</f>
        <v>17045.4375</v>
      </c>
      <c r="Q94" s="3">
        <f>+SUMIFS(DETALLE_GD_1[CANTIDAD SOLICITADA],DETALLE_GD_1[CODIGO],PRODUCTOS[[#This Row],[CODIGO]])</f>
        <v>244658</v>
      </c>
      <c r="R94" s="3">
        <f>+SUMIFS(DETALLE_GD_1[DEVOLUCIÓN],DETALLE_GD_1[CODIGO],PRODUCTOS[[#This Row],[CODIGO]])</f>
        <v>0</v>
      </c>
      <c r="S94" s="3">
        <f>+PRODUCTOS[[#This Row],[CANT. COMPRADA]]-PRODUCTOS[[#This Row],[DEVOLUCIONES]]</f>
        <v>244658</v>
      </c>
      <c r="T94" s="3">
        <f>+IFERROR(PRODUCTOS[[#This Row],[CANTIDAD RECIBIDA]]/PRODUCTOS[[#This Row],[CANT X MODULO]],"")</f>
        <v>10076.005148005148</v>
      </c>
      <c r="U94" s="3">
        <f>+SUMIFS(DETALLE_GD_1[VALOR TOTAL POR ITEM GD],DETALLE_GD_1[CODIGO],PRODUCTOS[[#This Row],[CODIGO]])</f>
        <v>837746</v>
      </c>
      <c r="V94" s="3">
        <f>+IFERROR(PRODUCTOS[[#This Row],[PRECIO DE COMPRA]]/PRODUCTOS[[#This Row],[CANT. COMPRADA]],"")</f>
        <v>3.4241512642137186</v>
      </c>
      <c r="W94" s="3">
        <f>+IFERROR(PRODUCTOS[[#This Row],[PRECIO COMPRA UNITARIO]]*PRODUCTOS[[#This Row],[PPTO FALTANTE]],"")</f>
        <v>-779213.55828953069</v>
      </c>
      <c r="X94" s="7">
        <f>+IFERROR(PRODUCTOS[[#This Row],[PROYECCION COMPRA]]/PRODUCTOS[[#This Row],[PPTO TOTAL]]-1,"")</f>
        <v>-14.454441725255684</v>
      </c>
      <c r="Y94" s="3">
        <f>+IFERROR((PRODUCTOS[[#This Row],[CANT X MODULO]]*704)-PRODUCTOS[[#This Row],[CANT. COMPRADA]],"")</f>
        <v>-227564</v>
      </c>
      <c r="Z94" s="17">
        <f>+IFERROR(PRODUCTOS[[#This Row],[CANT. COMPRADA]]/PRODUCTOS[[#This Row],[PPTO FALTANTE]],"")</f>
        <v>-1.0751173296303458</v>
      </c>
      <c r="AA94" s="3">
        <f>+IFERROR(PRODUCTOS[[#This Row],[PROYECCION COMPRA]]-(PRODUCTOS[[#This Row],[PPTO FALTANTE]]*PRODUCTOS[[#This Row],[PPTO]]),"")</f>
        <v>-8220.1269335306715</v>
      </c>
      <c r="AB94" s="3">
        <f>+_xlfn.XLOOKUP(PRODUCTOS[[#This Row],[CODIGO]],DETALLE_GD_1[CODIGO],DETALLE_GD_1[VALOR PPTO],"",0)</f>
        <v>106.6405</v>
      </c>
      <c r="AC94" s="3">
        <f>+AB94-PRODUCTOS[[#This Row],[PPTO_ACTUALIZADO]]</f>
        <v>-1.9837837754721477E-6</v>
      </c>
    </row>
    <row r="95" spans="1:29" hidden="1" x14ac:dyDescent="0.25">
      <c r="A95" t="s">
        <v>225</v>
      </c>
      <c r="B95" t="s">
        <v>226</v>
      </c>
      <c r="C95">
        <v>0</v>
      </c>
      <c r="D95" t="s">
        <v>240</v>
      </c>
      <c r="E95" t="s">
        <v>399</v>
      </c>
      <c r="F95" s="2">
        <v>49030.713302999997</v>
      </c>
      <c r="G95" s="6" t="s">
        <v>36</v>
      </c>
      <c r="H95" s="2">
        <v>49030.713302999997</v>
      </c>
      <c r="I95" t="b">
        <v>1</v>
      </c>
      <c r="J95" t="str">
        <f>+_xlfn.XLOOKUP(PRODUCTOS[[#This Row],[CODIGO]],P_CRITICOS[CODIGO],P_CRITICOS[DESC CORTA],"",0)</f>
        <v/>
      </c>
      <c r="K95" t="str">
        <f>+IFERROR(IF(VLOOKUP(PRODUCTOS[[#This Row],[CODIGO]],P_CRITICOS[],3,0)="*","PRODUCTO CRITICO","NO CRITICO"),"NO CRITICO")</f>
        <v>NO CRITICO</v>
      </c>
      <c r="L95" s="15">
        <f>+_xlfn.XLOOKUP(PRODUCTOS[[#This Row],[CODIGO]],BD_MODULO[Artículo],BD_MODULO[CUB_ACTUALIZADA],"",0)</f>
        <v>1.0500000000000001E-2</v>
      </c>
      <c r="M95" s="2">
        <f>+IFERROR(PRODUCTOS[[#This Row],[PPTO]]*PRODUCTOS[[#This Row],[CANT X MODULO]],"")</f>
        <v>514.82248968149997</v>
      </c>
      <c r="N95" s="2">
        <f>+IFERROR(PRODUCTOS[[#This Row],[PPTO X MODULO]]*32,"")</f>
        <v>16474.319669807999</v>
      </c>
      <c r="O95" s="2">
        <f>+IFERROR(PRODUCTOS[[#This Row],[PPTO X TORRE]]*22,"")</f>
        <v>362435.03273577598</v>
      </c>
      <c r="P95" s="3">
        <f>+IFERROR(PRODUCTOS[[#This Row],[CANT X MODULO]]*702,"")</f>
        <v>7.3710000000000004</v>
      </c>
      <c r="Q95" s="3">
        <f>+SUMIFS(DETALLE_GD_1[CANTIDAD SOLICITADA],DETALLE_GD_1[CODIGO],PRODUCTOS[[#This Row],[CODIGO]])</f>
        <v>15</v>
      </c>
      <c r="R95" s="3">
        <f>+SUMIFS(DETALLE_GD_1[DEVOLUCIÓN],DETALLE_GD_1[CODIGO],PRODUCTOS[[#This Row],[CODIGO]])</f>
        <v>0</v>
      </c>
      <c r="S95" s="3">
        <f>+PRODUCTOS[[#This Row],[CANT. COMPRADA]]-PRODUCTOS[[#This Row],[DEVOLUCIONES]]</f>
        <v>15</v>
      </c>
      <c r="T95" s="3">
        <f>+IFERROR(PRODUCTOS[[#This Row],[CANTIDAD RECIBIDA]]/PRODUCTOS[[#This Row],[CANT X MODULO]],"")</f>
        <v>1428.5714285714284</v>
      </c>
      <c r="U95" s="3">
        <f>+SUMIFS(DETALLE_GD_1[VALOR TOTAL POR ITEM GD],DETALLE_GD_1[CODIGO],PRODUCTOS[[#This Row],[CODIGO]])</f>
        <v>735461</v>
      </c>
      <c r="V95" s="3">
        <f>+IFERROR(PRODUCTOS[[#This Row],[PRECIO DE COMPRA]]/PRODUCTOS[[#This Row],[CANT. COMPRADA]],"")</f>
        <v>49030.73333333333</v>
      </c>
      <c r="W95" s="3">
        <f>+IFERROR(PRODUCTOS[[#This Row],[PRECIO COMPRA UNITARIO]]*PRODUCTOS[[#This Row],[PPTO FALTANTE]],"")</f>
        <v>-373025.81919999997</v>
      </c>
      <c r="X95" s="7">
        <f>+IFERROR(PRODUCTOS[[#This Row],[PROYECCION COMPRA]]/PRODUCTOS[[#This Row],[PPTO TOTAL]]-1,"")</f>
        <v>-2.029221199684482</v>
      </c>
      <c r="Y95" s="3">
        <f>+IFERROR((PRODUCTOS[[#This Row],[CANT X MODULO]]*704)-PRODUCTOS[[#This Row],[CANT. COMPRADA]],"")</f>
        <v>-7.6079999999999997</v>
      </c>
      <c r="Z95" s="17">
        <f>+IFERROR(PRODUCTOS[[#This Row],[CANT. COMPRADA]]/PRODUCTOS[[#This Row],[PPTO FALTANTE]],"")</f>
        <v>-1.9716088328075712</v>
      </c>
      <c r="AA95" s="3">
        <f>+IFERROR(PRODUCTOS[[#This Row],[PROYECCION COMPRA]]-(PRODUCTOS[[#This Row],[PPTO FALTANTE]]*PRODUCTOS[[#This Row],[PPTO]]),"")</f>
        <v>-0.15239077602745965</v>
      </c>
      <c r="AB95" s="3">
        <f>+_xlfn.XLOOKUP(PRODUCTOS[[#This Row],[CODIGO]],DETALLE_GD_1[CODIGO],DETALLE_GD_1[VALOR PPTO],"",0)</f>
        <v>49030.713300000003</v>
      </c>
      <c r="AC95" s="3">
        <f>+AB95-PRODUCTOS[[#This Row],[PPTO_ACTUALIZADO]]</f>
        <v>-2.9999937396496534E-6</v>
      </c>
    </row>
    <row r="96" spans="1:29" hidden="1" x14ac:dyDescent="0.25">
      <c r="A96">
        <v>2304002</v>
      </c>
      <c r="B96" t="s">
        <v>212</v>
      </c>
      <c r="C96">
        <v>0</v>
      </c>
      <c r="D96" t="s">
        <v>258</v>
      </c>
      <c r="E96" t="s">
        <v>412</v>
      </c>
      <c r="F96" s="2">
        <v>1376.471724</v>
      </c>
      <c r="G96" s="6" t="s">
        <v>31</v>
      </c>
      <c r="H96" s="2">
        <v>1376.471724</v>
      </c>
      <c r="I96" t="b">
        <v>1</v>
      </c>
      <c r="J96" t="str">
        <f>+_xlfn.XLOOKUP(PRODUCTOS[[#This Row],[CODIGO]],P_CRITICOS[CODIGO],P_CRITICOS[DESC CORTA],"",0)</f>
        <v/>
      </c>
      <c r="K96" t="str">
        <f>+IFERROR(IF(VLOOKUP(PRODUCTOS[[#This Row],[CODIGO]],P_CRITICOS[],3,0)="*","PRODUCTO CRITICO","NO CRITICO"),"NO CRITICO")</f>
        <v>NO CRITICO</v>
      </c>
      <c r="L96" s="15">
        <f>+_xlfn.XLOOKUP(PRODUCTOS[[#This Row],[CODIGO]],BD_MODULO[Artículo],BD_MODULO[CUB_ACTUALIZADA],"",0)</f>
        <v>0.52500000000000002</v>
      </c>
      <c r="M96" s="2">
        <f>+IFERROR(PRODUCTOS[[#This Row],[PPTO]]*PRODUCTOS[[#This Row],[CANT X MODULO]],"")</f>
        <v>722.64765510000007</v>
      </c>
      <c r="N96" s="2">
        <f>+IFERROR(PRODUCTOS[[#This Row],[PPTO X MODULO]]*32,"")</f>
        <v>23124.724963200002</v>
      </c>
      <c r="O96" s="2">
        <f>+IFERROR(PRODUCTOS[[#This Row],[PPTO X TORRE]]*22,"")</f>
        <v>508743.94919040008</v>
      </c>
      <c r="P96" s="3">
        <f>+IFERROR(PRODUCTOS[[#This Row],[CANT X MODULO]]*702,"")</f>
        <v>368.55</v>
      </c>
      <c r="Q96" s="3">
        <f>+SUMIFS(DETALLE_GD_1[CANTIDAD SOLICITADA],DETALLE_GD_1[CODIGO],PRODUCTOS[[#This Row],[CODIGO]])</f>
        <v>459</v>
      </c>
      <c r="R96" s="3">
        <f>+SUMIFS(DETALLE_GD_1[DEVOLUCIÓN],DETALLE_GD_1[CODIGO],PRODUCTOS[[#This Row],[CODIGO]])</f>
        <v>0</v>
      </c>
      <c r="S96" s="3">
        <f>+PRODUCTOS[[#This Row],[CANT. COMPRADA]]-PRODUCTOS[[#This Row],[DEVOLUCIONES]]</f>
        <v>459</v>
      </c>
      <c r="T96" s="3">
        <f>+IFERROR(PRODUCTOS[[#This Row],[CANTIDAD RECIBIDA]]/PRODUCTOS[[#This Row],[CANT X MODULO]],"")</f>
        <v>874.28571428571422</v>
      </c>
      <c r="U96" s="3">
        <f>+SUMIFS(DETALLE_GD_1[VALOR TOTAL POR ITEM GD],DETALLE_GD_1[CODIGO],PRODUCTOS[[#This Row],[CODIGO]])</f>
        <v>642209</v>
      </c>
      <c r="V96" s="3">
        <f>+IFERROR(PRODUCTOS[[#This Row],[PRECIO DE COMPRA]]/PRODUCTOS[[#This Row],[CANT. COMPRADA]],"")</f>
        <v>1399.148148148148</v>
      </c>
      <c r="W96" s="3">
        <f>+IFERROR(PRODUCTOS[[#This Row],[PRECIO COMPRA UNITARIO]]*PRODUCTOS[[#This Row],[PPTO FALTANTE]],"")</f>
        <v>-125083.8444444444</v>
      </c>
      <c r="X96" s="7">
        <f>+IFERROR(PRODUCTOS[[#This Row],[PROYECCION COMPRA]]/PRODUCTOS[[#This Row],[PPTO TOTAL]]-1,"")</f>
        <v>-1.2458679747316879</v>
      </c>
      <c r="Y96" s="3">
        <f>+IFERROR((PRODUCTOS[[#This Row],[CANT X MODULO]]*704)-PRODUCTOS[[#This Row],[CANT. COMPRADA]],"")</f>
        <v>-89.399999999999977</v>
      </c>
      <c r="Z96" s="17">
        <f>+IFERROR(PRODUCTOS[[#This Row],[CANT. COMPRADA]]/PRODUCTOS[[#This Row],[PPTO FALTANTE]],"")</f>
        <v>-5.1342281879194642</v>
      </c>
      <c r="AA96" s="3">
        <f>+IFERROR(PRODUCTOS[[#This Row],[PROYECCION COMPRA]]-(PRODUCTOS[[#This Row],[PPTO FALTANTE]]*PRODUCTOS[[#This Row],[PPTO]]),"")</f>
        <v>-2027.2723188444361</v>
      </c>
      <c r="AB96" s="3">
        <f>+_xlfn.XLOOKUP(PRODUCTOS[[#This Row],[CODIGO]],DETALLE_GD_1[CODIGO],DETALLE_GD_1[VALOR PPTO],"",0)</f>
        <v>1376.4717000000001</v>
      </c>
      <c r="AC96" s="3">
        <f>+AB96-PRODUCTOS[[#This Row],[PPTO_ACTUALIZADO]]</f>
        <v>-2.3999999939405825E-5</v>
      </c>
    </row>
    <row r="97" spans="1:29" hidden="1" x14ac:dyDescent="0.25">
      <c r="A97">
        <v>2302119</v>
      </c>
      <c r="B97" t="s">
        <v>74</v>
      </c>
      <c r="C97" t="s">
        <v>592</v>
      </c>
      <c r="D97" t="s">
        <v>244</v>
      </c>
      <c r="E97" t="s">
        <v>399</v>
      </c>
      <c r="F97" s="2">
        <v>3670.8750399999999</v>
      </c>
      <c r="G97" s="6" t="s">
        <v>31</v>
      </c>
      <c r="H97" s="2">
        <v>3671</v>
      </c>
      <c r="I97" t="b">
        <v>0</v>
      </c>
      <c r="J97" t="str">
        <f>+_xlfn.XLOOKUP(PRODUCTOS[[#This Row],[CODIGO]],P_CRITICOS[CODIGO],P_CRITICOS[DESC CORTA],"",0)</f>
        <v/>
      </c>
      <c r="K97" t="str">
        <f>+IFERROR(IF(VLOOKUP(PRODUCTOS[[#This Row],[CODIGO]],P_CRITICOS[],3,0)="*","PRODUCTO CRITICO","NO CRITICO"),"NO CRITICO")</f>
        <v>NO CRITICO</v>
      </c>
      <c r="L97" s="15">
        <f>+_xlfn.XLOOKUP(PRODUCTOS[[#This Row],[CODIGO]],BD_MODULO[Artículo],BD_MODULO[CUB_ACTUALIZADA],"",0)</f>
        <v>1.5750000000000002</v>
      </c>
      <c r="M97" s="2">
        <f>+IFERROR(PRODUCTOS[[#This Row],[PPTO]]*PRODUCTOS[[#This Row],[CANT X MODULO]],"")</f>
        <v>5781.6281880000006</v>
      </c>
      <c r="N97" s="2">
        <f>+IFERROR(PRODUCTOS[[#This Row],[PPTO X MODULO]]*32,"")</f>
        <v>185012.10201600002</v>
      </c>
      <c r="O97" s="2">
        <f>+IFERROR(PRODUCTOS[[#This Row],[PPTO X TORRE]]*22,"")</f>
        <v>4070266.2443520003</v>
      </c>
      <c r="P97" s="3">
        <f>+IFERROR(PRODUCTOS[[#This Row],[CANT X MODULO]]*702,"")</f>
        <v>1105.6500000000001</v>
      </c>
      <c r="Q97" s="3">
        <f>+SUMIFS(DETALLE_GD_1[CANTIDAD SOLICITADA],DETALLE_GD_1[CODIGO],PRODUCTOS[[#This Row],[CODIGO]])</f>
        <v>1049</v>
      </c>
      <c r="R97" s="3">
        <f>+SUMIFS(DETALLE_GD_1[DEVOLUCIÓN],DETALLE_GD_1[CODIGO],PRODUCTOS[[#This Row],[CODIGO]])</f>
        <v>0</v>
      </c>
      <c r="S97" s="3">
        <f>+PRODUCTOS[[#This Row],[CANT. COMPRADA]]-PRODUCTOS[[#This Row],[DEVOLUCIONES]]</f>
        <v>1049</v>
      </c>
      <c r="T97" s="3">
        <f>+IFERROR(PRODUCTOS[[#This Row],[CANTIDAD RECIBIDA]]/PRODUCTOS[[#This Row],[CANT X MODULO]],"")</f>
        <v>666.03174603174591</v>
      </c>
      <c r="U97" s="3">
        <f>+SUMIFS(DETALLE_GD_1[VALOR TOTAL POR ITEM GD],DETALLE_GD_1[CODIGO],PRODUCTOS[[#This Row],[CODIGO]])</f>
        <v>3864773</v>
      </c>
      <c r="V97" s="3">
        <f>+IFERROR(PRODUCTOS[[#This Row],[PRECIO DE COMPRA]]/PRODUCTOS[[#This Row],[CANT. COMPRADA]],"")</f>
        <v>3684.244995233556</v>
      </c>
      <c r="W97" s="3">
        <f>+IFERROR(PRODUCTOS[[#This Row],[PRECIO COMPRA UNITARIO]]*PRODUCTOS[[#This Row],[PPTO FALTANTE]],"")</f>
        <v>220317.85071496732</v>
      </c>
      <c r="X97" s="7">
        <f>+IFERROR(PRODUCTOS[[#This Row],[PROYECCION COMPRA]]/PRODUCTOS[[#This Row],[PPTO TOTAL]]-1,"")</f>
        <v>-0.94587139084066407</v>
      </c>
      <c r="Y97" s="3">
        <f>+IFERROR((PRODUCTOS[[#This Row],[CANT X MODULO]]*704)-PRODUCTOS[[#This Row],[CANT. COMPRADA]],"")</f>
        <v>59.800000000000182</v>
      </c>
      <c r="Z97" s="17">
        <f>+IFERROR(PRODUCTOS[[#This Row],[CANT. COMPRADA]]/PRODUCTOS[[#This Row],[PPTO FALTANTE]],"")</f>
        <v>17.541806020066836</v>
      </c>
      <c r="AA97" s="3">
        <f>+IFERROR(PRODUCTOS[[#This Row],[PROYECCION COMPRA]]-(PRODUCTOS[[#This Row],[PPTO FALTANTE]]*PRODUCTOS[[#This Row],[PPTO]]),"")</f>
        <v>799.52332296664827</v>
      </c>
      <c r="AB97" s="3">
        <f>+_xlfn.XLOOKUP(PRODUCTOS[[#This Row],[CODIGO]],DETALLE_GD_1[CODIGO],DETALLE_GD_1[VALOR PPTO],"",0)</f>
        <v>3671</v>
      </c>
      <c r="AC97" s="3">
        <f>+AB97-PRODUCTOS[[#This Row],[PPTO_ACTUALIZADO]]</f>
        <v>0</v>
      </c>
    </row>
    <row r="98" spans="1:29" hidden="1" x14ac:dyDescent="0.25">
      <c r="A98">
        <v>304014</v>
      </c>
      <c r="B98" t="s">
        <v>23</v>
      </c>
      <c r="C98">
        <v>0</v>
      </c>
      <c r="D98" t="s">
        <v>240</v>
      </c>
      <c r="E98" t="s">
        <v>401</v>
      </c>
      <c r="F98" s="2">
        <v>20894.572284999998</v>
      </c>
      <c r="G98" s="6" t="s">
        <v>18</v>
      </c>
      <c r="H98" s="2">
        <v>20894.572284999998</v>
      </c>
      <c r="I98" t="b">
        <v>1</v>
      </c>
      <c r="J98" t="str">
        <f>+_xlfn.XLOOKUP(PRODUCTOS[[#This Row],[CODIGO]],P_CRITICOS[CODIGO],P_CRITICOS[DESC CORTA],"",0)</f>
        <v/>
      </c>
      <c r="K98" t="str">
        <f>+IFERROR(IF(VLOOKUP(PRODUCTOS[[#This Row],[CODIGO]],P_CRITICOS[],3,0)="*","PRODUCTO CRITICO","NO CRITICO"),"NO CRITICO")</f>
        <v>NO CRITICO</v>
      </c>
      <c r="L98" s="15">
        <f>+_xlfn.XLOOKUP(PRODUCTOS[[#This Row],[CODIGO]],BD_MODULO[Artículo],BD_MODULO[CUB_ACTUALIZADA],"",0)</f>
        <v>1.378125</v>
      </c>
      <c r="M98" s="2">
        <f>+IFERROR(PRODUCTOS[[#This Row],[PPTO]]*PRODUCTOS[[#This Row],[CANT X MODULO]],"")</f>
        <v>28795.332430265622</v>
      </c>
      <c r="N98" s="2">
        <f>+IFERROR(PRODUCTOS[[#This Row],[PPTO X MODULO]]*32,"")</f>
        <v>921450.6377684999</v>
      </c>
      <c r="O98" s="2">
        <f>+IFERROR(PRODUCTOS[[#This Row],[PPTO X TORRE]]*22,"")</f>
        <v>20271914.030906998</v>
      </c>
      <c r="P98" s="3">
        <f>+IFERROR(PRODUCTOS[[#This Row],[CANT X MODULO]]*702,"")</f>
        <v>967.44375000000002</v>
      </c>
      <c r="Q98" s="3">
        <f>+SUMIFS(DETALLE_GD_1[CANTIDAD SOLICITADA],DETALLE_GD_1[CODIGO],PRODUCTOS[[#This Row],[CODIGO]])</f>
        <v>710</v>
      </c>
      <c r="R98" s="3">
        <f>+SUMIFS(DETALLE_GD_1[DEVOLUCIÓN],DETALLE_GD_1[CODIGO],PRODUCTOS[[#This Row],[CODIGO]])</f>
        <v>0</v>
      </c>
      <c r="S98" s="3">
        <f>+PRODUCTOS[[#This Row],[CANT. COMPRADA]]-PRODUCTOS[[#This Row],[DEVOLUCIONES]]</f>
        <v>710</v>
      </c>
      <c r="T98" s="3">
        <f>+IFERROR(PRODUCTOS[[#This Row],[CANTIDAD RECIBIDA]]/PRODUCTOS[[#This Row],[CANT X MODULO]],"")</f>
        <v>515.19274376417229</v>
      </c>
      <c r="U98" s="3">
        <f>+SUMIFS(DETALLE_GD_1[VALOR TOTAL POR ITEM GD],DETALLE_GD_1[CODIGO],PRODUCTOS[[#This Row],[CODIGO]])</f>
        <v>14806727</v>
      </c>
      <c r="V98" s="3">
        <f>+IFERROR(PRODUCTOS[[#This Row],[PRECIO DE COMPRA]]/PRODUCTOS[[#This Row],[CANT. COMPRADA]],"")</f>
        <v>20854.545070422537</v>
      </c>
      <c r="W98" s="3">
        <f>+IFERROR(PRODUCTOS[[#This Row],[PRECIO COMPRA UNITARIO]]*PRODUCTOS[[#This Row],[PPTO FALTANTE]],"")</f>
        <v>5426352.6273239451</v>
      </c>
      <c r="X98" s="7">
        <f>+IFERROR(PRODUCTOS[[#This Row],[PROYECCION COMPRA]]/PRODUCTOS[[#This Row],[PPTO TOTAL]]-1,"")</f>
        <v>-0.73232164367652652</v>
      </c>
      <c r="Y98" s="3">
        <f>+IFERROR((PRODUCTOS[[#This Row],[CANT X MODULO]]*704)-PRODUCTOS[[#This Row],[CANT. COMPRADA]],"")</f>
        <v>260.20000000000005</v>
      </c>
      <c r="Z98" s="17">
        <f>+IFERROR(PRODUCTOS[[#This Row],[CANT. COMPRADA]]/PRODUCTOS[[#This Row],[PPTO FALTANTE]],"")</f>
        <v>2.7286702536510372</v>
      </c>
      <c r="AA98" s="3">
        <f>+IFERROR(PRODUCTOS[[#This Row],[PROYECCION COMPRA]]-(PRODUCTOS[[#This Row],[PPTO FALTANTE]]*PRODUCTOS[[#This Row],[PPTO]]),"")</f>
        <v>-10415.081233055331</v>
      </c>
      <c r="AB98" s="3">
        <f>+_xlfn.XLOOKUP(PRODUCTOS[[#This Row],[CODIGO]],DETALLE_GD_1[CODIGO],DETALLE_GD_1[VALOR PPTO],"",0)</f>
        <v>20894.5723</v>
      </c>
      <c r="AC98" s="3">
        <f>+AB98-PRODUCTOS[[#This Row],[PPTO_ACTUALIZADO]]</f>
        <v>1.5000001440057531E-5</v>
      </c>
    </row>
    <row r="99" spans="1:29" hidden="1" x14ac:dyDescent="0.25">
      <c r="A99">
        <v>1901505</v>
      </c>
      <c r="B99" t="s">
        <v>27</v>
      </c>
      <c r="C99" t="s">
        <v>565</v>
      </c>
      <c r="D99" t="s">
        <v>355</v>
      </c>
      <c r="E99" t="s">
        <v>355</v>
      </c>
      <c r="F99" s="2">
        <v>1895</v>
      </c>
      <c r="G99" s="6" t="s">
        <v>355</v>
      </c>
      <c r="H99" s="2">
        <v>1895</v>
      </c>
      <c r="I99" t="b">
        <v>1</v>
      </c>
      <c r="J99" t="str">
        <f>+_xlfn.XLOOKUP(PRODUCTOS[[#This Row],[CODIGO]],P_CRITICOS[CODIGO],P_CRITICOS[DESC CORTA],"",0)</f>
        <v/>
      </c>
      <c r="K99" t="str">
        <f>+IFERROR(IF(VLOOKUP(PRODUCTOS[[#This Row],[CODIGO]],P_CRITICOS[],3,0)="*","PRODUCTO CRITICO","NO CRITICO"),"NO CRITICO")</f>
        <v>NO CRITICO</v>
      </c>
      <c r="L99" s="15">
        <f>+_xlfn.XLOOKUP(PRODUCTOS[[#This Row],[CODIGO]],BD_MODULO[Artículo],BD_MODULO[CUB_ACTUALIZADA],"",0)</f>
        <v>1.2368067885117493</v>
      </c>
      <c r="M99" s="2">
        <f>+IFERROR(PRODUCTOS[[#This Row],[PPTO]]*PRODUCTOS[[#This Row],[CANT X MODULO]],"")</f>
        <v>2343.7488642297649</v>
      </c>
      <c r="N99" s="2">
        <f>+IFERROR(PRODUCTOS[[#This Row],[PPTO X MODULO]]*32,"")</f>
        <v>74999.963655352476</v>
      </c>
      <c r="O99" s="2">
        <f>+IFERROR(PRODUCTOS[[#This Row],[PPTO X TORRE]]*22,"")</f>
        <v>1649999.2004177545</v>
      </c>
      <c r="P99" s="3">
        <f>+IFERROR(PRODUCTOS[[#This Row],[CANT X MODULO]]*702,"")</f>
        <v>868.23836553524802</v>
      </c>
      <c r="Q99" s="3">
        <f>+SUMIFS(DETALLE_GD_1[CANTIDAD SOLICITADA],DETALLE_GD_1[CODIGO],PRODUCTOS[[#This Row],[CODIGO]])</f>
        <v>512</v>
      </c>
      <c r="R99" s="3">
        <f>+SUMIFS(DETALLE_GD_1[DEVOLUCIÓN],DETALLE_GD_1[CODIGO],PRODUCTOS[[#This Row],[CODIGO]])</f>
        <v>0</v>
      </c>
      <c r="S99" s="3">
        <f>+PRODUCTOS[[#This Row],[CANT. COMPRADA]]-PRODUCTOS[[#This Row],[DEVOLUCIONES]]</f>
        <v>512</v>
      </c>
      <c r="T99" s="3">
        <f>+IFERROR(PRODUCTOS[[#This Row],[CANTIDAD RECIBIDA]]/PRODUCTOS[[#This Row],[CANT X MODULO]],"")</f>
        <v>413.96926727422806</v>
      </c>
      <c r="U99" s="3">
        <f>+SUMIFS(DETALLE_GD_1[VALOR TOTAL POR ITEM GD],DETALLE_GD_1[CODIGO],PRODUCTOS[[#This Row],[CODIGO]])</f>
        <v>970240</v>
      </c>
      <c r="V99" s="3">
        <f>+IFERROR(PRODUCTOS[[#This Row],[PRECIO DE COMPRA]]/PRODUCTOS[[#This Row],[CANT. COMPRADA]],"")</f>
        <v>1895</v>
      </c>
      <c r="W99" s="3">
        <f>+IFERROR(PRODUCTOS[[#This Row],[PRECIO COMPRA UNITARIO]]*PRODUCTOS[[#This Row],[PPTO FALTANTE]],"")</f>
        <v>679759.20041775447</v>
      </c>
      <c r="X99" s="7">
        <f>+IFERROR(PRODUCTOS[[#This Row],[PROYECCION COMPRA]]/PRODUCTOS[[#This Row],[PPTO TOTAL]]-1,"")</f>
        <v>-0.5880245273781648</v>
      </c>
      <c r="Y99" s="3">
        <f>+IFERROR((PRODUCTOS[[#This Row],[CANT X MODULO]]*704)-PRODUCTOS[[#This Row],[CANT. COMPRADA]],"")</f>
        <v>358.71197911227148</v>
      </c>
      <c r="Z99" s="17">
        <f>+IFERROR(PRODUCTOS[[#This Row],[CANT. COMPRADA]]/PRODUCTOS[[#This Row],[PPTO FALTANTE]],"")</f>
        <v>1.4273289709116508</v>
      </c>
      <c r="AA99" s="3">
        <f>+IFERROR(PRODUCTOS[[#This Row],[PROYECCION COMPRA]]-(PRODUCTOS[[#This Row],[PPTO FALTANTE]]*PRODUCTOS[[#This Row],[PPTO]]),"")</f>
        <v>0</v>
      </c>
      <c r="AB99" s="3">
        <f>+_xlfn.XLOOKUP(PRODUCTOS[[#This Row],[CODIGO]],DETALLE_GD_1[CODIGO],DETALLE_GD_1[VALOR PPTO],"",0)</f>
        <v>1895</v>
      </c>
      <c r="AC99" s="3">
        <f>+AB99-PRODUCTOS[[#This Row],[PPTO_ACTUALIZADO]]</f>
        <v>0</v>
      </c>
    </row>
    <row r="100" spans="1:29" hidden="1" x14ac:dyDescent="0.25">
      <c r="A100">
        <v>2304053</v>
      </c>
      <c r="B100" t="s">
        <v>213</v>
      </c>
      <c r="C100">
        <v>0</v>
      </c>
      <c r="D100" t="s">
        <v>244</v>
      </c>
      <c r="E100" t="s">
        <v>399</v>
      </c>
      <c r="F100" s="2">
        <v>866.41015300000004</v>
      </c>
      <c r="G100" s="6" t="s">
        <v>31</v>
      </c>
      <c r="H100" s="2">
        <v>862.00000000000011</v>
      </c>
      <c r="I100" t="b">
        <v>0</v>
      </c>
      <c r="J100" t="str">
        <f>+_xlfn.XLOOKUP(PRODUCTOS[[#This Row],[CODIGO]],P_CRITICOS[CODIGO],P_CRITICOS[DESC CORTA],"",0)</f>
        <v/>
      </c>
      <c r="K100" t="str">
        <f>+IFERROR(IF(VLOOKUP(PRODUCTOS[[#This Row],[CODIGO]],P_CRITICOS[],3,0)="*","PRODUCTO CRITICO","NO CRITICO"),"NO CRITICO")</f>
        <v>NO CRITICO</v>
      </c>
      <c r="L100" s="15">
        <f>+_xlfn.XLOOKUP(PRODUCTOS[[#This Row],[CODIGO]],BD_MODULO[Artículo],BD_MODULO[CUB_ACTUALIZADA],"",0)</f>
        <v>2.1</v>
      </c>
      <c r="M100" s="2">
        <f>+IFERROR(PRODUCTOS[[#This Row],[PPTO]]*PRODUCTOS[[#This Row],[CANT X MODULO]],"")</f>
        <v>1819.4613213000002</v>
      </c>
      <c r="N100" s="2">
        <f>+IFERROR(PRODUCTOS[[#This Row],[PPTO X MODULO]]*32,"")</f>
        <v>58222.762281600008</v>
      </c>
      <c r="O100" s="2">
        <f>+IFERROR(PRODUCTOS[[#This Row],[PPTO X TORRE]]*22,"")</f>
        <v>1280900.7701952001</v>
      </c>
      <c r="P100" s="3">
        <f>+IFERROR(PRODUCTOS[[#This Row],[CANT X MODULO]]*702,"")</f>
        <v>1474.2</v>
      </c>
      <c r="Q100" s="3">
        <f>+SUMIFS(DETALLE_GD_1[CANTIDAD SOLICITADA],DETALLE_GD_1[CODIGO],PRODUCTOS[[#This Row],[CODIGO]])</f>
        <v>749</v>
      </c>
      <c r="R100" s="3">
        <f>+SUMIFS(DETALLE_GD_1[DEVOLUCIÓN],DETALLE_GD_1[CODIGO],PRODUCTOS[[#This Row],[CODIGO]])</f>
        <v>0</v>
      </c>
      <c r="S100" s="3">
        <f>+PRODUCTOS[[#This Row],[CANT. COMPRADA]]-PRODUCTOS[[#This Row],[DEVOLUCIONES]]</f>
        <v>749</v>
      </c>
      <c r="T100" s="3">
        <f>+IFERROR(PRODUCTOS[[#This Row],[CANTIDAD RECIBIDA]]/PRODUCTOS[[#This Row],[CANT X MODULO]],"")</f>
        <v>356.66666666666663</v>
      </c>
      <c r="U100" s="3">
        <f>+SUMIFS(DETALLE_GD_1[VALOR TOTAL POR ITEM GD],DETALLE_GD_1[CODIGO],PRODUCTOS[[#This Row],[CODIGO]])</f>
        <v>751911</v>
      </c>
      <c r="V100" s="3">
        <f>+IFERROR(PRODUCTOS[[#This Row],[PRECIO DE COMPRA]]/PRODUCTOS[[#This Row],[CANT. COMPRADA]],"")</f>
        <v>1003.8865153538051</v>
      </c>
      <c r="W100" s="3">
        <f>+IFERROR(PRODUCTOS[[#This Row],[PRECIO COMPRA UNITARIO]]*PRODUCTOS[[#This Row],[PPTO FALTANTE]],"")</f>
        <v>732234.82429906551</v>
      </c>
      <c r="X100" s="7">
        <f>+IFERROR(PRODUCTOS[[#This Row],[PROYECCION COMPRA]]/PRODUCTOS[[#This Row],[PPTO TOTAL]]-1,"")</f>
        <v>-0.42834383323270375</v>
      </c>
      <c r="Y100" s="3">
        <f>+IFERROR((PRODUCTOS[[#This Row],[CANT X MODULO]]*704)-PRODUCTOS[[#This Row],[CANT. COMPRADA]],"")</f>
        <v>729.40000000000009</v>
      </c>
      <c r="Z100" s="17">
        <f>+IFERROR(PRODUCTOS[[#This Row],[CANT. COMPRADA]]/PRODUCTOS[[#This Row],[PPTO FALTANTE]],"")</f>
        <v>1.0268714011516313</v>
      </c>
      <c r="AA100" s="3">
        <f>+IFERROR(PRODUCTOS[[#This Row],[PROYECCION COMPRA]]-(PRODUCTOS[[#This Row],[PPTO FALTANTE]]*PRODUCTOS[[#This Row],[PPTO]]),"")</f>
        <v>100275.25870086544</v>
      </c>
      <c r="AB100" s="3">
        <f>+_xlfn.XLOOKUP(PRODUCTOS[[#This Row],[CODIGO]],DETALLE_GD_1[CODIGO],DETALLE_GD_1[VALOR PPTO],"",0)</f>
        <v>862</v>
      </c>
      <c r="AC100" s="3">
        <f>+AB100-PRODUCTOS[[#This Row],[PPTO_ACTUALIZADO]]</f>
        <v>0</v>
      </c>
    </row>
    <row r="101" spans="1:29" hidden="1" x14ac:dyDescent="0.25">
      <c r="A101">
        <v>1801230</v>
      </c>
      <c r="B101" t="s">
        <v>51</v>
      </c>
      <c r="C101" t="s">
        <v>574</v>
      </c>
      <c r="D101" t="s">
        <v>244</v>
      </c>
      <c r="E101" t="s">
        <v>406</v>
      </c>
      <c r="F101" s="2">
        <v>9309.8461540000008</v>
      </c>
      <c r="G101" s="6" t="s">
        <v>31</v>
      </c>
      <c r="H101" s="2">
        <v>9309.8461540000008</v>
      </c>
      <c r="I101" t="b">
        <v>1</v>
      </c>
      <c r="J101" t="str">
        <f>+_xlfn.XLOOKUP(PRODUCTOS[[#This Row],[CODIGO]],P_CRITICOS[CODIGO],P_CRITICOS[DESC CORTA],"",0)</f>
        <v/>
      </c>
      <c r="K101" t="str">
        <f>+IFERROR(IF(VLOOKUP(PRODUCTOS[[#This Row],[CODIGO]],P_CRITICOS[],3,0)="*","PRODUCTO CRITICO","NO CRITICO"),"NO CRITICO")</f>
        <v>NO CRITICO</v>
      </c>
      <c r="L101" s="15">
        <f>+_xlfn.XLOOKUP(PRODUCTOS[[#This Row],[CODIGO]],BD_MODULO[Artículo],BD_MODULO[CUB_ACTUALIZADA],"",0)</f>
        <v>0.52500000000000002</v>
      </c>
      <c r="M101" s="2">
        <f>+IFERROR(PRODUCTOS[[#This Row],[PPTO]]*PRODUCTOS[[#This Row],[CANT X MODULO]],"")</f>
        <v>4887.6692308500005</v>
      </c>
      <c r="N101" s="2">
        <f>+IFERROR(PRODUCTOS[[#This Row],[PPTO X MODULO]]*32,"")</f>
        <v>156405.41538720002</v>
      </c>
      <c r="O101" s="2">
        <f>+IFERROR(PRODUCTOS[[#This Row],[PPTO X TORRE]]*22,"")</f>
        <v>3440919.1385184005</v>
      </c>
      <c r="P101" s="3">
        <f>+IFERROR(PRODUCTOS[[#This Row],[CANT X MODULO]]*702,"")</f>
        <v>368.55</v>
      </c>
      <c r="Q101" s="3">
        <f>+SUMIFS(DETALLE_GD_1[CANTIDAD SOLICITADA],DETALLE_GD_1[CODIGO],PRODUCTOS[[#This Row],[CODIGO]])</f>
        <v>179</v>
      </c>
      <c r="R101" s="3">
        <f>+SUMIFS(DETALLE_GD_1[DEVOLUCIÓN],DETALLE_GD_1[CODIGO],PRODUCTOS[[#This Row],[CODIGO]])</f>
        <v>0</v>
      </c>
      <c r="S101" s="3">
        <f>+PRODUCTOS[[#This Row],[CANT. COMPRADA]]-PRODUCTOS[[#This Row],[DEVOLUCIONES]]</f>
        <v>179</v>
      </c>
      <c r="T101" s="3">
        <f>+IFERROR(PRODUCTOS[[#This Row],[CANTIDAD RECIBIDA]]/PRODUCTOS[[#This Row],[CANT X MODULO]],"")</f>
        <v>340.95238095238096</v>
      </c>
      <c r="U101" s="3">
        <f>+SUMIFS(DETALLE_GD_1[VALOR TOTAL POR ITEM GD],DETALLE_GD_1[CODIGO],PRODUCTOS[[#This Row],[CODIGO]])</f>
        <v>664439</v>
      </c>
      <c r="V101" s="3">
        <f>+IFERROR(PRODUCTOS[[#This Row],[PRECIO DE COMPRA]]/PRODUCTOS[[#This Row],[CANT. COMPRADA]],"")</f>
        <v>3711.9497206703909</v>
      </c>
      <c r="W101" s="3">
        <f>+IFERROR(PRODUCTOS[[#This Row],[PRECIO COMPRA UNITARIO]]*PRODUCTOS[[#This Row],[PPTO FALTANTE]],"")</f>
        <v>707497.6167597766</v>
      </c>
      <c r="X101" s="7">
        <f>+IFERROR(PRODUCTOS[[#This Row],[PROYECCION COMPRA]]/PRODUCTOS[[#This Row],[PPTO TOTAL]]-1,"")</f>
        <v>-0.79438702617568258</v>
      </c>
      <c r="Y101" s="3">
        <f>+IFERROR((PRODUCTOS[[#This Row],[CANT X MODULO]]*704)-PRODUCTOS[[#This Row],[CANT. COMPRADA]],"")</f>
        <v>190.60000000000002</v>
      </c>
      <c r="Z101" s="17">
        <f>+IFERROR(PRODUCTOS[[#This Row],[CANT. COMPRADA]]/PRODUCTOS[[#This Row],[PPTO FALTANTE]],"")</f>
        <v>0.93913955928646364</v>
      </c>
      <c r="AA101" s="3">
        <f>+IFERROR(PRODUCTOS[[#This Row],[PROYECCION COMPRA]]-(PRODUCTOS[[#This Row],[PPTO FALTANTE]]*PRODUCTOS[[#This Row],[PPTO]]),"")</f>
        <v>-1066959.0601926236</v>
      </c>
      <c r="AB101" s="3">
        <f>+_xlfn.XLOOKUP(PRODUCTOS[[#This Row],[CODIGO]],DETALLE_GD_1[CODIGO],DETALLE_GD_1[VALOR PPTO],"",0)</f>
        <v>9309.8462</v>
      </c>
      <c r="AC101" s="3">
        <f>+AB101-PRODUCTOS[[#This Row],[PPTO_ACTUALIZADO]]</f>
        <v>4.5999999201740138E-5</v>
      </c>
    </row>
    <row r="102" spans="1:29" hidden="1" x14ac:dyDescent="0.25">
      <c r="A102">
        <v>1103076</v>
      </c>
      <c r="B102" t="s">
        <v>311</v>
      </c>
      <c r="C102" t="s">
        <v>666</v>
      </c>
      <c r="D102" t="s">
        <v>240</v>
      </c>
      <c r="E102">
        <v>0</v>
      </c>
      <c r="F102" s="2">
        <v>3191</v>
      </c>
      <c r="G102" s="6" t="s">
        <v>31</v>
      </c>
      <c r="H102" s="2">
        <v>3191</v>
      </c>
      <c r="I102" t="b">
        <v>1</v>
      </c>
      <c r="J102" t="str">
        <f>+_xlfn.XLOOKUP(PRODUCTOS[[#This Row],[CODIGO]],P_CRITICOS[CODIGO],P_CRITICOS[DESC CORTA],"",0)</f>
        <v/>
      </c>
      <c r="K102" t="str">
        <f>+IFERROR(IF(VLOOKUP(PRODUCTOS[[#This Row],[CODIGO]],P_CRITICOS[],3,0)="*","PRODUCTO CRITICO","NO CRITICO"),"NO CRITICO")</f>
        <v>NO CRITICO</v>
      </c>
      <c r="L102" s="15">
        <f>+_xlfn.XLOOKUP(PRODUCTOS[[#This Row],[CODIGO]],BD_MODULO[Artículo],BD_MODULO[CUB_ACTUALIZADA],"",0)</f>
        <v>1.05</v>
      </c>
      <c r="M102" s="2">
        <f>+IFERROR(PRODUCTOS[[#This Row],[PPTO]]*PRODUCTOS[[#This Row],[CANT X MODULO]],"")</f>
        <v>3350.55</v>
      </c>
      <c r="N102" s="2">
        <f>+IFERROR(PRODUCTOS[[#This Row],[PPTO X MODULO]]*32,"")</f>
        <v>107217.60000000001</v>
      </c>
      <c r="O102" s="2">
        <f>+IFERROR(PRODUCTOS[[#This Row],[PPTO X TORRE]]*22,"")</f>
        <v>2358787.2000000002</v>
      </c>
      <c r="P102" s="3">
        <f>+IFERROR(PRODUCTOS[[#This Row],[CANT X MODULO]]*702,"")</f>
        <v>737.1</v>
      </c>
      <c r="Q102" s="3">
        <f>+SUMIFS(DETALLE_GD_1[CANTIDAD SOLICITADA],DETALLE_GD_1[CODIGO],PRODUCTOS[[#This Row],[CODIGO]])</f>
        <v>338</v>
      </c>
      <c r="R102" s="3">
        <f>+SUMIFS(DETALLE_GD_1[DEVOLUCIÓN],DETALLE_GD_1[CODIGO],PRODUCTOS[[#This Row],[CODIGO]])</f>
        <v>0</v>
      </c>
      <c r="S102" s="3">
        <f>+PRODUCTOS[[#This Row],[CANT. COMPRADA]]-PRODUCTOS[[#This Row],[DEVOLUCIONES]]</f>
        <v>338</v>
      </c>
      <c r="T102" s="3">
        <f>+IFERROR(PRODUCTOS[[#This Row],[CANTIDAD RECIBIDA]]/PRODUCTOS[[#This Row],[CANT X MODULO]],"")</f>
        <v>321.90476190476187</v>
      </c>
      <c r="U102" s="3">
        <f>+SUMIFS(DETALLE_GD_1[VALOR TOTAL POR ITEM GD],DETALLE_GD_1[CODIGO],PRODUCTOS[[#This Row],[CODIGO]])</f>
        <v>939549</v>
      </c>
      <c r="V102" s="3">
        <f>+IFERROR(PRODUCTOS[[#This Row],[PRECIO DE COMPRA]]/PRODUCTOS[[#This Row],[CANT. COMPRADA]],"")</f>
        <v>2779.7307692307691</v>
      </c>
      <c r="W102" s="3">
        <f>+IFERROR(PRODUCTOS[[#This Row],[PRECIO COMPRA UNITARIO]]*PRODUCTOS[[#This Row],[PPTO FALTANTE]],"")</f>
        <v>1115227.9846153846</v>
      </c>
      <c r="X102" s="7">
        <f>+IFERROR(PRODUCTOS[[#This Row],[PROYECCION COMPRA]]/PRODUCTOS[[#This Row],[PPTO TOTAL]]-1,"")</f>
        <v>-0.52720279955080962</v>
      </c>
      <c r="Y102" s="3">
        <f>+IFERROR((PRODUCTOS[[#This Row],[CANT X MODULO]]*704)-PRODUCTOS[[#This Row],[CANT. COMPRADA]],"")</f>
        <v>401.20000000000005</v>
      </c>
      <c r="Z102" s="17">
        <f>+IFERROR(PRODUCTOS[[#This Row],[CANT. COMPRADA]]/PRODUCTOS[[#This Row],[PPTO FALTANTE]],"")</f>
        <v>0.84247258225324018</v>
      </c>
      <c r="AA102" s="3">
        <f>+IFERROR(PRODUCTOS[[#This Row],[PROYECCION COMPRA]]-(PRODUCTOS[[#This Row],[PPTO FALTANTE]]*PRODUCTOS[[#This Row],[PPTO]]),"")</f>
        <v>-165001.21538461559</v>
      </c>
      <c r="AB102" s="3">
        <f>+_xlfn.XLOOKUP(PRODUCTOS[[#This Row],[CODIGO]],DETALLE_GD_1[CODIGO],DETALLE_GD_1[VALOR PPTO],"",0)</f>
        <v>3191</v>
      </c>
      <c r="AC102" s="3">
        <f>+AB102-PRODUCTOS[[#This Row],[PPTO_ACTUALIZADO]]</f>
        <v>0</v>
      </c>
    </row>
    <row r="103" spans="1:29" hidden="1" x14ac:dyDescent="0.25">
      <c r="A103">
        <v>1103074</v>
      </c>
      <c r="B103" t="s">
        <v>310</v>
      </c>
      <c r="C103" t="s">
        <v>665</v>
      </c>
      <c r="D103" t="s">
        <v>240</v>
      </c>
      <c r="E103">
        <v>0</v>
      </c>
      <c r="F103" s="2">
        <v>2427</v>
      </c>
      <c r="G103" s="6" t="s">
        <v>31</v>
      </c>
      <c r="H103" s="2">
        <v>2427</v>
      </c>
      <c r="I103" t="b">
        <v>1</v>
      </c>
      <c r="J103" t="str">
        <f>+_xlfn.XLOOKUP(PRODUCTOS[[#This Row],[CODIGO]],P_CRITICOS[CODIGO],P_CRITICOS[DESC CORTA],"",0)</f>
        <v/>
      </c>
      <c r="K103" t="str">
        <f>+IFERROR(IF(VLOOKUP(PRODUCTOS[[#This Row],[CODIGO]],P_CRITICOS[],3,0)="*","PRODUCTO CRITICO","NO CRITICO"),"NO CRITICO")</f>
        <v>NO CRITICO</v>
      </c>
      <c r="L103" s="15">
        <f>+_xlfn.XLOOKUP(PRODUCTOS[[#This Row],[CODIGO]],BD_MODULO[Artículo],BD_MODULO[CUB_ACTUALIZADA],"",0)</f>
        <v>1.05</v>
      </c>
      <c r="M103" s="2">
        <f>+IFERROR(PRODUCTOS[[#This Row],[PPTO]]*PRODUCTOS[[#This Row],[CANT X MODULO]],"")</f>
        <v>2548.35</v>
      </c>
      <c r="N103" s="2">
        <f>+IFERROR(PRODUCTOS[[#This Row],[PPTO X MODULO]]*32,"")</f>
        <v>81547.199999999997</v>
      </c>
      <c r="O103" s="2">
        <f>+IFERROR(PRODUCTOS[[#This Row],[PPTO X TORRE]]*22,"")</f>
        <v>1794038.4</v>
      </c>
      <c r="P103" s="3">
        <f>+IFERROR(PRODUCTOS[[#This Row],[CANT X MODULO]]*702,"")</f>
        <v>737.1</v>
      </c>
      <c r="Q103" s="3">
        <f>+SUMIFS(DETALLE_GD_1[CANTIDAD SOLICITADA],DETALLE_GD_1[CODIGO],PRODUCTOS[[#This Row],[CODIGO]])</f>
        <v>310</v>
      </c>
      <c r="R103" s="3">
        <f>+SUMIFS(DETALLE_GD_1[DEVOLUCIÓN],DETALLE_GD_1[CODIGO],PRODUCTOS[[#This Row],[CODIGO]])</f>
        <v>0</v>
      </c>
      <c r="S103" s="3">
        <f>+PRODUCTOS[[#This Row],[CANT. COMPRADA]]-PRODUCTOS[[#This Row],[DEVOLUCIONES]]</f>
        <v>310</v>
      </c>
      <c r="T103" s="3">
        <f>+IFERROR(PRODUCTOS[[#This Row],[CANTIDAD RECIBIDA]]/PRODUCTOS[[#This Row],[CANT X MODULO]],"")</f>
        <v>295.23809523809524</v>
      </c>
      <c r="U103" s="3">
        <f>+SUMIFS(DETALLE_GD_1[VALOR TOTAL POR ITEM GD],DETALLE_GD_1[CODIGO],PRODUCTOS[[#This Row],[CODIGO]])</f>
        <v>650317</v>
      </c>
      <c r="V103" s="3">
        <f>+IFERROR(PRODUCTOS[[#This Row],[PRECIO DE COMPRA]]/PRODUCTOS[[#This Row],[CANT. COMPRADA]],"")</f>
        <v>2097.7967741935486</v>
      </c>
      <c r="W103" s="3">
        <f>+IFERROR(PRODUCTOS[[#This Row],[PRECIO COMPRA UNITARIO]]*PRODUCTOS[[#This Row],[PPTO FALTANTE]],"")</f>
        <v>900374.37548387109</v>
      </c>
      <c r="X103" s="7">
        <f>+IFERROR(PRODUCTOS[[#This Row],[PROYECCION COMPRA]]/PRODUCTOS[[#This Row],[PPTO TOTAL]]-1,"")</f>
        <v>-0.49812981958252889</v>
      </c>
      <c r="Y103" s="3">
        <f>+IFERROR((PRODUCTOS[[#This Row],[CANT X MODULO]]*704)-PRODUCTOS[[#This Row],[CANT. COMPRADA]],"")</f>
        <v>429.20000000000005</v>
      </c>
      <c r="Z103" s="17">
        <f>+IFERROR(PRODUCTOS[[#This Row],[CANT. COMPRADA]]/PRODUCTOS[[#This Row],[PPTO FALTANTE]],"")</f>
        <v>0.72227399813606707</v>
      </c>
      <c r="AA103" s="3">
        <f>+IFERROR(PRODUCTOS[[#This Row],[PROYECCION COMPRA]]-(PRODUCTOS[[#This Row],[PPTO FALTANTE]]*PRODUCTOS[[#This Row],[PPTO]]),"")</f>
        <v>-141294.02451612905</v>
      </c>
      <c r="AB103" s="3">
        <f>+_xlfn.XLOOKUP(PRODUCTOS[[#This Row],[CODIGO]],DETALLE_GD_1[CODIGO],DETALLE_GD_1[VALOR PPTO],"",0)</f>
        <v>2427</v>
      </c>
      <c r="AC103" s="3">
        <f>+AB103-PRODUCTOS[[#This Row],[PPTO_ACTUALIZADO]]</f>
        <v>0</v>
      </c>
    </row>
    <row r="104" spans="1:29" hidden="1" x14ac:dyDescent="0.25">
      <c r="A104">
        <v>408034</v>
      </c>
      <c r="B104" t="s">
        <v>250</v>
      </c>
      <c r="C104">
        <v>0</v>
      </c>
      <c r="D104">
        <v>0</v>
      </c>
      <c r="E104">
        <v>0</v>
      </c>
      <c r="F104" s="2">
        <v>1866.9503549999999</v>
      </c>
      <c r="G104" s="6" t="s">
        <v>36</v>
      </c>
      <c r="H104" s="2">
        <v>1866.9503550000009</v>
      </c>
      <c r="I104" t="b">
        <v>1</v>
      </c>
      <c r="J104" t="str">
        <f>+_xlfn.XLOOKUP(PRODUCTOS[[#This Row],[CODIGO]],P_CRITICOS[CODIGO],P_CRITICOS[DESC CORTA],"",0)</f>
        <v/>
      </c>
      <c r="K104" t="str">
        <f>+IFERROR(IF(VLOOKUP(PRODUCTOS[[#This Row],[CODIGO]],P_CRITICOS[],3,0)="*","PRODUCTO CRITICO","NO CRITICO"),"NO CRITICO")</f>
        <v>NO CRITICO</v>
      </c>
      <c r="L104" s="15">
        <f>+_xlfn.XLOOKUP(PRODUCTOS[[#This Row],[CODIGO]],BD_MODULO[Artículo],BD_MODULO[CUB_ACTUALIZADA],"",0)</f>
        <v>7.1400000000000005E-2</v>
      </c>
      <c r="M104" s="2">
        <f>+IFERROR(PRODUCTOS[[#This Row],[PPTO]]*PRODUCTOS[[#This Row],[CANT X MODULO]],"")</f>
        <v>133.30025534700002</v>
      </c>
      <c r="N104" s="2">
        <f>+IFERROR(PRODUCTOS[[#This Row],[PPTO X MODULO]]*32,"")</f>
        <v>4265.6081711040006</v>
      </c>
      <c r="O104" s="2">
        <f>+IFERROR(PRODUCTOS[[#This Row],[PPTO X TORRE]]*22,"")</f>
        <v>93843.379764288009</v>
      </c>
      <c r="P104" s="3">
        <f>+IFERROR(PRODUCTOS[[#This Row],[CANT X MODULO]]*702,"")</f>
        <v>50.122800000000005</v>
      </c>
      <c r="Q104" s="3">
        <f>+SUMIFS(DETALLE_GD_1[CANTIDAD SOLICITADA],DETALLE_GD_1[CODIGO],PRODUCTOS[[#This Row],[CODIGO]])</f>
        <v>19</v>
      </c>
      <c r="R104" s="3">
        <f>+SUMIFS(DETALLE_GD_1[DEVOLUCIÓN],DETALLE_GD_1[CODIGO],PRODUCTOS[[#This Row],[CODIGO]])</f>
        <v>0</v>
      </c>
      <c r="S104" s="3">
        <f>+PRODUCTOS[[#This Row],[CANT. COMPRADA]]-PRODUCTOS[[#This Row],[DEVOLUCIONES]]</f>
        <v>19</v>
      </c>
      <c r="T104" s="3">
        <f>+IFERROR(PRODUCTOS[[#This Row],[CANTIDAD RECIBIDA]]/PRODUCTOS[[#This Row],[CANT X MODULO]],"")</f>
        <v>266.1064425770308</v>
      </c>
      <c r="U104" s="3">
        <f>+SUMIFS(DETALLE_GD_1[VALOR TOTAL POR ITEM GD],DETALLE_GD_1[CODIGO],PRODUCTOS[[#This Row],[CODIGO]])</f>
        <v>35473</v>
      </c>
      <c r="V104" s="3">
        <f>+IFERROR(PRODUCTOS[[#This Row],[PRECIO DE COMPRA]]/PRODUCTOS[[#This Row],[CANT. COMPRADA]],"")</f>
        <v>1867</v>
      </c>
      <c r="W104" s="3">
        <f>+IFERROR(PRODUCTOS[[#This Row],[PRECIO COMPRA UNITARIO]]*PRODUCTOS[[#This Row],[PPTO FALTANTE]],"")</f>
        <v>58372.875200000009</v>
      </c>
      <c r="X104" s="7">
        <f>+IFERROR(PRODUCTOS[[#This Row],[PROYECCION COMPRA]]/PRODUCTOS[[#This Row],[PPTO TOTAL]]-1,"")</f>
        <v>-0.37797556581382052</v>
      </c>
      <c r="Y104" s="3">
        <f>+IFERROR((PRODUCTOS[[#This Row],[CANT X MODULO]]*704)-PRODUCTOS[[#This Row],[CANT. COMPRADA]],"")</f>
        <v>31.265600000000006</v>
      </c>
      <c r="Z104" s="17">
        <f>+IFERROR(PRODUCTOS[[#This Row],[CANT. COMPRADA]]/PRODUCTOS[[#This Row],[PPTO FALTANTE]],"")</f>
        <v>0.60769663783839101</v>
      </c>
      <c r="AA104" s="3">
        <f>+IFERROR(PRODUCTOS[[#This Row],[PROYECCION COMPRA]]-(PRODUCTOS[[#This Row],[PPTO FALTANTE]]*PRODUCTOS[[#This Row],[PPTO]]),"")</f>
        <v>1.5521807120021549</v>
      </c>
      <c r="AB104" s="3">
        <f>+_xlfn.XLOOKUP(PRODUCTOS[[#This Row],[CODIGO]],DETALLE_GD_1[CODIGO],DETALLE_GD_1[VALOR PPTO],"",0)</f>
        <v>1866.9503999999999</v>
      </c>
      <c r="AC104" s="3">
        <f>+AB104-PRODUCTOS[[#This Row],[PPTO_ACTUALIZADO]]</f>
        <v>4.4999999090578058E-5</v>
      </c>
    </row>
    <row r="105" spans="1:29" hidden="1" x14ac:dyDescent="0.25">
      <c r="A105">
        <v>704024</v>
      </c>
      <c r="B105" t="s">
        <v>332</v>
      </c>
      <c r="C105" t="s">
        <v>673</v>
      </c>
      <c r="D105" t="s">
        <v>240</v>
      </c>
      <c r="E105" t="s">
        <v>402</v>
      </c>
      <c r="F105" s="2">
        <v>363</v>
      </c>
      <c r="G105" s="6" t="s">
        <v>31</v>
      </c>
      <c r="H105" s="2">
        <v>363</v>
      </c>
      <c r="I105" t="b">
        <v>1</v>
      </c>
      <c r="J105" t="str">
        <f>+_xlfn.XLOOKUP(PRODUCTOS[[#This Row],[CODIGO]],P_CRITICOS[CODIGO],P_CRITICOS[DESC CORTA],"",0)</f>
        <v/>
      </c>
      <c r="K105" t="str">
        <f>+IFERROR(IF(VLOOKUP(PRODUCTOS[[#This Row],[CODIGO]],P_CRITICOS[],3,0)="*","PRODUCTO CRITICO","NO CRITICO"),"NO CRITICO")</f>
        <v>NO CRITICO</v>
      </c>
      <c r="L105" s="15">
        <f>+_xlfn.XLOOKUP(PRODUCTOS[[#This Row],[CODIGO]],BD_MODULO[Artículo],BD_MODULO[CUB_ACTUALIZADA],"",0)</f>
        <v>4.2</v>
      </c>
      <c r="M105" s="2">
        <f>+IFERROR(PRODUCTOS[[#This Row],[PPTO]]*PRODUCTOS[[#This Row],[CANT X MODULO]],"")</f>
        <v>1524.6000000000001</v>
      </c>
      <c r="N105" s="2">
        <f>+IFERROR(PRODUCTOS[[#This Row],[PPTO X MODULO]]*32,"")</f>
        <v>48787.200000000004</v>
      </c>
      <c r="O105" s="2">
        <f>+IFERROR(PRODUCTOS[[#This Row],[PPTO X TORRE]]*22,"")</f>
        <v>1073318.4000000001</v>
      </c>
      <c r="P105" s="3">
        <f>+IFERROR(PRODUCTOS[[#This Row],[CANT X MODULO]]*702,"")</f>
        <v>2948.4</v>
      </c>
      <c r="Q105" s="3">
        <f>+SUMIFS(DETALLE_GD_1[CANTIDAD SOLICITADA],DETALLE_GD_1[CODIGO],PRODUCTOS[[#This Row],[CODIGO]])</f>
        <v>1096</v>
      </c>
      <c r="R105" s="3">
        <f>+SUMIFS(DETALLE_GD_1[DEVOLUCIÓN],DETALLE_GD_1[CODIGO],PRODUCTOS[[#This Row],[CODIGO]])</f>
        <v>0</v>
      </c>
      <c r="S105" s="3">
        <f>+PRODUCTOS[[#This Row],[CANT. COMPRADA]]-PRODUCTOS[[#This Row],[DEVOLUCIONES]]</f>
        <v>1096</v>
      </c>
      <c r="T105" s="3">
        <f>+IFERROR(PRODUCTOS[[#This Row],[CANTIDAD RECIBIDA]]/PRODUCTOS[[#This Row],[CANT X MODULO]],"")</f>
        <v>260.95238095238096</v>
      </c>
      <c r="U105" s="3">
        <f>+SUMIFS(DETALLE_GD_1[VALOR TOTAL POR ITEM GD],DETALLE_GD_1[CODIGO],PRODUCTOS[[#This Row],[CODIGO]])</f>
        <v>348453</v>
      </c>
      <c r="V105" s="3">
        <f>+IFERROR(PRODUCTOS[[#This Row],[PRECIO DE COMPRA]]/PRODUCTOS[[#This Row],[CANT. COMPRADA]],"")</f>
        <v>317.93156934306569</v>
      </c>
      <c r="W105" s="3">
        <f>+IFERROR(PRODUCTOS[[#This Row],[PRECIO COMPRA UNITARIO]]*PRODUCTOS[[#This Row],[PPTO FALTANTE]],"")</f>
        <v>591607.06423357665</v>
      </c>
      <c r="X105" s="7">
        <f>+IFERROR(PRODUCTOS[[#This Row],[PROYECCION COMPRA]]/PRODUCTOS[[#This Row],[PPTO TOTAL]]-1,"")</f>
        <v>-0.4488056254010212</v>
      </c>
      <c r="Y105" s="3">
        <f>+IFERROR((PRODUCTOS[[#This Row],[CANT X MODULO]]*704)-PRODUCTOS[[#This Row],[CANT. COMPRADA]],"")</f>
        <v>1860.8000000000002</v>
      </c>
      <c r="Z105" s="17">
        <f>+IFERROR(PRODUCTOS[[#This Row],[CANT. COMPRADA]]/PRODUCTOS[[#This Row],[PPTO FALTANTE]],"")</f>
        <v>0.58899398108340495</v>
      </c>
      <c r="AA105" s="3">
        <f>+IFERROR(PRODUCTOS[[#This Row],[PROYECCION COMPRA]]-(PRODUCTOS[[#This Row],[PPTO FALTANTE]]*PRODUCTOS[[#This Row],[PPTO]]),"")</f>
        <v>-83863.335766423377</v>
      </c>
      <c r="AB105" s="3">
        <f>+_xlfn.XLOOKUP(PRODUCTOS[[#This Row],[CODIGO]],DETALLE_GD_1[CODIGO],DETALLE_GD_1[VALOR PPTO],"",0)</f>
        <v>363</v>
      </c>
      <c r="AC105" s="3">
        <f>+AB105-PRODUCTOS[[#This Row],[PPTO_ACTUALIZADO]]</f>
        <v>0</v>
      </c>
    </row>
    <row r="106" spans="1:29" hidden="1" x14ac:dyDescent="0.25">
      <c r="A106">
        <v>701040</v>
      </c>
      <c r="B106" t="s">
        <v>19</v>
      </c>
      <c r="C106" t="s">
        <v>563</v>
      </c>
      <c r="D106" t="s">
        <v>240</v>
      </c>
      <c r="E106" t="s">
        <v>402</v>
      </c>
      <c r="F106" s="2">
        <v>7835.7259539999995</v>
      </c>
      <c r="G106" s="6" t="s">
        <v>18</v>
      </c>
      <c r="H106" s="2">
        <v>7835.7259539999986</v>
      </c>
      <c r="I106" t="b">
        <v>1</v>
      </c>
      <c r="J106" t="str">
        <f>+_xlfn.XLOOKUP(PRODUCTOS[[#This Row],[CODIGO]],P_CRITICOS[CODIGO],P_CRITICOS[DESC CORTA],"",0)</f>
        <v/>
      </c>
      <c r="K106" t="str">
        <f>+IFERROR(IF(VLOOKUP(PRODUCTOS[[#This Row],[CODIGO]],P_CRITICOS[],3,0)="*","PRODUCTO CRITICO","NO CRITICO"),"NO CRITICO")</f>
        <v>NO CRITICO</v>
      </c>
      <c r="L106" s="15">
        <f>+_xlfn.XLOOKUP(PRODUCTOS[[#This Row],[CODIGO]],BD_MODULO[Artículo],BD_MODULO[CUB_ACTUALIZADA],"",0)</f>
        <v>4.2840000000000007</v>
      </c>
      <c r="M106" s="2">
        <f>+IFERROR(PRODUCTOS[[#This Row],[PPTO]]*PRODUCTOS[[#This Row],[CANT X MODULO]],"")</f>
        <v>33568.249986936004</v>
      </c>
      <c r="N106" s="2">
        <f>+IFERROR(PRODUCTOS[[#This Row],[PPTO X MODULO]]*32,"")</f>
        <v>1074183.9995819521</v>
      </c>
      <c r="O106" s="2">
        <f>+IFERROR(PRODUCTOS[[#This Row],[PPTO X TORRE]]*22,"")</f>
        <v>23632047.990802947</v>
      </c>
      <c r="P106" s="3">
        <f>+IFERROR(PRODUCTOS[[#This Row],[CANT X MODULO]]*702,"")</f>
        <v>3007.3680000000004</v>
      </c>
      <c r="Q106" s="3">
        <f>+SUMIFS(DETALLE_GD_1[CANTIDAD SOLICITADA],DETALLE_GD_1[CODIGO],PRODUCTOS[[#This Row],[CODIGO]])</f>
        <v>1055</v>
      </c>
      <c r="R106" s="3">
        <f>+SUMIFS(DETALLE_GD_1[DEVOLUCIÓN],DETALLE_GD_1[CODIGO],PRODUCTOS[[#This Row],[CODIGO]])</f>
        <v>0</v>
      </c>
      <c r="S106" s="3">
        <f>+PRODUCTOS[[#This Row],[CANT. COMPRADA]]-PRODUCTOS[[#This Row],[DEVOLUCIONES]]</f>
        <v>1055</v>
      </c>
      <c r="T106" s="3">
        <f>+IFERROR(PRODUCTOS[[#This Row],[CANTIDAD RECIBIDA]]/PRODUCTOS[[#This Row],[CANT X MODULO]],"")</f>
        <v>246.26517273576093</v>
      </c>
      <c r="U106" s="3">
        <f>+SUMIFS(DETALLE_GD_1[VALOR TOTAL POR ITEM GD],DETALLE_GD_1[CODIGO],PRODUCTOS[[#This Row],[CODIGO]])</f>
        <v>8000165</v>
      </c>
      <c r="V106" s="3">
        <f>+IFERROR(PRODUCTOS[[#This Row],[PRECIO DE COMPRA]]/PRODUCTOS[[#This Row],[CANT. COMPRADA]],"")</f>
        <v>7583.0947867298582</v>
      </c>
      <c r="W106" s="3">
        <f>+IFERROR(PRODUCTOS[[#This Row],[PRECIO COMPRA UNITARIO]]*PRODUCTOS[[#This Row],[PPTO FALTANTE]],"")</f>
        <v>14869963.558710907</v>
      </c>
      <c r="X106" s="7">
        <f>+IFERROR(PRODUCTOS[[#This Row],[PROYECCION COMPRA]]/PRODUCTOS[[#This Row],[PPTO TOTAL]]-1,"")</f>
        <v>-0.37077126940085958</v>
      </c>
      <c r="Y106" s="3">
        <f>+IFERROR((PRODUCTOS[[#This Row],[CANT X MODULO]]*704)-PRODUCTOS[[#This Row],[CANT. COMPRADA]],"")</f>
        <v>1960.9360000000006</v>
      </c>
      <c r="Z106" s="17">
        <f>+IFERROR(PRODUCTOS[[#This Row],[CANT. COMPRADA]]/PRODUCTOS[[#This Row],[PPTO FALTANTE]],"")</f>
        <v>0.53800837967174842</v>
      </c>
      <c r="AA106" s="3">
        <f>+IFERROR(PRODUCTOS[[#This Row],[PROYECCION COMPRA]]-(PRODUCTOS[[#This Row],[PPTO FALTANTE]]*PRODUCTOS[[#This Row],[PPTO]]),"")</f>
        <v>-495393.55062204041</v>
      </c>
      <c r="AB106" s="3">
        <f>+_xlfn.XLOOKUP(PRODUCTOS[[#This Row],[CODIGO]],DETALLE_GD_1[CODIGO],DETALLE_GD_1[VALOR PPTO],"",0)</f>
        <v>7835.7259999999997</v>
      </c>
      <c r="AC106" s="3">
        <f>+AB106-PRODUCTOS[[#This Row],[PPTO_ACTUALIZADO]]</f>
        <v>4.6000001020729542E-5</v>
      </c>
    </row>
    <row r="107" spans="1:29" hidden="1" x14ac:dyDescent="0.25">
      <c r="A107">
        <v>410045</v>
      </c>
      <c r="B107" t="s">
        <v>110</v>
      </c>
      <c r="C107" t="s">
        <v>615</v>
      </c>
      <c r="D107" t="s">
        <v>240</v>
      </c>
      <c r="E107" t="s">
        <v>399</v>
      </c>
      <c r="F107" s="2">
        <v>368.00136099999997</v>
      </c>
      <c r="G107" s="6" t="s">
        <v>31</v>
      </c>
      <c r="H107" s="2">
        <v>368.00136099999992</v>
      </c>
      <c r="I107" t="b">
        <v>1</v>
      </c>
      <c r="J107" t="str">
        <f>+_xlfn.XLOOKUP(PRODUCTOS[[#This Row],[CODIGO]],P_CRITICOS[CODIGO],P_CRITICOS[DESC CORTA],"",0)</f>
        <v/>
      </c>
      <c r="K107" t="str">
        <f>+IFERROR(IF(VLOOKUP(PRODUCTOS[[#This Row],[CODIGO]],P_CRITICOS[],3,0)="*","PRODUCTO CRITICO","NO CRITICO"),"NO CRITICO")</f>
        <v>NO CRITICO</v>
      </c>
      <c r="L107" s="15">
        <f>+_xlfn.XLOOKUP(PRODUCTOS[[#This Row],[CODIGO]],BD_MODULO[Artículo],BD_MODULO[CUB_ACTUALIZADA],"",0)</f>
        <v>16.800000000000004</v>
      </c>
      <c r="M107" s="2">
        <f>+IFERROR(PRODUCTOS[[#This Row],[PPTO]]*PRODUCTOS[[#This Row],[CANT X MODULO]],"")</f>
        <v>6182.4228648000008</v>
      </c>
      <c r="N107" s="2">
        <f>+IFERROR(PRODUCTOS[[#This Row],[PPTO X MODULO]]*32,"")</f>
        <v>197837.53167360002</v>
      </c>
      <c r="O107" s="2">
        <f>+IFERROR(PRODUCTOS[[#This Row],[PPTO X TORRE]]*22,"")</f>
        <v>4352425.6968192002</v>
      </c>
      <c r="P107" s="3">
        <f>+IFERROR(PRODUCTOS[[#This Row],[CANT X MODULO]]*702,"")</f>
        <v>11793.600000000002</v>
      </c>
      <c r="Q107" s="3">
        <f>+SUMIFS(DETALLE_GD_1[CANTIDAD SOLICITADA],DETALLE_GD_1[CODIGO],PRODUCTOS[[#This Row],[CODIGO]])</f>
        <v>3813</v>
      </c>
      <c r="R107" s="3">
        <f>+SUMIFS(DETALLE_GD_1[DEVOLUCIÓN],DETALLE_GD_1[CODIGO],PRODUCTOS[[#This Row],[CODIGO]])</f>
        <v>0</v>
      </c>
      <c r="S107" s="3">
        <f>+PRODUCTOS[[#This Row],[CANT. COMPRADA]]-PRODUCTOS[[#This Row],[DEVOLUCIONES]]</f>
        <v>3813</v>
      </c>
      <c r="T107" s="3">
        <f>+IFERROR(PRODUCTOS[[#This Row],[CANTIDAD RECIBIDA]]/PRODUCTOS[[#This Row],[CANT X MODULO]],"")</f>
        <v>226.96428571428567</v>
      </c>
      <c r="U107" s="3">
        <f>+SUMIFS(DETALLE_GD_1[VALOR TOTAL POR ITEM GD],DETALLE_GD_1[CODIGO],PRODUCTOS[[#This Row],[CODIGO]])</f>
        <v>1326894</v>
      </c>
      <c r="V107" s="3">
        <f>+IFERROR(PRODUCTOS[[#This Row],[PRECIO DE COMPRA]]/PRODUCTOS[[#This Row],[CANT. COMPRADA]],"")</f>
        <v>347.99213217938632</v>
      </c>
      <c r="W107" s="3">
        <f>+IFERROR(PRODUCTOS[[#This Row],[PRECIO COMPRA UNITARIO]]*PRODUCTOS[[#This Row],[PPTO FALTANTE]],"")</f>
        <v>2788878.5457120389</v>
      </c>
      <c r="X107" s="7">
        <f>+IFERROR(PRODUCTOS[[#This Row],[PROYECCION COMPRA]]/PRODUCTOS[[#This Row],[PPTO TOTAL]]-1,"")</f>
        <v>-0.35923580550721834</v>
      </c>
      <c r="Y107" s="3">
        <f>+IFERROR((PRODUCTOS[[#This Row],[CANT X MODULO]]*704)-PRODUCTOS[[#This Row],[CANT. COMPRADA]],"")</f>
        <v>8014.2000000000025</v>
      </c>
      <c r="Z107" s="17">
        <f>+IFERROR(PRODUCTOS[[#This Row],[CANT. COMPRADA]]/PRODUCTOS[[#This Row],[PPTO FALTANTE]],"")</f>
        <v>0.47578048963090497</v>
      </c>
      <c r="AA107" s="3">
        <f>+IFERROR(PRODUCTOS[[#This Row],[PROYECCION COMPRA]]-(PRODUCTOS[[#This Row],[PPTO FALTANTE]]*PRODUCTOS[[#This Row],[PPTO]]),"")</f>
        <v>-160357.96161416173</v>
      </c>
      <c r="AB107" s="3">
        <f>+_xlfn.XLOOKUP(PRODUCTOS[[#This Row],[CODIGO]],DETALLE_GD_1[CODIGO],DETALLE_GD_1[VALOR PPTO],"",0)</f>
        <v>368.00139999999999</v>
      </c>
      <c r="AC107" s="3">
        <f>+AB107-PRODUCTOS[[#This Row],[PPTO_ACTUALIZADO]]</f>
        <v>3.9000000072064722E-5</v>
      </c>
    </row>
    <row r="108" spans="1:29" hidden="1" x14ac:dyDescent="0.25">
      <c r="A108" t="s">
        <v>348</v>
      </c>
      <c r="B108" t="s">
        <v>363</v>
      </c>
      <c r="C108">
        <v>0</v>
      </c>
      <c r="D108" t="s">
        <v>240</v>
      </c>
      <c r="E108" t="s">
        <v>404</v>
      </c>
      <c r="F108" s="2">
        <v>52900</v>
      </c>
      <c r="G108" s="6" t="s">
        <v>47</v>
      </c>
      <c r="H108" s="2">
        <v>58899.999999999993</v>
      </c>
      <c r="I108" t="b">
        <v>0</v>
      </c>
      <c r="J108" t="str">
        <f>+_xlfn.XLOOKUP(PRODUCTOS[[#This Row],[CODIGO]],P_CRITICOS[CODIGO],P_CRITICOS[DESC CORTA],"",0)</f>
        <v/>
      </c>
      <c r="K108" t="str">
        <f>+IFERROR(IF(VLOOKUP(PRODUCTOS[[#This Row],[CODIGO]],P_CRITICOS[],3,0)="*","PRODUCTO CRITICO","NO CRITICO"),"NO CRITICO")</f>
        <v>NO CRITICO</v>
      </c>
      <c r="L108" s="15">
        <f>+_xlfn.XLOOKUP(PRODUCTOS[[#This Row],[CODIGO]],BD_MODULO[Artículo],BD_MODULO[CUB_ACTUALIZADA],"",0)</f>
        <v>8.9250000000000006E-3</v>
      </c>
      <c r="M108" s="2">
        <f>+IFERROR(PRODUCTOS[[#This Row],[PPTO]]*PRODUCTOS[[#This Row],[CANT X MODULO]],"")</f>
        <v>472.13250000000005</v>
      </c>
      <c r="N108" s="2">
        <f>+IFERROR(PRODUCTOS[[#This Row],[PPTO X MODULO]]*32,"")</f>
        <v>15108.240000000002</v>
      </c>
      <c r="O108" s="2">
        <f>+IFERROR(PRODUCTOS[[#This Row],[PPTO X TORRE]]*22,"")</f>
        <v>332381.28000000003</v>
      </c>
      <c r="P108" s="3">
        <f>+IFERROR(PRODUCTOS[[#This Row],[CANT X MODULO]]*702,"")</f>
        <v>6.2653500000000006</v>
      </c>
      <c r="Q108" s="3">
        <f>+SUMIFS(DETALLE_GD_1[CANTIDAD SOLICITADA],DETALLE_GD_1[CODIGO],PRODUCTOS[[#This Row],[CODIGO]])</f>
        <v>2</v>
      </c>
      <c r="R108" s="3">
        <f>+SUMIFS(DETALLE_GD_1[DEVOLUCIÓN],DETALLE_GD_1[CODIGO],PRODUCTOS[[#This Row],[CODIGO]])</f>
        <v>0</v>
      </c>
      <c r="S108" s="3">
        <f>+PRODUCTOS[[#This Row],[CANT. COMPRADA]]-PRODUCTOS[[#This Row],[DEVOLUCIONES]]</f>
        <v>2</v>
      </c>
      <c r="T108" s="3">
        <f>+IFERROR(PRODUCTOS[[#This Row],[CANTIDAD RECIBIDA]]/PRODUCTOS[[#This Row],[CANT X MODULO]],"")</f>
        <v>224.08963585434171</v>
      </c>
      <c r="U108" s="3">
        <f>+SUMIFS(DETALLE_GD_1[VALOR TOTAL POR ITEM GD],DETALLE_GD_1[CODIGO],PRODUCTOS[[#This Row],[CODIGO]])</f>
        <v>117800</v>
      </c>
      <c r="V108" s="3">
        <f>+IFERROR(PRODUCTOS[[#This Row],[PRECIO DE COMPRA]]/PRODUCTOS[[#This Row],[CANT. COMPRADA]],"")</f>
        <v>58900</v>
      </c>
      <c r="W108" s="3">
        <f>+IFERROR(PRODUCTOS[[#This Row],[PRECIO COMPRA UNITARIO]]*PRODUCTOS[[#This Row],[PPTO FALTANTE]],"")</f>
        <v>252280.48000000004</v>
      </c>
      <c r="X108" s="7">
        <f>+IFERROR(PRODUCTOS[[#This Row],[PROYECCION COMPRA]]/PRODUCTOS[[#This Row],[PPTO TOTAL]]-1,"")</f>
        <v>-0.24099070802062017</v>
      </c>
      <c r="Y108" s="3">
        <f>+IFERROR((PRODUCTOS[[#This Row],[CANT X MODULO]]*704)-PRODUCTOS[[#This Row],[CANT. COMPRADA]],"")</f>
        <v>4.2832000000000008</v>
      </c>
      <c r="Z108" s="17">
        <f>+IFERROR(PRODUCTOS[[#This Row],[CANT. COMPRADA]]/PRODUCTOS[[#This Row],[PPTO FALTANTE]],"")</f>
        <v>0.46694060515502417</v>
      </c>
      <c r="AA108" s="3">
        <f>+IFERROR(PRODUCTOS[[#This Row],[PROYECCION COMPRA]]-(PRODUCTOS[[#This Row],[PPTO FALTANTE]]*PRODUCTOS[[#This Row],[PPTO]]),"")</f>
        <v>25699.200000000012</v>
      </c>
      <c r="AB108" s="3">
        <f>+_xlfn.XLOOKUP(PRODUCTOS[[#This Row],[CODIGO]],DETALLE_GD_1[CODIGO],DETALLE_GD_1[VALOR PPTO],"",0)</f>
        <v>58900</v>
      </c>
      <c r="AC108" s="3">
        <f>+AB108-PRODUCTOS[[#This Row],[PPTO_ACTUALIZADO]]</f>
        <v>0</v>
      </c>
    </row>
    <row r="109" spans="1:29" hidden="1" x14ac:dyDescent="0.25">
      <c r="A109">
        <v>1902003</v>
      </c>
      <c r="B109" t="s">
        <v>155</v>
      </c>
      <c r="C109">
        <v>0</v>
      </c>
      <c r="D109" t="s">
        <v>240</v>
      </c>
      <c r="E109" t="s">
        <v>404</v>
      </c>
      <c r="F109" s="2">
        <v>150703.97545999999</v>
      </c>
      <c r="G109" s="6" t="s">
        <v>47</v>
      </c>
      <c r="H109" s="2">
        <v>150703.97545999996</v>
      </c>
      <c r="I109" t="b">
        <v>1</v>
      </c>
      <c r="J109" t="str">
        <f>+_xlfn.XLOOKUP(PRODUCTOS[[#This Row],[CODIGO]],P_CRITICOS[CODIGO],P_CRITICOS[DESC CORTA],"",0)</f>
        <v/>
      </c>
      <c r="K109" t="str">
        <f>+IFERROR(IF(VLOOKUP(PRODUCTOS[[#This Row],[CODIGO]],P_CRITICOS[],3,0)="*","PRODUCTO CRITICO","NO CRITICO"),"NO CRITICO")</f>
        <v>NO CRITICO</v>
      </c>
      <c r="L109" s="15">
        <f>+_xlfn.XLOOKUP(PRODUCTOS[[#This Row],[CODIGO]],BD_MODULO[Artículo],BD_MODULO[CUB_ACTUALIZADA],"",0)</f>
        <v>0.41466600000000009</v>
      </c>
      <c r="M109" s="2">
        <f>+IFERROR(PRODUCTOS[[#This Row],[PPTO]]*PRODUCTOS[[#This Row],[CANT X MODULO]],"")</f>
        <v>62491.814688096369</v>
      </c>
      <c r="N109" s="2">
        <f>+IFERROR(PRODUCTOS[[#This Row],[PPTO X MODULO]]*32,"")</f>
        <v>1999738.0700190838</v>
      </c>
      <c r="O109" s="2">
        <f>+IFERROR(PRODUCTOS[[#This Row],[PPTO X TORRE]]*22,"")</f>
        <v>43994237.540419847</v>
      </c>
      <c r="P109" s="3">
        <f>+IFERROR(PRODUCTOS[[#This Row],[CANT X MODULO]]*702,"")</f>
        <v>291.09553200000005</v>
      </c>
      <c r="Q109" s="3">
        <f>+SUMIFS(DETALLE_GD_1[CANTIDAD SOLICITADA],DETALLE_GD_1[CODIGO],PRODUCTOS[[#This Row],[CODIGO]])</f>
        <v>87</v>
      </c>
      <c r="R109" s="3">
        <f>+SUMIFS(DETALLE_GD_1[DEVOLUCIÓN],DETALLE_GD_1[CODIGO],PRODUCTOS[[#This Row],[CODIGO]])</f>
        <v>0</v>
      </c>
      <c r="S109" s="3">
        <f>+PRODUCTOS[[#This Row],[CANT. COMPRADA]]-PRODUCTOS[[#This Row],[DEVOLUCIONES]]</f>
        <v>87</v>
      </c>
      <c r="T109" s="3">
        <f>+IFERROR(PRODUCTOS[[#This Row],[CANTIDAD RECIBIDA]]/PRODUCTOS[[#This Row],[CANT X MODULO]],"")</f>
        <v>209.80741126593446</v>
      </c>
      <c r="U109" s="3">
        <f>+SUMIFS(DETALLE_GD_1[VALOR TOTAL POR ITEM GD],DETALLE_GD_1[CODIGO],PRODUCTOS[[#This Row],[CODIGO]])</f>
        <v>13113703</v>
      </c>
      <c r="V109" s="3">
        <f>+IFERROR(PRODUCTOS[[#This Row],[PRECIO DE COMPRA]]/PRODUCTOS[[#This Row],[CANT. COMPRADA]],"")</f>
        <v>150732.2183908046</v>
      </c>
      <c r="W109" s="3">
        <f>+IFERROR(PRODUCTOS[[#This Row],[PRECIO COMPRA UNITARIO]]*PRODUCTOS[[#This Row],[PPTO FALTANTE]],"")</f>
        <v>30888779.354153942</v>
      </c>
      <c r="X109" s="7">
        <f>+IFERROR(PRODUCTOS[[#This Row],[PROYECCION COMPRA]]/PRODUCTOS[[#This Row],[PPTO TOTAL]]-1,"")</f>
        <v>-0.29789033562009626</v>
      </c>
      <c r="Y109" s="3">
        <f>+IFERROR((PRODUCTOS[[#This Row],[CANT X MODULO]]*704)-PRODUCTOS[[#This Row],[CANT. COMPRADA]],"")</f>
        <v>204.92486400000007</v>
      </c>
      <c r="Z109" s="17">
        <f>+IFERROR(PRODUCTOS[[#This Row],[CANT. COMPRADA]]/PRODUCTOS[[#This Row],[PPTO FALTANTE]],"")</f>
        <v>0.4245458472037828</v>
      </c>
      <c r="AA109" s="3">
        <f>+IFERROR(PRODUCTOS[[#This Row],[PROYECCION COMPRA]]-(PRODUCTOS[[#This Row],[PPTO FALTANTE]]*PRODUCTOS[[#This Row],[PPTO]]),"")</f>
        <v>5787.6787540987134</v>
      </c>
      <c r="AB109" s="3">
        <f>+_xlfn.XLOOKUP(PRODUCTOS[[#This Row],[CODIGO]],DETALLE_GD_1[CODIGO],DETALLE_GD_1[VALOR PPTO],"",0)</f>
        <v>150703.9755</v>
      </c>
      <c r="AC109" s="3">
        <f>+AB109-PRODUCTOS[[#This Row],[PPTO_ACTUALIZADO]]</f>
        <v>4.0000042645260692E-5</v>
      </c>
    </row>
    <row r="110" spans="1:29" hidden="1" x14ac:dyDescent="0.25">
      <c r="A110">
        <v>408042</v>
      </c>
      <c r="B110" t="s">
        <v>144</v>
      </c>
      <c r="C110" t="s">
        <v>636</v>
      </c>
      <c r="D110" t="s">
        <v>240</v>
      </c>
      <c r="E110" t="s">
        <v>399</v>
      </c>
      <c r="F110" s="2">
        <v>35000</v>
      </c>
      <c r="G110" s="6" t="s">
        <v>36</v>
      </c>
      <c r="H110" s="2">
        <v>35000.000000000029</v>
      </c>
      <c r="I110" t="b">
        <v>1</v>
      </c>
      <c r="J110" t="str">
        <f>+_xlfn.XLOOKUP(PRODUCTOS[[#This Row],[CODIGO]],P_CRITICOS[CODIGO],P_CRITICOS[DESC CORTA],"",0)</f>
        <v/>
      </c>
      <c r="K110" t="str">
        <f>+IFERROR(IF(VLOOKUP(PRODUCTOS[[#This Row],[CODIGO]],P_CRITICOS[],3,0)="*","PRODUCTO CRITICO","NO CRITICO"),"NO CRITICO")</f>
        <v>NO CRITICO</v>
      </c>
      <c r="L110" s="15">
        <f>+_xlfn.XLOOKUP(PRODUCTOS[[#This Row],[CODIGO]],BD_MODULO[Artículo],BD_MODULO[CUB_ACTUALIZADA],"",0)</f>
        <v>0.95825624999999959</v>
      </c>
      <c r="M110" s="2">
        <f>+IFERROR(PRODUCTOS[[#This Row],[PPTO]]*PRODUCTOS[[#This Row],[CANT X MODULO]],"")</f>
        <v>33538.968749999985</v>
      </c>
      <c r="N110" s="2">
        <f>+IFERROR(PRODUCTOS[[#This Row],[PPTO X MODULO]]*32,"")</f>
        <v>1073246.9999999995</v>
      </c>
      <c r="O110" s="2">
        <f>+IFERROR(PRODUCTOS[[#This Row],[PPTO X TORRE]]*22,"")</f>
        <v>23611433.999999989</v>
      </c>
      <c r="P110" s="3">
        <f>+IFERROR(PRODUCTOS[[#This Row],[CANT X MODULO]]*702,"")</f>
        <v>672.69588749999969</v>
      </c>
      <c r="Q110" s="3">
        <f>+SUMIFS(DETALLE_GD_1[CANTIDAD SOLICITADA],DETALLE_GD_1[CODIGO],PRODUCTOS[[#This Row],[CODIGO]])</f>
        <v>195</v>
      </c>
      <c r="R110" s="3">
        <f>+SUMIFS(DETALLE_GD_1[DEVOLUCIÓN],DETALLE_GD_1[CODIGO],PRODUCTOS[[#This Row],[CODIGO]])</f>
        <v>0</v>
      </c>
      <c r="S110" s="3">
        <f>+PRODUCTOS[[#This Row],[CANT. COMPRADA]]-PRODUCTOS[[#This Row],[DEVOLUCIONES]]</f>
        <v>195</v>
      </c>
      <c r="T110" s="3">
        <f>+IFERROR(PRODUCTOS[[#This Row],[CANTIDAD RECIBIDA]]/PRODUCTOS[[#This Row],[CANT X MODULO]],"")</f>
        <v>203.49462891580418</v>
      </c>
      <c r="U110" s="3">
        <f>+SUMIFS(DETALLE_GD_1[VALOR TOTAL POR ITEM GD],DETALLE_GD_1[CODIGO],PRODUCTOS[[#This Row],[CODIGO]])</f>
        <v>6825000</v>
      </c>
      <c r="V110" s="3">
        <f>+IFERROR(PRODUCTOS[[#This Row],[PRECIO DE COMPRA]]/PRODUCTOS[[#This Row],[CANT. COMPRADA]],"")</f>
        <v>35000</v>
      </c>
      <c r="W110" s="3">
        <f>+IFERROR(PRODUCTOS[[#This Row],[PRECIO COMPRA UNITARIO]]*PRODUCTOS[[#This Row],[PPTO FALTANTE]],"")</f>
        <v>16786433.999999993</v>
      </c>
      <c r="X110" s="7">
        <f>+IFERROR(PRODUCTOS[[#This Row],[PROYECCION COMPRA]]/PRODUCTOS[[#This Row],[PPTO TOTAL]]-1,"")</f>
        <v>-0.28905487061903989</v>
      </c>
      <c r="Y110" s="3">
        <f>+IFERROR((PRODUCTOS[[#This Row],[CANT X MODULO]]*704)-PRODUCTOS[[#This Row],[CANT. COMPRADA]],"")</f>
        <v>479.61239999999975</v>
      </c>
      <c r="Z110" s="17">
        <f>+IFERROR(PRODUCTOS[[#This Row],[CANT. COMPRADA]]/PRODUCTOS[[#This Row],[PPTO FALTANTE]],"")</f>
        <v>0.40657831198692967</v>
      </c>
      <c r="AA110" s="3">
        <f>+IFERROR(PRODUCTOS[[#This Row],[PROYECCION COMPRA]]-(PRODUCTOS[[#This Row],[PPTO FALTANTE]]*PRODUCTOS[[#This Row],[PPTO]]),"")</f>
        <v>0</v>
      </c>
      <c r="AB110" s="3">
        <f>+_xlfn.XLOOKUP(PRODUCTOS[[#This Row],[CODIGO]],DETALLE_GD_1[CODIGO],DETALLE_GD_1[VALOR PPTO],"",0)</f>
        <v>35000</v>
      </c>
      <c r="AC110" s="3">
        <f>+AB110-PRODUCTOS[[#This Row],[PPTO_ACTUALIZADO]]</f>
        <v>0</v>
      </c>
    </row>
    <row r="111" spans="1:29" x14ac:dyDescent="0.25">
      <c r="A111">
        <v>302248</v>
      </c>
      <c r="B111" t="s">
        <v>281</v>
      </c>
      <c r="C111">
        <v>0</v>
      </c>
      <c r="D111" t="s">
        <v>240</v>
      </c>
      <c r="E111" t="s">
        <v>403</v>
      </c>
      <c r="F111" s="2">
        <v>2342.1751370000002</v>
      </c>
      <c r="G111" s="6" t="s">
        <v>20</v>
      </c>
      <c r="H111" s="2">
        <v>2342.1751370000002</v>
      </c>
      <c r="I111" t="b">
        <v>1</v>
      </c>
      <c r="J111" t="str">
        <f>+_xlfn.XLOOKUP(PRODUCTOS[[#This Row],[CODIGO]],P_CRITICOS[CODIGO],P_CRITICOS[DESC CORTA],"",0)</f>
        <v/>
      </c>
      <c r="K111" t="str">
        <f>+IFERROR(IF(VLOOKUP(PRODUCTOS[[#This Row],[CODIGO]],P_CRITICOS[],3,0)="*","PRODUCTO CRITICO","NO CRITICO"),"NO CRITICO")</f>
        <v>NO CRITICO</v>
      </c>
      <c r="L111" s="15">
        <f>+_xlfn.XLOOKUP(PRODUCTOS[[#This Row],[CODIGO]],BD_MODULO[Artículo],BD_MODULO[CUB_ACTUALIZADA],"",0)</f>
        <v>8.9250000000000007</v>
      </c>
      <c r="M111" s="2">
        <f>+IFERROR(PRODUCTOS[[#This Row],[PPTO]]*PRODUCTOS[[#This Row],[CANT X MODULO]],"")</f>
        <v>20903.913097725002</v>
      </c>
      <c r="N111" s="2">
        <f>+IFERROR(PRODUCTOS[[#This Row],[PPTO X MODULO]]*32,"")</f>
        <v>668925.21912720008</v>
      </c>
      <c r="O111" s="2">
        <f>+IFERROR(PRODUCTOS[[#This Row],[PPTO X TORRE]]*22,"")</f>
        <v>14716354.820798401</v>
      </c>
      <c r="P111" s="3">
        <f>+IFERROR(PRODUCTOS[[#This Row],[CANT X MODULO]]*702,"")</f>
        <v>6265.35</v>
      </c>
      <c r="Q111" s="3">
        <f>+SUMIFS(DETALLE_GD_1[CANTIDAD SOLICITADA],DETALLE_GD_1[CODIGO],PRODUCTOS[[#This Row],[CODIGO]])</f>
        <v>1728</v>
      </c>
      <c r="R111" s="3">
        <f>+SUMIFS(DETALLE_GD_1[DEVOLUCIÓN],DETALLE_GD_1[CODIGO],PRODUCTOS[[#This Row],[CODIGO]])</f>
        <v>0</v>
      </c>
      <c r="S111" s="3">
        <f>+PRODUCTOS[[#This Row],[CANT. COMPRADA]]-PRODUCTOS[[#This Row],[DEVOLUCIONES]]</f>
        <v>1728</v>
      </c>
      <c r="T111" s="3">
        <f>+IFERROR(PRODUCTOS[[#This Row],[CANTIDAD RECIBIDA]]/PRODUCTOS[[#This Row],[CANT X MODULO]],"")</f>
        <v>193.61344537815125</v>
      </c>
      <c r="U111" s="3">
        <f>+SUMIFS(DETALLE_GD_1[VALOR TOTAL POR ITEM GD],DETALLE_GD_1[CODIGO],PRODUCTOS[[#This Row],[CODIGO]])</f>
        <v>4086732</v>
      </c>
      <c r="V111" s="3">
        <f>+IFERROR(PRODUCTOS[[#This Row],[PRECIO DE COMPRA]]/PRODUCTOS[[#This Row],[CANT. COMPRADA]],"")</f>
        <v>2365.0069444444443</v>
      </c>
      <c r="W111" s="3">
        <f>+IFERROR(PRODUCTOS[[#This Row],[PRECIO COMPRA UNITARIO]]*PRODUCTOS[[#This Row],[PPTO FALTANTE]],"")</f>
        <v>10773079.633333335</v>
      </c>
      <c r="X111" s="7">
        <f>+IFERROR(PRODUCTOS[[#This Row],[PROYECCION COMPRA]]/PRODUCTOS[[#This Row],[PPTO TOTAL]]-1,"")</f>
        <v>-0.26795189674905739</v>
      </c>
      <c r="Y111" s="3">
        <f>+IFERROR((PRODUCTOS[[#This Row],[CANT X MODULO]]*704)-PRODUCTOS[[#This Row],[CANT. COMPRADA]],"")</f>
        <v>4555.2000000000007</v>
      </c>
      <c r="Z111" s="17">
        <f>+IFERROR(PRODUCTOS[[#This Row],[CANT. COMPRADA]]/PRODUCTOS[[#This Row],[PPTO FALTANTE]],"")</f>
        <v>0.37934668071654365</v>
      </c>
      <c r="AA111" s="3">
        <f>+IFERROR(PRODUCTOS[[#This Row],[PROYECCION COMPRA]]-(PRODUCTOS[[#This Row],[PPTO FALTANTE]]*PRODUCTOS[[#This Row],[PPTO]]),"")</f>
        <v>104003.449270932</v>
      </c>
      <c r="AB111" s="3">
        <f>+_xlfn.XLOOKUP(PRODUCTOS[[#This Row],[CODIGO]],DETALLE_GD_1[CODIGO],DETALLE_GD_1[VALOR PPTO],"",0)</f>
        <v>2342.1750999999999</v>
      </c>
      <c r="AC111" s="3">
        <f>+AB111-PRODUCTOS[[#This Row],[PPTO_ACTUALIZADO]]</f>
        <v>-3.7000000247644493E-5</v>
      </c>
    </row>
    <row r="112" spans="1:29" hidden="1" x14ac:dyDescent="0.25">
      <c r="A112">
        <v>1405040</v>
      </c>
      <c r="B112" t="s">
        <v>303</v>
      </c>
      <c r="C112" t="s">
        <v>641</v>
      </c>
      <c r="D112" t="s">
        <v>244</v>
      </c>
      <c r="E112" t="s">
        <v>406</v>
      </c>
      <c r="F112" s="2">
        <v>7568</v>
      </c>
      <c r="G112" s="6" t="s">
        <v>31</v>
      </c>
      <c r="H112" s="2">
        <v>7568</v>
      </c>
      <c r="I112" t="b">
        <v>1</v>
      </c>
      <c r="J112" t="str">
        <f>+_xlfn.XLOOKUP(PRODUCTOS[[#This Row],[CODIGO]],P_CRITICOS[CODIGO],P_CRITICOS[DESC CORTA],"",0)</f>
        <v/>
      </c>
      <c r="K112" t="str">
        <f>+IFERROR(IF(VLOOKUP(PRODUCTOS[[#This Row],[CODIGO]],P_CRITICOS[],3,0)="*","PRODUCTO CRITICO","NO CRITICO"),"NO CRITICO")</f>
        <v>NO CRITICO</v>
      </c>
      <c r="L112" s="15">
        <f>+_xlfn.XLOOKUP(PRODUCTOS[[#This Row],[CODIGO]],BD_MODULO[Artículo],BD_MODULO[CUB_ACTUALIZADA],"",0)</f>
        <v>0.52500000000000002</v>
      </c>
      <c r="M112" s="2">
        <f>+IFERROR(PRODUCTOS[[#This Row],[PPTO]]*PRODUCTOS[[#This Row],[CANT X MODULO]],"")</f>
        <v>3973.2000000000003</v>
      </c>
      <c r="N112" s="2">
        <f>+IFERROR(PRODUCTOS[[#This Row],[PPTO X MODULO]]*32,"")</f>
        <v>127142.40000000001</v>
      </c>
      <c r="O112" s="2">
        <f>+IFERROR(PRODUCTOS[[#This Row],[PPTO X TORRE]]*22,"")</f>
        <v>2797132.8000000003</v>
      </c>
      <c r="P112" s="3">
        <f>+IFERROR(PRODUCTOS[[#This Row],[CANT X MODULO]]*702,"")</f>
        <v>368.55</v>
      </c>
      <c r="Q112" s="3">
        <f>+SUMIFS(DETALLE_GD_1[CANTIDAD SOLICITADA],DETALLE_GD_1[CODIGO],PRODUCTOS[[#This Row],[CODIGO]])</f>
        <v>98</v>
      </c>
      <c r="R112" s="3">
        <f>+SUMIFS(DETALLE_GD_1[DEVOLUCIÓN],DETALLE_GD_1[CODIGO],PRODUCTOS[[#This Row],[CODIGO]])</f>
        <v>0</v>
      </c>
      <c r="S112" s="3">
        <f>+PRODUCTOS[[#This Row],[CANT. COMPRADA]]-PRODUCTOS[[#This Row],[DEVOLUCIONES]]</f>
        <v>98</v>
      </c>
      <c r="T112" s="3">
        <f>+IFERROR(PRODUCTOS[[#This Row],[CANTIDAD RECIBIDA]]/PRODUCTOS[[#This Row],[CANT X MODULO]],"")</f>
        <v>186.66666666666666</v>
      </c>
      <c r="U112" s="3">
        <f>+SUMIFS(DETALLE_GD_1[VALOR TOTAL POR ITEM GD],DETALLE_GD_1[CODIGO],PRODUCTOS[[#This Row],[CODIGO]])</f>
        <v>742246</v>
      </c>
      <c r="V112" s="3">
        <f>+IFERROR(PRODUCTOS[[#This Row],[PRECIO DE COMPRA]]/PRODUCTOS[[#This Row],[CANT. COMPRADA]],"")</f>
        <v>7573.9387755102043</v>
      </c>
      <c r="W112" s="3">
        <f>+IFERROR(PRODUCTOS[[#This Row],[PRECIO COMPRA UNITARIO]]*PRODUCTOS[[#This Row],[PPTO FALTANTE]],"")</f>
        <v>2057081.7714285718</v>
      </c>
      <c r="X112" s="7">
        <f>+IFERROR(PRODUCTOS[[#This Row],[PROYECCION COMPRA]]/PRODUCTOS[[#This Row],[PPTO TOTAL]]-1,"")</f>
        <v>-0.26457486343566827</v>
      </c>
      <c r="Y112" s="3">
        <f>+IFERROR((PRODUCTOS[[#This Row],[CANT X MODULO]]*704)-PRODUCTOS[[#This Row],[CANT. COMPRADA]],"")</f>
        <v>271.60000000000002</v>
      </c>
      <c r="Z112" s="17">
        <f>+IFERROR(PRODUCTOS[[#This Row],[CANT. COMPRADA]]/PRODUCTOS[[#This Row],[PPTO FALTANTE]],"")</f>
        <v>0.36082474226804123</v>
      </c>
      <c r="AA112" s="3">
        <f>+IFERROR(PRODUCTOS[[#This Row],[PROYECCION COMPRA]]-(PRODUCTOS[[#This Row],[PPTO FALTANTE]]*PRODUCTOS[[#This Row],[PPTO]]),"")</f>
        <v>1612.9714285715017</v>
      </c>
      <c r="AB112" s="3">
        <f>+_xlfn.XLOOKUP(PRODUCTOS[[#This Row],[CODIGO]],DETALLE_GD_1[CODIGO],DETALLE_GD_1[VALOR PPTO],"",0)</f>
        <v>7568</v>
      </c>
      <c r="AC112" s="3">
        <f>+AB112-PRODUCTOS[[#This Row],[PPTO_ACTUALIZADO]]</f>
        <v>0</v>
      </c>
    </row>
    <row r="113" spans="1:29" hidden="1" x14ac:dyDescent="0.25">
      <c r="A113">
        <v>2302098</v>
      </c>
      <c r="B113" t="s">
        <v>24</v>
      </c>
      <c r="C113" t="s">
        <v>564</v>
      </c>
      <c r="D113" t="s">
        <v>244</v>
      </c>
      <c r="E113" t="s">
        <v>399</v>
      </c>
      <c r="F113" s="2">
        <v>21213</v>
      </c>
      <c r="G113" s="6" t="s">
        <v>25</v>
      </c>
      <c r="H113" s="2">
        <v>21212.999999999996</v>
      </c>
      <c r="I113" t="b">
        <v>1</v>
      </c>
      <c r="J113" t="str">
        <f>+_xlfn.XLOOKUP(PRODUCTOS[[#This Row],[CODIGO]],P_CRITICOS[CODIGO],P_CRITICOS[DESC CORTA],"",0)</f>
        <v/>
      </c>
      <c r="K113" t="str">
        <f>+IFERROR(IF(VLOOKUP(PRODUCTOS[[#This Row],[CODIGO]],P_CRITICOS[],3,0)="*","PRODUCTO CRITICO","NO CRITICO"),"NO CRITICO")</f>
        <v>NO CRITICO</v>
      </c>
      <c r="L113" s="15">
        <f>+_xlfn.XLOOKUP(PRODUCTOS[[#This Row],[CODIGO]],BD_MODULO[Artículo],BD_MODULO[CUB_ACTUALIZADA],"",0)</f>
        <v>0.52500000000000002</v>
      </c>
      <c r="M113" s="2">
        <f>+IFERROR(PRODUCTOS[[#This Row],[PPTO]]*PRODUCTOS[[#This Row],[CANT X MODULO]],"")</f>
        <v>11136.825000000001</v>
      </c>
      <c r="N113" s="2">
        <f>+IFERROR(PRODUCTOS[[#This Row],[PPTO X MODULO]]*32,"")</f>
        <v>356378.4</v>
      </c>
      <c r="O113" s="2">
        <f>+IFERROR(PRODUCTOS[[#This Row],[PPTO X TORRE]]*22,"")</f>
        <v>7840324.8000000007</v>
      </c>
      <c r="P113" s="3">
        <f>+IFERROR(PRODUCTOS[[#This Row],[CANT X MODULO]]*702,"")</f>
        <v>368.55</v>
      </c>
      <c r="Q113" s="3">
        <f>+SUMIFS(DETALLE_GD_1[CANTIDAD SOLICITADA],DETALLE_GD_1[CODIGO],PRODUCTOS[[#This Row],[CODIGO]])</f>
        <v>91</v>
      </c>
      <c r="R113" s="3">
        <f>+SUMIFS(DETALLE_GD_1[DEVOLUCIÓN],DETALLE_GD_1[CODIGO],PRODUCTOS[[#This Row],[CODIGO]])</f>
        <v>0</v>
      </c>
      <c r="S113" s="3">
        <f>+PRODUCTOS[[#This Row],[CANT. COMPRADA]]-PRODUCTOS[[#This Row],[DEVOLUCIONES]]</f>
        <v>91</v>
      </c>
      <c r="T113" s="3">
        <f>+IFERROR(PRODUCTOS[[#This Row],[CANTIDAD RECIBIDA]]/PRODUCTOS[[#This Row],[CANT X MODULO]],"")</f>
        <v>173.33333333333331</v>
      </c>
      <c r="U113" s="3">
        <f>+SUMIFS(DETALLE_GD_1[VALOR TOTAL POR ITEM GD],DETALLE_GD_1[CODIGO],PRODUCTOS[[#This Row],[CODIGO]])</f>
        <v>1930383</v>
      </c>
      <c r="V113" s="3">
        <f>+IFERROR(PRODUCTOS[[#This Row],[PRECIO DE COMPRA]]/PRODUCTOS[[#This Row],[CANT. COMPRADA]],"")</f>
        <v>21213</v>
      </c>
      <c r="W113" s="3">
        <f>+IFERROR(PRODUCTOS[[#This Row],[PRECIO COMPRA UNITARIO]]*PRODUCTOS[[#This Row],[PPTO FALTANTE]],"")</f>
        <v>5909941.8000000007</v>
      </c>
      <c r="X113" s="7">
        <f>+IFERROR(PRODUCTOS[[#This Row],[PROYECCION COMPRA]]/PRODUCTOS[[#This Row],[PPTO TOTAL]]-1,"")</f>
        <v>-0.24621212121212122</v>
      </c>
      <c r="Y113" s="3">
        <f>+IFERROR((PRODUCTOS[[#This Row],[CANT X MODULO]]*704)-PRODUCTOS[[#This Row],[CANT. COMPRADA]],"")</f>
        <v>278.60000000000002</v>
      </c>
      <c r="Z113" s="17">
        <f>+IFERROR(PRODUCTOS[[#This Row],[CANT. COMPRADA]]/PRODUCTOS[[#This Row],[PPTO FALTANTE]],"")</f>
        <v>0.3266331658291457</v>
      </c>
      <c r="AA113" s="3">
        <f>+IFERROR(PRODUCTOS[[#This Row],[PROYECCION COMPRA]]-(PRODUCTOS[[#This Row],[PPTO FALTANTE]]*PRODUCTOS[[#This Row],[PPTO]]),"")</f>
        <v>0</v>
      </c>
      <c r="AB113" s="3">
        <f>+_xlfn.XLOOKUP(PRODUCTOS[[#This Row],[CODIGO]],DETALLE_GD_1[CODIGO],DETALLE_GD_1[VALOR PPTO],"",0)</f>
        <v>21213</v>
      </c>
      <c r="AC113" s="3">
        <f>+AB113-PRODUCTOS[[#This Row],[PPTO_ACTUALIZADO]]</f>
        <v>0</v>
      </c>
    </row>
    <row r="114" spans="1:29" hidden="1" x14ac:dyDescent="0.25">
      <c r="A114">
        <v>412301</v>
      </c>
      <c r="B114" t="s">
        <v>327</v>
      </c>
      <c r="C114">
        <v>0</v>
      </c>
      <c r="D114" t="s">
        <v>240</v>
      </c>
      <c r="E114" t="s">
        <v>399</v>
      </c>
      <c r="F114" s="2">
        <v>388.75977</v>
      </c>
      <c r="G114" s="6" t="s">
        <v>31</v>
      </c>
      <c r="H114" s="2">
        <v>388.75977</v>
      </c>
      <c r="I114" t="b">
        <v>1</v>
      </c>
      <c r="J114" t="str">
        <f>+_xlfn.XLOOKUP(PRODUCTOS[[#This Row],[CODIGO]],P_CRITICOS[CODIGO],P_CRITICOS[DESC CORTA],"",0)</f>
        <v/>
      </c>
      <c r="K114" t="str">
        <f>+IFERROR(IF(VLOOKUP(PRODUCTOS[[#This Row],[CODIGO]],P_CRITICOS[],3,0)="*","PRODUCTO CRITICO","NO CRITICO"),"NO CRITICO")</f>
        <v>NO CRITICO</v>
      </c>
      <c r="L114" s="15">
        <f>+_xlfn.XLOOKUP(PRODUCTOS[[#This Row],[CODIGO]],BD_MODULO[Artículo],BD_MODULO[CUB_ACTUALIZADA],"",0)</f>
        <v>21</v>
      </c>
      <c r="M114" s="2">
        <f>+IFERROR(PRODUCTOS[[#This Row],[PPTO]]*PRODUCTOS[[#This Row],[CANT X MODULO]],"")</f>
        <v>8163.9551700000002</v>
      </c>
      <c r="N114" s="2">
        <f>+IFERROR(PRODUCTOS[[#This Row],[PPTO X MODULO]]*32,"")</f>
        <v>261246.56544000001</v>
      </c>
      <c r="O114" s="2">
        <f>+IFERROR(PRODUCTOS[[#This Row],[PPTO X TORRE]]*22,"")</f>
        <v>5747424.4396799998</v>
      </c>
      <c r="P114" s="3">
        <f>+IFERROR(PRODUCTOS[[#This Row],[CANT X MODULO]]*702,"")</f>
        <v>14742</v>
      </c>
      <c r="Q114" s="3">
        <f>+SUMIFS(DETALLE_GD_1[CANTIDAD SOLICITADA],DETALLE_GD_1[CODIGO],PRODUCTOS[[#This Row],[CODIGO]])</f>
        <v>3250</v>
      </c>
      <c r="R114" s="3">
        <f>+SUMIFS(DETALLE_GD_1[DEVOLUCIÓN],DETALLE_GD_1[CODIGO],PRODUCTOS[[#This Row],[CODIGO]])</f>
        <v>0</v>
      </c>
      <c r="S114" s="3">
        <f>+PRODUCTOS[[#This Row],[CANT. COMPRADA]]-PRODUCTOS[[#This Row],[DEVOLUCIONES]]</f>
        <v>3250</v>
      </c>
      <c r="T114" s="3">
        <f>+IFERROR(PRODUCTOS[[#This Row],[CANTIDAD RECIBIDA]]/PRODUCTOS[[#This Row],[CANT X MODULO]],"")</f>
        <v>154.76190476190476</v>
      </c>
      <c r="U114" s="3">
        <f>+SUMIFS(DETALLE_GD_1[VALOR TOTAL POR ITEM GD],DETALLE_GD_1[CODIGO],PRODUCTOS[[#This Row],[CODIGO]])</f>
        <v>1263470</v>
      </c>
      <c r="V114" s="3">
        <f>+IFERROR(PRODUCTOS[[#This Row],[PRECIO DE COMPRA]]/PRODUCTOS[[#This Row],[CANT. COMPRADA]],"")</f>
        <v>388.76</v>
      </c>
      <c r="W114" s="3">
        <f>+IFERROR(PRODUCTOS[[#This Row],[PRECIO COMPRA UNITARIO]]*PRODUCTOS[[#This Row],[PPTO FALTANTE]],"")</f>
        <v>4483957.84</v>
      </c>
      <c r="X114" s="7">
        <f>+IFERROR(PRODUCTOS[[#This Row],[PROYECCION COMPRA]]/PRODUCTOS[[#This Row],[PPTO TOTAL]]-1,"")</f>
        <v>-0.21983178951550453</v>
      </c>
      <c r="Y114" s="3">
        <f>+IFERROR((PRODUCTOS[[#This Row],[CANT X MODULO]]*704)-PRODUCTOS[[#This Row],[CANT. COMPRADA]],"")</f>
        <v>11534</v>
      </c>
      <c r="Z114" s="17">
        <f>+IFERROR(PRODUCTOS[[#This Row],[CANT. COMPRADA]]/PRODUCTOS[[#This Row],[PPTO FALTANTE]],"")</f>
        <v>0.28177561990636379</v>
      </c>
      <c r="AA114" s="3">
        <f>+IFERROR(PRODUCTOS[[#This Row],[PROYECCION COMPRA]]-(PRODUCTOS[[#This Row],[PPTO FALTANTE]]*PRODUCTOS[[#This Row],[PPTO]]),"")</f>
        <v>2.6528199994936585</v>
      </c>
      <c r="AB114" s="3">
        <f>+_xlfn.XLOOKUP(PRODUCTOS[[#This Row],[CODIGO]],DETALLE_GD_1[CODIGO],DETALLE_GD_1[VALOR PPTO],"",0)</f>
        <v>388.75979999999998</v>
      </c>
      <c r="AC114" s="3">
        <f>+AB114-PRODUCTOS[[#This Row],[PPTO_ACTUALIZADO]]</f>
        <v>2.99999999811007E-5</v>
      </c>
    </row>
    <row r="115" spans="1:29" hidden="1" x14ac:dyDescent="0.25">
      <c r="A115">
        <v>1801735</v>
      </c>
      <c r="B115" t="s">
        <v>73</v>
      </c>
      <c r="C115" t="s">
        <v>591</v>
      </c>
      <c r="D115" t="s">
        <v>244</v>
      </c>
      <c r="E115">
        <v>0</v>
      </c>
      <c r="F115" s="2">
        <v>3908.4932250000002</v>
      </c>
      <c r="G115" s="6" t="s">
        <v>31</v>
      </c>
      <c r="H115" s="2">
        <v>3495</v>
      </c>
      <c r="I115" t="b">
        <v>0</v>
      </c>
      <c r="J115" t="str">
        <f>+_xlfn.XLOOKUP(PRODUCTOS[[#This Row],[CODIGO]],P_CRITICOS[CODIGO],P_CRITICOS[DESC CORTA],"",0)</f>
        <v/>
      </c>
      <c r="K115" t="str">
        <f>+IFERROR(IF(VLOOKUP(PRODUCTOS[[#This Row],[CODIGO]],P_CRITICOS[],3,0)="*","PRODUCTO CRITICO","NO CRITICO"),"NO CRITICO")</f>
        <v>NO CRITICO</v>
      </c>
      <c r="L115" s="15">
        <f>+_xlfn.XLOOKUP(PRODUCTOS[[#This Row],[CODIGO]],BD_MODULO[Artículo],BD_MODULO[CUB_ACTUALIZADA],"",0)</f>
        <v>0.52500000000000002</v>
      </c>
      <c r="M115" s="2">
        <f>+IFERROR(PRODUCTOS[[#This Row],[PPTO]]*PRODUCTOS[[#This Row],[CANT X MODULO]],"")</f>
        <v>2051.9589431250001</v>
      </c>
      <c r="N115" s="2">
        <f>+IFERROR(PRODUCTOS[[#This Row],[PPTO X MODULO]]*32,"")</f>
        <v>65662.686180000004</v>
      </c>
      <c r="O115" s="2">
        <f>+IFERROR(PRODUCTOS[[#This Row],[PPTO X TORRE]]*22,"")</f>
        <v>1444579.0959600001</v>
      </c>
      <c r="P115" s="3">
        <f>+IFERROR(PRODUCTOS[[#This Row],[CANT X MODULO]]*702,"")</f>
        <v>368.55</v>
      </c>
      <c r="Q115" s="3">
        <f>+SUMIFS(DETALLE_GD_1[CANTIDAD SOLICITADA],DETALLE_GD_1[CODIGO],PRODUCTOS[[#This Row],[CODIGO]])</f>
        <v>80</v>
      </c>
      <c r="R115" s="3">
        <f>+SUMIFS(DETALLE_GD_1[DEVOLUCIÓN],DETALLE_GD_1[CODIGO],PRODUCTOS[[#This Row],[CODIGO]])</f>
        <v>0</v>
      </c>
      <c r="S115" s="3">
        <f>+PRODUCTOS[[#This Row],[CANT. COMPRADA]]-PRODUCTOS[[#This Row],[DEVOLUCIONES]]</f>
        <v>80</v>
      </c>
      <c r="T115" s="3">
        <f>+IFERROR(PRODUCTOS[[#This Row],[CANTIDAD RECIBIDA]]/PRODUCTOS[[#This Row],[CANT X MODULO]],"")</f>
        <v>152.38095238095238</v>
      </c>
      <c r="U115" s="3">
        <f>+SUMIFS(DETALLE_GD_1[VALOR TOTAL POR ITEM GD],DETALLE_GD_1[CODIGO],PRODUCTOS[[#This Row],[CODIGO]])</f>
        <v>305949</v>
      </c>
      <c r="V115" s="3">
        <f>+IFERROR(PRODUCTOS[[#This Row],[PRECIO DE COMPRA]]/PRODUCTOS[[#This Row],[CANT. COMPRADA]],"")</f>
        <v>3824.3625000000002</v>
      </c>
      <c r="W115" s="3">
        <f>+IFERROR(PRODUCTOS[[#This Row],[PRECIO COMPRA UNITARIO]]*PRODUCTOS[[#This Row],[PPTO FALTANTE]],"")</f>
        <v>1107535.3800000001</v>
      </c>
      <c r="X115" s="7">
        <f>+IFERROR(PRODUCTOS[[#This Row],[PROYECCION COMPRA]]/PRODUCTOS[[#This Row],[PPTO TOTAL]]-1,"")</f>
        <v>-0.23331620740089443</v>
      </c>
      <c r="Y115" s="3">
        <f>+IFERROR((PRODUCTOS[[#This Row],[CANT X MODULO]]*704)-PRODUCTOS[[#This Row],[CANT. COMPRADA]],"")</f>
        <v>289.60000000000002</v>
      </c>
      <c r="Z115" s="17">
        <f>+IFERROR(PRODUCTOS[[#This Row],[CANT. COMPRADA]]/PRODUCTOS[[#This Row],[PPTO FALTANTE]],"")</f>
        <v>0.27624309392265189</v>
      </c>
      <c r="AA115" s="3">
        <f>+IFERROR(PRODUCTOS[[#This Row],[PROYECCION COMPRA]]-(PRODUCTOS[[#This Row],[PPTO FALTANTE]]*PRODUCTOS[[#This Row],[PPTO]]),"")</f>
        <v>-24364.257960000075</v>
      </c>
      <c r="AB115" s="3">
        <f>+_xlfn.XLOOKUP(PRODUCTOS[[#This Row],[CODIGO]],DETALLE_GD_1[CODIGO],DETALLE_GD_1[VALOR PPTO],"",0)</f>
        <v>3495</v>
      </c>
      <c r="AC115" s="3">
        <f>+AB115-PRODUCTOS[[#This Row],[PPTO_ACTUALIZADO]]</f>
        <v>0</v>
      </c>
    </row>
    <row r="116" spans="1:29" hidden="1" x14ac:dyDescent="0.25">
      <c r="A116">
        <v>704046</v>
      </c>
      <c r="B116" t="s">
        <v>255</v>
      </c>
      <c r="C116">
        <v>0</v>
      </c>
      <c r="D116" t="s">
        <v>244</v>
      </c>
      <c r="E116" t="s">
        <v>408</v>
      </c>
      <c r="F116" s="2">
        <v>9076.0621969999993</v>
      </c>
      <c r="G116" s="6" t="s">
        <v>47</v>
      </c>
      <c r="H116" s="2">
        <v>9076.0621970000011</v>
      </c>
      <c r="I116" t="b">
        <v>1</v>
      </c>
      <c r="J116" t="str">
        <f>+_xlfn.XLOOKUP(PRODUCTOS[[#This Row],[CODIGO]],P_CRITICOS[CODIGO],P_CRITICOS[DESC CORTA],"",0)</f>
        <v/>
      </c>
      <c r="K116" t="str">
        <f>+IFERROR(IF(VLOOKUP(PRODUCTOS[[#This Row],[CODIGO]],P_CRITICOS[],3,0)="*","PRODUCTO CRITICO","NO CRITICO"),"NO CRITICO")</f>
        <v>NO CRITICO</v>
      </c>
      <c r="L116" s="15">
        <f>+_xlfn.XLOOKUP(PRODUCTOS[[#This Row],[CODIGO]],BD_MODULO[Artículo],BD_MODULO[CUB_ACTUALIZADA],"",0)</f>
        <v>0.42</v>
      </c>
      <c r="M116" s="2">
        <f>+IFERROR(PRODUCTOS[[#This Row],[PPTO]]*PRODUCTOS[[#This Row],[CANT X MODULO]],"")</f>
        <v>3811.9461227399997</v>
      </c>
      <c r="N116" s="2">
        <f>+IFERROR(PRODUCTOS[[#This Row],[PPTO X MODULO]]*32,"")</f>
        <v>121982.27592767999</v>
      </c>
      <c r="O116" s="2">
        <f>+IFERROR(PRODUCTOS[[#This Row],[PPTO X TORRE]]*22,"")</f>
        <v>2683610.0704089599</v>
      </c>
      <c r="P116" s="3">
        <f>+IFERROR(PRODUCTOS[[#This Row],[CANT X MODULO]]*702,"")</f>
        <v>294.83999999999997</v>
      </c>
      <c r="Q116" s="3">
        <f>+SUMIFS(DETALLE_GD_1[CANTIDAD SOLICITADA],DETALLE_GD_1[CODIGO],PRODUCTOS[[#This Row],[CODIGO]])</f>
        <v>63</v>
      </c>
      <c r="R116" s="3">
        <f>+SUMIFS(DETALLE_GD_1[DEVOLUCIÓN],DETALLE_GD_1[CODIGO],PRODUCTOS[[#This Row],[CODIGO]])</f>
        <v>0</v>
      </c>
      <c r="S116" s="3">
        <f>+PRODUCTOS[[#This Row],[CANT. COMPRADA]]-PRODUCTOS[[#This Row],[DEVOLUCIONES]]</f>
        <v>63</v>
      </c>
      <c r="T116" s="3">
        <f>+IFERROR(PRODUCTOS[[#This Row],[CANTIDAD RECIBIDA]]/PRODUCTOS[[#This Row],[CANT X MODULO]],"")</f>
        <v>150</v>
      </c>
      <c r="U116" s="3">
        <f>+SUMIFS(DETALLE_GD_1[VALOR TOTAL POR ITEM GD],DETALLE_GD_1[CODIGO],PRODUCTOS[[#This Row],[CODIGO]])</f>
        <v>571120</v>
      </c>
      <c r="V116" s="3">
        <f>+IFERROR(PRODUCTOS[[#This Row],[PRECIO DE COMPRA]]/PRODUCTOS[[#This Row],[CANT. COMPRADA]],"")</f>
        <v>9065.3968253968251</v>
      </c>
      <c r="W116" s="3">
        <f>+IFERROR(PRODUCTOS[[#This Row],[PRECIO COMPRA UNITARIO]]*PRODUCTOS[[#This Row],[PPTO FALTANTE]],"")</f>
        <v>2109336.5333333332</v>
      </c>
      <c r="X116" s="7">
        <f>+IFERROR(PRODUCTOS[[#This Row],[PROYECCION COMPRA]]/PRODUCTOS[[#This Row],[PPTO TOTAL]]-1,"")</f>
        <v>-0.21399291328047232</v>
      </c>
      <c r="Y116" s="3">
        <f>+IFERROR((PRODUCTOS[[#This Row],[CANT X MODULO]]*704)-PRODUCTOS[[#This Row],[CANT. COMPRADA]],"")</f>
        <v>232.68</v>
      </c>
      <c r="Z116" s="17">
        <f>+IFERROR(PRODUCTOS[[#This Row],[CANT. COMPRADA]]/PRODUCTOS[[#This Row],[PPTO FALTANTE]],"")</f>
        <v>0.27075812274368233</v>
      </c>
      <c r="AA116" s="3">
        <f>+IFERROR(PRODUCTOS[[#This Row],[PROYECCION COMPRA]]-(PRODUCTOS[[#This Row],[PPTO FALTANTE]]*PRODUCTOS[[#This Row],[PPTO]]),"")</f>
        <v>-2481.6186646264978</v>
      </c>
      <c r="AB116" s="3">
        <f>+_xlfn.XLOOKUP(PRODUCTOS[[#This Row],[CODIGO]],DETALLE_GD_1[CODIGO],DETALLE_GD_1[VALOR PPTO],"",0)</f>
        <v>9076.0622000000003</v>
      </c>
      <c r="AC116" s="3">
        <f>+AB116-PRODUCTOS[[#This Row],[PPTO_ACTUALIZADO]]</f>
        <v>2.9999991966178641E-6</v>
      </c>
    </row>
    <row r="117" spans="1:29" hidden="1" x14ac:dyDescent="0.25">
      <c r="A117">
        <v>810007</v>
      </c>
      <c r="B117" t="s">
        <v>235</v>
      </c>
      <c r="C117">
        <v>0</v>
      </c>
      <c r="D117" t="s">
        <v>244</v>
      </c>
      <c r="E117" t="s">
        <v>402</v>
      </c>
      <c r="F117" s="2">
        <v>3274.7246380000001</v>
      </c>
      <c r="G117" s="6" t="s">
        <v>137</v>
      </c>
      <c r="H117" s="2">
        <v>3274.7246380000001</v>
      </c>
      <c r="I117" t="b">
        <v>1</v>
      </c>
      <c r="J117" t="str">
        <f>+_xlfn.XLOOKUP(PRODUCTOS[[#This Row],[CODIGO]],P_CRITICOS[CODIGO],P_CRITICOS[DESC CORTA],"",0)</f>
        <v/>
      </c>
      <c r="K117" t="str">
        <f>+IFERROR(IF(VLOOKUP(PRODUCTOS[[#This Row],[CODIGO]],P_CRITICOS[],3,0)="*","PRODUCTO CRITICO","NO CRITICO"),"NO CRITICO")</f>
        <v>NO CRITICO</v>
      </c>
      <c r="L117" s="15">
        <f>+_xlfn.XLOOKUP(PRODUCTOS[[#This Row],[CODIGO]],BD_MODULO[Artículo],BD_MODULO[CUB_ACTUALIZADA],"",0)</f>
        <v>1.05</v>
      </c>
      <c r="M117" s="2">
        <f>+IFERROR(PRODUCTOS[[#This Row],[PPTO]]*PRODUCTOS[[#This Row],[CANT X MODULO]],"")</f>
        <v>3438.4608699000005</v>
      </c>
      <c r="N117" s="2">
        <f>+IFERROR(PRODUCTOS[[#This Row],[PPTO X MODULO]]*32,"")</f>
        <v>110030.74783680002</v>
      </c>
      <c r="O117" s="2">
        <f>+IFERROR(PRODUCTOS[[#This Row],[PPTO X TORRE]]*22,"")</f>
        <v>2420676.4524096004</v>
      </c>
      <c r="P117" s="3">
        <f>+IFERROR(PRODUCTOS[[#This Row],[CANT X MODULO]]*702,"")</f>
        <v>737.1</v>
      </c>
      <c r="Q117" s="3">
        <f>+SUMIFS(DETALLE_GD_1[CANTIDAD SOLICITADA],DETALLE_GD_1[CODIGO],PRODUCTOS[[#This Row],[CODIGO]])</f>
        <v>149</v>
      </c>
      <c r="R117" s="3">
        <f>+SUMIFS(DETALLE_GD_1[DEVOLUCIÓN],DETALLE_GD_1[CODIGO],PRODUCTOS[[#This Row],[CODIGO]])</f>
        <v>0</v>
      </c>
      <c r="S117" s="3">
        <f>+PRODUCTOS[[#This Row],[CANT. COMPRADA]]-PRODUCTOS[[#This Row],[DEVOLUCIONES]]</f>
        <v>149</v>
      </c>
      <c r="T117" s="3">
        <f>+IFERROR(PRODUCTOS[[#This Row],[CANTIDAD RECIBIDA]]/PRODUCTOS[[#This Row],[CANT X MODULO]],"")</f>
        <v>141.9047619047619</v>
      </c>
      <c r="U117" s="3">
        <f>+SUMIFS(DETALLE_GD_1[VALOR TOTAL POR ITEM GD],DETALLE_GD_1[CODIGO],PRODUCTOS[[#This Row],[CODIGO]])</f>
        <v>499517</v>
      </c>
      <c r="V117" s="3">
        <f>+IFERROR(PRODUCTOS[[#This Row],[PRECIO DE COMPRA]]/PRODUCTOS[[#This Row],[CANT. COMPRADA]],"")</f>
        <v>3352.4630872483222</v>
      </c>
      <c r="W117" s="3">
        <f>+IFERROR(PRODUCTOS[[#This Row],[PRECIO COMPRA UNITARIO]]*PRODUCTOS[[#This Row],[PPTO FALTANTE]],"")</f>
        <v>1978623.7140939599</v>
      </c>
      <c r="X117" s="7">
        <f>+IFERROR(PRODUCTOS[[#This Row],[PROYECCION COMPRA]]/PRODUCTOS[[#This Row],[PPTO TOTAL]]-1,"")</f>
        <v>-0.18261537508476622</v>
      </c>
      <c r="Y117" s="3">
        <f>+IFERROR((PRODUCTOS[[#This Row],[CANT X MODULO]]*704)-PRODUCTOS[[#This Row],[CANT. COMPRADA]],"")</f>
        <v>590.20000000000005</v>
      </c>
      <c r="Z117" s="17">
        <f>+IFERROR(PRODUCTOS[[#This Row],[CANT. COMPRADA]]/PRODUCTOS[[#This Row],[PPTO FALTANTE]],"")</f>
        <v>0.25245679430701456</v>
      </c>
      <c r="AA117" s="3">
        <f>+IFERROR(PRODUCTOS[[#This Row],[PROYECCION COMPRA]]-(PRODUCTOS[[#This Row],[PPTO FALTANTE]]*PRODUCTOS[[#This Row],[PPTO]]),"")</f>
        <v>45881.232746359659</v>
      </c>
      <c r="AB117" s="3">
        <f>+_xlfn.XLOOKUP(PRODUCTOS[[#This Row],[CODIGO]],DETALLE_GD_1[CODIGO],DETALLE_GD_1[VALOR PPTO],"",0)</f>
        <v>3274.7246</v>
      </c>
      <c r="AC117" s="3">
        <f>+AB117-PRODUCTOS[[#This Row],[PPTO_ACTUALIZADO]]</f>
        <v>-3.8000000131432898E-5</v>
      </c>
    </row>
    <row r="118" spans="1:29" hidden="1" x14ac:dyDescent="0.25">
      <c r="A118">
        <v>407185</v>
      </c>
      <c r="B118" t="s">
        <v>43</v>
      </c>
      <c r="C118">
        <v>0</v>
      </c>
      <c r="D118" t="s">
        <v>240</v>
      </c>
      <c r="E118" t="s">
        <v>399</v>
      </c>
      <c r="F118" s="2">
        <v>6.8783200000000004</v>
      </c>
      <c r="G118" s="6" t="s">
        <v>31</v>
      </c>
      <c r="H118" s="2">
        <v>6.8783200000000004</v>
      </c>
      <c r="I118" t="b">
        <v>1</v>
      </c>
      <c r="J118" t="str">
        <f>+_xlfn.XLOOKUP(PRODUCTOS[[#This Row],[CODIGO]],P_CRITICOS[CODIGO],P_CRITICOS[DESC CORTA],"",0)</f>
        <v/>
      </c>
      <c r="K118" t="str">
        <f>+IFERROR(IF(VLOOKUP(PRODUCTOS[[#This Row],[CODIGO]],P_CRITICOS[],3,0)="*","PRODUCTO CRITICO","NO CRITICO"),"NO CRITICO")</f>
        <v>NO CRITICO</v>
      </c>
      <c r="L118" s="15">
        <f>+_xlfn.XLOOKUP(PRODUCTOS[[#This Row],[CODIGO]],BD_MODULO[Artículo],BD_MODULO[CUB_ACTUALIZADA],"",0)</f>
        <v>966</v>
      </c>
      <c r="M118" s="2">
        <f>+IFERROR(PRODUCTOS[[#This Row],[PPTO]]*PRODUCTOS[[#This Row],[CANT X MODULO]],"")</f>
        <v>6644.45712</v>
      </c>
      <c r="N118" s="2">
        <f>+IFERROR(PRODUCTOS[[#This Row],[PPTO X MODULO]]*32,"")</f>
        <v>212622.62784</v>
      </c>
      <c r="O118" s="2">
        <f>+IFERROR(PRODUCTOS[[#This Row],[PPTO X TORRE]]*22,"")</f>
        <v>4677697.8124799998</v>
      </c>
      <c r="P118" s="3">
        <f>+IFERROR(PRODUCTOS[[#This Row],[CANT X MODULO]]*702,"")</f>
        <v>678132</v>
      </c>
      <c r="Q118" s="3">
        <f>+SUMIFS(DETALLE_GD_1[CANTIDAD SOLICITADA],DETALLE_GD_1[CODIGO],PRODUCTOS[[#This Row],[CODIGO]])</f>
        <v>134982</v>
      </c>
      <c r="R118" s="3">
        <f>+SUMIFS(DETALLE_GD_1[DEVOLUCIÓN],DETALLE_GD_1[CODIGO],PRODUCTOS[[#This Row],[CODIGO]])</f>
        <v>0</v>
      </c>
      <c r="S118" s="3">
        <f>+PRODUCTOS[[#This Row],[CANT. COMPRADA]]-PRODUCTOS[[#This Row],[DEVOLUCIONES]]</f>
        <v>134982</v>
      </c>
      <c r="T118" s="3">
        <f>+IFERROR(PRODUCTOS[[#This Row],[CANTIDAD RECIBIDA]]/PRODUCTOS[[#This Row],[CANT X MODULO]],"")</f>
        <v>139.73291925465838</v>
      </c>
      <c r="U118" s="3">
        <f>+SUMIFS(DETALLE_GD_1[VALOR TOTAL POR ITEM GD],DETALLE_GD_1[CODIGO],PRODUCTOS[[#This Row],[CODIGO]])</f>
        <v>878253</v>
      </c>
      <c r="V118" s="3">
        <f>+IFERROR(PRODUCTOS[[#This Row],[PRECIO DE COMPRA]]/PRODUCTOS[[#This Row],[CANT. COMPRADA]],"")</f>
        <v>6.5064453038182872</v>
      </c>
      <c r="W118" s="3">
        <f>+IFERROR(PRODUCTOS[[#This Row],[PRECIO COMPRA UNITARIO]]*PRODUCTOS[[#This Row],[PPTO FALTANTE]],"")</f>
        <v>3546546.2190958797</v>
      </c>
      <c r="X118" s="7">
        <f>+IFERROR(PRODUCTOS[[#This Row],[PROYECCION COMPRA]]/PRODUCTOS[[#This Row],[PPTO TOTAL]]-1,"")</f>
        <v>-0.24181801363188349</v>
      </c>
      <c r="Y118" s="3">
        <f>+IFERROR((PRODUCTOS[[#This Row],[CANT X MODULO]]*704)-PRODUCTOS[[#This Row],[CANT. COMPRADA]],"")</f>
        <v>545082</v>
      </c>
      <c r="Z118" s="17">
        <f>+IFERROR(PRODUCTOS[[#This Row],[CANT. COMPRADA]]/PRODUCTOS[[#This Row],[PPTO FALTANTE]],"")</f>
        <v>0.2476361354805332</v>
      </c>
      <c r="AA118" s="3">
        <f>+IFERROR(PRODUCTOS[[#This Row],[PROYECCION COMPRA]]-(PRODUCTOS[[#This Row],[PPTO FALTANTE]]*PRODUCTOS[[#This Row],[PPTO]]),"")</f>
        <v>-202702.20314412052</v>
      </c>
      <c r="AB118" s="3">
        <f>+_xlfn.XLOOKUP(PRODUCTOS[[#This Row],[CODIGO]],DETALLE_GD_1[CODIGO],DETALLE_GD_1[VALOR PPTO],"",0)</f>
        <v>6.8783000000000003</v>
      </c>
      <c r="AC118" s="3">
        <f>+AB118-PRODUCTOS[[#This Row],[PPTO_ACTUALIZADO]]</f>
        <v>-2.0000000000131024E-5</v>
      </c>
    </row>
    <row r="119" spans="1:29" hidden="1" x14ac:dyDescent="0.25">
      <c r="A119">
        <v>701043</v>
      </c>
      <c r="B119" t="s">
        <v>197</v>
      </c>
      <c r="C119" t="s">
        <v>548</v>
      </c>
      <c r="D119" t="s">
        <v>240</v>
      </c>
      <c r="E119" t="s">
        <v>402</v>
      </c>
      <c r="F119" s="2">
        <v>22146.362772</v>
      </c>
      <c r="G119" s="6" t="s">
        <v>18</v>
      </c>
      <c r="H119" s="2">
        <v>22146.362772</v>
      </c>
      <c r="I119" t="b">
        <v>1</v>
      </c>
      <c r="J119" t="str">
        <f>+_xlfn.XLOOKUP(PRODUCTOS[[#This Row],[CODIGO]],P_CRITICOS[CODIGO],P_CRITICOS[DESC CORTA],"",0)</f>
        <v>VOLCANITA EMPAPELADA CIELO</v>
      </c>
      <c r="K119" t="str">
        <f>+IFERROR(IF(VLOOKUP(PRODUCTOS[[#This Row],[CODIGO]],P_CRITICOS[],3,0)="*","PRODUCTO CRITICO","NO CRITICO"),"NO CRITICO")</f>
        <v>PRODUCTO CRITICO</v>
      </c>
      <c r="L119" s="15">
        <f>+_xlfn.XLOOKUP(PRODUCTOS[[#This Row],[CODIGO]],BD_MODULO[Artículo],BD_MODULO[CUB_ACTUALIZADA],"",0)</f>
        <v>7.0875000000000012</v>
      </c>
      <c r="M119" s="2">
        <f>+IFERROR(PRODUCTOS[[#This Row],[PPTO]]*PRODUCTOS[[#This Row],[CANT X MODULO]],"")</f>
        <v>156962.34614655003</v>
      </c>
      <c r="N119" s="2">
        <f>+IFERROR(PRODUCTOS[[#This Row],[PPTO X MODULO]]*32,"")</f>
        <v>5022795.0766896009</v>
      </c>
      <c r="O119" s="2">
        <f>+IFERROR(PRODUCTOS[[#This Row],[PPTO X TORRE]]*22,"")</f>
        <v>110501491.68717122</v>
      </c>
      <c r="P119" s="3">
        <f>+IFERROR(PRODUCTOS[[#This Row],[CANT X MODULO]]*702,"")</f>
        <v>4975.4250000000011</v>
      </c>
      <c r="Q119" s="3">
        <f>+SUMIFS(DETALLE_GD_1[CANTIDAD SOLICITADA],DETALLE_GD_1[CODIGO],PRODUCTOS[[#This Row],[CODIGO]])</f>
        <v>956</v>
      </c>
      <c r="R119" s="3">
        <f>+SUMIFS(DETALLE_GD_1[DEVOLUCIÓN],DETALLE_GD_1[CODIGO],PRODUCTOS[[#This Row],[CODIGO]])</f>
        <v>0</v>
      </c>
      <c r="S119" s="3">
        <f>+PRODUCTOS[[#This Row],[CANT. COMPRADA]]-PRODUCTOS[[#This Row],[DEVOLUCIONES]]</f>
        <v>956</v>
      </c>
      <c r="T119" s="3">
        <f>+IFERROR(PRODUCTOS[[#This Row],[CANTIDAD RECIBIDA]]/PRODUCTOS[[#This Row],[CANT X MODULO]],"")</f>
        <v>134.8853615520282</v>
      </c>
      <c r="U119" s="3">
        <f>+SUMIFS(DETALLE_GD_1[VALOR TOTAL POR ITEM GD],DETALLE_GD_1[CODIGO],PRODUCTOS[[#This Row],[CODIGO]])</f>
        <v>21504261</v>
      </c>
      <c r="V119" s="3">
        <f>+IFERROR(PRODUCTOS[[#This Row],[PRECIO DE COMPRA]]/PRODUCTOS[[#This Row],[CANT. COMPRADA]],"")</f>
        <v>22493.996861924687</v>
      </c>
      <c r="W119" s="3">
        <f>+IFERROR(PRODUCTOS[[#This Row],[PRECIO COMPRA UNITARIO]]*PRODUCTOS[[#This Row],[PPTO FALTANTE]],"")</f>
        <v>90731785.742259443</v>
      </c>
      <c r="X119" s="7">
        <f>+IFERROR(PRODUCTOS[[#This Row],[PROYECCION COMPRA]]/PRODUCTOS[[#This Row],[PPTO TOTAL]]-1,"")</f>
        <v>-0.17890895084818992</v>
      </c>
      <c r="Y119" s="3">
        <f>+IFERROR((PRODUCTOS[[#This Row],[CANT X MODULO]]*704)-PRODUCTOS[[#This Row],[CANT. COMPRADA]],"")</f>
        <v>4033.6000000000013</v>
      </c>
      <c r="Z119" s="17">
        <f>+IFERROR(PRODUCTOS[[#This Row],[CANT. COMPRADA]]/PRODUCTOS[[#This Row],[PPTO FALTANTE]],"")</f>
        <v>0.23700912336374447</v>
      </c>
      <c r="AA119" s="3">
        <f>+IFERROR(PRODUCTOS[[#This Row],[PROYECCION COMPRA]]-(PRODUCTOS[[#This Row],[PPTO FALTANTE]]*PRODUCTOS[[#This Row],[PPTO]]),"")</f>
        <v>1402216.8651202172</v>
      </c>
      <c r="AB119" s="3">
        <f>+_xlfn.XLOOKUP(PRODUCTOS[[#This Row],[CODIGO]],DETALLE_GD_1[CODIGO],DETALLE_GD_1[VALOR PPTO],"",0)</f>
        <v>22146.362799999999</v>
      </c>
      <c r="AC119" s="3">
        <f>+AB119-PRODUCTOS[[#This Row],[PPTO_ACTUALIZADO]]</f>
        <v>2.7999998565064743E-5</v>
      </c>
    </row>
    <row r="120" spans="1:29" hidden="1" x14ac:dyDescent="0.25">
      <c r="A120">
        <v>701084</v>
      </c>
      <c r="B120" t="s">
        <v>38</v>
      </c>
      <c r="C120" t="s">
        <v>567</v>
      </c>
      <c r="D120" t="s">
        <v>240</v>
      </c>
      <c r="E120" t="s">
        <v>402</v>
      </c>
      <c r="F120" s="2">
        <v>38182.916666999998</v>
      </c>
      <c r="G120" s="6" t="s">
        <v>18</v>
      </c>
      <c r="H120" s="2">
        <v>38182.916666999998</v>
      </c>
      <c r="I120" t="b">
        <v>1</v>
      </c>
      <c r="J120" t="str">
        <f>+_xlfn.XLOOKUP(PRODUCTOS[[#This Row],[CODIGO]],P_CRITICOS[CODIGO],P_CRITICOS[DESC CORTA],"",0)</f>
        <v/>
      </c>
      <c r="K120" t="str">
        <f>+IFERROR(IF(VLOOKUP(PRODUCTOS[[#This Row],[CODIGO]],P_CRITICOS[],3,0)="*","PRODUCTO CRITICO","NO CRITICO"),"NO CRITICO")</f>
        <v>NO CRITICO</v>
      </c>
      <c r="L120" s="15">
        <f>+_xlfn.XLOOKUP(PRODUCTOS[[#This Row],[CODIGO]],BD_MODULO[Artículo],BD_MODULO[CUB_ACTUALIZADA],"",0)</f>
        <v>0.69825000000000004</v>
      </c>
      <c r="M120" s="2">
        <f>+IFERROR(PRODUCTOS[[#This Row],[PPTO]]*PRODUCTOS[[#This Row],[CANT X MODULO]],"")</f>
        <v>26661.22156273275</v>
      </c>
      <c r="N120" s="2">
        <f>+IFERROR(PRODUCTOS[[#This Row],[PPTO X MODULO]]*32,"")</f>
        <v>853159.09000744799</v>
      </c>
      <c r="O120" s="2">
        <f>+IFERROR(PRODUCTOS[[#This Row],[PPTO X TORRE]]*22,"")</f>
        <v>18769499.980163857</v>
      </c>
      <c r="P120" s="3">
        <f>+IFERROR(PRODUCTOS[[#This Row],[CANT X MODULO]]*702,"")</f>
        <v>490.17150000000004</v>
      </c>
      <c r="Q120" s="3">
        <f>+SUMIFS(DETALLE_GD_1[CANTIDAD SOLICITADA],DETALLE_GD_1[CODIGO],PRODUCTOS[[#This Row],[CODIGO]])</f>
        <v>92</v>
      </c>
      <c r="R120" s="3">
        <f>+SUMIFS(DETALLE_GD_1[DEVOLUCIÓN],DETALLE_GD_1[CODIGO],PRODUCTOS[[#This Row],[CODIGO]])</f>
        <v>0</v>
      </c>
      <c r="S120" s="3">
        <f>+PRODUCTOS[[#This Row],[CANT. COMPRADA]]-PRODUCTOS[[#This Row],[DEVOLUCIONES]]</f>
        <v>92</v>
      </c>
      <c r="T120" s="3">
        <f>+IFERROR(PRODUCTOS[[#This Row],[CANTIDAD RECIBIDA]]/PRODUCTOS[[#This Row],[CANT X MODULO]],"")</f>
        <v>131.7579663444325</v>
      </c>
      <c r="U120" s="3">
        <f>+SUMIFS(DETALLE_GD_1[VALOR TOTAL POR ITEM GD],DETALLE_GD_1[CODIGO],PRODUCTOS[[#This Row],[CODIGO]])</f>
        <v>3603697</v>
      </c>
      <c r="V120" s="3">
        <f>+IFERROR(PRODUCTOS[[#This Row],[PRECIO DE COMPRA]]/PRODUCTOS[[#This Row],[CANT. COMPRADA]],"")</f>
        <v>39170.619565217392</v>
      </c>
      <c r="W120" s="3">
        <f>+IFERROR(PRODUCTOS[[#This Row],[PRECIO COMPRA UNITARIO]]*PRODUCTOS[[#This Row],[PPTO FALTANTE]],"")</f>
        <v>15651326.118434785</v>
      </c>
      <c r="X120" s="7">
        <f>+IFERROR(PRODUCTOS[[#This Row],[PROYECCION COMPRA]]/PRODUCTOS[[#This Row],[PPTO TOTAL]]-1,"")</f>
        <v>-0.16612983111028246</v>
      </c>
      <c r="Y120" s="3">
        <f>+IFERROR((PRODUCTOS[[#This Row],[CANT X MODULO]]*704)-PRODUCTOS[[#This Row],[CANT. COMPRADA]],"")</f>
        <v>399.56800000000004</v>
      </c>
      <c r="Z120" s="17">
        <f>+IFERROR(PRODUCTOS[[#This Row],[CANT. COMPRADA]]/PRODUCTOS[[#This Row],[PPTO FALTANTE]],"")</f>
        <v>0.23024866856204698</v>
      </c>
      <c r="AA120" s="3">
        <f>+IFERROR(PRODUCTOS[[#This Row],[PROYECCION COMPRA]]-(PRODUCTOS[[#This Row],[PPTO FALTANTE]]*PRODUCTOS[[#This Row],[PPTO]]),"")</f>
        <v>394654.47163492814</v>
      </c>
      <c r="AB120" s="3">
        <f>+_xlfn.XLOOKUP(PRODUCTOS[[#This Row],[CODIGO]],DETALLE_GD_1[CODIGO],DETALLE_GD_1[VALOR PPTO],"",0)</f>
        <v>38182.916700000002</v>
      </c>
      <c r="AC120" s="3">
        <f>+AB120-PRODUCTOS[[#This Row],[PPTO_ACTUALIZADO]]</f>
        <v>3.300000389572233E-5</v>
      </c>
    </row>
    <row r="121" spans="1:29" x14ac:dyDescent="0.25">
      <c r="A121">
        <v>302046</v>
      </c>
      <c r="B121" t="s">
        <v>115</v>
      </c>
      <c r="C121" t="s">
        <v>547</v>
      </c>
      <c r="D121" t="s">
        <v>240</v>
      </c>
      <c r="E121" t="s">
        <v>403</v>
      </c>
      <c r="F121" s="2">
        <v>10156.598467</v>
      </c>
      <c r="G121" s="6" t="s">
        <v>20</v>
      </c>
      <c r="H121" s="2">
        <v>10156.598467000002</v>
      </c>
      <c r="I121" t="b">
        <v>1</v>
      </c>
      <c r="J121" t="str">
        <f>+_xlfn.XLOOKUP(PRODUCTOS[[#This Row],[CODIGO]],P_CRITICOS[CODIGO],P_CRITICOS[DESC CORTA],"",0)</f>
        <v>PINO 2X6X400</v>
      </c>
      <c r="K121" t="str">
        <f>+IFERROR(IF(VLOOKUP(PRODUCTOS[[#This Row],[CODIGO]],P_CRITICOS[],3,0)="*","PRODUCTO CRITICO","NO CRITICO"),"NO CRITICO")</f>
        <v>PRODUCTO CRITICO</v>
      </c>
      <c r="L121" s="15">
        <f>+_xlfn.XLOOKUP(PRODUCTOS[[#This Row],[CODIGO]],BD_MODULO[Artículo],BD_MODULO[CUB_ACTUALIZADA],"",0)</f>
        <v>34.65</v>
      </c>
      <c r="M121" s="2">
        <f>+IFERROR(PRODUCTOS[[#This Row],[PPTO]]*PRODUCTOS[[#This Row],[CANT X MODULO]],"")</f>
        <v>351926.13688154996</v>
      </c>
      <c r="N121" s="2">
        <f>+IFERROR(PRODUCTOS[[#This Row],[PPTO X MODULO]]*32,"")</f>
        <v>11261636.380209599</v>
      </c>
      <c r="O121" s="2">
        <f>+IFERROR(PRODUCTOS[[#This Row],[PPTO X TORRE]]*22,"")</f>
        <v>247756000.36461118</v>
      </c>
      <c r="P121" s="3">
        <f>+IFERROR(PRODUCTOS[[#This Row],[CANT X MODULO]]*702,"")</f>
        <v>24324.3</v>
      </c>
      <c r="Q121" s="3">
        <f>+SUMIFS(DETALLE_GD_1[CANTIDAD SOLICITADA],DETALLE_GD_1[CODIGO],PRODUCTOS[[#This Row],[CODIGO]])</f>
        <v>4549</v>
      </c>
      <c r="R121" s="3">
        <f>+SUMIFS(DETALLE_GD_1[DEVOLUCIÓN],DETALLE_GD_1[CODIGO],PRODUCTOS[[#This Row],[CODIGO]])</f>
        <v>0</v>
      </c>
      <c r="S121" s="3">
        <f>+PRODUCTOS[[#This Row],[CANT. COMPRADA]]-PRODUCTOS[[#This Row],[DEVOLUCIONES]]</f>
        <v>4549</v>
      </c>
      <c r="T121" s="3">
        <f>+IFERROR(PRODUCTOS[[#This Row],[CANTIDAD RECIBIDA]]/PRODUCTOS[[#This Row],[CANT X MODULO]],"")</f>
        <v>131.28427128427128</v>
      </c>
      <c r="U121" s="3">
        <f>+SUMIFS(DETALLE_GD_1[VALOR TOTAL POR ITEM GD],DETALLE_GD_1[CODIGO],PRODUCTOS[[#This Row],[CODIGO]])</f>
        <v>46820539</v>
      </c>
      <c r="V121" s="3">
        <f>+IFERROR(PRODUCTOS[[#This Row],[PRECIO DE COMPRA]]/PRODUCTOS[[#This Row],[CANT. COMPRADA]],"")</f>
        <v>10292.490437458782</v>
      </c>
      <c r="W121" s="3">
        <f>+IFERROR(PRODUCTOS[[#This Row],[PRECIO COMPRA UNITARIO]]*PRODUCTOS[[#This Row],[PPTO FALTANTE]],"")</f>
        <v>204250355.73519453</v>
      </c>
      <c r="X121" s="7">
        <f>+IFERROR(PRODUCTOS[[#This Row],[PROYECCION COMPRA]]/PRODUCTOS[[#This Row],[PPTO TOTAL]]-1,"")</f>
        <v>-0.17559875266549096</v>
      </c>
      <c r="Y121" s="3">
        <f>+IFERROR((PRODUCTOS[[#This Row],[CANT X MODULO]]*704)-PRODUCTOS[[#This Row],[CANT. COMPRADA]],"")</f>
        <v>19844.599999999999</v>
      </c>
      <c r="Z121" s="17">
        <f>+IFERROR(PRODUCTOS[[#This Row],[CANT. COMPRADA]]/PRODUCTOS[[#This Row],[PPTO FALTANTE]],"")</f>
        <v>0.22923112584783772</v>
      </c>
      <c r="AA121" s="3">
        <f>+IFERROR(PRODUCTOS[[#This Row],[PROYECCION COMPRA]]-(PRODUCTOS[[#This Row],[PPTO FALTANTE]]*PRODUCTOS[[#This Row],[PPTO]]),"")</f>
        <v>2696721.7969663441</v>
      </c>
      <c r="AB121" s="3">
        <f>+_xlfn.XLOOKUP(PRODUCTOS[[#This Row],[CODIGO]],DETALLE_GD_1[CODIGO],DETALLE_GD_1[VALOR PPTO],"",0)</f>
        <v>10156.5985</v>
      </c>
      <c r="AC121" s="3">
        <f>+AB121-PRODUCTOS[[#This Row],[PPTO_ACTUALIZADO]]</f>
        <v>3.2999998438754119E-5</v>
      </c>
    </row>
    <row r="122" spans="1:29" x14ac:dyDescent="0.25">
      <c r="A122" t="s">
        <v>21</v>
      </c>
      <c r="B122" t="s">
        <v>22</v>
      </c>
      <c r="C122" t="s">
        <v>528</v>
      </c>
      <c r="D122" t="s">
        <v>240</v>
      </c>
      <c r="E122" t="s">
        <v>403</v>
      </c>
      <c r="F122" s="2">
        <v>15359.702784999999</v>
      </c>
      <c r="G122" s="6" t="s">
        <v>20</v>
      </c>
      <c r="H122" s="2">
        <v>15359.702785000003</v>
      </c>
      <c r="I122" t="b">
        <v>1</v>
      </c>
      <c r="J122" t="str">
        <f>+_xlfn.XLOOKUP(PRODUCTOS[[#This Row],[CODIGO]],P_CRITICOS[CODIGO],P_CRITICOS[DESC CORTA],"",0)</f>
        <v>PINO 3X8X320</v>
      </c>
      <c r="K122" t="str">
        <f>+IFERROR(IF(VLOOKUP(PRODUCTOS[[#This Row],[CODIGO]],P_CRITICOS[],3,0)="*","PRODUCTO CRITICO","NO CRITICO"),"NO CRITICO")</f>
        <v>PRODUCTO CRITICO</v>
      </c>
      <c r="L122" s="15">
        <f>+_xlfn.XLOOKUP(PRODUCTOS[[#This Row],[CODIGO]],BD_MODULO[Artículo],BD_MODULO[CUB_ACTUALIZADA],"",0)</f>
        <v>6.3000000000000007</v>
      </c>
      <c r="M122" s="2">
        <f>+IFERROR(PRODUCTOS[[#This Row],[PPTO]]*PRODUCTOS[[#This Row],[CANT X MODULO]],"")</f>
        <v>96766.127545500014</v>
      </c>
      <c r="N122" s="2">
        <f>+IFERROR(PRODUCTOS[[#This Row],[PPTO X MODULO]]*32,"")</f>
        <v>3096516.0814560005</v>
      </c>
      <c r="O122" s="2">
        <f>+IFERROR(PRODUCTOS[[#This Row],[PPTO X TORRE]]*22,"")</f>
        <v>68123353.792032003</v>
      </c>
      <c r="P122" s="3">
        <f>+IFERROR(PRODUCTOS[[#This Row],[CANT X MODULO]]*702,"")</f>
        <v>4422.6000000000004</v>
      </c>
      <c r="Q122" s="3">
        <f>+SUMIFS(DETALLE_GD_1[CANTIDAD SOLICITADA],DETALLE_GD_1[CODIGO],PRODUCTOS[[#This Row],[CODIGO]])</f>
        <v>808</v>
      </c>
      <c r="R122" s="3">
        <f>+SUMIFS(DETALLE_GD_1[DEVOLUCIÓN],DETALLE_GD_1[CODIGO],PRODUCTOS[[#This Row],[CODIGO]])</f>
        <v>0</v>
      </c>
      <c r="S122" s="3">
        <f>+PRODUCTOS[[#This Row],[CANT. COMPRADA]]-PRODUCTOS[[#This Row],[DEVOLUCIONES]]</f>
        <v>808</v>
      </c>
      <c r="T122" s="3">
        <f>+IFERROR(PRODUCTOS[[#This Row],[CANTIDAD RECIBIDA]]/PRODUCTOS[[#This Row],[CANT X MODULO]],"")</f>
        <v>128.25396825396825</v>
      </c>
      <c r="U122" s="3">
        <f>+SUMIFS(DETALLE_GD_1[VALOR TOTAL POR ITEM GD],DETALLE_GD_1[CODIGO],PRODUCTOS[[#This Row],[CODIGO]])</f>
        <v>12485068</v>
      </c>
      <c r="V122" s="3">
        <f>+IFERROR(PRODUCTOS[[#This Row],[PRECIO DE COMPRA]]/PRODUCTOS[[#This Row],[CANT. COMPRADA]],"")</f>
        <v>15451.816831683169</v>
      </c>
      <c r="W122" s="3">
        <f>+IFERROR(PRODUCTOS[[#This Row],[PRECIO COMPRA UNITARIO]]*PRODUCTOS[[#This Row],[PPTO FALTANTE]],"")</f>
        <v>56046830.011881202</v>
      </c>
      <c r="X122" s="7">
        <f>+IFERROR(PRODUCTOS[[#This Row],[PROYECCION COMPRA]]/PRODUCTOS[[#This Row],[PPTO TOTAL]]-1,"")</f>
        <v>-0.17727435758694721</v>
      </c>
      <c r="Y122" s="3">
        <f>+IFERROR((PRODUCTOS[[#This Row],[CANT X MODULO]]*704)-PRODUCTOS[[#This Row],[CANT. COMPRADA]],"")</f>
        <v>3627.2000000000007</v>
      </c>
      <c r="Z122" s="17">
        <f>+IFERROR(PRODUCTOS[[#This Row],[CANT. COMPRADA]]/PRODUCTOS[[#This Row],[PPTO FALTANTE]],"")</f>
        <v>0.22276135862373175</v>
      </c>
      <c r="AA122" s="3">
        <f>+IFERROR(PRODUCTOS[[#This Row],[PROYECCION COMPRA]]-(PRODUCTOS[[#This Row],[PPTO FALTANTE]]*PRODUCTOS[[#This Row],[PPTO]]),"")</f>
        <v>334116.07012919337</v>
      </c>
      <c r="AB122" s="3">
        <f>+_xlfn.XLOOKUP(PRODUCTOS[[#This Row],[CODIGO]],DETALLE_GD_1[CODIGO],DETALLE_GD_1[VALOR PPTO],"",0)</f>
        <v>15359.702799999999</v>
      </c>
      <c r="AC122" s="3">
        <f>+AB122-PRODUCTOS[[#This Row],[PPTO_ACTUALIZADO]]</f>
        <v>1.499999598308932E-5</v>
      </c>
    </row>
    <row r="123" spans="1:29" hidden="1" x14ac:dyDescent="0.25">
      <c r="A123">
        <v>408071</v>
      </c>
      <c r="B123" t="s">
        <v>111</v>
      </c>
      <c r="C123" t="s">
        <v>616</v>
      </c>
      <c r="D123" t="s">
        <v>240</v>
      </c>
      <c r="E123" t="s">
        <v>399</v>
      </c>
      <c r="F123" s="2">
        <v>23200.297871999999</v>
      </c>
      <c r="G123" s="6" t="s">
        <v>36</v>
      </c>
      <c r="H123" s="2">
        <v>23200.297871999981</v>
      </c>
      <c r="I123" t="b">
        <v>1</v>
      </c>
      <c r="J123" t="str">
        <f>+_xlfn.XLOOKUP(PRODUCTOS[[#This Row],[CODIGO]],P_CRITICOS[CODIGO],P_CRITICOS[DESC CORTA],"",0)</f>
        <v/>
      </c>
      <c r="K123" t="str">
        <f>+IFERROR(IF(VLOOKUP(PRODUCTOS[[#This Row],[CODIGO]],P_CRITICOS[],3,0)="*","PRODUCTO CRITICO","NO CRITICO"),"NO CRITICO")</f>
        <v>NO CRITICO</v>
      </c>
      <c r="L123" s="15">
        <f>+_xlfn.XLOOKUP(PRODUCTOS[[#This Row],[CODIGO]],BD_MODULO[Artículo],BD_MODULO[CUB_ACTUALIZADA],"",0)</f>
        <v>0.20317500000000016</v>
      </c>
      <c r="M123" s="2">
        <f>+IFERROR(PRODUCTOS[[#This Row],[PPTO]]*PRODUCTOS[[#This Row],[CANT X MODULO]],"")</f>
        <v>4713.7205201436036</v>
      </c>
      <c r="N123" s="2">
        <f>+IFERROR(PRODUCTOS[[#This Row],[PPTO X MODULO]]*32,"")</f>
        <v>150839.05664459532</v>
      </c>
      <c r="O123" s="2">
        <f>+IFERROR(PRODUCTOS[[#This Row],[PPTO X TORRE]]*22,"")</f>
        <v>3318459.2461810969</v>
      </c>
      <c r="P123" s="3">
        <f>+IFERROR(PRODUCTOS[[#This Row],[CANT X MODULO]]*702,"")</f>
        <v>142.62885000000011</v>
      </c>
      <c r="Q123" s="3">
        <f>+SUMIFS(DETALLE_GD_1[CANTIDAD SOLICITADA],DETALLE_GD_1[CODIGO],PRODUCTOS[[#This Row],[CODIGO]])</f>
        <v>26</v>
      </c>
      <c r="R123" s="3">
        <f>+SUMIFS(DETALLE_GD_1[DEVOLUCIÓN],DETALLE_GD_1[CODIGO],PRODUCTOS[[#This Row],[CODIGO]])</f>
        <v>0</v>
      </c>
      <c r="S123" s="3">
        <f>+PRODUCTOS[[#This Row],[CANT. COMPRADA]]-PRODUCTOS[[#This Row],[DEVOLUCIONES]]</f>
        <v>26</v>
      </c>
      <c r="T123" s="3">
        <f>+IFERROR(PRODUCTOS[[#This Row],[CANTIDAD RECIBIDA]]/PRODUCTOS[[#This Row],[CANT X MODULO]],"")</f>
        <v>127.96850006152322</v>
      </c>
      <c r="U123" s="3">
        <f>+SUMIFS(DETALLE_GD_1[VALOR TOTAL POR ITEM GD],DETALLE_GD_1[CODIGO],PRODUCTOS[[#This Row],[CODIGO]])</f>
        <v>603223</v>
      </c>
      <c r="V123" s="3">
        <f>+IFERROR(PRODUCTOS[[#This Row],[PRECIO DE COMPRA]]/PRODUCTOS[[#This Row],[CANT. COMPRADA]],"")</f>
        <v>23200.884615384617</v>
      </c>
      <c r="W123" s="3">
        <f>+IFERROR(PRODUCTOS[[#This Row],[PRECIO COMPRA UNITARIO]]*PRODUCTOS[[#This Row],[PPTO FALTANTE]],"")</f>
        <v>2715320.1711384645</v>
      </c>
      <c r="X123" s="7">
        <f>+IFERROR(PRODUCTOS[[#This Row],[PROYECCION COMPRA]]/PRODUCTOS[[#This Row],[PPTO TOTAL]]-1,"")</f>
        <v>-0.18175274436072364</v>
      </c>
      <c r="Y123" s="3">
        <f>+IFERROR((PRODUCTOS[[#This Row],[CANT X MODULO]]*704)-PRODUCTOS[[#This Row],[CANT. COMPRADA]],"")</f>
        <v>117.03520000000012</v>
      </c>
      <c r="Z123" s="17">
        <f>+IFERROR(PRODUCTOS[[#This Row],[CANT. COMPRADA]]/PRODUCTOS[[#This Row],[PPTO FALTANTE]],"")</f>
        <v>0.2221553857301049</v>
      </c>
      <c r="AA123" s="3">
        <f>+IFERROR(PRODUCTOS[[#This Row],[PROYECCION COMPRA]]-(PRODUCTOS[[#This Row],[PPTO FALTANTE]]*PRODUCTOS[[#This Row],[PPTO]]),"")</f>
        <v>68.669629367534071</v>
      </c>
      <c r="AB123" s="3">
        <f>+_xlfn.XLOOKUP(PRODUCTOS[[#This Row],[CODIGO]],DETALLE_GD_1[CODIGO],DETALLE_GD_1[VALOR PPTO],"",0)</f>
        <v>23200.297900000001</v>
      </c>
      <c r="AC123" s="3">
        <f>+AB123-PRODUCTOS[[#This Row],[PPTO_ACTUALIZADO]]</f>
        <v>2.8000020392937586E-5</v>
      </c>
    </row>
    <row r="124" spans="1:29" hidden="1" x14ac:dyDescent="0.25">
      <c r="A124">
        <v>704025</v>
      </c>
      <c r="B124" t="s">
        <v>333</v>
      </c>
      <c r="C124" t="s">
        <v>674</v>
      </c>
      <c r="D124" t="s">
        <v>240</v>
      </c>
      <c r="E124" t="s">
        <v>402</v>
      </c>
      <c r="F124" s="2">
        <v>580</v>
      </c>
      <c r="G124" s="6" t="s">
        <v>31</v>
      </c>
      <c r="H124" s="2">
        <v>580</v>
      </c>
      <c r="I124" t="b">
        <v>1</v>
      </c>
      <c r="J124" t="str">
        <f>+_xlfn.XLOOKUP(PRODUCTOS[[#This Row],[CODIGO]],P_CRITICOS[CODIGO],P_CRITICOS[DESC CORTA],"",0)</f>
        <v/>
      </c>
      <c r="K124" t="str">
        <f>+IFERROR(IF(VLOOKUP(PRODUCTOS[[#This Row],[CODIGO]],P_CRITICOS[],3,0)="*","PRODUCTO CRITICO","NO CRITICO"),"NO CRITICO")</f>
        <v>NO CRITICO</v>
      </c>
      <c r="L124" s="15">
        <f>+_xlfn.XLOOKUP(PRODUCTOS[[#This Row],[CODIGO]],BD_MODULO[Artículo],BD_MODULO[CUB_ACTUALIZADA],"",0)</f>
        <v>4.2</v>
      </c>
      <c r="M124" s="2">
        <f>+IFERROR(PRODUCTOS[[#This Row],[PPTO]]*PRODUCTOS[[#This Row],[CANT X MODULO]],"")</f>
        <v>2436</v>
      </c>
      <c r="N124" s="2">
        <f>+IFERROR(PRODUCTOS[[#This Row],[PPTO X MODULO]]*32,"")</f>
        <v>77952</v>
      </c>
      <c r="O124" s="2">
        <f>+IFERROR(PRODUCTOS[[#This Row],[PPTO X TORRE]]*22,"")</f>
        <v>1714944</v>
      </c>
      <c r="P124" s="3">
        <f>+IFERROR(PRODUCTOS[[#This Row],[CANT X MODULO]]*702,"")</f>
        <v>2948.4</v>
      </c>
      <c r="Q124" s="3">
        <f>+SUMIFS(DETALLE_GD_1[CANTIDAD SOLICITADA],DETALLE_GD_1[CODIGO],PRODUCTOS[[#This Row],[CODIGO]])</f>
        <v>532</v>
      </c>
      <c r="R124" s="3">
        <f>+SUMIFS(DETALLE_GD_1[DEVOLUCIÓN],DETALLE_GD_1[CODIGO],PRODUCTOS[[#This Row],[CODIGO]])</f>
        <v>0</v>
      </c>
      <c r="S124" s="3">
        <f>+PRODUCTOS[[#This Row],[CANT. COMPRADA]]-PRODUCTOS[[#This Row],[DEVOLUCIONES]]</f>
        <v>532</v>
      </c>
      <c r="T124" s="3">
        <f>+IFERROR(PRODUCTOS[[#This Row],[CANTIDAD RECIBIDA]]/PRODUCTOS[[#This Row],[CANT X MODULO]],"")</f>
        <v>126.66666666666666</v>
      </c>
      <c r="U124" s="3">
        <f>+SUMIFS(DETALLE_GD_1[VALOR TOTAL POR ITEM GD],DETALLE_GD_1[CODIGO],PRODUCTOS[[#This Row],[CODIGO]])</f>
        <v>308507</v>
      </c>
      <c r="V124" s="3">
        <f>+IFERROR(PRODUCTOS[[#This Row],[PRECIO DE COMPRA]]/PRODUCTOS[[#This Row],[CANT. COMPRADA]],"")</f>
        <v>579.9003759398496</v>
      </c>
      <c r="W124" s="3">
        <f>+IFERROR(PRODUCTOS[[#This Row],[PRECIO COMPRA UNITARIO]]*PRODUCTOS[[#This Row],[PPTO FALTANTE]],"")</f>
        <v>1406142.4315789475</v>
      </c>
      <c r="X124" s="7">
        <f>+IFERROR(PRODUCTOS[[#This Row],[PROYECCION COMPRA]]/PRODUCTOS[[#This Row],[PPTO TOTAL]]-1,"")</f>
        <v>-0.18006510324596747</v>
      </c>
      <c r="Y124" s="3">
        <f>+IFERROR((PRODUCTOS[[#This Row],[CANT X MODULO]]*704)-PRODUCTOS[[#This Row],[CANT. COMPRADA]],"")</f>
        <v>2424.8000000000002</v>
      </c>
      <c r="Z124" s="17">
        <f>+IFERROR(PRODUCTOS[[#This Row],[CANT. COMPRADA]]/PRODUCTOS[[#This Row],[PPTO FALTANTE]],"")</f>
        <v>0.21939953810623555</v>
      </c>
      <c r="AA124" s="3">
        <f>+IFERROR(PRODUCTOS[[#This Row],[PROYECCION COMPRA]]-(PRODUCTOS[[#This Row],[PPTO FALTANTE]]*PRODUCTOS[[#This Row],[PPTO]]),"")</f>
        <v>-241.568421052536</v>
      </c>
      <c r="AB124" s="3">
        <f>+_xlfn.XLOOKUP(PRODUCTOS[[#This Row],[CODIGO]],DETALLE_GD_1[CODIGO],DETALLE_GD_1[VALOR PPTO],"",0)</f>
        <v>580</v>
      </c>
      <c r="AC124" s="3">
        <f>+AB124-PRODUCTOS[[#This Row],[PPTO_ACTUALIZADO]]</f>
        <v>0</v>
      </c>
    </row>
    <row r="125" spans="1:29" hidden="1" x14ac:dyDescent="0.25">
      <c r="A125">
        <v>304007</v>
      </c>
      <c r="B125" t="s">
        <v>80</v>
      </c>
      <c r="C125" t="s">
        <v>541</v>
      </c>
      <c r="D125" t="s">
        <v>240</v>
      </c>
      <c r="E125" t="s">
        <v>401</v>
      </c>
      <c r="F125" s="2">
        <v>11444.353021999999</v>
      </c>
      <c r="G125" s="6" t="s">
        <v>18</v>
      </c>
      <c r="H125" s="2">
        <v>11444.353021999996</v>
      </c>
      <c r="I125" t="b">
        <v>1</v>
      </c>
      <c r="J125" t="str">
        <f>+_xlfn.XLOOKUP(PRODUCTOS[[#This Row],[CODIGO]],P_CRITICOS[CODIGO],P_CRITICOS[DESC CORTA],"",0)</f>
        <v>OSB 11MM</v>
      </c>
      <c r="K125" t="str">
        <f>+IFERROR(IF(VLOOKUP(PRODUCTOS[[#This Row],[CODIGO]],P_CRITICOS[],3,0)="*","PRODUCTO CRITICO","NO CRITICO"),"NO CRITICO")</f>
        <v>PRODUCTO CRITICO</v>
      </c>
      <c r="L125" s="15">
        <f>+_xlfn.XLOOKUP(PRODUCTOS[[#This Row],[CODIGO]],BD_MODULO[Artículo],BD_MODULO[CUB_ACTUALIZADA],"",0)</f>
        <v>8.6625000000000014</v>
      </c>
      <c r="M125" s="2">
        <f>+IFERROR(PRODUCTOS[[#This Row],[PPTO]]*PRODUCTOS[[#This Row],[CANT X MODULO]],"")</f>
        <v>99136.70805307501</v>
      </c>
      <c r="N125" s="2">
        <f>+IFERROR(PRODUCTOS[[#This Row],[PPTO X MODULO]]*32,"")</f>
        <v>3172374.6576984003</v>
      </c>
      <c r="O125" s="2">
        <f>+IFERROR(PRODUCTOS[[#This Row],[PPTO X TORRE]]*22,"")</f>
        <v>69792242.469364807</v>
      </c>
      <c r="P125" s="3">
        <f>+IFERROR(PRODUCTOS[[#This Row],[CANT X MODULO]]*702,"")</f>
        <v>6081.0750000000007</v>
      </c>
      <c r="Q125" s="3">
        <f>+SUMIFS(DETALLE_GD_1[CANTIDAD SOLICITADA],DETALLE_GD_1[CODIGO],PRODUCTOS[[#This Row],[CODIGO]])</f>
        <v>1072</v>
      </c>
      <c r="R125" s="3">
        <f>+SUMIFS(DETALLE_GD_1[DEVOLUCIÓN],DETALLE_GD_1[CODIGO],PRODUCTOS[[#This Row],[CODIGO]])</f>
        <v>0</v>
      </c>
      <c r="S125" s="3">
        <f>+PRODUCTOS[[#This Row],[CANT. COMPRADA]]-PRODUCTOS[[#This Row],[DEVOLUCIONES]]</f>
        <v>1072</v>
      </c>
      <c r="T125" s="3">
        <f>+IFERROR(PRODUCTOS[[#This Row],[CANTIDAD RECIBIDA]]/PRODUCTOS[[#This Row],[CANT X MODULO]],"")</f>
        <v>123.75180375180373</v>
      </c>
      <c r="U125" s="3">
        <f>+SUMIFS(DETALLE_GD_1[VALOR TOTAL POR ITEM GD],DETALLE_GD_1[CODIGO],PRODUCTOS[[#This Row],[CODIGO]])</f>
        <v>12389283</v>
      </c>
      <c r="V125" s="3">
        <f>+IFERROR(PRODUCTOS[[#This Row],[PRECIO DE COMPRA]]/PRODUCTOS[[#This Row],[CANT. COMPRADA]],"")</f>
        <v>11557.16697761194</v>
      </c>
      <c r="W125" s="3">
        <f>+IFERROR(PRODUCTOS[[#This Row],[PRECIO COMPRA UNITARIO]]*PRODUCTOS[[#This Row],[PPTO FALTANTE]],"")</f>
        <v>58090944.096268669</v>
      </c>
      <c r="X125" s="7">
        <f>+IFERROR(PRODUCTOS[[#This Row],[PROYECCION COMPRA]]/PRODUCTOS[[#This Row],[PPTO TOTAL]]-1,"")</f>
        <v>-0.1676590113612183</v>
      </c>
      <c r="Y125" s="3">
        <f>+IFERROR((PRODUCTOS[[#This Row],[CANT X MODULO]]*704)-PRODUCTOS[[#This Row],[CANT. COMPRADA]],"")</f>
        <v>5026.4000000000015</v>
      </c>
      <c r="Z125" s="17">
        <f>+IFERROR(PRODUCTOS[[#This Row],[CANT. COMPRADA]]/PRODUCTOS[[#This Row],[PPTO FALTANTE]],"")</f>
        <v>0.21327391373547663</v>
      </c>
      <c r="AA125" s="3">
        <f>+IFERROR(PRODUCTOS[[#This Row],[PROYECCION COMPRA]]-(PRODUCTOS[[#This Row],[PPTO FALTANTE]]*PRODUCTOS[[#This Row],[PPTO]]),"")</f>
        <v>567048.06648785621</v>
      </c>
      <c r="AB125" s="3">
        <f>+_xlfn.XLOOKUP(PRODUCTOS[[#This Row],[CODIGO]],DETALLE_GD_1[CODIGO],DETALLE_GD_1[VALOR PPTO],"",0)</f>
        <v>11444.352999999999</v>
      </c>
      <c r="AC125" s="3">
        <f>+AB125-PRODUCTOS[[#This Row],[PPTO_ACTUALIZADO]]</f>
        <v>-2.1999996533850208E-5</v>
      </c>
    </row>
    <row r="126" spans="1:29" hidden="1" x14ac:dyDescent="0.25">
      <c r="A126">
        <v>2302024</v>
      </c>
      <c r="B126" t="s">
        <v>234</v>
      </c>
      <c r="C126">
        <v>0</v>
      </c>
      <c r="D126" t="s">
        <v>244</v>
      </c>
      <c r="E126" t="s">
        <v>399</v>
      </c>
      <c r="F126" s="2">
        <v>21916.523936000001</v>
      </c>
      <c r="G126" s="6" t="s">
        <v>68</v>
      </c>
      <c r="H126" s="2">
        <v>22292</v>
      </c>
      <c r="I126" t="b">
        <v>0</v>
      </c>
      <c r="J126" t="str">
        <f>+_xlfn.XLOOKUP(PRODUCTOS[[#This Row],[CODIGO]],P_CRITICOS[CODIGO],P_CRITICOS[DESC CORTA],"",0)</f>
        <v/>
      </c>
      <c r="K126" t="str">
        <f>+IFERROR(IF(VLOOKUP(PRODUCTOS[[#This Row],[CODIGO]],P_CRITICOS[],3,0)="*","PRODUCTO CRITICO","NO CRITICO"),"NO CRITICO")</f>
        <v>NO CRITICO</v>
      </c>
      <c r="L126" s="15">
        <f>+_xlfn.XLOOKUP(PRODUCTOS[[#This Row],[CODIGO]],BD_MODULO[Artículo],BD_MODULO[CUB_ACTUALIZADA],"",0)</f>
        <v>0.13125000000000001</v>
      </c>
      <c r="M126" s="2">
        <f>+IFERROR(PRODUCTOS[[#This Row],[PPTO]]*PRODUCTOS[[#This Row],[CANT X MODULO]],"")</f>
        <v>2876.5437666000003</v>
      </c>
      <c r="N126" s="2">
        <f>+IFERROR(PRODUCTOS[[#This Row],[PPTO X MODULO]]*32,"")</f>
        <v>92049.400531200008</v>
      </c>
      <c r="O126" s="2">
        <f>+IFERROR(PRODUCTOS[[#This Row],[PPTO X TORRE]]*22,"")</f>
        <v>2025086.8116864001</v>
      </c>
      <c r="P126" s="3">
        <f>+IFERROR(PRODUCTOS[[#This Row],[CANT X MODULO]]*702,"")</f>
        <v>92.137500000000003</v>
      </c>
      <c r="Q126" s="3">
        <f>+SUMIFS(DETALLE_GD_1[CANTIDAD SOLICITADA],DETALLE_GD_1[CODIGO],PRODUCTOS[[#This Row],[CODIGO]])</f>
        <v>16</v>
      </c>
      <c r="R126" s="3">
        <f>+SUMIFS(DETALLE_GD_1[DEVOLUCIÓN],DETALLE_GD_1[CODIGO],PRODUCTOS[[#This Row],[CODIGO]])</f>
        <v>0</v>
      </c>
      <c r="S126" s="3">
        <f>+PRODUCTOS[[#This Row],[CANT. COMPRADA]]-PRODUCTOS[[#This Row],[DEVOLUCIONES]]</f>
        <v>16</v>
      </c>
      <c r="T126" s="3">
        <f>+IFERROR(PRODUCTOS[[#This Row],[CANTIDAD RECIBIDA]]/PRODUCTOS[[#This Row],[CANT X MODULO]],"")</f>
        <v>121.9047619047619</v>
      </c>
      <c r="U126" s="3">
        <f>+SUMIFS(DETALLE_GD_1[VALOR TOTAL POR ITEM GD],DETALLE_GD_1[CODIGO],PRODUCTOS[[#This Row],[CODIGO]])</f>
        <v>347247</v>
      </c>
      <c r="V126" s="3">
        <f>+IFERROR(PRODUCTOS[[#This Row],[PRECIO DE COMPRA]]/PRODUCTOS[[#This Row],[CANT. COMPRADA]],"")</f>
        <v>21702.9375</v>
      </c>
      <c r="W126" s="3">
        <f>+IFERROR(PRODUCTOS[[#This Row],[PRECIO COMPRA UNITARIO]]*PRODUCTOS[[#This Row],[PPTO FALTANTE]],"")</f>
        <v>1658104.425</v>
      </c>
      <c r="X126" s="7">
        <f>+IFERROR(PRODUCTOS[[#This Row],[PROYECCION COMPRA]]/PRODUCTOS[[#This Row],[PPTO TOTAL]]-1,"")</f>
        <v>-0.18121810115428771</v>
      </c>
      <c r="Y126" s="3">
        <f>+IFERROR((PRODUCTOS[[#This Row],[CANT X MODULO]]*704)-PRODUCTOS[[#This Row],[CANT. COMPRADA]],"")</f>
        <v>76.400000000000006</v>
      </c>
      <c r="Z126" s="17">
        <f>+IFERROR(PRODUCTOS[[#This Row],[CANT. COMPRADA]]/PRODUCTOS[[#This Row],[PPTO FALTANTE]],"")</f>
        <v>0.20942408376963348</v>
      </c>
      <c r="AA126" s="3">
        <f>+IFERROR(PRODUCTOS[[#This Row],[PROYECCION COMPRA]]-(PRODUCTOS[[#This Row],[PPTO FALTANTE]]*PRODUCTOS[[#This Row],[PPTO]]),"")</f>
        <v>-16318.00371040008</v>
      </c>
      <c r="AB126" s="3">
        <f>+_xlfn.XLOOKUP(PRODUCTOS[[#This Row],[CODIGO]],DETALLE_GD_1[CODIGO],DETALLE_GD_1[VALOR PPTO],"",0)</f>
        <v>22292</v>
      </c>
      <c r="AC126" s="3">
        <f>+AB126-PRODUCTOS[[#This Row],[PPTO_ACTUALIZADO]]</f>
        <v>0</v>
      </c>
    </row>
    <row r="127" spans="1:29" hidden="1" x14ac:dyDescent="0.25">
      <c r="A127">
        <v>5316484</v>
      </c>
      <c r="B127" t="s">
        <v>96</v>
      </c>
      <c r="C127" t="s">
        <v>602</v>
      </c>
      <c r="D127" t="s">
        <v>258</v>
      </c>
      <c r="E127" t="s">
        <v>405</v>
      </c>
      <c r="F127" s="2">
        <v>4372.7272730000004</v>
      </c>
      <c r="G127" s="6" t="s">
        <v>31</v>
      </c>
      <c r="H127" s="2">
        <v>4372.7272730000004</v>
      </c>
      <c r="I127" t="b">
        <v>1</v>
      </c>
      <c r="J127" t="str">
        <f>+_xlfn.XLOOKUP(PRODUCTOS[[#This Row],[CODIGO]],P_CRITICOS[CODIGO],P_CRITICOS[DESC CORTA],"",0)</f>
        <v/>
      </c>
      <c r="K127" t="str">
        <f>+IFERROR(IF(VLOOKUP(PRODUCTOS[[#This Row],[CODIGO]],P_CRITICOS[],3,0)="*","PRODUCTO CRITICO","NO CRITICO"),"NO CRITICO")</f>
        <v>NO CRITICO</v>
      </c>
      <c r="L127" s="15">
        <f>+_xlfn.XLOOKUP(PRODUCTOS[[#This Row],[CODIGO]],BD_MODULO[Artículo],BD_MODULO[CUB_ACTUALIZADA],"",0)</f>
        <v>0.52500000000000002</v>
      </c>
      <c r="M127" s="2">
        <f>+IFERROR(PRODUCTOS[[#This Row],[PPTO]]*PRODUCTOS[[#This Row],[CANT X MODULO]],"")</f>
        <v>2295.6818183250002</v>
      </c>
      <c r="N127" s="2">
        <f>+IFERROR(PRODUCTOS[[#This Row],[PPTO X MODULO]]*32,"")</f>
        <v>73461.818186400007</v>
      </c>
      <c r="O127" s="2">
        <f>+IFERROR(PRODUCTOS[[#This Row],[PPTO X TORRE]]*22,"")</f>
        <v>1616160.0001008001</v>
      </c>
      <c r="P127" s="3">
        <f>+IFERROR(PRODUCTOS[[#This Row],[CANT X MODULO]]*702,"")</f>
        <v>368.55</v>
      </c>
      <c r="Q127" s="3">
        <f>+SUMIFS(DETALLE_GD_1[CANTIDAD SOLICITADA],DETALLE_GD_1[CODIGO],PRODUCTOS[[#This Row],[CODIGO]])</f>
        <v>62</v>
      </c>
      <c r="R127" s="3">
        <f>+SUMIFS(DETALLE_GD_1[DEVOLUCIÓN],DETALLE_GD_1[CODIGO],PRODUCTOS[[#This Row],[CODIGO]])</f>
        <v>0</v>
      </c>
      <c r="S127" s="3">
        <f>+PRODUCTOS[[#This Row],[CANT. COMPRADA]]-PRODUCTOS[[#This Row],[DEVOLUCIONES]]</f>
        <v>62</v>
      </c>
      <c r="T127" s="3">
        <f>+IFERROR(PRODUCTOS[[#This Row],[CANTIDAD RECIBIDA]]/PRODUCTOS[[#This Row],[CANT X MODULO]],"")</f>
        <v>118.09523809523809</v>
      </c>
      <c r="U127" s="3">
        <f>+SUMIFS(DETALLE_GD_1[VALOR TOTAL POR ITEM GD],DETALLE_GD_1[CODIGO],PRODUCTOS[[#This Row],[CODIGO]])</f>
        <v>268837</v>
      </c>
      <c r="V127" s="3">
        <f>+IFERROR(PRODUCTOS[[#This Row],[PRECIO DE COMPRA]]/PRODUCTOS[[#This Row],[CANT. COMPRADA]],"")</f>
        <v>4336.0806451612907</v>
      </c>
      <c r="W127" s="3">
        <f>+IFERROR(PRODUCTOS[[#This Row],[PRECIO COMPRA UNITARIO]]*PRODUCTOS[[#This Row],[PPTO FALTANTE]],"")</f>
        <v>1333778.4064516132</v>
      </c>
      <c r="X127" s="7">
        <f>+IFERROR(PRODUCTOS[[#This Row],[PROYECCION COMPRA]]/PRODUCTOS[[#This Row],[PPTO TOTAL]]-1,"")</f>
        <v>-0.17472378578332259</v>
      </c>
      <c r="Y127" s="3">
        <f>+IFERROR((PRODUCTOS[[#This Row],[CANT X MODULO]]*704)-PRODUCTOS[[#This Row],[CANT. COMPRADA]],"")</f>
        <v>307.60000000000002</v>
      </c>
      <c r="Z127" s="17">
        <f>+IFERROR(PRODUCTOS[[#This Row],[CANT. COMPRADA]]/PRODUCTOS[[#This Row],[PPTO FALTANTE]],"")</f>
        <v>0.20156046814044212</v>
      </c>
      <c r="AA127" s="3">
        <f>+IFERROR(PRODUCTOS[[#This Row],[PROYECCION COMPRA]]-(PRODUCTOS[[#This Row],[PPTO FALTANTE]]*PRODUCTOS[[#This Row],[PPTO]]),"")</f>
        <v>-11272.502723186975</v>
      </c>
      <c r="AB127" s="3">
        <f>+_xlfn.XLOOKUP(PRODUCTOS[[#This Row],[CODIGO]],DETALLE_GD_1[CODIGO],DETALLE_GD_1[VALOR PPTO],"",0)</f>
        <v>4372.7272999999996</v>
      </c>
      <c r="AC127" s="3">
        <f>+AB127-PRODUCTOS[[#This Row],[PPTO_ACTUALIZADO]]</f>
        <v>2.6999999136023689E-5</v>
      </c>
    </row>
    <row r="128" spans="1:29" x14ac:dyDescent="0.25">
      <c r="A128">
        <v>302249</v>
      </c>
      <c r="B128" t="s">
        <v>178</v>
      </c>
      <c r="C128">
        <v>0</v>
      </c>
      <c r="D128" t="s">
        <v>240</v>
      </c>
      <c r="E128" t="s">
        <v>403</v>
      </c>
      <c r="F128" s="2">
        <v>2226.3091479999998</v>
      </c>
      <c r="G128" s="6" t="s">
        <v>20</v>
      </c>
      <c r="H128" s="2">
        <v>2226.3091479999998</v>
      </c>
      <c r="I128" t="b">
        <v>1</v>
      </c>
      <c r="J128" t="str">
        <f>+_xlfn.XLOOKUP(PRODUCTOS[[#This Row],[CODIGO]],P_CRITICOS[CODIGO],P_CRITICOS[DESC CORTA],"",0)</f>
        <v/>
      </c>
      <c r="K128" t="str">
        <f>+IFERROR(IF(VLOOKUP(PRODUCTOS[[#This Row],[CODIGO]],P_CRITICOS[],3,0)="*","PRODUCTO CRITICO","NO CRITICO"),"NO CRITICO")</f>
        <v>NO CRITICO</v>
      </c>
      <c r="L128" s="15">
        <f>+_xlfn.XLOOKUP(PRODUCTOS[[#This Row],[CODIGO]],BD_MODULO[Artículo],BD_MODULO[CUB_ACTUALIZADA],"",0)</f>
        <v>6.3000000000000007</v>
      </c>
      <c r="M128" s="2">
        <f>+IFERROR(PRODUCTOS[[#This Row],[PPTO]]*PRODUCTOS[[#This Row],[CANT X MODULO]],"")</f>
        <v>14025.7476324</v>
      </c>
      <c r="N128" s="2">
        <f>+IFERROR(PRODUCTOS[[#This Row],[PPTO X MODULO]]*32,"")</f>
        <v>448823.9242368</v>
      </c>
      <c r="O128" s="2">
        <f>+IFERROR(PRODUCTOS[[#This Row],[PPTO X TORRE]]*22,"")</f>
        <v>9874126.3332096003</v>
      </c>
      <c r="P128" s="3">
        <f>+IFERROR(PRODUCTOS[[#This Row],[CANT X MODULO]]*702,"")</f>
        <v>4422.6000000000004</v>
      </c>
      <c r="Q128" s="3">
        <f>+SUMIFS(DETALLE_GD_1[CANTIDAD SOLICITADA],DETALLE_GD_1[CODIGO],PRODUCTOS[[#This Row],[CODIGO]])</f>
        <v>744</v>
      </c>
      <c r="R128" s="3">
        <f>+SUMIFS(DETALLE_GD_1[DEVOLUCIÓN],DETALLE_GD_1[CODIGO],PRODUCTOS[[#This Row],[CODIGO]])</f>
        <v>0</v>
      </c>
      <c r="S128" s="3">
        <f>+PRODUCTOS[[#This Row],[CANT. COMPRADA]]-PRODUCTOS[[#This Row],[DEVOLUCIONES]]</f>
        <v>744</v>
      </c>
      <c r="T128" s="3">
        <f>+IFERROR(PRODUCTOS[[#This Row],[CANTIDAD RECIBIDA]]/PRODUCTOS[[#This Row],[CANT X MODULO]],"")</f>
        <v>118.09523809523809</v>
      </c>
      <c r="U128" s="3">
        <f>+SUMIFS(DETALLE_GD_1[VALOR TOTAL POR ITEM GD],DETALLE_GD_1[CODIGO],PRODUCTOS[[#This Row],[CODIGO]])</f>
        <v>1681108</v>
      </c>
      <c r="V128" s="3">
        <f>+IFERROR(PRODUCTOS[[#This Row],[PRECIO DE COMPRA]]/PRODUCTOS[[#This Row],[CANT. COMPRADA]],"")</f>
        <v>2259.5537634408602</v>
      </c>
      <c r="W128" s="3">
        <f>+IFERROR(PRODUCTOS[[#This Row],[PRECIO COMPRA UNITARIO]]*PRODUCTOS[[#This Row],[PPTO FALTANTE]],"")</f>
        <v>8340464.851612905</v>
      </c>
      <c r="X128" s="7">
        <f>+IFERROR(PRODUCTOS[[#This Row],[PROYECCION COMPRA]]/PRODUCTOS[[#This Row],[PPTO TOTAL]]-1,"")</f>
        <v>-0.15532123347850424</v>
      </c>
      <c r="Y128" s="3">
        <f>+IFERROR((PRODUCTOS[[#This Row],[CANT X MODULO]]*704)-PRODUCTOS[[#This Row],[CANT. COMPRADA]],"")</f>
        <v>3691.2000000000007</v>
      </c>
      <c r="Z128" s="17">
        <f>+IFERROR(PRODUCTOS[[#This Row],[CANT. COMPRADA]]/PRODUCTOS[[#This Row],[PPTO FALTANTE]],"")</f>
        <v>0.2015604681404421</v>
      </c>
      <c r="AA128" s="3">
        <f>+IFERROR(PRODUCTOS[[#This Row],[PROYECCION COMPRA]]-(PRODUCTOS[[#This Row],[PPTO FALTANTE]]*PRODUCTOS[[#This Row],[PPTO]]),"")</f>
        <v>122712.52451530378</v>
      </c>
      <c r="AB128" s="3">
        <f>+_xlfn.XLOOKUP(PRODUCTOS[[#This Row],[CODIGO]],DETALLE_GD_1[CODIGO],DETALLE_GD_1[VALOR PPTO],"",0)</f>
        <v>2226.3090999999999</v>
      </c>
      <c r="AC128" s="3">
        <f>+AB128-PRODUCTOS[[#This Row],[PPTO_ACTUALIZADO]]</f>
        <v>-4.799999987881165E-5</v>
      </c>
    </row>
    <row r="129" spans="1:29" hidden="1" x14ac:dyDescent="0.25">
      <c r="A129">
        <v>1405006</v>
      </c>
      <c r="B129" t="s">
        <v>199</v>
      </c>
      <c r="C129">
        <v>0</v>
      </c>
      <c r="D129" t="s">
        <v>244</v>
      </c>
      <c r="E129" t="s">
        <v>409</v>
      </c>
      <c r="F129" s="2">
        <v>35.19746</v>
      </c>
      <c r="G129" s="6" t="s">
        <v>31</v>
      </c>
      <c r="H129" s="2">
        <v>35.197460000000007</v>
      </c>
      <c r="I129" t="b">
        <v>1</v>
      </c>
      <c r="J129" t="str">
        <f>+_xlfn.XLOOKUP(PRODUCTOS[[#This Row],[CODIGO]],P_CRITICOS[CODIGO],P_CRITICOS[DESC CORTA],"",0)</f>
        <v/>
      </c>
      <c r="K129" t="str">
        <f>+IFERROR(IF(VLOOKUP(PRODUCTOS[[#This Row],[CODIGO]],P_CRITICOS[],3,0)="*","PRODUCTO CRITICO","NO CRITICO"),"NO CRITICO")</f>
        <v>NO CRITICO</v>
      </c>
      <c r="L129" s="15">
        <f>+_xlfn.XLOOKUP(PRODUCTOS[[#This Row],[CODIGO]],BD_MODULO[Artículo],BD_MODULO[CUB_ACTUALIZADA],"",0)</f>
        <v>30.450000000000003</v>
      </c>
      <c r="M129" s="2">
        <f>+IFERROR(PRODUCTOS[[#This Row],[PPTO]]*PRODUCTOS[[#This Row],[CANT X MODULO]],"")</f>
        <v>1071.762657</v>
      </c>
      <c r="N129" s="2">
        <f>+IFERROR(PRODUCTOS[[#This Row],[PPTO X MODULO]]*32,"")</f>
        <v>34296.405024</v>
      </c>
      <c r="O129" s="2">
        <f>+IFERROR(PRODUCTOS[[#This Row],[PPTO X TORRE]]*22,"")</f>
        <v>754520.91052799998</v>
      </c>
      <c r="P129" s="3">
        <f>+IFERROR(PRODUCTOS[[#This Row],[CANT X MODULO]]*702,"")</f>
        <v>21375.9</v>
      </c>
      <c r="Q129" s="3">
        <f>+SUMIFS(DETALLE_GD_1[CANTIDAD SOLICITADA],DETALLE_GD_1[CODIGO],PRODUCTOS[[#This Row],[CODIGO]])</f>
        <v>3550</v>
      </c>
      <c r="R129" s="3">
        <f>+SUMIFS(DETALLE_GD_1[DEVOLUCIÓN],DETALLE_GD_1[CODIGO],PRODUCTOS[[#This Row],[CODIGO]])</f>
        <v>0</v>
      </c>
      <c r="S129" s="3">
        <f>+PRODUCTOS[[#This Row],[CANT. COMPRADA]]-PRODUCTOS[[#This Row],[DEVOLUCIONES]]</f>
        <v>3550</v>
      </c>
      <c r="T129" s="3">
        <f>+IFERROR(PRODUCTOS[[#This Row],[CANTIDAD RECIBIDA]]/PRODUCTOS[[#This Row],[CANT X MODULO]],"")</f>
        <v>116.58456486042692</v>
      </c>
      <c r="U129" s="3">
        <f>+SUMIFS(DETALLE_GD_1[VALOR TOTAL POR ITEM GD],DETALLE_GD_1[CODIGO],PRODUCTOS[[#This Row],[CODIGO]])</f>
        <v>125167</v>
      </c>
      <c r="V129" s="3">
        <f>+IFERROR(PRODUCTOS[[#This Row],[PRECIO DE COMPRA]]/PRODUCTOS[[#This Row],[CANT. COMPRADA]],"")</f>
        <v>35.258309859154927</v>
      </c>
      <c r="W129" s="3">
        <f>+IFERROR(PRODUCTOS[[#This Row],[PRECIO COMPRA UNITARIO]]*PRODUCTOS[[#This Row],[PPTO FALTANTE]],"")</f>
        <v>630658.33678873244</v>
      </c>
      <c r="X129" s="7">
        <f>+IFERROR(PRODUCTOS[[#This Row],[PROYECCION COMPRA]]/PRODUCTOS[[#This Row],[PPTO TOTAL]]-1,"")</f>
        <v>-0.16416055805874319</v>
      </c>
      <c r="Y129" s="3">
        <f>+IFERROR((PRODUCTOS[[#This Row],[CANT X MODULO]]*704)-PRODUCTOS[[#This Row],[CANT. COMPRADA]],"")</f>
        <v>17886.800000000003</v>
      </c>
      <c r="Z129" s="17">
        <f>+IFERROR(PRODUCTOS[[#This Row],[CANT. COMPRADA]]/PRODUCTOS[[#This Row],[PPTO FALTANTE]],"")</f>
        <v>0.19847038039224452</v>
      </c>
      <c r="AA129" s="3">
        <f>+IFERROR(PRODUCTOS[[#This Row],[PROYECCION COMPRA]]-(PRODUCTOS[[#This Row],[PPTO FALTANTE]]*PRODUCTOS[[#This Row],[PPTO]]),"")</f>
        <v>1088.4092607323546</v>
      </c>
      <c r="AB129" s="3">
        <f>+_xlfn.XLOOKUP(PRODUCTOS[[#This Row],[CODIGO]],DETALLE_GD_1[CODIGO],DETALLE_GD_1[VALOR PPTO],"",0)</f>
        <v>35.197499999999998</v>
      </c>
      <c r="AC129" s="3">
        <f>+AB129-PRODUCTOS[[#This Row],[PPTO_ACTUALIZADO]]</f>
        <v>3.9999999991380264E-5</v>
      </c>
    </row>
    <row r="130" spans="1:29" hidden="1" x14ac:dyDescent="0.25">
      <c r="A130">
        <v>5316483</v>
      </c>
      <c r="B130" t="s">
        <v>97</v>
      </c>
      <c r="C130" t="s">
        <v>603</v>
      </c>
      <c r="D130" t="s">
        <v>258</v>
      </c>
      <c r="E130" t="s">
        <v>405</v>
      </c>
      <c r="F130" s="2">
        <v>3237.6071430000002</v>
      </c>
      <c r="G130" s="6" t="s">
        <v>31</v>
      </c>
      <c r="H130" s="2">
        <v>3237.6071430000002</v>
      </c>
      <c r="I130" t="b">
        <v>1</v>
      </c>
      <c r="J130" t="str">
        <f>+_xlfn.XLOOKUP(PRODUCTOS[[#This Row],[CODIGO]],P_CRITICOS[CODIGO],P_CRITICOS[DESC CORTA],"",0)</f>
        <v/>
      </c>
      <c r="K130" t="str">
        <f>+IFERROR(IF(VLOOKUP(PRODUCTOS[[#This Row],[CODIGO]],P_CRITICOS[],3,0)="*","PRODUCTO CRITICO","NO CRITICO"),"NO CRITICO")</f>
        <v>NO CRITICO</v>
      </c>
      <c r="L130" s="15">
        <f>+_xlfn.XLOOKUP(PRODUCTOS[[#This Row],[CODIGO]],BD_MODULO[Artículo],BD_MODULO[CUB_ACTUALIZADA],"",0)</f>
        <v>0.52500000000000002</v>
      </c>
      <c r="M130" s="2">
        <f>+IFERROR(PRODUCTOS[[#This Row],[PPTO]]*PRODUCTOS[[#This Row],[CANT X MODULO]],"")</f>
        <v>1699.7437500750002</v>
      </c>
      <c r="N130" s="2">
        <f>+IFERROR(PRODUCTOS[[#This Row],[PPTO X MODULO]]*32,"")</f>
        <v>54391.800002400007</v>
      </c>
      <c r="O130" s="2">
        <f>+IFERROR(PRODUCTOS[[#This Row],[PPTO X TORRE]]*22,"")</f>
        <v>1196619.6000528</v>
      </c>
      <c r="P130" s="3">
        <f>+IFERROR(PRODUCTOS[[#This Row],[CANT X MODULO]]*702,"")</f>
        <v>368.55</v>
      </c>
      <c r="Q130" s="3">
        <f>+SUMIFS(DETALLE_GD_1[CANTIDAD SOLICITADA],DETALLE_GD_1[CODIGO],PRODUCTOS[[#This Row],[CODIGO]])</f>
        <v>61</v>
      </c>
      <c r="R130" s="3">
        <f>+SUMIFS(DETALLE_GD_1[DEVOLUCIÓN],DETALLE_GD_1[CODIGO],PRODUCTOS[[#This Row],[CODIGO]])</f>
        <v>0</v>
      </c>
      <c r="S130" s="3">
        <f>+PRODUCTOS[[#This Row],[CANT. COMPRADA]]-PRODUCTOS[[#This Row],[DEVOLUCIONES]]</f>
        <v>61</v>
      </c>
      <c r="T130" s="3">
        <f>+IFERROR(PRODUCTOS[[#This Row],[CANTIDAD RECIBIDA]]/PRODUCTOS[[#This Row],[CANT X MODULO]],"")</f>
        <v>116.19047619047619</v>
      </c>
      <c r="U130" s="3">
        <f>+SUMIFS(DETALLE_GD_1[VALOR TOTAL POR ITEM GD],DETALLE_GD_1[CODIGO],PRODUCTOS[[#This Row],[CODIGO]])</f>
        <v>186197</v>
      </c>
      <c r="V130" s="3">
        <f>+IFERROR(PRODUCTOS[[#This Row],[PRECIO DE COMPRA]]/PRODUCTOS[[#This Row],[CANT. COMPRADA]],"")</f>
        <v>3052.4098360655739</v>
      </c>
      <c r="W130" s="3">
        <f>+IFERROR(PRODUCTOS[[#This Row],[PRECIO COMPRA UNITARIO]]*PRODUCTOS[[#This Row],[PPTO FALTANTE]],"")</f>
        <v>941973.67540983623</v>
      </c>
      <c r="X130" s="7">
        <f>+IFERROR(PRODUCTOS[[#This Row],[PROYECCION COMPRA]]/PRODUCTOS[[#This Row],[PPTO TOTAL]]-1,"")</f>
        <v>-0.21280440720821192</v>
      </c>
      <c r="Y130" s="3">
        <f>+IFERROR((PRODUCTOS[[#This Row],[CANT X MODULO]]*704)-PRODUCTOS[[#This Row],[CANT. COMPRADA]],"")</f>
        <v>308.60000000000002</v>
      </c>
      <c r="Z130" s="17">
        <f>+IFERROR(PRODUCTOS[[#This Row],[CANT. COMPRADA]]/PRODUCTOS[[#This Row],[PPTO FALTANTE]],"")</f>
        <v>0.19766688269604665</v>
      </c>
      <c r="AA130" s="3">
        <f>+IFERROR(PRODUCTOS[[#This Row],[PROYECCION COMPRA]]-(PRODUCTOS[[#This Row],[PPTO FALTANTE]]*PRODUCTOS[[#This Row],[PPTO]]),"")</f>
        <v>-57151.888919963851</v>
      </c>
      <c r="AB130" s="3">
        <f>+_xlfn.XLOOKUP(PRODUCTOS[[#This Row],[CODIGO]],DETALLE_GD_1[CODIGO],DETALLE_GD_1[VALOR PPTO],"",0)</f>
        <v>3237.6071000000002</v>
      </c>
      <c r="AC130" s="3">
        <f>+AB130-PRODUCTOS[[#This Row],[PPTO_ACTUALIZADO]]</f>
        <v>-4.3000000005122274E-5</v>
      </c>
    </row>
    <row r="131" spans="1:29" hidden="1" x14ac:dyDescent="0.25">
      <c r="A131">
        <v>407427</v>
      </c>
      <c r="B131" t="s">
        <v>172</v>
      </c>
      <c r="C131">
        <v>0</v>
      </c>
      <c r="D131" t="s">
        <v>240</v>
      </c>
      <c r="E131" t="s">
        <v>399</v>
      </c>
      <c r="F131" s="2">
        <v>22557.545454999999</v>
      </c>
      <c r="G131" s="6" t="s">
        <v>36</v>
      </c>
      <c r="H131" s="2">
        <v>22557.545454999999</v>
      </c>
      <c r="I131" t="b">
        <v>1</v>
      </c>
      <c r="J131" t="str">
        <f>+_xlfn.XLOOKUP(PRODUCTOS[[#This Row],[CODIGO]],P_CRITICOS[CODIGO],P_CRITICOS[DESC CORTA],"",0)</f>
        <v/>
      </c>
      <c r="K131" t="str">
        <f>+IFERROR(IF(VLOOKUP(PRODUCTOS[[#This Row],[CODIGO]],P_CRITICOS[],3,0)="*","PRODUCTO CRITICO","NO CRITICO"),"NO CRITICO")</f>
        <v>NO CRITICO</v>
      </c>
      <c r="L131" s="15">
        <f>+_xlfn.XLOOKUP(PRODUCTOS[[#This Row],[CODIGO]],BD_MODULO[Artículo],BD_MODULO[CUB_ACTUALIZADA],"",0)</f>
        <v>0.105</v>
      </c>
      <c r="M131" s="2">
        <f>+IFERROR(PRODUCTOS[[#This Row],[PPTO]]*PRODUCTOS[[#This Row],[CANT X MODULO]],"")</f>
        <v>2368.5422727749997</v>
      </c>
      <c r="N131" s="2">
        <f>+IFERROR(PRODUCTOS[[#This Row],[PPTO X MODULO]]*32,"")</f>
        <v>75793.35272879999</v>
      </c>
      <c r="O131" s="2">
        <f>+IFERROR(PRODUCTOS[[#This Row],[PPTO X TORRE]]*22,"")</f>
        <v>1667453.7600335998</v>
      </c>
      <c r="P131" s="3">
        <f>+IFERROR(PRODUCTOS[[#This Row],[CANT X MODULO]]*702,"")</f>
        <v>73.709999999999994</v>
      </c>
      <c r="Q131" s="3">
        <f>+SUMIFS(DETALLE_GD_1[CANTIDAD SOLICITADA],DETALLE_GD_1[CODIGO],PRODUCTOS[[#This Row],[CODIGO]])</f>
        <v>12</v>
      </c>
      <c r="R131" s="3">
        <f>+SUMIFS(DETALLE_GD_1[DEVOLUCIÓN],DETALLE_GD_1[CODIGO],PRODUCTOS[[#This Row],[CODIGO]])</f>
        <v>0</v>
      </c>
      <c r="S131" s="3">
        <f>+PRODUCTOS[[#This Row],[CANT. COMPRADA]]-PRODUCTOS[[#This Row],[DEVOLUCIONES]]</f>
        <v>12</v>
      </c>
      <c r="T131" s="3">
        <f>+IFERROR(PRODUCTOS[[#This Row],[CANTIDAD RECIBIDA]]/PRODUCTOS[[#This Row],[CANT X MODULO]],"")</f>
        <v>114.28571428571429</v>
      </c>
      <c r="U131" s="3">
        <f>+SUMIFS(DETALLE_GD_1[VALOR TOTAL POR ITEM GD],DETALLE_GD_1[CODIGO],PRODUCTOS[[#This Row],[CODIGO]])</f>
        <v>270692</v>
      </c>
      <c r="V131" s="3">
        <f>+IFERROR(PRODUCTOS[[#This Row],[PRECIO DE COMPRA]]/PRODUCTOS[[#This Row],[CANT. COMPRADA]],"")</f>
        <v>22557.666666666668</v>
      </c>
      <c r="W131" s="3">
        <f>+IFERROR(PRODUCTOS[[#This Row],[PRECIO COMPRA UNITARIO]]*PRODUCTOS[[#This Row],[PPTO FALTANTE]],"")</f>
        <v>1396770.7200000002</v>
      </c>
      <c r="X131" s="7">
        <f>+IFERROR(PRODUCTOS[[#This Row],[PROYECCION COMPRA]]/PRODUCTOS[[#This Row],[PPTO TOTAL]]-1,"")</f>
        <v>-0.16233316120750796</v>
      </c>
      <c r="Y131" s="3">
        <f>+IFERROR((PRODUCTOS[[#This Row],[CANT X MODULO]]*704)-PRODUCTOS[[#This Row],[CANT. COMPRADA]],"")</f>
        <v>61.92</v>
      </c>
      <c r="Z131" s="17">
        <f>+IFERROR(PRODUCTOS[[#This Row],[CANT. COMPRADA]]/PRODUCTOS[[#This Row],[PPTO FALTANTE]],"")</f>
        <v>0.19379844961240308</v>
      </c>
      <c r="AA131" s="3">
        <f>+IFERROR(PRODUCTOS[[#This Row],[PROYECCION COMPRA]]-(PRODUCTOS[[#This Row],[PPTO FALTANTE]]*PRODUCTOS[[#This Row],[PPTO]]),"")</f>
        <v>7.5054264001082629</v>
      </c>
      <c r="AB131" s="3">
        <f>+_xlfn.XLOOKUP(PRODUCTOS[[#This Row],[CODIGO]],DETALLE_GD_1[CODIGO],DETALLE_GD_1[VALOR PPTO],"",0)</f>
        <v>22557.5455</v>
      </c>
      <c r="AC131" s="3">
        <f>+AB131-PRODUCTOS[[#This Row],[PPTO_ACTUALIZADO]]</f>
        <v>4.5000000682193786E-5</v>
      </c>
    </row>
    <row r="132" spans="1:29" hidden="1" x14ac:dyDescent="0.25">
      <c r="A132">
        <v>704022</v>
      </c>
      <c r="B132" t="s">
        <v>330</v>
      </c>
      <c r="C132" t="s">
        <v>669</v>
      </c>
      <c r="D132" t="s">
        <v>240</v>
      </c>
      <c r="E132" t="s">
        <v>402</v>
      </c>
      <c r="F132" s="2">
        <v>306</v>
      </c>
      <c r="G132" s="6" t="s">
        <v>31</v>
      </c>
      <c r="H132" s="2">
        <v>306.00000000000006</v>
      </c>
      <c r="I132" t="b">
        <v>1</v>
      </c>
      <c r="J132" t="str">
        <f>+_xlfn.XLOOKUP(PRODUCTOS[[#This Row],[CODIGO]],P_CRITICOS[CODIGO],P_CRITICOS[DESC CORTA],"",0)</f>
        <v/>
      </c>
      <c r="K132" t="str">
        <f>+IFERROR(IF(VLOOKUP(PRODUCTOS[[#This Row],[CODIGO]],P_CRITICOS[],3,0)="*","PRODUCTO CRITICO","NO CRITICO"),"NO CRITICO")</f>
        <v>NO CRITICO</v>
      </c>
      <c r="L132" s="15">
        <f>+_xlfn.XLOOKUP(PRODUCTOS[[#This Row],[CODIGO]],BD_MODULO[Artículo],BD_MODULO[CUB_ACTUALIZADA],"",0)</f>
        <v>14.175000000000001</v>
      </c>
      <c r="M132" s="2">
        <f>+IFERROR(PRODUCTOS[[#This Row],[PPTO]]*PRODUCTOS[[#This Row],[CANT X MODULO]],"")</f>
        <v>4337.55</v>
      </c>
      <c r="N132" s="2">
        <f>+IFERROR(PRODUCTOS[[#This Row],[PPTO X MODULO]]*32,"")</f>
        <v>138801.60000000001</v>
      </c>
      <c r="O132" s="2">
        <f>+IFERROR(PRODUCTOS[[#This Row],[PPTO X TORRE]]*22,"")</f>
        <v>3053635.2</v>
      </c>
      <c r="P132" s="3">
        <f>+IFERROR(PRODUCTOS[[#This Row],[CANT X MODULO]]*702,"")</f>
        <v>9950.85</v>
      </c>
      <c r="Q132" s="3">
        <f>+SUMIFS(DETALLE_GD_1[CANTIDAD SOLICITADA],DETALLE_GD_1[CODIGO],PRODUCTOS[[#This Row],[CODIGO]])</f>
        <v>1610</v>
      </c>
      <c r="R132" s="3">
        <f>+SUMIFS(DETALLE_GD_1[DEVOLUCIÓN],DETALLE_GD_1[CODIGO],PRODUCTOS[[#This Row],[CODIGO]])</f>
        <v>0</v>
      </c>
      <c r="S132" s="3">
        <f>+PRODUCTOS[[#This Row],[CANT. COMPRADA]]-PRODUCTOS[[#This Row],[DEVOLUCIONES]]</f>
        <v>1610</v>
      </c>
      <c r="T132" s="3">
        <f>+IFERROR(PRODUCTOS[[#This Row],[CANTIDAD RECIBIDA]]/PRODUCTOS[[#This Row],[CANT X MODULO]],"")</f>
        <v>113.58024691358024</v>
      </c>
      <c r="U132" s="3">
        <f>+SUMIFS(DETALLE_GD_1[VALOR TOTAL POR ITEM GD],DETALLE_GD_1[CODIGO],PRODUCTOS[[#This Row],[CODIGO]])</f>
        <v>416003</v>
      </c>
      <c r="V132" s="3">
        <f>+IFERROR(PRODUCTOS[[#This Row],[PRECIO DE COMPRA]]/PRODUCTOS[[#This Row],[CANT. COMPRADA]],"")</f>
        <v>258.38695652173914</v>
      </c>
      <c r="W132" s="3">
        <f>+IFERROR(PRODUCTOS[[#This Row],[PRECIO COMPRA UNITARIO]]*PRODUCTOS[[#This Row],[PPTO FALTANTE]],"")</f>
        <v>2162492.1165217394</v>
      </c>
      <c r="X132" s="7">
        <f>+IFERROR(PRODUCTOS[[#This Row],[PROYECCION COMPRA]]/PRODUCTOS[[#This Row],[PPTO TOTAL]]-1,"")</f>
        <v>-0.29183023678737419</v>
      </c>
      <c r="Y132" s="3">
        <f>+IFERROR((PRODUCTOS[[#This Row],[CANT X MODULO]]*704)-PRODUCTOS[[#This Row],[CANT. COMPRADA]],"")</f>
        <v>8369.2000000000007</v>
      </c>
      <c r="Z132" s="17">
        <f>+IFERROR(PRODUCTOS[[#This Row],[CANT. COMPRADA]]/PRODUCTOS[[#This Row],[PPTO FALTANTE]],"")</f>
        <v>0.19237203077952492</v>
      </c>
      <c r="AA132" s="3">
        <f>+IFERROR(PRODUCTOS[[#This Row],[PROYECCION COMPRA]]-(PRODUCTOS[[#This Row],[PPTO FALTANTE]]*PRODUCTOS[[#This Row],[PPTO]]),"")</f>
        <v>-398483.08347826079</v>
      </c>
      <c r="AB132" s="3">
        <f>+_xlfn.XLOOKUP(PRODUCTOS[[#This Row],[CODIGO]],DETALLE_GD_1[CODIGO],DETALLE_GD_1[VALOR PPTO],"",0)</f>
        <v>306</v>
      </c>
      <c r="AC132" s="3">
        <f>+AB132-PRODUCTOS[[#This Row],[PPTO_ACTUALIZADO]]</f>
        <v>0</v>
      </c>
    </row>
    <row r="133" spans="1:29" hidden="1" x14ac:dyDescent="0.25">
      <c r="A133">
        <v>705028</v>
      </c>
      <c r="B133" t="s">
        <v>72</v>
      </c>
      <c r="C133" t="s">
        <v>590</v>
      </c>
      <c r="D133" t="s">
        <v>240</v>
      </c>
      <c r="E133" t="s">
        <v>402</v>
      </c>
      <c r="F133" s="2">
        <v>22927.086207</v>
      </c>
      <c r="G133" s="6" t="s">
        <v>18</v>
      </c>
      <c r="H133" s="2">
        <v>22927.086207</v>
      </c>
      <c r="I133" t="b">
        <v>1</v>
      </c>
      <c r="J133" t="str">
        <f>+_xlfn.XLOOKUP(PRODUCTOS[[#This Row],[CODIGO]],P_CRITICOS[CODIGO],P_CRITICOS[DESC CORTA],"",0)</f>
        <v>SIMPLISIMA</v>
      </c>
      <c r="K133" t="str">
        <f>+IFERROR(IF(VLOOKUP(PRODUCTOS[[#This Row],[CODIGO]],P_CRITICOS[],3,0)="*","PRODUCTO CRITICO","NO CRITICO"),"NO CRITICO")</f>
        <v>PRODUCTO CRITICO</v>
      </c>
      <c r="L133" s="15">
        <f>+_xlfn.XLOOKUP(PRODUCTOS[[#This Row],[CODIGO]],BD_MODULO[Artículo],BD_MODULO[CUB_ACTUALIZADA],"",0)</f>
        <v>3.6749999999999998</v>
      </c>
      <c r="M133" s="2">
        <f>+IFERROR(PRODUCTOS[[#This Row],[PPTO]]*PRODUCTOS[[#This Row],[CANT X MODULO]],"")</f>
        <v>84257.041810725001</v>
      </c>
      <c r="N133" s="2">
        <f>+IFERROR(PRODUCTOS[[#This Row],[PPTO X MODULO]]*32,"")</f>
        <v>2696225.3379432</v>
      </c>
      <c r="O133" s="2">
        <f>+IFERROR(PRODUCTOS[[#This Row],[PPTO X TORRE]]*22,"")</f>
        <v>59316957.4347504</v>
      </c>
      <c r="P133" s="3">
        <f>+IFERROR(PRODUCTOS[[#This Row],[CANT X MODULO]]*702,"")</f>
        <v>2579.85</v>
      </c>
      <c r="Q133" s="3">
        <f>+SUMIFS(DETALLE_GD_1[CANTIDAD SOLICITADA],DETALLE_GD_1[CODIGO],PRODUCTOS[[#This Row],[CODIGO]])</f>
        <v>409</v>
      </c>
      <c r="R133" s="3">
        <f>+SUMIFS(DETALLE_GD_1[DEVOLUCIÓN],DETALLE_GD_1[CODIGO],PRODUCTOS[[#This Row],[CODIGO]])</f>
        <v>0</v>
      </c>
      <c r="S133" s="3">
        <f>+PRODUCTOS[[#This Row],[CANT. COMPRADA]]-PRODUCTOS[[#This Row],[DEVOLUCIONES]]</f>
        <v>409</v>
      </c>
      <c r="T133" s="3">
        <f>+IFERROR(PRODUCTOS[[#This Row],[CANTIDAD RECIBIDA]]/PRODUCTOS[[#This Row],[CANT X MODULO]],"")</f>
        <v>111.29251700680273</v>
      </c>
      <c r="U133" s="3">
        <f>+SUMIFS(DETALLE_GD_1[VALOR TOTAL POR ITEM GD],DETALLE_GD_1[CODIGO],PRODUCTOS[[#This Row],[CODIGO]])</f>
        <v>9320133</v>
      </c>
      <c r="V133" s="3">
        <f>+IFERROR(PRODUCTOS[[#This Row],[PRECIO DE COMPRA]]/PRODUCTOS[[#This Row],[CANT. COMPRADA]],"")</f>
        <v>22787.611246943765</v>
      </c>
      <c r="W133" s="3">
        <f>+IFERROR(PRODUCTOS[[#This Row],[PRECIO COMPRA UNITARIO]]*PRODUCTOS[[#This Row],[PPTO FALTANTE]],"")</f>
        <v>49635974.818092905</v>
      </c>
      <c r="X133" s="7">
        <f>+IFERROR(PRODUCTOS[[#This Row],[PROYECCION COMPRA]]/PRODUCTOS[[#This Row],[PPTO TOTAL]]-1,"")</f>
        <v>-0.16320767340952591</v>
      </c>
      <c r="Y133" s="3">
        <f>+IFERROR((PRODUCTOS[[#This Row],[CANT X MODULO]]*704)-PRODUCTOS[[#This Row],[CANT. COMPRADA]],"")</f>
        <v>2178.1999999999998</v>
      </c>
      <c r="Z133" s="17">
        <f>+IFERROR(PRODUCTOS[[#This Row],[CANT. COMPRADA]]/PRODUCTOS[[#This Row],[PPTO FALTANTE]],"")</f>
        <v>0.18776971811587551</v>
      </c>
      <c r="AA133" s="3">
        <f>+IFERROR(PRODUCTOS[[#This Row],[PROYECCION COMPRA]]-(PRODUCTOS[[#This Row],[PPTO FALTANTE]]*PRODUCTOS[[#This Row],[PPTO]]),"")</f>
        <v>-303804.35799448937</v>
      </c>
      <c r="AB133" s="3">
        <f>+_xlfn.XLOOKUP(PRODUCTOS[[#This Row],[CODIGO]],DETALLE_GD_1[CODIGO],DETALLE_GD_1[VALOR PPTO],"",0)</f>
        <v>22927.086200000002</v>
      </c>
      <c r="AC133" s="3">
        <f>+AB133-PRODUCTOS[[#This Row],[PPTO_ACTUALIZADO]]</f>
        <v>-6.999998731771484E-6</v>
      </c>
    </row>
    <row r="134" spans="1:29" hidden="1" x14ac:dyDescent="0.25">
      <c r="A134">
        <v>408088</v>
      </c>
      <c r="B134" t="s">
        <v>109</v>
      </c>
      <c r="C134" t="s">
        <v>614</v>
      </c>
      <c r="D134" t="s">
        <v>240</v>
      </c>
      <c r="E134" t="s">
        <v>399</v>
      </c>
      <c r="F134" s="2">
        <v>17500.092714999999</v>
      </c>
      <c r="G134" s="6" t="s">
        <v>36</v>
      </c>
      <c r="H134" s="2">
        <v>17500.092714999999</v>
      </c>
      <c r="I134" t="b">
        <v>1</v>
      </c>
      <c r="J134" t="str">
        <f>+_xlfn.XLOOKUP(PRODUCTOS[[#This Row],[CODIGO]],P_CRITICOS[CODIGO],P_CRITICOS[DESC CORTA],"",0)</f>
        <v/>
      </c>
      <c r="K134" t="str">
        <f>+IFERROR(IF(VLOOKUP(PRODUCTOS[[#This Row],[CODIGO]],P_CRITICOS[],3,0)="*","PRODUCTO CRITICO","NO CRITICO"),"NO CRITICO")</f>
        <v>NO CRITICO</v>
      </c>
      <c r="L134" s="15">
        <f>+_xlfn.XLOOKUP(PRODUCTOS[[#This Row],[CODIGO]],BD_MODULO[Artículo],BD_MODULO[CUB_ACTUALIZADA],"",0)</f>
        <v>0.126</v>
      </c>
      <c r="M134" s="2">
        <f>+IFERROR(PRODUCTOS[[#This Row],[PPTO]]*PRODUCTOS[[#This Row],[CANT X MODULO]],"")</f>
        <v>2205.0116820899998</v>
      </c>
      <c r="N134" s="2">
        <f>+IFERROR(PRODUCTOS[[#This Row],[PPTO X MODULO]]*32,"")</f>
        <v>70560.373826879993</v>
      </c>
      <c r="O134" s="2">
        <f>+IFERROR(PRODUCTOS[[#This Row],[PPTO X TORRE]]*22,"")</f>
        <v>1552328.2241913599</v>
      </c>
      <c r="P134" s="3">
        <f>+IFERROR(PRODUCTOS[[#This Row],[CANT X MODULO]]*702,"")</f>
        <v>88.451999999999998</v>
      </c>
      <c r="Q134" s="3">
        <f>+SUMIFS(DETALLE_GD_1[CANTIDAD SOLICITADA],DETALLE_GD_1[CODIGO],PRODUCTOS[[#This Row],[CODIGO]])</f>
        <v>14</v>
      </c>
      <c r="R134" s="3">
        <f>+SUMIFS(DETALLE_GD_1[DEVOLUCIÓN],DETALLE_GD_1[CODIGO],PRODUCTOS[[#This Row],[CODIGO]])</f>
        <v>0</v>
      </c>
      <c r="S134" s="3">
        <f>+PRODUCTOS[[#This Row],[CANT. COMPRADA]]-PRODUCTOS[[#This Row],[DEVOLUCIONES]]</f>
        <v>14</v>
      </c>
      <c r="T134" s="3">
        <f>+IFERROR(PRODUCTOS[[#This Row],[CANTIDAD RECIBIDA]]/PRODUCTOS[[#This Row],[CANT X MODULO]],"")</f>
        <v>111.11111111111111</v>
      </c>
      <c r="U134" s="3">
        <f>+SUMIFS(DETALLE_GD_1[VALOR TOTAL POR ITEM GD],DETALLE_GD_1[CODIGO],PRODUCTOS[[#This Row],[CODIGO]])</f>
        <v>245000</v>
      </c>
      <c r="V134" s="3">
        <f>+IFERROR(PRODUCTOS[[#This Row],[PRECIO DE COMPRA]]/PRODUCTOS[[#This Row],[CANT. COMPRADA]],"")</f>
        <v>17500</v>
      </c>
      <c r="W134" s="3">
        <f>+IFERROR(PRODUCTOS[[#This Row],[PRECIO COMPRA UNITARIO]]*PRODUCTOS[[#This Row],[PPTO FALTANTE]],"")</f>
        <v>1307320.0000000002</v>
      </c>
      <c r="X134" s="7">
        <f>+IFERROR(PRODUCTOS[[#This Row],[PROYECCION COMPRA]]/PRODUCTOS[[#This Row],[PPTO TOTAL]]-1,"")</f>
        <v>-0.15783274463040164</v>
      </c>
      <c r="Y134" s="3">
        <f>+IFERROR((PRODUCTOS[[#This Row],[CANT X MODULO]]*704)-PRODUCTOS[[#This Row],[CANT. COMPRADA]],"")</f>
        <v>74.704000000000008</v>
      </c>
      <c r="Z134" s="17">
        <f>+IFERROR(PRODUCTOS[[#This Row],[CANT. COMPRADA]]/PRODUCTOS[[#This Row],[PPTO FALTANTE]],"")</f>
        <v>0.1874062968515742</v>
      </c>
      <c r="AA134" s="3">
        <f>+IFERROR(PRODUCTOS[[#This Row],[PROYECCION COMPRA]]-(PRODUCTOS[[#This Row],[PPTO FALTANTE]]*PRODUCTOS[[#This Row],[PPTO]]),"")</f>
        <v>-6.9261813599150628</v>
      </c>
      <c r="AB134" s="3">
        <f>+_xlfn.XLOOKUP(PRODUCTOS[[#This Row],[CODIGO]],DETALLE_GD_1[CODIGO],DETALLE_GD_1[VALOR PPTO],"",0)</f>
        <v>17500.092700000001</v>
      </c>
      <c r="AC134" s="3">
        <f>+AB134-PRODUCTOS[[#This Row],[PPTO_ACTUALIZADO]]</f>
        <v>-1.4999997802078724E-5</v>
      </c>
    </row>
    <row r="135" spans="1:29" hidden="1" x14ac:dyDescent="0.25">
      <c r="A135">
        <v>412302</v>
      </c>
      <c r="B135" t="s">
        <v>165</v>
      </c>
      <c r="C135">
        <v>0</v>
      </c>
      <c r="D135" t="s">
        <v>240</v>
      </c>
      <c r="E135" t="s">
        <v>399</v>
      </c>
      <c r="F135" s="2">
        <v>4742.4586669999999</v>
      </c>
      <c r="G135" s="6" t="s">
        <v>31</v>
      </c>
      <c r="H135" s="2">
        <v>4742.4586669999999</v>
      </c>
      <c r="I135" t="b">
        <v>1</v>
      </c>
      <c r="J135" t="str">
        <f>+_xlfn.XLOOKUP(PRODUCTOS[[#This Row],[CODIGO]],P_CRITICOS[CODIGO],P_CRITICOS[DESC CORTA],"",0)</f>
        <v/>
      </c>
      <c r="K135" t="str">
        <f>+IFERROR(IF(VLOOKUP(PRODUCTOS[[#This Row],[CODIGO]],P_CRITICOS[],3,0)="*","PRODUCTO CRITICO","NO CRITICO"),"NO CRITICO")</f>
        <v>NO CRITICO</v>
      </c>
      <c r="L135" s="15">
        <f>+_xlfn.XLOOKUP(PRODUCTOS[[#This Row],[CODIGO]],BD_MODULO[Artículo],BD_MODULO[CUB_ACTUALIZADA],"",0)</f>
        <v>1.05</v>
      </c>
      <c r="M135" s="2">
        <f>+IFERROR(PRODUCTOS[[#This Row],[PPTO]]*PRODUCTOS[[#This Row],[CANT X MODULO]],"")</f>
        <v>4979.5816003500004</v>
      </c>
      <c r="N135" s="2">
        <f>+IFERROR(PRODUCTOS[[#This Row],[PPTO X MODULO]]*32,"")</f>
        <v>159346.61121120001</v>
      </c>
      <c r="O135" s="2">
        <f>+IFERROR(PRODUCTOS[[#This Row],[PPTO X TORRE]]*22,"")</f>
        <v>3505625.4466464003</v>
      </c>
      <c r="P135" s="3">
        <f>+IFERROR(PRODUCTOS[[#This Row],[CANT X MODULO]]*702,"")</f>
        <v>737.1</v>
      </c>
      <c r="Q135" s="3">
        <f>+SUMIFS(DETALLE_GD_1[CANTIDAD SOLICITADA],DETALLE_GD_1[CODIGO],PRODUCTOS[[#This Row],[CODIGO]])</f>
        <v>115</v>
      </c>
      <c r="R135" s="3">
        <f>+SUMIFS(DETALLE_GD_1[DEVOLUCIÓN],DETALLE_GD_1[CODIGO],PRODUCTOS[[#This Row],[CODIGO]])</f>
        <v>0</v>
      </c>
      <c r="S135" s="3">
        <f>+PRODUCTOS[[#This Row],[CANT. COMPRADA]]-PRODUCTOS[[#This Row],[DEVOLUCIONES]]</f>
        <v>115</v>
      </c>
      <c r="T135" s="3">
        <f>+IFERROR(PRODUCTOS[[#This Row],[CANTIDAD RECIBIDA]]/PRODUCTOS[[#This Row],[CANT X MODULO]],"")</f>
        <v>109.52380952380952</v>
      </c>
      <c r="U135" s="3">
        <f>+SUMIFS(DETALLE_GD_1[VALOR TOTAL POR ITEM GD],DETALLE_GD_1[CODIGO],PRODUCTOS[[#This Row],[CODIGO]])</f>
        <v>545384</v>
      </c>
      <c r="V135" s="3">
        <f>+IFERROR(PRODUCTOS[[#This Row],[PRECIO DE COMPRA]]/PRODUCTOS[[#This Row],[CANT. COMPRADA]],"")</f>
        <v>4742.4695652173914</v>
      </c>
      <c r="W135" s="3">
        <f>+IFERROR(PRODUCTOS[[#This Row],[PRECIO COMPRA UNITARIO]]*PRODUCTOS[[#This Row],[PPTO FALTANTE]],"")</f>
        <v>2960249.502608696</v>
      </c>
      <c r="X135" s="7">
        <f>+IFERROR(PRODUCTOS[[#This Row],[PROYECCION COMPRA]]/PRODUCTOS[[#This Row],[PPTO TOTAL]]-1,"")</f>
        <v>-0.15557165257327454</v>
      </c>
      <c r="Y135" s="3">
        <f>+IFERROR((PRODUCTOS[[#This Row],[CANT X MODULO]]*704)-PRODUCTOS[[#This Row],[CANT. COMPRADA]],"")</f>
        <v>624.20000000000005</v>
      </c>
      <c r="Z135" s="17">
        <f>+IFERROR(PRODUCTOS[[#This Row],[CANT. COMPRADA]]/PRODUCTOS[[#This Row],[PPTO FALTANTE]],"")</f>
        <v>0.18423582185197052</v>
      </c>
      <c r="AA135" s="3">
        <f>+IFERROR(PRODUCTOS[[#This Row],[PROYECCION COMPRA]]-(PRODUCTOS[[#This Row],[PPTO FALTANTE]]*PRODUCTOS[[#This Row],[PPTO]]),"")</f>
        <v>6.802667296025902</v>
      </c>
      <c r="AB135" s="3">
        <f>+_xlfn.XLOOKUP(PRODUCTOS[[#This Row],[CODIGO]],DETALLE_GD_1[CODIGO],DETALLE_GD_1[VALOR PPTO],"",0)</f>
        <v>4742.4587000000001</v>
      </c>
      <c r="AC135" s="3">
        <f>+AB135-PRODUCTOS[[#This Row],[PPTO_ACTUALIZADO]]</f>
        <v>3.3000000257743523E-5</v>
      </c>
    </row>
    <row r="136" spans="1:29" hidden="1" x14ac:dyDescent="0.25">
      <c r="A136" t="s">
        <v>179</v>
      </c>
      <c r="B136" t="s">
        <v>180</v>
      </c>
      <c r="C136">
        <v>0</v>
      </c>
      <c r="D136" t="s">
        <v>240</v>
      </c>
      <c r="E136" t="s">
        <v>399</v>
      </c>
      <c r="F136" s="2">
        <v>55858.301887000001</v>
      </c>
      <c r="G136" s="6" t="s">
        <v>36</v>
      </c>
      <c r="H136" s="2">
        <v>55858.301886999994</v>
      </c>
      <c r="I136" t="b">
        <v>1</v>
      </c>
      <c r="J136" t="str">
        <f>+_xlfn.XLOOKUP(PRODUCTOS[[#This Row],[CODIGO]],P_CRITICOS[CODIGO],P_CRITICOS[DESC CORTA],"",0)</f>
        <v/>
      </c>
      <c r="K136" t="str">
        <f>+IFERROR(IF(VLOOKUP(PRODUCTOS[[#This Row],[CODIGO]],P_CRITICOS[],3,0)="*","PRODUCTO CRITICO","NO CRITICO"),"NO CRITICO")</f>
        <v>NO CRITICO</v>
      </c>
      <c r="L136" s="15">
        <f>+_xlfn.XLOOKUP(PRODUCTOS[[#This Row],[CODIGO]],BD_MODULO[Artículo],BD_MODULO[CUB_ACTUALIZADA],"",0)</f>
        <v>0.68833333333333335</v>
      </c>
      <c r="M136" s="2">
        <f>+IFERROR(PRODUCTOS[[#This Row],[PPTO]]*PRODUCTOS[[#This Row],[CANT X MODULO]],"")</f>
        <v>38449.131132218332</v>
      </c>
      <c r="N136" s="2">
        <f>+IFERROR(PRODUCTOS[[#This Row],[PPTO X MODULO]]*32,"")</f>
        <v>1230372.1962309866</v>
      </c>
      <c r="O136" s="2">
        <f>+IFERROR(PRODUCTOS[[#This Row],[PPTO X TORRE]]*22,"")</f>
        <v>27068188.317081705</v>
      </c>
      <c r="P136" s="3">
        <f>+IFERROR(PRODUCTOS[[#This Row],[CANT X MODULO]]*702,"")</f>
        <v>483.21000000000004</v>
      </c>
      <c r="Q136" s="3">
        <f>+SUMIFS(DETALLE_GD_1[CANTIDAD SOLICITADA],DETALLE_GD_1[CODIGO],PRODUCTOS[[#This Row],[CODIGO]])</f>
        <v>72</v>
      </c>
      <c r="R136" s="3">
        <f>+SUMIFS(DETALLE_GD_1[DEVOLUCIÓN],DETALLE_GD_1[CODIGO],PRODUCTOS[[#This Row],[CODIGO]])</f>
        <v>0</v>
      </c>
      <c r="S136" s="3">
        <f>+PRODUCTOS[[#This Row],[CANT. COMPRADA]]-PRODUCTOS[[#This Row],[DEVOLUCIONES]]</f>
        <v>72</v>
      </c>
      <c r="T136" s="3">
        <f>+IFERROR(PRODUCTOS[[#This Row],[CANTIDAD RECIBIDA]]/PRODUCTOS[[#This Row],[CANT X MODULO]],"")</f>
        <v>104.60048426150121</v>
      </c>
      <c r="U136" s="3">
        <f>+SUMIFS(DETALLE_GD_1[VALOR TOTAL POR ITEM GD],DETALLE_GD_1[CODIGO],PRODUCTOS[[#This Row],[CODIGO]])</f>
        <v>4221794</v>
      </c>
      <c r="V136" s="3">
        <f>+IFERROR(PRODUCTOS[[#This Row],[PRECIO DE COMPRA]]/PRODUCTOS[[#This Row],[CANT. COMPRADA]],"")</f>
        <v>58636.027777777781</v>
      </c>
      <c r="W136" s="3">
        <f>+IFERROR(PRODUCTOS[[#This Row],[PRECIO COMPRA UNITARIO]]*PRODUCTOS[[#This Row],[PPTO FALTANTE]],"")</f>
        <v>24192443.24740741</v>
      </c>
      <c r="X136" s="7">
        <f>+IFERROR(PRODUCTOS[[#This Row],[PROYECCION COMPRA]]/PRODUCTOS[[#This Row],[PPTO TOTAL]]-1,"")</f>
        <v>-0.10624076631901958</v>
      </c>
      <c r="Y136" s="3">
        <f>+IFERROR((PRODUCTOS[[#This Row],[CANT X MODULO]]*704)-PRODUCTOS[[#This Row],[CANT. COMPRADA]],"")</f>
        <v>412.5866666666667</v>
      </c>
      <c r="Z136" s="17">
        <f>+IFERROR(PRODUCTOS[[#This Row],[CANT. COMPRADA]]/PRODUCTOS[[#This Row],[PPTO FALTANTE]],"")</f>
        <v>0.17450879007238881</v>
      </c>
      <c r="AA136" s="3">
        <f>+IFERROR(PRODUCTOS[[#This Row],[PROYECCION COMPRA]]-(PRODUCTOS[[#This Row],[PPTO FALTANTE]]*PRODUCTOS[[#This Row],[PPTO]]),"")</f>
        <v>1146052.6661897004</v>
      </c>
      <c r="AB136" s="3">
        <f>+_xlfn.XLOOKUP(PRODUCTOS[[#This Row],[CODIGO]],DETALLE_GD_1[CODIGO],DETALLE_GD_1[VALOR PPTO],"",0)</f>
        <v>55858.301899999999</v>
      </c>
      <c r="AC136" s="3">
        <f>+AB136-PRODUCTOS[[#This Row],[PPTO_ACTUALIZADO]]</f>
        <v>1.3000004400964826E-5</v>
      </c>
    </row>
    <row r="137" spans="1:29" hidden="1" x14ac:dyDescent="0.25">
      <c r="A137">
        <v>412280</v>
      </c>
      <c r="B137" t="s">
        <v>40</v>
      </c>
      <c r="C137" t="s">
        <v>552</v>
      </c>
      <c r="D137" t="s">
        <v>240</v>
      </c>
      <c r="E137" t="s">
        <v>399</v>
      </c>
      <c r="F137" s="2">
        <v>40002.920093000001</v>
      </c>
      <c r="G137" s="6" t="s">
        <v>31</v>
      </c>
      <c r="H137" s="2">
        <v>40002.920093000001</v>
      </c>
      <c r="I137" t="b">
        <v>1</v>
      </c>
      <c r="J137" t="str">
        <f>+_xlfn.XLOOKUP(PRODUCTOS[[#This Row],[CODIGO]],P_CRITICOS[CODIGO],P_CRITICOS[DESC CORTA],"",0)</f>
        <v>HOLDOWN PB2</v>
      </c>
      <c r="K137" t="str">
        <f>+IFERROR(IF(VLOOKUP(PRODUCTOS[[#This Row],[CODIGO]],P_CRITICOS[],3,0)="*","PRODUCTO CRITICO","NO CRITICO"),"NO CRITICO")</f>
        <v>PRODUCTO CRITICO</v>
      </c>
      <c r="L137" s="15">
        <f>+_xlfn.XLOOKUP(PRODUCTOS[[#This Row],[CODIGO]],BD_MODULO[Artículo],BD_MODULO[CUB_ACTUALIZADA],"",0)</f>
        <v>7.875</v>
      </c>
      <c r="M137" s="2">
        <f>+IFERROR(PRODUCTOS[[#This Row],[PPTO]]*PRODUCTOS[[#This Row],[CANT X MODULO]],"")</f>
        <v>315022.99573237501</v>
      </c>
      <c r="N137" s="2">
        <f>+IFERROR(PRODUCTOS[[#This Row],[PPTO X MODULO]]*32,"")</f>
        <v>10080735.863436</v>
      </c>
      <c r="O137" s="2">
        <f>+IFERROR(PRODUCTOS[[#This Row],[PPTO X TORRE]]*22,"")</f>
        <v>221776188.995592</v>
      </c>
      <c r="P137" s="3">
        <f>+IFERROR(PRODUCTOS[[#This Row],[CANT X MODULO]]*702,"")</f>
        <v>5528.25</v>
      </c>
      <c r="Q137" s="3">
        <f>+SUMIFS(DETALLE_GD_1[CANTIDAD SOLICITADA],DETALLE_GD_1[CODIGO],PRODUCTOS[[#This Row],[CODIGO]])</f>
        <v>798</v>
      </c>
      <c r="R137" s="3">
        <f>+SUMIFS(DETALLE_GD_1[DEVOLUCIÓN],DETALLE_GD_1[CODIGO],PRODUCTOS[[#This Row],[CODIGO]])</f>
        <v>0</v>
      </c>
      <c r="S137" s="3">
        <f>+PRODUCTOS[[#This Row],[CANT. COMPRADA]]-PRODUCTOS[[#This Row],[DEVOLUCIONES]]</f>
        <v>798</v>
      </c>
      <c r="T137" s="3">
        <f>+IFERROR(PRODUCTOS[[#This Row],[CANTIDAD RECIBIDA]]/PRODUCTOS[[#This Row],[CANT X MODULO]],"")</f>
        <v>101.33333333333333</v>
      </c>
      <c r="U137" s="3">
        <f>+SUMIFS(DETALLE_GD_1[VALOR TOTAL POR ITEM GD],DETALLE_GD_1[CODIGO],PRODUCTOS[[#This Row],[CODIGO]])</f>
        <v>31293935</v>
      </c>
      <c r="V137" s="3">
        <f>+IFERROR(PRODUCTOS[[#This Row],[PRECIO DE COMPRA]]/PRODUCTOS[[#This Row],[CANT. COMPRADA]],"")</f>
        <v>39215.45739348371</v>
      </c>
      <c r="W137" s="3">
        <f>+IFERROR(PRODUCTOS[[#This Row],[PRECIO COMPRA UNITARIO]]*PRODUCTOS[[#This Row],[PPTO FALTANTE]],"")</f>
        <v>186116560.78947368</v>
      </c>
      <c r="X137" s="7">
        <f>+IFERROR(PRODUCTOS[[#This Row],[PROYECCION COMPRA]]/PRODUCTOS[[#This Row],[PPTO TOTAL]]-1,"")</f>
        <v>-0.16079105862364274</v>
      </c>
      <c r="Y137" s="3">
        <f>+IFERROR((PRODUCTOS[[#This Row],[CANT X MODULO]]*704)-PRODUCTOS[[#This Row],[CANT. COMPRADA]],"")</f>
        <v>4746</v>
      </c>
      <c r="Z137" s="17">
        <f>+IFERROR(PRODUCTOS[[#This Row],[CANT. COMPRADA]]/PRODUCTOS[[#This Row],[PPTO FALTANTE]],"")</f>
        <v>0.16814159292035399</v>
      </c>
      <c r="AA137" s="3">
        <f>+IFERROR(PRODUCTOS[[#This Row],[PROYECCION COMPRA]]-(PRODUCTOS[[#This Row],[PPTO FALTANTE]]*PRODUCTOS[[#This Row],[PPTO]]),"")</f>
        <v>-3737297.9719043076</v>
      </c>
      <c r="AB137" s="3">
        <f>+_xlfn.XLOOKUP(PRODUCTOS[[#This Row],[CODIGO]],DETALLE_GD_1[CODIGO],DETALLE_GD_1[VALOR PPTO],"",0)</f>
        <v>40002.920100000003</v>
      </c>
      <c r="AC137" s="3">
        <f>+AB137-PRODUCTOS[[#This Row],[PPTO_ACTUALIZADO]]</f>
        <v>7.0000023697502911E-6</v>
      </c>
    </row>
    <row r="138" spans="1:29" hidden="1" x14ac:dyDescent="0.25">
      <c r="A138">
        <v>304101</v>
      </c>
      <c r="B138" t="s">
        <v>17</v>
      </c>
      <c r="C138" t="s">
        <v>535</v>
      </c>
      <c r="D138" t="s">
        <v>240</v>
      </c>
      <c r="E138" t="s">
        <v>401</v>
      </c>
      <c r="F138" s="2">
        <v>9657.5879499999992</v>
      </c>
      <c r="G138" s="6" t="s">
        <v>18</v>
      </c>
      <c r="H138" s="2">
        <v>9657.5879500000046</v>
      </c>
      <c r="I138" t="b">
        <v>1</v>
      </c>
      <c r="J138" t="str">
        <f>+_xlfn.XLOOKUP(PRODUCTOS[[#This Row],[CODIGO]],P_CRITICOS[CODIGO],P_CRITICOS[DESC CORTA],"",0)</f>
        <v>OSB 9.5</v>
      </c>
      <c r="K138" t="str">
        <f>+IFERROR(IF(VLOOKUP(PRODUCTOS[[#This Row],[CODIGO]],P_CRITICOS[],3,0)="*","PRODUCTO CRITICO","NO CRITICO"),"NO CRITICO")</f>
        <v>PRODUCTO CRITICO</v>
      </c>
      <c r="L138" s="15">
        <f>+_xlfn.XLOOKUP(PRODUCTOS[[#This Row],[CODIGO]],BD_MODULO[Artículo],BD_MODULO[CUB_ACTUALIZADA],"",0)</f>
        <v>47.643749999999976</v>
      </c>
      <c r="M138" s="2">
        <f>+IFERROR(PRODUCTOS[[#This Row],[PPTO]]*PRODUCTOS[[#This Row],[CANT X MODULO]],"")</f>
        <v>460123.70589281223</v>
      </c>
      <c r="N138" s="2">
        <f>+IFERROR(PRODUCTOS[[#This Row],[PPTO X MODULO]]*32,"")</f>
        <v>14723958.588569991</v>
      </c>
      <c r="O138" s="2">
        <f>+IFERROR(PRODUCTOS[[#This Row],[PPTO X TORRE]]*22,"")</f>
        <v>323927088.94853979</v>
      </c>
      <c r="P138" s="3">
        <f>+IFERROR(PRODUCTOS[[#This Row],[CANT X MODULO]]*702,"")</f>
        <v>33445.912499999984</v>
      </c>
      <c r="Q138" s="3">
        <f>+SUMIFS(DETALLE_GD_1[CANTIDAD SOLICITADA],DETALLE_GD_1[CODIGO],PRODUCTOS[[#This Row],[CODIGO]])</f>
        <v>4801</v>
      </c>
      <c r="R138" s="3">
        <f>+SUMIFS(DETALLE_GD_1[DEVOLUCIÓN],DETALLE_GD_1[CODIGO],PRODUCTOS[[#This Row],[CODIGO]])</f>
        <v>0</v>
      </c>
      <c r="S138" s="3">
        <f>+PRODUCTOS[[#This Row],[CANT. COMPRADA]]-PRODUCTOS[[#This Row],[DEVOLUCIONES]]</f>
        <v>4801</v>
      </c>
      <c r="T138" s="3">
        <f>+IFERROR(PRODUCTOS[[#This Row],[CANTIDAD RECIBIDA]]/PRODUCTOS[[#This Row],[CANT X MODULO]],"")</f>
        <v>100.76872622327173</v>
      </c>
      <c r="U138" s="3">
        <f>+SUMIFS(DETALLE_GD_1[VALOR TOTAL POR ITEM GD],DETALLE_GD_1[CODIGO],PRODUCTOS[[#This Row],[CODIGO]])</f>
        <v>46341721</v>
      </c>
      <c r="V138" s="3">
        <f>+IFERROR(PRODUCTOS[[#This Row],[PRECIO DE COMPRA]]/PRODUCTOS[[#This Row],[CANT. COMPRADA]],"")</f>
        <v>9652.5142678608627</v>
      </c>
      <c r="W138" s="3">
        <f>+IFERROR(PRODUCTOS[[#This Row],[PRECIO COMPRA UNITARIO]]*PRODUCTOS[[#This Row],[PPTO FALTANTE]],"")</f>
        <v>277415190.56117457</v>
      </c>
      <c r="X138" s="7">
        <f>+IFERROR(PRODUCTOS[[#This Row],[PROYECCION COMPRA]]/PRODUCTOS[[#This Row],[PPTO TOTAL]]-1,"")</f>
        <v>-0.14358755403366175</v>
      </c>
      <c r="Y138" s="3">
        <f>+IFERROR((PRODUCTOS[[#This Row],[CANT X MODULO]]*704)-PRODUCTOS[[#This Row],[CANT. COMPRADA]],"")</f>
        <v>28740.199999999983</v>
      </c>
      <c r="Z138" s="17">
        <f>+IFERROR(PRODUCTOS[[#This Row],[CANT. COMPRADA]]/PRODUCTOS[[#This Row],[PPTO FALTANTE]],"")</f>
        <v>0.16704824601081422</v>
      </c>
      <c r="AA138" s="3">
        <f>+IFERROR(PRODUCTOS[[#This Row],[PROYECCION COMPRA]]-(PRODUCTOS[[#This Row],[PPTO FALTANTE]]*PRODUCTOS[[#This Row],[PPTO]]),"")</f>
        <v>-145818.63941526413</v>
      </c>
      <c r="AB138" s="3">
        <f>+_xlfn.XLOOKUP(PRODUCTOS[[#This Row],[CODIGO]],DETALLE_GD_1[CODIGO],DETALLE_GD_1[VALOR PPTO],"",0)</f>
        <v>9657.5879999999997</v>
      </c>
      <c r="AC138" s="3">
        <f>+AB138-PRODUCTOS[[#This Row],[PPTO_ACTUALIZADO]]</f>
        <v>4.9999995098914951E-5</v>
      </c>
    </row>
    <row r="139" spans="1:29" hidden="1" x14ac:dyDescent="0.25">
      <c r="A139">
        <v>304049</v>
      </c>
      <c r="B139" t="s">
        <v>318</v>
      </c>
      <c r="C139" t="s">
        <v>539</v>
      </c>
      <c r="D139" t="s">
        <v>240</v>
      </c>
      <c r="E139" t="s">
        <v>403</v>
      </c>
      <c r="F139" s="2">
        <v>14982</v>
      </c>
      <c r="G139" s="6" t="s">
        <v>18</v>
      </c>
      <c r="H139" s="2">
        <v>14981.999999999993</v>
      </c>
      <c r="I139" t="b">
        <v>1</v>
      </c>
      <c r="J139" t="str">
        <f>+_xlfn.XLOOKUP(PRODUCTOS[[#This Row],[CODIGO]],P_CRITICOS[CODIGO],P_CRITICOS[DESC CORTA],"",0)</f>
        <v>TERCIADO FENOLICO</v>
      </c>
      <c r="K139" t="str">
        <f>+IFERROR(IF(VLOOKUP(PRODUCTOS[[#This Row],[CODIGO]],P_CRITICOS[],3,0)="*","PRODUCTO CRITICO","NO CRITICO"),"NO CRITICO")</f>
        <v>PRODUCTO CRITICO</v>
      </c>
      <c r="L139" s="15">
        <f>+_xlfn.XLOOKUP(PRODUCTOS[[#This Row],[CODIGO]],BD_MODULO[Artículo],BD_MODULO[CUB_ACTUALIZADA],"",0)</f>
        <v>23.273250000000008</v>
      </c>
      <c r="M139" s="2">
        <f>+IFERROR(PRODUCTOS[[#This Row],[PPTO]]*PRODUCTOS[[#This Row],[CANT X MODULO]],"")</f>
        <v>348679.83150000015</v>
      </c>
      <c r="N139" s="2">
        <f>+IFERROR(PRODUCTOS[[#This Row],[PPTO X MODULO]]*32,"")</f>
        <v>11157754.608000005</v>
      </c>
      <c r="O139" s="2">
        <f>+IFERROR(PRODUCTOS[[#This Row],[PPTO X TORRE]]*22,"")</f>
        <v>245470601.37600011</v>
      </c>
      <c r="P139" s="3">
        <f>+IFERROR(PRODUCTOS[[#This Row],[CANT X MODULO]]*702,"")</f>
        <v>16337.821500000005</v>
      </c>
      <c r="Q139" s="3">
        <f>+SUMIFS(DETALLE_GD_1[CANTIDAD SOLICITADA],DETALLE_GD_1[CODIGO],PRODUCTOS[[#This Row],[CODIGO]])</f>
        <v>2315</v>
      </c>
      <c r="R139" s="3">
        <f>+SUMIFS(DETALLE_GD_1[DEVOLUCIÓN],DETALLE_GD_1[CODIGO],PRODUCTOS[[#This Row],[CODIGO]])</f>
        <v>0</v>
      </c>
      <c r="S139" s="3">
        <f>+PRODUCTOS[[#This Row],[CANT. COMPRADA]]-PRODUCTOS[[#This Row],[DEVOLUCIONES]]</f>
        <v>2315</v>
      </c>
      <c r="T139" s="3">
        <f>+IFERROR(PRODUCTOS[[#This Row],[CANTIDAD RECIBIDA]]/PRODUCTOS[[#This Row],[CANT X MODULO]],"")</f>
        <v>99.470422051067175</v>
      </c>
      <c r="U139" s="3">
        <f>+SUMIFS(DETALLE_GD_1[VALOR TOTAL POR ITEM GD],DETALLE_GD_1[CODIGO],PRODUCTOS[[#This Row],[CODIGO]])</f>
        <v>34768107</v>
      </c>
      <c r="V139" s="3">
        <f>+IFERROR(PRODUCTOS[[#This Row],[PRECIO DE COMPRA]]/PRODUCTOS[[#This Row],[CANT. COMPRADA]],"")</f>
        <v>15018.620734341253</v>
      </c>
      <c r="W139" s="3">
        <f>+IFERROR(PRODUCTOS[[#This Row],[PRECIO COMPRA UNITARIO]]*PRODUCTOS[[#This Row],[PPTO FALTANTE]],"")</f>
        <v>211302501.96387741</v>
      </c>
      <c r="X139" s="7">
        <f>+IFERROR(PRODUCTOS[[#This Row],[PROYECCION COMPRA]]/PRODUCTOS[[#This Row],[PPTO TOTAL]]-1,"")</f>
        <v>-0.13919426285914227</v>
      </c>
      <c r="Y139" s="3">
        <f>+IFERROR((PRODUCTOS[[#This Row],[CANT X MODULO]]*704)-PRODUCTOS[[#This Row],[CANT. COMPRADA]],"")</f>
        <v>14069.368000000006</v>
      </c>
      <c r="Z139" s="17">
        <f>+IFERROR(PRODUCTOS[[#This Row],[CANT. COMPRADA]]/PRODUCTOS[[#This Row],[PPTO FALTANTE]],"")</f>
        <v>0.16454186143968932</v>
      </c>
      <c r="AA139" s="3">
        <f>+IFERROR(PRODUCTOS[[#This Row],[PROYECCION COMPRA]]-(PRODUCTOS[[#This Row],[PPTO FALTANTE]]*PRODUCTOS[[#This Row],[PPTO]]),"")</f>
        <v>515230.58787733316</v>
      </c>
      <c r="AB139" s="3">
        <f>+_xlfn.XLOOKUP(PRODUCTOS[[#This Row],[CODIGO]],DETALLE_GD_1[CODIGO],DETALLE_GD_1[VALOR PPTO],"",0)</f>
        <v>14982</v>
      </c>
      <c r="AC139" s="3">
        <f>+AB139-PRODUCTOS[[#This Row],[PPTO_ACTUALIZADO]]</f>
        <v>0</v>
      </c>
    </row>
    <row r="140" spans="1:29" hidden="1" x14ac:dyDescent="0.25">
      <c r="A140">
        <v>1901008</v>
      </c>
      <c r="B140" t="s">
        <v>278</v>
      </c>
      <c r="C140" t="s">
        <v>540</v>
      </c>
      <c r="D140" t="s">
        <v>240</v>
      </c>
      <c r="E140" t="s">
        <v>404</v>
      </c>
      <c r="F140" s="2">
        <v>2112.795779</v>
      </c>
      <c r="G140" s="6" t="s">
        <v>26</v>
      </c>
      <c r="H140" s="2">
        <v>2112.795779</v>
      </c>
      <c r="I140" t="b">
        <v>1</v>
      </c>
      <c r="J140" t="str">
        <f>+_xlfn.XLOOKUP(PRODUCTOS[[#This Row],[CODIGO]],P_CRITICOS[CODIGO],P_CRITICOS[DESC CORTA],"",0)</f>
        <v>AISLAN GLASS 90MM</v>
      </c>
      <c r="K140" t="str">
        <f>+IFERROR(IF(VLOOKUP(PRODUCTOS[[#This Row],[CODIGO]],P_CRITICOS[],3,0)="*","PRODUCTO CRITICO","NO CRITICO"),"NO CRITICO")</f>
        <v>PRODUCTO CRITICO</v>
      </c>
      <c r="L140" s="15">
        <f>+_xlfn.XLOOKUP(PRODUCTOS[[#This Row],[CODIGO]],BD_MODULO[Artículo],BD_MODULO[CUB_ACTUALIZADA],"",0)</f>
        <v>62.430325650000007</v>
      </c>
      <c r="M140" s="2">
        <f>+IFERROR(PRODUCTOS[[#This Row],[PPTO]]*PRODUCTOS[[#This Row],[CANT X MODULO]],"")</f>
        <v>131902.52851491544</v>
      </c>
      <c r="N140" s="2">
        <f>+IFERROR(PRODUCTOS[[#This Row],[PPTO X MODULO]]*32,"")</f>
        <v>4220880.912477294</v>
      </c>
      <c r="O140" s="2">
        <f>+IFERROR(PRODUCTOS[[#This Row],[PPTO X TORRE]]*22,"")</f>
        <v>92859380.074500471</v>
      </c>
      <c r="P140" s="3">
        <f>+IFERROR(PRODUCTOS[[#This Row],[CANT X MODULO]]*702,"")</f>
        <v>43826.088606300007</v>
      </c>
      <c r="Q140" s="3">
        <f>+SUMIFS(DETALLE_GD_1[CANTIDAD SOLICITADA],DETALLE_GD_1[CODIGO],PRODUCTOS[[#This Row],[CODIGO]])</f>
        <v>6207</v>
      </c>
      <c r="R140" s="3">
        <f>+SUMIFS(DETALLE_GD_1[DEVOLUCIÓN],DETALLE_GD_1[CODIGO],PRODUCTOS[[#This Row],[CODIGO]])</f>
        <v>0</v>
      </c>
      <c r="S140" s="3">
        <f>+PRODUCTOS[[#This Row],[CANT. COMPRADA]]-PRODUCTOS[[#This Row],[DEVOLUCIONES]]</f>
        <v>6207</v>
      </c>
      <c r="T140" s="3">
        <f>+IFERROR(PRODUCTOS[[#This Row],[CANTIDAD RECIBIDA]]/PRODUCTOS[[#This Row],[CANT X MODULO]],"")</f>
        <v>99.422835543065915</v>
      </c>
      <c r="U140" s="3">
        <f>+SUMIFS(DETALLE_GD_1[VALOR TOTAL POR ITEM GD],DETALLE_GD_1[CODIGO],PRODUCTOS[[#This Row],[CODIGO]])</f>
        <v>12785089</v>
      </c>
      <c r="V140" s="3">
        <f>+IFERROR(PRODUCTOS[[#This Row],[PRECIO DE COMPRA]]/PRODUCTOS[[#This Row],[CANT. COMPRADA]],"")</f>
        <v>2059.785564685033</v>
      </c>
      <c r="W140" s="3">
        <f>+IFERROR(PRODUCTOS[[#This Row],[PRECIO COMPRA UNITARIO]]*PRODUCTOS[[#This Row],[PPTO FALTANTE]],"")</f>
        <v>77744441.83500886</v>
      </c>
      <c r="X140" s="7">
        <f>+IFERROR(PRODUCTOS[[#This Row],[PROYECCION COMPRA]]/PRODUCTOS[[#This Row],[PPTO TOTAL]]-1,"")</f>
        <v>-0.1627723362719522</v>
      </c>
      <c r="Y140" s="3">
        <f>+IFERROR((PRODUCTOS[[#This Row],[CANT X MODULO]]*704)-PRODUCTOS[[#This Row],[CANT. COMPRADA]],"")</f>
        <v>37743.949257600005</v>
      </c>
      <c r="Z140" s="17">
        <f>+IFERROR(PRODUCTOS[[#This Row],[CANT. COMPRADA]]/PRODUCTOS[[#This Row],[PPTO FALTANTE]],"")</f>
        <v>0.16445019988866633</v>
      </c>
      <c r="AA140" s="3">
        <f>+IFERROR(PRODUCTOS[[#This Row],[PROYECCION COMPRA]]-(PRODUCTOS[[#This Row],[PPTO FALTANTE]]*PRODUCTOS[[#This Row],[PPTO]]),"")</f>
        <v>-2000814.8392386138</v>
      </c>
      <c r="AB140" s="3">
        <f>+_xlfn.XLOOKUP(PRODUCTOS[[#This Row],[CODIGO]],DETALLE_GD_1[CODIGO],DETALLE_GD_1[VALOR PPTO],"",0)</f>
        <v>2112.7957999999999</v>
      </c>
      <c r="AC140" s="3">
        <f>+AB140-PRODUCTOS[[#This Row],[PPTO_ACTUALIZADO]]</f>
        <v>2.0999999833293259E-5</v>
      </c>
    </row>
    <row r="141" spans="1:29" hidden="1" x14ac:dyDescent="0.25">
      <c r="A141">
        <v>410126</v>
      </c>
      <c r="B141" t="s">
        <v>159</v>
      </c>
      <c r="C141">
        <v>0</v>
      </c>
      <c r="D141" t="s">
        <v>240</v>
      </c>
      <c r="E141">
        <v>0</v>
      </c>
      <c r="F141" s="2">
        <v>983.61888099999999</v>
      </c>
      <c r="G141" s="6" t="s">
        <v>31</v>
      </c>
      <c r="H141" s="2">
        <v>983.61888099999999</v>
      </c>
      <c r="I141" t="b">
        <v>1</v>
      </c>
      <c r="J141" t="str">
        <f>+_xlfn.XLOOKUP(PRODUCTOS[[#This Row],[CODIGO]],P_CRITICOS[CODIGO],P_CRITICOS[DESC CORTA],"",0)</f>
        <v/>
      </c>
      <c r="K141" t="str">
        <f>+IFERROR(IF(VLOOKUP(PRODUCTOS[[#This Row],[CODIGO]],P_CRITICOS[],3,0)="*","PRODUCTO CRITICO","NO CRITICO"),"NO CRITICO")</f>
        <v>NO CRITICO</v>
      </c>
      <c r="L141" s="15">
        <f>+_xlfn.XLOOKUP(PRODUCTOS[[#This Row],[CODIGO]],BD_MODULO[Artículo],BD_MODULO[CUB_ACTUALIZADA],"",0)</f>
        <v>10.5</v>
      </c>
      <c r="M141" s="2">
        <f>+IFERROR(PRODUCTOS[[#This Row],[PPTO]]*PRODUCTOS[[#This Row],[CANT X MODULO]],"")</f>
        <v>10327.998250500001</v>
      </c>
      <c r="N141" s="2">
        <f>+IFERROR(PRODUCTOS[[#This Row],[PPTO X MODULO]]*32,"")</f>
        <v>330495.94401600002</v>
      </c>
      <c r="O141" s="2">
        <f>+IFERROR(PRODUCTOS[[#This Row],[PPTO X TORRE]]*22,"")</f>
        <v>7270910.768352</v>
      </c>
      <c r="P141" s="3">
        <f>+IFERROR(PRODUCTOS[[#This Row],[CANT X MODULO]]*702,"")</f>
        <v>7371</v>
      </c>
      <c r="Q141" s="3">
        <f>+SUMIFS(DETALLE_GD_1[CANTIDAD SOLICITADA],DETALLE_GD_1[CODIGO],PRODUCTOS[[#This Row],[CODIGO]])</f>
        <v>1018</v>
      </c>
      <c r="R141" s="3">
        <f>+SUMIFS(DETALLE_GD_1[DEVOLUCIÓN],DETALLE_GD_1[CODIGO],PRODUCTOS[[#This Row],[CODIGO]])</f>
        <v>0</v>
      </c>
      <c r="S141" s="3">
        <f>+PRODUCTOS[[#This Row],[CANT. COMPRADA]]-PRODUCTOS[[#This Row],[DEVOLUCIONES]]</f>
        <v>1018</v>
      </c>
      <c r="T141" s="3">
        <f>+IFERROR(PRODUCTOS[[#This Row],[CANTIDAD RECIBIDA]]/PRODUCTOS[[#This Row],[CANT X MODULO]],"")</f>
        <v>96.952380952380949</v>
      </c>
      <c r="U141" s="3">
        <f>+SUMIFS(DETALLE_GD_1[VALOR TOTAL POR ITEM GD],DETALLE_GD_1[CODIGO],PRODUCTOS[[#This Row],[CODIGO]])</f>
        <v>1001510</v>
      </c>
      <c r="V141" s="3">
        <f>+IFERROR(PRODUCTOS[[#This Row],[PRECIO DE COMPRA]]/PRODUCTOS[[#This Row],[CANT. COMPRADA]],"")</f>
        <v>983.80157170923383</v>
      </c>
      <c r="W141" s="3">
        <f>+IFERROR(PRODUCTOS[[#This Row],[PRECIO COMPRA UNITARIO]]*PRODUCTOS[[#This Row],[PPTO FALTANTE]],"")</f>
        <v>6270751.2180746561</v>
      </c>
      <c r="X141" s="7">
        <f>+IFERROR(PRODUCTOS[[#This Row],[PROYECCION COMPRA]]/PRODUCTOS[[#This Row],[PPTO TOTAL]]-1,"")</f>
        <v>-0.13755629550987281</v>
      </c>
      <c r="Y141" s="3">
        <f>+IFERROR((PRODUCTOS[[#This Row],[CANT X MODULO]]*704)-PRODUCTOS[[#This Row],[CANT. COMPRADA]],"")</f>
        <v>6374</v>
      </c>
      <c r="Z141" s="17">
        <f>+IFERROR(PRODUCTOS[[#This Row],[CANT. COMPRADA]]/PRODUCTOS[[#This Row],[PPTO FALTANTE]],"")</f>
        <v>0.15971132726702228</v>
      </c>
      <c r="AA141" s="3">
        <f>+IFERROR(PRODUCTOS[[#This Row],[PROYECCION COMPRA]]-(PRODUCTOS[[#This Row],[PPTO FALTANTE]]*PRODUCTOS[[#This Row],[PPTO]]),"")</f>
        <v>1164.4705806560814</v>
      </c>
      <c r="AB141" s="3">
        <f>+_xlfn.XLOOKUP(PRODUCTOS[[#This Row],[CODIGO]],DETALLE_GD_1[CODIGO],DETALLE_GD_1[VALOR PPTO],"",0)</f>
        <v>983.61890000000005</v>
      </c>
      <c r="AC141" s="3">
        <f>+AB141-PRODUCTOS[[#This Row],[PPTO_ACTUALIZADO]]</f>
        <v>1.9000000065716449E-5</v>
      </c>
    </row>
    <row r="142" spans="1:29" hidden="1" x14ac:dyDescent="0.25">
      <c r="A142">
        <v>602255</v>
      </c>
      <c r="B142" t="s">
        <v>203</v>
      </c>
      <c r="C142">
        <v>0</v>
      </c>
      <c r="D142" t="s">
        <v>244</v>
      </c>
      <c r="E142" t="s">
        <v>407</v>
      </c>
      <c r="F142" s="2">
        <v>47889.5</v>
      </c>
      <c r="G142" s="6" t="s">
        <v>25</v>
      </c>
      <c r="H142" s="2">
        <v>47889.5</v>
      </c>
      <c r="I142" t="b">
        <v>1</v>
      </c>
      <c r="J142" t="str">
        <f>+_xlfn.XLOOKUP(PRODUCTOS[[#This Row],[CODIGO]],P_CRITICOS[CODIGO],P_CRITICOS[DESC CORTA],"",0)</f>
        <v/>
      </c>
      <c r="K142" t="str">
        <f>+IFERROR(IF(VLOOKUP(PRODUCTOS[[#This Row],[CODIGO]],P_CRITICOS[],3,0)="*","PRODUCTO CRITICO","NO CRITICO"),"NO CRITICO")</f>
        <v>NO CRITICO</v>
      </c>
      <c r="L142" s="15">
        <f>+_xlfn.XLOOKUP(PRODUCTOS[[#This Row],[CODIGO]],BD_MODULO[Artículo],BD_MODULO[CUB_ACTUALIZADA],"",0)</f>
        <v>0.30194718749999999</v>
      </c>
      <c r="M142" s="2">
        <f>+IFERROR(PRODUCTOS[[#This Row],[PPTO]]*PRODUCTOS[[#This Row],[CANT X MODULO]],"")</f>
        <v>14460.09983578125</v>
      </c>
      <c r="N142" s="2">
        <f>+IFERROR(PRODUCTOS[[#This Row],[PPTO X MODULO]]*32,"")</f>
        <v>462723.19474499999</v>
      </c>
      <c r="O142" s="2">
        <f>+IFERROR(PRODUCTOS[[#This Row],[PPTO X TORRE]]*22,"")</f>
        <v>10179910.284389999</v>
      </c>
      <c r="P142" s="3">
        <f>+IFERROR(PRODUCTOS[[#This Row],[CANT X MODULO]]*702,"")</f>
        <v>211.96692562499999</v>
      </c>
      <c r="Q142" s="3">
        <f>+SUMIFS(DETALLE_GD_1[CANTIDAD SOLICITADA],DETALLE_GD_1[CODIGO],PRODUCTOS[[#This Row],[CODIGO]])</f>
        <v>29</v>
      </c>
      <c r="R142" s="3">
        <f>+SUMIFS(DETALLE_GD_1[DEVOLUCIÓN],DETALLE_GD_1[CODIGO],PRODUCTOS[[#This Row],[CODIGO]])</f>
        <v>0</v>
      </c>
      <c r="S142" s="3">
        <f>+PRODUCTOS[[#This Row],[CANT. COMPRADA]]-PRODUCTOS[[#This Row],[DEVOLUCIONES]]</f>
        <v>29</v>
      </c>
      <c r="T142" s="3">
        <f>+IFERROR(PRODUCTOS[[#This Row],[CANTIDAD RECIBIDA]]/PRODUCTOS[[#This Row],[CANT X MODULO]],"")</f>
        <v>96.043285715320664</v>
      </c>
      <c r="U142" s="3">
        <f>+SUMIFS(DETALLE_GD_1[VALOR TOTAL POR ITEM GD],DETALLE_GD_1[CODIGO],PRODUCTOS[[#This Row],[CODIGO]])</f>
        <v>1388810</v>
      </c>
      <c r="V142" s="3">
        <f>+IFERROR(PRODUCTOS[[#This Row],[PRECIO DE COMPRA]]/PRODUCTOS[[#This Row],[CANT. COMPRADA]],"")</f>
        <v>47890</v>
      </c>
      <c r="W142" s="3">
        <f>+IFERROR(PRODUCTOS[[#This Row],[PRECIO COMPRA UNITARIO]]*PRODUCTOS[[#This Row],[PPTO FALTANTE]],"")</f>
        <v>8791206.5698000006</v>
      </c>
      <c r="X142" s="7">
        <f>+IFERROR(PRODUCTOS[[#This Row],[PROYECCION COMPRA]]/PRODUCTOS[[#This Row],[PPTO TOTAL]]-1,"")</f>
        <v>-0.13641610542672988</v>
      </c>
      <c r="Y142" s="3">
        <f>+IFERROR((PRODUCTOS[[#This Row],[CANT X MODULO]]*704)-PRODUCTOS[[#This Row],[CANT. COMPRADA]],"")</f>
        <v>183.57082</v>
      </c>
      <c r="Z142" s="17">
        <f>+IFERROR(PRODUCTOS[[#This Row],[CANT. COMPRADA]]/PRODUCTOS[[#This Row],[PPTO FALTANTE]],"")</f>
        <v>0.15797717741850256</v>
      </c>
      <c r="AA142" s="3">
        <f>+IFERROR(PRODUCTOS[[#This Row],[PROYECCION COMPRA]]-(PRODUCTOS[[#This Row],[PPTO FALTANTE]]*PRODUCTOS[[#This Row],[PPTO]]),"")</f>
        <v>91.785410000011325</v>
      </c>
      <c r="AB142" s="3">
        <f>+_xlfn.XLOOKUP(PRODUCTOS[[#This Row],[CODIGO]],DETALLE_GD_1[CODIGO],DETALLE_GD_1[VALOR PPTO],"",0)</f>
        <v>47889.5</v>
      </c>
      <c r="AC142" s="3">
        <f>+AB142-PRODUCTOS[[#This Row],[PPTO_ACTUALIZADO]]</f>
        <v>0</v>
      </c>
    </row>
    <row r="143" spans="1:29" hidden="1" x14ac:dyDescent="0.25">
      <c r="A143">
        <v>407115</v>
      </c>
      <c r="B143" t="s">
        <v>282</v>
      </c>
      <c r="C143">
        <v>0</v>
      </c>
      <c r="D143" t="s">
        <v>240</v>
      </c>
      <c r="E143" t="s">
        <v>399</v>
      </c>
      <c r="F143" s="2">
        <v>547.98400000000004</v>
      </c>
      <c r="G143" s="6" t="s">
        <v>31</v>
      </c>
      <c r="H143" s="2">
        <v>567</v>
      </c>
      <c r="I143" t="b">
        <v>0</v>
      </c>
      <c r="J143" t="str">
        <f>+_xlfn.XLOOKUP(PRODUCTOS[[#This Row],[CODIGO]],P_CRITICOS[CODIGO],P_CRITICOS[DESC CORTA],"",0)</f>
        <v/>
      </c>
      <c r="K143" t="str">
        <f>+IFERROR(IF(VLOOKUP(PRODUCTOS[[#This Row],[CODIGO]],P_CRITICOS[],3,0)="*","PRODUCTO CRITICO","NO CRITICO"),"NO CRITICO")</f>
        <v>NO CRITICO</v>
      </c>
      <c r="L143" s="15">
        <f>+_xlfn.XLOOKUP(PRODUCTOS[[#This Row],[CODIGO]],BD_MODULO[Artículo],BD_MODULO[CUB_ACTUALIZADA],"",0)</f>
        <v>4.2</v>
      </c>
      <c r="M143" s="2">
        <f>+IFERROR(PRODUCTOS[[#This Row],[PPTO]]*PRODUCTOS[[#This Row],[CANT X MODULO]],"")</f>
        <v>2301.5328000000004</v>
      </c>
      <c r="N143" s="2">
        <f>+IFERROR(PRODUCTOS[[#This Row],[PPTO X MODULO]]*32,"")</f>
        <v>73649.049600000013</v>
      </c>
      <c r="O143" s="2">
        <f>+IFERROR(PRODUCTOS[[#This Row],[PPTO X TORRE]]*22,"")</f>
        <v>1620279.0912000004</v>
      </c>
      <c r="P143" s="3">
        <f>+IFERROR(PRODUCTOS[[#This Row],[CANT X MODULO]]*702,"")</f>
        <v>2948.4</v>
      </c>
      <c r="Q143" s="3">
        <f>+SUMIFS(DETALLE_GD_1[CANTIDAD SOLICITADA],DETALLE_GD_1[CODIGO],PRODUCTOS[[#This Row],[CODIGO]])</f>
        <v>400</v>
      </c>
      <c r="R143" s="3">
        <f>+SUMIFS(DETALLE_GD_1[DEVOLUCIÓN],DETALLE_GD_1[CODIGO],PRODUCTOS[[#This Row],[CODIGO]])</f>
        <v>0</v>
      </c>
      <c r="S143" s="3">
        <f>+PRODUCTOS[[#This Row],[CANT. COMPRADA]]-PRODUCTOS[[#This Row],[DEVOLUCIONES]]</f>
        <v>400</v>
      </c>
      <c r="T143" s="3">
        <f>+IFERROR(PRODUCTOS[[#This Row],[CANTIDAD RECIBIDA]]/PRODUCTOS[[#This Row],[CANT X MODULO]],"")</f>
        <v>95.238095238095241</v>
      </c>
      <c r="U143" s="3">
        <f>+SUMIFS(DETALLE_GD_1[VALOR TOTAL POR ITEM GD],DETALLE_GD_1[CODIGO],PRODUCTOS[[#This Row],[CODIGO]])</f>
        <v>219193</v>
      </c>
      <c r="V143" s="3">
        <f>+IFERROR(PRODUCTOS[[#This Row],[PRECIO DE COMPRA]]/PRODUCTOS[[#This Row],[CANT. COMPRADA]],"")</f>
        <v>547.98249999999996</v>
      </c>
      <c r="W143" s="3">
        <f>+IFERROR(PRODUCTOS[[#This Row],[PRECIO COMPRA UNITARIO]]*PRODUCTOS[[#This Row],[PPTO FALTANTE]],"")</f>
        <v>1401081.656</v>
      </c>
      <c r="X143" s="7">
        <f>+IFERROR(PRODUCTOS[[#This Row],[PROYECCION COMPRA]]/PRODUCTOS[[#This Row],[PPTO TOTAL]]-1,"")</f>
        <v>-0.13528375228100975</v>
      </c>
      <c r="Y143" s="3">
        <f>+IFERROR((PRODUCTOS[[#This Row],[CANT X MODULO]]*704)-PRODUCTOS[[#This Row],[CANT. COMPRADA]],"")</f>
        <v>2556.8000000000002</v>
      </c>
      <c r="Z143" s="17">
        <f>+IFERROR(PRODUCTOS[[#This Row],[CANT. COMPRADA]]/PRODUCTOS[[#This Row],[PPTO FALTANTE]],"")</f>
        <v>0.15644555694618273</v>
      </c>
      <c r="AA143" s="3">
        <f>+IFERROR(PRODUCTOS[[#This Row],[PROYECCION COMPRA]]-(PRODUCTOS[[#This Row],[PPTO FALTANTE]]*PRODUCTOS[[#This Row],[PPTO]]),"")</f>
        <v>-3.8352000003214926</v>
      </c>
      <c r="AB143" s="3">
        <f>+_xlfn.XLOOKUP(PRODUCTOS[[#This Row],[CODIGO]],DETALLE_GD_1[CODIGO],DETALLE_GD_1[VALOR PPTO],"",0)</f>
        <v>567</v>
      </c>
      <c r="AC143" s="3">
        <f>+AB143-PRODUCTOS[[#This Row],[PPTO_ACTUALIZADO]]</f>
        <v>0</v>
      </c>
    </row>
    <row r="144" spans="1:29" hidden="1" x14ac:dyDescent="0.25">
      <c r="A144">
        <v>1103086</v>
      </c>
      <c r="B144" t="s">
        <v>489</v>
      </c>
      <c r="C144" t="s">
        <v>686</v>
      </c>
      <c r="D144" t="s">
        <v>355</v>
      </c>
      <c r="E144" t="s">
        <v>355</v>
      </c>
      <c r="G144" s="6" t="s">
        <v>137</v>
      </c>
      <c r="H144" s="2">
        <v>10466</v>
      </c>
      <c r="I144" t="b">
        <v>0</v>
      </c>
      <c r="J144" t="str">
        <f>+_xlfn.XLOOKUP(PRODUCTOS[[#This Row],[CODIGO]],P_CRITICOS[CODIGO],P_CRITICOS[DESC CORTA],"",0)</f>
        <v/>
      </c>
      <c r="K144" t="str">
        <f>+IFERROR(IF(VLOOKUP(PRODUCTOS[[#This Row],[CODIGO]],P_CRITICOS[],3,0)="*","PRODUCTO CRITICO","NO CRITICO"),"NO CRITICO")</f>
        <v>NO CRITICO</v>
      </c>
      <c r="L144" s="15">
        <f>+_xlfn.XLOOKUP(PRODUCTOS[[#This Row],[CODIGO]],BD_MODULO[Artículo],BD_MODULO[CUB_ACTUALIZADA],"",0)</f>
        <v>0.52500000000000002</v>
      </c>
      <c r="M144" s="2">
        <f>+IFERROR(PRODUCTOS[[#This Row],[PPTO]]*PRODUCTOS[[#This Row],[CANT X MODULO]],"")</f>
        <v>0</v>
      </c>
      <c r="N144" s="2">
        <f>+IFERROR(PRODUCTOS[[#This Row],[PPTO X MODULO]]*32,"")</f>
        <v>0</v>
      </c>
      <c r="O144" s="2">
        <f>+IFERROR(PRODUCTOS[[#This Row],[PPTO X TORRE]]*22,"")</f>
        <v>0</v>
      </c>
      <c r="P144" s="3">
        <f>+IFERROR(PRODUCTOS[[#This Row],[CANT X MODULO]]*702,"")</f>
        <v>368.55</v>
      </c>
      <c r="Q144" s="3">
        <f>+SUMIFS(DETALLE_GD_1[CANTIDAD SOLICITADA],DETALLE_GD_1[CODIGO],PRODUCTOS[[#This Row],[CODIGO]])</f>
        <v>50</v>
      </c>
      <c r="R144" s="3">
        <f>+SUMIFS(DETALLE_GD_1[DEVOLUCIÓN],DETALLE_GD_1[CODIGO],PRODUCTOS[[#This Row],[CODIGO]])</f>
        <v>0</v>
      </c>
      <c r="S144" s="3">
        <f>+PRODUCTOS[[#This Row],[CANT. COMPRADA]]-PRODUCTOS[[#This Row],[DEVOLUCIONES]]</f>
        <v>50</v>
      </c>
      <c r="T144" s="3">
        <f>+IFERROR(PRODUCTOS[[#This Row],[CANTIDAD RECIBIDA]]/PRODUCTOS[[#This Row],[CANT X MODULO]],"")</f>
        <v>95.238095238095241</v>
      </c>
      <c r="U144" s="3">
        <f>+SUMIFS(DETALLE_GD_1[VALOR TOTAL POR ITEM GD],DETALLE_GD_1[CODIGO],PRODUCTOS[[#This Row],[CODIGO]])</f>
        <v>523291</v>
      </c>
      <c r="V144" s="3">
        <f>+IFERROR(PRODUCTOS[[#This Row],[PRECIO DE COMPRA]]/PRODUCTOS[[#This Row],[CANT. COMPRADA]],"")</f>
        <v>10465.82</v>
      </c>
      <c r="W144" s="3">
        <f>+IFERROR(PRODUCTOS[[#This Row],[PRECIO COMPRA UNITARIO]]*PRODUCTOS[[#This Row],[PPTO FALTANTE]],"")</f>
        <v>3344876.0720000002</v>
      </c>
      <c r="X144" s="7" t="str">
        <f>+IFERROR(PRODUCTOS[[#This Row],[PROYECCION COMPRA]]/PRODUCTOS[[#This Row],[PPTO TOTAL]]-1,"")</f>
        <v/>
      </c>
      <c r="Y144" s="3">
        <f>+IFERROR((PRODUCTOS[[#This Row],[CANT X MODULO]]*704)-PRODUCTOS[[#This Row],[CANT. COMPRADA]],"")</f>
        <v>319.60000000000002</v>
      </c>
      <c r="Z144" s="17">
        <f>+IFERROR(PRODUCTOS[[#This Row],[CANT. COMPRADA]]/PRODUCTOS[[#This Row],[PPTO FALTANTE]],"")</f>
        <v>0.15644555694618273</v>
      </c>
      <c r="AA144" s="3">
        <f>+IFERROR(PRODUCTOS[[#This Row],[PROYECCION COMPRA]]-(PRODUCTOS[[#This Row],[PPTO FALTANTE]]*PRODUCTOS[[#This Row],[PPTO]]),"")</f>
        <v>3344876.0720000002</v>
      </c>
      <c r="AB144" s="3">
        <f>+_xlfn.XLOOKUP(PRODUCTOS[[#This Row],[CODIGO]],DETALLE_GD_1[CODIGO],DETALLE_GD_1[VALOR PPTO],"",0)</f>
        <v>10466</v>
      </c>
      <c r="AC144" s="3">
        <f>+AB144-PRODUCTOS[[#This Row],[PPTO_ACTUALIZADO]]</f>
        <v>0</v>
      </c>
    </row>
    <row r="145" spans="1:29" hidden="1" x14ac:dyDescent="0.25">
      <c r="A145">
        <v>1103087</v>
      </c>
      <c r="B145" t="s">
        <v>490</v>
      </c>
      <c r="C145" t="s">
        <v>686</v>
      </c>
      <c r="D145" t="s">
        <v>355</v>
      </c>
      <c r="E145" t="s">
        <v>355</v>
      </c>
      <c r="G145" s="6" t="s">
        <v>137</v>
      </c>
      <c r="H145" s="2">
        <v>9841</v>
      </c>
      <c r="I145" t="b">
        <v>0</v>
      </c>
      <c r="J145" t="str">
        <f>+_xlfn.XLOOKUP(PRODUCTOS[[#This Row],[CODIGO]],P_CRITICOS[CODIGO],P_CRITICOS[DESC CORTA],"",0)</f>
        <v/>
      </c>
      <c r="K145" t="str">
        <f>+IFERROR(IF(VLOOKUP(PRODUCTOS[[#This Row],[CODIGO]],P_CRITICOS[],3,0)="*","PRODUCTO CRITICO","NO CRITICO"),"NO CRITICO")</f>
        <v>NO CRITICO</v>
      </c>
      <c r="L145" s="15">
        <f>+_xlfn.XLOOKUP(PRODUCTOS[[#This Row],[CODIGO]],BD_MODULO[Artículo],BD_MODULO[CUB_ACTUALIZADA],"",0)</f>
        <v>0.52500000000000002</v>
      </c>
      <c r="M145" s="2">
        <f>+IFERROR(PRODUCTOS[[#This Row],[PPTO]]*PRODUCTOS[[#This Row],[CANT X MODULO]],"")</f>
        <v>0</v>
      </c>
      <c r="N145" s="2">
        <f>+IFERROR(PRODUCTOS[[#This Row],[PPTO X MODULO]]*32,"")</f>
        <v>0</v>
      </c>
      <c r="O145" s="2">
        <f>+IFERROR(PRODUCTOS[[#This Row],[PPTO X TORRE]]*22,"")</f>
        <v>0</v>
      </c>
      <c r="P145" s="3">
        <f>+IFERROR(PRODUCTOS[[#This Row],[CANT X MODULO]]*702,"")</f>
        <v>368.55</v>
      </c>
      <c r="Q145" s="3">
        <f>+SUMIFS(DETALLE_GD_1[CANTIDAD SOLICITADA],DETALLE_GD_1[CODIGO],PRODUCTOS[[#This Row],[CODIGO]])</f>
        <v>50</v>
      </c>
      <c r="R145" s="3">
        <f>+SUMIFS(DETALLE_GD_1[DEVOLUCIÓN],DETALLE_GD_1[CODIGO],PRODUCTOS[[#This Row],[CODIGO]])</f>
        <v>0</v>
      </c>
      <c r="S145" s="3">
        <f>+PRODUCTOS[[#This Row],[CANT. COMPRADA]]-PRODUCTOS[[#This Row],[DEVOLUCIONES]]</f>
        <v>50</v>
      </c>
      <c r="T145" s="3">
        <f>+IFERROR(PRODUCTOS[[#This Row],[CANTIDAD RECIBIDA]]/PRODUCTOS[[#This Row],[CANT X MODULO]],"")</f>
        <v>95.238095238095241</v>
      </c>
      <c r="U145" s="3">
        <f>+SUMIFS(DETALLE_GD_1[VALOR TOTAL POR ITEM GD],DETALLE_GD_1[CODIGO],PRODUCTOS[[#This Row],[CODIGO]])</f>
        <v>492044</v>
      </c>
      <c r="V145" s="3">
        <f>+IFERROR(PRODUCTOS[[#This Row],[PRECIO DE COMPRA]]/PRODUCTOS[[#This Row],[CANT. COMPRADA]],"")</f>
        <v>9840.8799999999992</v>
      </c>
      <c r="W145" s="3">
        <f>+IFERROR(PRODUCTOS[[#This Row],[PRECIO COMPRA UNITARIO]]*PRODUCTOS[[#This Row],[PPTO FALTANTE]],"")</f>
        <v>3145145.2480000001</v>
      </c>
      <c r="X145" s="7" t="str">
        <f>+IFERROR(PRODUCTOS[[#This Row],[PROYECCION COMPRA]]/PRODUCTOS[[#This Row],[PPTO TOTAL]]-1,"")</f>
        <v/>
      </c>
      <c r="Y145" s="3">
        <f>+IFERROR((PRODUCTOS[[#This Row],[CANT X MODULO]]*704)-PRODUCTOS[[#This Row],[CANT. COMPRADA]],"")</f>
        <v>319.60000000000002</v>
      </c>
      <c r="Z145" s="17">
        <f>+IFERROR(PRODUCTOS[[#This Row],[CANT. COMPRADA]]/PRODUCTOS[[#This Row],[PPTO FALTANTE]],"")</f>
        <v>0.15644555694618273</v>
      </c>
      <c r="AA145" s="3">
        <f>+IFERROR(PRODUCTOS[[#This Row],[PROYECCION COMPRA]]-(PRODUCTOS[[#This Row],[PPTO FALTANTE]]*PRODUCTOS[[#This Row],[PPTO]]),"")</f>
        <v>3145145.2480000001</v>
      </c>
      <c r="AB145" s="3">
        <f>+_xlfn.XLOOKUP(PRODUCTOS[[#This Row],[CODIGO]],DETALLE_GD_1[CODIGO],DETALLE_GD_1[VALOR PPTO],"",0)</f>
        <v>9841</v>
      </c>
      <c r="AC145" s="3">
        <f>+AB145-PRODUCTOS[[#This Row],[PPTO_ACTUALIZADO]]</f>
        <v>0</v>
      </c>
    </row>
    <row r="146" spans="1:29" hidden="1" x14ac:dyDescent="0.25">
      <c r="A146">
        <v>304002</v>
      </c>
      <c r="B146" t="s">
        <v>37</v>
      </c>
      <c r="C146" t="s">
        <v>545</v>
      </c>
      <c r="D146" t="s">
        <v>240</v>
      </c>
      <c r="E146" t="s">
        <v>402</v>
      </c>
      <c r="F146" s="2">
        <v>21246.507152999999</v>
      </c>
      <c r="G146" s="6" t="s">
        <v>18</v>
      </c>
      <c r="H146" s="2">
        <v>21246.507152999999</v>
      </c>
      <c r="I146" t="b">
        <v>1</v>
      </c>
      <c r="J146" t="str">
        <f>+_xlfn.XLOOKUP(PRODUCTOS[[#This Row],[CODIGO]],P_CRITICOS[CODIGO],P_CRITICOS[DESC CORTA],"",0)</f>
        <v>SMARTPANEL</v>
      </c>
      <c r="K146" t="str">
        <f>+IFERROR(IF(VLOOKUP(PRODUCTOS[[#This Row],[CODIGO]],P_CRITICOS[],3,0)="*","PRODUCTO CRITICO","NO CRITICO"),"NO CRITICO")</f>
        <v>PRODUCTO CRITICO</v>
      </c>
      <c r="L146" s="15">
        <f>+_xlfn.XLOOKUP(PRODUCTOS[[#This Row],[CODIGO]],BD_MODULO[Artículo],BD_MODULO[CUB_ACTUALIZADA],"",0)</f>
        <v>23.296874999999996</v>
      </c>
      <c r="M146" s="2">
        <f>+IFERROR(PRODUCTOS[[#This Row],[PPTO]]*PRODUCTOS[[#This Row],[CANT X MODULO]],"")</f>
        <v>494977.22133004677</v>
      </c>
      <c r="N146" s="2">
        <f>+IFERROR(PRODUCTOS[[#This Row],[PPTO X MODULO]]*32,"")</f>
        <v>15839271.082561497</v>
      </c>
      <c r="O146" s="2">
        <f>+IFERROR(PRODUCTOS[[#This Row],[PPTO X TORRE]]*22,"")</f>
        <v>348463963.8163529</v>
      </c>
      <c r="P146" s="3">
        <f>+IFERROR(PRODUCTOS[[#This Row],[CANT X MODULO]]*702,"")</f>
        <v>16354.406249999998</v>
      </c>
      <c r="Q146" s="3">
        <f>+SUMIFS(DETALLE_GD_1[CANTIDAD SOLICITADA],DETALLE_GD_1[CODIGO],PRODUCTOS[[#This Row],[CODIGO]])</f>
        <v>2207</v>
      </c>
      <c r="R146" s="3">
        <f>+SUMIFS(DETALLE_GD_1[DEVOLUCIÓN],DETALLE_GD_1[CODIGO],PRODUCTOS[[#This Row],[CODIGO]])</f>
        <v>0</v>
      </c>
      <c r="S146" s="3">
        <f>+PRODUCTOS[[#This Row],[CANT. COMPRADA]]-PRODUCTOS[[#This Row],[DEVOLUCIONES]]</f>
        <v>2207</v>
      </c>
      <c r="T146" s="3">
        <f>+IFERROR(PRODUCTOS[[#This Row],[CANTIDAD RECIBIDA]]/PRODUCTOS[[#This Row],[CANT X MODULO]],"")</f>
        <v>94.733735747820276</v>
      </c>
      <c r="U146" s="3">
        <f>+SUMIFS(DETALLE_GD_1[VALOR TOTAL POR ITEM GD],DETALLE_GD_1[CODIGO],PRODUCTOS[[#This Row],[CODIGO]])</f>
        <v>47625002</v>
      </c>
      <c r="V146" s="3">
        <f>+IFERROR(PRODUCTOS[[#This Row],[PRECIO DE COMPRA]]/PRODUCTOS[[#This Row],[CANT. COMPRADA]],"")</f>
        <v>21579.067512460355</v>
      </c>
      <c r="W146" s="3">
        <f>+IFERROR(PRODUCTOS[[#This Row],[PRECIO COMPRA UNITARIO]]*PRODUCTOS[[#This Row],[PPTO FALTANTE]],"")</f>
        <v>306293284.27186221</v>
      </c>
      <c r="X146" s="7">
        <f>+IFERROR(PRODUCTOS[[#This Row],[PROYECCION COMPRA]]/PRODUCTOS[[#This Row],[PPTO TOTAL]]-1,"")</f>
        <v>-0.12101876785949506</v>
      </c>
      <c r="Y146" s="3">
        <f>+IFERROR((PRODUCTOS[[#This Row],[CANT X MODULO]]*704)-PRODUCTOS[[#This Row],[CANT. COMPRADA]],"")</f>
        <v>14193.999999999996</v>
      </c>
      <c r="Z146" s="17">
        <f>+IFERROR(PRODUCTOS[[#This Row],[CANT. COMPRADA]]/PRODUCTOS[[#This Row],[PPTO FALTANTE]],"")</f>
        <v>0.15548823446526705</v>
      </c>
      <c r="AA146" s="3">
        <f>+IFERROR(PRODUCTOS[[#This Row],[PROYECCION COMPRA]]-(PRODUCTOS[[#This Row],[PPTO FALTANTE]]*PRODUCTOS[[#This Row],[PPTO]]),"")</f>
        <v>4720361.7421802878</v>
      </c>
      <c r="AB146" s="3">
        <f>+_xlfn.XLOOKUP(PRODUCTOS[[#This Row],[CODIGO]],DETALLE_GD_1[CODIGO],DETALLE_GD_1[VALOR PPTO],"",0)</f>
        <v>21246.5072</v>
      </c>
      <c r="AC146" s="3">
        <f>+AB146-PRODUCTOS[[#This Row],[PPTO_ACTUALIZADO]]</f>
        <v>4.7000001359265298E-5</v>
      </c>
    </row>
    <row r="147" spans="1:29" hidden="1" x14ac:dyDescent="0.25">
      <c r="A147">
        <v>1902014</v>
      </c>
      <c r="B147" t="s">
        <v>316</v>
      </c>
      <c r="C147" t="s">
        <v>300</v>
      </c>
      <c r="D147" t="s">
        <v>240</v>
      </c>
      <c r="E147">
        <v>0</v>
      </c>
      <c r="F147" s="2">
        <v>29779</v>
      </c>
      <c r="G147" s="6" t="s">
        <v>18</v>
      </c>
      <c r="H147" s="2">
        <v>29779.000000000004</v>
      </c>
      <c r="I147" t="b">
        <v>1</v>
      </c>
      <c r="J147" t="str">
        <f>+_xlfn.XLOOKUP(PRODUCTOS[[#This Row],[CODIGO]],P_CRITICOS[CODIGO],P_CRITICOS[DESC CORTA],"",0)</f>
        <v>VOLCOGLASS</v>
      </c>
      <c r="K147" t="str">
        <f>+IFERROR(IF(VLOOKUP(PRODUCTOS[[#This Row],[CODIGO]],P_CRITICOS[],3,0)="*","PRODUCTO CRITICO","NO CRITICO"),"NO CRITICO")</f>
        <v>PRODUCTO CRITICO</v>
      </c>
      <c r="L147" s="15">
        <f>+_xlfn.XLOOKUP(PRODUCTOS[[#This Row],[CODIGO]],BD_MODULO[Artículo],BD_MODULO[CUB_ACTUALIZADA],"",0)</f>
        <v>5.5125000000000002</v>
      </c>
      <c r="M147" s="2">
        <f>+IFERROR(PRODUCTOS[[#This Row],[PPTO]]*PRODUCTOS[[#This Row],[CANT X MODULO]],"")</f>
        <v>164156.73750000002</v>
      </c>
      <c r="N147" s="2">
        <f>+IFERROR(PRODUCTOS[[#This Row],[PPTO X MODULO]]*32,"")</f>
        <v>5253015.6000000006</v>
      </c>
      <c r="O147" s="2">
        <f>+IFERROR(PRODUCTOS[[#This Row],[PPTO X TORRE]]*22,"")</f>
        <v>115566343.20000002</v>
      </c>
      <c r="P147" s="3">
        <f>+IFERROR(PRODUCTOS[[#This Row],[CANT X MODULO]]*702,"")</f>
        <v>3869.7750000000001</v>
      </c>
      <c r="Q147" s="3">
        <f>+SUMIFS(DETALLE_GD_1[CANTIDAD SOLICITADA],DETALLE_GD_1[CODIGO],PRODUCTOS[[#This Row],[CODIGO]])</f>
        <v>520</v>
      </c>
      <c r="R147" s="3">
        <f>+SUMIFS(DETALLE_GD_1[DEVOLUCIÓN],DETALLE_GD_1[CODIGO],PRODUCTOS[[#This Row],[CODIGO]])</f>
        <v>0</v>
      </c>
      <c r="S147" s="3">
        <f>+PRODUCTOS[[#This Row],[CANT. COMPRADA]]-PRODUCTOS[[#This Row],[DEVOLUCIONES]]</f>
        <v>520</v>
      </c>
      <c r="T147" s="3">
        <f>+IFERROR(PRODUCTOS[[#This Row],[CANTIDAD RECIBIDA]]/PRODUCTOS[[#This Row],[CANT X MODULO]],"")</f>
        <v>94.331065759637184</v>
      </c>
      <c r="U147" s="3">
        <f>+SUMIFS(DETALLE_GD_1[VALOR TOTAL POR ITEM GD],DETALLE_GD_1[CODIGO],PRODUCTOS[[#This Row],[CODIGO]])</f>
        <v>15495874</v>
      </c>
      <c r="V147" s="3">
        <f>+IFERROR(PRODUCTOS[[#This Row],[PRECIO DE COMPRA]]/PRODUCTOS[[#This Row],[CANT. COMPRADA]],"")</f>
        <v>29799.757692307692</v>
      </c>
      <c r="W147" s="3">
        <f>+IFERROR(PRODUCTOS[[#This Row],[PRECIO COMPRA UNITARIO]]*PRODUCTOS[[#This Row],[PPTO FALTANTE]],"")</f>
        <v>100151025.6523077</v>
      </c>
      <c r="X147" s="7">
        <f>+IFERROR(PRODUCTOS[[#This Row],[PROYECCION COMPRA]]/PRODUCTOS[[#This Row],[PPTO TOTAL]]-1,"")</f>
        <v>-0.13338933396044594</v>
      </c>
      <c r="Y147" s="3">
        <f>+IFERROR((PRODUCTOS[[#This Row],[CANT X MODULO]]*704)-PRODUCTOS[[#This Row],[CANT. COMPRADA]],"")</f>
        <v>3360.8</v>
      </c>
      <c r="Z147" s="17">
        <f>+IFERROR(PRODUCTOS[[#This Row],[CANT. COMPRADA]]/PRODUCTOS[[#This Row],[PPTO FALTANTE]],"")</f>
        <v>0.1547250654606046</v>
      </c>
      <c r="AA147" s="3">
        <f>+IFERROR(PRODUCTOS[[#This Row],[PROYECCION COMPRA]]-(PRODUCTOS[[#This Row],[PPTO FALTANTE]]*PRODUCTOS[[#This Row],[PPTO]]),"")</f>
        <v>69762.452307701111</v>
      </c>
      <c r="AB147" s="3">
        <f>+_xlfn.XLOOKUP(PRODUCTOS[[#This Row],[CODIGO]],DETALLE_GD_1[CODIGO],DETALLE_GD_1[VALOR PPTO],"",0)</f>
        <v>29779</v>
      </c>
      <c r="AC147" s="3">
        <f>+AB147-PRODUCTOS[[#This Row],[PPTO_ACTUALIZADO]]</f>
        <v>0</v>
      </c>
    </row>
    <row r="148" spans="1:29" hidden="1" x14ac:dyDescent="0.25">
      <c r="A148">
        <v>407011</v>
      </c>
      <c r="B148" t="s">
        <v>30</v>
      </c>
      <c r="C148" t="s">
        <v>549</v>
      </c>
      <c r="D148" t="s">
        <v>240</v>
      </c>
      <c r="E148" t="s">
        <v>399</v>
      </c>
      <c r="F148" s="2">
        <v>473.17523999999997</v>
      </c>
      <c r="G148" s="6" t="s">
        <v>31</v>
      </c>
      <c r="H148" s="2">
        <v>473.17523999999992</v>
      </c>
      <c r="I148" t="b">
        <v>1</v>
      </c>
      <c r="J148" t="str">
        <f>+_xlfn.XLOOKUP(PRODUCTOS[[#This Row],[CODIGO]],P_CRITICOS[CODIGO],P_CRITICOS[DESC CORTA],"",0)</f>
        <v>TORNILLO SIMPSON 6"</v>
      </c>
      <c r="K148" t="str">
        <f>+IFERROR(IF(VLOOKUP(PRODUCTOS[[#This Row],[CODIGO]],P_CRITICOS[],3,0)="*","PRODUCTO CRITICO","NO CRITICO"),"NO CRITICO")</f>
        <v>PRODUCTO CRITICO</v>
      </c>
      <c r="L148" s="15">
        <f>+_xlfn.XLOOKUP(PRODUCTOS[[#This Row],[CODIGO]],BD_MODULO[Artículo],BD_MODULO[CUB_ACTUALIZADA],"",0)</f>
        <v>588</v>
      </c>
      <c r="M148" s="2">
        <f>+IFERROR(PRODUCTOS[[#This Row],[PPTO]]*PRODUCTOS[[#This Row],[CANT X MODULO]],"")</f>
        <v>278227.04112000001</v>
      </c>
      <c r="N148" s="2">
        <f>+IFERROR(PRODUCTOS[[#This Row],[PPTO X MODULO]]*32,"")</f>
        <v>8903265.3158400003</v>
      </c>
      <c r="O148" s="2">
        <f>+IFERROR(PRODUCTOS[[#This Row],[PPTO X TORRE]]*22,"")</f>
        <v>195871836.94848001</v>
      </c>
      <c r="P148" s="3">
        <f>+IFERROR(PRODUCTOS[[#This Row],[CANT X MODULO]]*702,"")</f>
        <v>412776</v>
      </c>
      <c r="Q148" s="3">
        <f>+SUMIFS(DETALLE_GD_1[CANTIDAD SOLICITADA],DETALLE_GD_1[CODIGO],PRODUCTOS[[#This Row],[CODIGO]])</f>
        <v>55298</v>
      </c>
      <c r="R148" s="3">
        <f>+SUMIFS(DETALLE_GD_1[DEVOLUCIÓN],DETALLE_GD_1[CODIGO],PRODUCTOS[[#This Row],[CODIGO]])</f>
        <v>0</v>
      </c>
      <c r="S148" s="3">
        <f>+PRODUCTOS[[#This Row],[CANT. COMPRADA]]-PRODUCTOS[[#This Row],[DEVOLUCIONES]]</f>
        <v>55298</v>
      </c>
      <c r="T148" s="3">
        <f>+IFERROR(PRODUCTOS[[#This Row],[CANTIDAD RECIBIDA]]/PRODUCTOS[[#This Row],[CANT X MODULO]],"")</f>
        <v>94.044217687074834</v>
      </c>
      <c r="U148" s="3">
        <f>+SUMIFS(DETALLE_GD_1[VALOR TOTAL POR ITEM GD],DETALLE_GD_1[CODIGO],PRODUCTOS[[#This Row],[CODIGO]])</f>
        <v>25839815</v>
      </c>
      <c r="V148" s="3">
        <f>+IFERROR(PRODUCTOS[[#This Row],[PRECIO DE COMPRA]]/PRODUCTOS[[#This Row],[CANT. COMPRADA]],"")</f>
        <v>467.28299395999858</v>
      </c>
      <c r="W148" s="3">
        <f>+IFERROR(PRODUCTOS[[#This Row],[PRECIO COMPRA UNITARIO]]*PRODUCTOS[[#This Row],[PPTO FALTANTE]],"")</f>
        <v>167592914.91572934</v>
      </c>
      <c r="X148" s="7">
        <f>+IFERROR(PRODUCTOS[[#This Row],[PROYECCION COMPRA]]/PRODUCTOS[[#This Row],[PPTO TOTAL]]-1,"")</f>
        <v>-0.14437462002354551</v>
      </c>
      <c r="Y148" s="3">
        <f>+IFERROR((PRODUCTOS[[#This Row],[CANT X MODULO]]*704)-PRODUCTOS[[#This Row],[CANT. COMPRADA]],"")</f>
        <v>358654</v>
      </c>
      <c r="Z148" s="17">
        <f>+IFERROR(PRODUCTOS[[#This Row],[CANT. COMPRADA]]/PRODUCTOS[[#This Row],[PPTO FALTANTE]],"")</f>
        <v>0.15418202501575334</v>
      </c>
      <c r="AA148" s="3">
        <f>+IFERROR(PRODUCTOS[[#This Row],[PROYECCION COMPRA]]-(PRODUCTOS[[#This Row],[PPTO FALTANTE]]*PRODUCTOS[[#This Row],[PPTO]]),"")</f>
        <v>-2113277.6112306416</v>
      </c>
      <c r="AB148" s="3">
        <f>+_xlfn.XLOOKUP(PRODUCTOS[[#This Row],[CODIGO]],DETALLE_GD_1[CODIGO],DETALLE_GD_1[VALOR PPTO],"",0)</f>
        <v>473.17520000000002</v>
      </c>
      <c r="AC148" s="3">
        <f>+AB148-PRODUCTOS[[#This Row],[PPTO_ACTUALIZADO]]</f>
        <v>-3.9999999899009708E-5</v>
      </c>
    </row>
    <row r="149" spans="1:29" hidden="1" x14ac:dyDescent="0.25">
      <c r="A149" s="27">
        <v>5309018</v>
      </c>
      <c r="B149" s="27" t="s">
        <v>112</v>
      </c>
      <c r="C149">
        <v>0</v>
      </c>
      <c r="D149" s="27" t="s">
        <v>244</v>
      </c>
      <c r="E149" s="27">
        <v>0</v>
      </c>
      <c r="F149" s="28">
        <v>699.99923200000001</v>
      </c>
      <c r="G149" s="32" t="s">
        <v>113</v>
      </c>
      <c r="H149" s="2">
        <v>699.99923200000046</v>
      </c>
      <c r="I149" t="b">
        <v>1</v>
      </c>
      <c r="J149" t="str">
        <f>+_xlfn.XLOOKUP(PRODUCTOS[[#This Row],[CODIGO]],P_CRITICOS[CODIGO],P_CRITICOS[DESC CORTA],"",0)</f>
        <v/>
      </c>
      <c r="K149" s="27" t="str">
        <f>+IFERROR(IF(VLOOKUP(PRODUCTOS[[#This Row],[CODIGO]],P_CRITICOS[],3,0)="*","PRODUCTO CRITICO","NO CRITICO"),"NO CRITICO")</f>
        <v>NO CRITICO</v>
      </c>
      <c r="L149" s="33">
        <f>+_xlfn.XLOOKUP(PRODUCTOS[[#This Row],[CODIGO]],BD_MODULO[Artículo],BD_MODULO[CUB_ACTUALIZADA],"",0)</f>
        <v>34.649999999999991</v>
      </c>
      <c r="M149" s="28">
        <f>+IFERROR(PRODUCTOS[[#This Row],[PPTO]]*PRODUCTOS[[#This Row],[CANT X MODULO]],"")</f>
        <v>24254.973388799994</v>
      </c>
      <c r="N149" s="28">
        <f>+IFERROR(PRODUCTOS[[#This Row],[PPTO X MODULO]]*32,"")</f>
        <v>776159.1484415998</v>
      </c>
      <c r="O149" s="28">
        <f>+IFERROR(PRODUCTOS[[#This Row],[PPTO X TORRE]]*22,"")</f>
        <v>17075501.265715197</v>
      </c>
      <c r="P149" s="29">
        <f>+IFERROR(PRODUCTOS[[#This Row],[CANT X MODULO]]*702,"")</f>
        <v>24324.299999999996</v>
      </c>
      <c r="Q149" s="29">
        <f>+SUMIFS(DETALLE_GD_1[CANTIDAD SOLICITADA],DETALLE_GD_1[CODIGO],PRODUCTOS[[#This Row],[CODIGO]])</f>
        <v>3200</v>
      </c>
      <c r="R149" s="29">
        <f>+SUMIFS(DETALLE_GD_1[DEVOLUCIÓN],DETALLE_GD_1[CODIGO],PRODUCTOS[[#This Row],[CODIGO]])</f>
        <v>0</v>
      </c>
      <c r="S149" s="29">
        <f>+PRODUCTOS[[#This Row],[CANT. COMPRADA]]-PRODUCTOS[[#This Row],[DEVOLUCIONES]]</f>
        <v>3200</v>
      </c>
      <c r="T149" s="29">
        <f>+IFERROR(PRODUCTOS[[#This Row],[CANTIDAD RECIBIDA]]/PRODUCTOS[[#This Row],[CANT X MODULO]],"")</f>
        <v>92.35209235209237</v>
      </c>
      <c r="U149" s="29">
        <f>+SUMIFS(DETALLE_GD_1[VALOR TOTAL POR ITEM GD],DETALLE_GD_1[CODIGO],PRODUCTOS[[#This Row],[CODIGO]])</f>
        <v>2260552</v>
      </c>
      <c r="V149" s="29">
        <f>+IFERROR(PRODUCTOS[[#This Row],[PRECIO DE COMPRA]]/PRODUCTOS[[#This Row],[CANT. COMPRADA]],"")</f>
        <v>706.42250000000001</v>
      </c>
      <c r="W149" s="29">
        <f>+IFERROR(PRODUCTOS[[#This Row],[PRECIO COMPRA UNITARIO]]*PRODUCTOS[[#This Row],[PPTO FALTANTE]],"")</f>
        <v>14971635.895999996</v>
      </c>
      <c r="X149" s="30">
        <f>+IFERROR(PRODUCTOS[[#This Row],[PROYECCION COMPRA]]/PRODUCTOS[[#This Row],[PPTO TOTAL]]-1,"")</f>
        <v>-0.12320958178483565</v>
      </c>
      <c r="Y149" s="29">
        <f>+IFERROR((PRODUCTOS[[#This Row],[CANT X MODULO]]*704)-PRODUCTOS[[#This Row],[CANT. COMPRADA]],"")</f>
        <v>21193.599999999995</v>
      </c>
      <c r="Z149" s="31">
        <f>+IFERROR(PRODUCTOS[[#This Row],[CANT. COMPRADA]]/PRODUCTOS[[#This Row],[PPTO FALTANTE]],"")</f>
        <v>0.15098897780462031</v>
      </c>
      <c r="AA149" s="29">
        <f>+IFERROR(PRODUCTOS[[#This Row],[PROYECCION COMPRA]]-(PRODUCTOS[[#This Row],[PPTO FALTANTE]]*PRODUCTOS[[#This Row],[PPTO]]),"")</f>
        <v>136132.17268479988</v>
      </c>
      <c r="AB149" s="3">
        <f>+_xlfn.XLOOKUP(PRODUCTOS[[#This Row],[CODIGO]],DETALLE_GD_1[CODIGO],DETALLE_GD_1[VALOR PPTO],"",0)</f>
        <v>699.99919999999997</v>
      </c>
      <c r="AC149" s="3">
        <f>+AB149-PRODUCTOS[[#This Row],[PPTO_ACTUALIZADO]]</f>
        <v>-3.2000000487641955E-5</v>
      </c>
    </row>
    <row r="150" spans="1:29" x14ac:dyDescent="0.25">
      <c r="A150">
        <v>302010</v>
      </c>
      <c r="B150" t="s">
        <v>323</v>
      </c>
      <c r="C150" t="s">
        <v>537</v>
      </c>
      <c r="D150" t="s">
        <v>240</v>
      </c>
      <c r="E150" t="s">
        <v>403</v>
      </c>
      <c r="F150" s="2">
        <v>6585.1337450000001</v>
      </c>
      <c r="G150" s="6" t="s">
        <v>20</v>
      </c>
      <c r="H150" s="2">
        <v>6585.1337449999919</v>
      </c>
      <c r="I150" t="b">
        <v>0</v>
      </c>
      <c r="J150" t="str">
        <f>+_xlfn.XLOOKUP(PRODUCTOS[[#This Row],[CODIGO]],P_CRITICOS[CODIGO],P_CRITICOS[DESC CORTA],"",0)</f>
        <v>PINO 2X6X320</v>
      </c>
      <c r="K150" t="str">
        <f>+IFERROR(IF(VLOOKUP(PRODUCTOS[[#This Row],[CODIGO]],P_CRITICOS[],3,0)="*","PRODUCTO CRITICO","NO CRITICO"),"NO CRITICO")</f>
        <v>PRODUCTO CRITICO</v>
      </c>
      <c r="L150" s="15">
        <f>+_xlfn.XLOOKUP(PRODUCTOS[[#This Row],[CODIGO]],BD_MODULO[Artículo],BD_MODULO[CUB_ACTUALIZADA],"",0)</f>
        <v>34.912500000000023</v>
      </c>
      <c r="M150" s="2">
        <f>+IFERROR(PRODUCTOS[[#This Row],[PPTO]]*PRODUCTOS[[#This Row],[CANT X MODULO]],"")</f>
        <v>229903.48187231267</v>
      </c>
      <c r="N150" s="2">
        <f>+IFERROR(PRODUCTOS[[#This Row],[PPTO X MODULO]]*32,"")</f>
        <v>7356911.4199140053</v>
      </c>
      <c r="O150" s="2">
        <f>+IFERROR(PRODUCTOS[[#This Row],[PPTO X TORRE]]*22,"")</f>
        <v>161852051.23810813</v>
      </c>
      <c r="P150" s="3">
        <f>+IFERROR(PRODUCTOS[[#This Row],[CANT X MODULO]]*702,"")</f>
        <v>24508.575000000015</v>
      </c>
      <c r="Q150" s="3">
        <f>+SUMIFS(DETALLE_GD_1[CANTIDAD SOLICITADA],DETALLE_GD_1[CODIGO],PRODUCTOS[[#This Row],[CODIGO]])</f>
        <v>3612</v>
      </c>
      <c r="R150" s="3">
        <f>+SUMIFS(DETALLE_GD_1[DEVOLUCIÓN],DETALLE_GD_1[CODIGO],PRODUCTOS[[#This Row],[CODIGO]])</f>
        <v>588</v>
      </c>
      <c r="S150" s="3">
        <f>+PRODUCTOS[[#This Row],[CANT. COMPRADA]]-PRODUCTOS[[#This Row],[DEVOLUCIONES]]</f>
        <v>3024</v>
      </c>
      <c r="T150" s="3">
        <f>+IFERROR(PRODUCTOS[[#This Row],[CANTIDAD RECIBIDA]]/PRODUCTOS[[#This Row],[CANT X MODULO]],"")</f>
        <v>86.616541353383397</v>
      </c>
      <c r="U150" s="3">
        <f>+SUMIFS(DETALLE_GD_1[VALOR TOTAL POR ITEM GD],DETALLE_GD_1[CODIGO],PRODUCTOS[[#This Row],[CODIGO]])</f>
        <v>20107495</v>
      </c>
      <c r="V150" s="3">
        <f>+IFERROR(PRODUCTOS[[#This Row],[PRECIO DE COMPRA]]/PRODUCTOS[[#This Row],[CANT. COMPRADA]],"")</f>
        <v>5566.8590808416393</v>
      </c>
      <c r="W150" s="3">
        <f>+IFERROR(PRODUCTOS[[#This Row],[PRECIO COMPRA UNITARIO]]*PRODUCTOS[[#This Row],[PPTO FALTANTE]],"")</f>
        <v>116716994.23255824</v>
      </c>
      <c r="X150" s="7">
        <f>+IFERROR(PRODUCTOS[[#This Row],[PROYECCION COMPRA]]/PRODUCTOS[[#This Row],[PPTO TOTAL]]-1,"")</f>
        <v>-0.27886614139446153</v>
      </c>
      <c r="Y150" s="3">
        <f>+IFERROR((PRODUCTOS[[#This Row],[CANT X MODULO]]*704)-PRODUCTOS[[#This Row],[CANT. COMPRADA]],"")</f>
        <v>20966.400000000016</v>
      </c>
      <c r="Z150" s="17">
        <f>+IFERROR(PRODUCTOS[[#This Row],[CANT. COMPRADA]]/PRODUCTOS[[#This Row],[PPTO FALTANTE]],"")</f>
        <v>0.17227564102564089</v>
      </c>
      <c r="AA150" s="3">
        <f>+IFERROR(PRODUCTOS[[#This Row],[PROYECCION COMPRA]]-(PRODUCTOS[[#This Row],[PPTO FALTANTE]]*PRODUCTOS[[#This Row],[PPTO]]),"")</f>
        <v>-21349553.918609872</v>
      </c>
      <c r="AB150" s="3">
        <f>+_xlfn.XLOOKUP(PRODUCTOS[[#This Row],[CODIGO]],DETALLE_GD_1[CODIGO],DETALLE_GD_1[VALOR PPTO],"",0)</f>
        <v>6585.1337000000003</v>
      </c>
      <c r="AC150" s="3">
        <f>+AB150-PRODUCTOS[[#This Row],[PPTO_ACTUALIZADO]]</f>
        <v>-4.4999991587246768E-5</v>
      </c>
    </row>
    <row r="151" spans="1:29" hidden="1" x14ac:dyDescent="0.25">
      <c r="A151">
        <v>602256</v>
      </c>
      <c r="B151" t="s">
        <v>495</v>
      </c>
      <c r="C151">
        <v>0</v>
      </c>
      <c r="D151" t="s">
        <v>355</v>
      </c>
      <c r="E151" t="s">
        <v>355</v>
      </c>
      <c r="G151" s="6" t="s">
        <v>355</v>
      </c>
      <c r="H151" s="2">
        <v>59000</v>
      </c>
      <c r="I151" t="b">
        <v>0</v>
      </c>
      <c r="J151" t="str">
        <f>+_xlfn.XLOOKUP(PRODUCTOS[[#This Row],[CODIGO]],P_CRITICOS[CODIGO],P_CRITICOS[DESC CORTA],"",0)</f>
        <v/>
      </c>
      <c r="K151" t="str">
        <f>+IFERROR(IF(VLOOKUP(PRODUCTOS[[#This Row],[CODIGO]],P_CRITICOS[],3,0)="*","PRODUCTO CRITICO","NO CRITICO"),"NO CRITICO")</f>
        <v>NO CRITICO</v>
      </c>
      <c r="L151" s="15">
        <f>+_xlfn.XLOOKUP(PRODUCTOS[[#This Row],[CODIGO]],BD_MODULO[Artículo],BD_MODULO[CUB_ACTUALIZADA],"",0)</f>
        <v>2.3099999999999999E-2</v>
      </c>
      <c r="M151" s="2">
        <f>+IFERROR(PRODUCTOS[[#This Row],[PPTO]]*PRODUCTOS[[#This Row],[CANT X MODULO]],"")</f>
        <v>0</v>
      </c>
      <c r="N151" s="2">
        <f>+IFERROR(PRODUCTOS[[#This Row],[PPTO X MODULO]]*32,"")</f>
        <v>0</v>
      </c>
      <c r="O151" s="2">
        <f>+IFERROR(PRODUCTOS[[#This Row],[PPTO X TORRE]]*22,"")</f>
        <v>0</v>
      </c>
      <c r="P151" s="3">
        <f>+IFERROR(PRODUCTOS[[#This Row],[CANT X MODULO]]*702,"")</f>
        <v>16.216200000000001</v>
      </c>
      <c r="Q151" s="3">
        <f>+SUMIFS(DETALLE_GD_1[CANTIDAD SOLICITADA],DETALLE_GD_1[CODIGO],PRODUCTOS[[#This Row],[CODIGO]])</f>
        <v>2</v>
      </c>
      <c r="R151" s="3">
        <f>+SUMIFS(DETALLE_GD_1[DEVOLUCIÓN],DETALLE_GD_1[CODIGO],PRODUCTOS[[#This Row],[CODIGO]])</f>
        <v>0</v>
      </c>
      <c r="S151" s="3">
        <f>+PRODUCTOS[[#This Row],[CANT. COMPRADA]]-PRODUCTOS[[#This Row],[DEVOLUCIONES]]</f>
        <v>2</v>
      </c>
      <c r="T151" s="3">
        <f>+IFERROR(PRODUCTOS[[#This Row],[CANTIDAD RECIBIDA]]/PRODUCTOS[[#This Row],[CANT X MODULO]],"")</f>
        <v>86.580086580086586</v>
      </c>
      <c r="U151" s="3">
        <f>+SUMIFS(DETALLE_GD_1[VALOR TOTAL POR ITEM GD],DETALLE_GD_1[CODIGO],PRODUCTOS[[#This Row],[CODIGO]])</f>
        <v>118000</v>
      </c>
      <c r="V151" s="3">
        <f>+IFERROR(PRODUCTOS[[#This Row],[PRECIO DE COMPRA]]/PRODUCTOS[[#This Row],[CANT. COMPRADA]],"")</f>
        <v>59000</v>
      </c>
      <c r="W151" s="3">
        <f>+IFERROR(PRODUCTOS[[#This Row],[PRECIO COMPRA UNITARIO]]*PRODUCTOS[[#This Row],[PPTO FALTANTE]],"")</f>
        <v>841481.6</v>
      </c>
      <c r="X151" s="7" t="str">
        <f>+IFERROR(PRODUCTOS[[#This Row],[PROYECCION COMPRA]]/PRODUCTOS[[#This Row],[PPTO TOTAL]]-1,"")</f>
        <v/>
      </c>
      <c r="Y151" s="3">
        <f>+IFERROR((PRODUCTOS[[#This Row],[CANT X MODULO]]*704)-PRODUCTOS[[#This Row],[CANT. COMPRADA]],"")</f>
        <v>14.2624</v>
      </c>
      <c r="Z151" s="17">
        <f>+IFERROR(PRODUCTOS[[#This Row],[CANT. COMPRADA]]/PRODUCTOS[[#This Row],[PPTO FALTANTE]],"")</f>
        <v>0.14022885348889388</v>
      </c>
      <c r="AA151" s="3">
        <f>+IFERROR(PRODUCTOS[[#This Row],[PROYECCION COMPRA]]-(PRODUCTOS[[#This Row],[PPTO FALTANTE]]*PRODUCTOS[[#This Row],[PPTO]]),"")</f>
        <v>841481.6</v>
      </c>
      <c r="AB151" s="3">
        <f>+_xlfn.XLOOKUP(PRODUCTOS[[#This Row],[CODIGO]],DETALLE_GD_1[CODIGO],DETALLE_GD_1[VALOR PPTO],"",0)</f>
        <v>59000</v>
      </c>
      <c r="AC151" s="3">
        <f>+AB151-PRODUCTOS[[#This Row],[PPTO_ACTUALIZADO]]</f>
        <v>0</v>
      </c>
    </row>
    <row r="152" spans="1:29" hidden="1" x14ac:dyDescent="0.25">
      <c r="A152">
        <v>602254</v>
      </c>
      <c r="B152" t="s">
        <v>214</v>
      </c>
      <c r="C152">
        <v>0</v>
      </c>
      <c r="D152" t="s">
        <v>244</v>
      </c>
      <c r="E152" t="s">
        <v>407</v>
      </c>
      <c r="F152" s="2">
        <v>46060</v>
      </c>
      <c r="G152" s="6" t="s">
        <v>25</v>
      </c>
      <c r="H152" s="2">
        <v>46060</v>
      </c>
      <c r="I152" t="b">
        <v>1</v>
      </c>
      <c r="J152" t="str">
        <f>+_xlfn.XLOOKUP(PRODUCTOS[[#This Row],[CODIGO]],P_CRITICOS[CODIGO],P_CRITICOS[DESC CORTA],"",0)</f>
        <v/>
      </c>
      <c r="K152" t="str">
        <f>+IFERROR(IF(VLOOKUP(PRODUCTOS[[#This Row],[CODIGO]],P_CRITICOS[],3,0)="*","PRODUCTO CRITICO","NO CRITICO"),"NO CRITICO")</f>
        <v>NO CRITICO</v>
      </c>
      <c r="L152" s="15">
        <f>+_xlfn.XLOOKUP(PRODUCTOS[[#This Row],[CODIGO]],BD_MODULO[Artículo],BD_MODULO[CUB_ACTUALIZADA],"",0)</f>
        <v>0.35920828125000004</v>
      </c>
      <c r="M152" s="2">
        <f>+IFERROR(PRODUCTOS[[#This Row],[PPTO]]*PRODUCTOS[[#This Row],[CANT X MODULO]],"")</f>
        <v>16545.133434375002</v>
      </c>
      <c r="N152" s="2">
        <f>+IFERROR(PRODUCTOS[[#This Row],[PPTO X MODULO]]*32,"")</f>
        <v>529444.26990000007</v>
      </c>
      <c r="O152" s="2">
        <f>+IFERROR(PRODUCTOS[[#This Row],[PPTO X TORRE]]*22,"")</f>
        <v>11647773.937800001</v>
      </c>
      <c r="P152" s="3">
        <f>+IFERROR(PRODUCTOS[[#This Row],[CANT X MODULO]]*702,"")</f>
        <v>252.16421343750002</v>
      </c>
      <c r="Q152" s="3">
        <f>+SUMIFS(DETALLE_GD_1[CANTIDAD SOLICITADA],DETALLE_GD_1[CODIGO],PRODUCTOS[[#This Row],[CODIGO]])</f>
        <v>32</v>
      </c>
      <c r="R152" s="3">
        <f>+SUMIFS(DETALLE_GD_1[DEVOLUCIÓN],DETALLE_GD_1[CODIGO],PRODUCTOS[[#This Row],[CODIGO]])</f>
        <v>1</v>
      </c>
      <c r="S152" s="3">
        <f>+PRODUCTOS[[#This Row],[CANT. COMPRADA]]-PRODUCTOS[[#This Row],[DEVOLUCIONES]]</f>
        <v>31</v>
      </c>
      <c r="T152" s="3">
        <f>+IFERROR(PRODUCTOS[[#This Row],[CANTIDAD RECIBIDA]]/PRODUCTOS[[#This Row],[CANT X MODULO]],"")</f>
        <v>86.300905681026791</v>
      </c>
      <c r="U152" s="3">
        <f>+SUMIFS(DETALLE_GD_1[VALOR TOTAL POR ITEM GD],DETALLE_GD_1[CODIGO],PRODUCTOS[[#This Row],[CODIGO]])</f>
        <v>1427860</v>
      </c>
      <c r="V152" s="3">
        <f>+IFERROR(PRODUCTOS[[#This Row],[PRECIO DE COMPRA]]/PRODUCTOS[[#This Row],[CANT. COMPRADA]],"")</f>
        <v>44620.625</v>
      </c>
      <c r="W152" s="3">
        <f>+IFERROR(PRODUCTOS[[#This Row],[PRECIO COMPRA UNITARIO]]*PRODUCTOS[[#This Row],[PPTO FALTANTE]],"")</f>
        <v>9855921.0022437517</v>
      </c>
      <c r="X152" s="7">
        <f>+IFERROR(PRODUCTOS[[#This Row],[PROYECCION COMPRA]]/PRODUCTOS[[#This Row],[PPTO TOTAL]]-1,"")</f>
        <v>-0.15383651375145846</v>
      </c>
      <c r="Y152" s="3">
        <f>+IFERROR((PRODUCTOS[[#This Row],[CANT X MODULO]]*704)-PRODUCTOS[[#This Row],[CANT. COMPRADA]],"")</f>
        <v>220.88263000000003</v>
      </c>
      <c r="Z152" s="17">
        <f>+IFERROR(PRODUCTOS[[#This Row],[CANT. COMPRADA]]/PRODUCTOS[[#This Row],[PPTO FALTANTE]],"")</f>
        <v>0.14487332027873806</v>
      </c>
      <c r="AA152" s="3">
        <f>+IFERROR(PRODUCTOS[[#This Row],[PROYECCION COMPRA]]-(PRODUCTOS[[#This Row],[PPTO FALTANTE]]*PRODUCTOS[[#This Row],[PPTO]]),"")</f>
        <v>-317932.93555624969</v>
      </c>
      <c r="AB152" s="3">
        <f>+_xlfn.XLOOKUP(PRODUCTOS[[#This Row],[CODIGO]],DETALLE_GD_1[CODIGO],DETALLE_GD_1[VALOR PPTO],"",0)</f>
        <v>46060</v>
      </c>
      <c r="AC152" s="3">
        <f>+AB152-PRODUCTOS[[#This Row],[PPTO_ACTUALIZADO]]</f>
        <v>0</v>
      </c>
    </row>
    <row r="153" spans="1:29" hidden="1" x14ac:dyDescent="0.25">
      <c r="A153">
        <v>1808003</v>
      </c>
      <c r="B153" t="s">
        <v>195</v>
      </c>
      <c r="C153">
        <v>0</v>
      </c>
      <c r="D153" t="s">
        <v>244</v>
      </c>
      <c r="E153" t="s">
        <v>406</v>
      </c>
      <c r="F153" s="2">
        <v>167.74485799999999</v>
      </c>
      <c r="G153" s="6" t="s">
        <v>31</v>
      </c>
      <c r="H153" s="2">
        <v>167.74485800000002</v>
      </c>
      <c r="I153" t="b">
        <v>1</v>
      </c>
      <c r="J153" t="str">
        <f>+_xlfn.XLOOKUP(PRODUCTOS[[#This Row],[CODIGO]],P_CRITICOS[CODIGO],P_CRITICOS[DESC CORTA],"",0)</f>
        <v/>
      </c>
      <c r="K153" t="str">
        <f>+IFERROR(IF(VLOOKUP(PRODUCTOS[[#This Row],[CODIGO]],P_CRITICOS[],3,0)="*","PRODUCTO CRITICO","NO CRITICO"),"NO CRITICO")</f>
        <v>NO CRITICO</v>
      </c>
      <c r="L153" s="15">
        <f>+_xlfn.XLOOKUP(PRODUCTOS[[#This Row],[CODIGO]],BD_MODULO[Artículo],BD_MODULO[CUB_ACTUALIZADA],"",0)</f>
        <v>0.91874999999999996</v>
      </c>
      <c r="M153" s="2">
        <f>+IFERROR(PRODUCTOS[[#This Row],[PPTO]]*PRODUCTOS[[#This Row],[CANT X MODULO]],"")</f>
        <v>154.11558828749997</v>
      </c>
      <c r="N153" s="2">
        <f>+IFERROR(PRODUCTOS[[#This Row],[PPTO X MODULO]]*32,"")</f>
        <v>4931.6988251999992</v>
      </c>
      <c r="O153" s="2">
        <f>+IFERROR(PRODUCTOS[[#This Row],[PPTO X TORRE]]*22,"")</f>
        <v>108497.37415439998</v>
      </c>
      <c r="P153" s="3">
        <f>+IFERROR(PRODUCTOS[[#This Row],[CANT X MODULO]]*702,"")</f>
        <v>644.96249999999998</v>
      </c>
      <c r="Q153" s="3">
        <f>+SUMIFS(DETALLE_GD_1[CANTIDAD SOLICITADA],DETALLE_GD_1[CODIGO],PRODUCTOS[[#This Row],[CODIGO]])</f>
        <v>79</v>
      </c>
      <c r="R153" s="3">
        <f>+SUMIFS(DETALLE_GD_1[DEVOLUCIÓN],DETALLE_GD_1[CODIGO],PRODUCTOS[[#This Row],[CODIGO]])</f>
        <v>0</v>
      </c>
      <c r="S153" s="3">
        <f>+PRODUCTOS[[#This Row],[CANT. COMPRADA]]-PRODUCTOS[[#This Row],[DEVOLUCIONES]]</f>
        <v>79</v>
      </c>
      <c r="T153" s="3">
        <f>+IFERROR(PRODUCTOS[[#This Row],[CANTIDAD RECIBIDA]]/PRODUCTOS[[#This Row],[CANT X MODULO]],"")</f>
        <v>85.986394557823132</v>
      </c>
      <c r="U153" s="3">
        <f>+SUMIFS(DETALLE_GD_1[VALOR TOTAL POR ITEM GD],DETALLE_GD_1[CODIGO],PRODUCTOS[[#This Row],[CODIGO]])</f>
        <v>13251</v>
      </c>
      <c r="V153" s="3">
        <f>+IFERROR(PRODUCTOS[[#This Row],[PRECIO DE COMPRA]]/PRODUCTOS[[#This Row],[CANT. COMPRADA]],"")</f>
        <v>167.73417721518987</v>
      </c>
      <c r="W153" s="3">
        <f>+IFERROR(PRODUCTOS[[#This Row],[PRECIO COMPRA UNITARIO]]*PRODUCTOS[[#This Row],[PPTO FALTANTE]],"")</f>
        <v>95239.465822784798</v>
      </c>
      <c r="X153" s="7">
        <f>+IFERROR(PRODUCTOS[[#This Row],[PROYECCION COMPRA]]/PRODUCTOS[[#This Row],[PPTO TOTAL]]-1,"")</f>
        <v>-0.12219566081616107</v>
      </c>
      <c r="Y153" s="3">
        <f>+IFERROR((PRODUCTOS[[#This Row],[CANT X MODULO]]*704)-PRODUCTOS[[#This Row],[CANT. COMPRADA]],"")</f>
        <v>567.79999999999995</v>
      </c>
      <c r="Z153" s="17">
        <f>+IFERROR(PRODUCTOS[[#This Row],[CANT. COMPRADA]]/PRODUCTOS[[#This Row],[PPTO FALTANTE]],"")</f>
        <v>0.13913349771046143</v>
      </c>
      <c r="AA153" s="3">
        <f>+IFERROR(PRODUCTOS[[#This Row],[PROYECCION COMPRA]]-(PRODUCTOS[[#This Row],[PPTO FALTANTE]]*PRODUCTOS[[#This Row],[PPTO]]),"")</f>
        <v>-6.0645496151846601</v>
      </c>
      <c r="AB153" s="3">
        <f>+_xlfn.XLOOKUP(PRODUCTOS[[#This Row],[CODIGO]],DETALLE_GD_1[CODIGO],DETALLE_GD_1[VALOR PPTO],"",0)</f>
        <v>167.7449</v>
      </c>
      <c r="AC153" s="3">
        <f>+AB153-PRODUCTOS[[#This Row],[PPTO_ACTUALIZADO]]</f>
        <v>4.1999999979225322E-5</v>
      </c>
    </row>
    <row r="154" spans="1:29" hidden="1" x14ac:dyDescent="0.25">
      <c r="A154">
        <v>412260</v>
      </c>
      <c r="B154" t="s">
        <v>41</v>
      </c>
      <c r="C154" t="s">
        <v>551</v>
      </c>
      <c r="D154" t="s">
        <v>240</v>
      </c>
      <c r="E154" t="s">
        <v>399</v>
      </c>
      <c r="F154" s="2">
        <v>87567.442477999997</v>
      </c>
      <c r="G154" s="6" t="s">
        <v>31</v>
      </c>
      <c r="H154" s="2">
        <v>87567.442477999983</v>
      </c>
      <c r="I154" t="b">
        <v>1</v>
      </c>
      <c r="J154" t="str">
        <f>+_xlfn.XLOOKUP(PRODUCTOS[[#This Row],[CODIGO]],P_CRITICOS[CODIGO],P_CRITICOS[DESC CORTA],"",0)</f>
        <v>HOLDOWN PB1</v>
      </c>
      <c r="K154" t="str">
        <f>+IFERROR(IF(VLOOKUP(PRODUCTOS[[#This Row],[CODIGO]],P_CRITICOS[],3,0)="*","PRODUCTO CRITICO","NO CRITICO"),"NO CRITICO")</f>
        <v>PRODUCTO CRITICO</v>
      </c>
      <c r="L154" s="15">
        <f>+_xlfn.XLOOKUP(PRODUCTOS[[#This Row],[CODIGO]],BD_MODULO[Artículo],BD_MODULO[CUB_ACTUALIZADA],"",0)</f>
        <v>5.7750000000000004</v>
      </c>
      <c r="M154" s="2">
        <f>+IFERROR(PRODUCTOS[[#This Row],[PPTO]]*PRODUCTOS[[#This Row],[CANT X MODULO]],"")</f>
        <v>505701.98031045002</v>
      </c>
      <c r="N154" s="2">
        <f>+IFERROR(PRODUCTOS[[#This Row],[PPTO X MODULO]]*32,"")</f>
        <v>16182463.369934401</v>
      </c>
      <c r="O154" s="2">
        <f>+IFERROR(PRODUCTOS[[#This Row],[PPTO X TORRE]]*22,"")</f>
        <v>356014194.13855684</v>
      </c>
      <c r="P154" s="3">
        <f>+IFERROR(PRODUCTOS[[#This Row],[CANT X MODULO]]*702,"")</f>
        <v>4054.05</v>
      </c>
      <c r="Q154" s="3">
        <f>+SUMIFS(DETALLE_GD_1[CANTIDAD SOLICITADA],DETALLE_GD_1[CODIGO],PRODUCTOS[[#This Row],[CODIGO]])</f>
        <v>492</v>
      </c>
      <c r="R154" s="3">
        <f>+SUMIFS(DETALLE_GD_1[DEVOLUCIÓN],DETALLE_GD_1[CODIGO],PRODUCTOS[[#This Row],[CODIGO]])</f>
        <v>0</v>
      </c>
      <c r="S154" s="3">
        <f>+PRODUCTOS[[#This Row],[CANT. COMPRADA]]-PRODUCTOS[[#This Row],[DEVOLUCIONES]]</f>
        <v>492</v>
      </c>
      <c r="T154" s="3">
        <f>+IFERROR(PRODUCTOS[[#This Row],[CANTIDAD RECIBIDA]]/PRODUCTOS[[#This Row],[CANT X MODULO]],"")</f>
        <v>85.194805194805184</v>
      </c>
      <c r="U154" s="3">
        <f>+SUMIFS(DETALLE_GD_1[VALOR TOTAL POR ITEM GD],DETALLE_GD_1[CODIGO],PRODUCTOS[[#This Row],[CODIGO]])</f>
        <v>42755890</v>
      </c>
      <c r="V154" s="3">
        <f>+IFERROR(PRODUCTOS[[#This Row],[PRECIO DE COMPRA]]/PRODUCTOS[[#This Row],[CANT. COMPRADA]],"")</f>
        <v>86902.215447154478</v>
      </c>
      <c r="W154" s="3">
        <f>+IFERROR(PRODUCTOS[[#This Row],[PRECIO COMPRA UNITARIO]]*PRODUCTOS[[#This Row],[PPTO FALTANTE]],"")</f>
        <v>310553757.12195128</v>
      </c>
      <c r="X154" s="7">
        <f>+IFERROR(PRODUCTOS[[#This Row],[PROYECCION COMPRA]]/PRODUCTOS[[#This Row],[PPTO TOTAL]]-1,"")</f>
        <v>-0.12769276552752518</v>
      </c>
      <c r="Y154" s="3">
        <f>+IFERROR((PRODUCTOS[[#This Row],[CANT X MODULO]]*704)-PRODUCTOS[[#This Row],[CANT. COMPRADA]],"")</f>
        <v>3573.6000000000004</v>
      </c>
      <c r="Z154" s="17">
        <f>+IFERROR(PRODUCTOS[[#This Row],[CANT. COMPRADA]]/PRODUCTOS[[#This Row],[PPTO FALTANTE]],"")</f>
        <v>0.13767629281396909</v>
      </c>
      <c r="AA154" s="3">
        <f>+IFERROR(PRODUCTOS[[#This Row],[PROYECCION COMPRA]]-(PRODUCTOS[[#This Row],[PPTO FALTANTE]]*PRODUCTOS[[#This Row],[PPTO]]),"")</f>
        <v>-2377255.3174295425</v>
      </c>
      <c r="AB154" s="3">
        <f>+_xlfn.XLOOKUP(PRODUCTOS[[#This Row],[CODIGO]],DETALLE_GD_1[CODIGO],DETALLE_GD_1[VALOR PPTO],"",0)</f>
        <v>87567.442500000005</v>
      </c>
      <c r="AC154" s="3">
        <f>+AB154-PRODUCTOS[[#This Row],[PPTO_ACTUALIZADO]]</f>
        <v>2.2000021999701858E-5</v>
      </c>
    </row>
    <row r="155" spans="1:29" hidden="1" x14ac:dyDescent="0.25">
      <c r="A155">
        <v>701096</v>
      </c>
      <c r="B155" t="s">
        <v>204</v>
      </c>
      <c r="C155" t="s">
        <v>542</v>
      </c>
      <c r="D155" t="s">
        <v>240</v>
      </c>
      <c r="E155" t="s">
        <v>402</v>
      </c>
      <c r="F155" s="2">
        <v>16019.885684999999</v>
      </c>
      <c r="G155" s="6" t="s">
        <v>18</v>
      </c>
      <c r="H155" s="2">
        <v>16019.885685000005</v>
      </c>
      <c r="I155" t="b">
        <v>1</v>
      </c>
      <c r="J155" t="str">
        <f>+_xlfn.XLOOKUP(PRODUCTOS[[#This Row],[CODIGO]],P_CRITICOS[CODIGO],P_CRITICOS[DESC CORTA],"",0)</f>
        <v>VOCANITA EMPAPELADA MURO</v>
      </c>
      <c r="K155" t="str">
        <f>+IFERROR(IF(VLOOKUP(PRODUCTOS[[#This Row],[CODIGO]],P_CRITICOS[],3,0)="*","PRODUCTO CRITICO","NO CRITICO"),"NO CRITICO")</f>
        <v>PRODUCTO CRITICO</v>
      </c>
      <c r="L155" s="15">
        <f>+_xlfn.XLOOKUP(PRODUCTOS[[#This Row],[CODIGO]],BD_MODULO[Artículo],BD_MODULO[CUB_ACTUALIZADA],"",0)</f>
        <v>31.237499999999997</v>
      </c>
      <c r="M155" s="2">
        <f>+IFERROR(PRODUCTOS[[#This Row],[PPTO]]*PRODUCTOS[[#This Row],[CANT X MODULO]],"")</f>
        <v>500421.17908518744</v>
      </c>
      <c r="N155" s="2">
        <f>+IFERROR(PRODUCTOS[[#This Row],[PPTO X MODULO]]*32,"")</f>
        <v>16013477.730725998</v>
      </c>
      <c r="O155" s="2">
        <f>+IFERROR(PRODUCTOS[[#This Row],[PPTO X TORRE]]*22,"")</f>
        <v>352296510.07597196</v>
      </c>
      <c r="P155" s="3">
        <f>+IFERROR(PRODUCTOS[[#This Row],[CANT X MODULO]]*702,"")</f>
        <v>21928.724999999999</v>
      </c>
      <c r="Q155" s="3">
        <f>+SUMIFS(DETALLE_GD_1[CANTIDAD SOLICITADA],DETALLE_GD_1[CODIGO],PRODUCTOS[[#This Row],[CODIGO]])</f>
        <v>2644</v>
      </c>
      <c r="R155" s="3">
        <f>+SUMIFS(DETALLE_GD_1[DEVOLUCIÓN],DETALLE_GD_1[CODIGO],PRODUCTOS[[#This Row],[CODIGO]])</f>
        <v>0</v>
      </c>
      <c r="S155" s="3">
        <f>+PRODUCTOS[[#This Row],[CANT. COMPRADA]]-PRODUCTOS[[#This Row],[DEVOLUCIONES]]</f>
        <v>2644</v>
      </c>
      <c r="T155" s="3">
        <f>+IFERROR(PRODUCTOS[[#This Row],[CANTIDAD RECIBIDA]]/PRODUCTOS[[#This Row],[CANT X MODULO]],"")</f>
        <v>84.641856742697087</v>
      </c>
      <c r="U155" s="3">
        <f>+SUMIFS(DETALLE_GD_1[VALOR TOTAL POR ITEM GD],DETALLE_GD_1[CODIGO],PRODUCTOS[[#This Row],[CODIGO]])</f>
        <v>42903640</v>
      </c>
      <c r="V155" s="3">
        <f>+IFERROR(PRODUCTOS[[#This Row],[PRECIO DE COMPRA]]/PRODUCTOS[[#This Row],[CANT. COMPRADA]],"")</f>
        <v>16226.792738275341</v>
      </c>
      <c r="W155" s="3">
        <f>+IFERROR(PRODUCTOS[[#This Row],[PRECIO COMPRA UNITARIO]]*PRODUCTOS[[#This Row],[PPTO FALTANTE]],"")</f>
        <v>313943004.46596062</v>
      </c>
      <c r="X155" s="7">
        <f>+IFERROR(PRODUCTOS[[#This Row],[PROYECCION COMPRA]]/PRODUCTOS[[#This Row],[PPTO TOTAL]]-1,"")</f>
        <v>-0.10886711764967671</v>
      </c>
      <c r="Y155" s="3">
        <f>+IFERROR((PRODUCTOS[[#This Row],[CANT X MODULO]]*704)-PRODUCTOS[[#This Row],[CANT. COMPRADA]],"")</f>
        <v>19347.199999999997</v>
      </c>
      <c r="Z155" s="17">
        <f>+IFERROR(PRODUCTOS[[#This Row],[CANT. COMPRADA]]/PRODUCTOS[[#This Row],[PPTO FALTANTE]],"")</f>
        <v>0.1366606020509428</v>
      </c>
      <c r="AA155" s="3">
        <f>+IFERROR(PRODUCTOS[[#This Row],[PROYECCION COMPRA]]-(PRODUCTOS[[#This Row],[PPTO FALTANTE]]*PRODUCTOS[[#This Row],[PPTO]]),"")</f>
        <v>4003072.1411286592</v>
      </c>
      <c r="AB155" s="3">
        <f>+_xlfn.XLOOKUP(PRODUCTOS[[#This Row],[CODIGO]],DETALLE_GD_1[CODIGO],DETALLE_GD_1[VALOR PPTO],"",0)</f>
        <v>16019.885700000001</v>
      </c>
      <c r="AC155" s="3">
        <f>+AB155-PRODUCTOS[[#This Row],[PPTO_ACTUALIZADO]]</f>
        <v>1.499999598308932E-5</v>
      </c>
    </row>
    <row r="156" spans="1:29" hidden="1" x14ac:dyDescent="0.25">
      <c r="A156" t="s">
        <v>166</v>
      </c>
      <c r="B156" t="s">
        <v>167</v>
      </c>
      <c r="C156" t="s">
        <v>534</v>
      </c>
      <c r="D156" t="s">
        <v>244</v>
      </c>
      <c r="E156">
        <v>0</v>
      </c>
      <c r="F156" s="2">
        <v>11882.387917</v>
      </c>
      <c r="G156" s="6" t="s">
        <v>26</v>
      </c>
      <c r="H156" s="2">
        <v>11882.387917</v>
      </c>
      <c r="I156" t="b">
        <v>1</v>
      </c>
      <c r="J156" t="str">
        <f>+_xlfn.XLOOKUP(PRODUCTOS[[#This Row],[CODIGO]],P_CRITICOS[CODIGO],P_CRITICOS[DESC CORTA],"",0)</f>
        <v>PISO TARKET</v>
      </c>
      <c r="K156" t="str">
        <f>+IFERROR(IF(VLOOKUP(PRODUCTOS[[#This Row],[CODIGO]],P_CRITICOS[],3,0)="*","PRODUCTO CRITICO","NO CRITICO"),"NO CRITICO")</f>
        <v>PRODUCTO CRITICO</v>
      </c>
      <c r="L156" s="15">
        <f>+_xlfn.XLOOKUP(PRODUCTOS[[#This Row],[CODIGO]],BD_MODULO[Artículo],BD_MODULO[CUB_ACTUALIZADA],"",0)</f>
        <v>7.6124999999999998</v>
      </c>
      <c r="M156" s="2">
        <f>+IFERROR(PRODUCTOS[[#This Row],[PPTO]]*PRODUCTOS[[#This Row],[CANT X MODULO]],"")</f>
        <v>90454.678018162493</v>
      </c>
      <c r="N156" s="2">
        <f>+IFERROR(PRODUCTOS[[#This Row],[PPTO X MODULO]]*32,"")</f>
        <v>2894549.6965811998</v>
      </c>
      <c r="O156" s="2">
        <f>+IFERROR(PRODUCTOS[[#This Row],[PPTO X TORRE]]*22,"")</f>
        <v>63680093.324786395</v>
      </c>
      <c r="P156" s="3">
        <f>+IFERROR(PRODUCTOS[[#This Row],[CANT X MODULO]]*702,"")</f>
        <v>5343.9749999999995</v>
      </c>
      <c r="Q156" s="3">
        <f>+SUMIFS(DETALLE_GD_1[CANTIDAD SOLICITADA],DETALLE_GD_1[CODIGO],PRODUCTOS[[#This Row],[CODIGO]])</f>
        <v>640</v>
      </c>
      <c r="R156" s="3">
        <f>+SUMIFS(DETALLE_GD_1[DEVOLUCIÓN],DETALLE_GD_1[CODIGO],PRODUCTOS[[#This Row],[CODIGO]])</f>
        <v>0</v>
      </c>
      <c r="S156" s="3">
        <f>+PRODUCTOS[[#This Row],[CANT. COMPRADA]]-PRODUCTOS[[#This Row],[DEVOLUCIONES]]</f>
        <v>640</v>
      </c>
      <c r="T156" s="3">
        <f>+IFERROR(PRODUCTOS[[#This Row],[CANTIDAD RECIBIDA]]/PRODUCTOS[[#This Row],[CANT X MODULO]],"")</f>
        <v>84.072249589490966</v>
      </c>
      <c r="U156" s="3">
        <f>+SUMIFS(DETALLE_GD_1[VALOR TOTAL POR ITEM GD],DETALLE_GD_1[CODIGO],PRODUCTOS[[#This Row],[CODIGO]])</f>
        <v>8587895</v>
      </c>
      <c r="V156" s="3">
        <f>+IFERROR(PRODUCTOS[[#This Row],[PRECIO DE COMPRA]]/PRODUCTOS[[#This Row],[CANT. COMPRADA]],"")</f>
        <v>13418.5859375</v>
      </c>
      <c r="W156" s="3">
        <f>+IFERROR(PRODUCTOS[[#This Row],[PRECIO COMPRA UNITARIO]]*PRODUCTOS[[#This Row],[PPTO FALTANTE]],"")</f>
        <v>63324990.756249994</v>
      </c>
      <c r="X156" s="7">
        <f>+IFERROR(PRODUCTOS[[#This Row],[PROYECCION COMPRA]]/PRODUCTOS[[#This Row],[PPTO TOTAL]]-1,"")</f>
        <v>-5.576351258238188E-3</v>
      </c>
      <c r="Y156" s="3">
        <f>+IFERROR((PRODUCTOS[[#This Row],[CANT X MODULO]]*704)-PRODUCTOS[[#This Row],[CANT. COMPRADA]],"")</f>
        <v>4719.2</v>
      </c>
      <c r="Z156" s="17">
        <f>+IFERROR(PRODUCTOS[[#This Row],[CANT. COMPRADA]]/PRODUCTOS[[#This Row],[PPTO FALTANTE]],"")</f>
        <v>0.13561620613663333</v>
      </c>
      <c r="AA156" s="3">
        <f>+IFERROR(PRODUCTOS[[#This Row],[PROYECCION COMPRA]]-(PRODUCTOS[[#This Row],[PPTO FALTANTE]]*PRODUCTOS[[#This Row],[PPTO]]),"")</f>
        <v>7249625.6983435974</v>
      </c>
      <c r="AB156" s="3">
        <f>+_xlfn.XLOOKUP(PRODUCTOS[[#This Row],[CODIGO]],DETALLE_GD_1[CODIGO],DETALLE_GD_1[VALOR PPTO],"",0)</f>
        <v>11882.3879</v>
      </c>
      <c r="AC156" s="3">
        <f>+AB156-PRODUCTOS[[#This Row],[PPTO_ACTUALIZADO]]</f>
        <v>-1.7000000298139639E-5</v>
      </c>
    </row>
    <row r="157" spans="1:29" hidden="1" x14ac:dyDescent="0.25">
      <c r="A157">
        <v>907031</v>
      </c>
      <c r="B157" t="s">
        <v>256</v>
      </c>
      <c r="C157" t="s">
        <v>546</v>
      </c>
      <c r="D157" t="s">
        <v>240</v>
      </c>
      <c r="E157" t="s">
        <v>411</v>
      </c>
      <c r="F157" s="2">
        <v>156269.16666700001</v>
      </c>
      <c r="G157" s="6" t="s">
        <v>47</v>
      </c>
      <c r="H157" s="2">
        <v>156269.16666700004</v>
      </c>
      <c r="I157" t="b">
        <v>1</v>
      </c>
      <c r="J157" t="str">
        <f>+_xlfn.XLOOKUP(PRODUCTOS[[#This Row],[CODIGO]],P_CRITICOS[CODIGO],P_CRITICOS[DESC CORTA],"",0)</f>
        <v>MEMBRANA PVC</v>
      </c>
      <c r="K157" t="str">
        <f>+IFERROR(IF(VLOOKUP(PRODUCTOS[[#This Row],[CODIGO]],P_CRITICOS[],3,0)="*","PRODUCTO CRITICO","NO CRITICO"),"NO CRITICO")</f>
        <v>PRODUCTO CRITICO</v>
      </c>
      <c r="L157" s="15">
        <f>+_xlfn.XLOOKUP(PRODUCTOS[[#This Row],[CODIGO]],BD_MODULO[Artículo],BD_MODULO[CUB_ACTUALIZADA],"",0)</f>
        <v>0.7111632270168855</v>
      </c>
      <c r="M157" s="2">
        <f>+IFERROR(PRODUCTOS[[#This Row],[PPTO]]*PRODUCTOS[[#This Row],[CANT X MODULO]],"")</f>
        <v>111132.88485014325</v>
      </c>
      <c r="N157" s="2">
        <f>+IFERROR(PRODUCTOS[[#This Row],[PPTO X MODULO]]*32,"")</f>
        <v>3556252.315204584</v>
      </c>
      <c r="O157" s="2">
        <f>+IFERROR(PRODUCTOS[[#This Row],[PPTO X TORRE]]*22,"")</f>
        <v>78237550.934500843</v>
      </c>
      <c r="P157" s="3">
        <f>+IFERROR(PRODUCTOS[[#This Row],[CANT X MODULO]]*702,"")</f>
        <v>499.23658536585361</v>
      </c>
      <c r="Q157" s="3">
        <f>+SUMIFS(DETALLE_GD_1[CANTIDAD SOLICITADA],DETALLE_GD_1[CODIGO],PRODUCTOS[[#This Row],[CODIGO]])</f>
        <v>58</v>
      </c>
      <c r="R157" s="3">
        <f>+SUMIFS(DETALLE_GD_1[DEVOLUCIÓN],DETALLE_GD_1[CODIGO],PRODUCTOS[[#This Row],[CODIGO]])</f>
        <v>0</v>
      </c>
      <c r="S157" s="3">
        <f>+PRODUCTOS[[#This Row],[CANT. COMPRADA]]-PRODUCTOS[[#This Row],[DEVOLUCIONES]]</f>
        <v>58</v>
      </c>
      <c r="T157" s="3">
        <f>+IFERROR(PRODUCTOS[[#This Row],[CANTIDAD RECIBIDA]]/PRODUCTOS[[#This Row],[CANT X MODULO]],"")</f>
        <v>81.556522886162782</v>
      </c>
      <c r="U157" s="3">
        <f>+SUMIFS(DETALLE_GD_1[VALOR TOTAL POR ITEM GD],DETALLE_GD_1[CODIGO],PRODUCTOS[[#This Row],[CODIGO]])</f>
        <v>8942514</v>
      </c>
      <c r="V157" s="3">
        <f>+IFERROR(PRODUCTOS[[#This Row],[PRECIO DE COMPRA]]/PRODUCTOS[[#This Row],[CANT. COMPRADA]],"")</f>
        <v>154181.27586206896</v>
      </c>
      <c r="W157" s="3">
        <f>+IFERROR(PRODUCTOS[[#This Row],[PRECIO COMPRA UNITARIO]]*PRODUCTOS[[#This Row],[PPTO FALTANTE]],"")</f>
        <v>68249715.79610531</v>
      </c>
      <c r="X157" s="7">
        <f>+IFERROR(PRODUCTOS[[#This Row],[PROYECCION COMPRA]]/PRODUCTOS[[#This Row],[PPTO TOTAL]]-1,"")</f>
        <v>-0.12766037560093335</v>
      </c>
      <c r="Y157" s="3">
        <f>+IFERROR((PRODUCTOS[[#This Row],[CANT X MODULO]]*704)-PRODUCTOS[[#This Row],[CANT. COMPRADA]],"")</f>
        <v>442.65891181988741</v>
      </c>
      <c r="Z157" s="17">
        <f>+IFERROR(PRODUCTOS[[#This Row],[CANT. COMPRADA]]/PRODUCTOS[[#This Row],[PPTO FALTANTE]],"")</f>
        <v>0.1310263917686571</v>
      </c>
      <c r="AA157" s="3">
        <f>+IFERROR(PRODUCTOS[[#This Row],[PROYECCION COMPRA]]-(PRODUCTOS[[#This Row],[PPTO FALTANTE]]*PRODUCTOS[[#This Row],[PPTO]]),"")</f>
        <v>-924223.47170953453</v>
      </c>
      <c r="AB157" s="3">
        <f>+_xlfn.XLOOKUP(PRODUCTOS[[#This Row],[CODIGO]],DETALLE_GD_1[CODIGO],DETALLE_GD_1[VALOR PPTO],"",0)</f>
        <v>156269.1667</v>
      </c>
      <c r="AC157" s="3">
        <f>+AB157-PRODUCTOS[[#This Row],[PPTO_ACTUALIZADO]]</f>
        <v>3.2999960239976645E-5</v>
      </c>
    </row>
    <row r="158" spans="1:29" hidden="1" x14ac:dyDescent="0.25">
      <c r="A158">
        <v>2508992</v>
      </c>
      <c r="B158" t="s">
        <v>486</v>
      </c>
      <c r="C158" t="s">
        <v>683</v>
      </c>
      <c r="D158" t="s">
        <v>355</v>
      </c>
      <c r="E158" t="s">
        <v>355</v>
      </c>
      <c r="F158" s="2">
        <v>4139.6666670000004</v>
      </c>
      <c r="G158" s="6" t="s">
        <v>355</v>
      </c>
      <c r="H158" s="2">
        <v>5084</v>
      </c>
      <c r="I158" t="b">
        <v>0</v>
      </c>
      <c r="J158" t="str">
        <f>+_xlfn.XLOOKUP(PRODUCTOS[[#This Row],[CODIGO]],P_CRITICOS[CODIGO],P_CRITICOS[DESC CORTA],"",0)</f>
        <v/>
      </c>
      <c r="K158" t="str">
        <f>+IFERROR(IF(VLOOKUP(PRODUCTOS[[#This Row],[CODIGO]],P_CRITICOS[],3,0)="*","PRODUCTO CRITICO","NO CRITICO"),"NO CRITICO")</f>
        <v>NO CRITICO</v>
      </c>
      <c r="L158" s="15">
        <f>+_xlfn.XLOOKUP(PRODUCTOS[[#This Row],[CODIGO]],BD_MODULO[Artículo],BD_MODULO[CUB_ACTUALIZADA],"",0)</f>
        <v>0.7875000000000002</v>
      </c>
      <c r="M158" s="2">
        <f>+IFERROR(PRODUCTOS[[#This Row],[PPTO]]*PRODUCTOS[[#This Row],[CANT X MODULO]],"")</f>
        <v>3259.9875002625013</v>
      </c>
      <c r="N158" s="2">
        <f>+IFERROR(PRODUCTOS[[#This Row],[PPTO X MODULO]]*32,"")</f>
        <v>104319.60000840004</v>
      </c>
      <c r="O158" s="2">
        <f>+IFERROR(PRODUCTOS[[#This Row],[PPTO X TORRE]]*22,"")</f>
        <v>2295031.2001848007</v>
      </c>
      <c r="P158" s="3">
        <f>+IFERROR(PRODUCTOS[[#This Row],[CANT X MODULO]]*702,"")</f>
        <v>552.82500000000016</v>
      </c>
      <c r="Q158" s="3">
        <f>+SUMIFS(DETALLE_GD_1[CANTIDAD SOLICITADA],DETALLE_GD_1[CODIGO],PRODUCTOS[[#This Row],[CODIGO]])</f>
        <v>64</v>
      </c>
      <c r="R158" s="3">
        <f>+SUMIFS(DETALLE_GD_1[DEVOLUCIÓN],DETALLE_GD_1[CODIGO],PRODUCTOS[[#This Row],[CODIGO]])</f>
        <v>0</v>
      </c>
      <c r="S158" s="3">
        <f>+PRODUCTOS[[#This Row],[CANT. COMPRADA]]-PRODUCTOS[[#This Row],[DEVOLUCIONES]]</f>
        <v>64</v>
      </c>
      <c r="T158" s="3">
        <f>+IFERROR(PRODUCTOS[[#This Row],[CANTIDAD RECIBIDA]]/PRODUCTOS[[#This Row],[CANT X MODULO]],"")</f>
        <v>81.269841269841251</v>
      </c>
      <c r="U158" s="3">
        <f>+SUMIFS(DETALLE_GD_1[VALOR TOTAL POR ITEM GD],DETALLE_GD_1[CODIGO],PRODUCTOS[[#This Row],[CODIGO]])</f>
        <v>324133</v>
      </c>
      <c r="V158" s="3">
        <f>+IFERROR(PRODUCTOS[[#This Row],[PRECIO DE COMPRA]]/PRODUCTOS[[#This Row],[CANT. COMPRADA]],"")</f>
        <v>5064.578125</v>
      </c>
      <c r="W158" s="3">
        <f>+IFERROR(PRODUCTOS[[#This Row],[PRECIO COMPRA UNITARIO]]*PRODUCTOS[[#This Row],[PPTO FALTANTE]],"")</f>
        <v>2483669.1125000003</v>
      </c>
      <c r="X158" s="7">
        <f>+IFERROR(PRODUCTOS[[#This Row],[PROYECCION COMPRA]]/PRODUCTOS[[#This Row],[PPTO TOTAL]]-1,"")</f>
        <v>8.2194051348848829E-2</v>
      </c>
      <c r="Y158" s="3">
        <f>+IFERROR((PRODUCTOS[[#This Row],[CANT X MODULO]]*704)-PRODUCTOS[[#This Row],[CANT. COMPRADA]],"")</f>
        <v>490.40000000000009</v>
      </c>
      <c r="Z158" s="17">
        <f>+IFERROR(PRODUCTOS[[#This Row],[CANT. COMPRADA]]/PRODUCTOS[[#This Row],[PPTO FALTANTE]],"")</f>
        <v>0.13050570962479607</v>
      </c>
      <c r="AA158" s="3">
        <f>+IFERROR(PRODUCTOS[[#This Row],[PROYECCION COMPRA]]-(PRODUCTOS[[#This Row],[PPTO FALTANTE]]*PRODUCTOS[[#This Row],[PPTO]]),"")</f>
        <v>453576.5790031997</v>
      </c>
      <c r="AB158" s="3">
        <f>+_xlfn.XLOOKUP(PRODUCTOS[[#This Row],[CODIGO]],DETALLE_GD_1[CODIGO],DETALLE_GD_1[VALOR PPTO],"",0)</f>
        <v>5084</v>
      </c>
      <c r="AC158" s="3">
        <f>+AB158-PRODUCTOS[[#This Row],[PPTO_ACTUALIZADO]]</f>
        <v>0</v>
      </c>
    </row>
    <row r="159" spans="1:29" hidden="1" x14ac:dyDescent="0.25">
      <c r="A159">
        <v>407049</v>
      </c>
      <c r="B159" t="s">
        <v>232</v>
      </c>
      <c r="C159">
        <v>0</v>
      </c>
      <c r="D159" t="s">
        <v>240</v>
      </c>
      <c r="E159" t="s">
        <v>399</v>
      </c>
      <c r="F159" s="2">
        <v>16.202162000000001</v>
      </c>
      <c r="G159" s="6" t="s">
        <v>31</v>
      </c>
      <c r="H159" s="2">
        <v>16.202162000000001</v>
      </c>
      <c r="I159" t="b">
        <v>1</v>
      </c>
      <c r="J159" t="str">
        <f>+_xlfn.XLOOKUP(PRODUCTOS[[#This Row],[CODIGO]],P_CRITICOS[CODIGO],P_CRITICOS[DESC CORTA],"",0)</f>
        <v/>
      </c>
      <c r="K159" t="str">
        <f>+IFERROR(IF(VLOOKUP(PRODUCTOS[[#This Row],[CODIGO]],P_CRITICOS[],3,0)="*","PRODUCTO CRITICO","NO CRITICO"),"NO CRITICO")</f>
        <v>NO CRITICO</v>
      </c>
      <c r="L159" s="15">
        <f>+_xlfn.XLOOKUP(PRODUCTOS[[#This Row],[CODIGO]],BD_MODULO[Artículo],BD_MODULO[CUB_ACTUALIZADA],"",0)</f>
        <v>52.5</v>
      </c>
      <c r="M159" s="2">
        <f>+IFERROR(PRODUCTOS[[#This Row],[PPTO]]*PRODUCTOS[[#This Row],[CANT X MODULO]],"")</f>
        <v>850.61350500000003</v>
      </c>
      <c r="N159" s="2">
        <f>+IFERROR(PRODUCTOS[[#This Row],[PPTO X MODULO]]*32,"")</f>
        <v>27219.632160000001</v>
      </c>
      <c r="O159" s="2">
        <f>+IFERROR(PRODUCTOS[[#This Row],[PPTO X TORRE]]*22,"")</f>
        <v>598831.90752000001</v>
      </c>
      <c r="P159" s="3">
        <f>+IFERROR(PRODUCTOS[[#This Row],[CANT X MODULO]]*702,"")</f>
        <v>36855</v>
      </c>
      <c r="Q159" s="3">
        <f>+SUMIFS(DETALLE_GD_1[CANTIDAD SOLICITADA],DETALLE_GD_1[CODIGO],PRODUCTOS[[#This Row],[CODIGO]])</f>
        <v>4255</v>
      </c>
      <c r="R159" s="3">
        <f>+SUMIFS(DETALLE_GD_1[DEVOLUCIÓN],DETALLE_GD_1[CODIGO],PRODUCTOS[[#This Row],[CODIGO]])</f>
        <v>0</v>
      </c>
      <c r="S159" s="3">
        <f>+PRODUCTOS[[#This Row],[CANT. COMPRADA]]-PRODUCTOS[[#This Row],[DEVOLUCIONES]]</f>
        <v>4255</v>
      </c>
      <c r="T159" s="3">
        <f>+IFERROR(PRODUCTOS[[#This Row],[CANTIDAD RECIBIDA]]/PRODUCTOS[[#This Row],[CANT X MODULO]],"")</f>
        <v>81.047619047619051</v>
      </c>
      <c r="U159" s="3">
        <f>+SUMIFS(DETALLE_GD_1[VALOR TOTAL POR ITEM GD],DETALLE_GD_1[CODIGO],PRODUCTOS[[#This Row],[CODIGO]])</f>
        <v>68939</v>
      </c>
      <c r="V159" s="3">
        <f>+IFERROR(PRODUCTOS[[#This Row],[PRECIO DE COMPRA]]/PRODUCTOS[[#This Row],[CANT. COMPRADA]],"")</f>
        <v>16.201880141010577</v>
      </c>
      <c r="W159" s="3">
        <f>+IFERROR(PRODUCTOS[[#This Row],[PRECIO COMPRA UNITARIO]]*PRODUCTOS[[#This Row],[PPTO FALTANTE]],"")</f>
        <v>529882.49001175095</v>
      </c>
      <c r="X159" s="7">
        <f>+IFERROR(PRODUCTOS[[#This Row],[PROYECCION COMPRA]]/PRODUCTOS[[#This Row],[PPTO TOTAL]]-1,"")</f>
        <v>-0.11513985250685099</v>
      </c>
      <c r="Y159" s="3">
        <f>+IFERROR((PRODUCTOS[[#This Row],[CANT X MODULO]]*704)-PRODUCTOS[[#This Row],[CANT. COMPRADA]],"")</f>
        <v>32705</v>
      </c>
      <c r="Z159" s="17">
        <f>+IFERROR(PRODUCTOS[[#This Row],[CANT. COMPRADA]]/PRODUCTOS[[#This Row],[PPTO FALTANTE]],"")</f>
        <v>0.13010243082097539</v>
      </c>
      <c r="AA159" s="3">
        <f>+IFERROR(PRODUCTOS[[#This Row],[PROYECCION COMPRA]]-(PRODUCTOS[[#This Row],[PPTO FALTANTE]]*PRODUCTOS[[#This Row],[PPTO]]),"")</f>
        <v>-9.21819824911654</v>
      </c>
      <c r="AB159" s="3">
        <f>+_xlfn.XLOOKUP(PRODUCTOS[[#This Row],[CODIGO]],DETALLE_GD_1[CODIGO],DETALLE_GD_1[VALOR PPTO],"",0)</f>
        <v>16.202200000000001</v>
      </c>
      <c r="AC159" s="3">
        <f>+AB159-PRODUCTOS[[#This Row],[PPTO_ACTUALIZADO]]</f>
        <v>3.7999999999982492E-5</v>
      </c>
    </row>
    <row r="160" spans="1:29" hidden="1" x14ac:dyDescent="0.25">
      <c r="A160" t="s">
        <v>286</v>
      </c>
      <c r="B160" t="s">
        <v>287</v>
      </c>
      <c r="C160" t="s">
        <v>530</v>
      </c>
      <c r="D160" t="s">
        <v>244</v>
      </c>
      <c r="E160" t="s">
        <v>408</v>
      </c>
      <c r="F160" s="2">
        <v>350139</v>
      </c>
      <c r="G160" s="6" t="s">
        <v>31</v>
      </c>
      <c r="H160" s="2">
        <v>350139</v>
      </c>
      <c r="I160" t="b">
        <v>1</v>
      </c>
      <c r="J160" t="str">
        <f>+_xlfn.XLOOKUP(PRODUCTOS[[#This Row],[CODIGO]],P_CRITICOS[CODIGO],P_CRITICOS[DESC CORTA],"",0)</f>
        <v>VENTANA V.05</v>
      </c>
      <c r="K160" t="str">
        <f>+IFERROR(IF(VLOOKUP(PRODUCTOS[[#This Row],[CODIGO]],P_CRITICOS[],3,0)="*","PRODUCTO CRITICO","NO CRITICO"),"NO CRITICO")</f>
        <v>PRODUCTO CRITICO</v>
      </c>
      <c r="L160" s="15">
        <f>+_xlfn.XLOOKUP(PRODUCTOS[[#This Row],[CODIGO]],BD_MODULO[Artículo],BD_MODULO[CUB_ACTUALIZADA],"",0)</f>
        <v>0.52500000000000002</v>
      </c>
      <c r="M160" s="2">
        <f>+IFERROR(PRODUCTOS[[#This Row],[PPTO]]*PRODUCTOS[[#This Row],[CANT X MODULO]],"")</f>
        <v>183822.97500000001</v>
      </c>
      <c r="N160" s="2">
        <f>+IFERROR(PRODUCTOS[[#This Row],[PPTO X MODULO]]*32,"")</f>
        <v>5882335.2000000002</v>
      </c>
      <c r="O160" s="2">
        <f>+IFERROR(PRODUCTOS[[#This Row],[PPTO X TORRE]]*22,"")</f>
        <v>129411374.40000001</v>
      </c>
      <c r="P160" s="3">
        <f>+IFERROR(PRODUCTOS[[#This Row],[CANT X MODULO]]*702,"")</f>
        <v>368.55</v>
      </c>
      <c r="Q160" s="3">
        <f>+SUMIFS(DETALLE_GD_1[CANTIDAD SOLICITADA],DETALLE_GD_1[CODIGO],PRODUCTOS[[#This Row],[CODIGO]])</f>
        <v>41</v>
      </c>
      <c r="R160" s="3">
        <f>+SUMIFS(DETALLE_GD_1[DEVOLUCIÓN],DETALLE_GD_1[CODIGO],PRODUCTOS[[#This Row],[CODIGO]])</f>
        <v>0</v>
      </c>
      <c r="S160" s="3">
        <f>+PRODUCTOS[[#This Row],[CANT. COMPRADA]]-PRODUCTOS[[#This Row],[DEVOLUCIONES]]</f>
        <v>41</v>
      </c>
      <c r="T160" s="3">
        <f>+IFERROR(PRODUCTOS[[#This Row],[CANTIDAD RECIBIDA]]/PRODUCTOS[[#This Row],[CANT X MODULO]],"")</f>
        <v>78.095238095238088</v>
      </c>
      <c r="U160" s="3">
        <f>+SUMIFS(DETALLE_GD_1[VALOR TOTAL POR ITEM GD],DETALLE_GD_1[CODIGO],PRODUCTOS[[#This Row],[CODIGO]])</f>
        <v>15656989</v>
      </c>
      <c r="V160" s="3">
        <f>+IFERROR(PRODUCTOS[[#This Row],[PRECIO DE COMPRA]]/PRODUCTOS[[#This Row],[CANT. COMPRADA]],"")</f>
        <v>381877.78048780491</v>
      </c>
      <c r="W160" s="3">
        <f>+IFERROR(PRODUCTOS[[#This Row],[PRECIO COMPRA UNITARIO]]*PRODUCTOS[[#This Row],[PPTO FALTANTE]],"")</f>
        <v>125485038.6682927</v>
      </c>
      <c r="X160" s="7">
        <f>+IFERROR(PRODUCTOS[[#This Row],[PROYECCION COMPRA]]/PRODUCTOS[[#This Row],[PPTO TOTAL]]-1,"")</f>
        <v>-3.0339958523053157E-2</v>
      </c>
      <c r="Y160" s="3">
        <f>+IFERROR((PRODUCTOS[[#This Row],[CANT X MODULO]]*704)-PRODUCTOS[[#This Row],[CANT. COMPRADA]],"")</f>
        <v>328.6</v>
      </c>
      <c r="Z160" s="17">
        <f>+IFERROR(PRODUCTOS[[#This Row],[CANT. COMPRADA]]/PRODUCTOS[[#This Row],[PPTO FALTANTE]],"")</f>
        <v>0.1247717589774802</v>
      </c>
      <c r="AA160" s="3">
        <f>+IFERROR(PRODUCTOS[[#This Row],[PROYECCION COMPRA]]-(PRODUCTOS[[#This Row],[PPTO FALTANTE]]*PRODUCTOS[[#This Row],[PPTO]]),"")</f>
        <v>10429363.268292695</v>
      </c>
      <c r="AB160" s="3">
        <f>+_xlfn.XLOOKUP(PRODUCTOS[[#This Row],[CODIGO]],DETALLE_GD_1[CODIGO],DETALLE_GD_1[VALOR PPTO],"",0)</f>
        <v>350139</v>
      </c>
      <c r="AC160" s="3">
        <f>+AB160-PRODUCTOS[[#This Row],[PPTO_ACTUALIZADO]]</f>
        <v>0</v>
      </c>
    </row>
    <row r="161" spans="1:29" hidden="1" x14ac:dyDescent="0.25">
      <c r="A161">
        <v>2505058</v>
      </c>
      <c r="B161" t="s">
        <v>142</v>
      </c>
      <c r="C161" t="s">
        <v>634</v>
      </c>
      <c r="D161" t="s">
        <v>244</v>
      </c>
      <c r="E161" t="s">
        <v>410</v>
      </c>
      <c r="F161" s="2">
        <v>17870.144068000001</v>
      </c>
      <c r="G161" s="6" t="s">
        <v>31</v>
      </c>
      <c r="H161" s="2">
        <v>17870.144068000001</v>
      </c>
      <c r="I161" t="b">
        <v>1</v>
      </c>
      <c r="J161" t="str">
        <f>+_xlfn.XLOOKUP(PRODUCTOS[[#This Row],[CODIGO]],P_CRITICOS[CODIGO],P_CRITICOS[DESC CORTA],"",0)</f>
        <v/>
      </c>
      <c r="K161" t="str">
        <f>+IFERROR(IF(VLOOKUP(PRODUCTOS[[#This Row],[CODIGO]],P_CRITICOS[],3,0)="*","PRODUCTO CRITICO","NO CRITICO"),"NO CRITICO")</f>
        <v>NO CRITICO</v>
      </c>
      <c r="L161" s="15">
        <f>+_xlfn.XLOOKUP(PRODUCTOS[[#This Row],[CODIGO]],BD_MODULO[Artículo],BD_MODULO[CUB_ACTUALIZADA],"",0)</f>
        <v>2.1000000000000005</v>
      </c>
      <c r="M161" s="2">
        <f>+IFERROR(PRODUCTOS[[#This Row],[PPTO]]*PRODUCTOS[[#This Row],[CANT X MODULO]],"")</f>
        <v>37527.302542800011</v>
      </c>
      <c r="N161" s="2">
        <f>+IFERROR(PRODUCTOS[[#This Row],[PPTO X MODULO]]*32,"")</f>
        <v>1200873.6813696004</v>
      </c>
      <c r="O161" s="2">
        <f>+IFERROR(PRODUCTOS[[#This Row],[PPTO X TORRE]]*22,"")</f>
        <v>26419220.990131207</v>
      </c>
      <c r="P161" s="3">
        <f>+IFERROR(PRODUCTOS[[#This Row],[CANT X MODULO]]*702,"")</f>
        <v>1474.2000000000003</v>
      </c>
      <c r="Q161" s="3">
        <f>+SUMIFS(DETALLE_GD_1[CANTIDAD SOLICITADA],DETALLE_GD_1[CODIGO],PRODUCTOS[[#This Row],[CODIGO]])</f>
        <v>162</v>
      </c>
      <c r="R161" s="3">
        <f>+SUMIFS(DETALLE_GD_1[DEVOLUCIÓN],DETALLE_GD_1[CODIGO],PRODUCTOS[[#This Row],[CODIGO]])</f>
        <v>0</v>
      </c>
      <c r="S161" s="3">
        <f>+PRODUCTOS[[#This Row],[CANT. COMPRADA]]-PRODUCTOS[[#This Row],[DEVOLUCIONES]]</f>
        <v>162</v>
      </c>
      <c r="T161" s="3">
        <f>+IFERROR(PRODUCTOS[[#This Row],[CANTIDAD RECIBIDA]]/PRODUCTOS[[#This Row],[CANT X MODULO]],"")</f>
        <v>77.142857142857125</v>
      </c>
      <c r="U161" s="3">
        <f>+SUMIFS(DETALLE_GD_1[VALOR TOTAL POR ITEM GD],DETALLE_GD_1[CODIGO],PRODUCTOS[[#This Row],[CODIGO]])</f>
        <v>2701057</v>
      </c>
      <c r="V161" s="3">
        <f>+IFERROR(PRODUCTOS[[#This Row],[PRECIO DE COMPRA]]/PRODUCTOS[[#This Row],[CANT. COMPRADA]],"")</f>
        <v>16673.191358024691</v>
      </c>
      <c r="W161" s="3">
        <f>+IFERROR(PRODUCTOS[[#This Row],[PRECIO COMPRA UNITARIO]]*PRODUCTOS[[#This Row],[PPTO FALTANTE]],"")</f>
        <v>21948589.103703707</v>
      </c>
      <c r="X161" s="7">
        <f>+IFERROR(PRODUCTOS[[#This Row],[PROYECCION COMPRA]]/PRODUCTOS[[#This Row],[PPTO TOTAL]]-1,"")</f>
        <v>-0.16921891406629608</v>
      </c>
      <c r="Y161" s="3">
        <f>+IFERROR((PRODUCTOS[[#This Row],[CANT X MODULO]]*704)-PRODUCTOS[[#This Row],[CANT. COMPRADA]],"")</f>
        <v>1316.4000000000003</v>
      </c>
      <c r="Z161" s="17">
        <f>+IFERROR(PRODUCTOS[[#This Row],[CANT. COMPRADA]]/PRODUCTOS[[#This Row],[PPTO FALTANTE]],"")</f>
        <v>0.12306289881494983</v>
      </c>
      <c r="AA161" s="3">
        <f>+IFERROR(PRODUCTOS[[#This Row],[PROYECCION COMPRA]]-(PRODUCTOS[[#This Row],[PPTO FALTANTE]]*PRODUCTOS[[#This Row],[PPTO]]),"")</f>
        <v>-1575668.5474115014</v>
      </c>
      <c r="AB161" s="3">
        <f>+_xlfn.XLOOKUP(PRODUCTOS[[#This Row],[CODIGO]],DETALLE_GD_1[CODIGO],DETALLE_GD_1[VALOR PPTO],"",0)</f>
        <v>17870.144100000001</v>
      </c>
      <c r="AC161" s="3">
        <f>+AB161-PRODUCTOS[[#This Row],[PPTO_ACTUALIZADO]]</f>
        <v>3.1999999919207767E-5</v>
      </c>
    </row>
    <row r="162" spans="1:29" hidden="1" x14ac:dyDescent="0.25">
      <c r="A162">
        <v>2302118</v>
      </c>
      <c r="B162" t="s">
        <v>228</v>
      </c>
      <c r="C162">
        <v>0</v>
      </c>
      <c r="D162">
        <v>0</v>
      </c>
      <c r="E162">
        <v>0</v>
      </c>
      <c r="F162" s="2">
        <v>0</v>
      </c>
      <c r="G162" s="6" t="s">
        <v>31</v>
      </c>
      <c r="H162" s="2">
        <v>101250</v>
      </c>
      <c r="I162" t="b">
        <v>0</v>
      </c>
      <c r="J162" t="str">
        <f>+_xlfn.XLOOKUP(PRODUCTOS[[#This Row],[CODIGO]],P_CRITICOS[CODIGO],P_CRITICOS[DESC CORTA],"",0)</f>
        <v/>
      </c>
      <c r="K162" t="str">
        <f>+IFERROR(IF(VLOOKUP(PRODUCTOS[[#This Row],[CODIGO]],P_CRITICOS[],3,0)="*","PRODUCTO CRITICO","NO CRITICO"),"NO CRITICO")</f>
        <v>NO CRITICO</v>
      </c>
      <c r="L162" s="15">
        <f>+_xlfn.XLOOKUP(PRODUCTOS[[#This Row],[CODIGO]],BD_MODULO[Artículo],BD_MODULO[CUB_ACTUALIZADA],"",0)</f>
        <v>0.31171874999999999</v>
      </c>
      <c r="M162" s="2">
        <f>+IFERROR(PRODUCTOS[[#This Row],[PPTO]]*PRODUCTOS[[#This Row],[CANT X MODULO]],"")</f>
        <v>0</v>
      </c>
      <c r="N162" s="2">
        <f>+IFERROR(PRODUCTOS[[#This Row],[PPTO X MODULO]]*32,"")</f>
        <v>0</v>
      </c>
      <c r="O162" s="2">
        <f>+IFERROR(PRODUCTOS[[#This Row],[PPTO X TORRE]]*22,"")</f>
        <v>0</v>
      </c>
      <c r="P162" s="3">
        <f>+IFERROR(PRODUCTOS[[#This Row],[CANT X MODULO]]*702,"")</f>
        <v>218.82656249999999</v>
      </c>
      <c r="Q162" s="3">
        <f>+SUMIFS(DETALLE_GD_1[CANTIDAD SOLICITADA],DETALLE_GD_1[CODIGO],PRODUCTOS[[#This Row],[CODIGO]])</f>
        <v>24</v>
      </c>
      <c r="R162" s="3">
        <f>+SUMIFS(DETALLE_GD_1[DEVOLUCIÓN],DETALLE_GD_1[CODIGO],PRODUCTOS[[#This Row],[CODIGO]])</f>
        <v>0</v>
      </c>
      <c r="S162" s="3">
        <f>+PRODUCTOS[[#This Row],[CANT. COMPRADA]]-PRODUCTOS[[#This Row],[DEVOLUCIONES]]</f>
        <v>24</v>
      </c>
      <c r="T162" s="3">
        <f>+IFERROR(PRODUCTOS[[#This Row],[CANTIDAD RECIBIDA]]/PRODUCTOS[[#This Row],[CANT X MODULO]],"")</f>
        <v>76.992481203007515</v>
      </c>
      <c r="U162" s="3">
        <f>+SUMIFS(DETALLE_GD_1[VALOR TOTAL POR ITEM GD],DETALLE_GD_1[CODIGO],PRODUCTOS[[#This Row],[CODIGO]])</f>
        <v>1992878</v>
      </c>
      <c r="V162" s="3">
        <f>+IFERROR(PRODUCTOS[[#This Row],[PRECIO DE COMPRA]]/PRODUCTOS[[#This Row],[CANT. COMPRADA]],"")</f>
        <v>83036.583333333328</v>
      </c>
      <c r="W162" s="3">
        <f>+IFERROR(PRODUCTOS[[#This Row],[PRECIO COMPRA UNITARIO]]*PRODUCTOS[[#This Row],[PPTO FALTANTE]],"")</f>
        <v>16229500.212499999</v>
      </c>
      <c r="X162" s="7" t="str">
        <f>+IFERROR(PRODUCTOS[[#This Row],[PROYECCION COMPRA]]/PRODUCTOS[[#This Row],[PPTO TOTAL]]-1,"")</f>
        <v/>
      </c>
      <c r="Y162" s="3">
        <f>+IFERROR((PRODUCTOS[[#This Row],[CANT X MODULO]]*704)-PRODUCTOS[[#This Row],[CANT. COMPRADA]],"")</f>
        <v>195.45</v>
      </c>
      <c r="Z162" s="17">
        <f>+IFERROR(PRODUCTOS[[#This Row],[CANT. COMPRADA]]/PRODUCTOS[[#This Row],[PPTO FALTANTE]],"")</f>
        <v>0.12279355333844974</v>
      </c>
      <c r="AA162" s="3">
        <f>+IFERROR(PRODUCTOS[[#This Row],[PROYECCION COMPRA]]-(PRODUCTOS[[#This Row],[PPTO FALTANTE]]*PRODUCTOS[[#This Row],[PPTO]]),"")</f>
        <v>16229500.212499999</v>
      </c>
      <c r="AB162" s="3">
        <f>+_xlfn.XLOOKUP(PRODUCTOS[[#This Row],[CODIGO]],DETALLE_GD_1[CODIGO],DETALLE_GD_1[VALOR PPTO],"",0)</f>
        <v>101250</v>
      </c>
      <c r="AC162" s="3">
        <f>+AB162-PRODUCTOS[[#This Row],[PPTO_ACTUALIZADO]]</f>
        <v>0</v>
      </c>
    </row>
    <row r="163" spans="1:29" hidden="1" x14ac:dyDescent="0.25">
      <c r="A163">
        <v>1901086</v>
      </c>
      <c r="B163" t="s">
        <v>279</v>
      </c>
      <c r="C163" t="s">
        <v>550</v>
      </c>
      <c r="D163" t="s">
        <v>240</v>
      </c>
      <c r="E163" t="s">
        <v>404</v>
      </c>
      <c r="F163" s="2">
        <v>3711.5870410000002</v>
      </c>
      <c r="G163" s="6" t="s">
        <v>26</v>
      </c>
      <c r="H163" s="2">
        <v>3711.5870410000002</v>
      </c>
      <c r="I163" t="b">
        <v>1</v>
      </c>
      <c r="J163" t="str">
        <f>+_xlfn.XLOOKUP(PRODUCTOS[[#This Row],[CODIGO]],P_CRITICOS[CODIGO],P_CRITICOS[DESC CORTA],"",0)</f>
        <v>AISLAN GLASS 140MM</v>
      </c>
      <c r="K163" t="str">
        <f>+IFERROR(IF(VLOOKUP(PRODUCTOS[[#This Row],[CODIGO]],P_CRITICOS[],3,0)="*","PRODUCTO CRITICO","NO CRITICO"),"NO CRITICO")</f>
        <v>PRODUCTO CRITICO</v>
      </c>
      <c r="L163" s="15">
        <f>+_xlfn.XLOOKUP(PRODUCTOS[[#This Row],[CODIGO]],BD_MODULO[Artículo],BD_MODULO[CUB_ACTUALIZADA],"",0)</f>
        <v>31.794434700000004</v>
      </c>
      <c r="M163" s="2">
        <f>+IFERROR(PRODUCTOS[[#This Row],[PPTO]]*PRODUCTOS[[#This Row],[CANT X MODULO]],"")</f>
        <v>118007.81180844075</v>
      </c>
      <c r="N163" s="2">
        <f>+IFERROR(PRODUCTOS[[#This Row],[PPTO X MODULO]]*32,"")</f>
        <v>3776249.9778701039</v>
      </c>
      <c r="O163" s="2">
        <f>+IFERROR(PRODUCTOS[[#This Row],[PPTO X TORRE]]*22,"")</f>
        <v>83077499.513142288</v>
      </c>
      <c r="P163" s="3">
        <f>+IFERROR(PRODUCTOS[[#This Row],[CANT X MODULO]]*702,"")</f>
        <v>22319.693159400002</v>
      </c>
      <c r="Q163" s="3">
        <f>+SUMIFS(DETALLE_GD_1[CANTIDAD SOLICITADA],DETALLE_GD_1[CODIGO],PRODUCTOS[[#This Row],[CODIGO]])</f>
        <v>2436</v>
      </c>
      <c r="R163" s="3">
        <f>+SUMIFS(DETALLE_GD_1[DEVOLUCIÓN],DETALLE_GD_1[CODIGO],PRODUCTOS[[#This Row],[CODIGO]])</f>
        <v>0</v>
      </c>
      <c r="S163" s="3">
        <f>+PRODUCTOS[[#This Row],[CANT. COMPRADA]]-PRODUCTOS[[#This Row],[DEVOLUCIONES]]</f>
        <v>2436</v>
      </c>
      <c r="T163" s="3">
        <f>+IFERROR(PRODUCTOS[[#This Row],[CANTIDAD RECIBIDA]]/PRODUCTOS[[#This Row],[CANT X MODULO]],"")</f>
        <v>76.617182314614311</v>
      </c>
      <c r="U163" s="3">
        <f>+SUMIFS(DETALLE_GD_1[VALOR TOTAL POR ITEM GD],DETALLE_GD_1[CODIGO],PRODUCTOS[[#This Row],[CODIGO]])</f>
        <v>8849507</v>
      </c>
      <c r="V163" s="3">
        <f>+IFERROR(PRODUCTOS[[#This Row],[PRECIO DE COMPRA]]/PRODUCTOS[[#This Row],[CANT. COMPRADA]],"")</f>
        <v>3632.8025451559934</v>
      </c>
      <c r="W163" s="3">
        <f>+IFERROR(PRODUCTOS[[#This Row],[PRECIO COMPRA UNITARIO]]*PRODUCTOS[[#This Row],[PPTO FALTANTE]],"")</f>
        <v>72464536.923169062</v>
      </c>
      <c r="X163" s="7">
        <f>+IFERROR(PRODUCTOS[[#This Row],[PROYECCION COMPRA]]/PRODUCTOS[[#This Row],[PPTO TOTAL]]-1,"")</f>
        <v>-0.1277477373797743</v>
      </c>
      <c r="Y163" s="3">
        <f>+IFERROR((PRODUCTOS[[#This Row],[CANT X MODULO]]*704)-PRODUCTOS[[#This Row],[CANT. COMPRADA]],"")</f>
        <v>19947.282028800004</v>
      </c>
      <c r="Z163" s="17">
        <f>+IFERROR(PRODUCTOS[[#This Row],[CANT. COMPRADA]]/PRODUCTOS[[#This Row],[PPTO FALTANTE]],"")</f>
        <v>0.12212190094283967</v>
      </c>
      <c r="AA163" s="3">
        <f>+IFERROR(PRODUCTOS[[#This Row],[PROYECCION COMPRA]]-(PRODUCTOS[[#This Row],[PPTO FALTANTE]]*PRODUCTOS[[#This Row],[PPTO]]),"")</f>
        <v>-1571536.5580972284</v>
      </c>
      <c r="AB163" s="3">
        <f>+_xlfn.XLOOKUP(PRODUCTOS[[#This Row],[CODIGO]],DETALLE_GD_1[CODIGO],DETALLE_GD_1[VALOR PPTO],"",0)</f>
        <v>3711.587</v>
      </c>
      <c r="AC163" s="3">
        <f>+AB163-PRODUCTOS[[#This Row],[PPTO_ACTUALIZADO]]</f>
        <v>-4.1000000237545464E-5</v>
      </c>
    </row>
    <row r="164" spans="1:29" hidden="1" x14ac:dyDescent="0.25">
      <c r="A164">
        <v>1206002</v>
      </c>
      <c r="B164" t="s">
        <v>192</v>
      </c>
      <c r="C164">
        <v>0</v>
      </c>
      <c r="D164" t="s">
        <v>244</v>
      </c>
      <c r="E164" t="s">
        <v>406</v>
      </c>
      <c r="F164" s="2">
        <v>15783.483871</v>
      </c>
      <c r="G164" s="6" t="s">
        <v>31</v>
      </c>
      <c r="H164" s="2">
        <v>15783.483871</v>
      </c>
      <c r="I164" t="b">
        <v>1</v>
      </c>
      <c r="J164" t="str">
        <f>+_xlfn.XLOOKUP(PRODUCTOS[[#This Row],[CODIGO]],P_CRITICOS[CODIGO],P_CRITICOS[DESC CORTA],"",0)</f>
        <v/>
      </c>
      <c r="K164" t="str">
        <f>+IFERROR(IF(VLOOKUP(PRODUCTOS[[#This Row],[CODIGO]],P_CRITICOS[],3,0)="*","PRODUCTO CRITICO","NO CRITICO"),"NO CRITICO")</f>
        <v>NO CRITICO</v>
      </c>
      <c r="L164" s="15">
        <f>+_xlfn.XLOOKUP(PRODUCTOS[[#This Row],[CODIGO]],BD_MODULO[Artículo],BD_MODULO[CUB_ACTUALIZADA],"",0)</f>
        <v>0.52500000000000002</v>
      </c>
      <c r="M164" s="2">
        <f>+IFERROR(PRODUCTOS[[#This Row],[PPTO]]*PRODUCTOS[[#This Row],[CANT X MODULO]],"")</f>
        <v>8286.3290322749999</v>
      </c>
      <c r="N164" s="2">
        <f>+IFERROR(PRODUCTOS[[#This Row],[PPTO X MODULO]]*32,"")</f>
        <v>265162.5290328</v>
      </c>
      <c r="O164" s="2">
        <f>+IFERROR(PRODUCTOS[[#This Row],[PPTO X TORRE]]*22,"")</f>
        <v>5833575.6387216002</v>
      </c>
      <c r="P164" s="3">
        <f>+IFERROR(PRODUCTOS[[#This Row],[CANT X MODULO]]*702,"")</f>
        <v>368.55</v>
      </c>
      <c r="Q164" s="3">
        <f>+SUMIFS(DETALLE_GD_1[CANTIDAD SOLICITADA],DETALLE_GD_1[CODIGO],PRODUCTOS[[#This Row],[CODIGO]])</f>
        <v>40</v>
      </c>
      <c r="R164" s="3">
        <f>+SUMIFS(DETALLE_GD_1[DEVOLUCIÓN],DETALLE_GD_1[CODIGO],PRODUCTOS[[#This Row],[CODIGO]])</f>
        <v>0</v>
      </c>
      <c r="S164" s="3">
        <f>+PRODUCTOS[[#This Row],[CANT. COMPRADA]]-PRODUCTOS[[#This Row],[DEVOLUCIONES]]</f>
        <v>40</v>
      </c>
      <c r="T164" s="3">
        <f>+IFERROR(PRODUCTOS[[#This Row],[CANTIDAD RECIBIDA]]/PRODUCTOS[[#This Row],[CANT X MODULO]],"")</f>
        <v>76.19047619047619</v>
      </c>
      <c r="U164" s="3">
        <f>+SUMIFS(DETALLE_GD_1[VALOR TOTAL POR ITEM GD],DETALLE_GD_1[CODIGO],PRODUCTOS[[#This Row],[CODIGO]])</f>
        <v>804173</v>
      </c>
      <c r="V164" s="3">
        <f>+IFERROR(PRODUCTOS[[#This Row],[PRECIO DE COMPRA]]/PRODUCTOS[[#This Row],[CANT. COMPRADA]],"")</f>
        <v>20104.325000000001</v>
      </c>
      <c r="W164" s="3">
        <f>+IFERROR(PRODUCTOS[[#This Row],[PRECIO COMPRA UNITARIO]]*PRODUCTOS[[#This Row],[PPTO FALTANTE]],"")</f>
        <v>6626385.5200000005</v>
      </c>
      <c r="X164" s="7">
        <f>+IFERROR(PRODUCTOS[[#This Row],[PROYECCION COMPRA]]/PRODUCTOS[[#This Row],[PPTO TOTAL]]-1,"")</f>
        <v>0.13590462014685412</v>
      </c>
      <c r="Y164" s="3">
        <f>+IFERROR((PRODUCTOS[[#This Row],[CANT X MODULO]]*704)-PRODUCTOS[[#This Row],[CANT. COMPRADA]],"")</f>
        <v>329.6</v>
      </c>
      <c r="Z164" s="17">
        <f>+IFERROR(PRODUCTOS[[#This Row],[CANT. COMPRADA]]/PRODUCTOS[[#This Row],[PPTO FALTANTE]],"")</f>
        <v>0.12135922330097086</v>
      </c>
      <c r="AA164" s="3">
        <f>+IFERROR(PRODUCTOS[[#This Row],[PROYECCION COMPRA]]-(PRODUCTOS[[#This Row],[PPTO FALTANTE]]*PRODUCTOS[[#This Row],[PPTO]]),"")</f>
        <v>1424149.2361184005</v>
      </c>
      <c r="AB164" s="3">
        <f>+_xlfn.XLOOKUP(PRODUCTOS[[#This Row],[CODIGO]],DETALLE_GD_1[CODIGO],DETALLE_GD_1[VALOR PPTO],"",0)</f>
        <v>15783.483899999999</v>
      </c>
      <c r="AC164" s="3">
        <f>+AB164-PRODUCTOS[[#This Row],[PPTO_ACTUALIZADO]]</f>
        <v>2.8999998903600499E-5</v>
      </c>
    </row>
    <row r="165" spans="1:29" hidden="1" x14ac:dyDescent="0.25">
      <c r="A165">
        <v>1802171</v>
      </c>
      <c r="B165" t="s">
        <v>265</v>
      </c>
      <c r="C165" t="s">
        <v>659</v>
      </c>
      <c r="D165" t="s">
        <v>244</v>
      </c>
      <c r="E165" t="s">
        <v>406</v>
      </c>
      <c r="F165" s="2">
        <v>3167.794425</v>
      </c>
      <c r="G165" s="6" t="s">
        <v>31</v>
      </c>
      <c r="H165" s="2">
        <v>3632</v>
      </c>
      <c r="I165" t="b">
        <v>0</v>
      </c>
      <c r="J165" t="str">
        <f>+_xlfn.XLOOKUP(PRODUCTOS[[#This Row],[CODIGO]],P_CRITICOS[CODIGO],P_CRITICOS[DESC CORTA],"",0)</f>
        <v/>
      </c>
      <c r="K165" t="str">
        <f>+IFERROR(IF(VLOOKUP(PRODUCTOS[[#This Row],[CODIGO]],P_CRITICOS[],3,0)="*","PRODUCTO CRITICO","NO CRITICO"),"NO CRITICO")</f>
        <v>NO CRITICO</v>
      </c>
      <c r="L165" s="15">
        <f>+_xlfn.XLOOKUP(PRODUCTOS[[#This Row],[CODIGO]],BD_MODULO[Artículo],BD_MODULO[CUB_ACTUALIZADA],"",0)</f>
        <v>0.52500000000000002</v>
      </c>
      <c r="M165" s="2">
        <f>+IFERROR(PRODUCTOS[[#This Row],[PPTO]]*PRODUCTOS[[#This Row],[CANT X MODULO]],"")</f>
        <v>1663.0920731250001</v>
      </c>
      <c r="N165" s="2">
        <f>+IFERROR(PRODUCTOS[[#This Row],[PPTO X MODULO]]*32,"")</f>
        <v>53218.946340000002</v>
      </c>
      <c r="O165" s="2">
        <f>+IFERROR(PRODUCTOS[[#This Row],[PPTO X TORRE]]*22,"")</f>
        <v>1170816.8194800001</v>
      </c>
      <c r="P165" s="3">
        <f>+IFERROR(PRODUCTOS[[#This Row],[CANT X MODULO]]*702,"")</f>
        <v>368.55</v>
      </c>
      <c r="Q165" s="3">
        <f>+SUMIFS(DETALLE_GD_1[CANTIDAD SOLICITADA],DETALLE_GD_1[CODIGO],PRODUCTOS[[#This Row],[CODIGO]])</f>
        <v>39</v>
      </c>
      <c r="R165" s="3">
        <f>+SUMIFS(DETALLE_GD_1[DEVOLUCIÓN],DETALLE_GD_1[CODIGO],PRODUCTOS[[#This Row],[CODIGO]])</f>
        <v>0</v>
      </c>
      <c r="S165" s="3">
        <f>+PRODUCTOS[[#This Row],[CANT. COMPRADA]]-PRODUCTOS[[#This Row],[DEVOLUCIONES]]</f>
        <v>39</v>
      </c>
      <c r="T165" s="3">
        <f>+IFERROR(PRODUCTOS[[#This Row],[CANTIDAD RECIBIDA]]/PRODUCTOS[[#This Row],[CANT X MODULO]],"")</f>
        <v>74.285714285714278</v>
      </c>
      <c r="U165" s="3">
        <f>+SUMIFS(DETALLE_GD_1[VALOR TOTAL POR ITEM GD],DETALLE_GD_1[CODIGO],PRODUCTOS[[#This Row],[CODIGO]])</f>
        <v>124511</v>
      </c>
      <c r="V165" s="3">
        <f>+IFERROR(PRODUCTOS[[#This Row],[PRECIO DE COMPRA]]/PRODUCTOS[[#This Row],[CANT. COMPRADA]],"")</f>
        <v>3192.5897435897436</v>
      </c>
      <c r="W165" s="3">
        <f>+IFERROR(PRODUCTOS[[#This Row],[PRECIO COMPRA UNITARIO]]*PRODUCTOS[[#This Row],[PPTO FALTANTE]],"")</f>
        <v>1055470.1692307694</v>
      </c>
      <c r="X165" s="7">
        <f>+IFERROR(PRODUCTOS[[#This Row],[PROYECCION COMPRA]]/PRODUCTOS[[#This Row],[PPTO TOTAL]]-1,"")</f>
        <v>-9.851810149128204E-2</v>
      </c>
      <c r="Y165" s="3">
        <f>+IFERROR((PRODUCTOS[[#This Row],[CANT X MODULO]]*704)-PRODUCTOS[[#This Row],[CANT. COMPRADA]],"")</f>
        <v>330.6</v>
      </c>
      <c r="Z165" s="17">
        <f>+IFERROR(PRODUCTOS[[#This Row],[CANT. COMPRADA]]/PRODUCTOS[[#This Row],[PPTO FALTANTE]],"")</f>
        <v>0.11796733212341197</v>
      </c>
      <c r="AA165" s="3">
        <f>+IFERROR(PRODUCTOS[[#This Row],[PROYECCION COMPRA]]-(PRODUCTOS[[#This Row],[PPTO FALTANTE]]*PRODUCTOS[[#This Row],[PPTO]]),"")</f>
        <v>8197.3323257693555</v>
      </c>
      <c r="AB165" s="3">
        <f>+_xlfn.XLOOKUP(PRODUCTOS[[#This Row],[CODIGO]],DETALLE_GD_1[CODIGO],DETALLE_GD_1[VALOR PPTO],"",0)</f>
        <v>3632</v>
      </c>
      <c r="AC165" s="3">
        <f>+AB165-PRODUCTOS[[#This Row],[PPTO_ACTUALIZADO]]</f>
        <v>0</v>
      </c>
    </row>
    <row r="166" spans="1:29" hidden="1" x14ac:dyDescent="0.25">
      <c r="A166">
        <v>2508994</v>
      </c>
      <c r="B166" t="s">
        <v>488</v>
      </c>
      <c r="C166" t="s">
        <v>685</v>
      </c>
      <c r="D166" t="s">
        <v>355</v>
      </c>
      <c r="E166" t="s">
        <v>355</v>
      </c>
      <c r="F166" s="2">
        <v>4139.7142860000004</v>
      </c>
      <c r="G166" s="6" t="s">
        <v>355</v>
      </c>
      <c r="H166" s="2">
        <v>1598</v>
      </c>
      <c r="I166" t="b">
        <v>0</v>
      </c>
      <c r="J166" t="str">
        <f>+_xlfn.XLOOKUP(PRODUCTOS[[#This Row],[CODIGO]],P_CRITICOS[CODIGO],P_CRITICOS[DESC CORTA],"",0)</f>
        <v/>
      </c>
      <c r="K166" t="str">
        <f>+IFERROR(IF(VLOOKUP(PRODUCTOS[[#This Row],[CODIGO]],P_CRITICOS[],3,0)="*","PRODUCTO CRITICO","NO CRITICO"),"NO CRITICO")</f>
        <v>NO CRITICO</v>
      </c>
      <c r="L166" s="15">
        <f>+_xlfn.XLOOKUP(PRODUCTOS[[#This Row],[CODIGO]],BD_MODULO[Artículo],BD_MODULO[CUB_ACTUALIZADA],"",0)</f>
        <v>0.52500000000000002</v>
      </c>
      <c r="M166" s="2">
        <f>+IFERROR(PRODUCTOS[[#This Row],[PPTO]]*PRODUCTOS[[#This Row],[CANT X MODULO]],"")</f>
        <v>2173.3500001500001</v>
      </c>
      <c r="N166" s="2">
        <f>+IFERROR(PRODUCTOS[[#This Row],[PPTO X MODULO]]*32,"")</f>
        <v>69547.200004800005</v>
      </c>
      <c r="O166" s="2">
        <f>+IFERROR(PRODUCTOS[[#This Row],[PPTO X TORRE]]*22,"")</f>
        <v>1530038.4001056</v>
      </c>
      <c r="P166" s="3">
        <f>+IFERROR(PRODUCTOS[[#This Row],[CANT X MODULO]]*702,"")</f>
        <v>368.55</v>
      </c>
      <c r="Q166" s="3">
        <f>+SUMIFS(DETALLE_GD_1[CANTIDAD SOLICITADA],DETALLE_GD_1[CODIGO],PRODUCTOS[[#This Row],[CODIGO]])</f>
        <v>39</v>
      </c>
      <c r="R166" s="3">
        <f>+SUMIFS(DETALLE_GD_1[DEVOLUCIÓN],DETALLE_GD_1[CODIGO],PRODUCTOS[[#This Row],[CODIGO]])</f>
        <v>0</v>
      </c>
      <c r="S166" s="3">
        <f>+PRODUCTOS[[#This Row],[CANT. COMPRADA]]-PRODUCTOS[[#This Row],[DEVOLUCIONES]]</f>
        <v>39</v>
      </c>
      <c r="T166" s="3">
        <f>+IFERROR(PRODUCTOS[[#This Row],[CANTIDAD RECIBIDA]]/PRODUCTOS[[#This Row],[CANT X MODULO]],"")</f>
        <v>74.285714285714278</v>
      </c>
      <c r="U166" s="3">
        <f>+SUMIFS(DETALLE_GD_1[VALOR TOTAL POR ITEM GD],DETALLE_GD_1[CODIGO],PRODUCTOS[[#This Row],[CODIGO]])</f>
        <v>67371</v>
      </c>
      <c r="V166" s="3">
        <f>+IFERROR(PRODUCTOS[[#This Row],[PRECIO DE COMPRA]]/PRODUCTOS[[#This Row],[CANT. COMPRADA]],"")</f>
        <v>1727.4615384615386</v>
      </c>
      <c r="W166" s="3">
        <f>+IFERROR(PRODUCTOS[[#This Row],[PRECIO COMPRA UNITARIO]]*PRODUCTOS[[#This Row],[PPTO FALTANTE]],"")</f>
        <v>571098.78461538465</v>
      </c>
      <c r="X166" s="7">
        <f>+IFERROR(PRODUCTOS[[#This Row],[PROYECCION COMPRA]]/PRODUCTOS[[#This Row],[PPTO TOTAL]]-1,"")</f>
        <v>-0.62674218857777131</v>
      </c>
      <c r="Y166" s="3">
        <f>+IFERROR((PRODUCTOS[[#This Row],[CANT X MODULO]]*704)-PRODUCTOS[[#This Row],[CANT. COMPRADA]],"")</f>
        <v>330.6</v>
      </c>
      <c r="Z166" s="17">
        <f>+IFERROR(PRODUCTOS[[#This Row],[CANT. COMPRADA]]/PRODUCTOS[[#This Row],[PPTO FALTANTE]],"")</f>
        <v>0.11796733212341197</v>
      </c>
      <c r="AA166" s="3">
        <f>+IFERROR(PRODUCTOS[[#This Row],[PROYECCION COMPRA]]-(PRODUCTOS[[#This Row],[PPTO FALTANTE]]*PRODUCTOS[[#This Row],[PPTO]]),"")</f>
        <v>-797490.75833621551</v>
      </c>
      <c r="AB166" s="3">
        <f>+_xlfn.XLOOKUP(PRODUCTOS[[#This Row],[CODIGO]],DETALLE_GD_1[CODIGO],DETALLE_GD_1[VALOR PPTO],"",0)</f>
        <v>1598</v>
      </c>
      <c r="AC166" s="3">
        <f>+AB166-PRODUCTOS[[#This Row],[PPTO_ACTUALIZADO]]</f>
        <v>0</v>
      </c>
    </row>
    <row r="167" spans="1:29" hidden="1" x14ac:dyDescent="0.25">
      <c r="A167">
        <v>307033</v>
      </c>
      <c r="B167" t="s">
        <v>248</v>
      </c>
      <c r="C167">
        <v>0</v>
      </c>
      <c r="D167" t="s">
        <v>244</v>
      </c>
      <c r="E167" t="s">
        <v>402</v>
      </c>
      <c r="F167" s="2">
        <v>1889.0535440000001</v>
      </c>
      <c r="G167" s="6" t="s">
        <v>31</v>
      </c>
      <c r="H167" s="2">
        <v>1889.0535440000001</v>
      </c>
      <c r="I167" t="b">
        <v>1</v>
      </c>
      <c r="J167" t="str">
        <f>+_xlfn.XLOOKUP(PRODUCTOS[[#This Row],[CODIGO]],P_CRITICOS[CODIGO],P_CRITICOS[DESC CORTA],"",0)</f>
        <v/>
      </c>
      <c r="K167" t="str">
        <f>+IFERROR(IF(VLOOKUP(PRODUCTOS[[#This Row],[CODIGO]],P_CRITICOS[],3,0)="*","PRODUCTO CRITICO","NO CRITICO"),"NO CRITICO")</f>
        <v>NO CRITICO</v>
      </c>
      <c r="L167" s="15">
        <f>+_xlfn.XLOOKUP(PRODUCTOS[[#This Row],[CODIGO]],BD_MODULO[Artículo],BD_MODULO[CUB_ACTUALIZADA],"",0)</f>
        <v>7.8750000000000018</v>
      </c>
      <c r="M167" s="2">
        <f>+IFERROR(PRODUCTOS[[#This Row],[PPTO]]*PRODUCTOS[[#This Row],[CANT X MODULO]],"")</f>
        <v>14876.296659000003</v>
      </c>
      <c r="N167" s="2">
        <f>+IFERROR(PRODUCTOS[[#This Row],[PPTO X MODULO]]*32,"")</f>
        <v>476041.4930880001</v>
      </c>
      <c r="O167" s="2">
        <f>+IFERROR(PRODUCTOS[[#This Row],[PPTO X TORRE]]*22,"")</f>
        <v>10472912.847936003</v>
      </c>
      <c r="P167" s="3">
        <f>+IFERROR(PRODUCTOS[[#This Row],[CANT X MODULO]]*702,"")</f>
        <v>5528.2500000000009</v>
      </c>
      <c r="Q167" s="3">
        <f>+SUMIFS(DETALLE_GD_1[CANTIDAD SOLICITADA],DETALLE_GD_1[CODIGO],PRODUCTOS[[#This Row],[CODIGO]])</f>
        <v>580</v>
      </c>
      <c r="R167" s="3">
        <f>+SUMIFS(DETALLE_GD_1[DEVOLUCIÓN],DETALLE_GD_1[CODIGO],PRODUCTOS[[#This Row],[CODIGO]])</f>
        <v>0</v>
      </c>
      <c r="S167" s="3">
        <f>+PRODUCTOS[[#This Row],[CANT. COMPRADA]]-PRODUCTOS[[#This Row],[DEVOLUCIONES]]</f>
        <v>580</v>
      </c>
      <c r="T167" s="3">
        <f>+IFERROR(PRODUCTOS[[#This Row],[CANTIDAD RECIBIDA]]/PRODUCTOS[[#This Row],[CANT X MODULO]],"")</f>
        <v>73.650793650793631</v>
      </c>
      <c r="U167" s="3">
        <f>+SUMIFS(DETALLE_GD_1[VALOR TOTAL POR ITEM GD],DETALLE_GD_1[CODIGO],PRODUCTOS[[#This Row],[CODIGO]])</f>
        <v>1095981</v>
      </c>
      <c r="V167" s="3">
        <f>+IFERROR(PRODUCTOS[[#This Row],[PRECIO DE COMPRA]]/PRODUCTOS[[#This Row],[CANT. COMPRADA]],"")</f>
        <v>1889.6224137931035</v>
      </c>
      <c r="W167" s="3">
        <f>+IFERROR(PRODUCTOS[[#This Row],[PRECIO COMPRA UNITARIO]]*PRODUCTOS[[#This Row],[PPTO FALTANTE]],"")</f>
        <v>9380085.6620689668</v>
      </c>
      <c r="X167" s="7">
        <f>+IFERROR(PRODUCTOS[[#This Row],[PROYECCION COMPRA]]/PRODUCTOS[[#This Row],[PPTO TOTAL]]-1,"")</f>
        <v>-0.1043479690640613</v>
      </c>
      <c r="Y167" s="3">
        <f>+IFERROR((PRODUCTOS[[#This Row],[CANT X MODULO]]*704)-PRODUCTOS[[#This Row],[CANT. COMPRADA]],"")</f>
        <v>4964.0000000000009</v>
      </c>
      <c r="Z167" s="17">
        <f>+IFERROR(PRODUCTOS[[#This Row],[CANT. COMPRADA]]/PRODUCTOS[[#This Row],[PPTO FALTANTE]],"")</f>
        <v>0.11684125705076549</v>
      </c>
      <c r="AA167" s="3">
        <f>+IFERROR(PRODUCTOS[[#This Row],[PROYECCION COMPRA]]-(PRODUCTOS[[#This Row],[PPTO FALTANTE]]*PRODUCTOS[[#This Row],[PPTO]]),"")</f>
        <v>2823.8696529641747</v>
      </c>
      <c r="AB167" s="3">
        <f>+_xlfn.XLOOKUP(PRODUCTOS[[#This Row],[CODIGO]],DETALLE_GD_1[CODIGO],DETALLE_GD_1[VALOR PPTO],"",0)</f>
        <v>1889.0535</v>
      </c>
      <c r="AC167" s="3">
        <f>+AB167-PRODUCTOS[[#This Row],[PPTO_ACTUALIZADO]]</f>
        <v>-4.4000000116284355E-5</v>
      </c>
    </row>
    <row r="168" spans="1:29" hidden="1" x14ac:dyDescent="0.25">
      <c r="A168" t="s">
        <v>296</v>
      </c>
      <c r="B168" t="s">
        <v>297</v>
      </c>
      <c r="C168" t="s">
        <v>529</v>
      </c>
      <c r="D168" t="s">
        <v>244</v>
      </c>
      <c r="E168" t="s">
        <v>408</v>
      </c>
      <c r="F168" s="2">
        <v>205500</v>
      </c>
      <c r="G168" s="6" t="s">
        <v>31</v>
      </c>
      <c r="H168" s="2">
        <v>205500</v>
      </c>
      <c r="I168" t="b">
        <v>1</v>
      </c>
      <c r="J168" t="str">
        <f>+_xlfn.XLOOKUP(PRODUCTOS[[#This Row],[CODIGO]],P_CRITICOS[CODIGO],P_CRITICOS[DESC CORTA],"",0)</f>
        <v>VENTANA V-01</v>
      </c>
      <c r="K168" t="str">
        <f>+IFERROR(IF(VLOOKUP(PRODUCTOS[[#This Row],[CODIGO]],P_CRITICOS[],3,0)="*","PRODUCTO CRITICO","NO CRITICO"),"NO CRITICO")</f>
        <v>PRODUCTO CRITICO</v>
      </c>
      <c r="L168" s="15">
        <f>+_xlfn.XLOOKUP(PRODUCTOS[[#This Row],[CODIGO]],BD_MODULO[Artículo],BD_MODULO[CUB_ACTUALIZADA],"",0)</f>
        <v>1.5750000000000002</v>
      </c>
      <c r="M168" s="2">
        <f>+IFERROR(PRODUCTOS[[#This Row],[PPTO]]*PRODUCTOS[[#This Row],[CANT X MODULO]],"")</f>
        <v>323662.50000000006</v>
      </c>
      <c r="N168" s="2">
        <f>+IFERROR(PRODUCTOS[[#This Row],[PPTO X MODULO]]*32,"")</f>
        <v>10357200.000000002</v>
      </c>
      <c r="O168" s="2">
        <f>+IFERROR(PRODUCTOS[[#This Row],[PPTO X TORRE]]*22,"")</f>
        <v>227858400.00000003</v>
      </c>
      <c r="P168" s="3">
        <f>+IFERROR(PRODUCTOS[[#This Row],[CANT X MODULO]]*702,"")</f>
        <v>1105.6500000000001</v>
      </c>
      <c r="Q168" s="3">
        <f>+SUMIFS(DETALLE_GD_1[CANTIDAD SOLICITADA],DETALLE_GD_1[CODIGO],PRODUCTOS[[#This Row],[CODIGO]])</f>
        <v>114</v>
      </c>
      <c r="R168" s="3">
        <f>+SUMIFS(DETALLE_GD_1[DEVOLUCIÓN],DETALLE_GD_1[CODIGO],PRODUCTOS[[#This Row],[CODIGO]])</f>
        <v>0</v>
      </c>
      <c r="S168" s="3">
        <f>+PRODUCTOS[[#This Row],[CANT. COMPRADA]]-PRODUCTOS[[#This Row],[DEVOLUCIONES]]</f>
        <v>114</v>
      </c>
      <c r="T168" s="3">
        <f>+IFERROR(PRODUCTOS[[#This Row],[CANTIDAD RECIBIDA]]/PRODUCTOS[[#This Row],[CANT X MODULO]],"")</f>
        <v>72.38095238095238</v>
      </c>
      <c r="U168" s="3">
        <f>+SUMIFS(DETALLE_GD_1[VALOR TOTAL POR ITEM GD],DETALLE_GD_1[CODIGO],PRODUCTOS[[#This Row],[CODIGO]])</f>
        <v>23168467</v>
      </c>
      <c r="V168" s="3">
        <f>+IFERROR(PRODUCTOS[[#This Row],[PRECIO DE COMPRA]]/PRODUCTOS[[#This Row],[CANT. COMPRADA]],"")</f>
        <v>203232.16666666666</v>
      </c>
      <c r="W168" s="3">
        <f>+IFERROR(PRODUCTOS[[#This Row],[PRECIO COMPRA UNITARIO]]*PRODUCTOS[[#This Row],[PPTO FALTANTE]],"")</f>
        <v>202175359.40000004</v>
      </c>
      <c r="X168" s="7">
        <f>+IFERROR(PRODUCTOS[[#This Row],[PROYECCION COMPRA]]/PRODUCTOS[[#This Row],[PPTO TOTAL]]-1,"")</f>
        <v>-0.11271491680798251</v>
      </c>
      <c r="Y168" s="3">
        <f>+IFERROR((PRODUCTOS[[#This Row],[CANT X MODULO]]*704)-PRODUCTOS[[#This Row],[CANT. COMPRADA]],"")</f>
        <v>994.80000000000018</v>
      </c>
      <c r="Z168" s="17">
        <f>+IFERROR(PRODUCTOS[[#This Row],[CANT. COMPRADA]]/PRODUCTOS[[#This Row],[PPTO FALTANTE]],"")</f>
        <v>0.11459589867310011</v>
      </c>
      <c r="AA168" s="3">
        <f>+IFERROR(PRODUCTOS[[#This Row],[PROYECCION COMPRA]]-(PRODUCTOS[[#This Row],[PPTO FALTANTE]]*PRODUCTOS[[#This Row],[PPTO]]),"")</f>
        <v>-2256040.599999994</v>
      </c>
      <c r="AB168" s="3">
        <f>+_xlfn.XLOOKUP(PRODUCTOS[[#This Row],[CODIGO]],DETALLE_GD_1[CODIGO],DETALLE_GD_1[VALOR PPTO],"",0)</f>
        <v>205500</v>
      </c>
      <c r="AC168" s="3">
        <f>+AB168-PRODUCTOS[[#This Row],[PPTO_ACTUALIZADO]]</f>
        <v>0</v>
      </c>
    </row>
    <row r="169" spans="1:29" hidden="1" x14ac:dyDescent="0.25">
      <c r="A169">
        <v>1802162</v>
      </c>
      <c r="B169" t="s">
        <v>260</v>
      </c>
      <c r="C169" t="s">
        <v>654</v>
      </c>
      <c r="D169" t="s">
        <v>244</v>
      </c>
      <c r="E169" t="s">
        <v>406</v>
      </c>
      <c r="F169" s="2">
        <v>42840</v>
      </c>
      <c r="G169" s="6" t="s">
        <v>31</v>
      </c>
      <c r="H169" s="2">
        <v>42840</v>
      </c>
      <c r="I169" t="b">
        <v>1</v>
      </c>
      <c r="J169" t="str">
        <f>+_xlfn.XLOOKUP(PRODUCTOS[[#This Row],[CODIGO]],P_CRITICOS[CODIGO],P_CRITICOS[DESC CORTA],"",0)</f>
        <v/>
      </c>
      <c r="K169" t="str">
        <f>+IFERROR(IF(VLOOKUP(PRODUCTOS[[#This Row],[CODIGO]],P_CRITICOS[],3,0)="*","PRODUCTO CRITICO","NO CRITICO"),"NO CRITICO")</f>
        <v>NO CRITICO</v>
      </c>
      <c r="L169" s="15">
        <f>+_xlfn.XLOOKUP(PRODUCTOS[[#This Row],[CODIGO]],BD_MODULO[Artículo],BD_MODULO[CUB_ACTUALIZADA],"",0)</f>
        <v>0.52500000000000002</v>
      </c>
      <c r="M169" s="2">
        <f>+IFERROR(PRODUCTOS[[#This Row],[PPTO]]*PRODUCTOS[[#This Row],[CANT X MODULO]],"")</f>
        <v>22491</v>
      </c>
      <c r="N169" s="2">
        <f>+IFERROR(PRODUCTOS[[#This Row],[PPTO X MODULO]]*32,"")</f>
        <v>719712</v>
      </c>
      <c r="O169" s="2">
        <f>+IFERROR(PRODUCTOS[[#This Row],[PPTO X TORRE]]*22,"")</f>
        <v>15833664</v>
      </c>
      <c r="P169" s="3">
        <f>+IFERROR(PRODUCTOS[[#This Row],[CANT X MODULO]]*702,"")</f>
        <v>368.55</v>
      </c>
      <c r="Q169" s="3">
        <f>+SUMIFS(DETALLE_GD_1[CANTIDAD SOLICITADA],DETALLE_GD_1[CODIGO],PRODUCTOS[[#This Row],[CODIGO]])</f>
        <v>38</v>
      </c>
      <c r="R169" s="3">
        <f>+SUMIFS(DETALLE_GD_1[DEVOLUCIÓN],DETALLE_GD_1[CODIGO],PRODUCTOS[[#This Row],[CODIGO]])</f>
        <v>0</v>
      </c>
      <c r="S169" s="3">
        <f>+PRODUCTOS[[#This Row],[CANT. COMPRADA]]-PRODUCTOS[[#This Row],[DEVOLUCIONES]]</f>
        <v>38</v>
      </c>
      <c r="T169" s="3">
        <f>+IFERROR(PRODUCTOS[[#This Row],[CANTIDAD RECIBIDA]]/PRODUCTOS[[#This Row],[CANT X MODULO]],"")</f>
        <v>72.38095238095238</v>
      </c>
      <c r="U169" s="3">
        <f>+SUMIFS(DETALLE_GD_1[VALOR TOTAL POR ITEM GD],DETALLE_GD_1[CODIGO],PRODUCTOS[[#This Row],[CODIGO]])</f>
        <v>1627920</v>
      </c>
      <c r="V169" s="3">
        <f>+IFERROR(PRODUCTOS[[#This Row],[PRECIO DE COMPRA]]/PRODUCTOS[[#This Row],[CANT. COMPRADA]],"")</f>
        <v>42840</v>
      </c>
      <c r="W169" s="3">
        <f>+IFERROR(PRODUCTOS[[#This Row],[PRECIO COMPRA UNITARIO]]*PRODUCTOS[[#This Row],[PPTO FALTANTE]],"")</f>
        <v>14205744.000000002</v>
      </c>
      <c r="X169" s="7">
        <f>+IFERROR(PRODUCTOS[[#This Row],[PROYECCION COMPRA]]/PRODUCTOS[[#This Row],[PPTO TOTAL]]-1,"")</f>
        <v>-0.10281385281385269</v>
      </c>
      <c r="Y169" s="3">
        <f>+IFERROR((PRODUCTOS[[#This Row],[CANT X MODULO]]*704)-PRODUCTOS[[#This Row],[CANT. COMPRADA]],"")</f>
        <v>331.6</v>
      </c>
      <c r="Z169" s="17">
        <f>+IFERROR(PRODUCTOS[[#This Row],[CANT. COMPRADA]]/PRODUCTOS[[#This Row],[PPTO FALTANTE]],"")</f>
        <v>0.11459589867310012</v>
      </c>
      <c r="AA169" s="3">
        <f>+IFERROR(PRODUCTOS[[#This Row],[PROYECCION COMPRA]]-(PRODUCTOS[[#This Row],[PPTO FALTANTE]]*PRODUCTOS[[#This Row],[PPTO]]),"")</f>
        <v>0</v>
      </c>
      <c r="AB169" s="3">
        <f>+_xlfn.XLOOKUP(PRODUCTOS[[#This Row],[CODIGO]],DETALLE_GD_1[CODIGO],DETALLE_GD_1[VALOR PPTO],"",0)</f>
        <v>42840</v>
      </c>
      <c r="AC169" s="3">
        <f>+AB169-PRODUCTOS[[#This Row],[PPTO_ACTUALIZADO]]</f>
        <v>0</v>
      </c>
    </row>
    <row r="170" spans="1:29" hidden="1" x14ac:dyDescent="0.25">
      <c r="A170">
        <v>1808156</v>
      </c>
      <c r="B170" t="s">
        <v>277</v>
      </c>
      <c r="C170" t="s">
        <v>656</v>
      </c>
      <c r="D170" t="s">
        <v>244</v>
      </c>
      <c r="E170">
        <v>0</v>
      </c>
      <c r="F170" s="2">
        <v>1943.6823529999999</v>
      </c>
      <c r="G170" s="6" t="s">
        <v>31</v>
      </c>
      <c r="H170" s="2">
        <v>1916</v>
      </c>
      <c r="I170" t="b">
        <v>0</v>
      </c>
      <c r="J170" t="str">
        <f>+_xlfn.XLOOKUP(PRODUCTOS[[#This Row],[CODIGO]],P_CRITICOS[CODIGO],P_CRITICOS[DESC CORTA],"",0)</f>
        <v/>
      </c>
      <c r="K170" t="str">
        <f>+IFERROR(IF(VLOOKUP(PRODUCTOS[[#This Row],[CODIGO]],P_CRITICOS[],3,0)="*","PRODUCTO CRITICO","NO CRITICO"),"NO CRITICO")</f>
        <v>NO CRITICO</v>
      </c>
      <c r="L170" s="15">
        <f>+_xlfn.XLOOKUP(PRODUCTOS[[#This Row],[CODIGO]],BD_MODULO[Artículo],BD_MODULO[CUB_ACTUALIZADA],"",0)</f>
        <v>0.52500000000000002</v>
      </c>
      <c r="M170" s="2">
        <f>+IFERROR(PRODUCTOS[[#This Row],[PPTO]]*PRODUCTOS[[#This Row],[CANT X MODULO]],"")</f>
        <v>1020.4332353250001</v>
      </c>
      <c r="N170" s="2">
        <f>+IFERROR(PRODUCTOS[[#This Row],[PPTO X MODULO]]*32,"")</f>
        <v>32653.863530400002</v>
      </c>
      <c r="O170" s="2">
        <f>+IFERROR(PRODUCTOS[[#This Row],[PPTO X TORRE]]*22,"")</f>
        <v>718384.99766880006</v>
      </c>
      <c r="P170" s="3">
        <f>+IFERROR(PRODUCTOS[[#This Row],[CANT X MODULO]]*702,"")</f>
        <v>368.55</v>
      </c>
      <c r="Q170" s="3">
        <f>+SUMIFS(DETALLE_GD_1[CANTIDAD SOLICITADA],DETALLE_GD_1[CODIGO],PRODUCTOS[[#This Row],[CODIGO]])</f>
        <v>38</v>
      </c>
      <c r="R170" s="3">
        <f>+SUMIFS(DETALLE_GD_1[DEVOLUCIÓN],DETALLE_GD_1[CODIGO],PRODUCTOS[[#This Row],[CODIGO]])</f>
        <v>0</v>
      </c>
      <c r="S170" s="3">
        <f>+PRODUCTOS[[#This Row],[CANT. COMPRADA]]-PRODUCTOS[[#This Row],[DEVOLUCIONES]]</f>
        <v>38</v>
      </c>
      <c r="T170" s="3">
        <f>+IFERROR(PRODUCTOS[[#This Row],[CANTIDAD RECIBIDA]]/PRODUCTOS[[#This Row],[CANT X MODULO]],"")</f>
        <v>72.38095238095238</v>
      </c>
      <c r="U170" s="3">
        <f>+SUMIFS(DETALLE_GD_1[VALOR TOTAL POR ITEM GD],DETALLE_GD_1[CODIGO],PRODUCTOS[[#This Row],[CODIGO]])</f>
        <v>73401</v>
      </c>
      <c r="V170" s="3">
        <f>+IFERROR(PRODUCTOS[[#This Row],[PRECIO DE COMPRA]]/PRODUCTOS[[#This Row],[CANT. COMPRADA]],"")</f>
        <v>1931.6052631578948</v>
      </c>
      <c r="W170" s="3">
        <f>+IFERROR(PRODUCTOS[[#This Row],[PRECIO COMPRA UNITARIO]]*PRODUCTOS[[#This Row],[PPTO FALTANTE]],"")</f>
        <v>640520.30526315793</v>
      </c>
      <c r="X170" s="7">
        <f>+IFERROR(PRODUCTOS[[#This Row],[PROYECCION COMPRA]]/PRODUCTOS[[#This Row],[PPTO TOTAL]]-1,"")</f>
        <v>-0.10838852795968379</v>
      </c>
      <c r="Y170" s="3">
        <f>+IFERROR((PRODUCTOS[[#This Row],[CANT X MODULO]]*704)-PRODUCTOS[[#This Row],[CANT. COMPRADA]],"")</f>
        <v>331.6</v>
      </c>
      <c r="Z170" s="17">
        <f>+IFERROR(PRODUCTOS[[#This Row],[CANT. COMPRADA]]/PRODUCTOS[[#This Row],[PPTO FALTANTE]],"")</f>
        <v>0.11459589867310012</v>
      </c>
      <c r="AA170" s="3">
        <f>+IFERROR(PRODUCTOS[[#This Row],[PROYECCION COMPRA]]-(PRODUCTOS[[#This Row],[PPTO FALTANTE]]*PRODUCTOS[[#This Row],[PPTO]]),"")</f>
        <v>-4004.7629916421138</v>
      </c>
      <c r="AB170" s="3">
        <f>+_xlfn.XLOOKUP(PRODUCTOS[[#This Row],[CODIGO]],DETALLE_GD_1[CODIGO],DETALLE_GD_1[VALOR PPTO],"",0)</f>
        <v>1916</v>
      </c>
      <c r="AC170" s="3">
        <f>+AB170-PRODUCTOS[[#This Row],[PPTO_ACTUALIZADO]]</f>
        <v>0</v>
      </c>
    </row>
    <row r="171" spans="1:29" hidden="1" x14ac:dyDescent="0.25">
      <c r="A171">
        <v>1802172</v>
      </c>
      <c r="B171" t="s">
        <v>266</v>
      </c>
      <c r="C171" t="s">
        <v>658</v>
      </c>
      <c r="D171" t="s">
        <v>244</v>
      </c>
      <c r="E171" t="s">
        <v>406</v>
      </c>
      <c r="F171" s="2">
        <v>3029.864865</v>
      </c>
      <c r="G171" s="6" t="s">
        <v>31</v>
      </c>
      <c r="H171" s="2">
        <v>3035</v>
      </c>
      <c r="I171" t="b">
        <v>0</v>
      </c>
      <c r="J171" t="str">
        <f>+_xlfn.XLOOKUP(PRODUCTOS[[#This Row],[CODIGO]],P_CRITICOS[CODIGO],P_CRITICOS[DESC CORTA],"",0)</f>
        <v/>
      </c>
      <c r="K171" t="str">
        <f>+IFERROR(IF(VLOOKUP(PRODUCTOS[[#This Row],[CODIGO]],P_CRITICOS[],3,0)="*","PRODUCTO CRITICO","NO CRITICO"),"NO CRITICO")</f>
        <v>NO CRITICO</v>
      </c>
      <c r="L171" s="15">
        <f>+_xlfn.XLOOKUP(PRODUCTOS[[#This Row],[CODIGO]],BD_MODULO[Artículo],BD_MODULO[CUB_ACTUALIZADA],"",0)</f>
        <v>0.52500000000000002</v>
      </c>
      <c r="M171" s="2">
        <f>+IFERROR(PRODUCTOS[[#This Row],[PPTO]]*PRODUCTOS[[#This Row],[CANT X MODULO]],"")</f>
        <v>1590.679054125</v>
      </c>
      <c r="N171" s="2">
        <f>+IFERROR(PRODUCTOS[[#This Row],[PPTO X MODULO]]*32,"")</f>
        <v>50901.729732</v>
      </c>
      <c r="O171" s="2">
        <f>+IFERROR(PRODUCTOS[[#This Row],[PPTO X TORRE]]*22,"")</f>
        <v>1119838.0541040001</v>
      </c>
      <c r="P171" s="3">
        <f>+IFERROR(PRODUCTOS[[#This Row],[CANT X MODULO]]*702,"")</f>
        <v>368.55</v>
      </c>
      <c r="Q171" s="3">
        <f>+SUMIFS(DETALLE_GD_1[CANTIDAD SOLICITADA],DETALLE_GD_1[CODIGO],PRODUCTOS[[#This Row],[CODIGO]])</f>
        <v>38</v>
      </c>
      <c r="R171" s="3">
        <f>+SUMIFS(DETALLE_GD_1[DEVOLUCIÓN],DETALLE_GD_1[CODIGO],PRODUCTOS[[#This Row],[CODIGO]])</f>
        <v>0</v>
      </c>
      <c r="S171" s="3">
        <f>+PRODUCTOS[[#This Row],[CANT. COMPRADA]]-PRODUCTOS[[#This Row],[DEVOLUCIONES]]</f>
        <v>38</v>
      </c>
      <c r="T171" s="3">
        <f>+IFERROR(PRODUCTOS[[#This Row],[CANTIDAD RECIBIDA]]/PRODUCTOS[[#This Row],[CANT X MODULO]],"")</f>
        <v>72.38095238095238</v>
      </c>
      <c r="U171" s="3">
        <f>+SUMIFS(DETALLE_GD_1[VALOR TOTAL POR ITEM GD],DETALLE_GD_1[CODIGO],PRODUCTOS[[#This Row],[CODIGO]])</f>
        <v>115231</v>
      </c>
      <c r="V171" s="3">
        <f>+IFERROR(PRODUCTOS[[#This Row],[PRECIO DE COMPRA]]/PRODUCTOS[[#This Row],[CANT. COMPRADA]],"")</f>
        <v>3032.3947368421054</v>
      </c>
      <c r="W171" s="3">
        <f>+IFERROR(PRODUCTOS[[#This Row],[PRECIO COMPRA UNITARIO]]*PRODUCTOS[[#This Row],[PPTO FALTANTE]],"")</f>
        <v>1005542.0947368422</v>
      </c>
      <c r="X171" s="7">
        <f>+IFERROR(PRODUCTOS[[#This Row],[PROYECCION COMPRA]]/PRODUCTOS[[#This Row],[PPTO TOTAL]]-1,"")</f>
        <v>-0.10206472172318515</v>
      </c>
      <c r="Y171" s="3">
        <f>+IFERROR((PRODUCTOS[[#This Row],[CANT X MODULO]]*704)-PRODUCTOS[[#This Row],[CANT. COMPRADA]],"")</f>
        <v>331.6</v>
      </c>
      <c r="Z171" s="17">
        <f>+IFERROR(PRODUCTOS[[#This Row],[CANT. COMPRADA]]/PRODUCTOS[[#This Row],[PPTO FALTANTE]],"")</f>
        <v>0.11459589867310012</v>
      </c>
      <c r="AA171" s="3">
        <f>+IFERROR(PRODUCTOS[[#This Row],[PROYECCION COMPRA]]-(PRODUCTOS[[#This Row],[PPTO FALTANTE]]*PRODUCTOS[[#This Row],[PPTO]]),"")</f>
        <v>838.90550284215715</v>
      </c>
      <c r="AB171" s="3">
        <f>+_xlfn.XLOOKUP(PRODUCTOS[[#This Row],[CODIGO]],DETALLE_GD_1[CODIGO],DETALLE_GD_1[VALOR PPTO],"",0)</f>
        <v>3035</v>
      </c>
      <c r="AC171" s="3">
        <f>+AB171-PRODUCTOS[[#This Row],[PPTO_ACTUALIZADO]]</f>
        <v>0</v>
      </c>
    </row>
    <row r="172" spans="1:29" hidden="1" x14ac:dyDescent="0.25">
      <c r="A172">
        <v>701015</v>
      </c>
      <c r="B172" t="s">
        <v>254</v>
      </c>
      <c r="C172" t="s">
        <v>593</v>
      </c>
      <c r="D172" t="s">
        <v>240</v>
      </c>
      <c r="E172" t="s">
        <v>402</v>
      </c>
      <c r="F172" s="2">
        <v>9151.2974680000007</v>
      </c>
      <c r="G172" s="6" t="s">
        <v>18</v>
      </c>
      <c r="H172" s="2">
        <v>9151.2974680000007</v>
      </c>
      <c r="I172" t="b">
        <v>1</v>
      </c>
      <c r="J172" t="str">
        <f>+_xlfn.XLOOKUP(PRODUCTOS[[#This Row],[CODIGO]],P_CRITICOS[CODIGO],P_CRITICOS[DESC CORTA],"",0)</f>
        <v/>
      </c>
      <c r="K172" t="str">
        <f>+IFERROR(IF(VLOOKUP(PRODUCTOS[[#This Row],[CODIGO]],P_CRITICOS[],3,0)="*","PRODUCTO CRITICO","NO CRITICO"),"NO CRITICO")</f>
        <v>NO CRITICO</v>
      </c>
      <c r="L172" s="15">
        <f>+_xlfn.XLOOKUP(PRODUCTOS[[#This Row],[CODIGO]],BD_MODULO[Artículo],BD_MODULO[CUB_ACTUALIZADA],"",0)</f>
        <v>4.7250000000000005</v>
      </c>
      <c r="M172" s="2">
        <f>+IFERROR(PRODUCTOS[[#This Row],[PPTO]]*PRODUCTOS[[#This Row],[CANT X MODULO]],"")</f>
        <v>43239.880536300006</v>
      </c>
      <c r="N172" s="2">
        <f>+IFERROR(PRODUCTOS[[#This Row],[PPTO X MODULO]]*32,"")</f>
        <v>1383676.1771616002</v>
      </c>
      <c r="O172" s="2">
        <f>+IFERROR(PRODUCTOS[[#This Row],[PPTO X TORRE]]*22,"")</f>
        <v>30440875.897555206</v>
      </c>
      <c r="P172" s="3">
        <f>+IFERROR(PRODUCTOS[[#This Row],[CANT X MODULO]]*702,"")</f>
        <v>3316.9500000000003</v>
      </c>
      <c r="Q172" s="3">
        <f>+SUMIFS(DETALLE_GD_1[CANTIDAD SOLICITADA],DETALLE_GD_1[CODIGO],PRODUCTOS[[#This Row],[CODIGO]])</f>
        <v>336</v>
      </c>
      <c r="R172" s="3">
        <f>+SUMIFS(DETALLE_GD_1[DEVOLUCIÓN],DETALLE_GD_1[CODIGO],PRODUCTOS[[#This Row],[CODIGO]])</f>
        <v>0</v>
      </c>
      <c r="S172" s="3">
        <f>+PRODUCTOS[[#This Row],[CANT. COMPRADA]]-PRODUCTOS[[#This Row],[DEVOLUCIONES]]</f>
        <v>336</v>
      </c>
      <c r="T172" s="3">
        <f>+IFERROR(PRODUCTOS[[#This Row],[CANTIDAD RECIBIDA]]/PRODUCTOS[[#This Row],[CANT X MODULO]],"")</f>
        <v>71.1111111111111</v>
      </c>
      <c r="U172" s="3">
        <f>+SUMIFS(DETALLE_GD_1[VALOR TOTAL POR ITEM GD],DETALLE_GD_1[CODIGO],PRODUCTOS[[#This Row],[CODIGO]])</f>
        <v>3104236</v>
      </c>
      <c r="V172" s="3">
        <f>+IFERROR(PRODUCTOS[[#This Row],[PRECIO DE COMPRA]]/PRODUCTOS[[#This Row],[CANT. COMPRADA]],"")</f>
        <v>9238.7976190476184</v>
      </c>
      <c r="W172" s="3">
        <f>+IFERROR(PRODUCTOS[[#This Row],[PRECIO COMPRA UNITARIO]]*PRODUCTOS[[#This Row],[PPTO FALTANTE]],"")</f>
        <v>27627700.400000002</v>
      </c>
      <c r="X172" s="7">
        <f>+IFERROR(PRODUCTOS[[#This Row],[PROYECCION COMPRA]]/PRODUCTOS[[#This Row],[PPTO TOTAL]]-1,"")</f>
        <v>-9.2414407095990914E-2</v>
      </c>
      <c r="Y172" s="3">
        <f>+IFERROR((PRODUCTOS[[#This Row],[CANT X MODULO]]*704)-PRODUCTOS[[#This Row],[CANT. COMPRADA]],"")</f>
        <v>2990.4000000000005</v>
      </c>
      <c r="Z172" s="17">
        <f>+IFERROR(PRODUCTOS[[#This Row],[CANT. COMPRADA]]/PRODUCTOS[[#This Row],[PPTO FALTANTE]],"")</f>
        <v>0.11235955056179774</v>
      </c>
      <c r="AA172" s="3">
        <f>+IFERROR(PRODUCTOS[[#This Row],[PROYECCION COMPRA]]-(PRODUCTOS[[#This Row],[PPTO FALTANTE]]*PRODUCTOS[[#This Row],[PPTO]]),"")</f>
        <v>261660.45169279352</v>
      </c>
      <c r="AB172" s="3">
        <f>+_xlfn.XLOOKUP(PRODUCTOS[[#This Row],[CODIGO]],DETALLE_GD_1[CODIGO],DETALLE_GD_1[VALOR PPTO],"",0)</f>
        <v>9151.2975000000006</v>
      </c>
      <c r="AC172" s="3">
        <f>+AB172-PRODUCTOS[[#This Row],[PPTO_ACTUALIZADO]]</f>
        <v>3.1999999919207767E-5</v>
      </c>
    </row>
    <row r="173" spans="1:29" hidden="1" x14ac:dyDescent="0.25">
      <c r="A173">
        <v>1405025</v>
      </c>
      <c r="B173" t="s">
        <v>189</v>
      </c>
      <c r="C173">
        <v>0</v>
      </c>
      <c r="D173" t="s">
        <v>244</v>
      </c>
      <c r="E173" t="s">
        <v>408</v>
      </c>
      <c r="F173" s="2">
        <v>6758.5333330000003</v>
      </c>
      <c r="G173" s="6" t="s">
        <v>31</v>
      </c>
      <c r="H173" s="2">
        <v>6758.5333330000003</v>
      </c>
      <c r="I173" t="b">
        <v>1</v>
      </c>
      <c r="J173" t="str">
        <f>+_xlfn.XLOOKUP(PRODUCTOS[[#This Row],[CODIGO]],P_CRITICOS[CODIGO],P_CRITICOS[DESC CORTA],"",0)</f>
        <v/>
      </c>
      <c r="K173" t="str">
        <f>+IFERROR(IF(VLOOKUP(PRODUCTOS[[#This Row],[CODIGO]],P_CRITICOS[],3,0)="*","PRODUCTO CRITICO","NO CRITICO"),"NO CRITICO")</f>
        <v>NO CRITICO</v>
      </c>
      <c r="L173" s="15">
        <f>+_xlfn.XLOOKUP(PRODUCTOS[[#This Row],[CODIGO]],BD_MODULO[Artículo],BD_MODULO[CUB_ACTUALIZADA],"",0)</f>
        <v>0.52500000000000002</v>
      </c>
      <c r="M173" s="2">
        <f>+IFERROR(PRODUCTOS[[#This Row],[PPTO]]*PRODUCTOS[[#This Row],[CANT X MODULO]],"")</f>
        <v>3548.2299998250005</v>
      </c>
      <c r="N173" s="2">
        <f>+IFERROR(PRODUCTOS[[#This Row],[PPTO X MODULO]]*32,"")</f>
        <v>113543.35999440002</v>
      </c>
      <c r="O173" s="2">
        <f>+IFERROR(PRODUCTOS[[#This Row],[PPTO X TORRE]]*22,"")</f>
        <v>2497953.9198768004</v>
      </c>
      <c r="P173" s="3">
        <f>+IFERROR(PRODUCTOS[[#This Row],[CANT X MODULO]]*702,"")</f>
        <v>368.55</v>
      </c>
      <c r="Q173" s="3">
        <f>+SUMIFS(DETALLE_GD_1[CANTIDAD SOLICITADA],DETALLE_GD_1[CODIGO],PRODUCTOS[[#This Row],[CODIGO]])</f>
        <v>37</v>
      </c>
      <c r="R173" s="3">
        <f>+SUMIFS(DETALLE_GD_1[DEVOLUCIÓN],DETALLE_GD_1[CODIGO],PRODUCTOS[[#This Row],[CODIGO]])</f>
        <v>0</v>
      </c>
      <c r="S173" s="3">
        <f>+PRODUCTOS[[#This Row],[CANT. COMPRADA]]-PRODUCTOS[[#This Row],[DEVOLUCIONES]]</f>
        <v>37</v>
      </c>
      <c r="T173" s="3">
        <f>+IFERROR(PRODUCTOS[[#This Row],[CANTIDAD RECIBIDA]]/PRODUCTOS[[#This Row],[CANT X MODULO]],"")</f>
        <v>70.476190476190467</v>
      </c>
      <c r="U173" s="3">
        <f>+SUMIFS(DETALLE_GD_1[VALOR TOTAL POR ITEM GD],DETALLE_GD_1[CODIGO],PRODUCTOS[[#This Row],[CODIGO]])</f>
        <v>258214</v>
      </c>
      <c r="V173" s="3">
        <f>+IFERROR(PRODUCTOS[[#This Row],[PRECIO DE COMPRA]]/PRODUCTOS[[#This Row],[CANT. COMPRADA]],"")</f>
        <v>6978.7567567567567</v>
      </c>
      <c r="W173" s="3">
        <f>+IFERROR(PRODUCTOS[[#This Row],[PRECIO COMPRA UNITARIO]]*PRODUCTOS[[#This Row],[PPTO FALTANTE]],"")</f>
        <v>2321134.4972972972</v>
      </c>
      <c r="X173" s="7">
        <f>+IFERROR(PRODUCTOS[[#This Row],[PROYECCION COMPRA]]/PRODUCTOS[[#This Row],[PPTO TOTAL]]-1,"")</f>
        <v>-7.0785702319210109E-2</v>
      </c>
      <c r="Y173" s="3">
        <f>+IFERROR((PRODUCTOS[[#This Row],[CANT X MODULO]]*704)-PRODUCTOS[[#This Row],[CANT. COMPRADA]],"")</f>
        <v>332.6</v>
      </c>
      <c r="Z173" s="17">
        <f>+IFERROR(PRODUCTOS[[#This Row],[CANT. COMPRADA]]/PRODUCTOS[[#This Row],[PPTO FALTANTE]],"")</f>
        <v>0.11124473842453397</v>
      </c>
      <c r="AA173" s="3">
        <f>+IFERROR(PRODUCTOS[[#This Row],[PROYECCION COMPRA]]-(PRODUCTOS[[#This Row],[PPTO FALTANTE]]*PRODUCTOS[[#This Row],[PPTO]]),"")</f>
        <v>73246.310741497204</v>
      </c>
      <c r="AB173" s="3">
        <f>+_xlfn.XLOOKUP(PRODUCTOS[[#This Row],[CODIGO]],DETALLE_GD_1[CODIGO],DETALLE_GD_1[VALOR PPTO],"",0)</f>
        <v>6758.5333000000001</v>
      </c>
      <c r="AC173" s="3">
        <f>+AB173-PRODUCTOS[[#This Row],[PPTO_ACTUALIZADO]]</f>
        <v>-3.3000000257743523E-5</v>
      </c>
    </row>
    <row r="174" spans="1:29" hidden="1" x14ac:dyDescent="0.25">
      <c r="A174">
        <v>412630</v>
      </c>
      <c r="B174" t="s">
        <v>284</v>
      </c>
      <c r="C174">
        <v>0</v>
      </c>
      <c r="D174" t="s">
        <v>244</v>
      </c>
      <c r="E174" t="s">
        <v>410</v>
      </c>
      <c r="F174" s="2">
        <v>148200</v>
      </c>
      <c r="G174" s="6" t="s">
        <v>31</v>
      </c>
      <c r="H174" s="2">
        <v>148200</v>
      </c>
      <c r="I174" t="b">
        <v>1</v>
      </c>
      <c r="J174" t="str">
        <f>+_xlfn.XLOOKUP(PRODUCTOS[[#This Row],[CODIGO]],P_CRITICOS[CODIGO],P_CRITICOS[DESC CORTA],"",0)</f>
        <v/>
      </c>
      <c r="K174" t="str">
        <f>+IFERROR(IF(VLOOKUP(PRODUCTOS[[#This Row],[CODIGO]],P_CRITICOS[],3,0)="*","PRODUCTO CRITICO","NO CRITICO"),"NO CRITICO")</f>
        <v>NO CRITICO</v>
      </c>
      <c r="L174" s="15">
        <f>+_xlfn.XLOOKUP(PRODUCTOS[[#This Row],[CODIGO]],BD_MODULO[Artículo],BD_MODULO[CUB_ACTUALIZADA],"",0)</f>
        <v>0.52500000000000002</v>
      </c>
      <c r="M174" s="2">
        <f>+IFERROR(PRODUCTOS[[#This Row],[PPTO]]*PRODUCTOS[[#This Row],[CANT X MODULO]],"")</f>
        <v>77805</v>
      </c>
      <c r="N174" s="2">
        <f>+IFERROR(PRODUCTOS[[#This Row],[PPTO X MODULO]]*32,"")</f>
        <v>2489760</v>
      </c>
      <c r="O174" s="2">
        <f>+IFERROR(PRODUCTOS[[#This Row],[PPTO X TORRE]]*22,"")</f>
        <v>54774720</v>
      </c>
      <c r="P174" s="3">
        <f>+IFERROR(PRODUCTOS[[#This Row],[CANT X MODULO]]*702,"")</f>
        <v>368.55</v>
      </c>
      <c r="Q174" s="3">
        <f>+SUMIFS(DETALLE_GD_1[CANTIDAD SOLICITADA],DETALLE_GD_1[CODIGO],PRODUCTOS[[#This Row],[CODIGO]])</f>
        <v>47</v>
      </c>
      <c r="R174" s="3">
        <f>+SUMIFS(DETALLE_GD_1[DEVOLUCIÓN],DETALLE_GD_1[CODIGO],PRODUCTOS[[#This Row],[CODIGO]])</f>
        <v>10</v>
      </c>
      <c r="S174" s="3">
        <f>+PRODUCTOS[[#This Row],[CANT. COMPRADA]]-PRODUCTOS[[#This Row],[DEVOLUCIONES]]</f>
        <v>37</v>
      </c>
      <c r="T174" s="3">
        <f>+IFERROR(PRODUCTOS[[#This Row],[CANTIDAD RECIBIDA]]/PRODUCTOS[[#This Row],[CANT X MODULO]],"")</f>
        <v>70.476190476190467</v>
      </c>
      <c r="U174" s="3">
        <f>+SUMIFS(DETALLE_GD_1[VALOR TOTAL POR ITEM GD],DETALLE_GD_1[CODIGO],PRODUCTOS[[#This Row],[CODIGO]])</f>
        <v>5561100</v>
      </c>
      <c r="V174" s="3">
        <f>+IFERROR(PRODUCTOS[[#This Row],[PRECIO DE COMPRA]]/PRODUCTOS[[#This Row],[CANT. COMPRADA]],"")</f>
        <v>118321.27659574468</v>
      </c>
      <c r="W174" s="3">
        <f>+IFERROR(PRODUCTOS[[#This Row],[PRECIO COMPRA UNITARIO]]*PRODUCTOS[[#This Row],[PPTO FALTANTE]],"")</f>
        <v>38170443.829787239</v>
      </c>
      <c r="X174" s="7">
        <f>+IFERROR(PRODUCTOS[[#This Row],[PROYECCION COMPRA]]/PRODUCTOS[[#This Row],[PPTO TOTAL]]-1,"")</f>
        <v>-0.30313758190297935</v>
      </c>
      <c r="Y174" s="3">
        <f>+IFERROR((PRODUCTOS[[#This Row],[CANT X MODULO]]*704)-PRODUCTOS[[#This Row],[CANT. COMPRADA]],"")</f>
        <v>322.60000000000002</v>
      </c>
      <c r="Z174" s="17">
        <f>+IFERROR(PRODUCTOS[[#This Row],[CANT. COMPRADA]]/PRODUCTOS[[#This Row],[PPTO FALTANTE]],"")</f>
        <v>0.14569125852448853</v>
      </c>
      <c r="AA174" s="3">
        <f>+IFERROR(PRODUCTOS[[#This Row],[PROYECCION COMPRA]]-(PRODUCTOS[[#This Row],[PPTO FALTANTE]]*PRODUCTOS[[#This Row],[PPTO]]),"")</f>
        <v>-9638876.1702127606</v>
      </c>
      <c r="AB174" s="3">
        <f>+_xlfn.XLOOKUP(PRODUCTOS[[#This Row],[CODIGO]],DETALLE_GD_1[CODIGO],DETALLE_GD_1[VALOR PPTO],"",0)</f>
        <v>148200</v>
      </c>
      <c r="AC174" s="3">
        <f>+AB174-PRODUCTOS[[#This Row],[PPTO_ACTUALIZADO]]</f>
        <v>0</v>
      </c>
    </row>
    <row r="175" spans="1:29" hidden="1" x14ac:dyDescent="0.25">
      <c r="A175" t="s">
        <v>288</v>
      </c>
      <c r="B175" t="s">
        <v>289</v>
      </c>
      <c r="C175">
        <v>0</v>
      </c>
      <c r="D175" t="s">
        <v>244</v>
      </c>
      <c r="E175" t="s">
        <v>408</v>
      </c>
      <c r="F175" s="2">
        <v>101229</v>
      </c>
      <c r="G175" s="6" t="s">
        <v>31</v>
      </c>
      <c r="H175" s="2">
        <v>101229</v>
      </c>
      <c r="I175" t="b">
        <v>1</v>
      </c>
      <c r="J175" t="str">
        <f>+_xlfn.XLOOKUP(PRODUCTOS[[#This Row],[CODIGO]],P_CRITICOS[CODIGO],P_CRITICOS[DESC CORTA],"",0)</f>
        <v>VENTANA BAÑO</v>
      </c>
      <c r="K175" t="str">
        <f>+IFERROR(IF(VLOOKUP(PRODUCTOS[[#This Row],[CODIGO]],P_CRITICOS[],3,0)="*","PRODUCTO CRITICO","NO CRITICO"),"NO CRITICO")</f>
        <v>PRODUCTO CRITICO</v>
      </c>
      <c r="L175" s="15">
        <f>+_xlfn.XLOOKUP(PRODUCTOS[[#This Row],[CODIGO]],BD_MODULO[Artículo],BD_MODULO[CUB_ACTUALIZADA],"",0)</f>
        <v>0.52500000000000002</v>
      </c>
      <c r="M175" s="2">
        <f>+IFERROR(PRODUCTOS[[#This Row],[PPTO]]*PRODUCTOS[[#This Row],[CANT X MODULO]],"")</f>
        <v>53145.225000000006</v>
      </c>
      <c r="N175" s="2">
        <f>+IFERROR(PRODUCTOS[[#This Row],[PPTO X MODULO]]*32,"")</f>
        <v>1700647.2000000002</v>
      </c>
      <c r="O175" s="2">
        <f>+IFERROR(PRODUCTOS[[#This Row],[PPTO X TORRE]]*22,"")</f>
        <v>37414238.400000006</v>
      </c>
      <c r="P175" s="3">
        <f>+IFERROR(PRODUCTOS[[#This Row],[CANT X MODULO]]*702,"")</f>
        <v>368.55</v>
      </c>
      <c r="Q175" s="3">
        <f>+SUMIFS(DETALLE_GD_1[CANTIDAD SOLICITADA],DETALLE_GD_1[CODIGO],PRODUCTOS[[#This Row],[CODIGO]])</f>
        <v>37</v>
      </c>
      <c r="R175" s="3">
        <f>+SUMIFS(DETALLE_GD_1[DEVOLUCIÓN],DETALLE_GD_1[CODIGO],PRODUCTOS[[#This Row],[CODIGO]])</f>
        <v>0</v>
      </c>
      <c r="S175" s="3">
        <f>+PRODUCTOS[[#This Row],[CANT. COMPRADA]]-PRODUCTOS[[#This Row],[DEVOLUCIONES]]</f>
        <v>37</v>
      </c>
      <c r="T175" s="3">
        <f>+IFERROR(PRODUCTOS[[#This Row],[CANTIDAD RECIBIDA]]/PRODUCTOS[[#This Row],[CANT X MODULO]],"")</f>
        <v>70.476190476190467</v>
      </c>
      <c r="U175" s="3">
        <f>+SUMIFS(DETALLE_GD_1[VALOR TOTAL POR ITEM GD],DETALLE_GD_1[CODIGO],PRODUCTOS[[#This Row],[CODIGO]])</f>
        <v>4443304</v>
      </c>
      <c r="V175" s="3">
        <f>+IFERROR(PRODUCTOS[[#This Row],[PRECIO DE COMPRA]]/PRODUCTOS[[#This Row],[CANT. COMPRADA]],"")</f>
        <v>120089.29729729729</v>
      </c>
      <c r="W175" s="3">
        <f>+IFERROR(PRODUCTOS[[#This Row],[PRECIO COMPRA UNITARIO]]*PRODUCTOS[[#This Row],[PPTO FALTANTE]],"")</f>
        <v>39941700.28108108</v>
      </c>
      <c r="X175" s="7">
        <f>+IFERROR(PRODUCTOS[[#This Row],[PROYECCION COMPRA]]/PRODUCTOS[[#This Row],[PPTO TOTAL]]-1,"")</f>
        <v>6.7553476675368485E-2</v>
      </c>
      <c r="Y175" s="3">
        <f>+IFERROR((PRODUCTOS[[#This Row],[CANT X MODULO]]*704)-PRODUCTOS[[#This Row],[CANT. COMPRADA]],"")</f>
        <v>332.6</v>
      </c>
      <c r="Z175" s="17">
        <f>+IFERROR(PRODUCTOS[[#This Row],[CANT. COMPRADA]]/PRODUCTOS[[#This Row],[PPTO FALTANTE]],"")</f>
        <v>0.11124473842453397</v>
      </c>
      <c r="AA175" s="3">
        <f>+IFERROR(PRODUCTOS[[#This Row],[PROYECCION COMPRA]]-(PRODUCTOS[[#This Row],[PPTO FALTANTE]]*PRODUCTOS[[#This Row],[PPTO]]),"")</f>
        <v>6272934.8810810745</v>
      </c>
      <c r="AB175" s="3">
        <f>+_xlfn.XLOOKUP(PRODUCTOS[[#This Row],[CODIGO]],DETALLE_GD_1[CODIGO],DETALLE_GD_1[VALOR PPTO],"",0)</f>
        <v>101229</v>
      </c>
      <c r="AC175" s="3">
        <f>+AB175-PRODUCTOS[[#This Row],[PPTO_ACTUALIZADO]]</f>
        <v>0</v>
      </c>
    </row>
    <row r="176" spans="1:29" hidden="1" x14ac:dyDescent="0.25">
      <c r="A176">
        <v>2508991</v>
      </c>
      <c r="B176" t="s">
        <v>485</v>
      </c>
      <c r="C176" t="s">
        <v>682</v>
      </c>
      <c r="D176" t="s">
        <v>355</v>
      </c>
      <c r="E176" t="s">
        <v>355</v>
      </c>
      <c r="F176" s="2">
        <v>4139.7142860000004</v>
      </c>
      <c r="G176" s="6" t="s">
        <v>355</v>
      </c>
      <c r="H176" s="2">
        <v>4798</v>
      </c>
      <c r="I176" t="b">
        <v>0</v>
      </c>
      <c r="J176" t="str">
        <f>+_xlfn.XLOOKUP(PRODUCTOS[[#This Row],[CODIGO]],P_CRITICOS[CODIGO],P_CRITICOS[DESC CORTA],"",0)</f>
        <v/>
      </c>
      <c r="K176" t="str">
        <f>+IFERROR(IF(VLOOKUP(PRODUCTOS[[#This Row],[CODIGO]],P_CRITICOS[],3,0)="*","PRODUCTO CRITICO","NO CRITICO"),"NO CRITICO")</f>
        <v>NO CRITICO</v>
      </c>
      <c r="L176" s="15">
        <f>+_xlfn.XLOOKUP(PRODUCTOS[[#This Row],[CODIGO]],BD_MODULO[Artículo],BD_MODULO[CUB_ACTUALIZADA],"",0)</f>
        <v>1.05</v>
      </c>
      <c r="M176" s="2">
        <f>+IFERROR(PRODUCTOS[[#This Row],[PPTO]]*PRODUCTOS[[#This Row],[CANT X MODULO]],"")</f>
        <v>4346.7000003000003</v>
      </c>
      <c r="N176" s="2">
        <f>+IFERROR(PRODUCTOS[[#This Row],[PPTO X MODULO]]*32,"")</f>
        <v>139094.40000960001</v>
      </c>
      <c r="O176" s="2">
        <f>+IFERROR(PRODUCTOS[[#This Row],[PPTO X TORRE]]*22,"")</f>
        <v>3060076.8002112</v>
      </c>
      <c r="P176" s="3">
        <f>+IFERROR(PRODUCTOS[[#This Row],[CANT X MODULO]]*702,"")</f>
        <v>737.1</v>
      </c>
      <c r="Q176" s="3">
        <f>+SUMIFS(DETALLE_GD_1[CANTIDAD SOLICITADA],DETALLE_GD_1[CODIGO],PRODUCTOS[[#This Row],[CODIGO]])</f>
        <v>74</v>
      </c>
      <c r="R176" s="3">
        <f>+SUMIFS(DETALLE_GD_1[DEVOLUCIÓN],DETALLE_GD_1[CODIGO],PRODUCTOS[[#This Row],[CODIGO]])</f>
        <v>0</v>
      </c>
      <c r="S176" s="3">
        <f>+PRODUCTOS[[#This Row],[CANT. COMPRADA]]-PRODUCTOS[[#This Row],[DEVOLUCIONES]]</f>
        <v>74</v>
      </c>
      <c r="T176" s="3">
        <f>+IFERROR(PRODUCTOS[[#This Row],[CANTIDAD RECIBIDA]]/PRODUCTOS[[#This Row],[CANT X MODULO]],"")</f>
        <v>70.476190476190467</v>
      </c>
      <c r="U176" s="3">
        <f>+SUMIFS(DETALLE_GD_1[VALOR TOTAL POR ITEM GD],DETALLE_GD_1[CODIGO],PRODUCTOS[[#This Row],[CODIGO]])</f>
        <v>353888</v>
      </c>
      <c r="V176" s="3">
        <f>+IFERROR(PRODUCTOS[[#This Row],[PRECIO DE COMPRA]]/PRODUCTOS[[#This Row],[CANT. COMPRADA]],"")</f>
        <v>4782.27027027027</v>
      </c>
      <c r="W176" s="3">
        <f>+IFERROR(PRODUCTOS[[#This Row],[PRECIO COMPRA UNITARIO]]*PRODUCTOS[[#This Row],[PPTO FALTANTE]],"")</f>
        <v>3181166.1837837836</v>
      </c>
      <c r="X176" s="7">
        <f>+IFERROR(PRODUCTOS[[#This Row],[PROYECCION COMPRA]]/PRODUCTOS[[#This Row],[PPTO TOTAL]]-1,"")</f>
        <v>3.9570700828236216E-2</v>
      </c>
      <c r="Y176" s="3">
        <f>+IFERROR((PRODUCTOS[[#This Row],[CANT X MODULO]]*704)-PRODUCTOS[[#This Row],[CANT. COMPRADA]],"")</f>
        <v>665.2</v>
      </c>
      <c r="Z176" s="17">
        <f>+IFERROR(PRODUCTOS[[#This Row],[CANT. COMPRADA]]/PRODUCTOS[[#This Row],[PPTO FALTANTE]],"")</f>
        <v>0.11124473842453397</v>
      </c>
      <c r="AA176" s="3">
        <f>+IFERROR(PRODUCTOS[[#This Row],[PROYECCION COMPRA]]-(PRODUCTOS[[#This Row],[PPTO FALTANTE]]*PRODUCTOS[[#This Row],[PPTO]]),"")</f>
        <v>427428.24073658325</v>
      </c>
      <c r="AB176" s="3">
        <f>+_xlfn.XLOOKUP(PRODUCTOS[[#This Row],[CODIGO]],DETALLE_GD_1[CODIGO],DETALLE_GD_1[VALOR PPTO],"",0)</f>
        <v>4798</v>
      </c>
      <c r="AC176" s="3">
        <f>+AB176-PRODUCTOS[[#This Row],[PPTO_ACTUALIZADO]]</f>
        <v>0</v>
      </c>
    </row>
    <row r="177" spans="1:29" hidden="1" x14ac:dyDescent="0.25">
      <c r="A177">
        <v>2508993</v>
      </c>
      <c r="B177" t="s">
        <v>487</v>
      </c>
      <c r="C177" t="s">
        <v>684</v>
      </c>
      <c r="D177" t="s">
        <v>355</v>
      </c>
      <c r="E177" t="s">
        <v>355</v>
      </c>
      <c r="F177" s="2">
        <v>4139.7142860000004</v>
      </c>
      <c r="G177" s="6" t="s">
        <v>355</v>
      </c>
      <c r="H177" s="2">
        <v>1410</v>
      </c>
      <c r="I177" t="b">
        <v>0</v>
      </c>
      <c r="J177" t="str">
        <f>+_xlfn.XLOOKUP(PRODUCTOS[[#This Row],[CODIGO]],P_CRITICOS[CODIGO],P_CRITICOS[DESC CORTA],"",0)</f>
        <v/>
      </c>
      <c r="K177" t="str">
        <f>+IFERROR(IF(VLOOKUP(PRODUCTOS[[#This Row],[CODIGO]],P_CRITICOS[],3,0)="*","PRODUCTO CRITICO","NO CRITICO"),"NO CRITICO")</f>
        <v>NO CRITICO</v>
      </c>
      <c r="L177" s="15">
        <f>+_xlfn.XLOOKUP(PRODUCTOS[[#This Row],[CODIGO]],BD_MODULO[Artículo],BD_MODULO[CUB_ACTUALIZADA],"",0)</f>
        <v>1.05</v>
      </c>
      <c r="M177" s="2">
        <f>+IFERROR(PRODUCTOS[[#This Row],[PPTO]]*PRODUCTOS[[#This Row],[CANT X MODULO]],"")</f>
        <v>4346.7000003000003</v>
      </c>
      <c r="N177" s="2">
        <f>+IFERROR(PRODUCTOS[[#This Row],[PPTO X MODULO]]*32,"")</f>
        <v>139094.40000960001</v>
      </c>
      <c r="O177" s="2">
        <f>+IFERROR(PRODUCTOS[[#This Row],[PPTO X TORRE]]*22,"")</f>
        <v>3060076.8002112</v>
      </c>
      <c r="P177" s="3">
        <f>+IFERROR(PRODUCTOS[[#This Row],[CANT X MODULO]]*702,"")</f>
        <v>737.1</v>
      </c>
      <c r="Q177" s="3">
        <f>+SUMIFS(DETALLE_GD_1[CANTIDAD SOLICITADA],DETALLE_GD_1[CODIGO],PRODUCTOS[[#This Row],[CODIGO]])</f>
        <v>72</v>
      </c>
      <c r="R177" s="3">
        <f>+SUMIFS(DETALLE_GD_1[DEVOLUCIÓN],DETALLE_GD_1[CODIGO],PRODUCTOS[[#This Row],[CODIGO]])</f>
        <v>0</v>
      </c>
      <c r="S177" s="3">
        <f>+PRODUCTOS[[#This Row],[CANT. COMPRADA]]-PRODUCTOS[[#This Row],[DEVOLUCIONES]]</f>
        <v>72</v>
      </c>
      <c r="T177" s="3">
        <f>+IFERROR(PRODUCTOS[[#This Row],[CANTIDAD RECIBIDA]]/PRODUCTOS[[#This Row],[CANT X MODULO]],"")</f>
        <v>68.571428571428569</v>
      </c>
      <c r="U177" s="3">
        <f>+SUMIFS(DETALLE_GD_1[VALOR TOTAL POR ITEM GD],DETALLE_GD_1[CODIGO],PRODUCTOS[[#This Row],[CODIGO]])</f>
        <v>106383</v>
      </c>
      <c r="V177" s="3">
        <f>+IFERROR(PRODUCTOS[[#This Row],[PRECIO DE COMPRA]]/PRODUCTOS[[#This Row],[CANT. COMPRADA]],"")</f>
        <v>1477.5416666666667</v>
      </c>
      <c r="W177" s="3">
        <f>+IFERROR(PRODUCTOS[[#This Row],[PRECIO COMPRA UNITARIO]]*PRODUCTOS[[#This Row],[PPTO FALTANTE]],"")</f>
        <v>985815.80000000016</v>
      </c>
      <c r="X177" s="7">
        <f>+IFERROR(PRODUCTOS[[#This Row],[PROYECCION COMPRA]]/PRODUCTOS[[#This Row],[PPTO TOTAL]]-1,"")</f>
        <v>-0.67784605931068098</v>
      </c>
      <c r="Y177" s="3">
        <f>+IFERROR((PRODUCTOS[[#This Row],[CANT X MODULO]]*704)-PRODUCTOS[[#This Row],[CANT. COMPRADA]],"")</f>
        <v>667.2</v>
      </c>
      <c r="Z177" s="17">
        <f>+IFERROR(PRODUCTOS[[#This Row],[CANT. COMPRADA]]/PRODUCTOS[[#This Row],[PPTO FALTANTE]],"")</f>
        <v>0.1079136690647482</v>
      </c>
      <c r="AA177" s="3">
        <f>+IFERROR(PRODUCTOS[[#This Row],[PROYECCION COMPRA]]-(PRODUCTOS[[#This Row],[PPTO FALTANTE]]*PRODUCTOS[[#This Row],[PPTO]]),"")</f>
        <v>-1776201.5716192001</v>
      </c>
      <c r="AB177" s="3">
        <f>+_xlfn.XLOOKUP(PRODUCTOS[[#This Row],[CODIGO]],DETALLE_GD_1[CODIGO],DETALLE_GD_1[VALOR PPTO],"",0)</f>
        <v>1410</v>
      </c>
      <c r="AC177" s="3">
        <f>+AB177-PRODUCTOS[[#This Row],[PPTO_ACTUALIZADO]]</f>
        <v>0</v>
      </c>
    </row>
    <row r="178" spans="1:29" hidden="1" x14ac:dyDescent="0.25">
      <c r="A178">
        <v>307032</v>
      </c>
      <c r="B178" t="s">
        <v>186</v>
      </c>
      <c r="C178">
        <v>0</v>
      </c>
      <c r="D178" t="s">
        <v>244</v>
      </c>
      <c r="E178" t="s">
        <v>402</v>
      </c>
      <c r="F178" s="2">
        <v>2378.3750409999998</v>
      </c>
      <c r="G178" s="6" t="s">
        <v>137</v>
      </c>
      <c r="H178" s="2">
        <v>2378.3750409999998</v>
      </c>
      <c r="I178" t="b">
        <v>1</v>
      </c>
      <c r="J178" t="str">
        <f>+_xlfn.XLOOKUP(PRODUCTOS[[#This Row],[CODIGO]],P_CRITICOS[CODIGO],P_CRITICOS[DESC CORTA],"",0)</f>
        <v/>
      </c>
      <c r="K178" t="str">
        <f>+IFERROR(IF(VLOOKUP(PRODUCTOS[[#This Row],[CODIGO]],P_CRITICOS[],3,0)="*","PRODUCTO CRITICO","NO CRITICO"),"NO CRITICO")</f>
        <v>NO CRITICO</v>
      </c>
      <c r="L178" s="15">
        <f>+_xlfn.XLOOKUP(PRODUCTOS[[#This Row],[CODIGO]],BD_MODULO[Artículo],BD_MODULO[CUB_ACTUALIZADA],"",0)</f>
        <v>8.4</v>
      </c>
      <c r="M178" s="2">
        <f>+IFERROR(PRODUCTOS[[#This Row],[PPTO]]*PRODUCTOS[[#This Row],[CANT X MODULO]],"")</f>
        <v>19978.350344399998</v>
      </c>
      <c r="N178" s="2">
        <f>+IFERROR(PRODUCTOS[[#This Row],[PPTO X MODULO]]*32,"")</f>
        <v>639307.21102079994</v>
      </c>
      <c r="O178" s="2">
        <f>+IFERROR(PRODUCTOS[[#This Row],[PPTO X TORRE]]*22,"")</f>
        <v>14064758.642457599</v>
      </c>
      <c r="P178" s="3">
        <f>+IFERROR(PRODUCTOS[[#This Row],[CANT X MODULO]]*702,"")</f>
        <v>5896.8</v>
      </c>
      <c r="Q178" s="3">
        <f>+SUMIFS(DETALLE_GD_1[CANTIDAD SOLICITADA],DETALLE_GD_1[CODIGO],PRODUCTOS[[#This Row],[CODIGO]])</f>
        <v>566</v>
      </c>
      <c r="R178" s="3">
        <f>+SUMIFS(DETALLE_GD_1[DEVOLUCIÓN],DETALLE_GD_1[CODIGO],PRODUCTOS[[#This Row],[CODIGO]])</f>
        <v>0</v>
      </c>
      <c r="S178" s="3">
        <f>+PRODUCTOS[[#This Row],[CANT. COMPRADA]]-PRODUCTOS[[#This Row],[DEVOLUCIONES]]</f>
        <v>566</v>
      </c>
      <c r="T178" s="3">
        <f>+IFERROR(PRODUCTOS[[#This Row],[CANTIDAD RECIBIDA]]/PRODUCTOS[[#This Row],[CANT X MODULO]],"")</f>
        <v>67.38095238095238</v>
      </c>
      <c r="U178" s="3">
        <f>+SUMIFS(DETALLE_GD_1[VALOR TOTAL POR ITEM GD],DETALLE_GD_1[CODIGO],PRODUCTOS[[#This Row],[CODIGO]])</f>
        <v>1261365</v>
      </c>
      <c r="V178" s="3">
        <f>+IFERROR(PRODUCTOS[[#This Row],[PRECIO DE COMPRA]]/PRODUCTOS[[#This Row],[CANT. COMPRADA]],"")</f>
        <v>2228.5600706713781</v>
      </c>
      <c r="W178" s="3">
        <f>+IFERROR(PRODUCTOS[[#This Row],[PRECIO COMPRA UNITARIO]]*PRODUCTOS[[#This Row],[PPTO FALTANTE]],"")</f>
        <v>11917447.833922261</v>
      </c>
      <c r="X178" s="7">
        <f>+IFERROR(PRODUCTOS[[#This Row],[PROYECCION COMPRA]]/PRODUCTOS[[#This Row],[PPTO TOTAL]]-1,"")</f>
        <v>-0.15267313596503551</v>
      </c>
      <c r="Y178" s="3">
        <f>+IFERROR((PRODUCTOS[[#This Row],[CANT X MODULO]]*704)-PRODUCTOS[[#This Row],[CANT. COMPRADA]],"")</f>
        <v>5347.6</v>
      </c>
      <c r="Z178" s="17">
        <f>+IFERROR(PRODUCTOS[[#This Row],[CANT. COMPRADA]]/PRODUCTOS[[#This Row],[PPTO FALTANTE]],"")</f>
        <v>0.10584187298975241</v>
      </c>
      <c r="AA178" s="3">
        <f>+IFERROR(PRODUCTOS[[#This Row],[PROYECCION COMPRA]]-(PRODUCTOS[[#This Row],[PPTO FALTANTE]]*PRODUCTOS[[#This Row],[PPTO]]),"")</f>
        <v>-801150.53532933816</v>
      </c>
      <c r="AB178" s="3">
        <f>+_xlfn.XLOOKUP(PRODUCTOS[[#This Row],[CODIGO]],DETALLE_GD_1[CODIGO],DETALLE_GD_1[VALOR PPTO],"",0)</f>
        <v>2378.375</v>
      </c>
      <c r="AC178" s="3">
        <f>+AB178-PRODUCTOS[[#This Row],[PPTO_ACTUALIZADO]]</f>
        <v>-4.0999999782798113E-5</v>
      </c>
    </row>
    <row r="179" spans="1:29" hidden="1" x14ac:dyDescent="0.25">
      <c r="A179">
        <v>2508990</v>
      </c>
      <c r="B179" t="s">
        <v>484</v>
      </c>
      <c r="C179" t="s">
        <v>681</v>
      </c>
      <c r="D179" t="s">
        <v>355</v>
      </c>
      <c r="E179" t="s">
        <v>355</v>
      </c>
      <c r="F179" s="2">
        <v>4139.7142860000004</v>
      </c>
      <c r="G179" s="6" t="s">
        <v>355</v>
      </c>
      <c r="H179" s="2">
        <v>6738</v>
      </c>
      <c r="I179" t="b">
        <v>0</v>
      </c>
      <c r="J179" t="str">
        <f>+_xlfn.XLOOKUP(PRODUCTOS[[#This Row],[CODIGO]],P_CRITICOS[CODIGO],P_CRITICOS[DESC CORTA],"",0)</f>
        <v/>
      </c>
      <c r="K179" t="str">
        <f>+IFERROR(IF(VLOOKUP(PRODUCTOS[[#This Row],[CODIGO]],P_CRITICOS[],3,0)="*","PRODUCTO CRITICO","NO CRITICO"),"NO CRITICO")</f>
        <v>NO CRITICO</v>
      </c>
      <c r="L179" s="15">
        <f>+_xlfn.XLOOKUP(PRODUCTOS[[#This Row],[CODIGO]],BD_MODULO[Artículo],BD_MODULO[CUB_ACTUALIZADA],"",0)</f>
        <v>1.05</v>
      </c>
      <c r="M179" s="2">
        <f>+IFERROR(PRODUCTOS[[#This Row],[PPTO]]*PRODUCTOS[[#This Row],[CANT X MODULO]],"")</f>
        <v>4346.7000003000003</v>
      </c>
      <c r="N179" s="2">
        <f>+IFERROR(PRODUCTOS[[#This Row],[PPTO X MODULO]]*32,"")</f>
        <v>139094.40000960001</v>
      </c>
      <c r="O179" s="2">
        <f>+IFERROR(PRODUCTOS[[#This Row],[PPTO X TORRE]]*22,"")</f>
        <v>3060076.8002112</v>
      </c>
      <c r="P179" s="3">
        <f>+IFERROR(PRODUCTOS[[#This Row],[CANT X MODULO]]*702,"")</f>
        <v>737.1</v>
      </c>
      <c r="Q179" s="3">
        <f>+SUMIFS(DETALLE_GD_1[CANTIDAD SOLICITADA],DETALLE_GD_1[CODIGO],PRODUCTOS[[#This Row],[CODIGO]])</f>
        <v>70</v>
      </c>
      <c r="R179" s="3">
        <f>+SUMIFS(DETALLE_GD_1[DEVOLUCIÓN],DETALLE_GD_1[CODIGO],PRODUCTOS[[#This Row],[CODIGO]])</f>
        <v>0</v>
      </c>
      <c r="S179" s="3">
        <f>+PRODUCTOS[[#This Row],[CANT. COMPRADA]]-PRODUCTOS[[#This Row],[DEVOLUCIONES]]</f>
        <v>70</v>
      </c>
      <c r="T179" s="3">
        <f>+IFERROR(PRODUCTOS[[#This Row],[CANTIDAD RECIBIDA]]/PRODUCTOS[[#This Row],[CANT X MODULO]],"")</f>
        <v>66.666666666666657</v>
      </c>
      <c r="U179" s="3">
        <f>+SUMIFS(DETALLE_GD_1[VALOR TOTAL POR ITEM GD],DETALLE_GD_1[CODIGO],PRODUCTOS[[#This Row],[CODIGO]])</f>
        <v>467224</v>
      </c>
      <c r="V179" s="3">
        <f>+IFERROR(PRODUCTOS[[#This Row],[PRECIO DE COMPRA]]/PRODUCTOS[[#This Row],[CANT. COMPRADA]],"")</f>
        <v>6674.6285714285714</v>
      </c>
      <c r="W179" s="3">
        <f>+IFERROR(PRODUCTOS[[#This Row],[PRECIO COMPRA UNITARIO]]*PRODUCTOS[[#This Row],[PPTO FALTANTE]],"")</f>
        <v>4466661.4400000004</v>
      </c>
      <c r="X179" s="7">
        <f>+IFERROR(PRODUCTOS[[#This Row],[PROYECCION COMPRA]]/PRODUCTOS[[#This Row],[PPTO TOTAL]]-1,"")</f>
        <v>0.45965664642525339</v>
      </c>
      <c r="Y179" s="3">
        <f>+IFERROR((PRODUCTOS[[#This Row],[CANT X MODULO]]*704)-PRODUCTOS[[#This Row],[CANT. COMPRADA]],"")</f>
        <v>669.2</v>
      </c>
      <c r="Z179" s="17">
        <f>+IFERROR(PRODUCTOS[[#This Row],[CANT. COMPRADA]]/PRODUCTOS[[#This Row],[PPTO FALTANTE]],"")</f>
        <v>0.10460251046025104</v>
      </c>
      <c r="AA179" s="3">
        <f>+IFERROR(PRODUCTOS[[#This Row],[PROYECCION COMPRA]]-(PRODUCTOS[[#This Row],[PPTO FALTANTE]]*PRODUCTOS[[#This Row],[PPTO]]),"")</f>
        <v>1696364.6398088001</v>
      </c>
      <c r="AB179" s="3">
        <f>+_xlfn.XLOOKUP(PRODUCTOS[[#This Row],[CODIGO]],DETALLE_GD_1[CODIGO],DETALLE_GD_1[VALOR PPTO],"",0)</f>
        <v>6738</v>
      </c>
      <c r="AC179" s="3">
        <f>+AB179-PRODUCTOS[[#This Row],[PPTO_ACTUALIZADO]]</f>
        <v>0</v>
      </c>
    </row>
    <row r="180" spans="1:29" hidden="1" x14ac:dyDescent="0.25">
      <c r="A180">
        <v>1703006</v>
      </c>
      <c r="B180" t="s">
        <v>48</v>
      </c>
      <c r="C180" t="s">
        <v>570</v>
      </c>
      <c r="D180" t="s">
        <v>258</v>
      </c>
      <c r="E180" t="s">
        <v>405</v>
      </c>
      <c r="F180" s="2">
        <v>1662</v>
      </c>
      <c r="G180" s="6" t="s">
        <v>31</v>
      </c>
      <c r="H180" s="2">
        <v>1662</v>
      </c>
      <c r="I180" t="b">
        <v>1</v>
      </c>
      <c r="J180" t="str">
        <f>+_xlfn.XLOOKUP(PRODUCTOS[[#This Row],[CODIGO]],P_CRITICOS[CODIGO],P_CRITICOS[DESC CORTA],"",0)</f>
        <v/>
      </c>
      <c r="K180" t="str">
        <f>+IFERROR(IF(VLOOKUP(PRODUCTOS[[#This Row],[CODIGO]],P_CRITICOS[],3,0)="*","PRODUCTO CRITICO","NO CRITICO"),"NO CRITICO")</f>
        <v>NO CRITICO</v>
      </c>
      <c r="L180" s="15">
        <f>+_xlfn.XLOOKUP(PRODUCTOS[[#This Row],[CODIGO]],BD_MODULO[Artículo],BD_MODULO[CUB_ACTUALIZADA],"",0)</f>
        <v>0.52500000000000002</v>
      </c>
      <c r="M180" s="2">
        <f>+IFERROR(PRODUCTOS[[#This Row],[PPTO]]*PRODUCTOS[[#This Row],[CANT X MODULO]],"")</f>
        <v>872.55000000000007</v>
      </c>
      <c r="N180" s="2">
        <f>+IFERROR(PRODUCTOS[[#This Row],[PPTO X MODULO]]*32,"")</f>
        <v>27921.600000000002</v>
      </c>
      <c r="O180" s="2">
        <f>+IFERROR(PRODUCTOS[[#This Row],[PPTO X TORRE]]*22,"")</f>
        <v>614275.20000000007</v>
      </c>
      <c r="P180" s="3">
        <f>+IFERROR(PRODUCTOS[[#This Row],[CANT X MODULO]]*702,"")</f>
        <v>368.55</v>
      </c>
      <c r="Q180" s="3">
        <f>+SUMIFS(DETALLE_GD_1[CANTIDAD SOLICITADA],DETALLE_GD_1[CODIGO],PRODUCTOS[[#This Row],[CODIGO]])</f>
        <v>33</v>
      </c>
      <c r="R180" s="3">
        <f>+SUMIFS(DETALLE_GD_1[DEVOLUCIÓN],DETALLE_GD_1[CODIGO],PRODUCTOS[[#This Row],[CODIGO]])</f>
        <v>0</v>
      </c>
      <c r="S180" s="3">
        <f>+PRODUCTOS[[#This Row],[CANT. COMPRADA]]-PRODUCTOS[[#This Row],[DEVOLUCIONES]]</f>
        <v>33</v>
      </c>
      <c r="T180" s="3">
        <f>+IFERROR(PRODUCTOS[[#This Row],[CANTIDAD RECIBIDA]]/PRODUCTOS[[#This Row],[CANT X MODULO]],"")</f>
        <v>62.857142857142854</v>
      </c>
      <c r="U180" s="3">
        <f>+SUMIFS(DETALLE_GD_1[VALOR TOTAL POR ITEM GD],DETALLE_GD_1[CODIGO],PRODUCTOS[[#This Row],[CODIGO]])</f>
        <v>54855</v>
      </c>
      <c r="V180" s="3">
        <f>+IFERROR(PRODUCTOS[[#This Row],[PRECIO DE COMPRA]]/PRODUCTOS[[#This Row],[CANT. COMPRADA]],"")</f>
        <v>1662.2727272727273</v>
      </c>
      <c r="W180" s="3">
        <f>+IFERROR(PRODUCTOS[[#This Row],[PRECIO COMPRA UNITARIO]]*PRODUCTOS[[#This Row],[PPTO FALTANTE]],"")</f>
        <v>559521</v>
      </c>
      <c r="X180" s="7">
        <f>+IFERROR(PRODUCTOS[[#This Row],[PROYECCION COMPRA]]/PRODUCTOS[[#This Row],[PPTO TOTAL]]-1,"")</f>
        <v>-8.9136269867316931E-2</v>
      </c>
      <c r="Y180" s="3">
        <f>+IFERROR((PRODUCTOS[[#This Row],[CANT X MODULO]]*704)-PRODUCTOS[[#This Row],[CANT. COMPRADA]],"")</f>
        <v>336.6</v>
      </c>
      <c r="Z180" s="17">
        <f>+IFERROR(PRODUCTOS[[#This Row],[CANT. COMPRADA]]/PRODUCTOS[[#This Row],[PPTO FALTANTE]],"")</f>
        <v>9.8039215686274508E-2</v>
      </c>
      <c r="AA180" s="3">
        <f>+IFERROR(PRODUCTOS[[#This Row],[PROYECCION COMPRA]]-(PRODUCTOS[[#This Row],[PPTO FALTANTE]]*PRODUCTOS[[#This Row],[PPTO]]),"")</f>
        <v>91.799999999930151</v>
      </c>
      <c r="AB180" s="3">
        <f>+_xlfn.XLOOKUP(PRODUCTOS[[#This Row],[CODIGO]],DETALLE_GD_1[CODIGO],DETALLE_GD_1[VALOR PPTO],"",0)</f>
        <v>1662</v>
      </c>
      <c r="AC180" s="3">
        <f>+AB180-PRODUCTOS[[#This Row],[PPTO_ACTUALIZADO]]</f>
        <v>0</v>
      </c>
    </row>
    <row r="181" spans="1:29" hidden="1" x14ac:dyDescent="0.25">
      <c r="A181">
        <v>1801229</v>
      </c>
      <c r="B181" t="s">
        <v>259</v>
      </c>
      <c r="C181" t="s">
        <v>573</v>
      </c>
      <c r="D181" t="s">
        <v>258</v>
      </c>
      <c r="E181" t="s">
        <v>406</v>
      </c>
      <c r="F181" s="2">
        <v>4675.5185190000002</v>
      </c>
      <c r="G181" s="6" t="s">
        <v>31</v>
      </c>
      <c r="H181" s="2">
        <v>4675.5185190000002</v>
      </c>
      <c r="I181" t="b">
        <v>1</v>
      </c>
      <c r="J181" t="str">
        <f>+_xlfn.XLOOKUP(PRODUCTOS[[#This Row],[CODIGO]],P_CRITICOS[CODIGO],P_CRITICOS[DESC CORTA],"",0)</f>
        <v/>
      </c>
      <c r="K181" t="str">
        <f>+IFERROR(IF(VLOOKUP(PRODUCTOS[[#This Row],[CODIGO]],P_CRITICOS[],3,0)="*","PRODUCTO CRITICO","NO CRITICO"),"NO CRITICO")</f>
        <v>NO CRITICO</v>
      </c>
      <c r="L181" s="15">
        <f>+_xlfn.XLOOKUP(PRODUCTOS[[#This Row],[CODIGO]],BD_MODULO[Artículo],BD_MODULO[CUB_ACTUALIZADA],"",0)</f>
        <v>0.52500000000000002</v>
      </c>
      <c r="M181" s="2">
        <f>+IFERROR(PRODUCTOS[[#This Row],[PPTO]]*PRODUCTOS[[#This Row],[CANT X MODULO]],"")</f>
        <v>2454.647222475</v>
      </c>
      <c r="N181" s="2">
        <f>+IFERROR(PRODUCTOS[[#This Row],[PPTO X MODULO]]*32,"")</f>
        <v>78548.711119200001</v>
      </c>
      <c r="O181" s="2">
        <f>+IFERROR(PRODUCTOS[[#This Row],[PPTO X TORRE]]*22,"")</f>
        <v>1728071.6446223999</v>
      </c>
      <c r="P181" s="3">
        <f>+IFERROR(PRODUCTOS[[#This Row],[CANT X MODULO]]*702,"")</f>
        <v>368.55</v>
      </c>
      <c r="Q181" s="3">
        <f>+SUMIFS(DETALLE_GD_1[CANTIDAD SOLICITADA],DETALLE_GD_1[CODIGO],PRODUCTOS[[#This Row],[CODIGO]])</f>
        <v>32</v>
      </c>
      <c r="R181" s="3">
        <f>+SUMIFS(DETALLE_GD_1[DEVOLUCIÓN],DETALLE_GD_1[CODIGO],PRODUCTOS[[#This Row],[CODIGO]])</f>
        <v>0</v>
      </c>
      <c r="S181" s="3">
        <f>+PRODUCTOS[[#This Row],[CANT. COMPRADA]]-PRODUCTOS[[#This Row],[DEVOLUCIONES]]</f>
        <v>32</v>
      </c>
      <c r="T181" s="3">
        <f>+IFERROR(PRODUCTOS[[#This Row],[CANTIDAD RECIBIDA]]/PRODUCTOS[[#This Row],[CANT X MODULO]],"")</f>
        <v>60.952380952380949</v>
      </c>
      <c r="U181" s="3">
        <f>+SUMIFS(DETALLE_GD_1[VALOR TOTAL POR ITEM GD],DETALLE_GD_1[CODIGO],PRODUCTOS[[#This Row],[CODIGO]])</f>
        <v>162639</v>
      </c>
      <c r="V181" s="3">
        <f>+IFERROR(PRODUCTOS[[#This Row],[PRECIO DE COMPRA]]/PRODUCTOS[[#This Row],[CANT. COMPRADA]],"")</f>
        <v>5082.46875</v>
      </c>
      <c r="W181" s="3">
        <f>+IFERROR(PRODUCTOS[[#This Row],[PRECIO COMPRA UNITARIO]]*PRODUCTOS[[#This Row],[PPTO FALTANTE]],"")</f>
        <v>1715841.4500000002</v>
      </c>
      <c r="X181" s="7">
        <f>+IFERROR(PRODUCTOS[[#This Row],[PROYECCION COMPRA]]/PRODUCTOS[[#This Row],[PPTO TOTAL]]-1,"")</f>
        <v>-7.077365490290255E-3</v>
      </c>
      <c r="Y181" s="3">
        <f>+IFERROR((PRODUCTOS[[#This Row],[CANT X MODULO]]*704)-PRODUCTOS[[#This Row],[CANT. COMPRADA]],"")</f>
        <v>337.6</v>
      </c>
      <c r="Z181" s="17">
        <f>+IFERROR(PRODUCTOS[[#This Row],[CANT. COMPRADA]]/PRODUCTOS[[#This Row],[PPTO FALTANTE]],"")</f>
        <v>9.4786729857819899E-2</v>
      </c>
      <c r="AA181" s="3">
        <f>+IFERROR(PRODUCTOS[[#This Row],[PROYECCION COMPRA]]-(PRODUCTOS[[#This Row],[PPTO FALTANTE]]*PRODUCTOS[[#This Row],[PPTO]]),"")</f>
        <v>137386.39798559994</v>
      </c>
      <c r="AB181" s="3">
        <f>+_xlfn.XLOOKUP(PRODUCTOS[[#This Row],[CODIGO]],DETALLE_GD_1[CODIGO],DETALLE_GD_1[VALOR PPTO],"",0)</f>
        <v>4675.5185000000001</v>
      </c>
      <c r="AC181" s="3">
        <f>+AB181-PRODUCTOS[[#This Row],[PPTO_ACTUALIZADO]]</f>
        <v>-1.9000000065716449E-5</v>
      </c>
    </row>
    <row r="182" spans="1:29" hidden="1" x14ac:dyDescent="0.25">
      <c r="A182">
        <v>4212234</v>
      </c>
      <c r="B182" t="s">
        <v>54</v>
      </c>
      <c r="C182" t="s">
        <v>577</v>
      </c>
      <c r="D182" t="s">
        <v>244</v>
      </c>
      <c r="E182">
        <v>0</v>
      </c>
      <c r="F182" s="2">
        <v>124909</v>
      </c>
      <c r="G182" s="6" t="s">
        <v>31</v>
      </c>
      <c r="H182" s="2">
        <v>124909</v>
      </c>
      <c r="I182" t="b">
        <v>1</v>
      </c>
      <c r="J182" t="str">
        <f>+_xlfn.XLOOKUP(PRODUCTOS[[#This Row],[CODIGO]],P_CRITICOS[CODIGO],P_CRITICOS[DESC CORTA],"",0)</f>
        <v/>
      </c>
      <c r="K182" t="str">
        <f>+IFERROR(IF(VLOOKUP(PRODUCTOS[[#This Row],[CODIGO]],P_CRITICOS[],3,0)="*","PRODUCTO CRITICO","NO CRITICO"),"NO CRITICO")</f>
        <v>NO CRITICO</v>
      </c>
      <c r="L182" s="15">
        <f>+_xlfn.XLOOKUP(PRODUCTOS[[#This Row],[CODIGO]],BD_MODULO[Artículo],BD_MODULO[CUB_ACTUALIZADA],"",0)</f>
        <v>0.52500000000000002</v>
      </c>
      <c r="M182" s="2">
        <f>+IFERROR(PRODUCTOS[[#This Row],[PPTO]]*PRODUCTOS[[#This Row],[CANT X MODULO]],"")</f>
        <v>65577.225000000006</v>
      </c>
      <c r="N182" s="2">
        <f>+IFERROR(PRODUCTOS[[#This Row],[PPTO X MODULO]]*32,"")</f>
        <v>2098471.2000000002</v>
      </c>
      <c r="O182" s="2">
        <f>+IFERROR(PRODUCTOS[[#This Row],[PPTO X TORRE]]*22,"")</f>
        <v>46166366.400000006</v>
      </c>
      <c r="P182" s="3">
        <f>+IFERROR(PRODUCTOS[[#This Row],[CANT X MODULO]]*702,"")</f>
        <v>368.55</v>
      </c>
      <c r="Q182" s="3">
        <f>+SUMIFS(DETALLE_GD_1[CANTIDAD SOLICITADA],DETALLE_GD_1[CODIGO],PRODUCTOS[[#This Row],[CODIGO]])</f>
        <v>32</v>
      </c>
      <c r="R182" s="3">
        <f>+SUMIFS(DETALLE_GD_1[DEVOLUCIÓN],DETALLE_GD_1[CODIGO],PRODUCTOS[[#This Row],[CODIGO]])</f>
        <v>0</v>
      </c>
      <c r="S182" s="3">
        <f>+PRODUCTOS[[#This Row],[CANT. COMPRADA]]-PRODUCTOS[[#This Row],[DEVOLUCIONES]]</f>
        <v>32</v>
      </c>
      <c r="T182" s="3">
        <f>+IFERROR(PRODUCTOS[[#This Row],[CANTIDAD RECIBIDA]]/PRODUCTOS[[#This Row],[CANT X MODULO]],"")</f>
        <v>60.952380952380949</v>
      </c>
      <c r="U182" s="3">
        <f>+SUMIFS(DETALLE_GD_1[VALOR TOTAL POR ITEM GD],DETALLE_GD_1[CODIGO],PRODUCTOS[[#This Row],[CODIGO]])</f>
        <v>4076179</v>
      </c>
      <c r="V182" s="3">
        <f>+IFERROR(PRODUCTOS[[#This Row],[PRECIO DE COMPRA]]/PRODUCTOS[[#This Row],[CANT. COMPRADA]],"")</f>
        <v>127380.59375</v>
      </c>
      <c r="W182" s="3">
        <f>+IFERROR(PRODUCTOS[[#This Row],[PRECIO COMPRA UNITARIO]]*PRODUCTOS[[#This Row],[PPTO FALTANTE]],"")</f>
        <v>43003688.450000003</v>
      </c>
      <c r="X182" s="7">
        <f>+IFERROR(PRODUCTOS[[#This Row],[PROYECCION COMPRA]]/PRODUCTOS[[#This Row],[PPTO TOTAL]]-1,"")</f>
        <v>-6.8506105128516293E-2</v>
      </c>
      <c r="Y182" s="3">
        <f>+IFERROR((PRODUCTOS[[#This Row],[CANT X MODULO]]*704)-PRODUCTOS[[#This Row],[CANT. COMPRADA]],"")</f>
        <v>337.6</v>
      </c>
      <c r="Z182" s="17">
        <f>+IFERROR(PRODUCTOS[[#This Row],[CANT. COMPRADA]]/PRODUCTOS[[#This Row],[PPTO FALTANTE]],"")</f>
        <v>9.4786729857819899E-2</v>
      </c>
      <c r="AA182" s="3">
        <f>+IFERROR(PRODUCTOS[[#This Row],[PROYECCION COMPRA]]-(PRODUCTOS[[#This Row],[PPTO FALTANTE]]*PRODUCTOS[[#This Row],[PPTO]]),"")</f>
        <v>834410.04999999702</v>
      </c>
      <c r="AB182" s="3">
        <f>+_xlfn.XLOOKUP(PRODUCTOS[[#This Row],[CODIGO]],DETALLE_GD_1[CODIGO],DETALLE_GD_1[VALOR PPTO],"",0)</f>
        <v>124909</v>
      </c>
      <c r="AC182" s="3">
        <f>+AB182-PRODUCTOS[[#This Row],[PPTO_ACTUALIZADO]]</f>
        <v>0</v>
      </c>
    </row>
    <row r="183" spans="1:29" hidden="1" x14ac:dyDescent="0.25">
      <c r="A183">
        <v>1808006</v>
      </c>
      <c r="B183" t="s">
        <v>194</v>
      </c>
      <c r="C183">
        <v>0</v>
      </c>
      <c r="D183" t="s">
        <v>244</v>
      </c>
      <c r="E183" t="s">
        <v>406</v>
      </c>
      <c r="F183" s="2">
        <v>2906.671096</v>
      </c>
      <c r="G183" s="6" t="s">
        <v>31</v>
      </c>
      <c r="H183" s="2">
        <v>2906.671096</v>
      </c>
      <c r="I183" t="b">
        <v>1</v>
      </c>
      <c r="J183" t="str">
        <f>+_xlfn.XLOOKUP(PRODUCTOS[[#This Row],[CODIGO]],P_CRITICOS[CODIGO],P_CRITICOS[DESC CORTA],"",0)</f>
        <v/>
      </c>
      <c r="K183" t="str">
        <f>+IFERROR(IF(VLOOKUP(PRODUCTOS[[#This Row],[CODIGO]],P_CRITICOS[],3,0)="*","PRODUCTO CRITICO","NO CRITICO"),"NO CRITICO")</f>
        <v>NO CRITICO</v>
      </c>
      <c r="L183" s="15">
        <f>+_xlfn.XLOOKUP(PRODUCTOS[[#This Row],[CODIGO]],BD_MODULO[Artículo],BD_MODULO[CUB_ACTUALIZADA],"",0)</f>
        <v>0.65625</v>
      </c>
      <c r="M183" s="2">
        <f>+IFERROR(PRODUCTOS[[#This Row],[PPTO]]*PRODUCTOS[[#This Row],[CANT X MODULO]],"")</f>
        <v>1907.50290675</v>
      </c>
      <c r="N183" s="2">
        <f>+IFERROR(PRODUCTOS[[#This Row],[PPTO X MODULO]]*32,"")</f>
        <v>61040.093015999999</v>
      </c>
      <c r="O183" s="2">
        <f>+IFERROR(PRODUCTOS[[#This Row],[PPTO X TORRE]]*22,"")</f>
        <v>1342882.046352</v>
      </c>
      <c r="P183" s="3">
        <f>+IFERROR(PRODUCTOS[[#This Row],[CANT X MODULO]]*702,"")</f>
        <v>460.6875</v>
      </c>
      <c r="Q183" s="3">
        <f>+SUMIFS(DETALLE_GD_1[CANTIDAD SOLICITADA],DETALLE_GD_1[CODIGO],PRODUCTOS[[#This Row],[CODIGO]])</f>
        <v>39</v>
      </c>
      <c r="R183" s="3">
        <f>+SUMIFS(DETALLE_GD_1[DEVOLUCIÓN],DETALLE_GD_1[CODIGO],PRODUCTOS[[#This Row],[CODIGO]])</f>
        <v>0</v>
      </c>
      <c r="S183" s="3">
        <f>+PRODUCTOS[[#This Row],[CANT. COMPRADA]]-PRODUCTOS[[#This Row],[DEVOLUCIONES]]</f>
        <v>39</v>
      </c>
      <c r="T183" s="3">
        <f>+IFERROR(PRODUCTOS[[#This Row],[CANTIDAD RECIBIDA]]/PRODUCTOS[[#This Row],[CANT X MODULO]],"")</f>
        <v>59.428571428571431</v>
      </c>
      <c r="U183" s="3">
        <f>+SUMIFS(DETALLE_GD_1[VALOR TOTAL POR ITEM GD],DETALLE_GD_1[CODIGO],PRODUCTOS[[#This Row],[CODIGO]])</f>
        <v>113361</v>
      </c>
      <c r="V183" s="3">
        <f>+IFERROR(PRODUCTOS[[#This Row],[PRECIO DE COMPRA]]/PRODUCTOS[[#This Row],[CANT. COMPRADA]],"")</f>
        <v>2906.6923076923076</v>
      </c>
      <c r="W183" s="3">
        <f>+IFERROR(PRODUCTOS[[#This Row],[PRECIO COMPRA UNITARIO]]*PRODUCTOS[[#This Row],[PPTO FALTANTE]],"")</f>
        <v>1229530.846153846</v>
      </c>
      <c r="X183" s="7">
        <f>+IFERROR(PRODUCTOS[[#This Row],[PROYECCION COMPRA]]/PRODUCTOS[[#This Row],[PPTO TOTAL]]-1,"")</f>
        <v>-8.4408902856418111E-2</v>
      </c>
      <c r="Y183" s="3">
        <f>+IFERROR((PRODUCTOS[[#This Row],[CANT X MODULO]]*704)-PRODUCTOS[[#This Row],[CANT. COMPRADA]],"")</f>
        <v>423</v>
      </c>
      <c r="Z183" s="17">
        <f>+IFERROR(PRODUCTOS[[#This Row],[CANT. COMPRADA]]/PRODUCTOS[[#This Row],[PPTO FALTANTE]],"")</f>
        <v>9.2198581560283682E-2</v>
      </c>
      <c r="AA183" s="3">
        <f>+IFERROR(PRODUCTOS[[#This Row],[PROYECCION COMPRA]]-(PRODUCTOS[[#This Row],[PPTO FALTANTE]]*PRODUCTOS[[#This Row],[PPTO]]),"")</f>
        <v>8.9725458458997309</v>
      </c>
      <c r="AB183" s="3">
        <f>+_xlfn.XLOOKUP(PRODUCTOS[[#This Row],[CODIGO]],DETALLE_GD_1[CODIGO],DETALLE_GD_1[VALOR PPTO],"",0)</f>
        <v>2906.6711</v>
      </c>
      <c r="AC183" s="3">
        <f>+AB183-PRODUCTOS[[#This Row],[PPTO_ACTUALIZADO]]</f>
        <v>3.9999999899009708E-6</v>
      </c>
    </row>
    <row r="184" spans="1:29" hidden="1" x14ac:dyDescent="0.25">
      <c r="A184">
        <v>1802176</v>
      </c>
      <c r="B184" t="s">
        <v>196</v>
      </c>
      <c r="C184">
        <v>0</v>
      </c>
      <c r="D184" t="s">
        <v>258</v>
      </c>
      <c r="E184" t="s">
        <v>406</v>
      </c>
      <c r="F184" s="2">
        <v>2199</v>
      </c>
      <c r="G184" s="6" t="s">
        <v>31</v>
      </c>
      <c r="H184" s="2">
        <v>2199</v>
      </c>
      <c r="I184" t="b">
        <v>1</v>
      </c>
      <c r="J184" t="str">
        <f>+_xlfn.XLOOKUP(PRODUCTOS[[#This Row],[CODIGO]],P_CRITICOS[CODIGO],P_CRITICOS[DESC CORTA],"",0)</f>
        <v/>
      </c>
      <c r="K184" t="str">
        <f>+IFERROR(IF(VLOOKUP(PRODUCTOS[[#This Row],[CODIGO]],P_CRITICOS[],3,0)="*","PRODUCTO CRITICO","NO CRITICO"),"NO CRITICO")</f>
        <v>NO CRITICO</v>
      </c>
      <c r="L184" s="15">
        <f>+_xlfn.XLOOKUP(PRODUCTOS[[#This Row],[CODIGO]],BD_MODULO[Artículo],BD_MODULO[CUB_ACTUALIZADA],"",0)</f>
        <v>0.52500000000000002</v>
      </c>
      <c r="M184" s="2">
        <f>+IFERROR(PRODUCTOS[[#This Row],[PPTO]]*PRODUCTOS[[#This Row],[CANT X MODULO]],"")</f>
        <v>1154.4750000000001</v>
      </c>
      <c r="N184" s="2">
        <f>+IFERROR(PRODUCTOS[[#This Row],[PPTO X MODULO]]*32,"")</f>
        <v>36943.200000000004</v>
      </c>
      <c r="O184" s="2">
        <f>+IFERROR(PRODUCTOS[[#This Row],[PPTO X TORRE]]*22,"")</f>
        <v>812750.40000000014</v>
      </c>
      <c r="P184" s="3">
        <f>+IFERROR(PRODUCTOS[[#This Row],[CANT X MODULO]]*702,"")</f>
        <v>368.55</v>
      </c>
      <c r="Q184" s="3">
        <f>+SUMIFS(DETALLE_GD_1[CANTIDAD SOLICITADA],DETALLE_GD_1[CODIGO],PRODUCTOS[[#This Row],[CODIGO]])</f>
        <v>31</v>
      </c>
      <c r="R184" s="3">
        <f>+SUMIFS(DETALLE_GD_1[DEVOLUCIÓN],DETALLE_GD_1[CODIGO],PRODUCTOS[[#This Row],[CODIGO]])</f>
        <v>0</v>
      </c>
      <c r="S184" s="3">
        <f>+PRODUCTOS[[#This Row],[CANT. COMPRADA]]-PRODUCTOS[[#This Row],[DEVOLUCIONES]]</f>
        <v>31</v>
      </c>
      <c r="T184" s="3">
        <f>+IFERROR(PRODUCTOS[[#This Row],[CANTIDAD RECIBIDA]]/PRODUCTOS[[#This Row],[CANT X MODULO]],"")</f>
        <v>59.047619047619044</v>
      </c>
      <c r="U184" s="3">
        <f>+SUMIFS(DETALLE_GD_1[VALOR TOTAL POR ITEM GD],DETALLE_GD_1[CODIGO],PRODUCTOS[[#This Row],[CODIGO]])</f>
        <v>68169</v>
      </c>
      <c r="V184" s="3">
        <f>+IFERROR(PRODUCTOS[[#This Row],[PRECIO DE COMPRA]]/PRODUCTOS[[#This Row],[CANT. COMPRADA]],"")</f>
        <v>2199</v>
      </c>
      <c r="W184" s="3">
        <f>+IFERROR(PRODUCTOS[[#This Row],[PRECIO COMPRA UNITARIO]]*PRODUCTOS[[#This Row],[PPTO FALTANTE]],"")</f>
        <v>744581.4</v>
      </c>
      <c r="X184" s="7">
        <f>+IFERROR(PRODUCTOS[[#This Row],[PROYECCION COMPRA]]/PRODUCTOS[[#This Row],[PPTO TOTAL]]-1,"")</f>
        <v>-8.387445887445899E-2</v>
      </c>
      <c r="Y184" s="3">
        <f>+IFERROR((PRODUCTOS[[#This Row],[CANT X MODULO]]*704)-PRODUCTOS[[#This Row],[CANT. COMPRADA]],"")</f>
        <v>338.6</v>
      </c>
      <c r="Z184" s="17">
        <f>+IFERROR(PRODUCTOS[[#This Row],[CANT. COMPRADA]]/PRODUCTOS[[#This Row],[PPTO FALTANTE]],"")</f>
        <v>9.1553455404607201E-2</v>
      </c>
      <c r="AA184" s="3">
        <f>+IFERROR(PRODUCTOS[[#This Row],[PROYECCION COMPRA]]-(PRODUCTOS[[#This Row],[PPTO FALTANTE]]*PRODUCTOS[[#This Row],[PPTO]]),"")</f>
        <v>0</v>
      </c>
      <c r="AB184" s="3">
        <f>+_xlfn.XLOOKUP(PRODUCTOS[[#This Row],[CODIGO]],DETALLE_GD_1[CODIGO],DETALLE_GD_1[VALOR PPTO],"",0)</f>
        <v>2199</v>
      </c>
      <c r="AC184" s="3">
        <f>+AB184-PRODUCTOS[[#This Row],[PPTO_ACTUALIZADO]]</f>
        <v>0</v>
      </c>
    </row>
    <row r="185" spans="1:29" hidden="1" x14ac:dyDescent="0.25">
      <c r="A185">
        <v>1802173</v>
      </c>
      <c r="B185" t="s">
        <v>267</v>
      </c>
      <c r="C185" t="s">
        <v>645</v>
      </c>
      <c r="D185" t="s">
        <v>258</v>
      </c>
      <c r="E185" t="s">
        <v>406</v>
      </c>
      <c r="F185" s="2">
        <v>11972.2</v>
      </c>
      <c r="G185" s="6" t="s">
        <v>31</v>
      </c>
      <c r="H185" s="2">
        <v>11996</v>
      </c>
      <c r="I185" t="b">
        <v>0</v>
      </c>
      <c r="J185" t="str">
        <f>+_xlfn.XLOOKUP(PRODUCTOS[[#This Row],[CODIGO]],P_CRITICOS[CODIGO],P_CRITICOS[DESC CORTA],"",0)</f>
        <v/>
      </c>
      <c r="K185" t="str">
        <f>+IFERROR(IF(VLOOKUP(PRODUCTOS[[#This Row],[CODIGO]],P_CRITICOS[],3,0)="*","PRODUCTO CRITICO","NO CRITICO"),"NO CRITICO")</f>
        <v>NO CRITICO</v>
      </c>
      <c r="L185" s="15">
        <f>+_xlfn.XLOOKUP(PRODUCTOS[[#This Row],[CODIGO]],BD_MODULO[Artículo],BD_MODULO[CUB_ACTUALIZADA],"",0)</f>
        <v>0.52500000000000002</v>
      </c>
      <c r="M185" s="2">
        <f>+IFERROR(PRODUCTOS[[#This Row],[PPTO]]*PRODUCTOS[[#This Row],[CANT X MODULO]],"")</f>
        <v>6285.4050000000007</v>
      </c>
      <c r="N185" s="2">
        <f>+IFERROR(PRODUCTOS[[#This Row],[PPTO X MODULO]]*32,"")</f>
        <v>201132.96000000002</v>
      </c>
      <c r="O185" s="2">
        <f>+IFERROR(PRODUCTOS[[#This Row],[PPTO X TORRE]]*22,"")</f>
        <v>4424925.12</v>
      </c>
      <c r="P185" s="3">
        <f>+IFERROR(PRODUCTOS[[#This Row],[CANT X MODULO]]*702,"")</f>
        <v>368.55</v>
      </c>
      <c r="Q185" s="3">
        <f>+SUMIFS(DETALLE_GD_1[CANTIDAD SOLICITADA],DETALLE_GD_1[CODIGO],PRODUCTOS[[#This Row],[CODIGO]])</f>
        <v>31</v>
      </c>
      <c r="R185" s="3">
        <f>+SUMIFS(DETALLE_GD_1[DEVOLUCIÓN],DETALLE_GD_1[CODIGO],PRODUCTOS[[#This Row],[CODIGO]])</f>
        <v>0</v>
      </c>
      <c r="S185" s="3">
        <f>+PRODUCTOS[[#This Row],[CANT. COMPRADA]]-PRODUCTOS[[#This Row],[DEVOLUCIONES]]</f>
        <v>31</v>
      </c>
      <c r="T185" s="3">
        <f>+IFERROR(PRODUCTOS[[#This Row],[CANTIDAD RECIBIDA]]/PRODUCTOS[[#This Row],[CANT X MODULO]],"")</f>
        <v>59.047619047619044</v>
      </c>
      <c r="U185" s="3">
        <f>+SUMIFS(DETALLE_GD_1[VALOR TOTAL POR ITEM GD],DETALLE_GD_1[CODIGO],PRODUCTOS[[#This Row],[CODIGO]])</f>
        <v>371524</v>
      </c>
      <c r="V185" s="3">
        <f>+IFERROR(PRODUCTOS[[#This Row],[PRECIO DE COMPRA]]/PRODUCTOS[[#This Row],[CANT. COMPRADA]],"")</f>
        <v>11984.645161290322</v>
      </c>
      <c r="W185" s="3">
        <f>+IFERROR(PRODUCTOS[[#This Row],[PRECIO COMPRA UNITARIO]]*PRODUCTOS[[#This Row],[PPTO FALTANTE]],"")</f>
        <v>4058000.8516129032</v>
      </c>
      <c r="X185" s="7">
        <f>+IFERROR(PRODUCTOS[[#This Row],[PROYECCION COMPRA]]/PRODUCTOS[[#This Row],[PPTO TOTAL]]-1,"")</f>
        <v>-8.2922141829847917E-2</v>
      </c>
      <c r="Y185" s="3">
        <f>+IFERROR((PRODUCTOS[[#This Row],[CANT X MODULO]]*704)-PRODUCTOS[[#This Row],[CANT. COMPRADA]],"")</f>
        <v>338.6</v>
      </c>
      <c r="Z185" s="17">
        <f>+IFERROR(PRODUCTOS[[#This Row],[CANT. COMPRADA]]/PRODUCTOS[[#This Row],[PPTO FALTANTE]],"")</f>
        <v>9.1553455404607201E-2</v>
      </c>
      <c r="AA185" s="3">
        <f>+IFERROR(PRODUCTOS[[#This Row],[PROYECCION COMPRA]]-(PRODUCTOS[[#This Row],[PPTO FALTANTE]]*PRODUCTOS[[#This Row],[PPTO]]),"")</f>
        <v>4213.9316129027866</v>
      </c>
      <c r="AB185" s="3">
        <f>+_xlfn.XLOOKUP(PRODUCTOS[[#This Row],[CODIGO]],DETALLE_GD_1[CODIGO],DETALLE_GD_1[VALOR PPTO],"",0)</f>
        <v>11996</v>
      </c>
      <c r="AC185" s="3">
        <f>+AB185-PRODUCTOS[[#This Row],[PPTO_ACTUALIZADO]]</f>
        <v>0</v>
      </c>
    </row>
    <row r="186" spans="1:29" hidden="1" x14ac:dyDescent="0.25">
      <c r="A186">
        <v>1802166</v>
      </c>
      <c r="B186" t="s">
        <v>283</v>
      </c>
      <c r="C186" t="s">
        <v>662</v>
      </c>
      <c r="D186">
        <v>0</v>
      </c>
      <c r="E186">
        <v>0</v>
      </c>
      <c r="F186" s="2">
        <v>13869</v>
      </c>
      <c r="G186" s="6" t="s">
        <v>31</v>
      </c>
      <c r="H186" s="2">
        <v>13869</v>
      </c>
      <c r="I186" t="b">
        <v>1</v>
      </c>
      <c r="J186" t="str">
        <f>+_xlfn.XLOOKUP(PRODUCTOS[[#This Row],[CODIGO]],P_CRITICOS[CODIGO],P_CRITICOS[DESC CORTA],"",0)</f>
        <v/>
      </c>
      <c r="K186" t="str">
        <f>+IFERROR(IF(VLOOKUP(PRODUCTOS[[#This Row],[CODIGO]],P_CRITICOS[],3,0)="*","PRODUCTO CRITICO","NO CRITICO"),"NO CRITICO")</f>
        <v>NO CRITICO</v>
      </c>
      <c r="L186" s="15">
        <f>+_xlfn.XLOOKUP(PRODUCTOS[[#This Row],[CODIGO]],BD_MODULO[Artículo],BD_MODULO[CUB_ACTUALIZADA],"",0)</f>
        <v>0.52500000000000002</v>
      </c>
      <c r="M186" s="2">
        <f>+IFERROR(PRODUCTOS[[#This Row],[PPTO]]*PRODUCTOS[[#This Row],[CANT X MODULO]],"")</f>
        <v>7281.2250000000004</v>
      </c>
      <c r="N186" s="2">
        <f>+IFERROR(PRODUCTOS[[#This Row],[PPTO X MODULO]]*32,"")</f>
        <v>232999.2</v>
      </c>
      <c r="O186" s="2">
        <f>+IFERROR(PRODUCTOS[[#This Row],[PPTO X TORRE]]*22,"")</f>
        <v>5125982.4000000004</v>
      </c>
      <c r="P186" s="3">
        <f>+IFERROR(PRODUCTOS[[#This Row],[CANT X MODULO]]*702,"")</f>
        <v>368.55</v>
      </c>
      <c r="Q186" s="3">
        <f>+SUMIFS(DETALLE_GD_1[CANTIDAD SOLICITADA],DETALLE_GD_1[CODIGO],PRODUCTOS[[#This Row],[CODIGO]])</f>
        <v>31</v>
      </c>
      <c r="R186" s="3">
        <f>+SUMIFS(DETALLE_GD_1[DEVOLUCIÓN],DETALLE_GD_1[CODIGO],PRODUCTOS[[#This Row],[CODIGO]])</f>
        <v>0</v>
      </c>
      <c r="S186" s="3">
        <f>+PRODUCTOS[[#This Row],[CANT. COMPRADA]]-PRODUCTOS[[#This Row],[DEVOLUCIONES]]</f>
        <v>31</v>
      </c>
      <c r="T186" s="3">
        <f>+IFERROR(PRODUCTOS[[#This Row],[CANTIDAD RECIBIDA]]/PRODUCTOS[[#This Row],[CANT X MODULO]],"")</f>
        <v>59.047619047619044</v>
      </c>
      <c r="U186" s="3">
        <f>+SUMIFS(DETALLE_GD_1[VALOR TOTAL POR ITEM GD],DETALLE_GD_1[CODIGO],PRODUCTOS[[#This Row],[CODIGO]])</f>
        <v>429939</v>
      </c>
      <c r="V186" s="3">
        <f>+IFERROR(PRODUCTOS[[#This Row],[PRECIO DE COMPRA]]/PRODUCTOS[[#This Row],[CANT. COMPRADA]],"")</f>
        <v>13869</v>
      </c>
      <c r="W186" s="3">
        <f>+IFERROR(PRODUCTOS[[#This Row],[PRECIO COMPRA UNITARIO]]*PRODUCTOS[[#This Row],[PPTO FALTANTE]],"")</f>
        <v>4696043.4000000004</v>
      </c>
      <c r="X186" s="7">
        <f>+IFERROR(PRODUCTOS[[#This Row],[PROYECCION COMPRA]]/PRODUCTOS[[#This Row],[PPTO TOTAL]]-1,"")</f>
        <v>-8.3874458874458879E-2</v>
      </c>
      <c r="Y186" s="3">
        <f>+IFERROR((PRODUCTOS[[#This Row],[CANT X MODULO]]*704)-PRODUCTOS[[#This Row],[CANT. COMPRADA]],"")</f>
        <v>338.6</v>
      </c>
      <c r="Z186" s="17">
        <f>+IFERROR(PRODUCTOS[[#This Row],[CANT. COMPRADA]]/PRODUCTOS[[#This Row],[PPTO FALTANTE]],"")</f>
        <v>9.1553455404607201E-2</v>
      </c>
      <c r="AA186" s="3">
        <f>+IFERROR(PRODUCTOS[[#This Row],[PROYECCION COMPRA]]-(PRODUCTOS[[#This Row],[PPTO FALTANTE]]*PRODUCTOS[[#This Row],[PPTO]]),"")</f>
        <v>0</v>
      </c>
      <c r="AB186" s="3">
        <f>+_xlfn.XLOOKUP(PRODUCTOS[[#This Row],[CODIGO]],DETALLE_GD_1[CODIGO],DETALLE_GD_1[VALOR PPTO],"",0)</f>
        <v>13869</v>
      </c>
      <c r="AC186" s="3">
        <f>+AB186-PRODUCTOS[[#This Row],[PPTO_ACTUALIZADO]]</f>
        <v>0</v>
      </c>
    </row>
    <row r="187" spans="1:29" hidden="1" x14ac:dyDescent="0.25">
      <c r="A187">
        <v>608013</v>
      </c>
      <c r="B187" t="s">
        <v>328</v>
      </c>
      <c r="C187" t="s">
        <v>667</v>
      </c>
      <c r="D187" t="s">
        <v>244</v>
      </c>
      <c r="E187" t="s">
        <v>399</v>
      </c>
      <c r="F187" s="2">
        <v>8471</v>
      </c>
      <c r="G187" s="6" t="s">
        <v>31</v>
      </c>
      <c r="H187" s="2">
        <v>8471</v>
      </c>
      <c r="I187" t="b">
        <v>1</v>
      </c>
      <c r="J187" t="str">
        <f>+_xlfn.XLOOKUP(PRODUCTOS[[#This Row],[CODIGO]],P_CRITICOS[CODIGO],P_CRITICOS[DESC CORTA],"",0)</f>
        <v/>
      </c>
      <c r="K187" t="str">
        <f>+IFERROR(IF(VLOOKUP(PRODUCTOS[[#This Row],[CODIGO]],P_CRITICOS[],3,0)="*","PRODUCTO CRITICO","NO CRITICO"),"NO CRITICO")</f>
        <v>NO CRITICO</v>
      </c>
      <c r="L187" s="15">
        <f>+_xlfn.XLOOKUP(PRODUCTOS[[#This Row],[CODIGO]],BD_MODULO[Artículo],BD_MODULO[CUB_ACTUALIZADA],"",0)</f>
        <v>0.105</v>
      </c>
      <c r="M187" s="2">
        <f>+IFERROR(PRODUCTOS[[#This Row],[PPTO]]*PRODUCTOS[[#This Row],[CANT X MODULO]],"")</f>
        <v>889.45499999999993</v>
      </c>
      <c r="N187" s="2">
        <f>+IFERROR(PRODUCTOS[[#This Row],[PPTO X MODULO]]*32,"")</f>
        <v>28462.559999999998</v>
      </c>
      <c r="O187" s="2">
        <f>+IFERROR(PRODUCTOS[[#This Row],[PPTO X TORRE]]*22,"")</f>
        <v>626176.31999999995</v>
      </c>
      <c r="P187" s="3">
        <f>+IFERROR(PRODUCTOS[[#This Row],[CANT X MODULO]]*702,"")</f>
        <v>73.709999999999994</v>
      </c>
      <c r="Q187" s="3">
        <f>+SUMIFS(DETALLE_GD_1[CANTIDAD SOLICITADA],DETALLE_GD_1[CODIGO],PRODUCTOS[[#This Row],[CODIGO]])</f>
        <v>6</v>
      </c>
      <c r="R187" s="3">
        <f>+SUMIFS(DETALLE_GD_1[DEVOLUCIÓN],DETALLE_GD_1[CODIGO],PRODUCTOS[[#This Row],[CODIGO]])</f>
        <v>0</v>
      </c>
      <c r="S187" s="3">
        <f>+PRODUCTOS[[#This Row],[CANT. COMPRADA]]-PRODUCTOS[[#This Row],[DEVOLUCIONES]]</f>
        <v>6</v>
      </c>
      <c r="T187" s="3">
        <f>+IFERROR(PRODUCTOS[[#This Row],[CANTIDAD RECIBIDA]]/PRODUCTOS[[#This Row],[CANT X MODULO]],"")</f>
        <v>57.142857142857146</v>
      </c>
      <c r="U187" s="3">
        <f>+SUMIFS(DETALLE_GD_1[VALOR TOTAL POR ITEM GD],DETALLE_GD_1[CODIGO],PRODUCTOS[[#This Row],[CODIGO]])</f>
        <v>50830</v>
      </c>
      <c r="V187" s="3">
        <f>+IFERROR(PRODUCTOS[[#This Row],[PRECIO DE COMPRA]]/PRODUCTOS[[#This Row],[CANT. COMPRADA]],"")</f>
        <v>8471.6666666666661</v>
      </c>
      <c r="W187" s="3">
        <f>+IFERROR(PRODUCTOS[[#This Row],[PRECIO COMPRA UNITARIO]]*PRODUCTOS[[#This Row],[PPTO FALTANTE]],"")</f>
        <v>575395.6</v>
      </c>
      <c r="X187" s="7">
        <f>+IFERROR(PRODUCTOS[[#This Row],[PROYECCION COMPRA]]/PRODUCTOS[[#This Row],[PPTO TOTAL]]-1,"")</f>
        <v>-8.1096519267927603E-2</v>
      </c>
      <c r="Y187" s="3">
        <f>+IFERROR((PRODUCTOS[[#This Row],[CANT X MODULO]]*704)-PRODUCTOS[[#This Row],[CANT. COMPRADA]],"")</f>
        <v>67.92</v>
      </c>
      <c r="Z187" s="17">
        <f>+IFERROR(PRODUCTOS[[#This Row],[CANT. COMPRADA]]/PRODUCTOS[[#This Row],[PPTO FALTANTE]],"")</f>
        <v>8.8339222614840993E-2</v>
      </c>
      <c r="AA187" s="3">
        <f>+IFERROR(PRODUCTOS[[#This Row],[PROYECCION COMPRA]]-(PRODUCTOS[[#This Row],[PPTO FALTANTE]]*PRODUCTOS[[#This Row],[PPTO]]),"")</f>
        <v>45.279999999911524</v>
      </c>
      <c r="AB187" s="3">
        <f>+_xlfn.XLOOKUP(PRODUCTOS[[#This Row],[CODIGO]],DETALLE_GD_1[CODIGO],DETALLE_GD_1[VALOR PPTO],"",0)</f>
        <v>8471</v>
      </c>
      <c r="AC187" s="3">
        <f>+AB187-PRODUCTOS[[#This Row],[PPTO_ACTUALIZADO]]</f>
        <v>0</v>
      </c>
    </row>
    <row r="188" spans="1:29" hidden="1" x14ac:dyDescent="0.25">
      <c r="A188">
        <v>1802174</v>
      </c>
      <c r="B188" t="s">
        <v>268</v>
      </c>
      <c r="C188" t="s">
        <v>646</v>
      </c>
      <c r="D188">
        <v>0</v>
      </c>
      <c r="E188">
        <v>0</v>
      </c>
      <c r="F188" s="2">
        <v>7694.5405410000003</v>
      </c>
      <c r="G188" s="6" t="s">
        <v>31</v>
      </c>
      <c r="H188" s="2">
        <v>7709</v>
      </c>
      <c r="I188" t="b">
        <v>0</v>
      </c>
      <c r="J188" t="str">
        <f>+_xlfn.XLOOKUP(PRODUCTOS[[#This Row],[CODIGO]],P_CRITICOS[CODIGO],P_CRITICOS[DESC CORTA],"",0)</f>
        <v/>
      </c>
      <c r="K188" t="str">
        <f>+IFERROR(IF(VLOOKUP(PRODUCTOS[[#This Row],[CODIGO]],P_CRITICOS[],3,0)="*","PRODUCTO CRITICO","NO CRITICO"),"NO CRITICO")</f>
        <v>NO CRITICO</v>
      </c>
      <c r="L188" s="15">
        <f>+_xlfn.XLOOKUP(PRODUCTOS[[#This Row],[CODIGO]],BD_MODULO[Artículo],BD_MODULO[CUB_ACTUALIZADA],"",0)</f>
        <v>0.52500000000000002</v>
      </c>
      <c r="M188" s="2">
        <f>+IFERROR(PRODUCTOS[[#This Row],[PPTO]]*PRODUCTOS[[#This Row],[CANT X MODULO]],"")</f>
        <v>4039.6337840250003</v>
      </c>
      <c r="N188" s="2">
        <f>+IFERROR(PRODUCTOS[[#This Row],[PPTO X MODULO]]*32,"")</f>
        <v>129268.28108880001</v>
      </c>
      <c r="O188" s="2">
        <f>+IFERROR(PRODUCTOS[[#This Row],[PPTO X TORRE]]*22,"")</f>
        <v>2843902.1839536</v>
      </c>
      <c r="P188" s="3">
        <f>+IFERROR(PRODUCTOS[[#This Row],[CANT X MODULO]]*702,"")</f>
        <v>368.55</v>
      </c>
      <c r="Q188" s="3">
        <f>+SUMIFS(DETALLE_GD_1[CANTIDAD SOLICITADA],DETALLE_GD_1[CODIGO],PRODUCTOS[[#This Row],[CODIGO]])</f>
        <v>30</v>
      </c>
      <c r="R188" s="3">
        <f>+SUMIFS(DETALLE_GD_1[DEVOLUCIÓN],DETALLE_GD_1[CODIGO],PRODUCTOS[[#This Row],[CODIGO]])</f>
        <v>0</v>
      </c>
      <c r="S188" s="3">
        <f>+PRODUCTOS[[#This Row],[CANT. COMPRADA]]-PRODUCTOS[[#This Row],[DEVOLUCIONES]]</f>
        <v>30</v>
      </c>
      <c r="T188" s="3">
        <f>+IFERROR(PRODUCTOS[[#This Row],[CANTIDAD RECIBIDA]]/PRODUCTOS[[#This Row],[CANT X MODULO]],"")</f>
        <v>57.142857142857139</v>
      </c>
      <c r="U188" s="3">
        <f>+SUMIFS(DETALLE_GD_1[VALOR TOTAL POR ITEM GD],DETALLE_GD_1[CODIGO],PRODUCTOS[[#This Row],[CODIGO]])</f>
        <v>231051</v>
      </c>
      <c r="V188" s="3">
        <f>+IFERROR(PRODUCTOS[[#This Row],[PRECIO DE COMPRA]]/PRODUCTOS[[#This Row],[CANT. COMPRADA]],"")</f>
        <v>7701.7</v>
      </c>
      <c r="W188" s="3">
        <f>+IFERROR(PRODUCTOS[[#This Row],[PRECIO COMPRA UNITARIO]]*PRODUCTOS[[#This Row],[PPTO FALTANTE]],"")</f>
        <v>2615497.3200000003</v>
      </c>
      <c r="X188" s="7">
        <f>+IFERROR(PRODUCTOS[[#This Row],[PROYECCION COMPRA]]/PRODUCTOS[[#This Row],[PPTO TOTAL]]-1,"")</f>
        <v>-8.0313895900621546E-2</v>
      </c>
      <c r="Y188" s="3">
        <f>+IFERROR((PRODUCTOS[[#This Row],[CANT X MODULO]]*704)-PRODUCTOS[[#This Row],[CANT. COMPRADA]],"")</f>
        <v>339.6</v>
      </c>
      <c r="Z188" s="17">
        <f>+IFERROR(PRODUCTOS[[#This Row],[CANT. COMPRADA]]/PRODUCTOS[[#This Row],[PPTO FALTANTE]],"")</f>
        <v>8.8339222614840979E-2</v>
      </c>
      <c r="AA188" s="3">
        <f>+IFERROR(PRODUCTOS[[#This Row],[PROYECCION COMPRA]]-(PRODUCTOS[[#This Row],[PPTO FALTANTE]]*PRODUCTOS[[#This Row],[PPTO]]),"")</f>
        <v>2431.3522764001973</v>
      </c>
      <c r="AB188" s="3">
        <f>+_xlfn.XLOOKUP(PRODUCTOS[[#This Row],[CODIGO]],DETALLE_GD_1[CODIGO],DETALLE_GD_1[VALOR PPTO],"",0)</f>
        <v>7709</v>
      </c>
      <c r="AC188" s="3">
        <f>+AB188-PRODUCTOS[[#This Row],[PPTO_ACTUALIZADO]]</f>
        <v>0</v>
      </c>
    </row>
    <row r="189" spans="1:29" hidden="1" x14ac:dyDescent="0.25">
      <c r="A189">
        <v>1802175</v>
      </c>
      <c r="B189" t="s">
        <v>269</v>
      </c>
      <c r="C189" t="s">
        <v>647</v>
      </c>
      <c r="D189" t="s">
        <v>258</v>
      </c>
      <c r="E189" t="s">
        <v>406</v>
      </c>
      <c r="F189" s="2">
        <v>1079</v>
      </c>
      <c r="G189" s="6" t="s">
        <v>31</v>
      </c>
      <c r="H189" s="2">
        <v>1079</v>
      </c>
      <c r="I189" t="b">
        <v>1</v>
      </c>
      <c r="J189" t="str">
        <f>+_xlfn.XLOOKUP(PRODUCTOS[[#This Row],[CODIGO]],P_CRITICOS[CODIGO],P_CRITICOS[DESC CORTA],"",0)</f>
        <v/>
      </c>
      <c r="K189" t="str">
        <f>+IFERROR(IF(VLOOKUP(PRODUCTOS[[#This Row],[CODIGO]],P_CRITICOS[],3,0)="*","PRODUCTO CRITICO","NO CRITICO"),"NO CRITICO")</f>
        <v>NO CRITICO</v>
      </c>
      <c r="L189" s="15">
        <f>+_xlfn.XLOOKUP(PRODUCTOS[[#This Row],[CODIGO]],BD_MODULO[Artículo],BD_MODULO[CUB_ACTUALIZADA],"",0)</f>
        <v>0.52500000000000002</v>
      </c>
      <c r="M189" s="2">
        <f>+IFERROR(PRODUCTOS[[#This Row],[PPTO]]*PRODUCTOS[[#This Row],[CANT X MODULO]],"")</f>
        <v>566.47500000000002</v>
      </c>
      <c r="N189" s="2">
        <f>+IFERROR(PRODUCTOS[[#This Row],[PPTO X MODULO]]*32,"")</f>
        <v>18127.2</v>
      </c>
      <c r="O189" s="2">
        <f>+IFERROR(PRODUCTOS[[#This Row],[PPTO X TORRE]]*22,"")</f>
        <v>398798.4</v>
      </c>
      <c r="P189" s="3">
        <f>+IFERROR(PRODUCTOS[[#This Row],[CANT X MODULO]]*702,"")</f>
        <v>368.55</v>
      </c>
      <c r="Q189" s="3">
        <f>+SUMIFS(DETALLE_GD_1[CANTIDAD SOLICITADA],DETALLE_GD_1[CODIGO],PRODUCTOS[[#This Row],[CODIGO]])</f>
        <v>30</v>
      </c>
      <c r="R189" s="3">
        <f>+SUMIFS(DETALLE_GD_1[DEVOLUCIÓN],DETALLE_GD_1[CODIGO],PRODUCTOS[[#This Row],[CODIGO]])</f>
        <v>0</v>
      </c>
      <c r="S189" s="3">
        <f>+PRODUCTOS[[#This Row],[CANT. COMPRADA]]-PRODUCTOS[[#This Row],[DEVOLUCIONES]]</f>
        <v>30</v>
      </c>
      <c r="T189" s="3">
        <f>+IFERROR(PRODUCTOS[[#This Row],[CANTIDAD RECIBIDA]]/PRODUCTOS[[#This Row],[CANT X MODULO]],"")</f>
        <v>57.142857142857139</v>
      </c>
      <c r="U189" s="3">
        <f>+SUMIFS(DETALLE_GD_1[VALOR TOTAL POR ITEM GD],DETALLE_GD_1[CODIGO],PRODUCTOS[[#This Row],[CODIGO]])</f>
        <v>32370</v>
      </c>
      <c r="V189" s="3">
        <f>+IFERROR(PRODUCTOS[[#This Row],[PRECIO DE COMPRA]]/PRODUCTOS[[#This Row],[CANT. COMPRADA]],"")</f>
        <v>1079</v>
      </c>
      <c r="W189" s="3">
        <f>+IFERROR(PRODUCTOS[[#This Row],[PRECIO COMPRA UNITARIO]]*PRODUCTOS[[#This Row],[PPTO FALTANTE]],"")</f>
        <v>366428.4</v>
      </c>
      <c r="X189" s="7">
        <f>+IFERROR(PRODUCTOS[[#This Row],[PROYECCION COMPRA]]/PRODUCTOS[[#This Row],[PPTO TOTAL]]-1,"")</f>
        <v>-8.1168831168831113E-2</v>
      </c>
      <c r="Y189" s="3">
        <f>+IFERROR((PRODUCTOS[[#This Row],[CANT X MODULO]]*704)-PRODUCTOS[[#This Row],[CANT. COMPRADA]],"")</f>
        <v>339.6</v>
      </c>
      <c r="Z189" s="17">
        <f>+IFERROR(PRODUCTOS[[#This Row],[CANT. COMPRADA]]/PRODUCTOS[[#This Row],[PPTO FALTANTE]],"")</f>
        <v>8.8339222614840979E-2</v>
      </c>
      <c r="AA189" s="3">
        <f>+IFERROR(PRODUCTOS[[#This Row],[PROYECCION COMPRA]]-(PRODUCTOS[[#This Row],[PPTO FALTANTE]]*PRODUCTOS[[#This Row],[PPTO]]),"")</f>
        <v>0</v>
      </c>
      <c r="AB189" s="3">
        <f>+_xlfn.XLOOKUP(PRODUCTOS[[#This Row],[CODIGO]],DETALLE_GD_1[CODIGO],DETALLE_GD_1[VALOR PPTO],"",0)</f>
        <v>1079</v>
      </c>
      <c r="AC189" s="3">
        <f>+AB189-PRODUCTOS[[#This Row],[PPTO_ACTUALIZADO]]</f>
        <v>0</v>
      </c>
    </row>
    <row r="190" spans="1:29" hidden="1" x14ac:dyDescent="0.25">
      <c r="A190">
        <v>1802165</v>
      </c>
      <c r="B190" t="s">
        <v>261</v>
      </c>
      <c r="C190" t="s">
        <v>648</v>
      </c>
      <c r="D190" t="s">
        <v>244</v>
      </c>
      <c r="E190" t="s">
        <v>406</v>
      </c>
      <c r="F190" s="2">
        <v>9122</v>
      </c>
      <c r="G190" s="6" t="s">
        <v>31</v>
      </c>
      <c r="H190" s="2">
        <v>9122</v>
      </c>
      <c r="I190" t="b">
        <v>1</v>
      </c>
      <c r="J190" t="str">
        <f>+_xlfn.XLOOKUP(PRODUCTOS[[#This Row],[CODIGO]],P_CRITICOS[CODIGO],P_CRITICOS[DESC CORTA],"",0)</f>
        <v/>
      </c>
      <c r="K190" t="str">
        <f>+IFERROR(IF(VLOOKUP(PRODUCTOS[[#This Row],[CODIGO]],P_CRITICOS[],3,0)="*","PRODUCTO CRITICO","NO CRITICO"),"NO CRITICO")</f>
        <v>NO CRITICO</v>
      </c>
      <c r="L190" s="15">
        <f>+_xlfn.XLOOKUP(PRODUCTOS[[#This Row],[CODIGO]],BD_MODULO[Artículo],BD_MODULO[CUB_ACTUALIZADA],"",0)</f>
        <v>0.52500000000000002</v>
      </c>
      <c r="M190" s="2">
        <f>+IFERROR(PRODUCTOS[[#This Row],[PPTO]]*PRODUCTOS[[#This Row],[CANT X MODULO]],"")</f>
        <v>4789.05</v>
      </c>
      <c r="N190" s="2">
        <f>+IFERROR(PRODUCTOS[[#This Row],[PPTO X MODULO]]*32,"")</f>
        <v>153249.60000000001</v>
      </c>
      <c r="O190" s="2">
        <f>+IFERROR(PRODUCTOS[[#This Row],[PPTO X TORRE]]*22,"")</f>
        <v>3371491.2</v>
      </c>
      <c r="P190" s="3">
        <f>+IFERROR(PRODUCTOS[[#This Row],[CANT X MODULO]]*702,"")</f>
        <v>368.55</v>
      </c>
      <c r="Q190" s="3">
        <f>+SUMIFS(DETALLE_GD_1[CANTIDAD SOLICITADA],DETALLE_GD_1[CODIGO],PRODUCTOS[[#This Row],[CODIGO]])</f>
        <v>30</v>
      </c>
      <c r="R190" s="3">
        <f>+SUMIFS(DETALLE_GD_1[DEVOLUCIÓN],DETALLE_GD_1[CODIGO],PRODUCTOS[[#This Row],[CODIGO]])</f>
        <v>0</v>
      </c>
      <c r="S190" s="3">
        <f>+PRODUCTOS[[#This Row],[CANT. COMPRADA]]-PRODUCTOS[[#This Row],[DEVOLUCIONES]]</f>
        <v>30</v>
      </c>
      <c r="T190" s="3">
        <f>+IFERROR(PRODUCTOS[[#This Row],[CANTIDAD RECIBIDA]]/PRODUCTOS[[#This Row],[CANT X MODULO]],"")</f>
        <v>57.142857142857139</v>
      </c>
      <c r="U190" s="3">
        <f>+SUMIFS(DETALLE_GD_1[VALOR TOTAL POR ITEM GD],DETALLE_GD_1[CODIGO],PRODUCTOS[[#This Row],[CODIGO]])</f>
        <v>273660</v>
      </c>
      <c r="V190" s="3">
        <f>+IFERROR(PRODUCTOS[[#This Row],[PRECIO DE COMPRA]]/PRODUCTOS[[#This Row],[CANT. COMPRADA]],"")</f>
        <v>9122</v>
      </c>
      <c r="W190" s="3">
        <f>+IFERROR(PRODUCTOS[[#This Row],[PRECIO COMPRA UNITARIO]]*PRODUCTOS[[#This Row],[PPTO FALTANTE]],"")</f>
        <v>3097831.2</v>
      </c>
      <c r="X190" s="7">
        <f>+IFERROR(PRODUCTOS[[#This Row],[PROYECCION COMPRA]]/PRODUCTOS[[#This Row],[PPTO TOTAL]]-1,"")</f>
        <v>-8.1168831168831113E-2</v>
      </c>
      <c r="Y190" s="3">
        <f>+IFERROR((PRODUCTOS[[#This Row],[CANT X MODULO]]*704)-PRODUCTOS[[#This Row],[CANT. COMPRADA]],"")</f>
        <v>339.6</v>
      </c>
      <c r="Z190" s="17">
        <f>+IFERROR(PRODUCTOS[[#This Row],[CANT. COMPRADA]]/PRODUCTOS[[#This Row],[PPTO FALTANTE]],"")</f>
        <v>8.8339222614840979E-2</v>
      </c>
      <c r="AA190" s="3">
        <f>+IFERROR(PRODUCTOS[[#This Row],[PROYECCION COMPRA]]-(PRODUCTOS[[#This Row],[PPTO FALTANTE]]*PRODUCTOS[[#This Row],[PPTO]]),"")</f>
        <v>0</v>
      </c>
      <c r="AB190" s="3">
        <f>+_xlfn.XLOOKUP(PRODUCTOS[[#This Row],[CODIGO]],DETALLE_GD_1[CODIGO],DETALLE_GD_1[VALOR PPTO],"",0)</f>
        <v>9122</v>
      </c>
      <c r="AC190" s="3">
        <f>+AB190-PRODUCTOS[[#This Row],[PPTO_ACTUALIZADO]]</f>
        <v>0</v>
      </c>
    </row>
    <row r="191" spans="1:29" hidden="1" x14ac:dyDescent="0.25">
      <c r="A191">
        <v>1808144</v>
      </c>
      <c r="B191" t="s">
        <v>272</v>
      </c>
      <c r="C191" t="s">
        <v>650</v>
      </c>
      <c r="D191" t="s">
        <v>258</v>
      </c>
      <c r="E191" t="s">
        <v>406</v>
      </c>
      <c r="F191" s="2">
        <v>23397.569619999998</v>
      </c>
      <c r="G191" s="6" t="s">
        <v>31</v>
      </c>
      <c r="H191" s="2">
        <v>23228</v>
      </c>
      <c r="I191" t="b">
        <v>0</v>
      </c>
      <c r="J191" t="str">
        <f>+_xlfn.XLOOKUP(PRODUCTOS[[#This Row],[CODIGO]],P_CRITICOS[CODIGO],P_CRITICOS[DESC CORTA],"",0)</f>
        <v/>
      </c>
      <c r="K191" t="str">
        <f>+IFERROR(IF(VLOOKUP(PRODUCTOS[[#This Row],[CODIGO]],P_CRITICOS[],3,0)="*","PRODUCTO CRITICO","NO CRITICO"),"NO CRITICO")</f>
        <v>NO CRITICO</v>
      </c>
      <c r="L191" s="15">
        <f>+_xlfn.XLOOKUP(PRODUCTOS[[#This Row],[CODIGO]],BD_MODULO[Artículo],BD_MODULO[CUB_ACTUALIZADA],"",0)</f>
        <v>0.52500000000000002</v>
      </c>
      <c r="M191" s="2">
        <f>+IFERROR(PRODUCTOS[[#This Row],[PPTO]]*PRODUCTOS[[#This Row],[CANT X MODULO]],"")</f>
        <v>12283.724050499999</v>
      </c>
      <c r="N191" s="2">
        <f>+IFERROR(PRODUCTOS[[#This Row],[PPTO X MODULO]]*32,"")</f>
        <v>393079.16961599997</v>
      </c>
      <c r="O191" s="2">
        <f>+IFERROR(PRODUCTOS[[#This Row],[PPTO X TORRE]]*22,"")</f>
        <v>8647741.7315519992</v>
      </c>
      <c r="P191" s="3">
        <f>+IFERROR(PRODUCTOS[[#This Row],[CANT X MODULO]]*702,"")</f>
        <v>368.55</v>
      </c>
      <c r="Q191" s="3">
        <f>+SUMIFS(DETALLE_GD_1[CANTIDAD SOLICITADA],DETALLE_GD_1[CODIGO],PRODUCTOS[[#This Row],[CODIGO]])</f>
        <v>30</v>
      </c>
      <c r="R191" s="3">
        <f>+SUMIFS(DETALLE_GD_1[DEVOLUCIÓN],DETALLE_GD_1[CODIGO],PRODUCTOS[[#This Row],[CODIGO]])</f>
        <v>0</v>
      </c>
      <c r="S191" s="3">
        <f>+PRODUCTOS[[#This Row],[CANT. COMPRADA]]-PRODUCTOS[[#This Row],[DEVOLUCIONES]]</f>
        <v>30</v>
      </c>
      <c r="T191" s="3">
        <f>+IFERROR(PRODUCTOS[[#This Row],[CANTIDAD RECIBIDA]]/PRODUCTOS[[#This Row],[CANT X MODULO]],"")</f>
        <v>57.142857142857139</v>
      </c>
      <c r="U191" s="3">
        <f>+SUMIFS(DETALLE_GD_1[VALOR TOTAL POR ITEM GD],DETALLE_GD_1[CODIGO],PRODUCTOS[[#This Row],[CODIGO]])</f>
        <v>699502</v>
      </c>
      <c r="V191" s="3">
        <f>+IFERROR(PRODUCTOS[[#This Row],[PRECIO DE COMPRA]]/PRODUCTOS[[#This Row],[CANT. COMPRADA]],"")</f>
        <v>23316.733333333334</v>
      </c>
      <c r="W191" s="3">
        <f>+IFERROR(PRODUCTOS[[#This Row],[PRECIO COMPRA UNITARIO]]*PRODUCTOS[[#This Row],[PPTO FALTANTE]],"")</f>
        <v>7918362.6400000006</v>
      </c>
      <c r="X191" s="7">
        <f>+IFERROR(PRODUCTOS[[#This Row],[PROYECCION COMPRA]]/PRODUCTOS[[#This Row],[PPTO TOTAL]]-1,"")</f>
        <v>-8.434330189242345E-2</v>
      </c>
      <c r="Y191" s="3">
        <f>+IFERROR((PRODUCTOS[[#This Row],[CANT X MODULO]]*704)-PRODUCTOS[[#This Row],[CANT. COMPRADA]],"")</f>
        <v>339.6</v>
      </c>
      <c r="Z191" s="17">
        <f>+IFERROR(PRODUCTOS[[#This Row],[CANT. COMPRADA]]/PRODUCTOS[[#This Row],[PPTO FALTANTE]],"")</f>
        <v>8.8339222614840979E-2</v>
      </c>
      <c r="AA191" s="3">
        <f>+IFERROR(PRODUCTOS[[#This Row],[PROYECCION COMPRA]]-(PRODUCTOS[[#This Row],[PPTO FALTANTE]]*PRODUCTOS[[#This Row],[PPTO]]),"")</f>
        <v>-27452.002951999195</v>
      </c>
      <c r="AB191" s="3">
        <f>+_xlfn.XLOOKUP(PRODUCTOS[[#This Row],[CODIGO]],DETALLE_GD_1[CODIGO],DETALLE_GD_1[VALOR PPTO],"",0)</f>
        <v>23228</v>
      </c>
      <c r="AC191" s="3">
        <f>+AB191-PRODUCTOS[[#This Row],[PPTO_ACTUALIZADO]]</f>
        <v>0</v>
      </c>
    </row>
    <row r="192" spans="1:29" hidden="1" x14ac:dyDescent="0.25">
      <c r="A192">
        <v>1808145</v>
      </c>
      <c r="B192" t="s">
        <v>273</v>
      </c>
      <c r="C192" t="s">
        <v>651</v>
      </c>
      <c r="D192" t="s">
        <v>258</v>
      </c>
      <c r="E192" t="s">
        <v>406</v>
      </c>
      <c r="F192" s="2">
        <v>16189.712963</v>
      </c>
      <c r="G192" s="6" t="s">
        <v>31</v>
      </c>
      <c r="H192" s="2">
        <v>17145</v>
      </c>
      <c r="I192" t="b">
        <v>0</v>
      </c>
      <c r="J192" t="str">
        <f>+_xlfn.XLOOKUP(PRODUCTOS[[#This Row],[CODIGO]],P_CRITICOS[CODIGO],P_CRITICOS[DESC CORTA],"",0)</f>
        <v/>
      </c>
      <c r="K192" t="str">
        <f>+IFERROR(IF(VLOOKUP(PRODUCTOS[[#This Row],[CODIGO]],P_CRITICOS[],3,0)="*","PRODUCTO CRITICO","NO CRITICO"),"NO CRITICO")</f>
        <v>NO CRITICO</v>
      </c>
      <c r="L192" s="15">
        <f>+_xlfn.XLOOKUP(PRODUCTOS[[#This Row],[CODIGO]],BD_MODULO[Artículo],BD_MODULO[CUB_ACTUALIZADA],"",0)</f>
        <v>0.52500000000000002</v>
      </c>
      <c r="M192" s="2">
        <f>+IFERROR(PRODUCTOS[[#This Row],[PPTO]]*PRODUCTOS[[#This Row],[CANT X MODULO]],"")</f>
        <v>8499.5993055750005</v>
      </c>
      <c r="N192" s="2">
        <f>+IFERROR(PRODUCTOS[[#This Row],[PPTO X MODULO]]*32,"")</f>
        <v>271987.17777840002</v>
      </c>
      <c r="O192" s="2">
        <f>+IFERROR(PRODUCTOS[[#This Row],[PPTO X TORRE]]*22,"")</f>
        <v>5983717.9111248003</v>
      </c>
      <c r="P192" s="3">
        <f>+IFERROR(PRODUCTOS[[#This Row],[CANT X MODULO]]*702,"")</f>
        <v>368.55</v>
      </c>
      <c r="Q192" s="3">
        <f>+SUMIFS(DETALLE_GD_1[CANTIDAD SOLICITADA],DETALLE_GD_1[CODIGO],PRODUCTOS[[#This Row],[CODIGO]])</f>
        <v>30</v>
      </c>
      <c r="R192" s="3">
        <f>+SUMIFS(DETALLE_GD_1[DEVOLUCIÓN],DETALLE_GD_1[CODIGO],PRODUCTOS[[#This Row],[CODIGO]])</f>
        <v>0</v>
      </c>
      <c r="S192" s="3">
        <f>+PRODUCTOS[[#This Row],[CANT. COMPRADA]]-PRODUCTOS[[#This Row],[DEVOLUCIONES]]</f>
        <v>30</v>
      </c>
      <c r="T192" s="3">
        <f>+IFERROR(PRODUCTOS[[#This Row],[CANTIDAD RECIBIDA]]/PRODUCTOS[[#This Row],[CANT X MODULO]],"")</f>
        <v>57.142857142857139</v>
      </c>
      <c r="U192" s="3">
        <f>+SUMIFS(DETALLE_GD_1[VALOR TOTAL POR ITEM GD],DETALLE_GD_1[CODIGO],PRODUCTOS[[#This Row],[CODIGO]])</f>
        <v>487127</v>
      </c>
      <c r="V192" s="3">
        <f>+IFERROR(PRODUCTOS[[#This Row],[PRECIO DE COMPRA]]/PRODUCTOS[[#This Row],[CANT. COMPRADA]],"")</f>
        <v>16237.566666666668</v>
      </c>
      <c r="W192" s="3">
        <f>+IFERROR(PRODUCTOS[[#This Row],[PRECIO COMPRA UNITARIO]]*PRODUCTOS[[#This Row],[PPTO FALTANTE]],"")</f>
        <v>5514277.6400000006</v>
      </c>
      <c r="X192" s="7">
        <f>+IFERROR(PRODUCTOS[[#This Row],[PROYECCION COMPRA]]/PRODUCTOS[[#This Row],[PPTO TOTAL]]-1,"")</f>
        <v>-7.8452941481754412E-2</v>
      </c>
      <c r="Y192" s="3">
        <f>+IFERROR((PRODUCTOS[[#This Row],[CANT X MODULO]]*704)-PRODUCTOS[[#This Row],[CANT. COMPRADA]],"")</f>
        <v>339.6</v>
      </c>
      <c r="Z192" s="17">
        <f>+IFERROR(PRODUCTOS[[#This Row],[CANT. COMPRADA]]/PRODUCTOS[[#This Row],[PPTO FALTANTE]],"")</f>
        <v>8.8339222614840979E-2</v>
      </c>
      <c r="AA192" s="3">
        <f>+IFERROR(PRODUCTOS[[#This Row],[PROYECCION COMPRA]]-(PRODUCTOS[[#This Row],[PPTO FALTANTE]]*PRODUCTOS[[#This Row],[PPTO]]),"")</f>
        <v>16251.117765200324</v>
      </c>
      <c r="AB192" s="3">
        <f>+_xlfn.XLOOKUP(PRODUCTOS[[#This Row],[CODIGO]],DETALLE_GD_1[CODIGO],DETALLE_GD_1[VALOR PPTO],"",0)</f>
        <v>17145</v>
      </c>
      <c r="AC192" s="3">
        <f>+AB192-PRODUCTOS[[#This Row],[PPTO_ACTUALIZADO]]</f>
        <v>0</v>
      </c>
    </row>
    <row r="193" spans="1:29" hidden="1" x14ac:dyDescent="0.25">
      <c r="A193">
        <v>1808147</v>
      </c>
      <c r="B193" t="s">
        <v>275</v>
      </c>
      <c r="C193" t="s">
        <v>652</v>
      </c>
      <c r="D193" t="s">
        <v>258</v>
      </c>
      <c r="E193" t="s">
        <v>406</v>
      </c>
      <c r="F193" s="2">
        <v>2215.224044</v>
      </c>
      <c r="G193" s="6" t="s">
        <v>31</v>
      </c>
      <c r="H193" s="2">
        <v>2293</v>
      </c>
      <c r="I193" t="b">
        <v>0</v>
      </c>
      <c r="J193" t="str">
        <f>+_xlfn.XLOOKUP(PRODUCTOS[[#This Row],[CODIGO]],P_CRITICOS[CODIGO],P_CRITICOS[DESC CORTA],"",0)</f>
        <v/>
      </c>
      <c r="K193" t="str">
        <f>+IFERROR(IF(VLOOKUP(PRODUCTOS[[#This Row],[CODIGO]],P_CRITICOS[],3,0)="*","PRODUCTO CRITICO","NO CRITICO"),"NO CRITICO")</f>
        <v>NO CRITICO</v>
      </c>
      <c r="L193" s="15">
        <f>+_xlfn.XLOOKUP(PRODUCTOS[[#This Row],[CODIGO]],BD_MODULO[Artículo],BD_MODULO[CUB_ACTUALIZADA],"",0)</f>
        <v>0.52500000000000002</v>
      </c>
      <c r="M193" s="2">
        <f>+IFERROR(PRODUCTOS[[#This Row],[PPTO]]*PRODUCTOS[[#This Row],[CANT X MODULO]],"")</f>
        <v>1162.9926231000002</v>
      </c>
      <c r="N193" s="2">
        <f>+IFERROR(PRODUCTOS[[#This Row],[PPTO X MODULO]]*32,"")</f>
        <v>37215.763939200006</v>
      </c>
      <c r="O193" s="2">
        <f>+IFERROR(PRODUCTOS[[#This Row],[PPTO X TORRE]]*22,"")</f>
        <v>818746.80666240014</v>
      </c>
      <c r="P193" s="3">
        <f>+IFERROR(PRODUCTOS[[#This Row],[CANT X MODULO]]*702,"")</f>
        <v>368.55</v>
      </c>
      <c r="Q193" s="3">
        <f>+SUMIFS(DETALLE_GD_1[CANTIDAD SOLICITADA],DETALLE_GD_1[CODIGO],PRODUCTOS[[#This Row],[CODIGO]])</f>
        <v>30</v>
      </c>
      <c r="R193" s="3">
        <f>+SUMIFS(DETALLE_GD_1[DEVOLUCIÓN],DETALLE_GD_1[CODIGO],PRODUCTOS[[#This Row],[CODIGO]])</f>
        <v>0</v>
      </c>
      <c r="S193" s="3">
        <f>+PRODUCTOS[[#This Row],[CANT. COMPRADA]]-PRODUCTOS[[#This Row],[DEVOLUCIONES]]</f>
        <v>30</v>
      </c>
      <c r="T193" s="3">
        <f>+IFERROR(PRODUCTOS[[#This Row],[CANTIDAD RECIBIDA]]/PRODUCTOS[[#This Row],[CANT X MODULO]],"")</f>
        <v>57.142857142857139</v>
      </c>
      <c r="U193" s="3">
        <f>+SUMIFS(DETALLE_GD_1[VALOR TOTAL POR ITEM GD],DETALLE_GD_1[CODIGO],PRODUCTOS[[#This Row],[CODIGO]])</f>
        <v>66545</v>
      </c>
      <c r="V193" s="3">
        <f>+IFERROR(PRODUCTOS[[#This Row],[PRECIO DE COMPRA]]/PRODUCTOS[[#This Row],[CANT. COMPRADA]],"")</f>
        <v>2218.1666666666665</v>
      </c>
      <c r="W193" s="3">
        <f>+IFERROR(PRODUCTOS[[#This Row],[PRECIO COMPRA UNITARIO]]*PRODUCTOS[[#This Row],[PPTO FALTANTE]],"")</f>
        <v>753289.4</v>
      </c>
      <c r="X193" s="7">
        <f>+IFERROR(PRODUCTOS[[#This Row],[PROYECCION COMPRA]]/PRODUCTOS[[#This Row],[PPTO TOTAL]]-1,"")</f>
        <v>-7.9948289422019925E-2</v>
      </c>
      <c r="Y193" s="3">
        <f>+IFERROR((PRODUCTOS[[#This Row],[CANT X MODULO]]*704)-PRODUCTOS[[#This Row],[CANT. COMPRADA]],"")</f>
        <v>339.6</v>
      </c>
      <c r="Z193" s="17">
        <f>+IFERROR(PRODUCTOS[[#This Row],[CANT. COMPRADA]]/PRODUCTOS[[#This Row],[PPTO FALTANTE]],"")</f>
        <v>8.8339222614840979E-2</v>
      </c>
      <c r="AA193" s="3">
        <f>+IFERROR(PRODUCTOS[[#This Row],[PROYECCION COMPRA]]-(PRODUCTOS[[#This Row],[PPTO FALTANTE]]*PRODUCTOS[[#This Row],[PPTO]]),"")</f>
        <v>999.31465760001447</v>
      </c>
      <c r="AB193" s="3">
        <f>+_xlfn.XLOOKUP(PRODUCTOS[[#This Row],[CODIGO]],DETALLE_GD_1[CODIGO],DETALLE_GD_1[VALOR PPTO],"",0)</f>
        <v>2293</v>
      </c>
      <c r="AC193" s="3">
        <f>+AB193-PRODUCTOS[[#This Row],[PPTO_ACTUALIZADO]]</f>
        <v>0</v>
      </c>
    </row>
    <row r="194" spans="1:29" hidden="1" x14ac:dyDescent="0.25">
      <c r="A194">
        <v>1802167</v>
      </c>
      <c r="B194" t="s">
        <v>262</v>
      </c>
      <c r="C194" t="s">
        <v>655</v>
      </c>
      <c r="D194" t="s">
        <v>244</v>
      </c>
      <c r="E194" t="s">
        <v>406</v>
      </c>
      <c r="F194" s="2">
        <v>14972</v>
      </c>
      <c r="G194" s="6" t="s">
        <v>31</v>
      </c>
      <c r="H194" s="2">
        <v>14972</v>
      </c>
      <c r="I194" t="b">
        <v>1</v>
      </c>
      <c r="J194" t="str">
        <f>+_xlfn.XLOOKUP(PRODUCTOS[[#This Row],[CODIGO]],P_CRITICOS[CODIGO],P_CRITICOS[DESC CORTA],"",0)</f>
        <v/>
      </c>
      <c r="K194" t="str">
        <f>+IFERROR(IF(VLOOKUP(PRODUCTOS[[#This Row],[CODIGO]],P_CRITICOS[],3,0)="*","PRODUCTO CRITICO","NO CRITICO"),"NO CRITICO")</f>
        <v>NO CRITICO</v>
      </c>
      <c r="L194" s="15">
        <f>+_xlfn.XLOOKUP(PRODUCTOS[[#This Row],[CODIGO]],BD_MODULO[Artículo],BD_MODULO[CUB_ACTUALIZADA],"",0)</f>
        <v>0.52500000000000002</v>
      </c>
      <c r="M194" s="2">
        <f>+IFERROR(PRODUCTOS[[#This Row],[PPTO]]*PRODUCTOS[[#This Row],[CANT X MODULO]],"")</f>
        <v>7860.3</v>
      </c>
      <c r="N194" s="2">
        <f>+IFERROR(PRODUCTOS[[#This Row],[PPTO X MODULO]]*32,"")</f>
        <v>251529.60000000001</v>
      </c>
      <c r="O194" s="2">
        <f>+IFERROR(PRODUCTOS[[#This Row],[PPTO X TORRE]]*22,"")</f>
        <v>5533651.2000000002</v>
      </c>
      <c r="P194" s="3">
        <f>+IFERROR(PRODUCTOS[[#This Row],[CANT X MODULO]]*702,"")</f>
        <v>368.55</v>
      </c>
      <c r="Q194" s="3">
        <f>+SUMIFS(DETALLE_GD_1[CANTIDAD SOLICITADA],DETALLE_GD_1[CODIGO],PRODUCTOS[[#This Row],[CODIGO]])</f>
        <v>30</v>
      </c>
      <c r="R194" s="3">
        <f>+SUMIFS(DETALLE_GD_1[DEVOLUCIÓN],DETALLE_GD_1[CODIGO],PRODUCTOS[[#This Row],[CODIGO]])</f>
        <v>0</v>
      </c>
      <c r="S194" s="3">
        <f>+PRODUCTOS[[#This Row],[CANT. COMPRADA]]-PRODUCTOS[[#This Row],[DEVOLUCIONES]]</f>
        <v>30</v>
      </c>
      <c r="T194" s="3">
        <f>+IFERROR(PRODUCTOS[[#This Row],[CANTIDAD RECIBIDA]]/PRODUCTOS[[#This Row],[CANT X MODULO]],"")</f>
        <v>57.142857142857139</v>
      </c>
      <c r="U194" s="3">
        <f>+SUMIFS(DETALLE_GD_1[VALOR TOTAL POR ITEM GD],DETALLE_GD_1[CODIGO],PRODUCTOS[[#This Row],[CODIGO]])</f>
        <v>449160</v>
      </c>
      <c r="V194" s="3">
        <f>+IFERROR(PRODUCTOS[[#This Row],[PRECIO DE COMPRA]]/PRODUCTOS[[#This Row],[CANT. COMPRADA]],"")</f>
        <v>14972</v>
      </c>
      <c r="W194" s="3">
        <f>+IFERROR(PRODUCTOS[[#This Row],[PRECIO COMPRA UNITARIO]]*PRODUCTOS[[#This Row],[PPTO FALTANTE]],"")</f>
        <v>5084491.2</v>
      </c>
      <c r="X194" s="7">
        <f>+IFERROR(PRODUCTOS[[#This Row],[PROYECCION COMPRA]]/PRODUCTOS[[#This Row],[PPTO TOTAL]]-1,"")</f>
        <v>-8.1168831168831113E-2</v>
      </c>
      <c r="Y194" s="3">
        <f>+IFERROR((PRODUCTOS[[#This Row],[CANT X MODULO]]*704)-PRODUCTOS[[#This Row],[CANT. COMPRADA]],"")</f>
        <v>339.6</v>
      </c>
      <c r="Z194" s="17">
        <f>+IFERROR(PRODUCTOS[[#This Row],[CANT. COMPRADA]]/PRODUCTOS[[#This Row],[PPTO FALTANTE]],"")</f>
        <v>8.8339222614840979E-2</v>
      </c>
      <c r="AA194" s="3">
        <f>+IFERROR(PRODUCTOS[[#This Row],[PROYECCION COMPRA]]-(PRODUCTOS[[#This Row],[PPTO FALTANTE]]*PRODUCTOS[[#This Row],[PPTO]]),"")</f>
        <v>0</v>
      </c>
      <c r="AB194" s="3">
        <f>+_xlfn.XLOOKUP(PRODUCTOS[[#This Row],[CODIGO]],DETALLE_GD_1[CODIGO],DETALLE_GD_1[VALOR PPTO],"",0)</f>
        <v>14972</v>
      </c>
      <c r="AC194" s="3">
        <f>+AB194-PRODUCTOS[[#This Row],[PPTO_ACTUALIZADO]]</f>
        <v>0</v>
      </c>
    </row>
    <row r="195" spans="1:29" hidden="1" x14ac:dyDescent="0.25">
      <c r="A195">
        <v>1802169</v>
      </c>
      <c r="B195" t="s">
        <v>263</v>
      </c>
      <c r="C195" t="s">
        <v>660</v>
      </c>
      <c r="D195" t="s">
        <v>258</v>
      </c>
      <c r="E195" t="s">
        <v>405</v>
      </c>
      <c r="F195" s="2">
        <v>10719.324323999999</v>
      </c>
      <c r="G195" s="6" t="s">
        <v>31</v>
      </c>
      <c r="H195" s="2">
        <v>10741</v>
      </c>
      <c r="I195" t="b">
        <v>0</v>
      </c>
      <c r="J195" t="str">
        <f>+_xlfn.XLOOKUP(PRODUCTOS[[#This Row],[CODIGO]],P_CRITICOS[CODIGO],P_CRITICOS[DESC CORTA],"",0)</f>
        <v/>
      </c>
      <c r="K195" t="str">
        <f>+IFERROR(IF(VLOOKUP(PRODUCTOS[[#This Row],[CODIGO]],P_CRITICOS[],3,0)="*","PRODUCTO CRITICO","NO CRITICO"),"NO CRITICO")</f>
        <v>NO CRITICO</v>
      </c>
      <c r="L195" s="15">
        <f>+_xlfn.XLOOKUP(PRODUCTOS[[#This Row],[CODIGO]],BD_MODULO[Artículo],BD_MODULO[CUB_ACTUALIZADA],"",0)</f>
        <v>0.52500000000000002</v>
      </c>
      <c r="M195" s="2">
        <f>+IFERROR(PRODUCTOS[[#This Row],[PPTO]]*PRODUCTOS[[#This Row],[CANT X MODULO]],"")</f>
        <v>5627.6452700999998</v>
      </c>
      <c r="N195" s="2">
        <f>+IFERROR(PRODUCTOS[[#This Row],[PPTO X MODULO]]*32,"")</f>
        <v>180084.64864319999</v>
      </c>
      <c r="O195" s="2">
        <f>+IFERROR(PRODUCTOS[[#This Row],[PPTO X TORRE]]*22,"")</f>
        <v>3961862.2701503998</v>
      </c>
      <c r="P195" s="3">
        <f>+IFERROR(PRODUCTOS[[#This Row],[CANT X MODULO]]*702,"")</f>
        <v>368.55</v>
      </c>
      <c r="Q195" s="3">
        <f>+SUMIFS(DETALLE_GD_1[CANTIDAD SOLICITADA],DETALLE_GD_1[CODIGO],PRODUCTOS[[#This Row],[CODIGO]])</f>
        <v>30</v>
      </c>
      <c r="R195" s="3">
        <f>+SUMIFS(DETALLE_GD_1[DEVOLUCIÓN],DETALLE_GD_1[CODIGO],PRODUCTOS[[#This Row],[CODIGO]])</f>
        <v>0</v>
      </c>
      <c r="S195" s="3">
        <f>+PRODUCTOS[[#This Row],[CANT. COMPRADA]]-PRODUCTOS[[#This Row],[DEVOLUCIONES]]</f>
        <v>30</v>
      </c>
      <c r="T195" s="3">
        <f>+IFERROR(PRODUCTOS[[#This Row],[CANTIDAD RECIBIDA]]/PRODUCTOS[[#This Row],[CANT X MODULO]],"")</f>
        <v>57.142857142857139</v>
      </c>
      <c r="U195" s="3">
        <f>+SUMIFS(DETALLE_GD_1[VALOR TOTAL POR ITEM GD],DETALLE_GD_1[CODIGO],PRODUCTOS[[#This Row],[CODIGO]])</f>
        <v>321900</v>
      </c>
      <c r="V195" s="3">
        <f>+IFERROR(PRODUCTOS[[#This Row],[PRECIO DE COMPRA]]/PRODUCTOS[[#This Row],[CANT. COMPRADA]],"")</f>
        <v>10730</v>
      </c>
      <c r="W195" s="3">
        <f>+IFERROR(PRODUCTOS[[#This Row],[PRECIO COMPRA UNITARIO]]*PRODUCTOS[[#This Row],[PPTO FALTANTE]],"")</f>
        <v>3643908.0000000005</v>
      </c>
      <c r="X195" s="7">
        <f>+IFERROR(PRODUCTOS[[#This Row],[PROYECCION COMPRA]]/PRODUCTOS[[#This Row],[PPTO TOTAL]]-1,"")</f>
        <v>-8.0253741414975877E-2</v>
      </c>
      <c r="Y195" s="3">
        <f>+IFERROR((PRODUCTOS[[#This Row],[CANT X MODULO]]*704)-PRODUCTOS[[#This Row],[CANT. COMPRADA]],"")</f>
        <v>339.6</v>
      </c>
      <c r="Z195" s="17">
        <f>+IFERROR(PRODUCTOS[[#This Row],[CANT. COMPRADA]]/PRODUCTOS[[#This Row],[PPTO FALTANTE]],"")</f>
        <v>8.8339222614840979E-2</v>
      </c>
      <c r="AA195" s="3">
        <f>+IFERROR(PRODUCTOS[[#This Row],[PROYECCION COMPRA]]-(PRODUCTOS[[#This Row],[PPTO FALTANTE]]*PRODUCTOS[[#This Row],[PPTO]]),"")</f>
        <v>3625.4595696004108</v>
      </c>
      <c r="AB195" s="3">
        <f>+_xlfn.XLOOKUP(PRODUCTOS[[#This Row],[CODIGO]],DETALLE_GD_1[CODIGO],DETALLE_GD_1[VALOR PPTO],"",0)</f>
        <v>10741</v>
      </c>
      <c r="AC195" s="3">
        <f>+AB195-PRODUCTOS[[#This Row],[PPTO_ACTUALIZADO]]</f>
        <v>0</v>
      </c>
    </row>
    <row r="196" spans="1:29" hidden="1" x14ac:dyDescent="0.25">
      <c r="A196">
        <v>1802170</v>
      </c>
      <c r="B196" t="s">
        <v>264</v>
      </c>
      <c r="C196">
        <v>0</v>
      </c>
      <c r="D196" t="s">
        <v>258</v>
      </c>
      <c r="E196" t="s">
        <v>405</v>
      </c>
      <c r="F196" s="2">
        <v>2043</v>
      </c>
      <c r="G196" s="6" t="s">
        <v>31</v>
      </c>
      <c r="H196" s="2">
        <v>2043</v>
      </c>
      <c r="I196" t="b">
        <v>1</v>
      </c>
      <c r="J196" t="str">
        <f>+_xlfn.XLOOKUP(PRODUCTOS[[#This Row],[CODIGO]],P_CRITICOS[CODIGO],P_CRITICOS[DESC CORTA],"",0)</f>
        <v/>
      </c>
      <c r="K196" t="str">
        <f>+IFERROR(IF(VLOOKUP(PRODUCTOS[[#This Row],[CODIGO]],P_CRITICOS[],3,0)="*","PRODUCTO CRITICO","NO CRITICO"),"NO CRITICO")</f>
        <v>NO CRITICO</v>
      </c>
      <c r="L196" s="15">
        <f>+_xlfn.XLOOKUP(PRODUCTOS[[#This Row],[CODIGO]],BD_MODULO[Artículo],BD_MODULO[CUB_ACTUALIZADA],"",0)</f>
        <v>0.52500000000000002</v>
      </c>
      <c r="M196" s="2">
        <f>+IFERROR(PRODUCTOS[[#This Row],[PPTO]]*PRODUCTOS[[#This Row],[CANT X MODULO]],"")</f>
        <v>1072.575</v>
      </c>
      <c r="N196" s="2">
        <f>+IFERROR(PRODUCTOS[[#This Row],[PPTO X MODULO]]*32,"")</f>
        <v>34322.400000000001</v>
      </c>
      <c r="O196" s="2">
        <f>+IFERROR(PRODUCTOS[[#This Row],[PPTO X TORRE]]*22,"")</f>
        <v>755092.8</v>
      </c>
      <c r="P196" s="3">
        <f>+IFERROR(PRODUCTOS[[#This Row],[CANT X MODULO]]*702,"")</f>
        <v>368.55</v>
      </c>
      <c r="Q196" s="3">
        <f>+SUMIFS(DETALLE_GD_1[CANTIDAD SOLICITADA],DETALLE_GD_1[CODIGO],PRODUCTOS[[#This Row],[CODIGO]])</f>
        <v>30</v>
      </c>
      <c r="R196" s="3">
        <f>+SUMIFS(DETALLE_GD_1[DEVOLUCIÓN],DETALLE_GD_1[CODIGO],PRODUCTOS[[#This Row],[CODIGO]])</f>
        <v>0</v>
      </c>
      <c r="S196" s="3">
        <f>+PRODUCTOS[[#This Row],[CANT. COMPRADA]]-PRODUCTOS[[#This Row],[DEVOLUCIONES]]</f>
        <v>30</v>
      </c>
      <c r="T196" s="3">
        <f>+IFERROR(PRODUCTOS[[#This Row],[CANTIDAD RECIBIDA]]/PRODUCTOS[[#This Row],[CANT X MODULO]],"")</f>
        <v>57.142857142857139</v>
      </c>
      <c r="U196" s="3">
        <f>+SUMIFS(DETALLE_GD_1[VALOR TOTAL POR ITEM GD],DETALLE_GD_1[CODIGO],PRODUCTOS[[#This Row],[CODIGO]])</f>
        <v>61290</v>
      </c>
      <c r="V196" s="3">
        <f>+IFERROR(PRODUCTOS[[#This Row],[PRECIO DE COMPRA]]/PRODUCTOS[[#This Row],[CANT. COMPRADA]],"")</f>
        <v>2043</v>
      </c>
      <c r="W196" s="3">
        <f>+IFERROR(PRODUCTOS[[#This Row],[PRECIO COMPRA UNITARIO]]*PRODUCTOS[[#This Row],[PPTO FALTANTE]],"")</f>
        <v>693802.8</v>
      </c>
      <c r="X196" s="7">
        <f>+IFERROR(PRODUCTOS[[#This Row],[PROYECCION COMPRA]]/PRODUCTOS[[#This Row],[PPTO TOTAL]]-1,"")</f>
        <v>-8.1168831168831113E-2</v>
      </c>
      <c r="Y196" s="3">
        <f>+IFERROR((PRODUCTOS[[#This Row],[CANT X MODULO]]*704)-PRODUCTOS[[#This Row],[CANT. COMPRADA]],"")</f>
        <v>339.6</v>
      </c>
      <c r="Z196" s="17">
        <f>+IFERROR(PRODUCTOS[[#This Row],[CANT. COMPRADA]]/PRODUCTOS[[#This Row],[PPTO FALTANTE]],"")</f>
        <v>8.8339222614840979E-2</v>
      </c>
      <c r="AA196" s="3">
        <f>+IFERROR(PRODUCTOS[[#This Row],[PROYECCION COMPRA]]-(PRODUCTOS[[#This Row],[PPTO FALTANTE]]*PRODUCTOS[[#This Row],[PPTO]]),"")</f>
        <v>0</v>
      </c>
      <c r="AB196" s="3">
        <f>+_xlfn.XLOOKUP(PRODUCTOS[[#This Row],[CODIGO]],DETALLE_GD_1[CODIGO],DETALLE_GD_1[VALOR PPTO],"",0)</f>
        <v>2043</v>
      </c>
      <c r="AC196" s="3">
        <f>+AB196-PRODUCTOS[[#This Row],[PPTO_ACTUALIZADO]]</f>
        <v>0</v>
      </c>
    </row>
    <row r="197" spans="1:29" x14ac:dyDescent="0.25">
      <c r="A197">
        <v>302028</v>
      </c>
      <c r="B197" t="s">
        <v>246</v>
      </c>
      <c r="C197" t="s">
        <v>538</v>
      </c>
      <c r="D197" t="s">
        <v>240</v>
      </c>
      <c r="E197" t="s">
        <v>403</v>
      </c>
      <c r="F197" s="2">
        <v>5123.8025269999998</v>
      </c>
      <c r="G197" s="6" t="s">
        <v>20</v>
      </c>
      <c r="H197" s="2">
        <v>5123.8025270000016</v>
      </c>
      <c r="I197" t="b">
        <v>1</v>
      </c>
      <c r="J197" t="str">
        <f>+_xlfn.XLOOKUP(PRODUCTOS[[#This Row],[CODIGO]],P_CRITICOS[CODIGO],P_CRITICOS[DESC CORTA],"",0)</f>
        <v>PINO 2X4X320</v>
      </c>
      <c r="K197" t="str">
        <f>+IFERROR(IF(VLOOKUP(PRODUCTOS[[#This Row],[CODIGO]],P_CRITICOS[],3,0)="*","PRODUCTO CRITICO","NO CRITICO"),"NO CRITICO")</f>
        <v>PRODUCTO CRITICO</v>
      </c>
      <c r="L197" s="15">
        <f>+_xlfn.XLOOKUP(PRODUCTOS[[#This Row],[CODIGO]],BD_MODULO[Artículo],BD_MODULO[CUB_ACTUALIZADA],"",0)</f>
        <v>172.72499999999994</v>
      </c>
      <c r="M197" s="2">
        <f>+IFERROR(PRODUCTOS[[#This Row],[PPTO]]*PRODUCTOS[[#This Row],[CANT X MODULO]],"")</f>
        <v>885008.79147607461</v>
      </c>
      <c r="N197" s="2">
        <f>+IFERROR(PRODUCTOS[[#This Row],[PPTO X MODULO]]*32,"")</f>
        <v>28320281.327234387</v>
      </c>
      <c r="O197" s="2">
        <f>+IFERROR(PRODUCTOS[[#This Row],[PPTO X TORRE]]*22,"")</f>
        <v>623046189.19915652</v>
      </c>
      <c r="P197" s="3">
        <f>+IFERROR(PRODUCTOS[[#This Row],[CANT X MODULO]]*702,"")</f>
        <v>121252.94999999995</v>
      </c>
      <c r="Q197" s="3">
        <f>+SUMIFS(DETALLE_GD_1[CANTIDAD SOLICITADA],DETALLE_GD_1[CODIGO],PRODUCTOS[[#This Row],[CODIGO]])</f>
        <v>10441</v>
      </c>
      <c r="R197" s="3">
        <f>+SUMIFS(DETALLE_GD_1[DEVOLUCIÓN],DETALLE_GD_1[CODIGO],PRODUCTOS[[#This Row],[CODIGO]])</f>
        <v>600</v>
      </c>
      <c r="S197" s="3">
        <f>+PRODUCTOS[[#This Row],[CANT. COMPRADA]]-PRODUCTOS[[#This Row],[DEVOLUCIONES]]</f>
        <v>9841</v>
      </c>
      <c r="T197" s="3">
        <f>+IFERROR(PRODUCTOS[[#This Row],[CANTIDAD RECIBIDA]]/PRODUCTOS[[#This Row],[CANT X MODULO]],"")</f>
        <v>56.974960196844719</v>
      </c>
      <c r="U197" s="3">
        <f>+SUMIFS(DETALLE_GD_1[VALOR TOTAL POR ITEM GD],DETALLE_GD_1[CODIGO],PRODUCTOS[[#This Row],[CODIGO]])</f>
        <v>49703385</v>
      </c>
      <c r="V197" s="3">
        <f>+IFERROR(PRODUCTOS[[#This Row],[PRECIO DE COMPRA]]/PRODUCTOS[[#This Row],[CANT. COMPRADA]],"")</f>
        <v>4760.4046547265589</v>
      </c>
      <c r="W197" s="3">
        <f>+IFERROR(PRODUCTOS[[#This Row],[PRECIO COMPRA UNITARIO]]*PRODUCTOS[[#This Row],[PPTO FALTANTE]],"")</f>
        <v>529154204.36730176</v>
      </c>
      <c r="X197" s="7">
        <f>+IFERROR(PRODUCTOS[[#This Row],[PROYECCION COMPRA]]/PRODUCTOS[[#This Row],[PPTO TOTAL]]-1,"")</f>
        <v>-0.1506982731931007</v>
      </c>
      <c r="Y197" s="3">
        <f>+IFERROR((PRODUCTOS[[#This Row],[CANT X MODULO]]*704)-PRODUCTOS[[#This Row],[CANT. COMPRADA]],"")</f>
        <v>111157.39999999995</v>
      </c>
      <c r="Z197" s="17">
        <f>+IFERROR(PRODUCTOS[[#This Row],[CANT. COMPRADA]]/PRODUCTOS[[#This Row],[PPTO FALTANTE]],"")</f>
        <v>9.3929868816651024E-2</v>
      </c>
      <c r="AA197" s="3">
        <f>+IFERROR(PRODUCTOS[[#This Row],[PROYECCION COMPRA]]-(PRODUCTOS[[#This Row],[PPTO FALTANTE]]*PRODUCTOS[[#This Row],[PPTO]]),"")</f>
        <v>-40394362.647447765</v>
      </c>
      <c r="AB197" s="3">
        <f>+_xlfn.XLOOKUP(PRODUCTOS[[#This Row],[CODIGO]],DETALLE_GD_1[CODIGO],DETALLE_GD_1[VALOR PPTO],"",0)</f>
        <v>5123.8024999999998</v>
      </c>
      <c r="AC197" s="3">
        <f>+AB197-PRODUCTOS[[#This Row],[PPTO_ACTUALIZADO]]</f>
        <v>-2.7000001864507794E-5</v>
      </c>
    </row>
    <row r="198" spans="1:29" hidden="1" x14ac:dyDescent="0.25">
      <c r="A198">
        <v>5316507</v>
      </c>
      <c r="B198" t="s">
        <v>55</v>
      </c>
      <c r="C198" t="s">
        <v>578</v>
      </c>
      <c r="D198" t="s">
        <v>280</v>
      </c>
      <c r="E198" t="s">
        <v>405</v>
      </c>
      <c r="F198" s="2">
        <v>41419.666666999998</v>
      </c>
      <c r="G198" s="6" t="s">
        <v>31</v>
      </c>
      <c r="H198" s="2">
        <v>41419.666666999998</v>
      </c>
      <c r="I198" t="b">
        <v>1</v>
      </c>
      <c r="J198" t="str">
        <f>+_xlfn.XLOOKUP(PRODUCTOS[[#This Row],[CODIGO]],P_CRITICOS[CODIGO],P_CRITICOS[DESC CORTA],"",0)</f>
        <v/>
      </c>
      <c r="K198" t="str">
        <f>+IFERROR(IF(VLOOKUP(PRODUCTOS[[#This Row],[CODIGO]],P_CRITICOS[],3,0)="*","PRODUCTO CRITICO","NO CRITICO"),"NO CRITICO")</f>
        <v>NO CRITICO</v>
      </c>
      <c r="L198" s="15">
        <f>+_xlfn.XLOOKUP(PRODUCTOS[[#This Row],[CODIGO]],BD_MODULO[Artículo],BD_MODULO[CUB_ACTUALIZADA],"",0)</f>
        <v>0.52500000000000002</v>
      </c>
      <c r="M198" s="2">
        <f>+IFERROR(PRODUCTOS[[#This Row],[PPTO]]*PRODUCTOS[[#This Row],[CANT X MODULO]],"")</f>
        <v>21745.325000174998</v>
      </c>
      <c r="N198" s="2">
        <f>+IFERROR(PRODUCTOS[[#This Row],[PPTO X MODULO]]*32,"")</f>
        <v>695850.40000559995</v>
      </c>
      <c r="O198" s="2">
        <f>+IFERROR(PRODUCTOS[[#This Row],[PPTO X TORRE]]*22,"")</f>
        <v>15308708.8001232</v>
      </c>
      <c r="P198" s="3">
        <f>+IFERROR(PRODUCTOS[[#This Row],[CANT X MODULO]]*702,"")</f>
        <v>368.55</v>
      </c>
      <c r="Q198" s="3">
        <f>+SUMIFS(DETALLE_GD_1[CANTIDAD SOLICITADA],DETALLE_GD_1[CODIGO],PRODUCTOS[[#This Row],[CODIGO]])</f>
        <v>29</v>
      </c>
      <c r="R198" s="3">
        <f>+SUMIFS(DETALLE_GD_1[DEVOLUCIÓN],DETALLE_GD_1[CODIGO],PRODUCTOS[[#This Row],[CODIGO]])</f>
        <v>0</v>
      </c>
      <c r="S198" s="3">
        <f>+PRODUCTOS[[#This Row],[CANT. COMPRADA]]-PRODUCTOS[[#This Row],[DEVOLUCIONES]]</f>
        <v>29</v>
      </c>
      <c r="T198" s="3">
        <f>+IFERROR(PRODUCTOS[[#This Row],[CANTIDAD RECIBIDA]]/PRODUCTOS[[#This Row],[CANT X MODULO]],"")</f>
        <v>55.238095238095234</v>
      </c>
      <c r="U198" s="3">
        <f>+SUMIFS(DETALLE_GD_1[VALOR TOTAL POR ITEM GD],DETALLE_GD_1[CODIGO],PRODUCTOS[[#This Row],[CODIGO]])</f>
        <v>1201032</v>
      </c>
      <c r="V198" s="3">
        <f>+IFERROR(PRODUCTOS[[#This Row],[PRECIO DE COMPRA]]/PRODUCTOS[[#This Row],[CANT. COMPRADA]],"")</f>
        <v>41414.896551724138</v>
      </c>
      <c r="W198" s="3">
        <f>+IFERROR(PRODUCTOS[[#This Row],[PRECIO COMPRA UNITARIO]]*PRODUCTOS[[#This Row],[PPTO FALTANTE]],"")</f>
        <v>14105913.765517242</v>
      </c>
      <c r="X198" s="7">
        <f>+IFERROR(PRODUCTOS[[#This Row],[PROYECCION COMPRA]]/PRODUCTOS[[#This Row],[PPTO TOTAL]]-1,"")</f>
        <v>-7.8569332679205295E-2</v>
      </c>
      <c r="Y198" s="3">
        <f>+IFERROR((PRODUCTOS[[#This Row],[CANT X MODULO]]*704)-PRODUCTOS[[#This Row],[CANT. COMPRADA]],"")</f>
        <v>340.6</v>
      </c>
      <c r="Z198" s="17">
        <f>+IFERROR(PRODUCTOS[[#This Row],[CANT. COMPRADA]]/PRODUCTOS[[#This Row],[PPTO FALTANTE]],"")</f>
        <v>8.514386376981796E-2</v>
      </c>
      <c r="AA198" s="3">
        <f>+IFERROR(PRODUCTOS[[#This Row],[PROYECCION COMPRA]]-(PRODUCTOS[[#This Row],[PPTO FALTANTE]]*PRODUCTOS[[#This Row],[PPTO]]),"")</f>
        <v>-1624.7012629583478</v>
      </c>
      <c r="AB198" s="3">
        <f>+_xlfn.XLOOKUP(PRODUCTOS[[#This Row],[CODIGO]],DETALLE_GD_1[CODIGO],DETALLE_GD_1[VALOR PPTO],"",0)</f>
        <v>41419.666700000002</v>
      </c>
      <c r="AC198" s="3">
        <f>+AB198-PRODUCTOS[[#This Row],[PPTO_ACTUALIZADO]]</f>
        <v>3.300000389572233E-5</v>
      </c>
    </row>
    <row r="199" spans="1:29" hidden="1" x14ac:dyDescent="0.25">
      <c r="A199">
        <v>1808146</v>
      </c>
      <c r="B199" t="s">
        <v>274</v>
      </c>
      <c r="C199" t="s">
        <v>657</v>
      </c>
      <c r="D199" t="s">
        <v>258</v>
      </c>
      <c r="E199" t="s">
        <v>406</v>
      </c>
      <c r="F199" s="2">
        <v>3318.025157</v>
      </c>
      <c r="G199" s="6" t="s">
        <v>31</v>
      </c>
      <c r="H199" s="2">
        <v>3404</v>
      </c>
      <c r="I199" t="b">
        <v>0</v>
      </c>
      <c r="J199" t="str">
        <f>+_xlfn.XLOOKUP(PRODUCTOS[[#This Row],[CODIGO]],P_CRITICOS[CODIGO],P_CRITICOS[DESC CORTA],"",0)</f>
        <v/>
      </c>
      <c r="K199" t="str">
        <f>+IFERROR(IF(VLOOKUP(PRODUCTOS[[#This Row],[CODIGO]],P_CRITICOS[],3,0)="*","PRODUCTO CRITICO","NO CRITICO"),"NO CRITICO")</f>
        <v>NO CRITICO</v>
      </c>
      <c r="L199" s="15">
        <f>+_xlfn.XLOOKUP(PRODUCTOS[[#This Row],[CODIGO]],BD_MODULO[Artículo],BD_MODULO[CUB_ACTUALIZADA],"",0)</f>
        <v>0.52500000000000002</v>
      </c>
      <c r="M199" s="2">
        <f>+IFERROR(PRODUCTOS[[#This Row],[PPTO]]*PRODUCTOS[[#This Row],[CANT X MODULO]],"")</f>
        <v>1741.9632074250001</v>
      </c>
      <c r="N199" s="2">
        <f>+IFERROR(PRODUCTOS[[#This Row],[PPTO X MODULO]]*32,"")</f>
        <v>55742.822637600002</v>
      </c>
      <c r="O199" s="2">
        <f>+IFERROR(PRODUCTOS[[#This Row],[PPTO X TORRE]]*22,"")</f>
        <v>1226342.0980272</v>
      </c>
      <c r="P199" s="3">
        <f>+IFERROR(PRODUCTOS[[#This Row],[CANT X MODULO]]*702,"")</f>
        <v>368.55</v>
      </c>
      <c r="Q199" s="3">
        <f>+SUMIFS(DETALLE_GD_1[CANTIDAD SOLICITADA],DETALLE_GD_1[CODIGO],PRODUCTOS[[#This Row],[CODIGO]])</f>
        <v>29</v>
      </c>
      <c r="R199" s="3">
        <f>+SUMIFS(DETALLE_GD_1[DEVOLUCIÓN],DETALLE_GD_1[CODIGO],PRODUCTOS[[#This Row],[CODIGO]])</f>
        <v>0</v>
      </c>
      <c r="S199" s="3">
        <f>+PRODUCTOS[[#This Row],[CANT. COMPRADA]]-PRODUCTOS[[#This Row],[DEVOLUCIONES]]</f>
        <v>29</v>
      </c>
      <c r="T199" s="3">
        <f>+IFERROR(PRODUCTOS[[#This Row],[CANTIDAD RECIBIDA]]/PRODUCTOS[[#This Row],[CANT X MODULO]],"")</f>
        <v>55.238095238095234</v>
      </c>
      <c r="U199" s="3">
        <f>+SUMIFS(DETALLE_GD_1[VALOR TOTAL POR ITEM GD],DETALLE_GD_1[CODIGO],PRODUCTOS[[#This Row],[CODIGO]])</f>
        <v>96332</v>
      </c>
      <c r="V199" s="3">
        <f>+IFERROR(PRODUCTOS[[#This Row],[PRECIO DE COMPRA]]/PRODUCTOS[[#This Row],[CANT. COMPRADA]],"")</f>
        <v>3321.7931034482758</v>
      </c>
      <c r="W199" s="3">
        <f>+IFERROR(PRODUCTOS[[#This Row],[PRECIO COMPRA UNITARIO]]*PRODUCTOS[[#This Row],[PPTO FALTANTE]],"")</f>
        <v>1131402.7310344828</v>
      </c>
      <c r="X199" s="7">
        <f>+IFERROR(PRODUCTOS[[#This Row],[PROYECCION COMPRA]]/PRODUCTOS[[#This Row],[PPTO TOTAL]]-1,"")</f>
        <v>-7.7416707088050596E-2</v>
      </c>
      <c r="Y199" s="3">
        <f>+IFERROR((PRODUCTOS[[#This Row],[CANT X MODULO]]*704)-PRODUCTOS[[#This Row],[CANT. COMPRADA]],"")</f>
        <v>340.6</v>
      </c>
      <c r="Z199" s="17">
        <f>+IFERROR(PRODUCTOS[[#This Row],[CANT. COMPRADA]]/PRODUCTOS[[#This Row],[PPTO FALTANTE]],"")</f>
        <v>8.514386376981796E-2</v>
      </c>
      <c r="AA199" s="3">
        <f>+IFERROR(PRODUCTOS[[#This Row],[PROYECCION COMPRA]]-(PRODUCTOS[[#This Row],[PPTO FALTANTE]]*PRODUCTOS[[#This Row],[PPTO]]),"")</f>
        <v>1283.3625602826942</v>
      </c>
      <c r="AB199" s="3">
        <f>+_xlfn.XLOOKUP(PRODUCTOS[[#This Row],[CODIGO]],DETALLE_GD_1[CODIGO],DETALLE_GD_1[VALOR PPTO],"",0)</f>
        <v>3404</v>
      </c>
      <c r="AC199" s="3">
        <f>+AB199-PRODUCTOS[[#This Row],[PPTO_ACTUALIZADO]]</f>
        <v>0</v>
      </c>
    </row>
    <row r="200" spans="1:29" hidden="1" x14ac:dyDescent="0.25">
      <c r="A200">
        <v>1901466</v>
      </c>
      <c r="B200" t="s">
        <v>498</v>
      </c>
      <c r="C200" t="s">
        <v>690</v>
      </c>
      <c r="D200" t="s">
        <v>355</v>
      </c>
      <c r="E200" t="s">
        <v>355</v>
      </c>
      <c r="G200" s="6" t="s">
        <v>26</v>
      </c>
      <c r="H200" s="2">
        <v>2112.795779</v>
      </c>
      <c r="I200" t="b">
        <v>0</v>
      </c>
      <c r="J200" t="str">
        <f>+_xlfn.XLOOKUP(PRODUCTOS[[#This Row],[CODIGO]],P_CRITICOS[CODIGO],P_CRITICOS[DESC CORTA],"",0)</f>
        <v/>
      </c>
      <c r="K200" t="str">
        <f>+IFERROR(IF(VLOOKUP(PRODUCTOS[[#This Row],[CODIGO]],P_CRITICOS[],3,0)="*","PRODUCTO CRITICO","NO CRITICO"),"NO CRITICO")</f>
        <v>NO CRITICO</v>
      </c>
      <c r="L200" s="15">
        <f>+_xlfn.XLOOKUP(PRODUCTOS[[#This Row],[CODIGO]],BD_MODULO[Artículo],BD_MODULO[CUB_ACTUALIZADA],"",0)</f>
        <v>29.529275999999999</v>
      </c>
      <c r="M200" s="2">
        <f>+IFERROR(PRODUCTOS[[#This Row],[PPTO]]*PRODUCTOS[[#This Row],[CANT X MODULO]],"")</f>
        <v>0</v>
      </c>
      <c r="N200" s="2">
        <f>+IFERROR(PRODUCTOS[[#This Row],[PPTO X MODULO]]*32,"")</f>
        <v>0</v>
      </c>
      <c r="O200" s="2">
        <f>+IFERROR(PRODUCTOS[[#This Row],[PPTO X TORRE]]*22,"")</f>
        <v>0</v>
      </c>
      <c r="P200" s="3">
        <f>+IFERROR(PRODUCTOS[[#This Row],[CANT X MODULO]]*702,"")</f>
        <v>20729.551751999999</v>
      </c>
      <c r="Q200" s="3">
        <f>+SUMIFS(DETALLE_GD_1[CANTIDAD SOLICITADA],DETALLE_GD_1[CODIGO],PRODUCTOS[[#This Row],[CODIGO]])</f>
        <v>1619</v>
      </c>
      <c r="R200" s="3">
        <f>+SUMIFS(DETALLE_GD_1[DEVOLUCIÓN],DETALLE_GD_1[CODIGO],PRODUCTOS[[#This Row],[CODIGO]])</f>
        <v>0</v>
      </c>
      <c r="S200" s="3">
        <f>+PRODUCTOS[[#This Row],[CANT. COMPRADA]]-PRODUCTOS[[#This Row],[DEVOLUCIONES]]</f>
        <v>1619</v>
      </c>
      <c r="T200" s="3">
        <f>+IFERROR(PRODUCTOS[[#This Row],[CANTIDAD RECIBIDA]]/PRODUCTOS[[#This Row],[CANT X MODULO]],"")</f>
        <v>54.826945299979585</v>
      </c>
      <c r="U200" s="3">
        <f>+SUMIFS(DETALLE_GD_1[VALOR TOTAL POR ITEM GD],DETALLE_GD_1[CODIGO],PRODUCTOS[[#This Row],[CODIGO]])</f>
        <v>3191400</v>
      </c>
      <c r="V200" s="3">
        <f>+IFERROR(PRODUCTOS[[#This Row],[PRECIO DE COMPRA]]/PRODUCTOS[[#This Row],[CANT. COMPRADA]],"")</f>
        <v>1971.2168004941323</v>
      </c>
      <c r="W200" s="3">
        <f>+IFERROR(PRODUCTOS[[#This Row],[PRECIO COMPRA UNITARIO]]*PRODUCTOS[[#This Row],[PPTO FALTANTE]],"")</f>
        <v>37787457.890170224</v>
      </c>
      <c r="X200" s="7" t="str">
        <f>+IFERROR(PRODUCTOS[[#This Row],[PROYECCION COMPRA]]/PRODUCTOS[[#This Row],[PPTO TOTAL]]-1,"")</f>
        <v/>
      </c>
      <c r="Y200" s="3">
        <f>+IFERROR((PRODUCTOS[[#This Row],[CANT X MODULO]]*704)-PRODUCTOS[[#This Row],[CANT. COMPRADA]],"")</f>
        <v>19169.610303999998</v>
      </c>
      <c r="Z200" s="17">
        <f>+IFERROR(PRODUCTOS[[#This Row],[CANT. COMPRADA]]/PRODUCTOS[[#This Row],[PPTO FALTANTE]],"")</f>
        <v>8.4456594282575154E-2</v>
      </c>
      <c r="AA200" s="3">
        <f>+IFERROR(PRODUCTOS[[#This Row],[PROYECCION COMPRA]]-(PRODUCTOS[[#This Row],[PPTO FALTANTE]]*PRODUCTOS[[#This Row],[PPTO]]),"")</f>
        <v>37787457.890170224</v>
      </c>
      <c r="AB200" s="3">
        <f>+_xlfn.XLOOKUP(PRODUCTOS[[#This Row],[CODIGO]],DETALLE_GD_1[CODIGO],DETALLE_GD_1[VALOR PPTO],"",0)</f>
        <v>2112.7957999999999</v>
      </c>
      <c r="AC200" s="3">
        <f>+AB200-PRODUCTOS[[#This Row],[PPTO_ACTUALIZADO]]</f>
        <v>2.0999999833293259E-5</v>
      </c>
    </row>
    <row r="201" spans="1:29" hidden="1" x14ac:dyDescent="0.25">
      <c r="A201">
        <v>1802517</v>
      </c>
      <c r="B201" t="s">
        <v>141</v>
      </c>
      <c r="C201" t="s">
        <v>633</v>
      </c>
      <c r="D201" t="s">
        <v>244</v>
      </c>
      <c r="E201" t="s">
        <v>410</v>
      </c>
      <c r="F201" s="2">
        <v>2312.5</v>
      </c>
      <c r="G201" s="6" t="s">
        <v>31</v>
      </c>
      <c r="H201" s="2">
        <v>2312</v>
      </c>
      <c r="I201" t="b">
        <v>0</v>
      </c>
      <c r="J201" t="str">
        <f>+_xlfn.XLOOKUP(PRODUCTOS[[#This Row],[CODIGO]],P_CRITICOS[CODIGO],P_CRITICOS[DESC CORTA],"",0)</f>
        <v/>
      </c>
      <c r="K201" t="str">
        <f>+IFERROR(IF(VLOOKUP(PRODUCTOS[[#This Row],[CODIGO]],P_CRITICOS[],3,0)="*","PRODUCTO CRITICO","NO CRITICO"),"NO CRITICO")</f>
        <v>NO CRITICO</v>
      </c>
      <c r="L201" s="15">
        <f>+_xlfn.XLOOKUP(PRODUCTOS[[#This Row],[CODIGO]],BD_MODULO[Artículo],BD_MODULO[CUB_ACTUALIZADA],"",0)</f>
        <v>0.52500000000000002</v>
      </c>
      <c r="M201" s="2">
        <f>+IFERROR(PRODUCTOS[[#This Row],[PPTO]]*PRODUCTOS[[#This Row],[CANT X MODULO]],"")</f>
        <v>1214.0625</v>
      </c>
      <c r="N201" s="2">
        <f>+IFERROR(PRODUCTOS[[#This Row],[PPTO X MODULO]]*32,"")</f>
        <v>38850</v>
      </c>
      <c r="O201" s="2">
        <f>+IFERROR(PRODUCTOS[[#This Row],[PPTO X TORRE]]*22,"")</f>
        <v>854700</v>
      </c>
      <c r="P201" s="3">
        <f>+IFERROR(PRODUCTOS[[#This Row],[CANT X MODULO]]*702,"")</f>
        <v>368.55</v>
      </c>
      <c r="Q201" s="3">
        <f>+SUMIFS(DETALLE_GD_1[CANTIDAD SOLICITADA],DETALLE_GD_1[CODIGO],PRODUCTOS[[#This Row],[CODIGO]])</f>
        <v>28</v>
      </c>
      <c r="R201" s="3">
        <f>+SUMIFS(DETALLE_GD_1[DEVOLUCIÓN],DETALLE_GD_1[CODIGO],PRODUCTOS[[#This Row],[CODIGO]])</f>
        <v>0</v>
      </c>
      <c r="S201" s="3">
        <f>+PRODUCTOS[[#This Row],[CANT. COMPRADA]]-PRODUCTOS[[#This Row],[DEVOLUCIONES]]</f>
        <v>28</v>
      </c>
      <c r="T201" s="3">
        <f>+IFERROR(PRODUCTOS[[#This Row],[CANTIDAD RECIBIDA]]/PRODUCTOS[[#This Row],[CANT X MODULO]],"")</f>
        <v>53.333333333333329</v>
      </c>
      <c r="U201" s="3">
        <f>+SUMIFS(DETALLE_GD_1[VALOR TOTAL POR ITEM GD],DETALLE_GD_1[CODIGO],PRODUCTOS[[#This Row],[CODIGO]])</f>
        <v>64750</v>
      </c>
      <c r="V201" s="3">
        <f>+IFERROR(PRODUCTOS[[#This Row],[PRECIO DE COMPRA]]/PRODUCTOS[[#This Row],[CANT. COMPRADA]],"")</f>
        <v>2312.5</v>
      </c>
      <c r="W201" s="3">
        <f>+IFERROR(PRODUCTOS[[#This Row],[PRECIO COMPRA UNITARIO]]*PRODUCTOS[[#This Row],[PPTO FALTANTE]],"")</f>
        <v>789950</v>
      </c>
      <c r="X201" s="7">
        <f>+IFERROR(PRODUCTOS[[#This Row],[PROYECCION COMPRA]]/PRODUCTOS[[#This Row],[PPTO TOTAL]]-1,"")</f>
        <v>-7.5757575757575801E-2</v>
      </c>
      <c r="Y201" s="3">
        <f>+IFERROR((PRODUCTOS[[#This Row],[CANT X MODULO]]*704)-PRODUCTOS[[#This Row],[CANT. COMPRADA]],"")</f>
        <v>341.6</v>
      </c>
      <c r="Z201" s="17">
        <f>+IFERROR(PRODUCTOS[[#This Row],[CANT. COMPRADA]]/PRODUCTOS[[#This Row],[PPTO FALTANTE]],"")</f>
        <v>8.1967213114754092E-2</v>
      </c>
      <c r="AA201" s="3">
        <f>+IFERROR(PRODUCTOS[[#This Row],[PROYECCION COMPRA]]-(PRODUCTOS[[#This Row],[PPTO FALTANTE]]*PRODUCTOS[[#This Row],[PPTO]]),"")</f>
        <v>0</v>
      </c>
      <c r="AB201" s="3">
        <f>+_xlfn.XLOOKUP(PRODUCTOS[[#This Row],[CODIGO]],DETALLE_GD_1[CODIGO],DETALLE_GD_1[VALOR PPTO],"",0)</f>
        <v>2312</v>
      </c>
      <c r="AC201" s="3">
        <f>+AB201-PRODUCTOS[[#This Row],[PPTO_ACTUALIZADO]]</f>
        <v>0</v>
      </c>
    </row>
    <row r="202" spans="1:29" hidden="1" x14ac:dyDescent="0.25">
      <c r="A202">
        <v>2302017</v>
      </c>
      <c r="B202" t="s">
        <v>156</v>
      </c>
      <c r="C202">
        <v>0</v>
      </c>
      <c r="D202" t="s">
        <v>244</v>
      </c>
      <c r="E202" t="s">
        <v>409</v>
      </c>
      <c r="F202" s="2">
        <v>81197.881578999994</v>
      </c>
      <c r="G202" s="6" t="s">
        <v>25</v>
      </c>
      <c r="H202" s="2">
        <v>81197.881578999979</v>
      </c>
      <c r="I202" t="b">
        <v>1</v>
      </c>
      <c r="J202" t="str">
        <f>+_xlfn.XLOOKUP(PRODUCTOS[[#This Row],[CODIGO]],P_CRITICOS[CODIGO],P_CRITICOS[DESC CORTA],"",0)</f>
        <v/>
      </c>
      <c r="K202" t="str">
        <f>+IFERROR(IF(VLOOKUP(PRODUCTOS[[#This Row],[CODIGO]],P_CRITICOS[],3,0)="*","PRODUCTO CRITICO","NO CRITICO"),"NO CRITICO")</f>
        <v>NO CRITICO</v>
      </c>
      <c r="L202" s="15">
        <f>+_xlfn.XLOOKUP(PRODUCTOS[[#This Row],[CODIGO]],BD_MODULO[Artículo],BD_MODULO[CUB_ACTUALIZADA],"",0)</f>
        <v>0.7875000000000002</v>
      </c>
      <c r="M202" s="2">
        <f>+IFERROR(PRODUCTOS[[#This Row],[PPTO]]*PRODUCTOS[[#This Row],[CANT X MODULO]],"")</f>
        <v>63943.331743462513</v>
      </c>
      <c r="N202" s="2">
        <f>+IFERROR(PRODUCTOS[[#This Row],[PPTO X MODULO]]*32,"")</f>
        <v>2046186.6157908004</v>
      </c>
      <c r="O202" s="2">
        <f>+IFERROR(PRODUCTOS[[#This Row],[PPTO X TORRE]]*22,"")</f>
        <v>45016105.547397606</v>
      </c>
      <c r="P202" s="3">
        <f>+IFERROR(PRODUCTOS[[#This Row],[CANT X MODULO]]*702,"")</f>
        <v>552.82500000000016</v>
      </c>
      <c r="Q202" s="3">
        <f>+SUMIFS(DETALLE_GD_1[CANTIDAD SOLICITADA],DETALLE_GD_1[CODIGO],PRODUCTOS[[#This Row],[CODIGO]])</f>
        <v>42</v>
      </c>
      <c r="R202" s="3">
        <f>+SUMIFS(DETALLE_GD_1[DEVOLUCIÓN],DETALLE_GD_1[CODIGO],PRODUCTOS[[#This Row],[CODIGO]])</f>
        <v>0</v>
      </c>
      <c r="S202" s="3">
        <f>+PRODUCTOS[[#This Row],[CANT. COMPRADA]]-PRODUCTOS[[#This Row],[DEVOLUCIONES]]</f>
        <v>42</v>
      </c>
      <c r="T202" s="3">
        <f>+IFERROR(PRODUCTOS[[#This Row],[CANTIDAD RECIBIDA]]/PRODUCTOS[[#This Row],[CANT X MODULO]],"")</f>
        <v>53.333333333333321</v>
      </c>
      <c r="U202" s="3">
        <f>+SUMIFS(DETALLE_GD_1[VALOR TOTAL POR ITEM GD],DETALLE_GD_1[CODIGO],PRODUCTOS[[#This Row],[CODIGO]])</f>
        <v>3470585</v>
      </c>
      <c r="V202" s="3">
        <f>+IFERROR(PRODUCTOS[[#This Row],[PRECIO DE COMPRA]]/PRODUCTOS[[#This Row],[CANT. COMPRADA]],"")</f>
        <v>82632.976190476184</v>
      </c>
      <c r="W202" s="3">
        <f>+IFERROR(PRODUCTOS[[#This Row],[PRECIO COMPRA UNITARIO]]*PRODUCTOS[[#This Row],[PPTO FALTANTE]],"")</f>
        <v>42341137.000000007</v>
      </c>
      <c r="X202" s="7">
        <f>+IFERROR(PRODUCTOS[[#This Row],[PROYECCION COMPRA]]/PRODUCTOS[[#This Row],[PPTO TOTAL]]-1,"")</f>
        <v>-5.9422478130213063E-2</v>
      </c>
      <c r="Y202" s="3">
        <f>+IFERROR((PRODUCTOS[[#This Row],[CANT X MODULO]]*704)-PRODUCTOS[[#This Row],[CANT. COMPRADA]],"")</f>
        <v>512.40000000000009</v>
      </c>
      <c r="Z202" s="17">
        <f>+IFERROR(PRODUCTOS[[#This Row],[CANT. COMPRADA]]/PRODUCTOS[[#This Row],[PPTO FALTANTE]],"")</f>
        <v>8.1967213114754078E-2</v>
      </c>
      <c r="AA202" s="3">
        <f>+IFERROR(PRODUCTOS[[#This Row],[PROYECCION COMPRA]]-(PRODUCTOS[[#This Row],[PPTO FALTANTE]]*PRODUCTOS[[#This Row],[PPTO]]),"")</f>
        <v>735342.47892040014</v>
      </c>
      <c r="AB202" s="3">
        <f>+_xlfn.XLOOKUP(PRODUCTOS[[#This Row],[CODIGO]],DETALLE_GD_1[CODIGO],DETALLE_GD_1[VALOR PPTO],"",0)</f>
        <v>81197.881599999993</v>
      </c>
      <c r="AC202" s="3">
        <f>+AB202-PRODUCTOS[[#This Row],[PPTO_ACTUALIZADO]]</f>
        <v>2.1000014385208488E-5</v>
      </c>
    </row>
    <row r="203" spans="1:29" hidden="1" x14ac:dyDescent="0.25">
      <c r="A203">
        <v>704021</v>
      </c>
      <c r="B203" t="s">
        <v>329</v>
      </c>
      <c r="C203" t="s">
        <v>668</v>
      </c>
      <c r="D203" t="s">
        <v>240</v>
      </c>
      <c r="E203" t="s">
        <v>402</v>
      </c>
      <c r="F203" s="2">
        <v>487</v>
      </c>
      <c r="G203" s="6" t="s">
        <v>31</v>
      </c>
      <c r="H203" s="2">
        <v>487</v>
      </c>
      <c r="I203" t="b">
        <v>1</v>
      </c>
      <c r="J203" t="str">
        <f>+_xlfn.XLOOKUP(PRODUCTOS[[#This Row],[CODIGO]],P_CRITICOS[CODIGO],P_CRITICOS[DESC CORTA],"",0)</f>
        <v/>
      </c>
      <c r="K203" t="str">
        <f>+IFERROR(IF(VLOOKUP(PRODUCTOS[[#This Row],[CODIGO]],P_CRITICOS[],3,0)="*","PRODUCTO CRITICO","NO CRITICO"),"NO CRITICO")</f>
        <v>NO CRITICO</v>
      </c>
      <c r="L203" s="15">
        <f>+_xlfn.XLOOKUP(PRODUCTOS[[#This Row],[CODIGO]],BD_MODULO[Artículo],BD_MODULO[CUB_ACTUALIZADA],"",0)</f>
        <v>21</v>
      </c>
      <c r="M203" s="2">
        <f>+IFERROR(PRODUCTOS[[#This Row],[PPTO]]*PRODUCTOS[[#This Row],[CANT X MODULO]],"")</f>
        <v>10227</v>
      </c>
      <c r="N203" s="2">
        <f>+IFERROR(PRODUCTOS[[#This Row],[PPTO X MODULO]]*32,"")</f>
        <v>327264</v>
      </c>
      <c r="O203" s="2">
        <f>+IFERROR(PRODUCTOS[[#This Row],[PPTO X TORRE]]*22,"")</f>
        <v>7199808</v>
      </c>
      <c r="P203" s="3">
        <f>+IFERROR(PRODUCTOS[[#This Row],[CANT X MODULO]]*702,"")</f>
        <v>14742</v>
      </c>
      <c r="Q203" s="3">
        <f>+SUMIFS(DETALLE_GD_1[CANTIDAD SOLICITADA],DETALLE_GD_1[CODIGO],PRODUCTOS[[#This Row],[CODIGO]])</f>
        <v>1118</v>
      </c>
      <c r="R203" s="3">
        <f>+SUMIFS(DETALLE_GD_1[DEVOLUCIÓN],DETALLE_GD_1[CODIGO],PRODUCTOS[[#This Row],[CODIGO]])</f>
        <v>0</v>
      </c>
      <c r="S203" s="3">
        <f>+PRODUCTOS[[#This Row],[CANT. COMPRADA]]-PRODUCTOS[[#This Row],[DEVOLUCIONES]]</f>
        <v>1118</v>
      </c>
      <c r="T203" s="3">
        <f>+IFERROR(PRODUCTOS[[#This Row],[CANTIDAD RECIBIDA]]/PRODUCTOS[[#This Row],[CANT X MODULO]],"")</f>
        <v>53.238095238095241</v>
      </c>
      <c r="U203" s="3">
        <f>+SUMIFS(DETALLE_GD_1[VALOR TOTAL POR ITEM GD],DETALLE_GD_1[CODIGO],PRODUCTOS[[#This Row],[CODIGO]])</f>
        <v>544466</v>
      </c>
      <c r="V203" s="3">
        <f>+IFERROR(PRODUCTOS[[#This Row],[PRECIO DE COMPRA]]/PRODUCTOS[[#This Row],[CANT. COMPRADA]],"")</f>
        <v>487</v>
      </c>
      <c r="W203" s="3">
        <f>+IFERROR(PRODUCTOS[[#This Row],[PRECIO COMPRA UNITARIO]]*PRODUCTOS[[#This Row],[PPTO FALTANTE]],"")</f>
        <v>6655342</v>
      </c>
      <c r="X203" s="7">
        <f>+IFERROR(PRODUCTOS[[#This Row],[PROYECCION COMPRA]]/PRODUCTOS[[#This Row],[PPTO TOTAL]]-1,"")</f>
        <v>-7.5622294372294396E-2</v>
      </c>
      <c r="Y203" s="3">
        <f>+IFERROR((PRODUCTOS[[#This Row],[CANT X MODULO]]*704)-PRODUCTOS[[#This Row],[CANT. COMPRADA]],"")</f>
        <v>13666</v>
      </c>
      <c r="Z203" s="17">
        <f>+IFERROR(PRODUCTOS[[#This Row],[CANT. COMPRADA]]/PRODUCTOS[[#This Row],[PPTO FALTANTE]],"")</f>
        <v>8.1808868725303671E-2</v>
      </c>
      <c r="AA203" s="3">
        <f>+IFERROR(PRODUCTOS[[#This Row],[PROYECCION COMPRA]]-(PRODUCTOS[[#This Row],[PPTO FALTANTE]]*PRODUCTOS[[#This Row],[PPTO]]),"")</f>
        <v>0</v>
      </c>
      <c r="AB203" s="3">
        <f>+_xlfn.XLOOKUP(PRODUCTOS[[#This Row],[CODIGO]],DETALLE_GD_1[CODIGO],DETALLE_GD_1[VALOR PPTO],"",0)</f>
        <v>487</v>
      </c>
      <c r="AC203" s="3">
        <f>+AB203-PRODUCTOS[[#This Row],[PPTO_ACTUALIZADO]]</f>
        <v>0</v>
      </c>
    </row>
    <row r="204" spans="1:29" hidden="1" x14ac:dyDescent="0.25">
      <c r="A204">
        <v>307030</v>
      </c>
      <c r="B204" t="s">
        <v>64</v>
      </c>
      <c r="C204" t="s">
        <v>583</v>
      </c>
      <c r="D204" t="s">
        <v>244</v>
      </c>
      <c r="E204" t="s">
        <v>402</v>
      </c>
      <c r="F204" s="2">
        <v>2729.9988560000002</v>
      </c>
      <c r="G204" s="6" t="s">
        <v>31</v>
      </c>
      <c r="H204" s="2">
        <v>2729.9988560000002</v>
      </c>
      <c r="I204" t="b">
        <v>1</v>
      </c>
      <c r="J204" t="str">
        <f>+_xlfn.XLOOKUP(PRODUCTOS[[#This Row],[CODIGO]],P_CRITICOS[CODIGO],P_CRITICOS[DESC CORTA],"",0)</f>
        <v/>
      </c>
      <c r="K204" t="str">
        <f>+IFERROR(IF(VLOOKUP(PRODUCTOS[[#This Row],[CODIGO]],P_CRITICOS[],3,0)="*","PRODUCTO CRITICO","NO CRITICO"),"NO CRITICO")</f>
        <v>NO CRITICO</v>
      </c>
      <c r="L204" s="15">
        <f>+_xlfn.XLOOKUP(PRODUCTOS[[#This Row],[CODIGO]],BD_MODULO[Artículo],BD_MODULO[CUB_ACTUALIZADA],"",0)</f>
        <v>7.35</v>
      </c>
      <c r="M204" s="2">
        <f>+IFERROR(PRODUCTOS[[#This Row],[PPTO]]*PRODUCTOS[[#This Row],[CANT X MODULO]],"")</f>
        <v>20065.491591599999</v>
      </c>
      <c r="N204" s="2">
        <f>+IFERROR(PRODUCTOS[[#This Row],[PPTO X MODULO]]*32,"")</f>
        <v>642095.73093119997</v>
      </c>
      <c r="O204" s="2">
        <f>+IFERROR(PRODUCTOS[[#This Row],[PPTO X TORRE]]*22,"")</f>
        <v>14126106.0804864</v>
      </c>
      <c r="P204" s="3">
        <f>+IFERROR(PRODUCTOS[[#This Row],[CANT X MODULO]]*702,"")</f>
        <v>5159.7</v>
      </c>
      <c r="Q204" s="3">
        <f>+SUMIFS(DETALLE_GD_1[CANTIDAD SOLICITADA],DETALLE_GD_1[CODIGO],PRODUCTOS[[#This Row],[CODIGO]])</f>
        <v>380</v>
      </c>
      <c r="R204" s="3">
        <f>+SUMIFS(DETALLE_GD_1[DEVOLUCIÓN],DETALLE_GD_1[CODIGO],PRODUCTOS[[#This Row],[CODIGO]])</f>
        <v>0</v>
      </c>
      <c r="S204" s="3">
        <f>+PRODUCTOS[[#This Row],[CANT. COMPRADA]]-PRODUCTOS[[#This Row],[DEVOLUCIONES]]</f>
        <v>380</v>
      </c>
      <c r="T204" s="3">
        <f>+IFERROR(PRODUCTOS[[#This Row],[CANTIDAD RECIBIDA]]/PRODUCTOS[[#This Row],[CANT X MODULO]],"")</f>
        <v>51.700680272108848</v>
      </c>
      <c r="U204" s="3">
        <f>+SUMIFS(DETALLE_GD_1[VALOR TOTAL POR ITEM GD],DETALLE_GD_1[CODIGO],PRODUCTOS[[#This Row],[CODIGO]])</f>
        <v>1037400</v>
      </c>
      <c r="V204" s="3">
        <f>+IFERROR(PRODUCTOS[[#This Row],[PRECIO DE COMPRA]]/PRODUCTOS[[#This Row],[CANT. COMPRADA]],"")</f>
        <v>2730</v>
      </c>
      <c r="W204" s="3">
        <f>+IFERROR(PRODUCTOS[[#This Row],[PRECIO COMPRA UNITARIO]]*PRODUCTOS[[#This Row],[PPTO FALTANTE]],"")</f>
        <v>13088711.999999998</v>
      </c>
      <c r="X204" s="7">
        <f>+IFERROR(PRODUCTOS[[#This Row],[PROYECCION COMPRA]]/PRODUCTOS[[#This Row],[PPTO TOTAL]]-1,"")</f>
        <v>-7.3438078022041942E-2</v>
      </c>
      <c r="Y204" s="3">
        <f>+IFERROR((PRODUCTOS[[#This Row],[CANT X MODULO]]*704)-PRODUCTOS[[#This Row],[CANT. COMPRADA]],"")</f>
        <v>4794.3999999999996</v>
      </c>
      <c r="Z204" s="17">
        <f>+IFERROR(PRODUCTOS[[#This Row],[CANT. COMPRADA]]/PRODUCTOS[[#This Row],[PPTO FALTANTE]],"")</f>
        <v>7.925913565826799E-2</v>
      </c>
      <c r="AA204" s="3">
        <f>+IFERROR(PRODUCTOS[[#This Row],[PROYECCION COMPRA]]-(PRODUCTOS[[#This Row],[PPTO FALTANTE]]*PRODUCTOS[[#This Row],[PPTO]]),"")</f>
        <v>5.4847935978323221</v>
      </c>
      <c r="AB204" s="3">
        <f>+_xlfn.XLOOKUP(PRODUCTOS[[#This Row],[CODIGO]],DETALLE_GD_1[CODIGO],DETALLE_GD_1[VALOR PPTO],"",0)</f>
        <v>2729.9989</v>
      </c>
      <c r="AC204" s="3">
        <f>+AB204-PRODUCTOS[[#This Row],[PPTO_ACTUALIZADO]]</f>
        <v>4.3999999888910679E-5</v>
      </c>
    </row>
    <row r="205" spans="1:29" hidden="1" x14ac:dyDescent="0.25">
      <c r="A205">
        <v>1808148</v>
      </c>
      <c r="B205" t="s">
        <v>276</v>
      </c>
      <c r="C205" t="s">
        <v>653</v>
      </c>
      <c r="D205" t="s">
        <v>258</v>
      </c>
      <c r="E205" t="s">
        <v>406</v>
      </c>
      <c r="F205" s="2">
        <v>1108.0958900000001</v>
      </c>
      <c r="G205" s="6" t="s">
        <v>31</v>
      </c>
      <c r="H205" s="2">
        <v>1089</v>
      </c>
      <c r="I205" t="b">
        <v>0</v>
      </c>
      <c r="J205" t="str">
        <f>+_xlfn.XLOOKUP(PRODUCTOS[[#This Row],[CODIGO]],P_CRITICOS[CODIGO],P_CRITICOS[DESC CORTA],"",0)</f>
        <v/>
      </c>
      <c r="K205" t="str">
        <f>+IFERROR(IF(VLOOKUP(PRODUCTOS[[#This Row],[CODIGO]],P_CRITICOS[],3,0)="*","PRODUCTO CRITICO","NO CRITICO"),"NO CRITICO")</f>
        <v>NO CRITICO</v>
      </c>
      <c r="L205" s="15">
        <f>+_xlfn.XLOOKUP(PRODUCTOS[[#This Row],[CODIGO]],BD_MODULO[Artículo],BD_MODULO[CUB_ACTUALIZADA],"",0)</f>
        <v>0.52500000000000002</v>
      </c>
      <c r="M205" s="2">
        <f>+IFERROR(PRODUCTOS[[#This Row],[PPTO]]*PRODUCTOS[[#This Row],[CANT X MODULO]],"")</f>
        <v>581.75034225000002</v>
      </c>
      <c r="N205" s="2">
        <f>+IFERROR(PRODUCTOS[[#This Row],[PPTO X MODULO]]*32,"")</f>
        <v>18616.010952000001</v>
      </c>
      <c r="O205" s="2">
        <f>+IFERROR(PRODUCTOS[[#This Row],[PPTO X TORRE]]*22,"")</f>
        <v>409552.24094400002</v>
      </c>
      <c r="P205" s="3">
        <f>+IFERROR(PRODUCTOS[[#This Row],[CANT X MODULO]]*702,"")</f>
        <v>368.55</v>
      </c>
      <c r="Q205" s="3">
        <f>+SUMIFS(DETALLE_GD_1[CANTIDAD SOLICITADA],DETALLE_GD_1[CODIGO],PRODUCTOS[[#This Row],[CODIGO]])</f>
        <v>27</v>
      </c>
      <c r="R205" s="3">
        <f>+SUMIFS(DETALLE_GD_1[DEVOLUCIÓN],DETALLE_GD_1[CODIGO],PRODUCTOS[[#This Row],[CODIGO]])</f>
        <v>0</v>
      </c>
      <c r="S205" s="3">
        <f>+PRODUCTOS[[#This Row],[CANT. COMPRADA]]-PRODUCTOS[[#This Row],[DEVOLUCIONES]]</f>
        <v>27</v>
      </c>
      <c r="T205" s="3">
        <f>+IFERROR(PRODUCTOS[[#This Row],[CANTIDAD RECIBIDA]]/PRODUCTOS[[#This Row],[CANT X MODULO]],"")</f>
        <v>51.428571428571423</v>
      </c>
      <c r="U205" s="3">
        <f>+SUMIFS(DETALLE_GD_1[VALOR TOTAL POR ITEM GD],DETALLE_GD_1[CODIGO],PRODUCTOS[[#This Row],[CODIGO]])</f>
        <v>29663</v>
      </c>
      <c r="V205" s="3">
        <f>+IFERROR(PRODUCTOS[[#This Row],[PRECIO DE COMPRA]]/PRODUCTOS[[#This Row],[CANT. COMPRADA]],"")</f>
        <v>1098.6296296296296</v>
      </c>
      <c r="W205" s="3">
        <f>+IFERROR(PRODUCTOS[[#This Row],[PRECIO COMPRA UNITARIO]]*PRODUCTOS[[#This Row],[PPTO FALTANTE]],"")</f>
        <v>376390.51111111109</v>
      </c>
      <c r="X205" s="7">
        <f>+IFERROR(PRODUCTOS[[#This Row],[PROYECCION COMPRA]]/PRODUCTOS[[#This Row],[PPTO TOTAL]]-1,"")</f>
        <v>-8.0970695597837761E-2</v>
      </c>
      <c r="Y205" s="3">
        <f>+IFERROR((PRODUCTOS[[#This Row],[CANT X MODULO]]*704)-PRODUCTOS[[#This Row],[CANT. COMPRADA]],"")</f>
        <v>342.6</v>
      </c>
      <c r="Z205" s="17">
        <f>+IFERROR(PRODUCTOS[[#This Row],[CANT. COMPRADA]]/PRODUCTOS[[#This Row],[PPTO FALTANTE]],"")</f>
        <v>7.8809106830122586E-2</v>
      </c>
      <c r="AA205" s="3">
        <f>+IFERROR(PRODUCTOS[[#This Row],[PROYECCION COMPRA]]-(PRODUCTOS[[#This Row],[PPTO FALTANTE]]*PRODUCTOS[[#This Row],[PPTO]]),"")</f>
        <v>-3243.1408028889564</v>
      </c>
      <c r="AB205" s="3">
        <f>+_xlfn.XLOOKUP(PRODUCTOS[[#This Row],[CODIGO]],DETALLE_GD_1[CODIGO],DETALLE_GD_1[VALOR PPTO],"",0)</f>
        <v>1089</v>
      </c>
      <c r="AC205" s="3">
        <f>+AB205-PRODUCTOS[[#This Row],[PPTO_ACTUALIZADO]]</f>
        <v>0</v>
      </c>
    </row>
    <row r="206" spans="1:29" hidden="1" x14ac:dyDescent="0.25">
      <c r="A206">
        <v>602258</v>
      </c>
      <c r="B206" t="s">
        <v>497</v>
      </c>
      <c r="C206" t="s">
        <v>689</v>
      </c>
      <c r="D206" t="s">
        <v>355</v>
      </c>
      <c r="E206" t="s">
        <v>355</v>
      </c>
      <c r="G206" s="6" t="s">
        <v>355</v>
      </c>
      <c r="H206" s="2">
        <v>84000</v>
      </c>
      <c r="I206" t="b">
        <v>0</v>
      </c>
      <c r="J206" t="str">
        <f>+_xlfn.XLOOKUP(PRODUCTOS[[#This Row],[CODIGO]],P_CRITICOS[CODIGO],P_CRITICOS[DESC CORTA],"",0)</f>
        <v/>
      </c>
      <c r="K206" t="str">
        <f>+IFERROR(IF(VLOOKUP(PRODUCTOS[[#This Row],[CODIGO]],P_CRITICOS[],3,0)="*","PRODUCTO CRITICO","NO CRITICO"),"NO CRITICO")</f>
        <v>NO CRITICO</v>
      </c>
      <c r="L206" s="15">
        <f>+_xlfn.XLOOKUP(PRODUCTOS[[#This Row],[CODIGO]],BD_MODULO[Artículo],BD_MODULO[CUB_ACTUALIZADA],"",0)</f>
        <v>8.1375000000000003E-2</v>
      </c>
      <c r="M206" s="2">
        <f>+IFERROR(PRODUCTOS[[#This Row],[PPTO]]*PRODUCTOS[[#This Row],[CANT X MODULO]],"")</f>
        <v>0</v>
      </c>
      <c r="N206" s="2">
        <f>+IFERROR(PRODUCTOS[[#This Row],[PPTO X MODULO]]*32,"")</f>
        <v>0</v>
      </c>
      <c r="O206" s="2">
        <f>+IFERROR(PRODUCTOS[[#This Row],[PPTO X TORRE]]*22,"")</f>
        <v>0</v>
      </c>
      <c r="P206" s="3">
        <f>+IFERROR(PRODUCTOS[[#This Row],[CANT X MODULO]]*702,"")</f>
        <v>57.125250000000001</v>
      </c>
      <c r="Q206" s="3">
        <f>+SUMIFS(DETALLE_GD_1[CANTIDAD SOLICITADA],DETALLE_GD_1[CODIGO],PRODUCTOS[[#This Row],[CODIGO]])</f>
        <v>4</v>
      </c>
      <c r="R206" s="3">
        <f>+SUMIFS(DETALLE_GD_1[DEVOLUCIÓN],DETALLE_GD_1[CODIGO],PRODUCTOS[[#This Row],[CODIGO]])</f>
        <v>0</v>
      </c>
      <c r="S206" s="3">
        <f>+PRODUCTOS[[#This Row],[CANT. COMPRADA]]-PRODUCTOS[[#This Row],[DEVOLUCIONES]]</f>
        <v>4</v>
      </c>
      <c r="T206" s="3">
        <f>+IFERROR(PRODUCTOS[[#This Row],[CANTIDAD RECIBIDA]]/PRODUCTOS[[#This Row],[CANT X MODULO]],"")</f>
        <v>49.155145929339476</v>
      </c>
      <c r="U206" s="3">
        <f>+SUMIFS(DETALLE_GD_1[VALOR TOTAL POR ITEM GD],DETALLE_GD_1[CODIGO],PRODUCTOS[[#This Row],[CODIGO]])</f>
        <v>336000</v>
      </c>
      <c r="V206" s="3">
        <f>+IFERROR(PRODUCTOS[[#This Row],[PRECIO DE COMPRA]]/PRODUCTOS[[#This Row],[CANT. COMPRADA]],"")</f>
        <v>84000</v>
      </c>
      <c r="W206" s="3">
        <f>+IFERROR(PRODUCTOS[[#This Row],[PRECIO COMPRA UNITARIO]]*PRODUCTOS[[#This Row],[PPTO FALTANTE]],"")</f>
        <v>4476192</v>
      </c>
      <c r="X206" s="7" t="str">
        <f>+IFERROR(PRODUCTOS[[#This Row],[PROYECCION COMPRA]]/PRODUCTOS[[#This Row],[PPTO TOTAL]]-1,"")</f>
        <v/>
      </c>
      <c r="Y206" s="3">
        <f>+IFERROR((PRODUCTOS[[#This Row],[CANT X MODULO]]*704)-PRODUCTOS[[#This Row],[CANT. COMPRADA]],"")</f>
        <v>53.288000000000004</v>
      </c>
      <c r="Z206" s="17">
        <f>+IFERROR(PRODUCTOS[[#This Row],[CANT. COMPRADA]]/PRODUCTOS[[#This Row],[PPTO FALTANTE]],"")</f>
        <v>7.5063804233598555E-2</v>
      </c>
      <c r="AA206" s="3">
        <f>+IFERROR(PRODUCTOS[[#This Row],[PROYECCION COMPRA]]-(PRODUCTOS[[#This Row],[PPTO FALTANTE]]*PRODUCTOS[[#This Row],[PPTO]]),"")</f>
        <v>4476192</v>
      </c>
      <c r="AB206" s="3">
        <f>+_xlfn.XLOOKUP(PRODUCTOS[[#This Row],[CODIGO]],DETALLE_GD_1[CODIGO],DETALLE_GD_1[VALOR PPTO],"",0)</f>
        <v>84000</v>
      </c>
      <c r="AC206" s="3">
        <f>+AB206-PRODUCTOS[[#This Row],[PPTO_ACTUALIZADO]]</f>
        <v>0</v>
      </c>
    </row>
    <row r="207" spans="1:29" hidden="1" x14ac:dyDescent="0.25">
      <c r="A207">
        <v>408014</v>
      </c>
      <c r="B207" t="s">
        <v>108</v>
      </c>
      <c r="C207" t="s">
        <v>613</v>
      </c>
      <c r="D207" t="s">
        <v>240</v>
      </c>
      <c r="E207" t="s">
        <v>399</v>
      </c>
      <c r="F207" s="2">
        <v>16182.106761999999</v>
      </c>
      <c r="G207" s="6" t="s">
        <v>36</v>
      </c>
      <c r="H207" s="2">
        <v>16182.106762000009</v>
      </c>
      <c r="I207" t="b">
        <v>1</v>
      </c>
      <c r="J207" t="str">
        <f>+_xlfn.XLOOKUP(PRODUCTOS[[#This Row],[CODIGO]],P_CRITICOS[CODIGO],P_CRITICOS[DESC CORTA],"",0)</f>
        <v/>
      </c>
      <c r="K207" t="str">
        <f>+IFERROR(IF(VLOOKUP(PRODUCTOS[[#This Row],[CODIGO]],P_CRITICOS[],3,0)="*","PRODUCTO CRITICO","NO CRITICO"),"NO CRITICO")</f>
        <v>NO CRITICO</v>
      </c>
      <c r="L207" s="15">
        <f>+_xlfn.XLOOKUP(PRODUCTOS[[#This Row],[CODIGO]],BD_MODULO[Artículo],BD_MODULO[CUB_ACTUALIZADA],"",0)</f>
        <v>0.51449999999999996</v>
      </c>
      <c r="M207" s="2">
        <f>+IFERROR(PRODUCTOS[[#This Row],[PPTO]]*PRODUCTOS[[#This Row],[CANT X MODULO]],"")</f>
        <v>8325.6939290489991</v>
      </c>
      <c r="N207" s="2">
        <f>+IFERROR(PRODUCTOS[[#This Row],[PPTO X MODULO]]*32,"")</f>
        <v>266422.20572956797</v>
      </c>
      <c r="O207" s="2">
        <f>+IFERROR(PRODUCTOS[[#This Row],[PPTO X TORRE]]*22,"")</f>
        <v>5861288.526050495</v>
      </c>
      <c r="P207" s="3">
        <f>+IFERROR(PRODUCTOS[[#This Row],[CANT X MODULO]]*702,"")</f>
        <v>361.17899999999997</v>
      </c>
      <c r="Q207" s="3">
        <f>+SUMIFS(DETALLE_GD_1[CANTIDAD SOLICITADA],DETALLE_GD_1[CODIGO],PRODUCTOS[[#This Row],[CODIGO]])</f>
        <v>25</v>
      </c>
      <c r="R207" s="3">
        <f>+SUMIFS(DETALLE_GD_1[DEVOLUCIÓN],DETALLE_GD_1[CODIGO],PRODUCTOS[[#This Row],[CODIGO]])</f>
        <v>0</v>
      </c>
      <c r="S207" s="3">
        <f>+PRODUCTOS[[#This Row],[CANT. COMPRADA]]-PRODUCTOS[[#This Row],[DEVOLUCIONES]]</f>
        <v>25</v>
      </c>
      <c r="T207" s="3">
        <f>+IFERROR(PRODUCTOS[[#This Row],[CANTIDAD RECIBIDA]]/PRODUCTOS[[#This Row],[CANT X MODULO]],"")</f>
        <v>48.590864917395535</v>
      </c>
      <c r="U207" s="3">
        <f>+SUMIFS(DETALLE_GD_1[VALOR TOTAL POR ITEM GD],DETALLE_GD_1[CODIGO],PRODUCTOS[[#This Row],[CODIGO]])</f>
        <v>402968</v>
      </c>
      <c r="V207" s="3">
        <f>+IFERROR(PRODUCTOS[[#This Row],[PRECIO DE COMPRA]]/PRODUCTOS[[#This Row],[CANT. COMPRADA]],"")</f>
        <v>16118.72</v>
      </c>
      <c r="W207" s="3">
        <f>+IFERROR(PRODUCTOS[[#This Row],[PRECIO COMPRA UNITARIO]]*PRODUCTOS[[#This Row],[PPTO FALTANTE]],"")</f>
        <v>5435361.3337599989</v>
      </c>
      <c r="X207" s="7">
        <f>+IFERROR(PRODUCTOS[[#This Row],[PROYECCION COMPRA]]/PRODUCTOS[[#This Row],[PPTO TOTAL]]-1,"")</f>
        <v>-7.2667842642016867E-2</v>
      </c>
      <c r="Y207" s="3">
        <f>+IFERROR((PRODUCTOS[[#This Row],[CANT X MODULO]]*704)-PRODUCTOS[[#This Row],[CANT. COMPRADA]],"")</f>
        <v>337.20799999999997</v>
      </c>
      <c r="Z207" s="17">
        <f>+IFERROR(PRODUCTOS[[#This Row],[CANT. COMPRADA]]/PRODUCTOS[[#This Row],[PPTO FALTANTE]],"")</f>
        <v>7.4138217361391201E-2</v>
      </c>
      <c r="AA207" s="3">
        <f>+IFERROR(PRODUCTOS[[#This Row],[PROYECCION COMPRA]]-(PRODUCTOS[[#This Row],[PPTO FALTANTE]]*PRODUCTOS[[#This Row],[PPTO]]),"")</f>
        <v>-21374.523240496404</v>
      </c>
      <c r="AB207" s="3">
        <f>+_xlfn.XLOOKUP(PRODUCTOS[[#This Row],[CODIGO]],DETALLE_GD_1[CODIGO],DETALLE_GD_1[VALOR PPTO],"",0)</f>
        <v>16182.1068</v>
      </c>
      <c r="AC207" s="3">
        <f>+AB207-PRODUCTOS[[#This Row],[PPTO_ACTUALIZADO]]</f>
        <v>3.7999991036485881E-5</v>
      </c>
    </row>
    <row r="208" spans="1:29" hidden="1" x14ac:dyDescent="0.25">
      <c r="A208">
        <v>1901038</v>
      </c>
      <c r="B208" t="s">
        <v>39</v>
      </c>
      <c r="C208" t="s">
        <v>544</v>
      </c>
      <c r="D208" t="s">
        <v>240</v>
      </c>
      <c r="E208" t="s">
        <v>404</v>
      </c>
      <c r="F208" s="2">
        <v>4197.4178750000001</v>
      </c>
      <c r="G208" s="6" t="s">
        <v>26</v>
      </c>
      <c r="H208" s="2">
        <v>4197.417875000001</v>
      </c>
      <c r="I208" t="b">
        <v>1</v>
      </c>
      <c r="J208" t="str">
        <f>+_xlfn.XLOOKUP(PRODUCTOS[[#This Row],[CODIGO]],P_CRITICOS[CODIGO],P_CRITICOS[DESC CORTA],"",0)</f>
        <v>AISLAN ROCA 90MM</v>
      </c>
      <c r="K208" t="str">
        <f>+IFERROR(IF(VLOOKUP(PRODUCTOS[[#This Row],[CODIGO]],P_CRITICOS[],3,0)="*","PRODUCTO CRITICO","NO CRITICO"),"NO CRITICO")</f>
        <v>PRODUCTO CRITICO</v>
      </c>
      <c r="L208" s="15">
        <f>+_xlfn.XLOOKUP(PRODUCTOS[[#This Row],[CODIGO]],BD_MODULO[Artículo],BD_MODULO[CUB_ACTUALIZADA],"",0)</f>
        <v>40.010249999999999</v>
      </c>
      <c r="M208" s="2">
        <f>+IFERROR(PRODUCTOS[[#This Row],[PPTO]]*PRODUCTOS[[#This Row],[CANT X MODULO]],"")</f>
        <v>167939.73853321874</v>
      </c>
      <c r="N208" s="2">
        <f>+IFERROR(PRODUCTOS[[#This Row],[PPTO X MODULO]]*32,"")</f>
        <v>5374071.6330629997</v>
      </c>
      <c r="O208" s="2">
        <f>+IFERROR(PRODUCTOS[[#This Row],[PPTO X TORRE]]*22,"")</f>
        <v>118229575.92738599</v>
      </c>
      <c r="P208" s="3">
        <f>+IFERROR(PRODUCTOS[[#This Row],[CANT X MODULO]]*702,"")</f>
        <v>28087.195499999998</v>
      </c>
      <c r="Q208" s="3">
        <f>+SUMIFS(DETALLE_GD_1[CANTIDAD SOLICITADA],DETALLE_GD_1[CODIGO],PRODUCTOS[[#This Row],[CODIGO]])</f>
        <v>1942</v>
      </c>
      <c r="R208" s="3">
        <f>+SUMIFS(DETALLE_GD_1[DEVOLUCIÓN],DETALLE_GD_1[CODIGO],PRODUCTOS[[#This Row],[CODIGO]])</f>
        <v>0</v>
      </c>
      <c r="S208" s="3">
        <f>+PRODUCTOS[[#This Row],[CANT. COMPRADA]]-PRODUCTOS[[#This Row],[DEVOLUCIONES]]</f>
        <v>1942</v>
      </c>
      <c r="T208" s="3">
        <f>+IFERROR(PRODUCTOS[[#This Row],[CANTIDAD RECIBIDA]]/PRODUCTOS[[#This Row],[CANT X MODULO]],"")</f>
        <v>48.53756224967352</v>
      </c>
      <c r="U208" s="3">
        <f>+SUMIFS(DETALLE_GD_1[VALOR TOTAL POR ITEM GD],DETALLE_GD_1[CODIGO],PRODUCTOS[[#This Row],[CODIGO]])</f>
        <v>8900548</v>
      </c>
      <c r="V208" s="3">
        <f>+IFERROR(PRODUCTOS[[#This Row],[PRECIO DE COMPRA]]/PRODUCTOS[[#This Row],[CANT. COMPRADA]],"")</f>
        <v>4583.1864057672501</v>
      </c>
      <c r="W208" s="3">
        <f>+IFERROR(PRODUCTOS[[#This Row],[PRECIO COMPRA UNITARIO]]*PRODUCTOS[[#This Row],[PPTO FALTANTE]],"")</f>
        <v>120195053.45950978</v>
      </c>
      <c r="X208" s="7">
        <f>+IFERROR(PRODUCTOS[[#This Row],[PROYECCION COMPRA]]/PRODUCTOS[[#This Row],[PPTO TOTAL]]-1,"")</f>
        <v>1.6624245809110816E-2</v>
      </c>
      <c r="Y208" s="3">
        <f>+IFERROR((PRODUCTOS[[#This Row],[CANT X MODULO]]*704)-PRODUCTOS[[#This Row],[CANT. COMPRADA]],"")</f>
        <v>26225.216</v>
      </c>
      <c r="Z208" s="17">
        <f>+IFERROR(PRODUCTOS[[#This Row],[CANT. COMPRADA]]/PRODUCTOS[[#This Row],[PPTO FALTANTE]],"")</f>
        <v>7.4050867683987803E-2</v>
      </c>
      <c r="AA208" s="3">
        <f>+IFERROR(PRODUCTOS[[#This Row],[PROYECCION COMPRA]]-(PRODUCTOS[[#This Row],[PPTO FALTANTE]]*PRODUCTOS[[#This Row],[PPTO]]),"")</f>
        <v>10116863.045373768</v>
      </c>
      <c r="AB208" s="3">
        <f>+_xlfn.XLOOKUP(PRODUCTOS[[#This Row],[CODIGO]],DETALLE_GD_1[CODIGO],DETALLE_GD_1[VALOR PPTO],"",0)</f>
        <v>4197.4179000000004</v>
      </c>
      <c r="AC208" s="3">
        <f>+AB208-PRODUCTOS[[#This Row],[PPTO_ACTUALIZADO]]</f>
        <v>2.4999999368446879E-5</v>
      </c>
    </row>
    <row r="209" spans="1:29" hidden="1" x14ac:dyDescent="0.25">
      <c r="A209">
        <v>1805340</v>
      </c>
      <c r="B209" t="s">
        <v>298</v>
      </c>
      <c r="C209" t="s">
        <v>644</v>
      </c>
      <c r="D209" t="s">
        <v>244</v>
      </c>
      <c r="E209" t="s">
        <v>410</v>
      </c>
      <c r="F209" s="2">
        <v>19400</v>
      </c>
      <c r="G209" s="6" t="s">
        <v>31</v>
      </c>
      <c r="H209" s="2">
        <v>19400</v>
      </c>
      <c r="I209" t="b">
        <v>1</v>
      </c>
      <c r="J209" t="str">
        <f>+_xlfn.XLOOKUP(PRODUCTOS[[#This Row],[CODIGO]],P_CRITICOS[CODIGO],P_CRITICOS[DESC CORTA],"",0)</f>
        <v/>
      </c>
      <c r="K209" t="str">
        <f>+IFERROR(IF(VLOOKUP(PRODUCTOS[[#This Row],[CODIGO]],P_CRITICOS[],3,0)="*","PRODUCTO CRITICO","NO CRITICO"),"NO CRITICO")</f>
        <v>NO CRITICO</v>
      </c>
      <c r="L209" s="15">
        <f>+_xlfn.XLOOKUP(PRODUCTOS[[#This Row],[CODIGO]],BD_MODULO[Artículo],BD_MODULO[CUB_ACTUALIZADA],"",0)</f>
        <v>1.05</v>
      </c>
      <c r="M209" s="2">
        <f>+IFERROR(PRODUCTOS[[#This Row],[PPTO]]*PRODUCTOS[[#This Row],[CANT X MODULO]],"")</f>
        <v>20370</v>
      </c>
      <c r="N209" s="2">
        <f>+IFERROR(PRODUCTOS[[#This Row],[PPTO X MODULO]]*32,"")</f>
        <v>651840</v>
      </c>
      <c r="O209" s="2">
        <f>+IFERROR(PRODUCTOS[[#This Row],[PPTO X TORRE]]*22,"")</f>
        <v>14340480</v>
      </c>
      <c r="P209" s="3">
        <f>+IFERROR(PRODUCTOS[[#This Row],[CANT X MODULO]]*702,"")</f>
        <v>737.1</v>
      </c>
      <c r="Q209" s="3">
        <f>+SUMIFS(DETALLE_GD_1[CANTIDAD SOLICITADA],DETALLE_GD_1[CODIGO],PRODUCTOS[[#This Row],[CODIGO]])</f>
        <v>50</v>
      </c>
      <c r="R209" s="3">
        <f>+SUMIFS(DETALLE_GD_1[DEVOLUCIÓN],DETALLE_GD_1[CODIGO],PRODUCTOS[[#This Row],[CODIGO]])</f>
        <v>0</v>
      </c>
      <c r="S209" s="3">
        <f>+PRODUCTOS[[#This Row],[CANT. COMPRADA]]-PRODUCTOS[[#This Row],[DEVOLUCIONES]]</f>
        <v>50</v>
      </c>
      <c r="T209" s="3">
        <f>+IFERROR(PRODUCTOS[[#This Row],[CANTIDAD RECIBIDA]]/PRODUCTOS[[#This Row],[CANT X MODULO]],"")</f>
        <v>47.61904761904762</v>
      </c>
      <c r="U209" s="3">
        <f>+SUMIFS(DETALLE_GD_1[VALOR TOTAL POR ITEM GD],DETALLE_GD_1[CODIGO],PRODUCTOS[[#This Row],[CODIGO]])</f>
        <v>970000</v>
      </c>
      <c r="V209" s="3">
        <f>+IFERROR(PRODUCTOS[[#This Row],[PRECIO DE COMPRA]]/PRODUCTOS[[#This Row],[CANT. COMPRADA]],"")</f>
        <v>19400</v>
      </c>
      <c r="W209" s="3">
        <f>+IFERROR(PRODUCTOS[[#This Row],[PRECIO COMPRA UNITARIO]]*PRODUCTOS[[#This Row],[PPTO FALTANTE]],"")</f>
        <v>13370480</v>
      </c>
      <c r="X209" s="7">
        <f>+IFERROR(PRODUCTOS[[#This Row],[PROYECCION COMPRA]]/PRODUCTOS[[#This Row],[PPTO TOTAL]]-1,"")</f>
        <v>-6.7640692640692612E-2</v>
      </c>
      <c r="Y209" s="3">
        <f>+IFERROR((PRODUCTOS[[#This Row],[CANT X MODULO]]*704)-PRODUCTOS[[#This Row],[CANT. COMPRADA]],"")</f>
        <v>689.2</v>
      </c>
      <c r="Z209" s="17">
        <f>+IFERROR(PRODUCTOS[[#This Row],[CANT. COMPRADA]]/PRODUCTOS[[#This Row],[PPTO FALTANTE]],"")</f>
        <v>7.2547881601857225E-2</v>
      </c>
      <c r="AA209" s="3">
        <f>+IFERROR(PRODUCTOS[[#This Row],[PROYECCION COMPRA]]-(PRODUCTOS[[#This Row],[PPTO FALTANTE]]*PRODUCTOS[[#This Row],[PPTO]]),"")</f>
        <v>0</v>
      </c>
      <c r="AB209" s="3">
        <f>+_xlfn.XLOOKUP(PRODUCTOS[[#This Row],[CODIGO]],DETALLE_GD_1[CODIGO],DETALLE_GD_1[VALOR PPTO],"",0)</f>
        <v>19400</v>
      </c>
      <c r="AC209" s="3">
        <f>+AB209-PRODUCTOS[[#This Row],[PPTO_ACTUALIZADO]]</f>
        <v>0</v>
      </c>
    </row>
    <row r="210" spans="1:29" hidden="1" x14ac:dyDescent="0.25">
      <c r="A210">
        <v>1103088</v>
      </c>
      <c r="B210" t="s">
        <v>491</v>
      </c>
      <c r="C210" t="s">
        <v>686</v>
      </c>
      <c r="D210" t="s">
        <v>355</v>
      </c>
      <c r="E210" t="s">
        <v>355</v>
      </c>
      <c r="G210" s="6" t="s">
        <v>355</v>
      </c>
      <c r="H210" s="2">
        <v>3134</v>
      </c>
      <c r="I210" t="b">
        <v>0</v>
      </c>
      <c r="J210" t="str">
        <f>+_xlfn.XLOOKUP(PRODUCTOS[[#This Row],[CODIGO]],P_CRITICOS[CODIGO],P_CRITICOS[DESC CORTA],"",0)</f>
        <v/>
      </c>
      <c r="K210" t="str">
        <f>+IFERROR(IF(VLOOKUP(PRODUCTOS[[#This Row],[CODIGO]],P_CRITICOS[],3,0)="*","PRODUCTO CRITICO","NO CRITICO"),"NO CRITICO")</f>
        <v>NO CRITICO</v>
      </c>
      <c r="L210" s="15">
        <f>+_xlfn.XLOOKUP(PRODUCTOS[[#This Row],[CODIGO]],BD_MODULO[Artículo],BD_MODULO[CUB_ACTUALIZADA],"",0)</f>
        <v>1.05</v>
      </c>
      <c r="M210" s="2">
        <f>+IFERROR(PRODUCTOS[[#This Row],[PPTO]]*PRODUCTOS[[#This Row],[CANT X MODULO]],"")</f>
        <v>0</v>
      </c>
      <c r="N210" s="2">
        <f>+IFERROR(PRODUCTOS[[#This Row],[PPTO X MODULO]]*32,"")</f>
        <v>0</v>
      </c>
      <c r="O210" s="2">
        <f>+IFERROR(PRODUCTOS[[#This Row],[PPTO X TORRE]]*22,"")</f>
        <v>0</v>
      </c>
      <c r="P210" s="3">
        <f>+IFERROR(PRODUCTOS[[#This Row],[CANT X MODULO]]*702,"")</f>
        <v>737.1</v>
      </c>
      <c r="Q210" s="3">
        <f>+SUMIFS(DETALLE_GD_1[CANTIDAD SOLICITADA],DETALLE_GD_1[CODIGO],PRODUCTOS[[#This Row],[CODIGO]])</f>
        <v>50</v>
      </c>
      <c r="R210" s="3">
        <f>+SUMIFS(DETALLE_GD_1[DEVOLUCIÓN],DETALLE_GD_1[CODIGO],PRODUCTOS[[#This Row],[CODIGO]])</f>
        <v>0</v>
      </c>
      <c r="S210" s="3">
        <f>+PRODUCTOS[[#This Row],[CANT. COMPRADA]]-PRODUCTOS[[#This Row],[DEVOLUCIONES]]</f>
        <v>50</v>
      </c>
      <c r="T210" s="3">
        <f>+IFERROR(PRODUCTOS[[#This Row],[CANTIDAD RECIBIDA]]/PRODUCTOS[[#This Row],[CANT X MODULO]],"")</f>
        <v>47.61904761904762</v>
      </c>
      <c r="U210" s="3">
        <f>+SUMIFS(DETALLE_GD_1[VALOR TOTAL POR ITEM GD],DETALLE_GD_1[CODIGO],PRODUCTOS[[#This Row],[CODIGO]])</f>
        <v>156700</v>
      </c>
      <c r="V210" s="3">
        <f>+IFERROR(PRODUCTOS[[#This Row],[PRECIO DE COMPRA]]/PRODUCTOS[[#This Row],[CANT. COMPRADA]],"")</f>
        <v>3134</v>
      </c>
      <c r="W210" s="3">
        <f>+IFERROR(PRODUCTOS[[#This Row],[PRECIO COMPRA UNITARIO]]*PRODUCTOS[[#This Row],[PPTO FALTANTE]],"")</f>
        <v>2159952.8000000003</v>
      </c>
      <c r="X210" s="7" t="str">
        <f>+IFERROR(PRODUCTOS[[#This Row],[PROYECCION COMPRA]]/PRODUCTOS[[#This Row],[PPTO TOTAL]]-1,"")</f>
        <v/>
      </c>
      <c r="Y210" s="3">
        <f>+IFERROR((PRODUCTOS[[#This Row],[CANT X MODULO]]*704)-PRODUCTOS[[#This Row],[CANT. COMPRADA]],"")</f>
        <v>689.2</v>
      </c>
      <c r="Z210" s="17">
        <f>+IFERROR(PRODUCTOS[[#This Row],[CANT. COMPRADA]]/PRODUCTOS[[#This Row],[PPTO FALTANTE]],"")</f>
        <v>7.2547881601857225E-2</v>
      </c>
      <c r="AA210" s="3">
        <f>+IFERROR(PRODUCTOS[[#This Row],[PROYECCION COMPRA]]-(PRODUCTOS[[#This Row],[PPTO FALTANTE]]*PRODUCTOS[[#This Row],[PPTO]]),"")</f>
        <v>2159952.8000000003</v>
      </c>
      <c r="AB210" s="3">
        <f>+_xlfn.XLOOKUP(PRODUCTOS[[#This Row],[CODIGO]],DETALLE_GD_1[CODIGO],DETALLE_GD_1[VALOR PPTO],"",0)</f>
        <v>3134</v>
      </c>
      <c r="AC210" s="3">
        <f>+AB210-PRODUCTOS[[#This Row],[PPTO_ACTUALIZADO]]</f>
        <v>0</v>
      </c>
    </row>
    <row r="211" spans="1:29" hidden="1" x14ac:dyDescent="0.25">
      <c r="A211">
        <v>407170</v>
      </c>
      <c r="B211" t="s">
        <v>107</v>
      </c>
      <c r="C211" t="s">
        <v>612</v>
      </c>
      <c r="D211" t="s">
        <v>240</v>
      </c>
      <c r="E211" t="s">
        <v>399</v>
      </c>
      <c r="F211" s="2">
        <v>4.8802159999999999</v>
      </c>
      <c r="G211" s="6" t="s">
        <v>31</v>
      </c>
      <c r="H211" s="2">
        <v>4.8802160000000008</v>
      </c>
      <c r="I211" t="b">
        <v>1</v>
      </c>
      <c r="J211" t="str">
        <f>+_xlfn.XLOOKUP(PRODUCTOS[[#This Row],[CODIGO]],P_CRITICOS[CODIGO],P_CRITICOS[DESC CORTA],"",0)</f>
        <v/>
      </c>
      <c r="K211" t="str">
        <f>+IFERROR(IF(VLOOKUP(PRODUCTOS[[#This Row],[CODIGO]],P_CRITICOS[],3,0)="*","PRODUCTO CRITICO","NO CRITICO"),"NO CRITICO")</f>
        <v>NO CRITICO</v>
      </c>
      <c r="L211" s="15">
        <f>+_xlfn.XLOOKUP(PRODUCTOS[[#This Row],[CODIGO]],BD_MODULO[Artículo],BD_MODULO[CUB_ACTUALIZADA],"",0)</f>
        <v>151.19999999999999</v>
      </c>
      <c r="M211" s="2">
        <f>+IFERROR(PRODUCTOS[[#This Row],[PPTO]]*PRODUCTOS[[#This Row],[CANT X MODULO]],"")</f>
        <v>737.88865919999989</v>
      </c>
      <c r="N211" s="2">
        <f>+IFERROR(PRODUCTOS[[#This Row],[PPTO X MODULO]]*32,"")</f>
        <v>23612.437094399997</v>
      </c>
      <c r="O211" s="2">
        <f>+IFERROR(PRODUCTOS[[#This Row],[PPTO X TORRE]]*22,"")</f>
        <v>519473.61607679992</v>
      </c>
      <c r="P211" s="3">
        <f>+IFERROR(PRODUCTOS[[#This Row],[CANT X MODULO]]*702,"")</f>
        <v>106142.39999999999</v>
      </c>
      <c r="Q211" s="3">
        <f>+SUMIFS(DETALLE_GD_1[CANTIDAD SOLICITADA],DETALLE_GD_1[CODIGO],PRODUCTOS[[#This Row],[CODIGO]])</f>
        <v>6904</v>
      </c>
      <c r="R211" s="3">
        <f>+SUMIFS(DETALLE_GD_1[DEVOLUCIÓN],DETALLE_GD_1[CODIGO],PRODUCTOS[[#This Row],[CODIGO]])</f>
        <v>0</v>
      </c>
      <c r="S211" s="3">
        <f>+PRODUCTOS[[#This Row],[CANT. COMPRADA]]-PRODUCTOS[[#This Row],[DEVOLUCIONES]]</f>
        <v>6904</v>
      </c>
      <c r="T211" s="3">
        <f>+IFERROR(PRODUCTOS[[#This Row],[CANTIDAD RECIBIDA]]/PRODUCTOS[[#This Row],[CANT X MODULO]],"")</f>
        <v>45.661375661375665</v>
      </c>
      <c r="U211" s="3">
        <f>+SUMIFS(DETALLE_GD_1[VALOR TOTAL POR ITEM GD],DETALLE_GD_1[CODIGO],PRODUCTOS[[#This Row],[CODIGO]])</f>
        <v>34457</v>
      </c>
      <c r="V211" s="3">
        <f>+IFERROR(PRODUCTOS[[#This Row],[PRECIO DE COMPRA]]/PRODUCTOS[[#This Row],[CANT. COMPRADA]],"")</f>
        <v>4.9908748551564308</v>
      </c>
      <c r="W211" s="3">
        <f>+IFERROR(PRODUCTOS[[#This Row],[PRECIO COMPRA UNITARIO]]*PRODUCTOS[[#This Row],[PPTO FALTANTE]],"")</f>
        <v>496795.67578215519</v>
      </c>
      <c r="X211" s="7">
        <f>+IFERROR(PRODUCTOS[[#This Row],[PROYECCION COMPRA]]/PRODUCTOS[[#This Row],[PPTO TOTAL]]-1,"")</f>
        <v>-4.3655615208938681E-2</v>
      </c>
      <c r="Y211" s="3">
        <f>+IFERROR((PRODUCTOS[[#This Row],[CANT X MODULO]]*704)-PRODUCTOS[[#This Row],[CANT. COMPRADA]],"")</f>
        <v>99540.799999999988</v>
      </c>
      <c r="Z211" s="17">
        <f>+IFERROR(PRODUCTOS[[#This Row],[CANT. COMPRADA]]/PRODUCTOS[[#This Row],[PPTO FALTANTE]],"")</f>
        <v>6.9358494205391169E-2</v>
      </c>
      <c r="AA211" s="3">
        <f>+IFERROR(PRODUCTOS[[#This Row],[PROYECCION COMPRA]]-(PRODUCTOS[[#This Row],[PPTO FALTANTE]]*PRODUCTOS[[#This Row],[PPTO]]),"")</f>
        <v>11015.070969355234</v>
      </c>
      <c r="AB211" s="3">
        <f>+_xlfn.XLOOKUP(PRODUCTOS[[#This Row],[CODIGO]],DETALLE_GD_1[CODIGO],DETALLE_GD_1[VALOR PPTO],"",0)</f>
        <v>4.8802000000000003</v>
      </c>
      <c r="AC211" s="3">
        <f>+AB211-PRODUCTOS[[#This Row],[PPTO_ACTUALIZADO]]</f>
        <v>-1.6000000000460091E-5</v>
      </c>
    </row>
    <row r="212" spans="1:29" hidden="1" x14ac:dyDescent="0.25">
      <c r="A212">
        <v>307096</v>
      </c>
      <c r="B212" t="s">
        <v>249</v>
      </c>
      <c r="C212" t="s">
        <v>543</v>
      </c>
      <c r="D212" t="s">
        <v>244</v>
      </c>
      <c r="E212" t="s">
        <v>402</v>
      </c>
      <c r="F212" s="2">
        <v>2095.3501289999999</v>
      </c>
      <c r="G212" s="6" t="s">
        <v>137</v>
      </c>
      <c r="H212" s="2">
        <v>2095.3501289999986</v>
      </c>
      <c r="I212" t="b">
        <v>1</v>
      </c>
      <c r="J212" t="str">
        <f>+_xlfn.XLOOKUP(PRODUCTOS[[#This Row],[CODIGO]],P_CRITICOS[CODIGO],P_CRITICOS[DESC CORTA],"",0)</f>
        <v>CUBREJUNTA</v>
      </c>
      <c r="K212" t="str">
        <f>+IFERROR(IF(VLOOKUP(PRODUCTOS[[#This Row],[CODIGO]],P_CRITICOS[],3,0)="*","PRODUCTO CRITICO","NO CRITICO"),"NO CRITICO")</f>
        <v>PRODUCTO CRITICO</v>
      </c>
      <c r="L212" s="15">
        <f>+_xlfn.XLOOKUP(PRODUCTOS[[#This Row],[CODIGO]],BD_MODULO[Artículo],BD_MODULO[CUB_ACTUALIZADA],"",0)</f>
        <v>65.100000000000023</v>
      </c>
      <c r="M212" s="2">
        <f>+IFERROR(PRODUCTOS[[#This Row],[PPTO]]*PRODUCTOS[[#This Row],[CANT X MODULO]],"")</f>
        <v>136407.29339790004</v>
      </c>
      <c r="N212" s="2">
        <f>+IFERROR(PRODUCTOS[[#This Row],[PPTO X MODULO]]*32,"")</f>
        <v>4365033.3887328012</v>
      </c>
      <c r="O212" s="2">
        <f>+IFERROR(PRODUCTOS[[#This Row],[PPTO X TORRE]]*22,"")</f>
        <v>96030734.552121624</v>
      </c>
      <c r="P212" s="3">
        <f>+IFERROR(PRODUCTOS[[#This Row],[CANT X MODULO]]*702,"")</f>
        <v>45700.200000000019</v>
      </c>
      <c r="Q212" s="3">
        <f>+SUMIFS(DETALLE_GD_1[CANTIDAD SOLICITADA],DETALLE_GD_1[CODIGO],PRODUCTOS[[#This Row],[CODIGO]])</f>
        <v>2949</v>
      </c>
      <c r="R212" s="3">
        <f>+SUMIFS(DETALLE_GD_1[DEVOLUCIÓN],DETALLE_GD_1[CODIGO],PRODUCTOS[[#This Row],[CODIGO]])</f>
        <v>0</v>
      </c>
      <c r="S212" s="3">
        <f>+PRODUCTOS[[#This Row],[CANT. COMPRADA]]-PRODUCTOS[[#This Row],[DEVOLUCIONES]]</f>
        <v>2949</v>
      </c>
      <c r="T212" s="3">
        <f>+IFERROR(PRODUCTOS[[#This Row],[CANTIDAD RECIBIDA]]/PRODUCTOS[[#This Row],[CANT X MODULO]],"")</f>
        <v>45.299539170506897</v>
      </c>
      <c r="U212" s="3">
        <f>+SUMIFS(DETALLE_GD_1[VALOR TOTAL POR ITEM GD],DETALLE_GD_1[CODIGO],PRODUCTOS[[#This Row],[CODIGO]])</f>
        <v>4894523</v>
      </c>
      <c r="V212" s="3">
        <f>+IFERROR(PRODUCTOS[[#This Row],[PRECIO DE COMPRA]]/PRODUCTOS[[#This Row],[CANT. COMPRADA]],"")</f>
        <v>1659.7229569345541</v>
      </c>
      <c r="W212" s="3">
        <f>+IFERROR(PRODUCTOS[[#This Row],[PRECIO COMPRA UNITARIO]]*PRODUCTOS[[#This Row],[PPTO FALTANTE]],"")</f>
        <v>71171244.005493417</v>
      </c>
      <c r="X212" s="7">
        <f>+IFERROR(PRODUCTOS[[#This Row],[PROYECCION COMPRA]]/PRODUCTOS[[#This Row],[PPTO TOTAL]]-1,"")</f>
        <v>-0.2588701488390206</v>
      </c>
      <c r="Y212" s="3">
        <f>+IFERROR((PRODUCTOS[[#This Row],[CANT X MODULO]]*704)-PRODUCTOS[[#This Row],[CANT. COMPRADA]],"")</f>
        <v>42881.400000000016</v>
      </c>
      <c r="Z212" s="17">
        <f>+IFERROR(PRODUCTOS[[#This Row],[CANT. COMPRADA]]/PRODUCTOS[[#This Row],[PPTO FALTANTE]],"")</f>
        <v>6.8771075571226664E-2</v>
      </c>
      <c r="AA212" s="3">
        <f>+IFERROR(PRODUCTOS[[#This Row],[PROYECCION COMPRA]]-(PRODUCTOS[[#This Row],[PPTO FALTANTE]]*PRODUCTOS[[#This Row],[PPTO]]),"")</f>
        <v>-18680303.016207218</v>
      </c>
      <c r="AB212" s="3">
        <f>+_xlfn.XLOOKUP(PRODUCTOS[[#This Row],[CODIGO]],DETALLE_GD_1[CODIGO],DETALLE_GD_1[VALOR PPTO],"",0)</f>
        <v>2095.3501000000001</v>
      </c>
      <c r="AC212" s="3">
        <f>+AB212-PRODUCTOS[[#This Row],[PPTO_ACTUALIZADO]]</f>
        <v>-2.8999998448853148E-5</v>
      </c>
    </row>
    <row r="213" spans="1:29" hidden="1" x14ac:dyDescent="0.25">
      <c r="A213">
        <v>307031</v>
      </c>
      <c r="B213" t="s">
        <v>65</v>
      </c>
      <c r="C213" t="s">
        <v>584</v>
      </c>
      <c r="D213" t="s">
        <v>244</v>
      </c>
      <c r="E213" t="s">
        <v>402</v>
      </c>
      <c r="F213" s="2">
        <v>2699.9986050000002</v>
      </c>
      <c r="G213" s="6" t="s">
        <v>31</v>
      </c>
      <c r="H213" s="2">
        <v>2699.9986050000007</v>
      </c>
      <c r="I213" t="b">
        <v>1</v>
      </c>
      <c r="J213" t="str">
        <f>+_xlfn.XLOOKUP(PRODUCTOS[[#This Row],[CODIGO]],P_CRITICOS[CODIGO],P_CRITICOS[DESC CORTA],"",0)</f>
        <v/>
      </c>
      <c r="K213" t="str">
        <f>+IFERROR(IF(VLOOKUP(PRODUCTOS[[#This Row],[CODIGO]],P_CRITICOS[],3,0)="*","PRODUCTO CRITICO","NO CRITICO"),"NO CRITICO")</f>
        <v>NO CRITICO</v>
      </c>
      <c r="L213" s="15">
        <f>+_xlfn.XLOOKUP(PRODUCTOS[[#This Row],[CODIGO]],BD_MODULO[Artículo],BD_MODULO[CUB_ACTUALIZADA],"",0)</f>
        <v>15.865500000000001</v>
      </c>
      <c r="M213" s="2">
        <f>+IFERROR(PRODUCTOS[[#This Row],[PPTO]]*PRODUCTOS[[#This Row],[CANT X MODULO]],"")</f>
        <v>42836.827867627508</v>
      </c>
      <c r="N213" s="2">
        <f>+IFERROR(PRODUCTOS[[#This Row],[PPTO X MODULO]]*32,"")</f>
        <v>1370778.4917640802</v>
      </c>
      <c r="O213" s="2">
        <f>+IFERROR(PRODUCTOS[[#This Row],[PPTO X TORRE]]*22,"")</f>
        <v>30157126.818809766</v>
      </c>
      <c r="P213" s="3">
        <f>+IFERROR(PRODUCTOS[[#This Row],[CANT X MODULO]]*702,"")</f>
        <v>11137.581</v>
      </c>
      <c r="Q213" s="3">
        <f>+SUMIFS(DETALLE_GD_1[CANTIDAD SOLICITADA],DETALLE_GD_1[CODIGO],PRODUCTOS[[#This Row],[CODIGO]])</f>
        <v>715</v>
      </c>
      <c r="R213" s="3">
        <f>+SUMIFS(DETALLE_GD_1[DEVOLUCIÓN],DETALLE_GD_1[CODIGO],PRODUCTOS[[#This Row],[CODIGO]])</f>
        <v>0</v>
      </c>
      <c r="S213" s="3">
        <f>+PRODUCTOS[[#This Row],[CANT. COMPRADA]]-PRODUCTOS[[#This Row],[DEVOLUCIONES]]</f>
        <v>715</v>
      </c>
      <c r="T213" s="3">
        <f>+IFERROR(PRODUCTOS[[#This Row],[CANTIDAD RECIBIDA]]/PRODUCTOS[[#This Row],[CANT X MODULO]],"")</f>
        <v>45.066338911474581</v>
      </c>
      <c r="U213" s="3">
        <f>+SUMIFS(DETALLE_GD_1[VALOR TOTAL POR ITEM GD],DETALLE_GD_1[CODIGO],PRODUCTOS[[#This Row],[CODIGO]])</f>
        <v>1930500</v>
      </c>
      <c r="V213" s="3">
        <f>+IFERROR(PRODUCTOS[[#This Row],[PRECIO DE COMPRA]]/PRODUCTOS[[#This Row],[CANT. COMPRADA]],"")</f>
        <v>2700</v>
      </c>
      <c r="W213" s="3">
        <f>+IFERROR(PRODUCTOS[[#This Row],[PRECIO COMPRA UNITARIO]]*PRODUCTOS[[#This Row],[PPTO FALTANTE]],"")</f>
        <v>28226642.399999999</v>
      </c>
      <c r="X213" s="7">
        <f>+IFERROR(PRODUCTOS[[#This Row],[PROYECCION COMPRA]]/PRODUCTOS[[#This Row],[PPTO TOTAL]]-1,"")</f>
        <v>-6.4014202361137307E-2</v>
      </c>
      <c r="Y213" s="3">
        <f>+IFERROR((PRODUCTOS[[#This Row],[CANT X MODULO]]*704)-PRODUCTOS[[#This Row],[CANT. COMPRADA]],"")</f>
        <v>10454.312</v>
      </c>
      <c r="Z213" s="17">
        <f>+IFERROR(PRODUCTOS[[#This Row],[CANT. COMPRADA]]/PRODUCTOS[[#This Row],[PPTO FALTANTE]],"")</f>
        <v>6.8392831589491498E-2</v>
      </c>
      <c r="AA213" s="3">
        <f>+IFERROR(PRODUCTOS[[#This Row],[PROYECCION COMPRA]]-(PRODUCTOS[[#This Row],[PPTO FALTANTE]]*PRODUCTOS[[#This Row],[PPTO]]),"")</f>
        <v>14.583765234798193</v>
      </c>
      <c r="AB213" s="3">
        <f>+_xlfn.XLOOKUP(PRODUCTOS[[#This Row],[CODIGO]],DETALLE_GD_1[CODIGO],DETALLE_GD_1[VALOR PPTO],"",0)</f>
        <v>2699.9985999999999</v>
      </c>
      <c r="AC213" s="3">
        <f>+AB213-PRODUCTOS[[#This Row],[PPTO_ACTUALIZADO]]</f>
        <v>-5.0000007831840776E-6</v>
      </c>
    </row>
    <row r="214" spans="1:29" hidden="1" x14ac:dyDescent="0.25">
      <c r="A214" t="s">
        <v>94</v>
      </c>
      <c r="B214" t="s">
        <v>95</v>
      </c>
      <c r="C214" t="s">
        <v>601</v>
      </c>
      <c r="D214" t="s">
        <v>244</v>
      </c>
      <c r="E214" t="s">
        <v>409</v>
      </c>
      <c r="F214" s="2">
        <v>3021.2828690000001</v>
      </c>
      <c r="G214" s="6" t="s">
        <v>31</v>
      </c>
      <c r="H214" s="2">
        <v>3021.2828690000006</v>
      </c>
      <c r="I214" t="b">
        <v>1</v>
      </c>
      <c r="J214" t="str">
        <f>+_xlfn.XLOOKUP(PRODUCTOS[[#This Row],[CODIGO]],P_CRITICOS[CODIGO],P_CRITICOS[DESC CORTA],"",0)</f>
        <v/>
      </c>
      <c r="K214" t="str">
        <f>+IFERROR(IF(VLOOKUP(PRODUCTOS[[#This Row],[CODIGO]],P_CRITICOS[],3,0)="*","PRODUCTO CRITICO","NO CRITICO"),"NO CRITICO")</f>
        <v>NO CRITICO</v>
      </c>
      <c r="L214" s="15">
        <f>+_xlfn.XLOOKUP(PRODUCTOS[[#This Row],[CODIGO]],BD_MODULO[Artículo],BD_MODULO[CUB_ACTUALIZADA],"",0)</f>
        <v>3.1500000000000004</v>
      </c>
      <c r="M214" s="2">
        <f>+IFERROR(PRODUCTOS[[#This Row],[PPTO]]*PRODUCTOS[[#This Row],[CANT X MODULO]],"")</f>
        <v>9517.0410373500017</v>
      </c>
      <c r="N214" s="2">
        <f>+IFERROR(PRODUCTOS[[#This Row],[PPTO X MODULO]]*32,"")</f>
        <v>304545.31319520005</v>
      </c>
      <c r="O214" s="2">
        <f>+IFERROR(PRODUCTOS[[#This Row],[PPTO X TORRE]]*22,"")</f>
        <v>6699996.890294401</v>
      </c>
      <c r="P214" s="3">
        <f>+IFERROR(PRODUCTOS[[#This Row],[CANT X MODULO]]*702,"")</f>
        <v>2211.3000000000002</v>
      </c>
      <c r="Q214" s="3">
        <f>+SUMIFS(DETALLE_GD_1[CANTIDAD SOLICITADA],DETALLE_GD_1[CODIGO],PRODUCTOS[[#This Row],[CODIGO]])</f>
        <v>130</v>
      </c>
      <c r="R214" s="3">
        <f>+SUMIFS(DETALLE_GD_1[DEVOLUCIÓN],DETALLE_GD_1[CODIGO],PRODUCTOS[[#This Row],[CODIGO]])</f>
        <v>0</v>
      </c>
      <c r="S214" s="3">
        <f>+PRODUCTOS[[#This Row],[CANT. COMPRADA]]-PRODUCTOS[[#This Row],[DEVOLUCIONES]]</f>
        <v>130</v>
      </c>
      <c r="T214" s="3">
        <f>+IFERROR(PRODUCTOS[[#This Row],[CANTIDAD RECIBIDA]]/PRODUCTOS[[#This Row],[CANT X MODULO]],"")</f>
        <v>41.269841269841265</v>
      </c>
      <c r="U214" s="3">
        <f>+SUMIFS(DETALLE_GD_1[VALOR TOTAL POR ITEM GD],DETALLE_GD_1[CODIGO],PRODUCTOS[[#This Row],[CODIGO]])</f>
        <v>392767</v>
      </c>
      <c r="V214" s="3">
        <f>+IFERROR(PRODUCTOS[[#This Row],[PRECIO DE COMPRA]]/PRODUCTOS[[#This Row],[CANT. COMPRADA]],"")</f>
        <v>3021.2846153846153</v>
      </c>
      <c r="W214" s="3">
        <f>+IFERROR(PRODUCTOS[[#This Row],[PRECIO COMPRA UNITARIO]]*PRODUCTOS[[#This Row],[PPTO FALTANTE]],"")</f>
        <v>6307233.7630769238</v>
      </c>
      <c r="X214" s="7">
        <f>+IFERROR(PRODUCTOS[[#This Row],[PROYECCION COMPRA]]/PRODUCTOS[[#This Row],[PPTO TOTAL]]-1,"")</f>
        <v>-5.8621389479513453E-2</v>
      </c>
      <c r="Y214" s="3">
        <f>+IFERROR((PRODUCTOS[[#This Row],[CANT X MODULO]]*704)-PRODUCTOS[[#This Row],[CANT. COMPRADA]],"")</f>
        <v>2087.6000000000004</v>
      </c>
      <c r="Z214" s="17">
        <f>+IFERROR(PRODUCTOS[[#This Row],[CANT. COMPRADA]]/PRODUCTOS[[#This Row],[PPTO FALTANTE]],"")</f>
        <v>6.2272465989653178E-2</v>
      </c>
      <c r="AA214" s="3">
        <f>+IFERROR(PRODUCTOS[[#This Row],[PROYECCION COMPRA]]-(PRODUCTOS[[#This Row],[PPTO FALTANTE]]*PRODUCTOS[[#This Row],[PPTO]]),"")</f>
        <v>3.6457525221630931</v>
      </c>
      <c r="AB214" s="3">
        <f>+_xlfn.XLOOKUP(PRODUCTOS[[#This Row],[CODIGO]],DETALLE_GD_1[CODIGO],DETALLE_GD_1[VALOR PPTO],"",0)</f>
        <v>3021.2829000000002</v>
      </c>
      <c r="AC214" s="3">
        <f>+AB214-PRODUCTOS[[#This Row],[PPTO_ACTUALIZADO]]</f>
        <v>3.0999999580672011E-5</v>
      </c>
    </row>
    <row r="215" spans="1:29" hidden="1" x14ac:dyDescent="0.25">
      <c r="A215">
        <v>1803045</v>
      </c>
      <c r="B215" t="s">
        <v>337</v>
      </c>
      <c r="C215" t="s">
        <v>532</v>
      </c>
      <c r="D215" t="s">
        <v>244</v>
      </c>
      <c r="E215" t="s">
        <v>408</v>
      </c>
      <c r="F215" s="2">
        <v>52920</v>
      </c>
      <c r="G215" s="6" t="s">
        <v>90</v>
      </c>
      <c r="H215" s="2">
        <v>51872.999999999993</v>
      </c>
      <c r="I215" t="b">
        <v>0</v>
      </c>
      <c r="J215" t="str">
        <f>+_xlfn.XLOOKUP(PRODUCTOS[[#This Row],[CODIGO]],P_CRITICOS[CODIGO],P_CRITICOS[DESC CORTA],"",0)</f>
        <v>PUERTA INTERIOR</v>
      </c>
      <c r="K215" t="str">
        <f>+IFERROR(IF(VLOOKUP(PRODUCTOS[[#This Row],[CODIGO]],P_CRITICOS[],3,0)="*","PRODUCTO CRITICO","NO CRITICO"),"NO CRITICO")</f>
        <v>PRODUCTO CRITICO</v>
      </c>
      <c r="L215" s="15">
        <f>+_xlfn.XLOOKUP(PRODUCTOS[[#This Row],[CODIGO]],BD_MODULO[Artículo],BD_MODULO[CUB_ACTUALIZADA],"",0)</f>
        <v>2.1000000000000005</v>
      </c>
      <c r="M215" s="2">
        <f>+IFERROR(PRODUCTOS[[#This Row],[PPTO]]*PRODUCTOS[[#This Row],[CANT X MODULO]],"")</f>
        <v>111132.00000000003</v>
      </c>
      <c r="N215" s="2">
        <f>+IFERROR(PRODUCTOS[[#This Row],[PPTO X MODULO]]*32,"")</f>
        <v>3556224.0000000009</v>
      </c>
      <c r="O215" s="2">
        <f>+IFERROR(PRODUCTOS[[#This Row],[PPTO X TORRE]]*22,"")</f>
        <v>78236928.000000015</v>
      </c>
      <c r="P215" s="3">
        <f>+IFERROR(PRODUCTOS[[#This Row],[CANT X MODULO]]*702,"")</f>
        <v>1474.2000000000003</v>
      </c>
      <c r="Q215" s="3">
        <f>+SUMIFS(DETALLE_GD_1[CANTIDAD SOLICITADA],DETALLE_GD_1[CODIGO],PRODUCTOS[[#This Row],[CODIGO]])</f>
        <v>85</v>
      </c>
      <c r="R215" s="3">
        <f>+SUMIFS(DETALLE_GD_1[DEVOLUCIÓN],DETALLE_GD_1[CODIGO],PRODUCTOS[[#This Row],[CODIGO]])</f>
        <v>0</v>
      </c>
      <c r="S215" s="3">
        <f>+PRODUCTOS[[#This Row],[CANT. COMPRADA]]-PRODUCTOS[[#This Row],[DEVOLUCIONES]]</f>
        <v>85</v>
      </c>
      <c r="T215" s="3">
        <f>+IFERROR(PRODUCTOS[[#This Row],[CANTIDAD RECIBIDA]]/PRODUCTOS[[#This Row],[CANT X MODULO]],"")</f>
        <v>40.476190476190467</v>
      </c>
      <c r="U215" s="3">
        <f>+SUMIFS(DETALLE_GD_1[VALOR TOTAL POR ITEM GD],DETALLE_GD_1[CODIGO],PRODUCTOS[[#This Row],[CODIGO]])</f>
        <v>4410352</v>
      </c>
      <c r="V215" s="3">
        <f>+IFERROR(PRODUCTOS[[#This Row],[PRECIO DE COMPRA]]/PRODUCTOS[[#This Row],[CANT. COMPRADA]],"")</f>
        <v>51886.49411764706</v>
      </c>
      <c r="W215" s="3">
        <f>+IFERROR(PRODUCTOS[[#This Row],[PRECIO COMPRA UNITARIO]]*PRODUCTOS[[#This Row],[PPTO FALTANTE]],"")</f>
        <v>72298640.903529435</v>
      </c>
      <c r="X215" s="7">
        <f>+IFERROR(PRODUCTOS[[#This Row],[PROYECCION COMPRA]]/PRODUCTOS[[#This Row],[PPTO TOTAL]]-1,"")</f>
        <v>-7.5901332635025964E-2</v>
      </c>
      <c r="Y215" s="3">
        <f>+IFERROR((PRODUCTOS[[#This Row],[CANT X MODULO]]*704)-PRODUCTOS[[#This Row],[CANT. COMPRADA]],"")</f>
        <v>1393.4000000000003</v>
      </c>
      <c r="Z215" s="17">
        <f>+IFERROR(PRODUCTOS[[#This Row],[CANT. COMPRADA]]/PRODUCTOS[[#This Row],[PPTO FALTANTE]],"")</f>
        <v>6.1001865939428725E-2</v>
      </c>
      <c r="AA215" s="3">
        <f>+IFERROR(PRODUCTOS[[#This Row],[PROYECCION COMPRA]]-(PRODUCTOS[[#This Row],[PPTO FALTANTE]]*PRODUCTOS[[#This Row],[PPTO]]),"")</f>
        <v>-1440087.0964705795</v>
      </c>
      <c r="AB215" s="3">
        <f>+_xlfn.XLOOKUP(PRODUCTOS[[#This Row],[CODIGO]],DETALLE_GD_1[CODIGO],DETALLE_GD_1[VALOR PPTO],"",0)</f>
        <v>51873</v>
      </c>
      <c r="AC215" s="3">
        <f>+AB215-PRODUCTOS[[#This Row],[PPTO_ACTUALIZADO]]</f>
        <v>0</v>
      </c>
    </row>
    <row r="216" spans="1:29" hidden="1" x14ac:dyDescent="0.25">
      <c r="A216">
        <v>2508987</v>
      </c>
      <c r="B216" t="s">
        <v>305</v>
      </c>
      <c r="C216" t="s">
        <v>643</v>
      </c>
      <c r="D216" t="s">
        <v>244</v>
      </c>
      <c r="E216" t="s">
        <v>408</v>
      </c>
      <c r="F216" s="2">
        <v>145847</v>
      </c>
      <c r="G216" s="6" t="s">
        <v>90</v>
      </c>
      <c r="H216" s="2">
        <v>145847</v>
      </c>
      <c r="I216" t="b">
        <v>1</v>
      </c>
      <c r="J216" t="str">
        <f>+_xlfn.XLOOKUP(PRODUCTOS[[#This Row],[CODIGO]],P_CRITICOS[CODIGO],P_CRITICOS[DESC CORTA],"",0)</f>
        <v/>
      </c>
      <c r="K216" t="str">
        <f>+IFERROR(IF(VLOOKUP(PRODUCTOS[[#This Row],[CODIGO]],P_CRITICOS[],3,0)="*","PRODUCTO CRITICO","NO CRITICO"),"NO CRITICO")</f>
        <v>NO CRITICO</v>
      </c>
      <c r="L216" s="15">
        <f>+_xlfn.XLOOKUP(PRODUCTOS[[#This Row],[CODIGO]],BD_MODULO[Artículo],BD_MODULO[CUB_ACTUALIZADA],"",0)</f>
        <v>0.52500000000000002</v>
      </c>
      <c r="M216" s="2">
        <f>+IFERROR(PRODUCTOS[[#This Row],[PPTO]]*PRODUCTOS[[#This Row],[CANT X MODULO]],"")</f>
        <v>76569.675000000003</v>
      </c>
      <c r="N216" s="2">
        <f>+IFERROR(PRODUCTOS[[#This Row],[PPTO X MODULO]]*32,"")</f>
        <v>2450229.6</v>
      </c>
      <c r="O216" s="2">
        <f>+IFERROR(PRODUCTOS[[#This Row],[PPTO X TORRE]]*22,"")</f>
        <v>53905051.200000003</v>
      </c>
      <c r="P216" s="3">
        <f>+IFERROR(PRODUCTOS[[#This Row],[CANT X MODULO]]*702,"")</f>
        <v>368.55</v>
      </c>
      <c r="Q216" s="3">
        <f>+SUMIFS(DETALLE_GD_1[CANTIDAD SOLICITADA],DETALLE_GD_1[CODIGO],PRODUCTOS[[#This Row],[CODIGO]])</f>
        <v>19</v>
      </c>
      <c r="R216" s="3">
        <f>+SUMIFS(DETALLE_GD_1[DEVOLUCIÓN],DETALLE_GD_1[CODIGO],PRODUCTOS[[#This Row],[CODIGO]])</f>
        <v>0</v>
      </c>
      <c r="S216" s="3">
        <f>+PRODUCTOS[[#This Row],[CANT. COMPRADA]]-PRODUCTOS[[#This Row],[DEVOLUCIONES]]</f>
        <v>19</v>
      </c>
      <c r="T216" s="3">
        <f>+IFERROR(PRODUCTOS[[#This Row],[CANTIDAD RECIBIDA]]/PRODUCTOS[[#This Row],[CANT X MODULO]],"")</f>
        <v>36.19047619047619</v>
      </c>
      <c r="U216" s="3">
        <f>+SUMIFS(DETALLE_GD_1[VALOR TOTAL POR ITEM GD],DETALLE_GD_1[CODIGO],PRODUCTOS[[#This Row],[CODIGO]])</f>
        <v>2714731</v>
      </c>
      <c r="V216" s="3">
        <f>+IFERROR(PRODUCTOS[[#This Row],[PRECIO DE COMPRA]]/PRODUCTOS[[#This Row],[CANT. COMPRADA]],"")</f>
        <v>142880.57894736843</v>
      </c>
      <c r="W216" s="3">
        <f>+IFERROR(PRODUCTOS[[#This Row],[PRECIO COMPRA UNITARIO]]*PRODUCTOS[[#This Row],[PPTO FALTANTE]],"")</f>
        <v>50093930.978947371</v>
      </c>
      <c r="X216" s="7">
        <f>+IFERROR(PRODUCTOS[[#This Row],[PROYECCION COMPRA]]/PRODUCTOS[[#This Row],[PPTO TOTAL]]-1,"")</f>
        <v>-7.0700614065136613E-2</v>
      </c>
      <c r="Y216" s="3">
        <f>+IFERROR((PRODUCTOS[[#This Row],[CANT X MODULO]]*704)-PRODUCTOS[[#This Row],[CANT. COMPRADA]],"")</f>
        <v>350.6</v>
      </c>
      <c r="Z216" s="17">
        <f>+IFERROR(PRODUCTOS[[#This Row],[CANT. COMPRADA]]/PRODUCTOS[[#This Row],[PPTO FALTANTE]],"")</f>
        <v>5.4192812321734167E-2</v>
      </c>
      <c r="AA216" s="3">
        <f>+IFERROR(PRODUCTOS[[#This Row],[PROYECCION COMPRA]]-(PRODUCTOS[[#This Row],[PPTO FALTANTE]]*PRODUCTOS[[#This Row],[PPTO]]),"")</f>
        <v>-1040027.2210526317</v>
      </c>
      <c r="AB216" s="3">
        <f>+_xlfn.XLOOKUP(PRODUCTOS[[#This Row],[CODIGO]],DETALLE_GD_1[CODIGO],DETALLE_GD_1[VALOR PPTO],"",0)</f>
        <v>145847</v>
      </c>
      <c r="AC216" s="3">
        <f>+AB216-PRODUCTOS[[#This Row],[PPTO_ACTUALIZADO]]</f>
        <v>0</v>
      </c>
    </row>
    <row r="217" spans="1:29" hidden="1" x14ac:dyDescent="0.25">
      <c r="A217">
        <v>412249</v>
      </c>
      <c r="B217" t="s">
        <v>33</v>
      </c>
      <c r="C217">
        <v>0</v>
      </c>
      <c r="D217" t="s">
        <v>240</v>
      </c>
      <c r="E217" t="s">
        <v>399</v>
      </c>
      <c r="F217" s="2">
        <v>1719.7190700000001</v>
      </c>
      <c r="G217" s="6" t="s">
        <v>355</v>
      </c>
      <c r="H217" s="2">
        <v>1719.7190700000001</v>
      </c>
      <c r="I217" t="b">
        <v>1</v>
      </c>
      <c r="J217" t="str">
        <f>+_xlfn.XLOOKUP(PRODUCTOS[[#This Row],[CODIGO]],P_CRITICOS[CODIGO],P_CRITICOS[DESC CORTA],"",0)</f>
        <v/>
      </c>
      <c r="K217" t="str">
        <f>+IFERROR(IF(VLOOKUP(PRODUCTOS[[#This Row],[CODIGO]],P_CRITICOS[],3,0)="*","PRODUCTO CRITICO","NO CRITICO"),"NO CRITICO")</f>
        <v>NO CRITICO</v>
      </c>
      <c r="L217" s="15">
        <f>+_xlfn.XLOOKUP(PRODUCTOS[[#This Row],[CODIGO]],BD_MODULO[Artículo],BD_MODULO[CUB_ACTUALIZADA],"",0)</f>
        <v>22.05</v>
      </c>
      <c r="M217" s="2">
        <f>+IFERROR(PRODUCTOS[[#This Row],[PPTO]]*PRODUCTOS[[#This Row],[CANT X MODULO]],"")</f>
        <v>37919.805493500004</v>
      </c>
      <c r="N217" s="2">
        <f>+IFERROR(PRODUCTOS[[#This Row],[PPTO X MODULO]]*32,"")</f>
        <v>1213433.7757920001</v>
      </c>
      <c r="O217" s="2">
        <f>+IFERROR(PRODUCTOS[[#This Row],[PPTO X TORRE]]*22,"")</f>
        <v>26695543.067424003</v>
      </c>
      <c r="P217" s="3">
        <f>+IFERROR(PRODUCTOS[[#This Row],[CANT X MODULO]]*702,"")</f>
        <v>15479.1</v>
      </c>
      <c r="Q217" s="3">
        <f>+SUMIFS(DETALLE_GD_1[CANTIDAD SOLICITADA],DETALLE_GD_1[CODIGO],PRODUCTOS[[#This Row],[CODIGO]])</f>
        <v>772</v>
      </c>
      <c r="R217" s="3">
        <f>+SUMIFS(DETALLE_GD_1[DEVOLUCIÓN],DETALLE_GD_1[CODIGO],PRODUCTOS[[#This Row],[CODIGO]])</f>
        <v>0</v>
      </c>
      <c r="S217" s="3">
        <f>+PRODUCTOS[[#This Row],[CANT. COMPRADA]]-PRODUCTOS[[#This Row],[DEVOLUCIONES]]</f>
        <v>772</v>
      </c>
      <c r="T217" s="3">
        <f>+IFERROR(PRODUCTOS[[#This Row],[CANTIDAD RECIBIDA]]/PRODUCTOS[[#This Row],[CANT X MODULO]],"")</f>
        <v>35.011337868480723</v>
      </c>
      <c r="U217" s="3">
        <f>+SUMIFS(DETALLE_GD_1[VALOR TOTAL POR ITEM GD],DETALLE_GD_1[CODIGO],PRODUCTOS[[#This Row],[CODIGO]])</f>
        <v>1327730</v>
      </c>
      <c r="V217" s="3">
        <f>+IFERROR(PRODUCTOS[[#This Row],[PRECIO DE COMPRA]]/PRODUCTOS[[#This Row],[CANT. COMPRADA]],"")</f>
        <v>1719.8575129533679</v>
      </c>
      <c r="W217" s="3">
        <f>+IFERROR(PRODUCTOS[[#This Row],[PRECIO COMPRA UNITARIO]]*PRODUCTOS[[#This Row],[PPTO FALTANTE]],"")</f>
        <v>25369962.14507772</v>
      </c>
      <c r="X217" s="7">
        <f>+IFERROR(PRODUCTOS[[#This Row],[PROYECCION COMPRA]]/PRODUCTOS[[#This Row],[PPTO TOTAL]]-1,"")</f>
        <v>-4.9655514368009301E-2</v>
      </c>
      <c r="Y217" s="3">
        <f>+IFERROR((PRODUCTOS[[#This Row],[CANT X MODULO]]*704)-PRODUCTOS[[#This Row],[CANT. COMPRADA]],"")</f>
        <v>14751.2</v>
      </c>
      <c r="Z217" s="17">
        <f>+IFERROR(PRODUCTOS[[#This Row],[CANT. COMPRADA]]/PRODUCTOS[[#This Row],[PPTO FALTANTE]],"")</f>
        <v>5.2334725310483214E-2</v>
      </c>
      <c r="AA217" s="3">
        <f>+IFERROR(PRODUCTOS[[#This Row],[PROYECCION COMPRA]]-(PRODUCTOS[[#This Row],[PPTO FALTANTE]]*PRODUCTOS[[#This Row],[PPTO]]),"")</f>
        <v>2042.1996937170625</v>
      </c>
      <c r="AB217" s="3">
        <f>+_xlfn.XLOOKUP(PRODUCTOS[[#This Row],[CODIGO]],DETALLE_GD_1[CODIGO],DETALLE_GD_1[VALOR PPTO],"",0)</f>
        <v>1719.7191</v>
      </c>
      <c r="AC217" s="3">
        <f>+AB217-PRODUCTOS[[#This Row],[PPTO_ACTUALIZADO]]</f>
        <v>2.9999999924257281E-5</v>
      </c>
    </row>
    <row r="218" spans="1:29" hidden="1" x14ac:dyDescent="0.25">
      <c r="A218">
        <v>1802164</v>
      </c>
      <c r="B218" t="s">
        <v>306</v>
      </c>
      <c r="C218">
        <v>0</v>
      </c>
      <c r="D218" t="s">
        <v>244</v>
      </c>
      <c r="E218">
        <v>0</v>
      </c>
      <c r="F218" s="2">
        <v>138041</v>
      </c>
      <c r="G218" s="6" t="s">
        <v>31</v>
      </c>
      <c r="H218" s="2">
        <v>138041</v>
      </c>
      <c r="I218" t="b">
        <v>1</v>
      </c>
      <c r="J218" t="str">
        <f>+_xlfn.XLOOKUP(PRODUCTOS[[#This Row],[CODIGO]],P_CRITICOS[CODIGO],P_CRITICOS[DESC CORTA],"",0)</f>
        <v/>
      </c>
      <c r="K218" t="str">
        <f>+IFERROR(IF(VLOOKUP(PRODUCTOS[[#This Row],[CODIGO]],P_CRITICOS[],3,0)="*","PRODUCTO CRITICO","NO CRITICO"),"NO CRITICO")</f>
        <v>NO CRITICO</v>
      </c>
      <c r="L218" s="15">
        <f>+_xlfn.XLOOKUP(PRODUCTOS[[#This Row],[CODIGO]],BD_MODULO[Artículo],BD_MODULO[CUB_ACTUALIZADA],"",0)</f>
        <v>0.52500000000000002</v>
      </c>
      <c r="M218" s="2">
        <f>+IFERROR(PRODUCTOS[[#This Row],[PPTO]]*PRODUCTOS[[#This Row],[CANT X MODULO]],"")</f>
        <v>72471.525000000009</v>
      </c>
      <c r="N218" s="2">
        <f>+IFERROR(PRODUCTOS[[#This Row],[PPTO X MODULO]]*32,"")</f>
        <v>2319088.8000000003</v>
      </c>
      <c r="O218" s="2">
        <f>+IFERROR(PRODUCTOS[[#This Row],[PPTO X TORRE]]*22,"")</f>
        <v>51019953.600000009</v>
      </c>
      <c r="P218" s="3">
        <f>+IFERROR(PRODUCTOS[[#This Row],[CANT X MODULO]]*702,"")</f>
        <v>368.55</v>
      </c>
      <c r="Q218" s="3">
        <f>+SUMIFS(DETALLE_GD_1[CANTIDAD SOLICITADA],DETALLE_GD_1[CODIGO],PRODUCTOS[[#This Row],[CODIGO]])</f>
        <v>17</v>
      </c>
      <c r="R218" s="3">
        <f>+SUMIFS(DETALLE_GD_1[DEVOLUCIÓN],DETALLE_GD_1[CODIGO],PRODUCTOS[[#This Row],[CODIGO]])</f>
        <v>0</v>
      </c>
      <c r="S218" s="3">
        <f>+PRODUCTOS[[#This Row],[CANT. COMPRADA]]-PRODUCTOS[[#This Row],[DEVOLUCIONES]]</f>
        <v>17</v>
      </c>
      <c r="T218" s="3">
        <f>+IFERROR(PRODUCTOS[[#This Row],[CANTIDAD RECIBIDA]]/PRODUCTOS[[#This Row],[CANT X MODULO]],"")</f>
        <v>32.38095238095238</v>
      </c>
      <c r="U218" s="3">
        <f>+SUMIFS(DETALLE_GD_1[VALOR TOTAL POR ITEM GD],DETALLE_GD_1[CODIGO],PRODUCTOS[[#This Row],[CODIGO]])</f>
        <v>2346697</v>
      </c>
      <c r="V218" s="3">
        <f>+IFERROR(PRODUCTOS[[#This Row],[PRECIO DE COMPRA]]/PRODUCTOS[[#This Row],[CANT. COMPRADA]],"")</f>
        <v>138041</v>
      </c>
      <c r="W218" s="3">
        <f>+IFERROR(PRODUCTOS[[#This Row],[PRECIO COMPRA UNITARIO]]*PRODUCTOS[[#This Row],[PPTO FALTANTE]],"")</f>
        <v>48673256.600000001</v>
      </c>
      <c r="X218" s="7">
        <f>+IFERROR(PRODUCTOS[[#This Row],[PROYECCION COMPRA]]/PRODUCTOS[[#This Row],[PPTO TOTAL]]-1,"")</f>
        <v>-4.5995670995671145E-2</v>
      </c>
      <c r="Y218" s="3">
        <f>+IFERROR((PRODUCTOS[[#This Row],[CANT X MODULO]]*704)-PRODUCTOS[[#This Row],[CANT. COMPRADA]],"")</f>
        <v>352.6</v>
      </c>
      <c r="Z218" s="17">
        <f>+IFERROR(PRODUCTOS[[#This Row],[CANT. COMPRADA]]/PRODUCTOS[[#This Row],[PPTO FALTANTE]],"")</f>
        <v>4.821327283040272E-2</v>
      </c>
      <c r="AA218" s="3">
        <f>+IFERROR(PRODUCTOS[[#This Row],[PROYECCION COMPRA]]-(PRODUCTOS[[#This Row],[PPTO FALTANTE]]*PRODUCTOS[[#This Row],[PPTO]]),"")</f>
        <v>0</v>
      </c>
      <c r="AB218" s="3">
        <f>+_xlfn.XLOOKUP(PRODUCTOS[[#This Row],[CODIGO]],DETALLE_GD_1[CODIGO],DETALLE_GD_1[VALOR PPTO],"",0)</f>
        <v>138041</v>
      </c>
      <c r="AC218" s="3">
        <f>+AB218-PRODUCTOS[[#This Row],[PPTO_ACTUALIZADO]]</f>
        <v>0</v>
      </c>
    </row>
    <row r="219" spans="1:29" hidden="1" x14ac:dyDescent="0.25">
      <c r="A219">
        <v>2508169</v>
      </c>
      <c r="B219" t="s">
        <v>307</v>
      </c>
      <c r="C219">
        <v>0</v>
      </c>
      <c r="D219" t="s">
        <v>244</v>
      </c>
      <c r="E219">
        <v>0</v>
      </c>
      <c r="F219" s="2">
        <v>13952</v>
      </c>
      <c r="G219" s="6" t="s">
        <v>31</v>
      </c>
      <c r="H219" s="2">
        <v>13952</v>
      </c>
      <c r="I219" t="b">
        <v>1</v>
      </c>
      <c r="J219" t="str">
        <f>+_xlfn.XLOOKUP(PRODUCTOS[[#This Row],[CODIGO]],P_CRITICOS[CODIGO],P_CRITICOS[DESC CORTA],"",0)</f>
        <v/>
      </c>
      <c r="K219" t="str">
        <f>+IFERROR(IF(VLOOKUP(PRODUCTOS[[#This Row],[CODIGO]],P_CRITICOS[],3,0)="*","PRODUCTO CRITICO","NO CRITICO"),"NO CRITICO")</f>
        <v>NO CRITICO</v>
      </c>
      <c r="L219" s="15">
        <f>+_xlfn.XLOOKUP(PRODUCTOS[[#This Row],[CODIGO]],BD_MODULO[Artículo],BD_MODULO[CUB_ACTUALIZADA],"",0)</f>
        <v>0.52500000000000002</v>
      </c>
      <c r="M219" s="2">
        <f>+IFERROR(PRODUCTOS[[#This Row],[PPTO]]*PRODUCTOS[[#This Row],[CANT X MODULO]],"")</f>
        <v>7324.8</v>
      </c>
      <c r="N219" s="2">
        <f>+IFERROR(PRODUCTOS[[#This Row],[PPTO X MODULO]]*32,"")</f>
        <v>234393.60000000001</v>
      </c>
      <c r="O219" s="2">
        <f>+IFERROR(PRODUCTOS[[#This Row],[PPTO X TORRE]]*22,"")</f>
        <v>5156659.2000000002</v>
      </c>
      <c r="P219" s="3">
        <f>+IFERROR(PRODUCTOS[[#This Row],[CANT X MODULO]]*702,"")</f>
        <v>368.55</v>
      </c>
      <c r="Q219" s="3">
        <f>+SUMIFS(DETALLE_GD_1[CANTIDAD SOLICITADA],DETALLE_GD_1[CODIGO],PRODUCTOS[[#This Row],[CODIGO]])</f>
        <v>17</v>
      </c>
      <c r="R219" s="3">
        <f>+SUMIFS(DETALLE_GD_1[DEVOLUCIÓN],DETALLE_GD_1[CODIGO],PRODUCTOS[[#This Row],[CODIGO]])</f>
        <v>0</v>
      </c>
      <c r="S219" s="3">
        <f>+PRODUCTOS[[#This Row],[CANT. COMPRADA]]-PRODUCTOS[[#This Row],[DEVOLUCIONES]]</f>
        <v>17</v>
      </c>
      <c r="T219" s="3">
        <f>+IFERROR(PRODUCTOS[[#This Row],[CANTIDAD RECIBIDA]]/PRODUCTOS[[#This Row],[CANT X MODULO]],"")</f>
        <v>32.38095238095238</v>
      </c>
      <c r="U219" s="3">
        <f>+SUMIFS(DETALLE_GD_1[VALOR TOTAL POR ITEM GD],DETALLE_GD_1[CODIGO],PRODUCTOS[[#This Row],[CODIGO]])</f>
        <v>237184</v>
      </c>
      <c r="V219" s="3">
        <f>+IFERROR(PRODUCTOS[[#This Row],[PRECIO DE COMPRA]]/PRODUCTOS[[#This Row],[CANT. COMPRADA]],"")</f>
        <v>13952</v>
      </c>
      <c r="W219" s="3">
        <f>+IFERROR(PRODUCTOS[[#This Row],[PRECIO COMPRA UNITARIO]]*PRODUCTOS[[#This Row],[PPTO FALTANTE]],"")</f>
        <v>4919475.2</v>
      </c>
      <c r="X219" s="7">
        <f>+IFERROR(PRODUCTOS[[#This Row],[PROYECCION COMPRA]]/PRODUCTOS[[#This Row],[PPTO TOTAL]]-1,"")</f>
        <v>-4.5995670995671034E-2</v>
      </c>
      <c r="Y219" s="3">
        <f>+IFERROR((PRODUCTOS[[#This Row],[CANT X MODULO]]*704)-PRODUCTOS[[#This Row],[CANT. COMPRADA]],"")</f>
        <v>352.6</v>
      </c>
      <c r="Z219" s="17">
        <f>+IFERROR(PRODUCTOS[[#This Row],[CANT. COMPRADA]]/PRODUCTOS[[#This Row],[PPTO FALTANTE]],"")</f>
        <v>4.821327283040272E-2</v>
      </c>
      <c r="AA219" s="3">
        <f>+IFERROR(PRODUCTOS[[#This Row],[PROYECCION COMPRA]]-(PRODUCTOS[[#This Row],[PPTO FALTANTE]]*PRODUCTOS[[#This Row],[PPTO]]),"")</f>
        <v>0</v>
      </c>
      <c r="AB219" s="3">
        <f>+_xlfn.XLOOKUP(PRODUCTOS[[#This Row],[CODIGO]],DETALLE_GD_1[CODIGO],DETALLE_GD_1[VALOR PPTO],"",0)</f>
        <v>13952</v>
      </c>
      <c r="AC219" s="3">
        <f>+AB219-PRODUCTOS[[#This Row],[PPTO_ACTUALIZADO]]</f>
        <v>0</v>
      </c>
    </row>
    <row r="220" spans="1:29" hidden="1" x14ac:dyDescent="0.25">
      <c r="A220">
        <v>1405039</v>
      </c>
      <c r="B220" t="s">
        <v>314</v>
      </c>
      <c r="C220" t="s">
        <v>672</v>
      </c>
      <c r="D220" t="s">
        <v>244</v>
      </c>
      <c r="E220" t="s">
        <v>408</v>
      </c>
      <c r="F220" s="2">
        <v>17998</v>
      </c>
      <c r="G220" s="6" t="s">
        <v>31</v>
      </c>
      <c r="H220" s="2">
        <v>7596</v>
      </c>
      <c r="I220" t="b">
        <v>0</v>
      </c>
      <c r="J220" t="str">
        <f>+_xlfn.XLOOKUP(PRODUCTOS[[#This Row],[CODIGO]],P_CRITICOS[CODIGO],P_CRITICOS[DESC CORTA],"",0)</f>
        <v/>
      </c>
      <c r="K220" t="str">
        <f>+IFERROR(IF(VLOOKUP(PRODUCTOS[[#This Row],[CODIGO]],P_CRITICOS[],3,0)="*","PRODUCTO CRITICO","NO CRITICO"),"NO CRITICO")</f>
        <v>NO CRITICO</v>
      </c>
      <c r="L220" s="15">
        <f>+_xlfn.XLOOKUP(PRODUCTOS[[#This Row],[CODIGO]],BD_MODULO[Artículo],BD_MODULO[CUB_ACTUALIZADA],"",0)</f>
        <v>1.5750000000000002</v>
      </c>
      <c r="M220" s="2">
        <f>+IFERROR(PRODUCTOS[[#This Row],[PPTO]]*PRODUCTOS[[#This Row],[CANT X MODULO]],"")</f>
        <v>28346.850000000002</v>
      </c>
      <c r="N220" s="2">
        <f>+IFERROR(PRODUCTOS[[#This Row],[PPTO X MODULO]]*32,"")</f>
        <v>907099.20000000007</v>
      </c>
      <c r="O220" s="2">
        <f>+IFERROR(PRODUCTOS[[#This Row],[PPTO X TORRE]]*22,"")</f>
        <v>19956182.400000002</v>
      </c>
      <c r="P220" s="3">
        <f>+IFERROR(PRODUCTOS[[#This Row],[CANT X MODULO]]*702,"")</f>
        <v>1105.6500000000001</v>
      </c>
      <c r="Q220" s="3">
        <f>+SUMIFS(DETALLE_GD_1[CANTIDAD SOLICITADA],DETALLE_GD_1[CODIGO],PRODUCTOS[[#This Row],[CODIGO]])</f>
        <v>51</v>
      </c>
      <c r="R220" s="3">
        <f>+SUMIFS(DETALLE_GD_1[DEVOLUCIÓN],DETALLE_GD_1[CODIGO],PRODUCTOS[[#This Row],[CODIGO]])</f>
        <v>0</v>
      </c>
      <c r="S220" s="3">
        <f>+PRODUCTOS[[#This Row],[CANT. COMPRADA]]-PRODUCTOS[[#This Row],[DEVOLUCIONES]]</f>
        <v>51</v>
      </c>
      <c r="T220" s="3">
        <f>+IFERROR(PRODUCTOS[[#This Row],[CANTIDAD RECIBIDA]]/PRODUCTOS[[#This Row],[CANT X MODULO]],"")</f>
        <v>32.38095238095238</v>
      </c>
      <c r="U220" s="3">
        <f>+SUMIFS(DETALLE_GD_1[VALOR TOTAL POR ITEM GD],DETALLE_GD_1[CODIGO],PRODUCTOS[[#This Row],[CODIGO]])</f>
        <v>388902</v>
      </c>
      <c r="V220" s="3">
        <f>+IFERROR(PRODUCTOS[[#This Row],[PRECIO DE COMPRA]]/PRODUCTOS[[#This Row],[CANT. COMPRADA]],"")</f>
        <v>7625.5294117647063</v>
      </c>
      <c r="W220" s="3">
        <f>+IFERROR(PRODUCTOS[[#This Row],[PRECIO COMPRA UNITARIO]]*PRODUCTOS[[#This Row],[PPTO FALTANTE]],"")</f>
        <v>8066285.011764708</v>
      </c>
      <c r="X220" s="7">
        <f>+IFERROR(PRODUCTOS[[#This Row],[PROYECCION COMPRA]]/PRODUCTOS[[#This Row],[PPTO TOTAL]]-1,"")</f>
        <v>-0.59580019614549595</v>
      </c>
      <c r="Y220" s="3">
        <f>+IFERROR((PRODUCTOS[[#This Row],[CANT X MODULO]]*704)-PRODUCTOS[[#This Row],[CANT. COMPRADA]],"")</f>
        <v>1057.8000000000002</v>
      </c>
      <c r="Z220" s="17">
        <f>+IFERROR(PRODUCTOS[[#This Row],[CANT. COMPRADA]]/PRODUCTOS[[#This Row],[PPTO FALTANTE]],"")</f>
        <v>4.8213272830402713E-2</v>
      </c>
      <c r="AA220" s="3">
        <f>+IFERROR(PRODUCTOS[[#This Row],[PROYECCION COMPRA]]-(PRODUCTOS[[#This Row],[PPTO FALTANTE]]*PRODUCTOS[[#This Row],[PPTO]]),"")</f>
        <v>-10971999.388235293</v>
      </c>
      <c r="AB220" s="3">
        <f>+_xlfn.XLOOKUP(PRODUCTOS[[#This Row],[CODIGO]],DETALLE_GD_1[CODIGO],DETALLE_GD_1[VALOR PPTO],"",0)</f>
        <v>7596</v>
      </c>
      <c r="AC220" s="3">
        <f>+AB220-PRODUCTOS[[#This Row],[PPTO_ACTUALIZADO]]</f>
        <v>0</v>
      </c>
    </row>
    <row r="221" spans="1:29" hidden="1" x14ac:dyDescent="0.25">
      <c r="A221">
        <v>404793</v>
      </c>
      <c r="B221" t="s">
        <v>483</v>
      </c>
      <c r="C221" t="s">
        <v>680</v>
      </c>
      <c r="D221" t="s">
        <v>355</v>
      </c>
      <c r="E221" t="s">
        <v>355</v>
      </c>
      <c r="G221" s="6" t="s">
        <v>355</v>
      </c>
      <c r="H221" s="2">
        <v>3400</v>
      </c>
      <c r="I221" t="b">
        <v>0</v>
      </c>
      <c r="J221" t="str">
        <f>+_xlfn.XLOOKUP(PRODUCTOS[[#This Row],[CODIGO]],P_CRITICOS[CODIGO],P_CRITICOS[DESC CORTA],"",0)</f>
        <v/>
      </c>
      <c r="K221" t="str">
        <f>+IFERROR(IF(VLOOKUP(PRODUCTOS[[#This Row],[CODIGO]],P_CRITICOS[],3,0)="*","PRODUCTO CRITICO","NO CRITICO"),"NO CRITICO")</f>
        <v>NO CRITICO</v>
      </c>
      <c r="L221" s="15">
        <f>+_xlfn.XLOOKUP(PRODUCTOS[[#This Row],[CODIGO]],BD_MODULO[Artículo],BD_MODULO[CUB_ACTUALIZADA],"",0)</f>
        <v>0.52500000000000002</v>
      </c>
      <c r="M221" s="2">
        <f>+IFERROR(PRODUCTOS[[#This Row],[PPTO]]*PRODUCTOS[[#This Row],[CANT X MODULO]],"")</f>
        <v>0</v>
      </c>
      <c r="N221" s="2">
        <f>+IFERROR(PRODUCTOS[[#This Row],[PPTO X MODULO]]*32,"")</f>
        <v>0</v>
      </c>
      <c r="O221" s="2">
        <f>+IFERROR(PRODUCTOS[[#This Row],[PPTO X TORRE]]*22,"")</f>
        <v>0</v>
      </c>
      <c r="P221" s="3">
        <f>+IFERROR(PRODUCTOS[[#This Row],[CANT X MODULO]]*702,"")</f>
        <v>368.55</v>
      </c>
      <c r="Q221" s="3">
        <f>+SUMIFS(DETALLE_GD_1[CANTIDAD SOLICITADA],DETALLE_GD_1[CODIGO],PRODUCTOS[[#This Row],[CODIGO]])</f>
        <v>17</v>
      </c>
      <c r="R221" s="3">
        <f>+SUMIFS(DETALLE_GD_1[DEVOLUCIÓN],DETALLE_GD_1[CODIGO],PRODUCTOS[[#This Row],[CODIGO]])</f>
        <v>0</v>
      </c>
      <c r="S221" s="3">
        <f>+PRODUCTOS[[#This Row],[CANT. COMPRADA]]-PRODUCTOS[[#This Row],[DEVOLUCIONES]]</f>
        <v>17</v>
      </c>
      <c r="T221" s="3">
        <f>+IFERROR(PRODUCTOS[[#This Row],[CANTIDAD RECIBIDA]]/PRODUCTOS[[#This Row],[CANT X MODULO]],"")</f>
        <v>32.38095238095238</v>
      </c>
      <c r="U221" s="3">
        <f>+SUMIFS(DETALLE_GD_1[VALOR TOTAL POR ITEM GD],DETALLE_GD_1[CODIGO],PRODUCTOS[[#This Row],[CODIGO]])</f>
        <v>57800</v>
      </c>
      <c r="V221" s="3">
        <f>+IFERROR(PRODUCTOS[[#This Row],[PRECIO DE COMPRA]]/PRODUCTOS[[#This Row],[CANT. COMPRADA]],"")</f>
        <v>3400</v>
      </c>
      <c r="W221" s="3">
        <f>+IFERROR(PRODUCTOS[[#This Row],[PRECIO COMPRA UNITARIO]]*PRODUCTOS[[#This Row],[PPTO FALTANTE]],"")</f>
        <v>1198840</v>
      </c>
      <c r="X221" s="7" t="str">
        <f>+IFERROR(PRODUCTOS[[#This Row],[PROYECCION COMPRA]]/PRODUCTOS[[#This Row],[PPTO TOTAL]]-1,"")</f>
        <v/>
      </c>
      <c r="Y221" s="3">
        <f>+IFERROR((PRODUCTOS[[#This Row],[CANT X MODULO]]*704)-PRODUCTOS[[#This Row],[CANT. COMPRADA]],"")</f>
        <v>352.6</v>
      </c>
      <c r="Z221" s="17">
        <f>+IFERROR(PRODUCTOS[[#This Row],[CANT. COMPRADA]]/PRODUCTOS[[#This Row],[PPTO FALTANTE]],"")</f>
        <v>4.821327283040272E-2</v>
      </c>
      <c r="AA221" s="3">
        <f>+IFERROR(PRODUCTOS[[#This Row],[PROYECCION COMPRA]]-(PRODUCTOS[[#This Row],[PPTO FALTANTE]]*PRODUCTOS[[#This Row],[PPTO]]),"")</f>
        <v>1198840</v>
      </c>
      <c r="AB221" s="3">
        <f>+_xlfn.XLOOKUP(PRODUCTOS[[#This Row],[CODIGO]],DETALLE_GD_1[CODIGO],DETALLE_GD_1[VALOR PPTO],"",0)</f>
        <v>13713.2695</v>
      </c>
      <c r="AC221" s="3">
        <f>+AB221-PRODUCTOS[[#This Row],[PPTO_ACTUALIZADO]]</f>
        <v>10313.2695</v>
      </c>
    </row>
    <row r="222" spans="1:29" hidden="1" x14ac:dyDescent="0.25">
      <c r="A222">
        <v>5316509</v>
      </c>
      <c r="B222" t="s">
        <v>56</v>
      </c>
      <c r="C222" t="s">
        <v>579</v>
      </c>
      <c r="D222" t="s">
        <v>258</v>
      </c>
      <c r="E222" t="s">
        <v>405</v>
      </c>
      <c r="F222" s="2">
        <v>15433.333333</v>
      </c>
      <c r="G222" s="6" t="s">
        <v>31</v>
      </c>
      <c r="H222" s="2">
        <v>15433.333333</v>
      </c>
      <c r="I222" t="b">
        <v>1</v>
      </c>
      <c r="J222" t="str">
        <f>+_xlfn.XLOOKUP(PRODUCTOS[[#This Row],[CODIGO]],P_CRITICOS[CODIGO],P_CRITICOS[DESC CORTA],"",0)</f>
        <v/>
      </c>
      <c r="K222" t="str">
        <f>+IFERROR(IF(VLOOKUP(PRODUCTOS[[#This Row],[CODIGO]],P_CRITICOS[],3,0)="*","PRODUCTO CRITICO","NO CRITICO"),"NO CRITICO")</f>
        <v>NO CRITICO</v>
      </c>
      <c r="L222" s="15">
        <f>+_xlfn.XLOOKUP(PRODUCTOS[[#This Row],[CODIGO]],BD_MODULO[Artículo],BD_MODULO[CUB_ACTUALIZADA],"",0)</f>
        <v>0.52500000000000002</v>
      </c>
      <c r="M222" s="2">
        <f>+IFERROR(PRODUCTOS[[#This Row],[PPTO]]*PRODUCTOS[[#This Row],[CANT X MODULO]],"")</f>
        <v>8102.4999998250005</v>
      </c>
      <c r="N222" s="2">
        <f>+IFERROR(PRODUCTOS[[#This Row],[PPTO X MODULO]]*32,"")</f>
        <v>259279.99999440002</v>
      </c>
      <c r="O222" s="2">
        <f>+IFERROR(PRODUCTOS[[#This Row],[PPTO X TORRE]]*22,"")</f>
        <v>5704159.9998768</v>
      </c>
      <c r="P222" s="3">
        <f>+IFERROR(PRODUCTOS[[#This Row],[CANT X MODULO]]*702,"")</f>
        <v>368.55</v>
      </c>
      <c r="Q222" s="3">
        <f>+SUMIFS(DETALLE_GD_1[CANTIDAD SOLICITADA],DETALLE_GD_1[CODIGO],PRODUCTOS[[#This Row],[CODIGO]])</f>
        <v>16</v>
      </c>
      <c r="R222" s="3">
        <f>+SUMIFS(DETALLE_GD_1[DEVOLUCIÓN],DETALLE_GD_1[CODIGO],PRODUCTOS[[#This Row],[CODIGO]])</f>
        <v>0</v>
      </c>
      <c r="S222" s="3">
        <f>+PRODUCTOS[[#This Row],[CANT. COMPRADA]]-PRODUCTOS[[#This Row],[DEVOLUCIONES]]</f>
        <v>16</v>
      </c>
      <c r="T222" s="3">
        <f>+IFERROR(PRODUCTOS[[#This Row],[CANTIDAD RECIBIDA]]/PRODUCTOS[[#This Row],[CANT X MODULO]],"")</f>
        <v>30.476190476190474</v>
      </c>
      <c r="U222" s="3">
        <f>+SUMIFS(DETALLE_GD_1[VALOR TOTAL POR ITEM GD],DETALLE_GD_1[CODIGO],PRODUCTOS[[#This Row],[CODIGO]])</f>
        <v>233849</v>
      </c>
      <c r="V222" s="3">
        <f>+IFERROR(PRODUCTOS[[#This Row],[PRECIO DE COMPRA]]/PRODUCTOS[[#This Row],[CANT. COMPRADA]],"")</f>
        <v>14615.5625</v>
      </c>
      <c r="W222" s="3">
        <f>+IFERROR(PRODUCTOS[[#This Row],[PRECIO COMPRA UNITARIO]]*PRODUCTOS[[#This Row],[PPTO FALTANTE]],"")</f>
        <v>5168062.9000000004</v>
      </c>
      <c r="X222" s="7">
        <f>+IFERROR(PRODUCTOS[[#This Row],[PROYECCION COMPRA]]/PRODUCTOS[[#This Row],[PPTO TOTAL]]-1,"")</f>
        <v>-9.3983531297926137E-2</v>
      </c>
      <c r="Y222" s="3">
        <f>+IFERROR((PRODUCTOS[[#This Row],[CANT X MODULO]]*704)-PRODUCTOS[[#This Row],[CANT. COMPRADA]],"")</f>
        <v>353.6</v>
      </c>
      <c r="Z222" s="17">
        <f>+IFERROR(PRODUCTOS[[#This Row],[CANT. COMPRADA]]/PRODUCTOS[[#This Row],[PPTO FALTANTE]],"")</f>
        <v>4.5248868778280542E-2</v>
      </c>
      <c r="AA222" s="3">
        <f>+IFERROR(PRODUCTOS[[#This Row],[PROYECCION COMPRA]]-(PRODUCTOS[[#This Row],[PPTO FALTANTE]]*PRODUCTOS[[#This Row],[PPTO]]),"")</f>
        <v>-289163.76654880028</v>
      </c>
      <c r="AB222" s="3">
        <f>+_xlfn.XLOOKUP(PRODUCTOS[[#This Row],[CODIGO]],DETALLE_GD_1[CODIGO],DETALLE_GD_1[VALOR PPTO],"",0)</f>
        <v>15433.3333</v>
      </c>
      <c r="AC222" s="3">
        <f>+AB222-PRODUCTOS[[#This Row],[PPTO_ACTUALIZADO]]</f>
        <v>-3.3000000257743523E-5</v>
      </c>
    </row>
    <row r="223" spans="1:29" hidden="1" x14ac:dyDescent="0.25">
      <c r="A223">
        <v>410083</v>
      </c>
      <c r="B223" t="s">
        <v>501</v>
      </c>
      <c r="C223" t="s">
        <v>691</v>
      </c>
      <c r="D223" t="s">
        <v>355</v>
      </c>
      <c r="E223" t="s">
        <v>355</v>
      </c>
      <c r="F223" s="2">
        <v>5167.95</v>
      </c>
      <c r="G223" s="6" t="s">
        <v>355</v>
      </c>
      <c r="H223" s="2">
        <v>5168</v>
      </c>
      <c r="I223" t="b">
        <v>0</v>
      </c>
      <c r="J223" t="str">
        <f>+_xlfn.XLOOKUP(PRODUCTOS[[#This Row],[CODIGO]],P_CRITICOS[CODIGO],P_CRITICOS[DESC CORTA],"",0)</f>
        <v/>
      </c>
      <c r="K223" t="str">
        <f>+IFERROR(IF(VLOOKUP(PRODUCTOS[[#This Row],[CODIGO]],P_CRITICOS[],3,0)="*","PRODUCTO CRITICO","NO CRITICO"),"NO CRITICO")</f>
        <v>NO CRITICO</v>
      </c>
      <c r="L223" s="15">
        <f>+_xlfn.XLOOKUP(PRODUCTOS[[#This Row],[CODIGO]],BD_MODULO[Artículo],BD_MODULO[CUB_ACTUALIZADA],"",0)</f>
        <v>1.05</v>
      </c>
      <c r="M223" s="2">
        <f>+IFERROR(PRODUCTOS[[#This Row],[PPTO]]*PRODUCTOS[[#This Row],[CANT X MODULO]],"")</f>
        <v>5426.3474999999999</v>
      </c>
      <c r="N223" s="2">
        <f>+IFERROR(PRODUCTOS[[#This Row],[PPTO X MODULO]]*32,"")</f>
        <v>173643.12</v>
      </c>
      <c r="O223" s="2">
        <f>+IFERROR(PRODUCTOS[[#This Row],[PPTO X TORRE]]*22,"")</f>
        <v>3820148.6399999997</v>
      </c>
      <c r="P223" s="3">
        <f>+IFERROR(PRODUCTOS[[#This Row],[CANT X MODULO]]*702,"")</f>
        <v>737.1</v>
      </c>
      <c r="Q223" s="3">
        <f>+SUMIFS(DETALLE_GD_1[CANTIDAD SOLICITADA],DETALLE_GD_1[CODIGO],PRODUCTOS[[#This Row],[CODIGO]])</f>
        <v>32</v>
      </c>
      <c r="R223" s="3">
        <f>+SUMIFS(DETALLE_GD_1[DEVOLUCIÓN],DETALLE_GD_1[CODIGO],PRODUCTOS[[#This Row],[CODIGO]])</f>
        <v>0</v>
      </c>
      <c r="S223" s="3">
        <f>+PRODUCTOS[[#This Row],[CANT. COMPRADA]]-PRODUCTOS[[#This Row],[DEVOLUCIONES]]</f>
        <v>32</v>
      </c>
      <c r="T223" s="3">
        <f>+IFERROR(PRODUCTOS[[#This Row],[CANTIDAD RECIBIDA]]/PRODUCTOS[[#This Row],[CANT X MODULO]],"")</f>
        <v>30.476190476190474</v>
      </c>
      <c r="U223" s="3">
        <f>+SUMIFS(DETALLE_GD_1[VALOR TOTAL POR ITEM GD],DETALLE_GD_1[CODIGO],PRODUCTOS[[#This Row],[CODIGO]])</f>
        <v>157741</v>
      </c>
      <c r="V223" s="3">
        <f>+IFERROR(PRODUCTOS[[#This Row],[PRECIO DE COMPRA]]/PRODUCTOS[[#This Row],[CANT. COMPRADA]],"")</f>
        <v>4929.40625</v>
      </c>
      <c r="W223" s="3">
        <f>+IFERROR(PRODUCTOS[[#This Row],[PRECIO COMPRA UNITARIO]]*PRODUCTOS[[#This Row],[PPTO FALTANTE]],"")</f>
        <v>3486076.1</v>
      </c>
      <c r="X223" s="7">
        <f>+IFERROR(PRODUCTOS[[#This Row],[PROYECCION COMPRA]]/PRODUCTOS[[#This Row],[PPTO TOTAL]]-1,"")</f>
        <v>-8.745014173061072E-2</v>
      </c>
      <c r="Y223" s="3">
        <f>+IFERROR((PRODUCTOS[[#This Row],[CANT X MODULO]]*704)-PRODUCTOS[[#This Row],[CANT. COMPRADA]],"")</f>
        <v>707.2</v>
      </c>
      <c r="Z223" s="17">
        <f>+IFERROR(PRODUCTOS[[#This Row],[CANT. COMPRADA]]/PRODUCTOS[[#This Row],[PPTO FALTANTE]],"")</f>
        <v>4.5248868778280542E-2</v>
      </c>
      <c r="AA223" s="3">
        <f>+IFERROR(PRODUCTOS[[#This Row],[PROYECCION COMPRA]]-(PRODUCTOS[[#This Row],[PPTO FALTANTE]]*PRODUCTOS[[#This Row],[PPTO]]),"")</f>
        <v>-168698.14000000013</v>
      </c>
      <c r="AB223" s="3">
        <f>+_xlfn.XLOOKUP(PRODUCTOS[[#This Row],[CODIGO]],DETALLE_GD_1[CODIGO],DETALLE_GD_1[VALOR PPTO],"",0)</f>
        <v>5168</v>
      </c>
      <c r="AC223" s="3">
        <f>+AB223-PRODUCTOS[[#This Row],[PPTO_ACTUALIZADO]]</f>
        <v>0</v>
      </c>
    </row>
    <row r="224" spans="1:29" x14ac:dyDescent="0.25">
      <c r="A224">
        <v>302044</v>
      </c>
      <c r="B224" t="s">
        <v>247</v>
      </c>
      <c r="C224" t="s">
        <v>536</v>
      </c>
      <c r="D224" t="s">
        <v>240</v>
      </c>
      <c r="E224" t="s">
        <v>403</v>
      </c>
      <c r="F224" s="2">
        <v>13725.962534</v>
      </c>
      <c r="G224" s="6" t="s">
        <v>20</v>
      </c>
      <c r="H224" s="2">
        <v>13725.962534</v>
      </c>
      <c r="I224" t="b">
        <v>1</v>
      </c>
      <c r="J224" t="str">
        <f>+_xlfn.XLOOKUP(PRODUCTOS[[#This Row],[CODIGO]],P_CRITICOS[CODIGO],P_CRITICOS[DESC CORTA],"",0)</f>
        <v>PINO 2X8X4</v>
      </c>
      <c r="K224" t="str">
        <f>+IFERROR(IF(VLOOKUP(PRODUCTOS[[#This Row],[CODIGO]],P_CRITICOS[],3,0)="*","PRODUCTO CRITICO","NO CRITICO"),"NO CRITICO")</f>
        <v>PRODUCTO CRITICO</v>
      </c>
      <c r="L224" s="15">
        <f>+_xlfn.XLOOKUP(PRODUCTOS[[#This Row],[CODIGO]],BD_MODULO[Artículo],BD_MODULO[CUB_ACTUALIZADA],"",0)</f>
        <v>35.174999999999997</v>
      </c>
      <c r="M224" s="2">
        <f>+IFERROR(PRODUCTOS[[#This Row],[PPTO]]*PRODUCTOS[[#This Row],[CANT X MODULO]],"")</f>
        <v>482810.73213344999</v>
      </c>
      <c r="N224" s="2">
        <f>+IFERROR(PRODUCTOS[[#This Row],[PPTO X MODULO]]*32,"")</f>
        <v>15449943.4282704</v>
      </c>
      <c r="O224" s="2">
        <f>+IFERROR(PRODUCTOS[[#This Row],[PPTO X TORRE]]*22,"")</f>
        <v>339898755.42194879</v>
      </c>
      <c r="P224" s="3">
        <f>+IFERROR(PRODUCTOS[[#This Row],[CANT X MODULO]]*702,"")</f>
        <v>24692.85</v>
      </c>
      <c r="Q224" s="3">
        <f>+SUMIFS(DETALLE_GD_1[CANTIDAD SOLICITADA],DETALLE_GD_1[CODIGO],PRODUCTOS[[#This Row],[CODIGO]])</f>
        <v>1004</v>
      </c>
      <c r="R224" s="3">
        <f>+SUMIFS(DETALLE_GD_1[DEVOLUCIÓN],DETALLE_GD_1[CODIGO],PRODUCTOS[[#This Row],[CODIGO]])</f>
        <v>0</v>
      </c>
      <c r="S224" s="3">
        <f>+PRODUCTOS[[#This Row],[CANT. COMPRADA]]-PRODUCTOS[[#This Row],[DEVOLUCIONES]]</f>
        <v>1004</v>
      </c>
      <c r="T224" s="3">
        <f>+IFERROR(PRODUCTOS[[#This Row],[CANTIDAD RECIBIDA]]/PRODUCTOS[[#This Row],[CANT X MODULO]],"")</f>
        <v>28.54299928926795</v>
      </c>
      <c r="U224" s="3">
        <f>+SUMIFS(DETALLE_GD_1[VALOR TOTAL POR ITEM GD],DETALLE_GD_1[CODIGO],PRODUCTOS[[#This Row],[CODIGO]])</f>
        <v>13839790</v>
      </c>
      <c r="V224" s="3">
        <f>+IFERROR(PRODUCTOS[[#This Row],[PRECIO DE COMPRA]]/PRODUCTOS[[#This Row],[CANT. COMPRADA]],"")</f>
        <v>13784.651394422312</v>
      </c>
      <c r="W224" s="3">
        <f>+IFERROR(PRODUCTOS[[#This Row],[PRECIO COMPRA UNITARIO]]*PRODUCTOS[[#This Row],[PPTO FALTANTE]],"")</f>
        <v>327512289.41035855</v>
      </c>
      <c r="X224" s="7">
        <f>+IFERROR(PRODUCTOS[[#This Row],[PROYECCION COMPRA]]/PRODUCTOS[[#This Row],[PPTO TOTAL]]-1,"")</f>
        <v>-3.6441633910114568E-2</v>
      </c>
      <c r="Y224" s="3">
        <f>+IFERROR((PRODUCTOS[[#This Row],[CANT X MODULO]]*704)-PRODUCTOS[[#This Row],[CANT. COMPRADA]],"")</f>
        <v>23759.199999999997</v>
      </c>
      <c r="Z224" s="17">
        <f>+IFERROR(PRODUCTOS[[#This Row],[CANT. COMPRADA]]/PRODUCTOS[[#This Row],[PPTO FALTANTE]],"")</f>
        <v>4.2257315061113174E-2</v>
      </c>
      <c r="AA224" s="3">
        <f>+IFERROR(PRODUCTOS[[#This Row],[PROYECCION COMPRA]]-(PRODUCTOS[[#This Row],[PPTO FALTANTE]]*PRODUCTOS[[#This Row],[PPTO]]),"")</f>
        <v>1394400.3725457788</v>
      </c>
      <c r="AB224" s="3">
        <f>+_xlfn.XLOOKUP(PRODUCTOS[[#This Row],[CODIGO]],DETALLE_GD_1[CODIGO],DETALLE_GD_1[VALOR PPTO],"",0)</f>
        <v>13725.9625</v>
      </c>
      <c r="AC224" s="3">
        <f>+AB224-PRODUCTOS[[#This Row],[PPTO_ACTUALIZADO]]</f>
        <v>-3.4000000596279278E-5</v>
      </c>
    </row>
    <row r="225" spans="1:29" hidden="1" x14ac:dyDescent="0.25">
      <c r="A225">
        <v>704023</v>
      </c>
      <c r="B225" t="s">
        <v>331</v>
      </c>
      <c r="C225" t="s">
        <v>671</v>
      </c>
      <c r="D225" t="s">
        <v>240</v>
      </c>
      <c r="E225" t="s">
        <v>402</v>
      </c>
      <c r="F225" s="2">
        <v>324</v>
      </c>
      <c r="G225" s="6" t="s">
        <v>31</v>
      </c>
      <c r="H225" s="2">
        <v>324</v>
      </c>
      <c r="I225" t="b">
        <v>1</v>
      </c>
      <c r="J225" t="str">
        <f>+_xlfn.XLOOKUP(PRODUCTOS[[#This Row],[CODIGO]],P_CRITICOS[CODIGO],P_CRITICOS[DESC CORTA],"",0)</f>
        <v/>
      </c>
      <c r="K225" t="str">
        <f>+IFERROR(IF(VLOOKUP(PRODUCTOS[[#This Row],[CODIGO]],P_CRITICOS[],3,0)="*","PRODUCTO CRITICO","NO CRITICO"),"NO CRITICO")</f>
        <v>NO CRITICO</v>
      </c>
      <c r="L225" s="15">
        <f>+_xlfn.XLOOKUP(PRODUCTOS[[#This Row],[CODIGO]],BD_MODULO[Artículo],BD_MODULO[CUB_ACTUALIZADA],"",0)</f>
        <v>23.625</v>
      </c>
      <c r="M225" s="2">
        <f>+IFERROR(PRODUCTOS[[#This Row],[PPTO]]*PRODUCTOS[[#This Row],[CANT X MODULO]],"")</f>
        <v>7654.5</v>
      </c>
      <c r="N225" s="2">
        <f>+IFERROR(PRODUCTOS[[#This Row],[PPTO X MODULO]]*32,"")</f>
        <v>244944</v>
      </c>
      <c r="O225" s="2">
        <f>+IFERROR(PRODUCTOS[[#This Row],[PPTO X TORRE]]*22,"")</f>
        <v>5388768</v>
      </c>
      <c r="P225" s="3">
        <f>+IFERROR(PRODUCTOS[[#This Row],[CANT X MODULO]]*702,"")</f>
        <v>16584.75</v>
      </c>
      <c r="Q225" s="3">
        <f>+SUMIFS(DETALLE_GD_1[CANTIDAD SOLICITADA],DETALLE_GD_1[CODIGO],PRODUCTOS[[#This Row],[CODIGO]])</f>
        <v>640</v>
      </c>
      <c r="R225" s="3">
        <f>+SUMIFS(DETALLE_GD_1[DEVOLUCIÓN],DETALLE_GD_1[CODIGO],PRODUCTOS[[#This Row],[CODIGO]])</f>
        <v>0</v>
      </c>
      <c r="S225" s="3">
        <f>+PRODUCTOS[[#This Row],[CANT. COMPRADA]]-PRODUCTOS[[#This Row],[DEVOLUCIONES]]</f>
        <v>640</v>
      </c>
      <c r="T225" s="3">
        <f>+IFERROR(PRODUCTOS[[#This Row],[CANTIDAD RECIBIDA]]/PRODUCTOS[[#This Row],[CANT X MODULO]],"")</f>
        <v>27.089947089947088</v>
      </c>
      <c r="U225" s="3">
        <f>+SUMIFS(DETALLE_GD_1[VALOR TOTAL POR ITEM GD],DETALLE_GD_1[CODIGO],PRODUCTOS[[#This Row],[CODIGO]])</f>
        <v>207360</v>
      </c>
      <c r="V225" s="3">
        <f>+IFERROR(PRODUCTOS[[#This Row],[PRECIO DE COMPRA]]/PRODUCTOS[[#This Row],[CANT. COMPRADA]],"")</f>
        <v>324</v>
      </c>
      <c r="W225" s="3">
        <f>+IFERROR(PRODUCTOS[[#This Row],[PRECIO COMPRA UNITARIO]]*PRODUCTOS[[#This Row],[PPTO FALTANTE]],"")</f>
        <v>5181408</v>
      </c>
      <c r="X225" s="7">
        <f>+IFERROR(PRODUCTOS[[#This Row],[PROYECCION COMPRA]]/PRODUCTOS[[#This Row],[PPTO TOTAL]]-1,"")</f>
        <v>-3.8480038480038448E-2</v>
      </c>
      <c r="Y225" s="3">
        <f>+IFERROR((PRODUCTOS[[#This Row],[CANT X MODULO]]*704)-PRODUCTOS[[#This Row],[CANT. COMPRADA]],"")</f>
        <v>15992</v>
      </c>
      <c r="Z225" s="17">
        <f>+IFERROR(PRODUCTOS[[#This Row],[CANT. COMPRADA]]/PRODUCTOS[[#This Row],[PPTO FALTANTE]],"")</f>
        <v>4.00200100050025E-2</v>
      </c>
      <c r="AA225" s="3">
        <f>+IFERROR(PRODUCTOS[[#This Row],[PROYECCION COMPRA]]-(PRODUCTOS[[#This Row],[PPTO FALTANTE]]*PRODUCTOS[[#This Row],[PPTO]]),"")</f>
        <v>0</v>
      </c>
      <c r="AB225" s="3">
        <f>+_xlfn.XLOOKUP(PRODUCTOS[[#This Row],[CODIGO]],DETALLE_GD_1[CODIGO],DETALLE_GD_1[VALOR PPTO],"",0)</f>
        <v>324</v>
      </c>
      <c r="AC225" s="3">
        <f>+AB225-PRODUCTOS[[#This Row],[PPTO_ACTUALIZADO]]</f>
        <v>0</v>
      </c>
    </row>
    <row r="226" spans="1:29" hidden="1" x14ac:dyDescent="0.25">
      <c r="A226">
        <v>602257</v>
      </c>
      <c r="B226" t="s">
        <v>496</v>
      </c>
      <c r="C226" t="s">
        <v>688</v>
      </c>
      <c r="D226" t="s">
        <v>355</v>
      </c>
      <c r="E226" t="s">
        <v>355</v>
      </c>
      <c r="G226" s="6" t="s">
        <v>355</v>
      </c>
      <c r="H226" s="2">
        <v>118000</v>
      </c>
      <c r="I226" t="b">
        <v>0</v>
      </c>
      <c r="J226" t="str">
        <f>+_xlfn.XLOOKUP(PRODUCTOS[[#This Row],[CODIGO]],P_CRITICOS[CODIGO],P_CRITICOS[DESC CORTA],"",0)</f>
        <v/>
      </c>
      <c r="K226" t="str">
        <f>+IFERROR(IF(VLOOKUP(PRODUCTOS[[#This Row],[CODIGO]],P_CRITICOS[],3,0)="*","PRODUCTO CRITICO","NO CRITICO"),"NO CRITICO")</f>
        <v>NO CRITICO</v>
      </c>
      <c r="L226" s="15">
        <f>+_xlfn.XLOOKUP(PRODUCTOS[[#This Row],[CODIGO]],BD_MODULO[Artículo],BD_MODULO[CUB_ACTUALIZADA],"",0)</f>
        <v>0.18637500000000001</v>
      </c>
      <c r="M226" s="2">
        <f>+IFERROR(PRODUCTOS[[#This Row],[PPTO]]*PRODUCTOS[[#This Row],[CANT X MODULO]],"")</f>
        <v>0</v>
      </c>
      <c r="N226" s="2">
        <f>+IFERROR(PRODUCTOS[[#This Row],[PPTO X MODULO]]*32,"")</f>
        <v>0</v>
      </c>
      <c r="O226" s="2">
        <f>+IFERROR(PRODUCTOS[[#This Row],[PPTO X TORRE]]*22,"")</f>
        <v>0</v>
      </c>
      <c r="P226" s="3">
        <f>+IFERROR(PRODUCTOS[[#This Row],[CANT X MODULO]]*702,"")</f>
        <v>130.83525</v>
      </c>
      <c r="Q226" s="3">
        <f>+SUMIFS(DETALLE_GD_1[CANTIDAD SOLICITADA],DETALLE_GD_1[CODIGO],PRODUCTOS[[#This Row],[CODIGO]])</f>
        <v>4</v>
      </c>
      <c r="R226" s="3">
        <f>+SUMIFS(DETALLE_GD_1[DEVOLUCIÓN],DETALLE_GD_1[CODIGO],PRODUCTOS[[#This Row],[CODIGO]])</f>
        <v>0</v>
      </c>
      <c r="S226" s="3">
        <f>+PRODUCTOS[[#This Row],[CANT. COMPRADA]]-PRODUCTOS[[#This Row],[DEVOLUCIONES]]</f>
        <v>4</v>
      </c>
      <c r="T226" s="3">
        <f>+IFERROR(PRODUCTOS[[#This Row],[CANTIDAD RECIBIDA]]/PRODUCTOS[[#This Row],[CANT X MODULO]],"")</f>
        <v>21.462105969148222</v>
      </c>
      <c r="U226" s="3">
        <f>+SUMIFS(DETALLE_GD_1[VALOR TOTAL POR ITEM GD],DETALLE_GD_1[CODIGO],PRODUCTOS[[#This Row],[CODIGO]])</f>
        <v>472000</v>
      </c>
      <c r="V226" s="3">
        <f>+IFERROR(PRODUCTOS[[#This Row],[PRECIO DE COMPRA]]/PRODUCTOS[[#This Row],[CANT. COMPRADA]],"")</f>
        <v>118000</v>
      </c>
      <c r="W226" s="3">
        <f>+IFERROR(PRODUCTOS[[#This Row],[PRECIO COMPRA UNITARIO]]*PRODUCTOS[[#This Row],[PPTO FALTANTE]],"")</f>
        <v>15010544</v>
      </c>
      <c r="X226" s="7" t="str">
        <f>+IFERROR(PRODUCTOS[[#This Row],[PROYECCION COMPRA]]/PRODUCTOS[[#This Row],[PPTO TOTAL]]-1,"")</f>
        <v/>
      </c>
      <c r="Y226" s="3">
        <f>+IFERROR((PRODUCTOS[[#This Row],[CANT X MODULO]]*704)-PRODUCTOS[[#This Row],[CANT. COMPRADA]],"")</f>
        <v>127.208</v>
      </c>
      <c r="Z226" s="17">
        <f>+IFERROR(PRODUCTOS[[#This Row],[CANT. COMPRADA]]/PRODUCTOS[[#This Row],[PPTO FALTANTE]],"")</f>
        <v>3.1444563235016668E-2</v>
      </c>
      <c r="AA226" s="3">
        <f>+IFERROR(PRODUCTOS[[#This Row],[PROYECCION COMPRA]]-(PRODUCTOS[[#This Row],[PPTO FALTANTE]]*PRODUCTOS[[#This Row],[PPTO]]),"")</f>
        <v>15010544</v>
      </c>
      <c r="AB226" s="3">
        <f>+_xlfn.XLOOKUP(PRODUCTOS[[#This Row],[CODIGO]],DETALLE_GD_1[CODIGO],DETALLE_GD_1[VALOR PPTO],"",0)</f>
        <v>118000</v>
      </c>
      <c r="AC226" s="3">
        <f>+AB226-PRODUCTOS[[#This Row],[PPTO_ACTUALIZADO]]</f>
        <v>0</v>
      </c>
    </row>
    <row r="227" spans="1:29" hidden="1" x14ac:dyDescent="0.25">
      <c r="A227">
        <v>106022</v>
      </c>
      <c r="B227" t="s">
        <v>245</v>
      </c>
      <c r="C227">
        <v>0</v>
      </c>
      <c r="D227" t="s">
        <v>240</v>
      </c>
      <c r="E227" t="s">
        <v>404</v>
      </c>
      <c r="F227" s="2">
        <v>3800.6910990000001</v>
      </c>
      <c r="G227" s="6" t="s">
        <v>31</v>
      </c>
      <c r="H227" s="2">
        <v>3800.6910990000006</v>
      </c>
      <c r="I227" t="b">
        <v>1</v>
      </c>
      <c r="J227" t="str">
        <f>+_xlfn.XLOOKUP(PRODUCTOS[[#This Row],[CODIGO]],P_CRITICOS[CODIGO],P_CRITICOS[DESC CORTA],"",0)</f>
        <v/>
      </c>
      <c r="K227" t="str">
        <f>+IFERROR(IF(VLOOKUP(PRODUCTOS[[#This Row],[CODIGO]],P_CRITICOS[],3,0)="*","PRODUCTO CRITICO","NO CRITICO"),"NO CRITICO")</f>
        <v>NO CRITICO</v>
      </c>
      <c r="L227" s="15">
        <f>+_xlfn.XLOOKUP(PRODUCTOS[[#This Row],[CODIGO]],BD_MODULO[Artículo],BD_MODULO[CUB_ACTUALIZADA],"",0)</f>
        <v>6.8249999999999984</v>
      </c>
      <c r="M227" s="2">
        <f>+IFERROR(PRODUCTOS[[#This Row],[PPTO]]*PRODUCTOS[[#This Row],[CANT X MODULO]],"")</f>
        <v>25939.716750674994</v>
      </c>
      <c r="N227" s="2">
        <f>+IFERROR(PRODUCTOS[[#This Row],[PPTO X MODULO]]*32,"")</f>
        <v>830070.9360215998</v>
      </c>
      <c r="O227" s="2">
        <f>+IFERROR(PRODUCTOS[[#This Row],[PPTO X TORRE]]*22,"")</f>
        <v>18261560.592475194</v>
      </c>
      <c r="P227" s="3">
        <f>+IFERROR(PRODUCTOS[[#This Row],[CANT X MODULO]]*702,"")</f>
        <v>4791.1499999999987</v>
      </c>
      <c r="Q227" s="3">
        <f>+SUMIFS(DETALLE_GD_1[CANTIDAD SOLICITADA],DETALLE_GD_1[CODIGO],PRODUCTOS[[#This Row],[CODIGO]])</f>
        <v>106</v>
      </c>
      <c r="R227" s="3">
        <f>+SUMIFS(DETALLE_GD_1[DEVOLUCIÓN],DETALLE_GD_1[CODIGO],PRODUCTOS[[#This Row],[CODIGO]])</f>
        <v>0</v>
      </c>
      <c r="S227" s="3">
        <f>+PRODUCTOS[[#This Row],[CANT. COMPRADA]]-PRODUCTOS[[#This Row],[DEVOLUCIONES]]</f>
        <v>106</v>
      </c>
      <c r="T227" s="3">
        <f>+IFERROR(PRODUCTOS[[#This Row],[CANTIDAD RECIBIDA]]/PRODUCTOS[[#This Row],[CANT X MODULO]],"")</f>
        <v>15.531135531135535</v>
      </c>
      <c r="U227" s="3">
        <f>+SUMIFS(DETALLE_GD_1[VALOR TOTAL POR ITEM GD],DETALLE_GD_1[CODIGO],PRODUCTOS[[#This Row],[CODIGO]])</f>
        <v>402823</v>
      </c>
      <c r="V227" s="3">
        <f>+IFERROR(PRODUCTOS[[#This Row],[PRECIO DE COMPRA]]/PRODUCTOS[[#This Row],[CANT. COMPRADA]],"")</f>
        <v>3800.2169811320755</v>
      </c>
      <c r="W227" s="3">
        <f>+IFERROR(PRODUCTOS[[#This Row],[PRECIO COMPRA UNITARIO]]*PRODUCTOS[[#This Row],[PPTO FALTANTE]],"")</f>
        <v>17856459.550943393</v>
      </c>
      <c r="X227" s="7">
        <f>+IFERROR(PRODUCTOS[[#This Row],[PROYECCION COMPRA]]/PRODUCTOS[[#This Row],[PPTO TOTAL]]-1,"")</f>
        <v>-2.2183265196881741E-2</v>
      </c>
      <c r="Y227" s="3">
        <f>+IFERROR((PRODUCTOS[[#This Row],[CANT X MODULO]]*704)-PRODUCTOS[[#This Row],[CANT. COMPRADA]],"")</f>
        <v>4698.7999999999993</v>
      </c>
      <c r="Z227" s="17">
        <f>+IFERROR(PRODUCTOS[[#This Row],[CANT. COMPRADA]]/PRODUCTOS[[#This Row],[PPTO FALTANTE]],"")</f>
        <v>2.2558951221588495E-2</v>
      </c>
      <c r="AA227" s="3">
        <f>+IFERROR(PRODUCTOS[[#This Row],[PROYECCION COMPRA]]-(PRODUCTOS[[#This Row],[PPTO FALTANTE]]*PRODUCTOS[[#This Row],[PPTO]]),"")</f>
        <v>-2227.785037804395</v>
      </c>
      <c r="AB227" s="3">
        <f>+_xlfn.XLOOKUP(PRODUCTOS[[#This Row],[CODIGO]],DETALLE_GD_1[CODIGO],DETALLE_GD_1[VALOR PPTO],"",0)</f>
        <v>3800.6911</v>
      </c>
      <c r="AC227" s="3">
        <f>+AB227-PRODUCTOS[[#This Row],[PPTO_ACTUALIZADO]]</f>
        <v>9.999994290410541E-7</v>
      </c>
    </row>
    <row r="228" spans="1:29" hidden="1" x14ac:dyDescent="0.25">
      <c r="A228" t="s">
        <v>82</v>
      </c>
      <c r="B228" t="s">
        <v>83</v>
      </c>
      <c r="C228" t="s">
        <v>533</v>
      </c>
      <c r="D228" t="s">
        <v>240</v>
      </c>
      <c r="E228" t="s">
        <v>399</v>
      </c>
      <c r="F228" s="2">
        <v>36939.818182000003</v>
      </c>
      <c r="G228" s="6" t="s">
        <v>36</v>
      </c>
      <c r="H228" s="2">
        <v>36939.818181999981</v>
      </c>
      <c r="I228" t="b">
        <v>1</v>
      </c>
      <c r="J228" t="str">
        <f>+_xlfn.XLOOKUP(PRODUCTOS[[#This Row],[CODIGO]],P_CRITICOS[CODIGO],P_CRITICOS[DESC CORTA],"",0)</f>
        <v>CLAVO R20</v>
      </c>
      <c r="K228" t="str">
        <f>+IFERROR(IF(VLOOKUP(PRODUCTOS[[#This Row],[CODIGO]],P_CRITICOS[],3,0)="*","PRODUCTO CRITICO","NO CRITICO"),"NO CRITICO")</f>
        <v>PRODUCTO CRITICO</v>
      </c>
      <c r="L228" s="15">
        <f>+_xlfn.XLOOKUP(PRODUCTOS[[#This Row],[CODIGO]],BD_MODULO[Artículo],BD_MODULO[CUB_ACTUALIZADA],"",0)</f>
        <v>3.4539749999999994</v>
      </c>
      <c r="M228" s="2">
        <f>+IFERROR(PRODUCTOS[[#This Row],[PPTO]]*PRODUCTOS[[#This Row],[CANT X MODULO]],"")</f>
        <v>127589.20850517343</v>
      </c>
      <c r="N228" s="2">
        <f>+IFERROR(PRODUCTOS[[#This Row],[PPTO X MODULO]]*32,"")</f>
        <v>4082854.6721655498</v>
      </c>
      <c r="O228" s="2">
        <f>+IFERROR(PRODUCTOS[[#This Row],[PPTO X TORRE]]*22,"")</f>
        <v>89822802.787642092</v>
      </c>
      <c r="P228" s="3">
        <f>+IFERROR(PRODUCTOS[[#This Row],[CANT X MODULO]]*702,"")</f>
        <v>2424.6904499999996</v>
      </c>
      <c r="Q228" s="3">
        <f>+SUMIFS(DETALLE_GD_1[CANTIDAD SOLICITADA],DETALLE_GD_1[CODIGO],PRODUCTOS[[#This Row],[CODIGO]])</f>
        <v>51</v>
      </c>
      <c r="R228" s="3">
        <f>+SUMIFS(DETALLE_GD_1[DEVOLUCIÓN],DETALLE_GD_1[CODIGO],PRODUCTOS[[#This Row],[CODIGO]])</f>
        <v>0</v>
      </c>
      <c r="S228" s="3">
        <f>+PRODUCTOS[[#This Row],[CANT. COMPRADA]]-PRODUCTOS[[#This Row],[DEVOLUCIONES]]</f>
        <v>51</v>
      </c>
      <c r="T228" s="3">
        <f>+IFERROR(PRODUCTOS[[#This Row],[CANTIDAD RECIBIDA]]/PRODUCTOS[[#This Row],[CANT X MODULO]],"")</f>
        <v>14.765596160945002</v>
      </c>
      <c r="U228" s="3">
        <f>+SUMIFS(DETALLE_GD_1[VALOR TOTAL POR ITEM GD],DETALLE_GD_1[CODIGO],PRODUCTOS[[#This Row],[CODIGO]])</f>
        <v>1874688</v>
      </c>
      <c r="V228" s="3">
        <f>+IFERROR(PRODUCTOS[[#This Row],[PRECIO DE COMPRA]]/PRODUCTOS[[#This Row],[CANT. COMPRADA]],"")</f>
        <v>36758.588235294119</v>
      </c>
      <c r="W228" s="3">
        <f>+IFERROR(PRODUCTOS[[#This Row],[PRECIO COMPRA UNITARIO]]*PRODUCTOS[[#This Row],[PPTO FALTANTE]],"")</f>
        <v>87507436.339199975</v>
      </c>
      <c r="X228" s="7">
        <f>+IFERROR(PRODUCTOS[[#This Row],[PROYECCION COMPRA]]/PRODUCTOS[[#This Row],[PPTO TOTAL]]-1,"")</f>
        <v>-2.5777045211070493E-2</v>
      </c>
      <c r="Y228" s="3">
        <f>+IFERROR((PRODUCTOS[[#This Row],[CANT X MODULO]]*704)-PRODUCTOS[[#This Row],[CANT. COMPRADA]],"")</f>
        <v>2380.5983999999994</v>
      </c>
      <c r="Z228" s="17">
        <f>+IFERROR(PRODUCTOS[[#This Row],[CANT. COMPRADA]]/PRODUCTOS[[#This Row],[PPTO FALTANTE]],"")</f>
        <v>2.1423185027764455E-2</v>
      </c>
      <c r="AA228" s="3">
        <f>+IFERROR(PRODUCTOS[[#This Row],[PROYECCION COMPRA]]-(PRODUCTOS[[#This Row],[PPTO FALTANTE]]*PRODUCTOS[[#This Row],[PPTO]]),"")</f>
        <v>-431435.72116011381</v>
      </c>
      <c r="AB228" s="3">
        <f>+_xlfn.XLOOKUP(PRODUCTOS[[#This Row],[CODIGO]],DETALLE_GD_1[CODIGO],DETALLE_GD_1[VALOR PPTO],"",0)</f>
        <v>36939.818200000002</v>
      </c>
      <c r="AC228" s="3">
        <f>+AB228-PRODUCTOS[[#This Row],[PPTO_ACTUALIZADO]]</f>
        <v>1.8000020645558834E-5</v>
      </c>
    </row>
    <row r="229" spans="1:29" hidden="1" x14ac:dyDescent="0.25">
      <c r="A229">
        <v>410078</v>
      </c>
      <c r="B229" t="s">
        <v>252</v>
      </c>
      <c r="C229">
        <v>0</v>
      </c>
      <c r="D229" t="s">
        <v>240</v>
      </c>
      <c r="E229" t="s">
        <v>399</v>
      </c>
      <c r="F229" s="2">
        <v>470.20120200000002</v>
      </c>
      <c r="G229" s="6" t="s">
        <v>31</v>
      </c>
      <c r="H229" s="2">
        <v>470.20120200000002</v>
      </c>
      <c r="I229" t="b">
        <v>1</v>
      </c>
      <c r="J229" t="str">
        <f>+_xlfn.XLOOKUP(PRODUCTOS[[#This Row],[CODIGO]],P_CRITICOS[CODIGO],P_CRITICOS[DESC CORTA],"",0)</f>
        <v/>
      </c>
      <c r="K229" t="str">
        <f>+IFERROR(IF(VLOOKUP(PRODUCTOS[[#This Row],[CODIGO]],P_CRITICOS[],3,0)="*","PRODUCTO CRITICO","NO CRITICO"),"NO CRITICO")</f>
        <v>NO CRITICO</v>
      </c>
      <c r="L229" s="15">
        <f>+_xlfn.XLOOKUP(PRODUCTOS[[#This Row],[CODIGO]],BD_MODULO[Artículo],BD_MODULO[CUB_ACTUALIZADA],"",0)</f>
        <v>8.4</v>
      </c>
      <c r="M229" s="2">
        <f>+IFERROR(PRODUCTOS[[#This Row],[PPTO]]*PRODUCTOS[[#This Row],[CANT X MODULO]],"")</f>
        <v>3949.6900968000004</v>
      </c>
      <c r="N229" s="2">
        <f>+IFERROR(PRODUCTOS[[#This Row],[PPTO X MODULO]]*32,"")</f>
        <v>126390.08309760001</v>
      </c>
      <c r="O229" s="2">
        <f>+IFERROR(PRODUCTOS[[#This Row],[PPTO X TORRE]]*22,"")</f>
        <v>2780581.8281472004</v>
      </c>
      <c r="P229" s="3">
        <f>+IFERROR(PRODUCTOS[[#This Row],[CANT X MODULO]]*702,"")</f>
        <v>5896.8</v>
      </c>
      <c r="Q229" s="3">
        <f>+SUMIFS(DETALLE_GD_1[CANTIDAD SOLICITADA],DETALLE_GD_1[CODIGO],PRODUCTOS[[#This Row],[CODIGO]])</f>
        <v>100</v>
      </c>
      <c r="R229" s="3">
        <f>+SUMIFS(DETALLE_GD_1[DEVOLUCIÓN],DETALLE_GD_1[CODIGO],PRODUCTOS[[#This Row],[CODIGO]])</f>
        <v>0</v>
      </c>
      <c r="S229" s="3">
        <f>+PRODUCTOS[[#This Row],[CANT. COMPRADA]]-PRODUCTOS[[#This Row],[DEVOLUCIONES]]</f>
        <v>100</v>
      </c>
      <c r="T229" s="3">
        <f>+IFERROR(PRODUCTOS[[#This Row],[CANTIDAD RECIBIDA]]/PRODUCTOS[[#This Row],[CANT X MODULO]],"")</f>
        <v>11.904761904761905</v>
      </c>
      <c r="U229" s="3">
        <f>+SUMIFS(DETALLE_GD_1[VALOR TOTAL POR ITEM GD],DETALLE_GD_1[CODIGO],PRODUCTOS[[#This Row],[CODIGO]])</f>
        <v>47020</v>
      </c>
      <c r="V229" s="3">
        <f>+IFERROR(PRODUCTOS[[#This Row],[PRECIO DE COMPRA]]/PRODUCTOS[[#This Row],[CANT. COMPRADA]],"")</f>
        <v>470.2</v>
      </c>
      <c r="W229" s="3">
        <f>+IFERROR(PRODUCTOS[[#This Row],[PRECIO COMPRA UNITARIO]]*PRODUCTOS[[#This Row],[PPTO FALTANTE]],"")</f>
        <v>2733554.72</v>
      </c>
      <c r="X229" s="7">
        <f>+IFERROR(PRODUCTOS[[#This Row],[PROYECCION COMPRA]]/PRODUCTOS[[#This Row],[PPTO TOTAL]]-1,"")</f>
        <v>-1.6912686284271672E-2</v>
      </c>
      <c r="Y229" s="3">
        <f>+IFERROR((PRODUCTOS[[#This Row],[CANT X MODULO]]*704)-PRODUCTOS[[#This Row],[CANT. COMPRADA]],"")</f>
        <v>5813.6</v>
      </c>
      <c r="Z229" s="17">
        <f>+IFERROR(PRODUCTOS[[#This Row],[CANT. COMPRADA]]/PRODUCTOS[[#This Row],[PPTO FALTANTE]],"")</f>
        <v>1.7201045823586072E-2</v>
      </c>
      <c r="AA229" s="3">
        <f>+IFERROR(PRODUCTOS[[#This Row],[PROYECCION COMPRA]]-(PRODUCTOS[[#This Row],[PPTO FALTANTE]]*PRODUCTOS[[#This Row],[PPTO]]),"")</f>
        <v>-6.9879471999593079</v>
      </c>
      <c r="AB229" s="3">
        <f>+_xlfn.XLOOKUP(PRODUCTOS[[#This Row],[CODIGO]],DETALLE_GD_1[CODIGO],DETALLE_GD_1[VALOR PPTO],"",0)</f>
        <v>470.20119999999997</v>
      </c>
      <c r="AC229" s="3">
        <f>+AB229-PRODUCTOS[[#This Row],[PPTO_ACTUALIZADO]]</f>
        <v>-2.0000000517939043E-6</v>
      </c>
    </row>
    <row r="230" spans="1:29" hidden="1" x14ac:dyDescent="0.25">
      <c r="A230">
        <v>2508985</v>
      </c>
      <c r="B230" t="s">
        <v>304</v>
      </c>
      <c r="C230" t="s">
        <v>642</v>
      </c>
      <c r="D230" t="s">
        <v>244</v>
      </c>
      <c r="E230" t="s">
        <v>408</v>
      </c>
      <c r="F230" s="2">
        <v>102622</v>
      </c>
      <c r="G230" s="6" t="s">
        <v>90</v>
      </c>
      <c r="H230" s="2">
        <v>102622</v>
      </c>
      <c r="I230" t="b">
        <v>1</v>
      </c>
      <c r="J230" t="str">
        <f>+_xlfn.XLOOKUP(PRODUCTOS[[#This Row],[CODIGO]],P_CRITICOS[CODIGO],P_CRITICOS[DESC CORTA],"",0)</f>
        <v/>
      </c>
      <c r="K230" t="str">
        <f>+IFERROR(IF(VLOOKUP(PRODUCTOS[[#This Row],[CODIGO]],P_CRITICOS[],3,0)="*","PRODUCTO CRITICO","NO CRITICO"),"NO CRITICO")</f>
        <v>NO CRITICO</v>
      </c>
      <c r="L230" s="15">
        <f>+_xlfn.XLOOKUP(PRODUCTOS[[#This Row],[CODIGO]],BD_MODULO[Artículo],BD_MODULO[CUB_ACTUALIZADA],"",0)</f>
        <v>0.52500000000000002</v>
      </c>
      <c r="M230" s="2">
        <f>+IFERROR(PRODUCTOS[[#This Row],[PPTO]]*PRODUCTOS[[#This Row],[CANT X MODULO]],"")</f>
        <v>53876.55</v>
      </c>
      <c r="N230" s="2">
        <f>+IFERROR(PRODUCTOS[[#This Row],[PPTO X MODULO]]*32,"")</f>
        <v>1724049.6</v>
      </c>
      <c r="O230" s="2">
        <f>+IFERROR(PRODUCTOS[[#This Row],[PPTO X TORRE]]*22,"")</f>
        <v>37929091.200000003</v>
      </c>
      <c r="P230" s="3">
        <f>+IFERROR(PRODUCTOS[[#This Row],[CANT X MODULO]]*702,"")</f>
        <v>368.55</v>
      </c>
      <c r="Q230" s="3">
        <f>+SUMIFS(DETALLE_GD_1[CANTIDAD SOLICITADA],DETALLE_GD_1[CODIGO],PRODUCTOS[[#This Row],[CODIGO]])</f>
        <v>5</v>
      </c>
      <c r="R230" s="3">
        <f>+SUMIFS(DETALLE_GD_1[DEVOLUCIÓN],DETALLE_GD_1[CODIGO],PRODUCTOS[[#This Row],[CODIGO]])</f>
        <v>0</v>
      </c>
      <c r="S230" s="3">
        <f>+PRODUCTOS[[#This Row],[CANT. COMPRADA]]-PRODUCTOS[[#This Row],[DEVOLUCIONES]]</f>
        <v>5</v>
      </c>
      <c r="T230" s="3">
        <f>+IFERROR(PRODUCTOS[[#This Row],[CANTIDAD RECIBIDA]]/PRODUCTOS[[#This Row],[CANT X MODULO]],"")</f>
        <v>9.5238095238095237</v>
      </c>
      <c r="U230" s="3">
        <f>+SUMIFS(DETALLE_GD_1[VALOR TOTAL POR ITEM GD],DETALLE_GD_1[CODIGO],PRODUCTOS[[#This Row],[CODIGO]])</f>
        <v>513110</v>
      </c>
      <c r="V230" s="3">
        <f>+IFERROR(PRODUCTOS[[#This Row],[PRECIO DE COMPRA]]/PRODUCTOS[[#This Row],[CANT. COMPRADA]],"")</f>
        <v>102622</v>
      </c>
      <c r="W230" s="3">
        <f>+IFERROR(PRODUCTOS[[#This Row],[PRECIO COMPRA UNITARIO]]*PRODUCTOS[[#This Row],[PPTO FALTANTE]],"")</f>
        <v>37415981.200000003</v>
      </c>
      <c r="X230" s="7">
        <f>+IFERROR(PRODUCTOS[[#This Row],[PROYECCION COMPRA]]/PRODUCTOS[[#This Row],[PPTO TOTAL]]-1,"")</f>
        <v>-1.35281385281385E-2</v>
      </c>
      <c r="Y230" s="3">
        <f>+IFERROR((PRODUCTOS[[#This Row],[CANT X MODULO]]*704)-PRODUCTOS[[#This Row],[CANT. COMPRADA]],"")</f>
        <v>364.6</v>
      </c>
      <c r="Z230" s="17">
        <f>+IFERROR(PRODUCTOS[[#This Row],[CANT. COMPRADA]]/PRODUCTOS[[#This Row],[PPTO FALTANTE]],"")</f>
        <v>1.3713658804168952E-2</v>
      </c>
      <c r="AA230" s="3">
        <f>+IFERROR(PRODUCTOS[[#This Row],[PROYECCION COMPRA]]-(PRODUCTOS[[#This Row],[PPTO FALTANTE]]*PRODUCTOS[[#This Row],[PPTO]]),"")</f>
        <v>0</v>
      </c>
      <c r="AB230" s="3">
        <f>+_xlfn.XLOOKUP(PRODUCTOS[[#This Row],[CODIGO]],DETALLE_GD_1[CODIGO],DETALLE_GD_1[VALOR PPTO],"",0)</f>
        <v>102622</v>
      </c>
      <c r="AC230" s="3">
        <f>+AB230-PRODUCTOS[[#This Row],[PPTO_ACTUALIZADO]]</f>
        <v>0</v>
      </c>
    </row>
    <row r="231" spans="1:29" hidden="1" x14ac:dyDescent="0.25">
      <c r="A231">
        <v>1802177</v>
      </c>
      <c r="B231" t="s">
        <v>270</v>
      </c>
      <c r="C231" t="s">
        <v>649</v>
      </c>
      <c r="D231" t="s">
        <v>258</v>
      </c>
      <c r="E231" t="s">
        <v>406</v>
      </c>
      <c r="F231" s="2">
        <v>1471.135135</v>
      </c>
      <c r="G231" s="6" t="s">
        <v>31</v>
      </c>
      <c r="H231" s="2">
        <v>1471</v>
      </c>
      <c r="I231" t="b">
        <v>0</v>
      </c>
      <c r="J231" t="str">
        <f>+_xlfn.XLOOKUP(PRODUCTOS[[#This Row],[CODIGO]],P_CRITICOS[CODIGO],P_CRITICOS[DESC CORTA],"",0)</f>
        <v/>
      </c>
      <c r="K231" t="str">
        <f>+IFERROR(IF(VLOOKUP(PRODUCTOS[[#This Row],[CODIGO]],P_CRITICOS[],3,0)="*","PRODUCTO CRITICO","NO CRITICO"),"NO CRITICO")</f>
        <v>NO CRITICO</v>
      </c>
      <c r="L231" s="15">
        <f>+_xlfn.XLOOKUP(PRODUCTOS[[#This Row],[CODIGO]],BD_MODULO[Artículo],BD_MODULO[CUB_ACTUALIZADA],"",0)</f>
        <v>0.52500000000000002</v>
      </c>
      <c r="M231" s="2">
        <f>+IFERROR(PRODUCTOS[[#This Row],[PPTO]]*PRODUCTOS[[#This Row],[CANT X MODULO]],"")</f>
        <v>772.34594587499998</v>
      </c>
      <c r="N231" s="2">
        <f>+IFERROR(PRODUCTOS[[#This Row],[PPTO X MODULO]]*32,"")</f>
        <v>24715.070267999999</v>
      </c>
      <c r="O231" s="2">
        <f>+IFERROR(PRODUCTOS[[#This Row],[PPTO X TORRE]]*22,"")</f>
        <v>543731.545896</v>
      </c>
      <c r="P231" s="3">
        <f>+IFERROR(PRODUCTOS[[#This Row],[CANT X MODULO]]*702,"")</f>
        <v>368.55</v>
      </c>
      <c r="Q231" s="3">
        <f>+SUMIFS(DETALLE_GD_1[CANTIDAD SOLICITADA],DETALLE_GD_1[CODIGO],PRODUCTOS[[#This Row],[CODIGO]])</f>
        <v>4</v>
      </c>
      <c r="R231" s="3">
        <f>+SUMIFS(DETALLE_GD_1[DEVOLUCIÓN],DETALLE_GD_1[CODIGO],PRODUCTOS[[#This Row],[CODIGO]])</f>
        <v>0</v>
      </c>
      <c r="S231" s="3">
        <f>+PRODUCTOS[[#This Row],[CANT. COMPRADA]]-PRODUCTOS[[#This Row],[DEVOLUCIONES]]</f>
        <v>4</v>
      </c>
      <c r="T231" s="3">
        <f>+IFERROR(PRODUCTOS[[#This Row],[CANTIDAD RECIBIDA]]/PRODUCTOS[[#This Row],[CANT X MODULO]],"")</f>
        <v>7.6190476190476186</v>
      </c>
      <c r="U231" s="3">
        <f>+SUMIFS(DETALLE_GD_1[VALOR TOTAL POR ITEM GD],DETALLE_GD_1[CODIGO],PRODUCTOS[[#This Row],[CODIGO]])</f>
        <v>5884</v>
      </c>
      <c r="V231" s="3">
        <f>+IFERROR(PRODUCTOS[[#This Row],[PRECIO DE COMPRA]]/PRODUCTOS[[#This Row],[CANT. COMPRADA]],"")</f>
        <v>1471</v>
      </c>
      <c r="W231" s="3">
        <f>+IFERROR(PRODUCTOS[[#This Row],[PRECIO COMPRA UNITARIO]]*PRODUCTOS[[#This Row],[PPTO FALTANTE]],"")</f>
        <v>537797.6</v>
      </c>
      <c r="X231" s="7">
        <f>+IFERROR(PRODUCTOS[[#This Row],[PROYECCION COMPRA]]/PRODUCTOS[[#This Row],[PPTO TOTAL]]-1,"")</f>
        <v>-1.0913374331117054E-2</v>
      </c>
      <c r="Y231" s="3">
        <f>+IFERROR((PRODUCTOS[[#This Row],[CANT X MODULO]]*704)-PRODUCTOS[[#This Row],[CANT. COMPRADA]],"")</f>
        <v>365.6</v>
      </c>
      <c r="Z231" s="17">
        <f>+IFERROR(PRODUCTOS[[#This Row],[CANT. COMPRADA]]/PRODUCTOS[[#This Row],[PPTO FALTANTE]],"")</f>
        <v>1.0940919037199124E-2</v>
      </c>
      <c r="AA231" s="3">
        <f>+IFERROR(PRODUCTOS[[#This Row],[PROYECCION COMPRA]]-(PRODUCTOS[[#This Row],[PPTO FALTANTE]]*PRODUCTOS[[#This Row],[PPTO]]),"")</f>
        <v>-49.405356000061147</v>
      </c>
      <c r="AB231" s="3">
        <f>+_xlfn.XLOOKUP(PRODUCTOS[[#This Row],[CODIGO]],DETALLE_GD_1[CODIGO],DETALLE_GD_1[VALOR PPTO],"",0)</f>
        <v>1471</v>
      </c>
      <c r="AC231" s="3">
        <f>+AB231-PRODUCTOS[[#This Row],[PPTO_ACTUALIZADO]]</f>
        <v>0</v>
      </c>
    </row>
    <row r="232" spans="1:29" hidden="1" x14ac:dyDescent="0.25">
      <c r="A232">
        <v>407717</v>
      </c>
      <c r="B232" t="s">
        <v>364</v>
      </c>
      <c r="C232">
        <v>0</v>
      </c>
      <c r="D232" t="s">
        <v>240</v>
      </c>
      <c r="E232" t="s">
        <v>399</v>
      </c>
      <c r="F232" s="2">
        <v>181</v>
      </c>
      <c r="G232" s="6" t="s">
        <v>355</v>
      </c>
      <c r="H232" s="2">
        <v>181</v>
      </c>
      <c r="I232" t="b">
        <v>1</v>
      </c>
      <c r="J232" t="str">
        <f>+_xlfn.XLOOKUP(PRODUCTOS[[#This Row],[CODIGO]],P_CRITICOS[CODIGO],P_CRITICOS[DESC CORTA],"",0)</f>
        <v/>
      </c>
      <c r="K232" t="str">
        <f>+IFERROR(IF(VLOOKUP(PRODUCTOS[[#This Row],[CODIGO]],P_CRITICOS[],3,0)="*","PRODUCTO CRITICO","NO CRITICO"),"NO CRITICO")</f>
        <v>NO CRITICO</v>
      </c>
      <c r="L232" s="15">
        <f>+_xlfn.XLOOKUP(PRODUCTOS[[#This Row],[CODIGO]],BD_MODULO[Artículo],BD_MODULO[CUB_ACTUALIZADA],"",0)</f>
        <v>18.375</v>
      </c>
      <c r="M232" s="2">
        <f>+IFERROR(PRODUCTOS[[#This Row],[PPTO]]*PRODUCTOS[[#This Row],[CANT X MODULO]],"")</f>
        <v>3325.875</v>
      </c>
      <c r="N232" s="2">
        <f>+IFERROR(PRODUCTOS[[#This Row],[PPTO X MODULO]]*32,"")</f>
        <v>106428</v>
      </c>
      <c r="O232" s="2">
        <f>+IFERROR(PRODUCTOS[[#This Row],[PPTO X TORRE]]*22,"")</f>
        <v>2341416</v>
      </c>
      <c r="P232" s="3">
        <f>+IFERROR(PRODUCTOS[[#This Row],[CANT X MODULO]]*702,"")</f>
        <v>12899.25</v>
      </c>
      <c r="Q232" s="3">
        <f>+SUMIFS(DETALLE_GD_1[CANTIDAD SOLICITADA],DETALLE_GD_1[CODIGO],PRODUCTOS[[#This Row],[CODIGO]])</f>
        <v>128</v>
      </c>
      <c r="R232" s="3">
        <f>+SUMIFS(DETALLE_GD_1[DEVOLUCIÓN],DETALLE_GD_1[CODIGO],PRODUCTOS[[#This Row],[CODIGO]])</f>
        <v>0</v>
      </c>
      <c r="S232" s="3">
        <f>+PRODUCTOS[[#This Row],[CANT. COMPRADA]]-PRODUCTOS[[#This Row],[DEVOLUCIONES]]</f>
        <v>128</v>
      </c>
      <c r="T232" s="3">
        <f>+IFERROR(PRODUCTOS[[#This Row],[CANTIDAD RECIBIDA]]/PRODUCTOS[[#This Row],[CANT X MODULO]],"")</f>
        <v>6.9659863945578229</v>
      </c>
      <c r="U232" s="3">
        <f>+SUMIFS(DETALLE_GD_1[VALOR TOTAL POR ITEM GD],DETALLE_GD_1[CODIGO],PRODUCTOS[[#This Row],[CODIGO]])</f>
        <v>22809</v>
      </c>
      <c r="V232" s="3">
        <f>+IFERROR(PRODUCTOS[[#This Row],[PRECIO DE COMPRA]]/PRODUCTOS[[#This Row],[CANT. COMPRADA]],"")</f>
        <v>178.1953125</v>
      </c>
      <c r="W232" s="3">
        <f>+IFERROR(PRODUCTOS[[#This Row],[PRECIO COMPRA UNITARIO]]*PRODUCTOS[[#This Row],[PPTO FALTANTE]],"")</f>
        <v>2282325.5625</v>
      </c>
      <c r="X232" s="7">
        <f>+IFERROR(PRODUCTOS[[#This Row],[PROYECCION COMPRA]]/PRODUCTOS[[#This Row],[PPTO TOTAL]]-1,"")</f>
        <v>-2.52370520659293E-2</v>
      </c>
      <c r="Y232" s="3">
        <f>+IFERROR((PRODUCTOS[[#This Row],[CANT X MODULO]]*704)-PRODUCTOS[[#This Row],[CANT. COMPRADA]],"")</f>
        <v>12808</v>
      </c>
      <c r="Z232" s="17">
        <f>+IFERROR(PRODUCTOS[[#This Row],[CANT. COMPRADA]]/PRODUCTOS[[#This Row],[PPTO FALTANTE]],"")</f>
        <v>9.9937539038101181E-3</v>
      </c>
      <c r="AA232" s="3">
        <f>+IFERROR(PRODUCTOS[[#This Row],[PROYECCION COMPRA]]-(PRODUCTOS[[#This Row],[PPTO FALTANTE]]*PRODUCTOS[[#This Row],[PPTO]]),"")</f>
        <v>-35922.4375</v>
      </c>
      <c r="AB232" s="3">
        <f>+_xlfn.XLOOKUP(PRODUCTOS[[#This Row],[CODIGO]],DETALLE_GD_1[CODIGO],DETALLE_GD_1[VALOR PPTO],"",0)</f>
        <v>181</v>
      </c>
      <c r="AC232" s="3">
        <f>+AB232-PRODUCTOS[[#This Row],[PPTO_ACTUALIZADO]]</f>
        <v>0</v>
      </c>
    </row>
    <row r="233" spans="1:29" hidden="1" x14ac:dyDescent="0.25">
      <c r="A233" t="s">
        <v>45</v>
      </c>
      <c r="B233" t="s">
        <v>360</v>
      </c>
      <c r="C233" t="s">
        <v>569</v>
      </c>
      <c r="D233">
        <v>0</v>
      </c>
      <c r="E233">
        <v>0</v>
      </c>
      <c r="F233" s="2">
        <v>24029.782609000002</v>
      </c>
      <c r="G233" s="6" t="s">
        <v>47</v>
      </c>
      <c r="H233" s="2">
        <v>24029.782609000009</v>
      </c>
      <c r="I233" t="b">
        <v>1</v>
      </c>
      <c r="J233" t="str">
        <f>+_xlfn.XLOOKUP(PRODUCTOS[[#This Row],[CODIGO]],P_CRITICOS[CODIGO],P_CRITICOS[DESC CORTA],"",0)</f>
        <v/>
      </c>
      <c r="K233" t="str">
        <f>+IFERROR(IF(VLOOKUP(PRODUCTOS[[#This Row],[CODIGO]],P_CRITICOS[],3,0)="*","PRODUCTO CRITICO","NO CRITICO"),"NO CRITICO")</f>
        <v>NO CRITICO</v>
      </c>
      <c r="L233" s="15">
        <f>+_xlfn.XLOOKUP(PRODUCTOS[[#This Row],[CODIGO]],BD_MODULO[Artículo],BD_MODULO[CUB_ACTUALIZADA],"",0)</f>
        <v>0.315</v>
      </c>
      <c r="M233" s="2">
        <f>+IFERROR(PRODUCTOS[[#This Row],[PPTO]]*PRODUCTOS[[#This Row],[CANT X MODULO]],"")</f>
        <v>7569.381521835001</v>
      </c>
      <c r="N233" s="2">
        <f>+IFERROR(PRODUCTOS[[#This Row],[PPTO X MODULO]]*32,"")</f>
        <v>242220.20869872003</v>
      </c>
      <c r="O233" s="2">
        <f>+IFERROR(PRODUCTOS[[#This Row],[PPTO X TORRE]]*22,"")</f>
        <v>5328844.5913718408</v>
      </c>
      <c r="P233" s="3">
        <f>+IFERROR(PRODUCTOS[[#This Row],[CANT X MODULO]]*702,"")</f>
        <v>221.13</v>
      </c>
      <c r="Q233" s="3">
        <f>+SUMIFS(DETALLE_GD_1[CANTIDAD SOLICITADA],DETALLE_GD_1[CODIGO],PRODUCTOS[[#This Row],[CODIGO]])</f>
        <v>5</v>
      </c>
      <c r="R233" s="3">
        <f>+SUMIFS(DETALLE_GD_1[DEVOLUCIÓN],DETALLE_GD_1[CODIGO],PRODUCTOS[[#This Row],[CODIGO]])</f>
        <v>4</v>
      </c>
      <c r="S233" s="3">
        <f>+PRODUCTOS[[#This Row],[CANT. COMPRADA]]-PRODUCTOS[[#This Row],[DEVOLUCIONES]]</f>
        <v>1</v>
      </c>
      <c r="T233" s="3">
        <f>+IFERROR(PRODUCTOS[[#This Row],[CANTIDAD RECIBIDA]]/PRODUCTOS[[#This Row],[CANT X MODULO]],"")</f>
        <v>3.1746031746031744</v>
      </c>
      <c r="U233" s="3">
        <f>+SUMIFS(DETALLE_GD_1[VALOR TOTAL POR ITEM GD],DETALLE_GD_1[CODIGO],PRODUCTOS[[#This Row],[CODIGO]])</f>
        <v>24030</v>
      </c>
      <c r="V233" s="3">
        <f>+IFERROR(PRODUCTOS[[#This Row],[PRECIO DE COMPRA]]/PRODUCTOS[[#This Row],[CANT. COMPRADA]],"")</f>
        <v>4806</v>
      </c>
      <c r="W233" s="3">
        <f>+IFERROR(PRODUCTOS[[#This Row],[PRECIO COMPRA UNITARIO]]*PRODUCTOS[[#This Row],[PPTO FALTANTE]],"")</f>
        <v>1041748.5599999999</v>
      </c>
      <c r="X233" s="7">
        <f>+IFERROR(PRODUCTOS[[#This Row],[PROYECCION COMPRA]]/PRODUCTOS[[#This Row],[PPTO TOTAL]]-1,"")</f>
        <v>-0.80450761095815415</v>
      </c>
      <c r="Y233" s="3">
        <f>+IFERROR((PRODUCTOS[[#This Row],[CANT X MODULO]]*704)-PRODUCTOS[[#This Row],[CANT. COMPRADA]],"")</f>
        <v>216.76</v>
      </c>
      <c r="Z233" s="17">
        <f>+IFERROR(PRODUCTOS[[#This Row],[CANT. COMPRADA]]/PRODUCTOS[[#This Row],[PPTO FALTANTE]],"")</f>
        <v>2.3066986528879868E-2</v>
      </c>
      <c r="AA233" s="3">
        <f>+IFERROR(PRODUCTOS[[#This Row],[PROYECCION COMPRA]]-(PRODUCTOS[[#This Row],[PPTO FALTANTE]]*PRODUCTOS[[#This Row],[PPTO]]),"")</f>
        <v>-4166947.1183268405</v>
      </c>
      <c r="AB233" s="3">
        <f>+_xlfn.XLOOKUP(PRODUCTOS[[#This Row],[CODIGO]],DETALLE_GD_1[CODIGO],DETALLE_GD_1[VALOR PPTO],"",0)</f>
        <v>24029.782599999999</v>
      </c>
      <c r="AC233" s="3">
        <f>+AB233-PRODUCTOS[[#This Row],[PPTO_ACTUALIZADO]]</f>
        <v>-9.000010322779417E-6</v>
      </c>
    </row>
    <row r="234" spans="1:29" hidden="1" x14ac:dyDescent="0.25">
      <c r="A234">
        <v>1902013</v>
      </c>
      <c r="B234" t="s">
        <v>338</v>
      </c>
      <c r="C234">
        <v>0</v>
      </c>
      <c r="D234" t="s">
        <v>240</v>
      </c>
      <c r="E234">
        <v>0</v>
      </c>
      <c r="F234" s="2">
        <v>48058.833333000002</v>
      </c>
      <c r="G234" s="6" t="s">
        <v>47</v>
      </c>
      <c r="H234" s="2">
        <v>651.49999999999977</v>
      </c>
      <c r="I234" t="b">
        <v>0</v>
      </c>
      <c r="J234" t="str">
        <f>+_xlfn.XLOOKUP(PRODUCTOS[[#This Row],[CODIGO]],P_CRITICOS[CODIGO],P_CRITICOS[DESC CORTA],"",0)</f>
        <v>PAPEL KRAFT</v>
      </c>
      <c r="K234" t="str">
        <f>+IFERROR(IF(VLOOKUP(PRODUCTOS[[#This Row],[CODIGO]],P_CRITICOS[],3,0)="*","PRODUCTO CRITICO","NO CRITICO"),"NO CRITICO")</f>
        <v>PRODUCTO CRITICO</v>
      </c>
      <c r="L234" s="15">
        <f>+_xlfn.XLOOKUP(PRODUCTOS[[#This Row],[CODIGO]],BD_MODULO[Artículo],BD_MODULO[CUB_ACTUALIZADA],"",0)</f>
        <v>130.33466250000004</v>
      </c>
      <c r="M234" s="2">
        <f>+IFERROR(PRODUCTOS[[#This Row],[PPTO]]*PRODUCTOS[[#This Row],[CANT X MODULO]],"")</f>
        <v>6263731.8226003069</v>
      </c>
      <c r="N234" s="2">
        <f>+IFERROR(PRODUCTOS[[#This Row],[PPTO X MODULO]]*32,"")</f>
        <v>200439418.32320982</v>
      </c>
      <c r="O234" s="2">
        <f>+IFERROR(PRODUCTOS[[#This Row],[PPTO X TORRE]]*22,"")</f>
        <v>4409667203.1106157</v>
      </c>
      <c r="P234" s="3">
        <f>+IFERROR(PRODUCTOS[[#This Row],[CANT X MODULO]]*702,"")</f>
        <v>91494.933075000023</v>
      </c>
      <c r="Q234" s="3">
        <f>+SUMIFS(DETALLE_GD_1[CANTIDAD SOLICITADA],DETALLE_GD_1[CODIGO],PRODUCTOS[[#This Row],[CODIGO]])</f>
        <v>314</v>
      </c>
      <c r="R234" s="3">
        <f>+SUMIFS(DETALLE_GD_1[DEVOLUCIÓN],DETALLE_GD_1[CODIGO],PRODUCTOS[[#This Row],[CODIGO]])</f>
        <v>0</v>
      </c>
      <c r="S234" s="3">
        <f>+PRODUCTOS[[#This Row],[CANT. COMPRADA]]-PRODUCTOS[[#This Row],[DEVOLUCIONES]]</f>
        <v>314</v>
      </c>
      <c r="T234" s="3">
        <f>+IFERROR(PRODUCTOS[[#This Row],[CANTIDAD RECIBIDA]]/PRODUCTOS[[#This Row],[CANT X MODULO]],"")</f>
        <v>2.4091825917759975</v>
      </c>
      <c r="U234" s="3">
        <f>+SUMIFS(DETALLE_GD_1[VALOR TOTAL POR ITEM GD],DETALLE_GD_1[CODIGO],PRODUCTOS[[#This Row],[CODIGO]])</f>
        <v>12545027</v>
      </c>
      <c r="V234" s="3">
        <f>+IFERROR(PRODUCTOS[[#This Row],[PRECIO DE COMPRA]]/PRODUCTOS[[#This Row],[CANT. COMPRADA]],"")</f>
        <v>39952.315286624202</v>
      </c>
      <c r="W234" s="3">
        <f>+IFERROR(PRODUCTOS[[#This Row],[PRECIO COMPRA UNITARIO]]*PRODUCTOS[[#This Row],[PPTO FALTANTE]],"")</f>
        <v>3653303729.3989334</v>
      </c>
      <c r="X234" s="7">
        <f>+IFERROR(PRODUCTOS[[#This Row],[PROYECCION COMPRA]]/PRODUCTOS[[#This Row],[PPTO TOTAL]]-1,"")</f>
        <v>-0.17152393567889601</v>
      </c>
      <c r="Y234" s="3">
        <f>+IFERROR((PRODUCTOS[[#This Row],[CANT X MODULO]]*704)-PRODUCTOS[[#This Row],[CANT. COMPRADA]],"")</f>
        <v>91441.602400000033</v>
      </c>
      <c r="Z234" s="17">
        <f>+IFERROR(PRODUCTOS[[#This Row],[CANT. COMPRADA]]/PRODUCTOS[[#This Row],[PPTO FALTANTE]],"")</f>
        <v>3.4338855811651861E-3</v>
      </c>
      <c r="AA234" s="3">
        <f>+IFERROR(PRODUCTOS[[#This Row],[PROYECCION COMPRA]]-(PRODUCTOS[[#This Row],[PPTO FALTANTE]]*PRODUCTOS[[#This Row],[PPTO]]),"")</f>
        <v>-741273000.04512119</v>
      </c>
      <c r="AB234" s="3">
        <f>+_xlfn.XLOOKUP(PRODUCTOS[[#This Row],[CODIGO]],DETALLE_GD_1[CODIGO],DETALLE_GD_1[VALOR PPTO],"",0)</f>
        <v>29779</v>
      </c>
      <c r="AC234" s="3">
        <f>+AB234-PRODUCTOS[[#This Row],[PPTO_ACTUALIZADO]]</f>
        <v>29127.5</v>
      </c>
    </row>
    <row r="235" spans="1:29" hidden="1" x14ac:dyDescent="0.25">
      <c r="A235">
        <v>601121</v>
      </c>
      <c r="B235" t="s">
        <v>67</v>
      </c>
      <c r="C235" t="s">
        <v>586</v>
      </c>
      <c r="D235" t="s">
        <v>244</v>
      </c>
      <c r="E235" t="s">
        <v>407</v>
      </c>
      <c r="F235" s="2">
        <v>35000</v>
      </c>
      <c r="G235" s="6" t="s">
        <v>68</v>
      </c>
      <c r="H235" s="2">
        <v>35000</v>
      </c>
      <c r="I235" t="b">
        <v>1</v>
      </c>
      <c r="J235" t="str">
        <f>+_xlfn.XLOOKUP(PRODUCTOS[[#This Row],[CODIGO]],P_CRITICOS[CODIGO],P_CRITICOS[DESC CORTA],"",0)</f>
        <v/>
      </c>
      <c r="K235" t="str">
        <f>+IFERROR(IF(VLOOKUP(PRODUCTOS[[#This Row],[CODIGO]],P_CRITICOS[],3,0)="*","PRODUCTO CRITICO","NO CRITICO"),"NO CRITICO")</f>
        <v>NO CRITICO</v>
      </c>
      <c r="L235" s="15">
        <f>+_xlfn.XLOOKUP(PRODUCTOS[[#This Row],[CODIGO]],BD_MODULO[Artículo],BD_MODULO[CUB_ACTUALIZADA],"",0)</f>
        <v>0.55125000000000002</v>
      </c>
      <c r="M235" s="2">
        <f>+IFERROR(PRODUCTOS[[#This Row],[PPTO]]*PRODUCTOS[[#This Row],[CANT X MODULO]],"")</f>
        <v>19293.75</v>
      </c>
      <c r="N235" s="2">
        <f>+IFERROR(PRODUCTOS[[#This Row],[PPTO X MODULO]]*32,"")</f>
        <v>617400</v>
      </c>
      <c r="O235" s="2">
        <f>+IFERROR(PRODUCTOS[[#This Row],[PPTO X TORRE]]*22,"")</f>
        <v>13582800</v>
      </c>
      <c r="P235" s="3">
        <f>+IFERROR(PRODUCTOS[[#This Row],[CANT X MODULO]]*702,"")</f>
        <v>386.97750000000002</v>
      </c>
      <c r="Q235" s="3">
        <f>+SUMIFS(DETALLE_GD_1[CANTIDAD SOLICITADA],DETALLE_GD_1[CODIGO],PRODUCTOS[[#This Row],[CODIGO]])</f>
        <v>1</v>
      </c>
      <c r="R235" s="3">
        <f>+SUMIFS(DETALLE_GD_1[DEVOLUCIÓN],DETALLE_GD_1[CODIGO],PRODUCTOS[[#This Row],[CODIGO]])</f>
        <v>0</v>
      </c>
      <c r="S235" s="3">
        <f>+PRODUCTOS[[#This Row],[CANT. COMPRADA]]-PRODUCTOS[[#This Row],[DEVOLUCIONES]]</f>
        <v>1</v>
      </c>
      <c r="T235" s="3">
        <f>+IFERROR(PRODUCTOS[[#This Row],[CANTIDAD RECIBIDA]]/PRODUCTOS[[#This Row],[CANT X MODULO]],"")</f>
        <v>1.8140589569160996</v>
      </c>
      <c r="U235" s="3">
        <f>+SUMIFS(DETALLE_GD_1[VALOR TOTAL POR ITEM GD],DETALLE_GD_1[CODIGO],PRODUCTOS[[#This Row],[CODIGO]])</f>
        <v>35000</v>
      </c>
      <c r="V235" s="3">
        <f>+IFERROR(PRODUCTOS[[#This Row],[PRECIO DE COMPRA]]/PRODUCTOS[[#This Row],[CANT. COMPRADA]],"")</f>
        <v>35000</v>
      </c>
      <c r="W235" s="3">
        <f>+IFERROR(PRODUCTOS[[#This Row],[PRECIO COMPRA UNITARIO]]*PRODUCTOS[[#This Row],[PPTO FALTANTE]],"")</f>
        <v>13547800.000000002</v>
      </c>
      <c r="X235" s="7">
        <f>+IFERROR(PRODUCTOS[[#This Row],[PROYECCION COMPRA]]/PRODUCTOS[[#This Row],[PPTO TOTAL]]-1,"")</f>
        <v>-2.5767882910738837E-3</v>
      </c>
      <c r="Y235" s="3">
        <f>+IFERROR((PRODUCTOS[[#This Row],[CANT X MODULO]]*704)-PRODUCTOS[[#This Row],[CANT. COMPRADA]],"")</f>
        <v>387.08000000000004</v>
      </c>
      <c r="Z235" s="17">
        <f>+IFERROR(PRODUCTOS[[#This Row],[CANT. COMPRADA]]/PRODUCTOS[[#This Row],[PPTO FALTANTE]],"")</f>
        <v>2.5834452826289135E-3</v>
      </c>
      <c r="AA235" s="3">
        <f>+IFERROR(PRODUCTOS[[#This Row],[PROYECCION COMPRA]]-(PRODUCTOS[[#This Row],[PPTO FALTANTE]]*PRODUCTOS[[#This Row],[PPTO]]),"")</f>
        <v>0</v>
      </c>
      <c r="AB235" s="3">
        <f>+_xlfn.XLOOKUP(PRODUCTOS[[#This Row],[CODIGO]],DETALLE_GD_1[CODIGO],DETALLE_GD_1[VALOR PPTO],"",0)</f>
        <v>35000</v>
      </c>
      <c r="AC235" s="3">
        <f>+AB235-PRODUCTOS[[#This Row],[PPTO_ACTUALIZADO]]</f>
        <v>0</v>
      </c>
    </row>
    <row r="236" spans="1:29" hidden="1" x14ac:dyDescent="0.25">
      <c r="A236">
        <v>1003500</v>
      </c>
      <c r="B236" t="s">
        <v>149</v>
      </c>
      <c r="C236" t="s">
        <v>637</v>
      </c>
      <c r="D236" t="s">
        <v>240</v>
      </c>
      <c r="E236" t="s">
        <v>411</v>
      </c>
      <c r="F236" s="2">
        <v>5092.1000000000004</v>
      </c>
      <c r="G236" s="6" t="s">
        <v>137</v>
      </c>
      <c r="H236" s="2">
        <v>5092.1000000000013</v>
      </c>
      <c r="I236" t="b">
        <v>1</v>
      </c>
      <c r="J236" t="str">
        <f>+_xlfn.XLOOKUP(PRODUCTOS[[#This Row],[CODIGO]],P_CRITICOS[CODIGO],P_CRITICOS[DESC CORTA],"",0)</f>
        <v/>
      </c>
      <c r="K236" t="str">
        <f>+IFERROR(IF(VLOOKUP(PRODUCTOS[[#This Row],[CODIGO]],P_CRITICOS[],3,0)="*","PRODUCTO CRITICO","NO CRITICO"),"NO CRITICO")</f>
        <v>NO CRITICO</v>
      </c>
      <c r="L236" s="15">
        <f>+_xlfn.XLOOKUP(PRODUCTOS[[#This Row],[CODIGO]],BD_MODULO[Artículo],BD_MODULO[CUB_ACTUALIZADA],"",0)</f>
        <v>13.650000000000002</v>
      </c>
      <c r="M236" s="2">
        <f>+IFERROR(PRODUCTOS[[#This Row],[PPTO]]*PRODUCTOS[[#This Row],[CANT X MODULO]],"")</f>
        <v>69507.165000000023</v>
      </c>
      <c r="N236" s="2">
        <f>+IFERROR(PRODUCTOS[[#This Row],[PPTO X MODULO]]*32,"")</f>
        <v>2224229.2800000007</v>
      </c>
      <c r="O236" s="2">
        <f>+IFERROR(PRODUCTOS[[#This Row],[PPTO X TORRE]]*22,"")</f>
        <v>48933044.160000019</v>
      </c>
      <c r="P236" s="3">
        <f>+IFERROR(PRODUCTOS[[#This Row],[CANT X MODULO]]*702,"")</f>
        <v>9582.3000000000011</v>
      </c>
      <c r="Q236" s="3">
        <f>+SUMIFS(DETALLE_GD_1[CANTIDAD SOLICITADA],DETALLE_GD_1[CODIGO],PRODUCTOS[[#This Row],[CODIGO]])</f>
        <v>20</v>
      </c>
      <c r="R236" s="3">
        <f>+SUMIFS(DETALLE_GD_1[DEVOLUCIÓN],DETALLE_GD_1[CODIGO],PRODUCTOS[[#This Row],[CODIGO]])</f>
        <v>0</v>
      </c>
      <c r="S236" s="3">
        <f>+PRODUCTOS[[#This Row],[CANT. COMPRADA]]-PRODUCTOS[[#This Row],[DEVOLUCIONES]]</f>
        <v>20</v>
      </c>
      <c r="T236" s="3">
        <f>+IFERROR(PRODUCTOS[[#This Row],[CANTIDAD RECIBIDA]]/PRODUCTOS[[#This Row],[CANT X MODULO]],"")</f>
        <v>1.4652014652014649</v>
      </c>
      <c r="U236" s="3">
        <f>+SUMIFS(DETALLE_GD_1[VALOR TOTAL POR ITEM GD],DETALLE_GD_1[CODIGO],PRODUCTOS[[#This Row],[CODIGO]])</f>
        <v>101842</v>
      </c>
      <c r="V236" s="3">
        <f>+IFERROR(PRODUCTOS[[#This Row],[PRECIO DE COMPRA]]/PRODUCTOS[[#This Row],[CANT. COMPRADA]],"")</f>
        <v>5092.1000000000004</v>
      </c>
      <c r="W236" s="3">
        <f>+IFERROR(PRODUCTOS[[#This Row],[PRECIO COMPRA UNITARIO]]*PRODUCTOS[[#This Row],[PPTO FALTANTE]],"")</f>
        <v>48831202.160000011</v>
      </c>
      <c r="X236" s="7">
        <f>+IFERROR(PRODUCTOS[[#This Row],[PROYECCION COMPRA]]/PRODUCTOS[[#This Row],[PPTO TOTAL]]-1,"")</f>
        <v>-2.0812520812522051E-3</v>
      </c>
      <c r="Y236" s="3">
        <f>+IFERROR((PRODUCTOS[[#This Row],[CANT X MODULO]]*704)-PRODUCTOS[[#This Row],[CANT. COMPRADA]],"")</f>
        <v>9589.6000000000022</v>
      </c>
      <c r="Z236" s="17">
        <f>+IFERROR(PRODUCTOS[[#This Row],[CANT. COMPRADA]]/PRODUCTOS[[#This Row],[PPTO FALTANTE]],"")</f>
        <v>2.0855927254525733E-3</v>
      </c>
      <c r="AA236" s="3">
        <f>+IFERROR(PRODUCTOS[[#This Row],[PROYECCION COMPRA]]-(PRODUCTOS[[#This Row],[PPTO FALTANTE]]*PRODUCTOS[[#This Row],[PPTO]]),"")</f>
        <v>0</v>
      </c>
      <c r="AB236" s="3">
        <f>+_xlfn.XLOOKUP(PRODUCTOS[[#This Row],[CODIGO]],DETALLE_GD_1[CODIGO],DETALLE_GD_1[VALOR PPTO],"",0)</f>
        <v>5092.1000000000004</v>
      </c>
      <c r="AC236" s="3">
        <f>+AB236-PRODUCTOS[[#This Row],[PPTO_ACTUALIZADO]]</f>
        <v>0</v>
      </c>
    </row>
    <row r="237" spans="1:29" hidden="1" x14ac:dyDescent="0.25">
      <c r="A237" t="s">
        <v>241</v>
      </c>
      <c r="B237" t="s">
        <v>35</v>
      </c>
      <c r="C237">
        <v>0</v>
      </c>
      <c r="D237" t="s">
        <v>240</v>
      </c>
      <c r="E237" t="s">
        <v>399</v>
      </c>
      <c r="F237" s="2">
        <v>233358.08812299999</v>
      </c>
      <c r="G237" s="6" t="s">
        <v>36</v>
      </c>
      <c r="H237" s="2">
        <v>233358.08812299999</v>
      </c>
      <c r="I237" t="b">
        <v>1</v>
      </c>
      <c r="J237" t="str">
        <f>+_xlfn.XLOOKUP(PRODUCTOS[[#This Row],[CODIGO]],P_CRITICOS[CODIGO],P_CRITICOS[DESC CORTA],"",0)</f>
        <v/>
      </c>
      <c r="K237" t="str">
        <f>+IFERROR(IF(VLOOKUP(PRODUCTOS[[#This Row],[CODIGO]],P_CRITICOS[],3,0)="*","PRODUCTO CRITICO","NO CRITICO"),"NO CRITICO")</f>
        <v>NO CRITICO</v>
      </c>
      <c r="L237" s="15">
        <f>+_xlfn.XLOOKUP(PRODUCTOS[[#This Row],[CODIGO]],BD_MODULO[Artículo],BD_MODULO[CUB_ACTUALIZADA],"",0)</f>
        <v>5.46875E-2</v>
      </c>
      <c r="M237" s="2">
        <f>+IFERROR(PRODUCTOS[[#This Row],[PPTO]]*PRODUCTOS[[#This Row],[CANT X MODULO]],"")</f>
        <v>12761.770444226562</v>
      </c>
      <c r="N237" s="2">
        <f>+IFERROR(PRODUCTOS[[#This Row],[PPTO X MODULO]]*32,"")</f>
        <v>408376.65421524999</v>
      </c>
      <c r="O237" s="2">
        <f>+IFERROR(PRODUCTOS[[#This Row],[PPTO X TORRE]]*22,"")</f>
        <v>8984286.3927354999</v>
      </c>
      <c r="P237" s="3">
        <f>+IFERROR(PRODUCTOS[[#This Row],[CANT X MODULO]]*702,"")</f>
        <v>38.390625</v>
      </c>
      <c r="Q237" s="3">
        <f>+SUMIFS(DETALLE_GD_1[CANTIDAD SOLICITADA],DETALLE_GD_1[CODIGO],PRODUCTOS[[#This Row],[CODIGO]])</f>
        <v>0</v>
      </c>
      <c r="R237" s="3">
        <f>+SUMIFS(DETALLE_GD_1[DEVOLUCIÓN],DETALLE_GD_1[CODIGO],PRODUCTOS[[#This Row],[CODIGO]])</f>
        <v>0</v>
      </c>
      <c r="S237" s="3">
        <f>+PRODUCTOS[[#This Row],[CANT. COMPRADA]]-PRODUCTOS[[#This Row],[DEVOLUCIONES]]</f>
        <v>0</v>
      </c>
      <c r="T237" s="3">
        <f>+IFERROR(PRODUCTOS[[#This Row],[CANTIDAD RECIBIDA]]/PRODUCTOS[[#This Row],[CANT X MODULO]],"")</f>
        <v>0</v>
      </c>
      <c r="U237" s="3">
        <f>+SUMIFS(DETALLE_GD_1[VALOR TOTAL POR ITEM GD],DETALLE_GD_1[CODIGO],PRODUCTOS[[#This Row],[CODIGO]])</f>
        <v>0</v>
      </c>
      <c r="V237" s="3" t="str">
        <f>+IFERROR(PRODUCTOS[[#This Row],[PRECIO DE COMPRA]]/PRODUCTOS[[#This Row],[CANT. COMPRADA]],"")</f>
        <v/>
      </c>
      <c r="W237" s="3" t="str">
        <f>+IFERROR(PRODUCTOS[[#This Row],[PRECIO COMPRA UNITARIO]]*PRODUCTOS[[#This Row],[PPTO FALTANTE]],"")</f>
        <v/>
      </c>
      <c r="X237" s="7" t="str">
        <f>+IFERROR(PRODUCTOS[[#This Row],[PROYECCION COMPRA]]/PRODUCTOS[[#This Row],[PPTO TOTAL]]-1,"")</f>
        <v/>
      </c>
      <c r="Y237" s="3">
        <f>+IFERROR((PRODUCTOS[[#This Row],[CANT X MODULO]]*704)-PRODUCTOS[[#This Row],[CANT. COMPRADA]],"")</f>
        <v>38.5</v>
      </c>
      <c r="Z237" s="17">
        <f>+IFERROR(PRODUCTOS[[#This Row],[CANT. COMPRADA]]/PRODUCTOS[[#This Row],[PPTO FALTANTE]],"")</f>
        <v>0</v>
      </c>
      <c r="AA237" s="3" t="str">
        <f>+IFERROR(PRODUCTOS[[#This Row],[PROYECCION COMPRA]]-(PRODUCTOS[[#This Row],[PPTO FALTANTE]]*PRODUCTOS[[#This Row],[PPTO]]),"")</f>
        <v/>
      </c>
      <c r="AB237" s="3" t="str">
        <f>+_xlfn.XLOOKUP(PRODUCTOS[[#This Row],[CODIGO]],DETALLE_GD_1[CODIGO],DETALLE_GD_1[VALOR PPTO],"",0)</f>
        <v/>
      </c>
      <c r="AC237" s="3" t="e">
        <f>+AB237-PRODUCTOS[[#This Row],[PPTO_ACTUALIZADO]]</f>
        <v>#VALUE!</v>
      </c>
    </row>
    <row r="238" spans="1:29" hidden="1" x14ac:dyDescent="0.25">
      <c r="A238">
        <v>1701071</v>
      </c>
      <c r="B238" t="s">
        <v>257</v>
      </c>
      <c r="C238">
        <v>0</v>
      </c>
      <c r="D238" t="s">
        <v>258</v>
      </c>
      <c r="E238" t="s">
        <v>405</v>
      </c>
      <c r="F238" s="2">
        <v>7389.9801699999998</v>
      </c>
      <c r="G238" s="6" t="s">
        <v>31</v>
      </c>
      <c r="H238" s="2">
        <v>7389.9801699999998</v>
      </c>
      <c r="I238" t="b">
        <v>1</v>
      </c>
      <c r="J238" t="str">
        <f>+_xlfn.XLOOKUP(PRODUCTOS[[#This Row],[CODIGO]],P_CRITICOS[CODIGO],P_CRITICOS[DESC CORTA],"",0)</f>
        <v/>
      </c>
      <c r="K238" t="str">
        <f>+IFERROR(IF(VLOOKUP(PRODUCTOS[[#This Row],[CODIGO]],P_CRITICOS[],3,0)="*","PRODUCTO CRITICO","NO CRITICO"),"NO CRITICO")</f>
        <v>NO CRITICO</v>
      </c>
      <c r="L238" s="15">
        <f>+_xlfn.XLOOKUP(PRODUCTOS[[#This Row],[CODIGO]],BD_MODULO[Artículo],BD_MODULO[CUB_ACTUALIZADA],"",0)</f>
        <v>0.52500000000000002</v>
      </c>
      <c r="M238" s="2">
        <f>+IFERROR(PRODUCTOS[[#This Row],[PPTO]]*PRODUCTOS[[#This Row],[CANT X MODULO]],"")</f>
        <v>3879.7395892499999</v>
      </c>
      <c r="N238" s="2">
        <f>+IFERROR(PRODUCTOS[[#This Row],[PPTO X MODULO]]*32,"")</f>
        <v>124151.666856</v>
      </c>
      <c r="O238" s="2">
        <f>+IFERROR(PRODUCTOS[[#This Row],[PPTO X TORRE]]*22,"")</f>
        <v>2731336.6708319997</v>
      </c>
      <c r="P238" s="3">
        <f>+IFERROR(PRODUCTOS[[#This Row],[CANT X MODULO]]*702,"")</f>
        <v>368.55</v>
      </c>
      <c r="Q238" s="3">
        <f>+SUMIFS(DETALLE_GD_1[CANTIDAD SOLICITADA],DETALLE_GD_1[CODIGO],PRODUCTOS[[#This Row],[CODIGO]])</f>
        <v>4</v>
      </c>
      <c r="R238" s="3">
        <f>+SUMIFS(DETALLE_GD_1[DEVOLUCIÓN],DETALLE_GD_1[CODIGO],PRODUCTOS[[#This Row],[CODIGO]])</f>
        <v>4</v>
      </c>
      <c r="S238" s="3">
        <f>+PRODUCTOS[[#This Row],[CANT. COMPRADA]]-PRODUCTOS[[#This Row],[DEVOLUCIONES]]</f>
        <v>0</v>
      </c>
      <c r="T238" s="3">
        <f>+IFERROR(PRODUCTOS[[#This Row],[CANTIDAD RECIBIDA]]/PRODUCTOS[[#This Row],[CANT X MODULO]],"")</f>
        <v>0</v>
      </c>
      <c r="U238" s="3">
        <f>+SUMIFS(DETALLE_GD_1[VALOR TOTAL POR ITEM GD],DETALLE_GD_1[CODIGO],PRODUCTOS[[#This Row],[CODIGO]])</f>
        <v>0</v>
      </c>
      <c r="V238" s="3">
        <f>+IFERROR(PRODUCTOS[[#This Row],[PRECIO DE COMPRA]]/PRODUCTOS[[#This Row],[CANT. COMPRADA]],"")</f>
        <v>0</v>
      </c>
      <c r="W238" s="3">
        <f>+IFERROR(PRODUCTOS[[#This Row],[PRECIO COMPRA UNITARIO]]*PRODUCTOS[[#This Row],[PPTO FALTANTE]],"")</f>
        <v>0</v>
      </c>
      <c r="X238" s="7">
        <f>+IFERROR(PRODUCTOS[[#This Row],[PROYECCION COMPRA]]/PRODUCTOS[[#This Row],[PPTO TOTAL]]-1,"")</f>
        <v>-1</v>
      </c>
      <c r="Y238" s="3">
        <f>+IFERROR((PRODUCTOS[[#This Row],[CANT X MODULO]]*704)-PRODUCTOS[[#This Row],[CANT. COMPRADA]],"")</f>
        <v>365.6</v>
      </c>
      <c r="Z238" s="17">
        <f>+IFERROR(PRODUCTOS[[#This Row],[CANT. COMPRADA]]/PRODUCTOS[[#This Row],[PPTO FALTANTE]],"")</f>
        <v>1.0940919037199124E-2</v>
      </c>
      <c r="AA238" s="3">
        <f>+IFERROR(PRODUCTOS[[#This Row],[PROYECCION COMPRA]]-(PRODUCTOS[[#This Row],[PPTO FALTANTE]]*PRODUCTOS[[#This Row],[PPTO]]),"")</f>
        <v>-2701776.7501520002</v>
      </c>
      <c r="AB238" s="3">
        <f>+_xlfn.XLOOKUP(PRODUCTOS[[#This Row],[CODIGO]],DETALLE_GD_1[CODIGO],DETALLE_GD_1[VALOR PPTO],"",0)</f>
        <v>7389.9802</v>
      </c>
      <c r="AC238" s="3">
        <f>+AB238-PRODUCTOS[[#This Row],[PPTO_ACTUALIZADO]]</f>
        <v>3.0000000151630957E-5</v>
      </c>
    </row>
    <row r="239" spans="1:29" hidden="1" x14ac:dyDescent="0.25">
      <c r="A239">
        <v>1808083</v>
      </c>
      <c r="B239" t="s">
        <v>271</v>
      </c>
      <c r="C239">
        <v>0</v>
      </c>
      <c r="D239" t="s">
        <v>244</v>
      </c>
      <c r="E239" t="s">
        <v>406</v>
      </c>
      <c r="F239" s="2">
        <v>4137</v>
      </c>
      <c r="G239" s="6" t="s">
        <v>31</v>
      </c>
      <c r="H239" s="2">
        <v>4137</v>
      </c>
      <c r="I239" t="b">
        <v>1</v>
      </c>
      <c r="J239" t="str">
        <f>+_xlfn.XLOOKUP(PRODUCTOS[[#This Row],[CODIGO]],P_CRITICOS[CODIGO],P_CRITICOS[DESC CORTA],"",0)</f>
        <v/>
      </c>
      <c r="K239" t="str">
        <f>+IFERROR(IF(VLOOKUP(PRODUCTOS[[#This Row],[CODIGO]],P_CRITICOS[],3,0)="*","PRODUCTO CRITICO","NO CRITICO"),"NO CRITICO")</f>
        <v>NO CRITICO</v>
      </c>
      <c r="L239" s="15">
        <f>+_xlfn.XLOOKUP(PRODUCTOS[[#This Row],[CODIGO]],BD_MODULO[Artículo],BD_MODULO[CUB_ACTUALIZADA],"",0)</f>
        <v>0.52500000000000002</v>
      </c>
      <c r="M239" s="2">
        <f>+IFERROR(PRODUCTOS[[#This Row],[PPTO]]*PRODUCTOS[[#This Row],[CANT X MODULO]],"")</f>
        <v>2171.9250000000002</v>
      </c>
      <c r="N239" s="2">
        <f>+IFERROR(PRODUCTOS[[#This Row],[PPTO X MODULO]]*32,"")</f>
        <v>69501.600000000006</v>
      </c>
      <c r="O239" s="2">
        <f>+IFERROR(PRODUCTOS[[#This Row],[PPTO X TORRE]]*22,"")</f>
        <v>1529035.2000000002</v>
      </c>
      <c r="P239" s="3">
        <f>+IFERROR(PRODUCTOS[[#This Row],[CANT X MODULO]]*702,"")</f>
        <v>368.55</v>
      </c>
      <c r="Q239" s="3">
        <f>+SUMIFS(DETALLE_GD_1[CANTIDAD SOLICITADA],DETALLE_GD_1[CODIGO],PRODUCTOS[[#This Row],[CODIGO]])</f>
        <v>0</v>
      </c>
      <c r="R239" s="3">
        <f>+SUMIFS(DETALLE_GD_1[DEVOLUCIÓN],DETALLE_GD_1[CODIGO],PRODUCTOS[[#This Row],[CODIGO]])</f>
        <v>0</v>
      </c>
      <c r="S239" s="3">
        <f>+PRODUCTOS[[#This Row],[CANT. COMPRADA]]-PRODUCTOS[[#This Row],[DEVOLUCIONES]]</f>
        <v>0</v>
      </c>
      <c r="T239" s="3">
        <f>+IFERROR(PRODUCTOS[[#This Row],[CANTIDAD RECIBIDA]]/PRODUCTOS[[#This Row],[CANT X MODULO]],"")</f>
        <v>0</v>
      </c>
      <c r="U239" s="3">
        <f>+SUMIFS(DETALLE_GD_1[VALOR TOTAL POR ITEM GD],DETALLE_GD_1[CODIGO],PRODUCTOS[[#This Row],[CODIGO]])</f>
        <v>0</v>
      </c>
      <c r="V239" s="3" t="str">
        <f>+IFERROR(PRODUCTOS[[#This Row],[PRECIO DE COMPRA]]/PRODUCTOS[[#This Row],[CANT. COMPRADA]],"")</f>
        <v/>
      </c>
      <c r="W239" s="3" t="str">
        <f>+IFERROR(PRODUCTOS[[#This Row],[PRECIO COMPRA UNITARIO]]*PRODUCTOS[[#This Row],[PPTO FALTANTE]],"")</f>
        <v/>
      </c>
      <c r="X239" s="7" t="str">
        <f>+IFERROR(PRODUCTOS[[#This Row],[PROYECCION COMPRA]]/PRODUCTOS[[#This Row],[PPTO TOTAL]]-1,"")</f>
        <v/>
      </c>
      <c r="Y239" s="3">
        <f>+IFERROR((PRODUCTOS[[#This Row],[CANT X MODULO]]*704)-PRODUCTOS[[#This Row],[CANT. COMPRADA]],"")</f>
        <v>369.6</v>
      </c>
      <c r="Z239" s="17">
        <f>+IFERROR(PRODUCTOS[[#This Row],[CANT. COMPRADA]]/PRODUCTOS[[#This Row],[PPTO FALTANTE]],"")</f>
        <v>0</v>
      </c>
      <c r="AA239" s="3" t="str">
        <f>+IFERROR(PRODUCTOS[[#This Row],[PROYECCION COMPRA]]-(PRODUCTOS[[#This Row],[PPTO FALTANTE]]*PRODUCTOS[[#This Row],[PPTO]]),"")</f>
        <v/>
      </c>
      <c r="AB239" s="3" t="str">
        <f>+_xlfn.XLOOKUP(PRODUCTOS[[#This Row],[CODIGO]],DETALLE_GD_1[CODIGO],DETALLE_GD_1[VALOR PPTO],"",0)</f>
        <v/>
      </c>
      <c r="AC239" s="3" t="e">
        <f>+AB239-PRODUCTOS[[#This Row],[PPTO_ACTUALIZADO]]</f>
        <v>#VALUE!</v>
      </c>
    </row>
    <row r="240" spans="1:29" hidden="1" x14ac:dyDescent="0.25">
      <c r="A240">
        <v>2302050</v>
      </c>
      <c r="B240" t="s">
        <v>285</v>
      </c>
      <c r="C240">
        <v>0</v>
      </c>
      <c r="D240" t="s">
        <v>240</v>
      </c>
      <c r="E240" t="s">
        <v>399</v>
      </c>
      <c r="F240" s="2">
        <v>7567</v>
      </c>
      <c r="G240" s="6" t="s">
        <v>355</v>
      </c>
      <c r="H240" s="2">
        <v>7567</v>
      </c>
      <c r="I240" t="b">
        <v>1</v>
      </c>
      <c r="J240" t="str">
        <f>+_xlfn.XLOOKUP(PRODUCTOS[[#This Row],[CODIGO]],P_CRITICOS[CODIGO],P_CRITICOS[DESC CORTA],"",0)</f>
        <v/>
      </c>
      <c r="K240" t="str">
        <f>+IFERROR(IF(VLOOKUP(PRODUCTOS[[#This Row],[CODIGO]],P_CRITICOS[],3,0)="*","PRODUCTO CRITICO","NO CRITICO"),"NO CRITICO")</f>
        <v>NO CRITICO</v>
      </c>
      <c r="L240" s="15">
        <f>+_xlfn.XLOOKUP(PRODUCTOS[[#This Row],[CODIGO]],BD_MODULO[Artículo],BD_MODULO[CUB_ACTUALIZADA],"",0)</f>
        <v>3.1500000000000012</v>
      </c>
      <c r="M240" s="2">
        <f>+IFERROR(PRODUCTOS[[#This Row],[PPTO]]*PRODUCTOS[[#This Row],[CANT X MODULO]],"")</f>
        <v>23836.05000000001</v>
      </c>
      <c r="N240" s="2">
        <f>+IFERROR(PRODUCTOS[[#This Row],[PPTO X MODULO]]*32,"")</f>
        <v>762753.60000000033</v>
      </c>
      <c r="O240" s="2">
        <f>+IFERROR(PRODUCTOS[[#This Row],[PPTO X TORRE]]*22,"")</f>
        <v>16780579.200000007</v>
      </c>
      <c r="P240" s="3">
        <f>+IFERROR(PRODUCTOS[[#This Row],[CANT X MODULO]]*702,"")</f>
        <v>2211.3000000000011</v>
      </c>
      <c r="Q240" s="3">
        <f>+SUMIFS(DETALLE_GD_1[CANTIDAD SOLICITADA],DETALLE_GD_1[CODIGO],PRODUCTOS[[#This Row],[CODIGO]])</f>
        <v>0</v>
      </c>
      <c r="R240" s="3">
        <f>+SUMIFS(DETALLE_GD_1[DEVOLUCIÓN],DETALLE_GD_1[CODIGO],PRODUCTOS[[#This Row],[CODIGO]])</f>
        <v>0</v>
      </c>
      <c r="S240" s="3">
        <f>+PRODUCTOS[[#This Row],[CANT. COMPRADA]]-PRODUCTOS[[#This Row],[DEVOLUCIONES]]</f>
        <v>0</v>
      </c>
      <c r="T240" s="3">
        <f>+IFERROR(PRODUCTOS[[#This Row],[CANTIDAD RECIBIDA]]/PRODUCTOS[[#This Row],[CANT X MODULO]],"")</f>
        <v>0</v>
      </c>
      <c r="U240" s="3">
        <f>+SUMIFS(DETALLE_GD_1[VALOR TOTAL POR ITEM GD],DETALLE_GD_1[CODIGO],PRODUCTOS[[#This Row],[CODIGO]])</f>
        <v>0</v>
      </c>
      <c r="V240" s="3" t="str">
        <f>+IFERROR(PRODUCTOS[[#This Row],[PRECIO DE COMPRA]]/PRODUCTOS[[#This Row],[CANT. COMPRADA]],"")</f>
        <v/>
      </c>
      <c r="W240" s="3" t="str">
        <f>+IFERROR(PRODUCTOS[[#This Row],[PRECIO COMPRA UNITARIO]]*PRODUCTOS[[#This Row],[PPTO FALTANTE]],"")</f>
        <v/>
      </c>
      <c r="X240" s="7" t="str">
        <f>+IFERROR(PRODUCTOS[[#This Row],[PROYECCION COMPRA]]/PRODUCTOS[[#This Row],[PPTO TOTAL]]-1,"")</f>
        <v/>
      </c>
      <c r="Y240" s="3">
        <f>+IFERROR((PRODUCTOS[[#This Row],[CANT X MODULO]]*704)-PRODUCTOS[[#This Row],[CANT. COMPRADA]],"")</f>
        <v>2217.6000000000008</v>
      </c>
      <c r="Z240" s="17">
        <f>+IFERROR(PRODUCTOS[[#This Row],[CANT. COMPRADA]]/PRODUCTOS[[#This Row],[PPTO FALTANTE]],"")</f>
        <v>0</v>
      </c>
      <c r="AA240" s="3" t="str">
        <f>+IFERROR(PRODUCTOS[[#This Row],[PROYECCION COMPRA]]-(PRODUCTOS[[#This Row],[PPTO FALTANTE]]*PRODUCTOS[[#This Row],[PPTO]]),"")</f>
        <v/>
      </c>
      <c r="AB240" s="3" t="str">
        <f>+_xlfn.XLOOKUP(PRODUCTOS[[#This Row],[CODIGO]],DETALLE_GD_1[CODIGO],DETALLE_GD_1[VALOR PPTO],"",0)</f>
        <v/>
      </c>
      <c r="AC240" s="3" t="e">
        <f>+AB240-PRODUCTOS[[#This Row],[PPTO_ACTUALIZADO]]</f>
        <v>#VALUE!</v>
      </c>
    </row>
    <row r="241" spans="1:29" hidden="1" x14ac:dyDescent="0.25">
      <c r="A241" t="s">
        <v>353</v>
      </c>
      <c r="B241" t="s">
        <v>347</v>
      </c>
      <c r="C241" t="s">
        <v>531</v>
      </c>
      <c r="D241" t="s">
        <v>240</v>
      </c>
      <c r="E241" t="s">
        <v>412</v>
      </c>
      <c r="F241" s="2">
        <v>9390</v>
      </c>
      <c r="G241" s="6" t="s">
        <v>18</v>
      </c>
      <c r="H241" s="2">
        <v>9390</v>
      </c>
      <c r="I241" t="b">
        <v>1</v>
      </c>
      <c r="J241" t="str">
        <f>+_xlfn.XLOOKUP(PRODUCTOS[[#This Row],[CODIGO]],P_CRITICOS[CODIGO],P_CRITICOS[DESC CORTA],"",0)</f>
        <v>ESPUMA EXPANSIVA</v>
      </c>
      <c r="K241" t="str">
        <f>+IFERROR(IF(VLOOKUP(PRODUCTOS[[#This Row],[CODIGO]],P_CRITICOS[],3,0)="*","PRODUCTO CRITICO","NO CRITICO"),"NO CRITICO")</f>
        <v>PRODUCTO CRITICO</v>
      </c>
      <c r="L241" s="15">
        <f>+_xlfn.XLOOKUP(PRODUCTOS[[#This Row],[CODIGO]],BD_MODULO[Artículo],BD_MODULO[CUB_ACTUALIZADA],"",0)</f>
        <v>17.587499999999999</v>
      </c>
      <c r="M241" s="2">
        <f>+IFERROR(PRODUCTOS[[#This Row],[PPTO]]*PRODUCTOS[[#This Row],[CANT X MODULO]],"")</f>
        <v>165146.625</v>
      </c>
      <c r="N241" s="2">
        <f>+IFERROR(PRODUCTOS[[#This Row],[PPTO X MODULO]]*32,"")</f>
        <v>5284692</v>
      </c>
      <c r="O241" s="2">
        <f>+IFERROR(PRODUCTOS[[#This Row],[PPTO X TORRE]]*22,"")</f>
        <v>116263224</v>
      </c>
      <c r="P241" s="3">
        <f>+IFERROR(PRODUCTOS[[#This Row],[CANT X MODULO]]*702,"")</f>
        <v>12346.424999999999</v>
      </c>
      <c r="Q241" s="3">
        <f>+SUMIFS(DETALLE_GD_1[CANTIDAD SOLICITADA],DETALLE_GD_1[CODIGO],PRODUCTOS[[#This Row],[CODIGO]])</f>
        <v>0</v>
      </c>
      <c r="R241" s="3">
        <f>+SUMIFS(DETALLE_GD_1[DEVOLUCIÓN],DETALLE_GD_1[CODIGO],PRODUCTOS[[#This Row],[CODIGO]])</f>
        <v>0</v>
      </c>
      <c r="S241" s="3">
        <f>+PRODUCTOS[[#This Row],[CANT. COMPRADA]]-PRODUCTOS[[#This Row],[DEVOLUCIONES]]</f>
        <v>0</v>
      </c>
      <c r="T241" s="3">
        <f>+IFERROR(PRODUCTOS[[#This Row],[CANTIDAD RECIBIDA]]/PRODUCTOS[[#This Row],[CANT X MODULO]],"")</f>
        <v>0</v>
      </c>
      <c r="U241" s="3">
        <f>+SUMIFS(DETALLE_GD_1[VALOR TOTAL POR ITEM GD],DETALLE_GD_1[CODIGO],PRODUCTOS[[#This Row],[CODIGO]])</f>
        <v>0</v>
      </c>
      <c r="V241" s="3" t="str">
        <f>+IFERROR(PRODUCTOS[[#This Row],[PRECIO DE COMPRA]]/PRODUCTOS[[#This Row],[CANT. COMPRADA]],"")</f>
        <v/>
      </c>
      <c r="W241" s="3" t="str">
        <f>+IFERROR(PRODUCTOS[[#This Row],[PRECIO COMPRA UNITARIO]]*PRODUCTOS[[#This Row],[PPTO FALTANTE]],"")</f>
        <v/>
      </c>
      <c r="X241" s="7" t="str">
        <f>+IFERROR(PRODUCTOS[[#This Row],[PROYECCION COMPRA]]/PRODUCTOS[[#This Row],[PPTO TOTAL]]-1,"")</f>
        <v/>
      </c>
      <c r="Y241" s="3">
        <f>+IFERROR((PRODUCTOS[[#This Row],[CANT X MODULO]]*704)-PRODUCTOS[[#This Row],[CANT. COMPRADA]],"")</f>
        <v>12381.599999999999</v>
      </c>
      <c r="Z241" s="17">
        <f>+IFERROR(PRODUCTOS[[#This Row],[CANT. COMPRADA]]/PRODUCTOS[[#This Row],[PPTO FALTANTE]],"")</f>
        <v>0</v>
      </c>
      <c r="AA241" s="3" t="str">
        <f>+IFERROR(PRODUCTOS[[#This Row],[PROYECCION COMPRA]]-(PRODUCTOS[[#This Row],[PPTO FALTANTE]]*PRODUCTOS[[#This Row],[PPTO]]),"")</f>
        <v/>
      </c>
      <c r="AB241" s="3" t="str">
        <f>+_xlfn.XLOOKUP(PRODUCTOS[[#This Row],[CODIGO]],DETALLE_GD_1[CODIGO],DETALLE_GD_1[VALOR PPTO],"",0)</f>
        <v/>
      </c>
      <c r="AC241" s="3" t="e">
        <f>+AB241-PRODUCTOS[[#This Row],[PPTO_ACTUALIZADO]]</f>
        <v>#VALUE!</v>
      </c>
    </row>
    <row r="242" spans="1:29" hidden="1" x14ac:dyDescent="0.25">
      <c r="A242" t="s">
        <v>312</v>
      </c>
      <c r="B242" t="s">
        <v>313</v>
      </c>
      <c r="C242" t="s">
        <v>640</v>
      </c>
      <c r="D242">
        <v>0</v>
      </c>
      <c r="E242">
        <v>0</v>
      </c>
      <c r="F242" s="2">
        <v>450</v>
      </c>
      <c r="G242" s="6" t="s">
        <v>47</v>
      </c>
      <c r="H242" s="2">
        <v>450.00000000000006</v>
      </c>
      <c r="I242" t="b">
        <v>1</v>
      </c>
      <c r="J242" t="str">
        <f>+_xlfn.XLOOKUP(PRODUCTOS[[#This Row],[CODIGO]],P_CRITICOS[CODIGO],P_CRITICOS[DESC CORTA],"",0)</f>
        <v/>
      </c>
      <c r="K242" t="str">
        <f>+IFERROR(IF(VLOOKUP(PRODUCTOS[[#This Row],[CODIGO]],P_CRITICOS[],3,0)="*","PRODUCTO CRITICO","NO CRITICO"),"NO CRITICO")</f>
        <v>NO CRITICO</v>
      </c>
      <c r="L242" s="15">
        <f>+_xlfn.XLOOKUP(PRODUCTOS[[#This Row],[CODIGO]],BD_MODULO[Artículo],BD_MODULO[CUB_ACTUALIZADA],"",0)</f>
        <v>9.4500000000000011</v>
      </c>
      <c r="M242" s="2">
        <f>+IFERROR(PRODUCTOS[[#This Row],[PPTO]]*PRODUCTOS[[#This Row],[CANT X MODULO]],"")</f>
        <v>4252.5000000000009</v>
      </c>
      <c r="N242" s="2">
        <f>+IFERROR(PRODUCTOS[[#This Row],[PPTO X MODULO]]*32,"")</f>
        <v>136080.00000000003</v>
      </c>
      <c r="O242" s="2">
        <f>+IFERROR(PRODUCTOS[[#This Row],[PPTO X TORRE]]*22,"")</f>
        <v>2993760.0000000005</v>
      </c>
      <c r="P242" s="3">
        <f>+IFERROR(PRODUCTOS[[#This Row],[CANT X MODULO]]*702,"")</f>
        <v>6633.9000000000005</v>
      </c>
      <c r="Q242" s="3">
        <f>+SUMIFS(DETALLE_GD_1[CANTIDAD SOLICITADA],DETALLE_GD_1[CODIGO],PRODUCTOS[[#This Row],[CODIGO]])</f>
        <v>0</v>
      </c>
      <c r="R242" s="3">
        <f>+SUMIFS(DETALLE_GD_1[DEVOLUCIÓN],DETALLE_GD_1[CODIGO],PRODUCTOS[[#This Row],[CODIGO]])</f>
        <v>0</v>
      </c>
      <c r="S242" s="3">
        <f>+PRODUCTOS[[#This Row],[CANT. COMPRADA]]-PRODUCTOS[[#This Row],[DEVOLUCIONES]]</f>
        <v>0</v>
      </c>
      <c r="T242" s="3">
        <f>+IFERROR(PRODUCTOS[[#This Row],[CANTIDAD RECIBIDA]]/PRODUCTOS[[#This Row],[CANT X MODULO]],"")</f>
        <v>0</v>
      </c>
      <c r="U242" s="3">
        <f>+SUMIFS(DETALLE_GD_1[VALOR TOTAL POR ITEM GD],DETALLE_GD_1[CODIGO],PRODUCTOS[[#This Row],[CODIGO]])</f>
        <v>0</v>
      </c>
      <c r="V242" s="3" t="str">
        <f>+IFERROR(PRODUCTOS[[#This Row],[PRECIO DE COMPRA]]/PRODUCTOS[[#This Row],[CANT. COMPRADA]],"")</f>
        <v/>
      </c>
      <c r="W242" s="3" t="str">
        <f>+IFERROR(PRODUCTOS[[#This Row],[PRECIO COMPRA UNITARIO]]*PRODUCTOS[[#This Row],[PPTO FALTANTE]],"")</f>
        <v/>
      </c>
      <c r="X242" s="7" t="str">
        <f>+IFERROR(PRODUCTOS[[#This Row],[PROYECCION COMPRA]]/PRODUCTOS[[#This Row],[PPTO TOTAL]]-1,"")</f>
        <v/>
      </c>
      <c r="Y242" s="3">
        <f>+IFERROR((PRODUCTOS[[#This Row],[CANT X MODULO]]*704)-PRODUCTOS[[#This Row],[CANT. COMPRADA]],"")</f>
        <v>6652.8000000000011</v>
      </c>
      <c r="Z242" s="17">
        <f>+IFERROR(PRODUCTOS[[#This Row],[CANT. COMPRADA]]/PRODUCTOS[[#This Row],[PPTO FALTANTE]],"")</f>
        <v>0</v>
      </c>
      <c r="AA242" s="3" t="str">
        <f>+IFERROR(PRODUCTOS[[#This Row],[PROYECCION COMPRA]]-(PRODUCTOS[[#This Row],[PPTO FALTANTE]]*PRODUCTOS[[#This Row],[PPTO]]),"")</f>
        <v/>
      </c>
      <c r="AB242" s="3" t="str">
        <f>+_xlfn.XLOOKUP(PRODUCTOS[[#This Row],[CODIGO]],DETALLE_GD_1[CODIGO],DETALLE_GD_1[VALOR PPTO],"",0)</f>
        <v/>
      </c>
      <c r="AC242" s="3" t="e">
        <f>+AB242-PRODUCTOS[[#This Row],[PPTO_ACTUALIZADO]]</f>
        <v>#VALUE!</v>
      </c>
    </row>
    <row r="243" spans="1:29" hidden="1" x14ac:dyDescent="0.25">
      <c r="A243">
        <v>4212254</v>
      </c>
      <c r="B243" t="s">
        <v>308</v>
      </c>
      <c r="C243" t="s">
        <v>661</v>
      </c>
      <c r="D243" t="s">
        <v>244</v>
      </c>
      <c r="E243">
        <v>0</v>
      </c>
      <c r="F243" s="2">
        <v>58650</v>
      </c>
      <c r="G243" s="6" t="s">
        <v>31</v>
      </c>
      <c r="H243" s="2">
        <v>58650</v>
      </c>
      <c r="I243" t="b">
        <v>1</v>
      </c>
      <c r="J243" t="str">
        <f>+_xlfn.XLOOKUP(PRODUCTOS[[#This Row],[CODIGO]],P_CRITICOS[CODIGO],P_CRITICOS[DESC CORTA],"",0)</f>
        <v/>
      </c>
      <c r="K243" t="str">
        <f>+IFERROR(IF(VLOOKUP(PRODUCTOS[[#This Row],[CODIGO]],P_CRITICOS[],3,0)="*","PRODUCTO CRITICO","NO CRITICO"),"NO CRITICO")</f>
        <v>NO CRITICO</v>
      </c>
      <c r="L243" s="15">
        <f>+_xlfn.XLOOKUP(PRODUCTOS[[#This Row],[CODIGO]],BD_MODULO[Artículo],BD_MODULO[CUB_ACTUALIZADA],"",0)</f>
        <v>0.52500000000000002</v>
      </c>
      <c r="M243" s="2">
        <f>+IFERROR(PRODUCTOS[[#This Row],[PPTO]]*PRODUCTOS[[#This Row],[CANT X MODULO]],"")</f>
        <v>30791.25</v>
      </c>
      <c r="N243" s="2">
        <f>+IFERROR(PRODUCTOS[[#This Row],[PPTO X MODULO]]*32,"")</f>
        <v>985320</v>
      </c>
      <c r="O243" s="2">
        <f>+IFERROR(PRODUCTOS[[#This Row],[PPTO X TORRE]]*22,"")</f>
        <v>21677040</v>
      </c>
      <c r="P243" s="3">
        <f>+IFERROR(PRODUCTOS[[#This Row],[CANT X MODULO]]*702,"")</f>
        <v>368.55</v>
      </c>
      <c r="Q243" s="3">
        <f>+SUMIFS(DETALLE_GD_1[CANTIDAD SOLICITADA],DETALLE_GD_1[CODIGO],PRODUCTOS[[#This Row],[CODIGO]])</f>
        <v>0</v>
      </c>
      <c r="R243" s="3">
        <f>+SUMIFS(DETALLE_GD_1[DEVOLUCIÓN],DETALLE_GD_1[CODIGO],PRODUCTOS[[#This Row],[CODIGO]])</f>
        <v>0</v>
      </c>
      <c r="S243" s="3">
        <f>+PRODUCTOS[[#This Row],[CANT. COMPRADA]]-PRODUCTOS[[#This Row],[DEVOLUCIONES]]</f>
        <v>0</v>
      </c>
      <c r="T243" s="3">
        <f>+IFERROR(PRODUCTOS[[#This Row],[CANTIDAD RECIBIDA]]/PRODUCTOS[[#This Row],[CANT X MODULO]],"")</f>
        <v>0</v>
      </c>
      <c r="U243" s="3">
        <f>+SUMIFS(DETALLE_GD_1[VALOR TOTAL POR ITEM GD],DETALLE_GD_1[CODIGO],PRODUCTOS[[#This Row],[CODIGO]])</f>
        <v>0</v>
      </c>
      <c r="V243" s="3" t="str">
        <f>+IFERROR(PRODUCTOS[[#This Row],[PRECIO DE COMPRA]]/PRODUCTOS[[#This Row],[CANT. COMPRADA]],"")</f>
        <v/>
      </c>
      <c r="W243" s="3" t="str">
        <f>+IFERROR(PRODUCTOS[[#This Row],[PRECIO COMPRA UNITARIO]]*PRODUCTOS[[#This Row],[PPTO FALTANTE]],"")</f>
        <v/>
      </c>
      <c r="X243" s="7" t="str">
        <f>+IFERROR(PRODUCTOS[[#This Row],[PROYECCION COMPRA]]/PRODUCTOS[[#This Row],[PPTO TOTAL]]-1,"")</f>
        <v/>
      </c>
      <c r="Y243" s="3">
        <f>+IFERROR((PRODUCTOS[[#This Row],[CANT X MODULO]]*704)-PRODUCTOS[[#This Row],[CANT. COMPRADA]],"")</f>
        <v>369.6</v>
      </c>
      <c r="Z243" s="17">
        <f>+IFERROR(PRODUCTOS[[#This Row],[CANT. COMPRADA]]/PRODUCTOS[[#This Row],[PPTO FALTANTE]],"")</f>
        <v>0</v>
      </c>
      <c r="AA243" s="3" t="str">
        <f>+IFERROR(PRODUCTOS[[#This Row],[PROYECCION COMPRA]]-(PRODUCTOS[[#This Row],[PPTO FALTANTE]]*PRODUCTOS[[#This Row],[PPTO]]),"")</f>
        <v/>
      </c>
      <c r="AB243" s="3" t="str">
        <f>+_xlfn.XLOOKUP(PRODUCTOS[[#This Row],[CODIGO]],DETALLE_GD_1[CODIGO],DETALLE_GD_1[VALOR PPTO],"",0)</f>
        <v/>
      </c>
      <c r="AC243" s="3" t="e">
        <f>+AB243-PRODUCTOS[[#This Row],[PPTO_ACTUALIZADO]]</f>
        <v>#VALUE!</v>
      </c>
    </row>
    <row r="244" spans="1:29" hidden="1" x14ac:dyDescent="0.25">
      <c r="A244" t="s">
        <v>343</v>
      </c>
      <c r="B244" t="s">
        <v>344</v>
      </c>
      <c r="C244" t="s">
        <v>664</v>
      </c>
      <c r="D244" t="s">
        <v>240</v>
      </c>
      <c r="E244" t="s">
        <v>399</v>
      </c>
      <c r="F244" s="2">
        <v>34959</v>
      </c>
      <c r="G244" s="6" t="s">
        <v>36</v>
      </c>
      <c r="H244" s="2">
        <v>34959</v>
      </c>
      <c r="I244" t="b">
        <v>1</v>
      </c>
      <c r="J244" t="str">
        <f>+_xlfn.XLOOKUP(PRODUCTOS[[#This Row],[CODIGO]],P_CRITICOS[CODIGO],P_CRITICOS[DESC CORTA],"",0)</f>
        <v/>
      </c>
      <c r="K244" t="str">
        <f>+IFERROR(IF(VLOOKUP(PRODUCTOS[[#This Row],[CODIGO]],P_CRITICOS[],3,0)="*","PRODUCTO CRITICO","NO CRITICO"),"NO CRITICO")</f>
        <v>NO CRITICO</v>
      </c>
      <c r="L244" s="15">
        <f>+_xlfn.XLOOKUP(PRODUCTOS[[#This Row],[CODIGO]],BD_MODULO[Artículo],BD_MODULO[CUB_ACTUALIZADA],"",0)</f>
        <v>5.2499999999999998E-2</v>
      </c>
      <c r="M244" s="2">
        <f>+IFERROR(PRODUCTOS[[#This Row],[PPTO]]*PRODUCTOS[[#This Row],[CANT X MODULO]],"")</f>
        <v>1835.3474999999999</v>
      </c>
      <c r="N244" s="2">
        <f>+IFERROR(PRODUCTOS[[#This Row],[PPTO X MODULO]]*32,"")</f>
        <v>58731.119999999995</v>
      </c>
      <c r="O244" s="2">
        <f>+IFERROR(PRODUCTOS[[#This Row],[PPTO X TORRE]]*22,"")</f>
        <v>1292084.6399999999</v>
      </c>
      <c r="P244" s="3">
        <f>+IFERROR(PRODUCTOS[[#This Row],[CANT X MODULO]]*702,"")</f>
        <v>36.854999999999997</v>
      </c>
      <c r="Q244" s="3">
        <f>+SUMIFS(DETALLE_GD_1[CANTIDAD SOLICITADA],DETALLE_GD_1[CODIGO],PRODUCTOS[[#This Row],[CODIGO]])</f>
        <v>0</v>
      </c>
      <c r="R244" s="3">
        <f>+SUMIFS(DETALLE_GD_1[DEVOLUCIÓN],DETALLE_GD_1[CODIGO],PRODUCTOS[[#This Row],[CODIGO]])</f>
        <v>0</v>
      </c>
      <c r="S244" s="3">
        <f>+PRODUCTOS[[#This Row],[CANT. COMPRADA]]-PRODUCTOS[[#This Row],[DEVOLUCIONES]]</f>
        <v>0</v>
      </c>
      <c r="T244" s="3">
        <f>+IFERROR(PRODUCTOS[[#This Row],[CANTIDAD RECIBIDA]]/PRODUCTOS[[#This Row],[CANT X MODULO]],"")</f>
        <v>0</v>
      </c>
      <c r="U244" s="3">
        <f>+SUMIFS(DETALLE_GD_1[VALOR TOTAL POR ITEM GD],DETALLE_GD_1[CODIGO],PRODUCTOS[[#This Row],[CODIGO]])</f>
        <v>0</v>
      </c>
      <c r="V244" s="3" t="str">
        <f>+IFERROR(PRODUCTOS[[#This Row],[PRECIO DE COMPRA]]/PRODUCTOS[[#This Row],[CANT. COMPRADA]],"")</f>
        <v/>
      </c>
      <c r="W244" s="3" t="str">
        <f>+IFERROR(PRODUCTOS[[#This Row],[PRECIO COMPRA UNITARIO]]*PRODUCTOS[[#This Row],[PPTO FALTANTE]],"")</f>
        <v/>
      </c>
      <c r="X244" s="7" t="str">
        <f>+IFERROR(PRODUCTOS[[#This Row],[PROYECCION COMPRA]]/PRODUCTOS[[#This Row],[PPTO TOTAL]]-1,"")</f>
        <v/>
      </c>
      <c r="Y244" s="3">
        <f>+IFERROR((PRODUCTOS[[#This Row],[CANT X MODULO]]*704)-PRODUCTOS[[#This Row],[CANT. COMPRADA]],"")</f>
        <v>36.96</v>
      </c>
      <c r="Z244" s="17">
        <f>+IFERROR(PRODUCTOS[[#This Row],[CANT. COMPRADA]]/PRODUCTOS[[#This Row],[PPTO FALTANTE]],"")</f>
        <v>0</v>
      </c>
      <c r="AA244" s="3" t="str">
        <f>+IFERROR(PRODUCTOS[[#This Row],[PROYECCION COMPRA]]-(PRODUCTOS[[#This Row],[PPTO FALTANTE]]*PRODUCTOS[[#This Row],[PPTO]]),"")</f>
        <v/>
      </c>
      <c r="AB244" s="3" t="str">
        <f>+_xlfn.XLOOKUP(PRODUCTOS[[#This Row],[CODIGO]],DETALLE_GD_1[CODIGO],DETALLE_GD_1[VALOR PPTO],"",0)</f>
        <v/>
      </c>
      <c r="AC244" s="3" t="e">
        <f>+AB244-PRODUCTOS[[#This Row],[PPTO_ACTUALIZADO]]</f>
        <v>#VALUE!</v>
      </c>
    </row>
    <row r="245" spans="1:29" hidden="1" x14ac:dyDescent="0.25">
      <c r="A245">
        <v>407154</v>
      </c>
      <c r="B245" t="s">
        <v>365</v>
      </c>
      <c r="C245" t="s">
        <v>670</v>
      </c>
      <c r="D245" t="s">
        <v>240</v>
      </c>
      <c r="E245" t="s">
        <v>399</v>
      </c>
      <c r="F245" s="2">
        <v>214</v>
      </c>
      <c r="G245" s="6" t="s">
        <v>355</v>
      </c>
      <c r="H245" s="2">
        <v>214</v>
      </c>
      <c r="I245" t="b">
        <v>1</v>
      </c>
      <c r="J245" t="str">
        <f>+_xlfn.XLOOKUP(PRODUCTOS[[#This Row],[CODIGO]],P_CRITICOS[CODIGO],P_CRITICOS[DESC CORTA],"",0)</f>
        <v/>
      </c>
      <c r="K245" t="str">
        <f>+IFERROR(IF(VLOOKUP(PRODUCTOS[[#This Row],[CODIGO]],P_CRITICOS[],3,0)="*","PRODUCTO CRITICO","NO CRITICO"),"NO CRITICO")</f>
        <v>NO CRITICO</v>
      </c>
      <c r="L245" s="15">
        <f>+_xlfn.XLOOKUP(PRODUCTOS[[#This Row],[CODIGO]],BD_MODULO[Artículo],BD_MODULO[CUB_ACTUALIZADA],"",0)</f>
        <v>47.25</v>
      </c>
      <c r="M245" s="2">
        <f>+IFERROR(PRODUCTOS[[#This Row],[PPTO]]*PRODUCTOS[[#This Row],[CANT X MODULO]],"")</f>
        <v>10111.5</v>
      </c>
      <c r="N245" s="2">
        <f>+IFERROR(PRODUCTOS[[#This Row],[PPTO X MODULO]]*32,"")</f>
        <v>323568</v>
      </c>
      <c r="O245" s="2">
        <f>+IFERROR(PRODUCTOS[[#This Row],[PPTO X TORRE]]*22,"")</f>
        <v>7118496</v>
      </c>
      <c r="P245" s="3">
        <f>+IFERROR(PRODUCTOS[[#This Row],[CANT X MODULO]]*702,"")</f>
        <v>33169.5</v>
      </c>
      <c r="Q245" s="3">
        <f>+SUMIFS(DETALLE_GD_1[CANTIDAD SOLICITADA],DETALLE_GD_1[CODIGO],PRODUCTOS[[#This Row],[CODIGO]])</f>
        <v>0</v>
      </c>
      <c r="R245" s="3">
        <f>+SUMIFS(DETALLE_GD_1[DEVOLUCIÓN],DETALLE_GD_1[CODIGO],PRODUCTOS[[#This Row],[CODIGO]])</f>
        <v>0</v>
      </c>
      <c r="S245" s="3">
        <f>+PRODUCTOS[[#This Row],[CANT. COMPRADA]]-PRODUCTOS[[#This Row],[DEVOLUCIONES]]</f>
        <v>0</v>
      </c>
      <c r="T245" s="3">
        <f>+IFERROR(PRODUCTOS[[#This Row],[CANTIDAD RECIBIDA]]/PRODUCTOS[[#This Row],[CANT X MODULO]],"")</f>
        <v>0</v>
      </c>
      <c r="U245" s="3">
        <f>+SUMIFS(DETALLE_GD_1[VALOR TOTAL POR ITEM GD],DETALLE_GD_1[CODIGO],PRODUCTOS[[#This Row],[CODIGO]])</f>
        <v>0</v>
      </c>
      <c r="V245" s="3" t="str">
        <f>+IFERROR(PRODUCTOS[[#This Row],[PRECIO DE COMPRA]]/PRODUCTOS[[#This Row],[CANT. COMPRADA]],"")</f>
        <v/>
      </c>
      <c r="W245" s="3" t="str">
        <f>+IFERROR(PRODUCTOS[[#This Row],[PRECIO COMPRA UNITARIO]]*PRODUCTOS[[#This Row],[PPTO FALTANTE]],"")</f>
        <v/>
      </c>
      <c r="X245" s="7" t="str">
        <f>+IFERROR(PRODUCTOS[[#This Row],[PROYECCION COMPRA]]/PRODUCTOS[[#This Row],[PPTO TOTAL]]-1,"")</f>
        <v/>
      </c>
      <c r="Y245" s="3">
        <f>+IFERROR((PRODUCTOS[[#This Row],[CANT X MODULO]]*704)-PRODUCTOS[[#This Row],[CANT. COMPRADA]],"")</f>
        <v>33264</v>
      </c>
      <c r="Z245" s="17">
        <f>+IFERROR(PRODUCTOS[[#This Row],[CANT. COMPRADA]]/PRODUCTOS[[#This Row],[PPTO FALTANTE]],"")</f>
        <v>0</v>
      </c>
      <c r="AA245" s="3" t="str">
        <f>+IFERROR(PRODUCTOS[[#This Row],[PROYECCION COMPRA]]-(PRODUCTOS[[#This Row],[PPTO FALTANTE]]*PRODUCTOS[[#This Row],[PPTO]]),"")</f>
        <v/>
      </c>
      <c r="AB245" s="3" t="str">
        <f>+_xlfn.XLOOKUP(PRODUCTOS[[#This Row],[CODIGO]],DETALLE_GD_1[CODIGO],DETALLE_GD_1[VALOR PPTO],"",0)</f>
        <v/>
      </c>
      <c r="AC245" s="3" t="e">
        <f>+AB245-PRODUCTOS[[#This Row],[PPTO_ACTUALIZADO]]</f>
        <v>#VALUE!</v>
      </c>
    </row>
    <row r="246" spans="1:29" hidden="1" x14ac:dyDescent="0.25">
      <c r="A246" t="s">
        <v>481</v>
      </c>
      <c r="B246" t="s">
        <v>482</v>
      </c>
      <c r="C246" t="s">
        <v>679</v>
      </c>
      <c r="D246" t="s">
        <v>355</v>
      </c>
      <c r="E246" t="s">
        <v>355</v>
      </c>
      <c r="F246" s="2">
        <v>25238.09</v>
      </c>
      <c r="G246" s="6" t="s">
        <v>355</v>
      </c>
      <c r="H246" s="2">
        <v>25238.09</v>
      </c>
      <c r="I246" t="b">
        <v>1</v>
      </c>
      <c r="J246" t="str">
        <f>+_xlfn.XLOOKUP(PRODUCTOS[[#This Row],[CODIGO]],P_CRITICOS[CODIGO],P_CRITICOS[DESC CORTA],"",0)</f>
        <v/>
      </c>
      <c r="K246" t="str">
        <f>+IFERROR(IF(VLOOKUP(PRODUCTOS[[#This Row],[CODIGO]],P_CRITICOS[],3,0)="*","PRODUCTO CRITICO","NO CRITICO"),"NO CRITICO")</f>
        <v>NO CRITICO</v>
      </c>
      <c r="L246" s="15">
        <f>+_xlfn.XLOOKUP(PRODUCTOS[[#This Row],[CODIGO]],BD_MODULO[Artículo],BD_MODULO[CUB_ACTUALIZADA],"",0)</f>
        <v>1.05</v>
      </c>
      <c r="M246" s="2">
        <f>+IFERROR(PRODUCTOS[[#This Row],[PPTO]]*PRODUCTOS[[#This Row],[CANT X MODULO]],"")</f>
        <v>26499.994500000001</v>
      </c>
      <c r="N246" s="2">
        <f>+IFERROR(PRODUCTOS[[#This Row],[PPTO X MODULO]]*32,"")</f>
        <v>847999.82400000002</v>
      </c>
      <c r="O246" s="2">
        <f>+IFERROR(PRODUCTOS[[#This Row],[PPTO X TORRE]]*22,"")</f>
        <v>18655996.127999999</v>
      </c>
      <c r="P246" s="3">
        <f>+IFERROR(PRODUCTOS[[#This Row],[CANT X MODULO]]*702,"")</f>
        <v>737.1</v>
      </c>
      <c r="Q246" s="3">
        <f>+SUMIFS(DETALLE_GD_1[CANTIDAD SOLICITADA],DETALLE_GD_1[CODIGO],PRODUCTOS[[#This Row],[CODIGO]])</f>
        <v>0</v>
      </c>
      <c r="R246" s="3">
        <f>+SUMIFS(DETALLE_GD_1[DEVOLUCIÓN],DETALLE_GD_1[CODIGO],PRODUCTOS[[#This Row],[CODIGO]])</f>
        <v>0</v>
      </c>
      <c r="S246" s="3">
        <f>+PRODUCTOS[[#This Row],[CANT. COMPRADA]]-PRODUCTOS[[#This Row],[DEVOLUCIONES]]</f>
        <v>0</v>
      </c>
      <c r="T246" s="3">
        <f>+IFERROR(PRODUCTOS[[#This Row],[CANTIDAD RECIBIDA]]/PRODUCTOS[[#This Row],[CANT X MODULO]],"")</f>
        <v>0</v>
      </c>
      <c r="U246" s="3">
        <f>+SUMIFS(DETALLE_GD_1[VALOR TOTAL POR ITEM GD],DETALLE_GD_1[CODIGO],PRODUCTOS[[#This Row],[CODIGO]])</f>
        <v>0</v>
      </c>
      <c r="V246" s="3" t="str">
        <f>+IFERROR(PRODUCTOS[[#This Row],[PRECIO DE COMPRA]]/PRODUCTOS[[#This Row],[CANT. COMPRADA]],"")</f>
        <v/>
      </c>
      <c r="W246" s="3" t="str">
        <f>+IFERROR(PRODUCTOS[[#This Row],[PRECIO COMPRA UNITARIO]]*PRODUCTOS[[#This Row],[PPTO FALTANTE]],"")</f>
        <v/>
      </c>
      <c r="X246" s="7" t="str">
        <f>+IFERROR(PRODUCTOS[[#This Row],[PROYECCION COMPRA]]/PRODUCTOS[[#This Row],[PPTO TOTAL]]-1,"")</f>
        <v/>
      </c>
      <c r="Y246" s="3">
        <f>+IFERROR((PRODUCTOS[[#This Row],[CANT X MODULO]]*704)-PRODUCTOS[[#This Row],[CANT. COMPRADA]],"")</f>
        <v>739.2</v>
      </c>
      <c r="Z246" s="17">
        <f>+IFERROR(PRODUCTOS[[#This Row],[CANT. COMPRADA]]/PRODUCTOS[[#This Row],[PPTO FALTANTE]],"")</f>
        <v>0</v>
      </c>
      <c r="AA246" s="3" t="str">
        <f>+IFERROR(PRODUCTOS[[#This Row],[PROYECCION COMPRA]]-(PRODUCTOS[[#This Row],[PPTO FALTANTE]]*PRODUCTOS[[#This Row],[PPTO]]),"")</f>
        <v/>
      </c>
      <c r="AB246" s="3" t="str">
        <f>+_xlfn.XLOOKUP(PRODUCTOS[[#This Row],[CODIGO]],DETALLE_GD_1[CODIGO],DETALLE_GD_1[VALOR PPTO],"",0)</f>
        <v/>
      </c>
      <c r="AC246" s="3" t="e">
        <f>+AB246-PRODUCTOS[[#This Row],[PPTO_ACTUALIZADO]]</f>
        <v>#VALUE!</v>
      </c>
    </row>
    <row r="247" spans="1:29" hidden="1" x14ac:dyDescent="0.25">
      <c r="A247" t="s">
        <v>492</v>
      </c>
      <c r="B247" t="s">
        <v>492</v>
      </c>
      <c r="C247">
        <v>0</v>
      </c>
      <c r="D247" t="s">
        <v>355</v>
      </c>
      <c r="E247" t="s">
        <v>355</v>
      </c>
      <c r="G247" s="6" t="s">
        <v>355</v>
      </c>
      <c r="H247" s="2">
        <v>8826</v>
      </c>
      <c r="I247" t="b">
        <v>0</v>
      </c>
      <c r="J247" t="str">
        <f>+_xlfn.XLOOKUP(PRODUCTOS[[#This Row],[CODIGO]],P_CRITICOS[CODIGO],P_CRITICOS[DESC CORTA],"",0)</f>
        <v/>
      </c>
      <c r="K247" t="str">
        <f>+IFERROR(IF(VLOOKUP(PRODUCTOS[[#This Row],[CODIGO]],P_CRITICOS[],3,0)="*","PRODUCTO CRITICO","NO CRITICO"),"NO CRITICO")</f>
        <v>NO CRITICO</v>
      </c>
      <c r="L247" s="15">
        <f>+_xlfn.XLOOKUP(PRODUCTOS[[#This Row],[CODIGO]],BD_MODULO[Artículo],BD_MODULO[CUB_ACTUALIZADA],"",0)</f>
        <v>0.52500000000000002</v>
      </c>
      <c r="M247" s="2">
        <f>+IFERROR(PRODUCTOS[[#This Row],[PPTO]]*PRODUCTOS[[#This Row],[CANT X MODULO]],"")</f>
        <v>0</v>
      </c>
      <c r="N247" s="2">
        <f>+IFERROR(PRODUCTOS[[#This Row],[PPTO X MODULO]]*32,"")</f>
        <v>0</v>
      </c>
      <c r="O247" s="2">
        <f>+IFERROR(PRODUCTOS[[#This Row],[PPTO X TORRE]]*22,"")</f>
        <v>0</v>
      </c>
      <c r="P247" s="3">
        <f>+IFERROR(PRODUCTOS[[#This Row],[CANT X MODULO]]*702,"")</f>
        <v>368.55</v>
      </c>
      <c r="Q247" s="3">
        <f>+SUMIFS(DETALLE_GD_1[CANTIDAD SOLICITADA],DETALLE_GD_1[CODIGO],PRODUCTOS[[#This Row],[CODIGO]])</f>
        <v>0</v>
      </c>
      <c r="R247" s="3">
        <f>+SUMIFS(DETALLE_GD_1[DEVOLUCIÓN],DETALLE_GD_1[CODIGO],PRODUCTOS[[#This Row],[CODIGO]])</f>
        <v>0</v>
      </c>
      <c r="S247" s="3">
        <f>+PRODUCTOS[[#This Row],[CANT. COMPRADA]]-PRODUCTOS[[#This Row],[DEVOLUCIONES]]</f>
        <v>0</v>
      </c>
      <c r="T247" s="3">
        <f>+IFERROR(PRODUCTOS[[#This Row],[CANTIDAD RECIBIDA]]/PRODUCTOS[[#This Row],[CANT X MODULO]],"")</f>
        <v>0</v>
      </c>
      <c r="U247" s="3">
        <f>+SUMIFS(DETALLE_GD_1[VALOR TOTAL POR ITEM GD],DETALLE_GD_1[CODIGO],PRODUCTOS[[#This Row],[CODIGO]])</f>
        <v>0</v>
      </c>
      <c r="V247" s="3" t="str">
        <f>+IFERROR(PRODUCTOS[[#This Row],[PRECIO DE COMPRA]]/PRODUCTOS[[#This Row],[CANT. COMPRADA]],"")</f>
        <v/>
      </c>
      <c r="W247" s="3" t="str">
        <f>+IFERROR(PRODUCTOS[[#This Row],[PRECIO COMPRA UNITARIO]]*PRODUCTOS[[#This Row],[PPTO FALTANTE]],"")</f>
        <v/>
      </c>
      <c r="X247" s="7" t="str">
        <f>+IFERROR(PRODUCTOS[[#This Row],[PROYECCION COMPRA]]/PRODUCTOS[[#This Row],[PPTO TOTAL]]-1,"")</f>
        <v/>
      </c>
      <c r="Y247" s="3">
        <f>+IFERROR((PRODUCTOS[[#This Row],[CANT X MODULO]]*704)-PRODUCTOS[[#This Row],[CANT. COMPRADA]],"")</f>
        <v>369.6</v>
      </c>
      <c r="Z247" s="17">
        <f>+IFERROR(PRODUCTOS[[#This Row],[CANT. COMPRADA]]/PRODUCTOS[[#This Row],[PPTO FALTANTE]],"")</f>
        <v>0</v>
      </c>
      <c r="AA247" s="3" t="str">
        <f>+IFERROR(PRODUCTOS[[#This Row],[PROYECCION COMPRA]]-(PRODUCTOS[[#This Row],[PPTO FALTANTE]]*PRODUCTOS[[#This Row],[PPTO]]),"")</f>
        <v/>
      </c>
      <c r="AB247" s="3" t="str">
        <f>+_xlfn.XLOOKUP(PRODUCTOS[[#This Row],[CODIGO]],DETALLE_GD_1[CODIGO],DETALLE_GD_1[VALOR PPTO],"",0)</f>
        <v/>
      </c>
      <c r="AC247" s="3" t="e">
        <f>+AB247-PRODUCTOS[[#This Row],[PPTO_ACTUALIZADO]]</f>
        <v>#VALUE!</v>
      </c>
    </row>
    <row r="248" spans="1:29" hidden="1" x14ac:dyDescent="0.25">
      <c r="A248" t="s">
        <v>493</v>
      </c>
      <c r="B248" t="s">
        <v>494</v>
      </c>
      <c r="C248" t="s">
        <v>687</v>
      </c>
      <c r="D248" t="s">
        <v>355</v>
      </c>
      <c r="E248" t="s">
        <v>355</v>
      </c>
      <c r="G248" s="6" t="s">
        <v>355</v>
      </c>
      <c r="H248" s="2">
        <v>1</v>
      </c>
      <c r="I248" t="b">
        <v>0</v>
      </c>
      <c r="J248" t="str">
        <f>+_xlfn.XLOOKUP(PRODUCTOS[[#This Row],[CODIGO]],P_CRITICOS[CODIGO],P_CRITICOS[DESC CORTA],"",0)</f>
        <v/>
      </c>
      <c r="K248" t="str">
        <f>+IFERROR(IF(VLOOKUP(PRODUCTOS[[#This Row],[CODIGO]],P_CRITICOS[],3,0)="*","PRODUCTO CRITICO","NO CRITICO"),"NO CRITICO")</f>
        <v>NO CRITICO</v>
      </c>
      <c r="L248" s="15">
        <f>+_xlfn.XLOOKUP(PRODUCTOS[[#This Row],[CODIGO]],BD_MODULO[Artículo],BD_MODULO[CUB_ACTUALIZADA],"",0)</f>
        <v>0.52500000000000002</v>
      </c>
      <c r="M248" s="2">
        <f>+IFERROR(PRODUCTOS[[#This Row],[PPTO]]*PRODUCTOS[[#This Row],[CANT X MODULO]],"")</f>
        <v>0</v>
      </c>
      <c r="N248" s="2">
        <f>+IFERROR(PRODUCTOS[[#This Row],[PPTO X MODULO]]*32,"")</f>
        <v>0</v>
      </c>
      <c r="O248" s="2">
        <f>+IFERROR(PRODUCTOS[[#This Row],[PPTO X TORRE]]*22,"")</f>
        <v>0</v>
      </c>
      <c r="P248" s="3">
        <f>+IFERROR(PRODUCTOS[[#This Row],[CANT X MODULO]]*702,"")</f>
        <v>368.55</v>
      </c>
      <c r="Q248" s="3">
        <f>+SUMIFS(DETALLE_GD_1[CANTIDAD SOLICITADA],DETALLE_GD_1[CODIGO],PRODUCTOS[[#This Row],[CODIGO]])</f>
        <v>0</v>
      </c>
      <c r="R248" s="3">
        <f>+SUMIFS(DETALLE_GD_1[DEVOLUCIÓN],DETALLE_GD_1[CODIGO],PRODUCTOS[[#This Row],[CODIGO]])</f>
        <v>0</v>
      </c>
      <c r="S248" s="3">
        <f>+PRODUCTOS[[#This Row],[CANT. COMPRADA]]-PRODUCTOS[[#This Row],[DEVOLUCIONES]]</f>
        <v>0</v>
      </c>
      <c r="T248" s="3">
        <f>+IFERROR(PRODUCTOS[[#This Row],[CANTIDAD RECIBIDA]]/PRODUCTOS[[#This Row],[CANT X MODULO]],"")</f>
        <v>0</v>
      </c>
      <c r="U248" s="3">
        <f>+SUMIFS(DETALLE_GD_1[VALOR TOTAL POR ITEM GD],DETALLE_GD_1[CODIGO],PRODUCTOS[[#This Row],[CODIGO]])</f>
        <v>0</v>
      </c>
      <c r="V248" s="3" t="str">
        <f>+IFERROR(PRODUCTOS[[#This Row],[PRECIO DE COMPRA]]/PRODUCTOS[[#This Row],[CANT. COMPRADA]],"")</f>
        <v/>
      </c>
      <c r="W248" s="3" t="str">
        <f>+IFERROR(PRODUCTOS[[#This Row],[PRECIO COMPRA UNITARIO]]*PRODUCTOS[[#This Row],[PPTO FALTANTE]],"")</f>
        <v/>
      </c>
      <c r="X248" s="7" t="str">
        <f>+IFERROR(PRODUCTOS[[#This Row],[PROYECCION COMPRA]]/PRODUCTOS[[#This Row],[PPTO TOTAL]]-1,"")</f>
        <v/>
      </c>
      <c r="Y248" s="3">
        <f>+IFERROR((PRODUCTOS[[#This Row],[CANT X MODULO]]*704)-PRODUCTOS[[#This Row],[CANT. COMPRADA]],"")</f>
        <v>369.6</v>
      </c>
      <c r="Z248" s="17">
        <f>+IFERROR(PRODUCTOS[[#This Row],[CANT. COMPRADA]]/PRODUCTOS[[#This Row],[PPTO FALTANTE]],"")</f>
        <v>0</v>
      </c>
      <c r="AA248" s="3" t="str">
        <f>+IFERROR(PRODUCTOS[[#This Row],[PROYECCION COMPRA]]-(PRODUCTOS[[#This Row],[PPTO FALTANTE]]*PRODUCTOS[[#This Row],[PPTO]]),"")</f>
        <v/>
      </c>
      <c r="AB248" s="3" t="str">
        <f>+_xlfn.XLOOKUP(PRODUCTOS[[#This Row],[CODIGO]],DETALLE_GD_1[CODIGO],DETALLE_GD_1[VALOR PPTO],"",0)</f>
        <v/>
      </c>
      <c r="AC248" s="3" t="e">
        <f>+AB248-PRODUCTOS[[#This Row],[PPTO_ACTUALIZADO]]</f>
        <v>#VALUE!</v>
      </c>
    </row>
    <row r="249" spans="1:29" hidden="1" x14ac:dyDescent="0.25">
      <c r="A249">
        <v>410082</v>
      </c>
      <c r="B249" t="s">
        <v>499</v>
      </c>
      <c r="C249" t="s">
        <v>691</v>
      </c>
      <c r="D249" t="s">
        <v>355</v>
      </c>
      <c r="E249" t="s">
        <v>355</v>
      </c>
      <c r="F249" s="2">
        <v>12677</v>
      </c>
      <c r="G249" s="6" t="s">
        <v>355</v>
      </c>
      <c r="H249" s="2">
        <v>12677</v>
      </c>
      <c r="I249" t="b">
        <v>1</v>
      </c>
      <c r="J249" t="str">
        <f>+_xlfn.XLOOKUP(PRODUCTOS[[#This Row],[CODIGO]],P_CRITICOS[CODIGO],P_CRITICOS[DESC CORTA],"",0)</f>
        <v/>
      </c>
      <c r="K249" t="str">
        <f>+IFERROR(IF(VLOOKUP(PRODUCTOS[[#This Row],[CODIGO]],P_CRITICOS[],3,0)="*","PRODUCTO CRITICO","NO CRITICO"),"NO CRITICO")</f>
        <v>NO CRITICO</v>
      </c>
      <c r="L249" s="15">
        <f>+_xlfn.XLOOKUP(PRODUCTOS[[#This Row],[CODIGO]],BD_MODULO[Artículo],BD_MODULO[CUB_ACTUALIZADA],"",0)</f>
        <v>4.4625000000000004</v>
      </c>
      <c r="M249" s="2">
        <f>+IFERROR(PRODUCTOS[[#This Row],[PPTO]]*PRODUCTOS[[#This Row],[CANT X MODULO]],"")</f>
        <v>56571.112500000003</v>
      </c>
      <c r="N249" s="2">
        <f>+IFERROR(PRODUCTOS[[#This Row],[PPTO X MODULO]]*32,"")</f>
        <v>1810275.6</v>
      </c>
      <c r="O249" s="2">
        <f>+IFERROR(PRODUCTOS[[#This Row],[PPTO X TORRE]]*22,"")</f>
        <v>39826063.200000003</v>
      </c>
      <c r="P249" s="3">
        <f>+IFERROR(PRODUCTOS[[#This Row],[CANT X MODULO]]*702,"")</f>
        <v>3132.6750000000002</v>
      </c>
      <c r="Q249" s="3">
        <f>+SUMIFS(DETALLE_GD_1[CANTIDAD SOLICITADA],DETALLE_GD_1[CODIGO],PRODUCTOS[[#This Row],[CODIGO]])</f>
        <v>0</v>
      </c>
      <c r="R249" s="3">
        <f>+SUMIFS(DETALLE_GD_1[DEVOLUCIÓN],DETALLE_GD_1[CODIGO],PRODUCTOS[[#This Row],[CODIGO]])</f>
        <v>0</v>
      </c>
      <c r="S249" s="3">
        <f>+PRODUCTOS[[#This Row],[CANT. COMPRADA]]-PRODUCTOS[[#This Row],[DEVOLUCIONES]]</f>
        <v>0</v>
      </c>
      <c r="T249" s="3">
        <f>+IFERROR(PRODUCTOS[[#This Row],[CANTIDAD RECIBIDA]]/PRODUCTOS[[#This Row],[CANT X MODULO]],"")</f>
        <v>0</v>
      </c>
      <c r="U249" s="3">
        <f>+SUMIFS(DETALLE_GD_1[VALOR TOTAL POR ITEM GD],DETALLE_GD_1[CODIGO],PRODUCTOS[[#This Row],[CODIGO]])</f>
        <v>0</v>
      </c>
      <c r="V249" s="3" t="str">
        <f>+IFERROR(PRODUCTOS[[#This Row],[PRECIO DE COMPRA]]/PRODUCTOS[[#This Row],[CANT. COMPRADA]],"")</f>
        <v/>
      </c>
      <c r="W249" s="3" t="str">
        <f>+IFERROR(PRODUCTOS[[#This Row],[PRECIO COMPRA UNITARIO]]*PRODUCTOS[[#This Row],[PPTO FALTANTE]],"")</f>
        <v/>
      </c>
      <c r="X249" s="7" t="str">
        <f>+IFERROR(PRODUCTOS[[#This Row],[PROYECCION COMPRA]]/PRODUCTOS[[#This Row],[PPTO TOTAL]]-1,"")</f>
        <v/>
      </c>
      <c r="Y249" s="3">
        <f>+IFERROR((PRODUCTOS[[#This Row],[CANT X MODULO]]*704)-PRODUCTOS[[#This Row],[CANT. COMPRADA]],"")</f>
        <v>3141.6000000000004</v>
      </c>
      <c r="Z249" s="17">
        <f>+IFERROR(PRODUCTOS[[#This Row],[CANT. COMPRADA]]/PRODUCTOS[[#This Row],[PPTO FALTANTE]],"")</f>
        <v>0</v>
      </c>
      <c r="AA249" s="3" t="str">
        <f>+IFERROR(PRODUCTOS[[#This Row],[PROYECCION COMPRA]]-(PRODUCTOS[[#This Row],[PPTO FALTANTE]]*PRODUCTOS[[#This Row],[PPTO]]),"")</f>
        <v/>
      </c>
      <c r="AB249" s="3" t="str">
        <f>+_xlfn.XLOOKUP(PRODUCTOS[[#This Row],[CODIGO]],DETALLE_GD_1[CODIGO],DETALLE_GD_1[VALOR PPTO],"",0)</f>
        <v/>
      </c>
      <c r="AC249" s="3" t="e">
        <f>+AB249-PRODUCTOS[[#This Row],[PPTO_ACTUALIZADO]]</f>
        <v>#VALUE!</v>
      </c>
    </row>
    <row r="250" spans="1:29" hidden="1" x14ac:dyDescent="0.25">
      <c r="A250">
        <v>410082</v>
      </c>
      <c r="B250" t="s">
        <v>500</v>
      </c>
      <c r="C250" t="s">
        <v>691</v>
      </c>
      <c r="D250" t="s">
        <v>355</v>
      </c>
      <c r="E250" t="s">
        <v>355</v>
      </c>
      <c r="F250" s="2">
        <v>12677</v>
      </c>
      <c r="G250" s="6" t="s">
        <v>355</v>
      </c>
      <c r="H250" s="2">
        <v>12677</v>
      </c>
      <c r="I250" t="b">
        <v>1</v>
      </c>
      <c r="J250" t="str">
        <f>+_xlfn.XLOOKUP(PRODUCTOS[[#This Row],[CODIGO]],P_CRITICOS[CODIGO],P_CRITICOS[DESC CORTA],"",0)</f>
        <v/>
      </c>
      <c r="K250" t="str">
        <f>+IFERROR(IF(VLOOKUP(PRODUCTOS[[#This Row],[CODIGO]],P_CRITICOS[],3,0)="*","PRODUCTO CRITICO","NO CRITICO"),"NO CRITICO")</f>
        <v>NO CRITICO</v>
      </c>
      <c r="L250" s="15">
        <f>+_xlfn.XLOOKUP(PRODUCTOS[[#This Row],[CODIGO]],BD_MODULO[Artículo],BD_MODULO[CUB_ACTUALIZADA],"",0)</f>
        <v>4.4625000000000004</v>
      </c>
      <c r="M250" s="2">
        <f>+IFERROR(PRODUCTOS[[#This Row],[PPTO]]*PRODUCTOS[[#This Row],[CANT X MODULO]],"")</f>
        <v>56571.112500000003</v>
      </c>
      <c r="N250" s="2">
        <f>+IFERROR(PRODUCTOS[[#This Row],[PPTO X MODULO]]*32,"")</f>
        <v>1810275.6</v>
      </c>
      <c r="O250" s="2">
        <f>+IFERROR(PRODUCTOS[[#This Row],[PPTO X TORRE]]*22,"")</f>
        <v>39826063.200000003</v>
      </c>
      <c r="P250" s="3">
        <f>+IFERROR(PRODUCTOS[[#This Row],[CANT X MODULO]]*702,"")</f>
        <v>3132.6750000000002</v>
      </c>
      <c r="Q250" s="3">
        <f>+SUMIFS(DETALLE_GD_1[CANTIDAD SOLICITADA],DETALLE_GD_1[CODIGO],PRODUCTOS[[#This Row],[CODIGO]])</f>
        <v>0</v>
      </c>
      <c r="R250" s="3">
        <f>+SUMIFS(DETALLE_GD_1[DEVOLUCIÓN],DETALLE_GD_1[CODIGO],PRODUCTOS[[#This Row],[CODIGO]])</f>
        <v>0</v>
      </c>
      <c r="S250" s="3">
        <f>+PRODUCTOS[[#This Row],[CANT. COMPRADA]]-PRODUCTOS[[#This Row],[DEVOLUCIONES]]</f>
        <v>0</v>
      </c>
      <c r="T250" s="3">
        <f>+IFERROR(PRODUCTOS[[#This Row],[CANTIDAD RECIBIDA]]/PRODUCTOS[[#This Row],[CANT X MODULO]],"")</f>
        <v>0</v>
      </c>
      <c r="U250" s="3">
        <f>+SUMIFS(DETALLE_GD_1[VALOR TOTAL POR ITEM GD],DETALLE_GD_1[CODIGO],PRODUCTOS[[#This Row],[CODIGO]])</f>
        <v>0</v>
      </c>
      <c r="V250" s="3" t="str">
        <f>+IFERROR(PRODUCTOS[[#This Row],[PRECIO DE COMPRA]]/PRODUCTOS[[#This Row],[CANT. COMPRADA]],"")</f>
        <v/>
      </c>
      <c r="W250" s="3" t="str">
        <f>+IFERROR(PRODUCTOS[[#This Row],[PRECIO COMPRA UNITARIO]]*PRODUCTOS[[#This Row],[PPTO FALTANTE]],"")</f>
        <v/>
      </c>
      <c r="X250" s="7" t="str">
        <f>+IFERROR(PRODUCTOS[[#This Row],[PROYECCION COMPRA]]/PRODUCTOS[[#This Row],[PPTO TOTAL]]-1,"")</f>
        <v/>
      </c>
      <c r="Y250" s="3">
        <f>+IFERROR((PRODUCTOS[[#This Row],[CANT X MODULO]]*704)-PRODUCTOS[[#This Row],[CANT. COMPRADA]],"")</f>
        <v>3141.6000000000004</v>
      </c>
      <c r="Z250" s="17">
        <f>+IFERROR(PRODUCTOS[[#This Row],[CANT. COMPRADA]]/PRODUCTOS[[#This Row],[PPTO FALTANTE]],"")</f>
        <v>0</v>
      </c>
      <c r="AA250" s="3" t="str">
        <f>+IFERROR(PRODUCTOS[[#This Row],[PROYECCION COMPRA]]-(PRODUCTOS[[#This Row],[PPTO FALTANTE]]*PRODUCTOS[[#This Row],[PPTO]]),"")</f>
        <v/>
      </c>
      <c r="AB250" s="3" t="str">
        <f>+_xlfn.XLOOKUP(PRODUCTOS[[#This Row],[CODIGO]],DETALLE_GD_1[CODIGO],DETALLE_GD_1[VALOR PPTO],"",0)</f>
        <v/>
      </c>
      <c r="AC250" s="3" t="e">
        <f>+AB250-PRODUCTOS[[#This Row],[PPTO_ACTUALIZADO]]</f>
        <v>#VALUE!</v>
      </c>
    </row>
    <row r="251" spans="1:29" hidden="1" x14ac:dyDescent="0.25">
      <c r="A251" t="s">
        <v>502</v>
      </c>
      <c r="B251" t="s">
        <v>503</v>
      </c>
      <c r="C251" t="s">
        <v>692</v>
      </c>
      <c r="D251" t="s">
        <v>355</v>
      </c>
      <c r="E251" t="s">
        <v>355</v>
      </c>
      <c r="G251" s="6" t="s">
        <v>355</v>
      </c>
      <c r="H251" s="2">
        <v>12677</v>
      </c>
      <c r="I251" t="b">
        <v>0</v>
      </c>
      <c r="J251" t="str">
        <f>+_xlfn.XLOOKUP(PRODUCTOS[[#This Row],[CODIGO]],P_CRITICOS[CODIGO],P_CRITICOS[DESC CORTA],"",0)</f>
        <v/>
      </c>
      <c r="K251" t="str">
        <f>+IFERROR(IF(VLOOKUP(PRODUCTOS[[#This Row],[CODIGO]],P_CRITICOS[],3,0)="*","PRODUCTO CRITICO","NO CRITICO"),"NO CRITICO")</f>
        <v>NO CRITICO</v>
      </c>
      <c r="L251" s="15">
        <f>+_xlfn.XLOOKUP(PRODUCTOS[[#This Row],[CODIGO]],BD_MODULO[Artículo],BD_MODULO[CUB_ACTUALIZADA],"",0)</f>
        <v>2.3625000000000003</v>
      </c>
      <c r="M251" s="2">
        <f>+IFERROR(PRODUCTOS[[#This Row],[PPTO]]*PRODUCTOS[[#This Row],[CANT X MODULO]],"")</f>
        <v>0</v>
      </c>
      <c r="N251" s="2">
        <f>+IFERROR(PRODUCTOS[[#This Row],[PPTO X MODULO]]*32,"")</f>
        <v>0</v>
      </c>
      <c r="O251" s="2">
        <f>+IFERROR(PRODUCTOS[[#This Row],[PPTO X TORRE]]*22,"")</f>
        <v>0</v>
      </c>
      <c r="P251" s="3">
        <f>+IFERROR(PRODUCTOS[[#This Row],[CANT X MODULO]]*702,"")</f>
        <v>1658.4750000000001</v>
      </c>
      <c r="Q251" s="3">
        <f>+SUMIFS(DETALLE_GD_1[CANTIDAD SOLICITADA],DETALLE_GD_1[CODIGO],PRODUCTOS[[#This Row],[CODIGO]])</f>
        <v>0</v>
      </c>
      <c r="R251" s="3">
        <f>+SUMIFS(DETALLE_GD_1[DEVOLUCIÓN],DETALLE_GD_1[CODIGO],PRODUCTOS[[#This Row],[CODIGO]])</f>
        <v>0</v>
      </c>
      <c r="S251" s="3">
        <f>+PRODUCTOS[[#This Row],[CANT. COMPRADA]]-PRODUCTOS[[#This Row],[DEVOLUCIONES]]</f>
        <v>0</v>
      </c>
      <c r="T251" s="3">
        <f>+IFERROR(PRODUCTOS[[#This Row],[CANTIDAD RECIBIDA]]/PRODUCTOS[[#This Row],[CANT X MODULO]],"")</f>
        <v>0</v>
      </c>
      <c r="U251" s="3">
        <f>+SUMIFS(DETALLE_GD_1[VALOR TOTAL POR ITEM GD],DETALLE_GD_1[CODIGO],PRODUCTOS[[#This Row],[CODIGO]])</f>
        <v>0</v>
      </c>
      <c r="V251" s="3" t="str">
        <f>+IFERROR(PRODUCTOS[[#This Row],[PRECIO DE COMPRA]]/PRODUCTOS[[#This Row],[CANT. COMPRADA]],"")</f>
        <v/>
      </c>
      <c r="W251" s="3" t="str">
        <f>+IFERROR(PRODUCTOS[[#This Row],[PRECIO COMPRA UNITARIO]]*PRODUCTOS[[#This Row],[PPTO FALTANTE]],"")</f>
        <v/>
      </c>
      <c r="X251" s="7" t="str">
        <f>+IFERROR(PRODUCTOS[[#This Row],[PROYECCION COMPRA]]/PRODUCTOS[[#This Row],[PPTO TOTAL]]-1,"")</f>
        <v/>
      </c>
      <c r="Y251" s="3">
        <f>+IFERROR((PRODUCTOS[[#This Row],[CANT X MODULO]]*704)-PRODUCTOS[[#This Row],[CANT. COMPRADA]],"")</f>
        <v>1663.2000000000003</v>
      </c>
      <c r="Z251" s="17">
        <f>+IFERROR(PRODUCTOS[[#This Row],[CANT. COMPRADA]]/PRODUCTOS[[#This Row],[PPTO FALTANTE]],"")</f>
        <v>0</v>
      </c>
      <c r="AA251" s="3" t="str">
        <f>+IFERROR(PRODUCTOS[[#This Row],[PROYECCION COMPRA]]-(PRODUCTOS[[#This Row],[PPTO FALTANTE]]*PRODUCTOS[[#This Row],[PPTO]]),"")</f>
        <v/>
      </c>
      <c r="AB251" s="3" t="str">
        <f>+_xlfn.XLOOKUP(PRODUCTOS[[#This Row],[CODIGO]],DETALLE_GD_1[CODIGO],DETALLE_GD_1[VALOR PPTO],"",0)</f>
        <v/>
      </c>
      <c r="AC251" s="3" t="e">
        <f>+AB251-PRODUCTOS[[#This Row],[PPTO_ACTUALIZADO]]</f>
        <v>#VALUE!</v>
      </c>
    </row>
    <row r="252" spans="1:29" hidden="1" x14ac:dyDescent="0.25">
      <c r="A252" t="s">
        <v>504</v>
      </c>
      <c r="B252" t="s">
        <v>505</v>
      </c>
      <c r="C252" t="s">
        <v>693</v>
      </c>
      <c r="D252" t="s">
        <v>355</v>
      </c>
      <c r="E252" t="s">
        <v>355</v>
      </c>
      <c r="F252" s="2">
        <v>7253</v>
      </c>
      <c r="G252" s="6" t="s">
        <v>355</v>
      </c>
      <c r="H252" s="2">
        <v>7253</v>
      </c>
      <c r="I252" t="b">
        <v>1</v>
      </c>
      <c r="J252" t="str">
        <f>+_xlfn.XLOOKUP(PRODUCTOS[[#This Row],[CODIGO]],P_CRITICOS[CODIGO],P_CRITICOS[DESC CORTA],"",0)</f>
        <v/>
      </c>
      <c r="K252" t="str">
        <f>+IFERROR(IF(VLOOKUP(PRODUCTOS[[#This Row],[CODIGO]],P_CRITICOS[],3,0)="*","PRODUCTO CRITICO","NO CRITICO"),"NO CRITICO")</f>
        <v>NO CRITICO</v>
      </c>
      <c r="L252" s="15">
        <f>+_xlfn.XLOOKUP(PRODUCTOS[[#This Row],[CODIGO]],BD_MODULO[Artículo],BD_MODULO[CUB_ACTUALIZADA],"",0)</f>
        <v>2.1</v>
      </c>
      <c r="M252" s="2">
        <f>+IFERROR(PRODUCTOS[[#This Row],[PPTO]]*PRODUCTOS[[#This Row],[CANT X MODULO]],"")</f>
        <v>15231.300000000001</v>
      </c>
      <c r="N252" s="2">
        <f>+IFERROR(PRODUCTOS[[#This Row],[PPTO X MODULO]]*32,"")</f>
        <v>487401.60000000003</v>
      </c>
      <c r="O252" s="2">
        <f>+IFERROR(PRODUCTOS[[#This Row],[PPTO X TORRE]]*22,"")</f>
        <v>10722835.200000001</v>
      </c>
      <c r="P252" s="3">
        <f>+IFERROR(PRODUCTOS[[#This Row],[CANT X MODULO]]*702,"")</f>
        <v>1474.2</v>
      </c>
      <c r="Q252" s="3">
        <f>+SUMIFS(DETALLE_GD_1[CANTIDAD SOLICITADA],DETALLE_GD_1[CODIGO],PRODUCTOS[[#This Row],[CODIGO]])</f>
        <v>0</v>
      </c>
      <c r="R252" s="3">
        <f>+SUMIFS(DETALLE_GD_1[DEVOLUCIÓN],DETALLE_GD_1[CODIGO],PRODUCTOS[[#This Row],[CODIGO]])</f>
        <v>0</v>
      </c>
      <c r="S252" s="3">
        <f>+PRODUCTOS[[#This Row],[CANT. COMPRADA]]-PRODUCTOS[[#This Row],[DEVOLUCIONES]]</f>
        <v>0</v>
      </c>
      <c r="T252" s="3">
        <f>+IFERROR(PRODUCTOS[[#This Row],[CANTIDAD RECIBIDA]]/PRODUCTOS[[#This Row],[CANT X MODULO]],"")</f>
        <v>0</v>
      </c>
      <c r="U252" s="3">
        <f>+SUMIFS(DETALLE_GD_1[VALOR TOTAL POR ITEM GD],DETALLE_GD_1[CODIGO],PRODUCTOS[[#This Row],[CODIGO]])</f>
        <v>0</v>
      </c>
      <c r="V252" s="3" t="str">
        <f>+IFERROR(PRODUCTOS[[#This Row],[PRECIO DE COMPRA]]/PRODUCTOS[[#This Row],[CANT. COMPRADA]],"")</f>
        <v/>
      </c>
      <c r="W252" s="3" t="str">
        <f>+IFERROR(PRODUCTOS[[#This Row],[PRECIO COMPRA UNITARIO]]*PRODUCTOS[[#This Row],[PPTO FALTANTE]],"")</f>
        <v/>
      </c>
      <c r="X252" s="7" t="str">
        <f>+IFERROR(PRODUCTOS[[#This Row],[PROYECCION COMPRA]]/PRODUCTOS[[#This Row],[PPTO TOTAL]]-1,"")</f>
        <v/>
      </c>
      <c r="Y252" s="3">
        <f>+IFERROR((PRODUCTOS[[#This Row],[CANT X MODULO]]*704)-PRODUCTOS[[#This Row],[CANT. COMPRADA]],"")</f>
        <v>1478.4</v>
      </c>
      <c r="Z252" s="17">
        <f>+IFERROR(PRODUCTOS[[#This Row],[CANT. COMPRADA]]/PRODUCTOS[[#This Row],[PPTO FALTANTE]],"")</f>
        <v>0</v>
      </c>
      <c r="AA252" s="3" t="str">
        <f>+IFERROR(PRODUCTOS[[#This Row],[PROYECCION COMPRA]]-(PRODUCTOS[[#This Row],[PPTO FALTANTE]]*PRODUCTOS[[#This Row],[PPTO]]),"")</f>
        <v/>
      </c>
      <c r="AB252" s="3" t="str">
        <f>+_xlfn.XLOOKUP(PRODUCTOS[[#This Row],[CODIGO]],DETALLE_GD_1[CODIGO],DETALLE_GD_1[VALOR PPTO],"",0)</f>
        <v/>
      </c>
      <c r="AC252" s="3" t="e">
        <f>+AB252-PRODUCTOS[[#This Row],[PPTO_ACTUALIZADO]]</f>
        <v>#VALUE!</v>
      </c>
    </row>
    <row r="253" spans="1:29" hidden="1" x14ac:dyDescent="0.25">
      <c r="A253" t="s">
        <v>506</v>
      </c>
      <c r="B253" t="s">
        <v>507</v>
      </c>
      <c r="C253" t="s">
        <v>694</v>
      </c>
      <c r="D253" t="s">
        <v>355</v>
      </c>
      <c r="E253" t="s">
        <v>355</v>
      </c>
      <c r="F253" s="2">
        <v>51840</v>
      </c>
      <c r="G253" s="6" t="s">
        <v>355</v>
      </c>
      <c r="H253" s="2">
        <v>51840</v>
      </c>
      <c r="I253" t="b">
        <v>1</v>
      </c>
      <c r="J253" t="str">
        <f>+_xlfn.XLOOKUP(PRODUCTOS[[#This Row],[CODIGO]],P_CRITICOS[CODIGO],P_CRITICOS[DESC CORTA],"",0)</f>
        <v/>
      </c>
      <c r="K253" t="str">
        <f>+IFERROR(IF(VLOOKUP(PRODUCTOS[[#This Row],[CODIGO]],P_CRITICOS[],3,0)="*","PRODUCTO CRITICO","NO CRITICO"),"NO CRITICO")</f>
        <v>NO CRITICO</v>
      </c>
      <c r="L253" s="15">
        <f>+_xlfn.XLOOKUP(PRODUCTOS[[#This Row],[CODIGO]],BD_MODULO[Artículo],BD_MODULO[CUB_ACTUALIZADA],"",0)</f>
        <v>1.1812499999999999</v>
      </c>
      <c r="M253" s="2">
        <f>+IFERROR(PRODUCTOS[[#This Row],[PPTO]]*PRODUCTOS[[#This Row],[CANT X MODULO]],"")</f>
        <v>61235.999999999993</v>
      </c>
      <c r="N253" s="2">
        <f>+IFERROR(PRODUCTOS[[#This Row],[PPTO X MODULO]]*32,"")</f>
        <v>1959551.9999999998</v>
      </c>
      <c r="O253" s="2">
        <f>+IFERROR(PRODUCTOS[[#This Row],[PPTO X TORRE]]*22,"")</f>
        <v>43110143.999999993</v>
      </c>
      <c r="P253" s="3">
        <f>+IFERROR(PRODUCTOS[[#This Row],[CANT X MODULO]]*702,"")</f>
        <v>829.23749999999995</v>
      </c>
      <c r="Q253" s="3">
        <f>+SUMIFS(DETALLE_GD_1[CANTIDAD SOLICITADA],DETALLE_GD_1[CODIGO],PRODUCTOS[[#This Row],[CODIGO]])</f>
        <v>0</v>
      </c>
      <c r="R253" s="3">
        <f>+SUMIFS(DETALLE_GD_1[DEVOLUCIÓN],DETALLE_GD_1[CODIGO],PRODUCTOS[[#This Row],[CODIGO]])</f>
        <v>0</v>
      </c>
      <c r="S253" s="3">
        <f>+PRODUCTOS[[#This Row],[CANT. COMPRADA]]-PRODUCTOS[[#This Row],[DEVOLUCIONES]]</f>
        <v>0</v>
      </c>
      <c r="T253" s="3">
        <f>+IFERROR(PRODUCTOS[[#This Row],[CANTIDAD RECIBIDA]]/PRODUCTOS[[#This Row],[CANT X MODULO]],"")</f>
        <v>0</v>
      </c>
      <c r="U253" s="3">
        <f>+SUMIFS(DETALLE_GD_1[VALOR TOTAL POR ITEM GD],DETALLE_GD_1[CODIGO],PRODUCTOS[[#This Row],[CODIGO]])</f>
        <v>0</v>
      </c>
      <c r="V253" s="3" t="str">
        <f>+IFERROR(PRODUCTOS[[#This Row],[PRECIO DE COMPRA]]/PRODUCTOS[[#This Row],[CANT. COMPRADA]],"")</f>
        <v/>
      </c>
      <c r="W253" s="3" t="str">
        <f>+IFERROR(PRODUCTOS[[#This Row],[PRECIO COMPRA UNITARIO]]*PRODUCTOS[[#This Row],[PPTO FALTANTE]],"")</f>
        <v/>
      </c>
      <c r="X253" s="7" t="str">
        <f>+IFERROR(PRODUCTOS[[#This Row],[PROYECCION COMPRA]]/PRODUCTOS[[#This Row],[PPTO TOTAL]]-1,"")</f>
        <v/>
      </c>
      <c r="Y253" s="3">
        <f>+IFERROR((PRODUCTOS[[#This Row],[CANT X MODULO]]*704)-PRODUCTOS[[#This Row],[CANT. COMPRADA]],"")</f>
        <v>831.59999999999991</v>
      </c>
      <c r="Z253" s="17">
        <f>+IFERROR(PRODUCTOS[[#This Row],[CANT. COMPRADA]]/PRODUCTOS[[#This Row],[PPTO FALTANTE]],"")</f>
        <v>0</v>
      </c>
      <c r="AA253" s="3" t="str">
        <f>+IFERROR(PRODUCTOS[[#This Row],[PROYECCION COMPRA]]-(PRODUCTOS[[#This Row],[PPTO FALTANTE]]*PRODUCTOS[[#This Row],[PPTO]]),"")</f>
        <v/>
      </c>
      <c r="AB253" s="3" t="str">
        <f>+_xlfn.XLOOKUP(PRODUCTOS[[#This Row],[CODIGO]],DETALLE_GD_1[CODIGO],DETALLE_GD_1[VALOR PPTO],"",0)</f>
        <v/>
      </c>
      <c r="AC253" s="3" t="e">
        <f>+AB253-PRODUCTOS[[#This Row],[PPTO_ACTUALIZADO]]</f>
        <v>#VALUE!</v>
      </c>
    </row>
    <row r="254" spans="1:29" hidden="1" x14ac:dyDescent="0.25">
      <c r="A254" t="s">
        <v>508</v>
      </c>
      <c r="B254" t="s">
        <v>509</v>
      </c>
      <c r="C254" t="s">
        <v>695</v>
      </c>
      <c r="D254" t="s">
        <v>355</v>
      </c>
      <c r="E254" t="s">
        <v>355</v>
      </c>
      <c r="G254" s="6" t="s">
        <v>355</v>
      </c>
      <c r="H254" s="2">
        <v>552</v>
      </c>
      <c r="I254" t="b">
        <v>0</v>
      </c>
      <c r="J254" t="str">
        <f>+_xlfn.XLOOKUP(PRODUCTOS[[#This Row],[CODIGO]],P_CRITICOS[CODIGO],P_CRITICOS[DESC CORTA],"",0)</f>
        <v/>
      </c>
      <c r="K254" t="str">
        <f>+IFERROR(IF(VLOOKUP(PRODUCTOS[[#This Row],[CODIGO]],P_CRITICOS[],3,0)="*","PRODUCTO CRITICO","NO CRITICO"),"NO CRITICO")</f>
        <v>NO CRITICO</v>
      </c>
      <c r="L254" s="15">
        <f>+_xlfn.XLOOKUP(PRODUCTOS[[#This Row],[CODIGO]],BD_MODULO[Artículo],BD_MODULO[CUB_ACTUALIZADA],"",0)</f>
        <v>4.7250000000000005</v>
      </c>
      <c r="M254" s="2">
        <f>+IFERROR(PRODUCTOS[[#This Row],[PPTO]]*PRODUCTOS[[#This Row],[CANT X MODULO]],"")</f>
        <v>0</v>
      </c>
      <c r="N254" s="2">
        <f>+IFERROR(PRODUCTOS[[#This Row],[PPTO X MODULO]]*32,"")</f>
        <v>0</v>
      </c>
      <c r="O254" s="2">
        <f>+IFERROR(PRODUCTOS[[#This Row],[PPTO X TORRE]]*22,"")</f>
        <v>0</v>
      </c>
      <c r="P254" s="3">
        <f>+IFERROR(PRODUCTOS[[#This Row],[CANT X MODULO]]*702,"")</f>
        <v>3316.9500000000003</v>
      </c>
      <c r="Q254" s="3">
        <f>+SUMIFS(DETALLE_GD_1[CANTIDAD SOLICITADA],DETALLE_GD_1[CODIGO],PRODUCTOS[[#This Row],[CODIGO]])</f>
        <v>0</v>
      </c>
      <c r="R254" s="3">
        <f>+SUMIFS(DETALLE_GD_1[DEVOLUCIÓN],DETALLE_GD_1[CODIGO],PRODUCTOS[[#This Row],[CODIGO]])</f>
        <v>0</v>
      </c>
      <c r="S254" s="3">
        <f>+PRODUCTOS[[#This Row],[CANT. COMPRADA]]-PRODUCTOS[[#This Row],[DEVOLUCIONES]]</f>
        <v>0</v>
      </c>
      <c r="T254" s="3">
        <f>+IFERROR(PRODUCTOS[[#This Row],[CANTIDAD RECIBIDA]]/PRODUCTOS[[#This Row],[CANT X MODULO]],"")</f>
        <v>0</v>
      </c>
      <c r="U254" s="3">
        <f>+SUMIFS(DETALLE_GD_1[VALOR TOTAL POR ITEM GD],DETALLE_GD_1[CODIGO],PRODUCTOS[[#This Row],[CODIGO]])</f>
        <v>0</v>
      </c>
      <c r="V254" s="3" t="str">
        <f>+IFERROR(PRODUCTOS[[#This Row],[PRECIO DE COMPRA]]/PRODUCTOS[[#This Row],[CANT. COMPRADA]],"")</f>
        <v/>
      </c>
      <c r="W254" s="3" t="str">
        <f>+IFERROR(PRODUCTOS[[#This Row],[PRECIO COMPRA UNITARIO]]*PRODUCTOS[[#This Row],[PPTO FALTANTE]],"")</f>
        <v/>
      </c>
      <c r="X254" s="7" t="str">
        <f>+IFERROR(PRODUCTOS[[#This Row],[PROYECCION COMPRA]]/PRODUCTOS[[#This Row],[PPTO TOTAL]]-1,"")</f>
        <v/>
      </c>
      <c r="Y254" s="3">
        <f>+IFERROR((PRODUCTOS[[#This Row],[CANT X MODULO]]*704)-PRODUCTOS[[#This Row],[CANT. COMPRADA]],"")</f>
        <v>3326.4000000000005</v>
      </c>
      <c r="Z254" s="17">
        <f>+IFERROR(PRODUCTOS[[#This Row],[CANT. COMPRADA]]/PRODUCTOS[[#This Row],[PPTO FALTANTE]],"")</f>
        <v>0</v>
      </c>
      <c r="AA254" s="3" t="str">
        <f>+IFERROR(PRODUCTOS[[#This Row],[PROYECCION COMPRA]]-(PRODUCTOS[[#This Row],[PPTO FALTANTE]]*PRODUCTOS[[#This Row],[PPTO]]),"")</f>
        <v/>
      </c>
      <c r="AB254" s="3" t="str">
        <f>+_xlfn.XLOOKUP(PRODUCTOS[[#This Row],[CODIGO]],DETALLE_GD_1[CODIGO],DETALLE_GD_1[VALOR PPTO],"",0)</f>
        <v/>
      </c>
      <c r="AC254" s="3" t="e">
        <f>+AB254-PRODUCTOS[[#This Row],[PPTO_ACTUALIZADO]]</f>
        <v>#VALUE!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DDCB7-B548-4D0B-8717-227AF8E301FC}">
  <dimension ref="A1:V149"/>
  <sheetViews>
    <sheetView zoomScaleNormal="100" workbookViewId="0">
      <selection activeCell="O144" sqref="O144"/>
    </sheetView>
  </sheetViews>
  <sheetFormatPr baseColWidth="10" defaultRowHeight="15" x14ac:dyDescent="0.25"/>
  <cols>
    <col min="1" max="1" width="16.42578125" bestFit="1" customWidth="1"/>
    <col min="2" max="2" width="11" bestFit="1" customWidth="1"/>
    <col min="3" max="3" width="81.140625" customWidth="1"/>
    <col min="4" max="4" width="6.7109375" hidden="1" customWidth="1"/>
    <col min="5" max="5" width="20.5703125" hidden="1" customWidth="1"/>
    <col min="6" max="6" width="18.5703125" hidden="1" customWidth="1"/>
    <col min="7" max="7" width="16" bestFit="1" customWidth="1"/>
    <col min="8" max="8" width="28.5703125" hidden="1" customWidth="1"/>
    <col min="9" max="9" width="18.5703125" hidden="1" customWidth="1"/>
    <col min="10" max="10" width="13" hidden="1" customWidth="1"/>
    <col min="11" max="11" width="22.42578125" hidden="1" customWidth="1"/>
    <col min="12" max="12" width="24.85546875" style="3" hidden="1" customWidth="1"/>
    <col min="13" max="13" width="32" style="3" bestFit="1" customWidth="1"/>
    <col min="14" max="14" width="18.7109375" style="3" bestFit="1" customWidth="1"/>
    <col min="15" max="15" width="26" bestFit="1" customWidth="1"/>
    <col min="16" max="16" width="18.5703125" bestFit="1" customWidth="1"/>
    <col min="17" max="17" width="17.85546875" bestFit="1" customWidth="1"/>
    <col min="18" max="18" width="15.85546875" bestFit="1" customWidth="1"/>
    <col min="22" max="22" width="24.5703125" bestFit="1" customWidth="1"/>
    <col min="23" max="23" width="23.28515625" bestFit="1" customWidth="1"/>
  </cols>
  <sheetData>
    <row r="1" spans="1:22" x14ac:dyDescent="0.25">
      <c r="A1" t="s">
        <v>696</v>
      </c>
      <c r="B1" t="s">
        <v>2</v>
      </c>
      <c r="C1" t="s">
        <v>322</v>
      </c>
      <c r="D1" t="s">
        <v>697</v>
      </c>
      <c r="E1" t="s">
        <v>700</v>
      </c>
      <c r="F1" t="s">
        <v>371</v>
      </c>
      <c r="G1" t="s">
        <v>705</v>
      </c>
      <c r="H1" t="s">
        <v>354</v>
      </c>
      <c r="I1" t="s">
        <v>706</v>
      </c>
      <c r="J1" t="s">
        <v>776</v>
      </c>
      <c r="K1" s="3" t="s">
        <v>715</v>
      </c>
      <c r="L1" s="3" t="s">
        <v>789</v>
      </c>
      <c r="M1" s="3" t="s">
        <v>790</v>
      </c>
      <c r="N1" t="s">
        <v>791</v>
      </c>
      <c r="O1" t="s">
        <v>714</v>
      </c>
      <c r="P1" t="s">
        <v>702</v>
      </c>
      <c r="Q1" t="s">
        <v>703</v>
      </c>
      <c r="R1" t="s">
        <v>718</v>
      </c>
      <c r="V1" s="37" t="s">
        <v>704</v>
      </c>
    </row>
    <row r="2" spans="1:22" hidden="1" x14ac:dyDescent="0.25">
      <c r="A2" s="1">
        <v>46125</v>
      </c>
      <c r="B2" t="s">
        <v>21</v>
      </c>
      <c r="C2" s="81" t="s">
        <v>510</v>
      </c>
      <c r="D2" s="81" t="s">
        <v>20</v>
      </c>
      <c r="E2">
        <v>388</v>
      </c>
      <c r="F2">
        <v>6.3000000000000007</v>
      </c>
      <c r="G2">
        <v>44</v>
      </c>
      <c r="H2" s="81" t="str">
        <f>+_xlfn.XLOOKUP(REG_STOCK[[#This Row],[CODIGO]],PRODUCTOS[CODIGO],PRODUCTOS[DESC CORTA],"",0)</f>
        <v>PINO 3X8X320</v>
      </c>
      <c r="I2" s="76">
        <f>SUMIFS(DETALLE_GD_1[CANTIDAD RECEPCIONADA],DETALLE_GD_1[CODIGO],REG_STOCK[[#This Row],[CODIGO]],DETALLE_GD_1[FECHA SOLICITUD],"&lt;="&amp;REG_STOCK[[#This Row],[FECHA STOCK ]])+97</f>
        <v>485</v>
      </c>
      <c r="J2" s="81">
        <f>+REG_STOCK[[#This Row],[SOLICITADO A TF]]-REG_STOCK[[#This Row],[STOCK FISICO]]</f>
        <v>441</v>
      </c>
      <c r="K2" s="40">
        <f>+_xlfn.XLOOKUP(REG_STOCK[[#This Row],[CODIGO]],PRODUCTOS[CODIGO],PRODUCTOS[CANT X MODULO],"",0)</f>
        <v>6.3000000000000007</v>
      </c>
      <c r="L2" s="3">
        <f>+REG_STOCK[[#This Row],[CONSUMO]]/REG_STOCK[[#This Row],[CUBICACION PPTO.]]</f>
        <v>69.999999999999986</v>
      </c>
      <c r="M2" s="3">
        <f>+REG_STOCK[[#This Row],[STOCK FISICO]]/REG_STOCK[[#This Row],[CUBICACION PPTO.]]</f>
        <v>6.9841269841269833</v>
      </c>
      <c r="N2" s="3">
        <f>+REG_STOCK[[#This Row],[SOLICITADO A TF]]/REG_STOCK[[#This Row],[CUBICACION PPTO.]]</f>
        <v>76.984126984126974</v>
      </c>
      <c r="O2" s="3">
        <f>IF($V$2-REG_STOCK[[#This Row],[ALCANCE FISICO]]&gt;0,"",($V$2-REG_STOCK[[#This Row],[ALCANCE FISICO]]/REG_STOCK[[#This Row],[CUBICACION PPTO.]]))</f>
        <v>51.780297304106831</v>
      </c>
      <c r="P2" s="3">
        <f>+_xlfn.XLOOKUP(REG_STOCK[[#This Row],[CODIGO]],PRODUCTOS[CODIGO],PRODUCTOS[PRECIO COMPRA UNITARIO],"",0)</f>
        <v>15451.816831683169</v>
      </c>
      <c r="Q2" s="3">
        <f>IFERROR(REG_STOCK[[#This Row],[VALOR UNITARIO]]*REG_STOCK[[#This Row],[PERDIDA O EN PROCESO]],"")</f>
        <v>800099.66943315649</v>
      </c>
      <c r="R2" s="3">
        <f>+REG_STOCK[[#This Row],[VALOR UNITARIO]]*REG_STOCK[[#This Row],[STOCK FISICO]]</f>
        <v>679879.94059405942</v>
      </c>
      <c r="V2">
        <v>64</v>
      </c>
    </row>
    <row r="3" spans="1:22" hidden="1" x14ac:dyDescent="0.25">
      <c r="A3" s="1">
        <v>46125</v>
      </c>
      <c r="B3">
        <v>304101</v>
      </c>
      <c r="C3" s="81" t="s">
        <v>698</v>
      </c>
      <c r="D3" s="81" t="s">
        <v>18</v>
      </c>
      <c r="E3">
        <v>1825</v>
      </c>
      <c r="F3">
        <v>23.273250000000008</v>
      </c>
      <c r="G3">
        <v>118</v>
      </c>
      <c r="H3" s="81" t="str">
        <f>+_xlfn.XLOOKUP(REG_STOCK[[#This Row],[CODIGO]],PRODUCTOS[CODIGO],PRODUCTOS[DESC CORTA],"",0)</f>
        <v>OSB 9.5</v>
      </c>
      <c r="I3" s="76">
        <f>SUMIFS(DETALLE_GD_1[CANTIDAD RECEPCIONADA],DETALLE_GD_1[CODIGO],REG_STOCK[[#This Row],[CODIGO]],DETALLE_GD_1[FECHA SOLICITUD],"&lt;="&amp;REG_STOCK[[#This Row],[FECHA STOCK ]])+97</f>
        <v>1922</v>
      </c>
      <c r="J3" s="81">
        <f>+REG_STOCK[[#This Row],[SOLICITADO A TF]]-REG_STOCK[[#This Row],[STOCK FISICO]]</f>
        <v>1804</v>
      </c>
      <c r="K3" s="40">
        <f>+_xlfn.XLOOKUP(REG_STOCK[[#This Row],[CODIGO]],PRODUCTOS[CODIGO],PRODUCTOS[CANT X MODULO],"",0)</f>
        <v>47.643749999999976</v>
      </c>
      <c r="L3" s="3">
        <f>+REG_STOCK[[#This Row],[CONSUMO]]/REG_STOCK[[#This Row],[CUBICACION PPTO.]]</f>
        <v>37.864357864357885</v>
      </c>
      <c r="M3" s="3">
        <f>+REG_STOCK[[#This Row],[STOCK FISICO]]/REG_STOCK[[#This Row],[CUBICACION PPTO.]]</f>
        <v>2.4767152039879323</v>
      </c>
      <c r="N3" s="3">
        <f>+REG_STOCK[[#This Row],[SOLICITADO A TF]]/REG_STOCK[[#This Row],[CUBICACION PPTO.]]</f>
        <v>40.341073068345814</v>
      </c>
      <c r="O3" s="3" t="str">
        <f>IF($V$2-REG_STOCK[[#This Row],[ALCANCE FISICO]]&gt;0,"",($V$2-REG_STOCK[[#This Row],[ALCANCE FISICO]]/REG_STOCK[[#This Row],[CUBICACION PPTO.]]))</f>
        <v/>
      </c>
      <c r="P3" s="3">
        <f>+_xlfn.XLOOKUP(REG_STOCK[[#This Row],[CODIGO]],PRODUCTOS[CODIGO],PRODUCTOS[PRECIO COMPRA UNITARIO],"",0)</f>
        <v>9652.5142678608627</v>
      </c>
      <c r="Q3" s="3" t="str">
        <f>IFERROR(REG_STOCK[[#This Row],[VALOR UNITARIO]]*REG_STOCK[[#This Row],[PERDIDA O EN PROCESO]],"")</f>
        <v/>
      </c>
      <c r="R3" s="3">
        <f>+REG_STOCK[[#This Row],[VALOR UNITARIO]]*REG_STOCK[[#This Row],[STOCK FISICO]]</f>
        <v>1138996.6836075818</v>
      </c>
    </row>
    <row r="4" spans="1:22" hidden="1" x14ac:dyDescent="0.25">
      <c r="A4" s="1">
        <v>46125</v>
      </c>
      <c r="B4">
        <v>302044</v>
      </c>
      <c r="C4" s="81" t="s">
        <v>513</v>
      </c>
      <c r="D4" s="81" t="s">
        <v>20</v>
      </c>
      <c r="E4">
        <v>1754</v>
      </c>
      <c r="F4">
        <v>1.2368067885117493</v>
      </c>
      <c r="G4">
        <v>155</v>
      </c>
      <c r="H4" s="81" t="str">
        <f>+_xlfn.XLOOKUP(REG_STOCK[[#This Row],[CODIGO]],PRODUCTOS[CODIGO],PRODUCTOS[DESC CORTA],"",0)</f>
        <v>PINO 2X8X4</v>
      </c>
      <c r="I4" s="76">
        <f>SUMIFS(DETALLE_GD_1[CANTIDAD RECEPCIONADA],DETALLE_GD_1[CODIGO],REG_STOCK[[#This Row],[CODIGO]],DETALLE_GD_1[FECHA SOLICITUD],"&lt;="&amp;REG_STOCK[[#This Row],[FECHA STOCK ]])+97</f>
        <v>981</v>
      </c>
      <c r="J4" s="81">
        <f>+REG_STOCK[[#This Row],[SOLICITADO A TF]]-REG_STOCK[[#This Row],[STOCK FISICO]]</f>
        <v>826</v>
      </c>
      <c r="K4" s="40">
        <f>+_xlfn.XLOOKUP(REG_STOCK[[#This Row],[CODIGO]],PRODUCTOS[CODIGO],PRODUCTOS[CANT X MODULO],"",0)</f>
        <v>35.174999999999997</v>
      </c>
      <c r="L4" s="3">
        <f>+REG_STOCK[[#This Row],[CONSUMO]]/REG_STOCK[[#This Row],[CUBICACION PPTO.]]</f>
        <v>23.482587064676618</v>
      </c>
      <c r="M4" s="3">
        <f>+REG_STOCK[[#This Row],[STOCK FISICO]]/REG_STOCK[[#This Row],[CUBICACION PPTO.]]</f>
        <v>4.4065387348969445</v>
      </c>
      <c r="N4" s="3">
        <f>+REG_STOCK[[#This Row],[SOLICITADO A TF]]/REG_STOCK[[#This Row],[CUBICACION PPTO.]]</f>
        <v>27.889125799573563</v>
      </c>
      <c r="O4" s="3" t="str">
        <f>IF($V$2-REG_STOCK[[#This Row],[ALCANCE FISICO]]&gt;0,"",($V$2-REG_STOCK[[#This Row],[ALCANCE FISICO]]/REG_STOCK[[#This Row],[CUBICACION PPTO.]]))</f>
        <v/>
      </c>
      <c r="P4" s="3">
        <f>+_xlfn.XLOOKUP(REG_STOCK[[#This Row],[CODIGO]],PRODUCTOS[CODIGO],PRODUCTOS[PRECIO COMPRA UNITARIO],"",0)</f>
        <v>13784.651394422312</v>
      </c>
      <c r="Q4" s="3" t="str">
        <f>IFERROR(REG_STOCK[[#This Row],[VALOR UNITARIO]]*REG_STOCK[[#This Row],[PERDIDA O EN PROCESO]],"")</f>
        <v/>
      </c>
      <c r="R4" s="3">
        <f>+REG_STOCK[[#This Row],[VALOR UNITARIO]]*REG_STOCK[[#This Row],[STOCK FISICO]]</f>
        <v>2136620.9661354581</v>
      </c>
    </row>
    <row r="5" spans="1:22" hidden="1" x14ac:dyDescent="0.25">
      <c r="A5" s="1">
        <v>46125</v>
      </c>
      <c r="B5">
        <v>302010</v>
      </c>
      <c r="C5" s="81" t="s">
        <v>514</v>
      </c>
      <c r="D5" s="81" t="s">
        <v>20</v>
      </c>
      <c r="E5">
        <v>1596</v>
      </c>
      <c r="F5">
        <v>8.6625000000000014</v>
      </c>
      <c r="G5">
        <v>452</v>
      </c>
      <c r="H5" s="81" t="str">
        <f>+_xlfn.XLOOKUP(REG_STOCK[[#This Row],[CODIGO]],PRODUCTOS[CODIGO],PRODUCTOS[DESC CORTA],"",0)</f>
        <v>PINO 2X6X320</v>
      </c>
      <c r="I5" s="76">
        <f>SUMIFS(DETALLE_GD_1[CANTIDAD RECEPCIONADA],DETALLE_GD_1[CODIGO],REG_STOCK[[#This Row],[CODIGO]],DETALLE_GD_1[FECHA SOLICITUD],"&lt;="&amp;REG_STOCK[[#This Row],[FECHA STOCK ]])+97</f>
        <v>1693</v>
      </c>
      <c r="J5" s="81">
        <f>+REG_STOCK[[#This Row],[SOLICITADO A TF]]-REG_STOCK[[#This Row],[STOCK FISICO]]</f>
        <v>1241</v>
      </c>
      <c r="K5" s="40">
        <f>+_xlfn.XLOOKUP(REG_STOCK[[#This Row],[CODIGO]],PRODUCTOS[CODIGO],PRODUCTOS[CANT X MODULO],"",0)</f>
        <v>34.912500000000023</v>
      </c>
      <c r="L5" s="3">
        <f>+REG_STOCK[[#This Row],[CONSUMO]]/REG_STOCK[[#This Row],[CUBICACION PPTO.]]</f>
        <v>35.546007876834921</v>
      </c>
      <c r="M5" s="3">
        <f>+REG_STOCK[[#This Row],[STOCK FISICO]]/REG_STOCK[[#This Row],[CUBICACION PPTO.]]</f>
        <v>12.946652345148577</v>
      </c>
      <c r="N5" s="3">
        <f>+REG_STOCK[[#This Row],[SOLICITADO A TF]]/REG_STOCK[[#This Row],[CUBICACION PPTO.]]</f>
        <v>48.492660221983499</v>
      </c>
      <c r="O5" s="3" t="str">
        <f>IF($V$2-REG_STOCK[[#This Row],[ALCANCE FISICO]]&gt;0,"",($V$2-REG_STOCK[[#This Row],[ALCANCE FISICO]]/REG_STOCK[[#This Row],[CUBICACION PPTO.]]))</f>
        <v/>
      </c>
      <c r="P5" s="3">
        <f>+_xlfn.XLOOKUP(REG_STOCK[[#This Row],[CODIGO]],PRODUCTOS[CODIGO],PRODUCTOS[PRECIO COMPRA UNITARIO],"",0)</f>
        <v>5566.8590808416393</v>
      </c>
      <c r="Q5" s="3" t="str">
        <f>IFERROR(REG_STOCK[[#This Row],[VALOR UNITARIO]]*REG_STOCK[[#This Row],[PERDIDA O EN PROCESO]],"")</f>
        <v/>
      </c>
      <c r="R5" s="3">
        <f>+REG_STOCK[[#This Row],[VALOR UNITARIO]]*REG_STOCK[[#This Row],[STOCK FISICO]]</f>
        <v>2516220.3045404209</v>
      </c>
    </row>
    <row r="6" spans="1:22" hidden="1" x14ac:dyDescent="0.25">
      <c r="A6" s="1">
        <v>46125</v>
      </c>
      <c r="B6">
        <v>302028</v>
      </c>
      <c r="C6" s="81" t="s">
        <v>515</v>
      </c>
      <c r="D6" s="81" t="s">
        <v>20</v>
      </c>
      <c r="E6">
        <v>7561</v>
      </c>
      <c r="F6">
        <v>31.237499999999997</v>
      </c>
      <c r="G6">
        <v>324</v>
      </c>
      <c r="H6" s="81" t="str">
        <f>+_xlfn.XLOOKUP(REG_STOCK[[#This Row],[CODIGO]],PRODUCTOS[CODIGO],PRODUCTOS[DESC CORTA],"",0)</f>
        <v>PINO 2X4X320</v>
      </c>
      <c r="I6" s="76">
        <f>SUMIFS(DETALLE_GD_1[CANTIDAD RECEPCIONADA],DETALLE_GD_1[CODIGO],REG_STOCK[[#This Row],[CODIGO]],DETALLE_GD_1[FECHA SOLICITUD],"&lt;="&amp;REG_STOCK[[#This Row],[FECHA STOCK ]])+97</f>
        <v>7658</v>
      </c>
      <c r="J6" s="81">
        <f>+REG_STOCK[[#This Row],[SOLICITADO A TF]]-REG_STOCK[[#This Row],[STOCK FISICO]]</f>
        <v>7334</v>
      </c>
      <c r="K6" s="40">
        <f>+_xlfn.XLOOKUP(REG_STOCK[[#This Row],[CODIGO]],PRODUCTOS[CODIGO],PRODUCTOS[CANT X MODULO],"",0)</f>
        <v>172.72499999999994</v>
      </c>
      <c r="L6" s="3">
        <f>+REG_STOCK[[#This Row],[CONSUMO]]/REG_STOCK[[#This Row],[CUBICACION PPTO.]]</f>
        <v>42.460558691561744</v>
      </c>
      <c r="M6" s="3">
        <f>+REG_STOCK[[#This Row],[STOCK FISICO]]/REG_STOCK[[#This Row],[CUBICACION PPTO.]]</f>
        <v>1.8758141554494145</v>
      </c>
      <c r="N6" s="3">
        <f>+REG_STOCK[[#This Row],[SOLICITADO A TF]]/REG_STOCK[[#This Row],[CUBICACION PPTO.]]</f>
        <v>44.336372847011162</v>
      </c>
      <c r="O6" s="3" t="str">
        <f>IF($V$2-REG_STOCK[[#This Row],[ALCANCE FISICO]]&gt;0,"",($V$2-REG_STOCK[[#This Row],[ALCANCE FISICO]]/REG_STOCK[[#This Row],[CUBICACION PPTO.]]))</f>
        <v/>
      </c>
      <c r="P6" s="3">
        <f>+_xlfn.XLOOKUP(REG_STOCK[[#This Row],[CODIGO]],PRODUCTOS[CODIGO],PRODUCTOS[PRECIO COMPRA UNITARIO],"",0)</f>
        <v>4760.4046547265589</v>
      </c>
      <c r="Q6" s="3" t="str">
        <f>IFERROR(REG_STOCK[[#This Row],[VALOR UNITARIO]]*REG_STOCK[[#This Row],[PERDIDA O EN PROCESO]],"")</f>
        <v/>
      </c>
      <c r="R6" s="3">
        <f>+REG_STOCK[[#This Row],[VALOR UNITARIO]]*REG_STOCK[[#This Row],[STOCK FISICO]]</f>
        <v>1542371.108131405</v>
      </c>
    </row>
    <row r="7" spans="1:22" hidden="1" x14ac:dyDescent="0.25">
      <c r="A7" s="1">
        <v>46125</v>
      </c>
      <c r="B7">
        <v>304049</v>
      </c>
      <c r="C7" s="81" t="s">
        <v>318</v>
      </c>
      <c r="D7" s="81" t="s">
        <v>18</v>
      </c>
      <c r="E7">
        <v>585</v>
      </c>
      <c r="F7">
        <v>40.010249999999999</v>
      </c>
      <c r="G7">
        <v>165</v>
      </c>
      <c r="H7" s="81" t="str">
        <f>+_xlfn.XLOOKUP(REG_STOCK[[#This Row],[CODIGO]],PRODUCTOS[CODIGO],PRODUCTOS[DESC CORTA],"",0)</f>
        <v>TERCIADO FENOLICO</v>
      </c>
      <c r="I7" s="76">
        <f>SUMIFS(DETALLE_GD_1[CANTIDAD RECEPCIONADA],DETALLE_GD_1[CODIGO],REG_STOCK[[#This Row],[CODIGO]],DETALLE_GD_1[FECHA SOLICITUD],"&lt;="&amp;REG_STOCK[[#This Row],[FECHA STOCK ]])+97</f>
        <v>812</v>
      </c>
      <c r="J7" s="81">
        <f>+REG_STOCK[[#This Row],[SOLICITADO A TF]]-REG_STOCK[[#This Row],[STOCK FISICO]]</f>
        <v>647</v>
      </c>
      <c r="K7" s="40">
        <f>+_xlfn.XLOOKUP(REG_STOCK[[#This Row],[CODIGO]],PRODUCTOS[CODIGO],PRODUCTOS[CANT X MODULO],"",0)</f>
        <v>23.273250000000008</v>
      </c>
      <c r="L7" s="3">
        <f>+REG_STOCK[[#This Row],[CONSUMO]]/REG_STOCK[[#This Row],[CUBICACION PPTO.]]</f>
        <v>27.800156832414888</v>
      </c>
      <c r="M7" s="3">
        <f>+REG_STOCK[[#This Row],[STOCK FISICO]]/REG_STOCK[[#This Row],[CUBICACION PPTO.]]</f>
        <v>7.089684509039345</v>
      </c>
      <c r="N7" s="3">
        <f>+REG_STOCK[[#This Row],[SOLICITADO A TF]]/REG_STOCK[[#This Row],[CUBICACION PPTO.]]</f>
        <v>34.889841341454236</v>
      </c>
      <c r="O7" s="3" t="str">
        <f>IF($V$2-REG_STOCK[[#This Row],[ALCANCE FISICO]]&gt;0,"",($V$2-REG_STOCK[[#This Row],[ALCANCE FISICO]]/REG_STOCK[[#This Row],[CUBICACION PPTO.]]))</f>
        <v/>
      </c>
      <c r="P7" s="3">
        <f>+_xlfn.XLOOKUP(REG_STOCK[[#This Row],[CODIGO]],PRODUCTOS[CODIGO],PRODUCTOS[PRECIO COMPRA UNITARIO],"",0)</f>
        <v>15018.620734341253</v>
      </c>
      <c r="Q7" s="3" t="str">
        <f>IFERROR(REG_STOCK[[#This Row],[VALOR UNITARIO]]*REG_STOCK[[#This Row],[PERDIDA O EN PROCESO]],"")</f>
        <v/>
      </c>
      <c r="R7" s="3">
        <f>+REG_STOCK[[#This Row],[VALOR UNITARIO]]*REG_STOCK[[#This Row],[STOCK FISICO]]</f>
        <v>2478072.4211663068</v>
      </c>
    </row>
    <row r="8" spans="1:22" hidden="1" x14ac:dyDescent="0.25">
      <c r="A8" s="1">
        <v>46125</v>
      </c>
      <c r="B8">
        <v>304007</v>
      </c>
      <c r="C8" s="81" t="s">
        <v>80</v>
      </c>
      <c r="D8" s="81" t="s">
        <v>18</v>
      </c>
      <c r="E8">
        <v>612</v>
      </c>
      <c r="F8">
        <v>23.296874999999996</v>
      </c>
      <c r="G8">
        <v>107</v>
      </c>
      <c r="H8" s="81" t="str">
        <f>+_xlfn.XLOOKUP(REG_STOCK[[#This Row],[CODIGO]],PRODUCTOS[CODIGO],PRODUCTOS[DESC CORTA],"",0)</f>
        <v>OSB 11MM</v>
      </c>
      <c r="I8" s="76">
        <f>SUMIFS(DETALLE_GD_1[CANTIDAD RECEPCIONADA],DETALLE_GD_1[CODIGO],REG_STOCK[[#This Row],[CODIGO]],DETALLE_GD_1[FECHA SOLICITUD],"&lt;="&amp;REG_STOCK[[#This Row],[FECHA STOCK ]])+97</f>
        <v>709</v>
      </c>
      <c r="J8" s="81">
        <f>+REG_STOCK[[#This Row],[SOLICITADO A TF]]-REG_STOCK[[#This Row],[STOCK FISICO]]</f>
        <v>602</v>
      </c>
      <c r="K8" s="40">
        <f>+_xlfn.XLOOKUP(REG_STOCK[[#This Row],[CODIGO]],PRODUCTOS[CODIGO],PRODUCTOS[CANT X MODULO],"",0)</f>
        <v>8.6625000000000014</v>
      </c>
      <c r="L8" s="3">
        <f>+REG_STOCK[[#This Row],[CONSUMO]]/REG_STOCK[[#This Row],[CUBICACION PPTO.]]</f>
        <v>69.494949494949481</v>
      </c>
      <c r="M8" s="3">
        <f>+REG_STOCK[[#This Row],[STOCK FISICO]]/REG_STOCK[[#This Row],[CUBICACION PPTO.]]</f>
        <v>12.352092352092351</v>
      </c>
      <c r="N8" s="3">
        <f>+REG_STOCK[[#This Row],[SOLICITADO A TF]]/REG_STOCK[[#This Row],[CUBICACION PPTO.]]</f>
        <v>81.847041847041837</v>
      </c>
      <c r="O8" s="3">
        <f>IF($V$2-REG_STOCK[[#This Row],[ALCANCE FISICO]]&gt;0,"",($V$2-REG_STOCK[[#This Row],[ALCANCE FISICO]]/REG_STOCK[[#This Row],[CUBICACION PPTO.]]))</f>
        <v>54.551568040745536</v>
      </c>
      <c r="P8" s="3">
        <f>+_xlfn.XLOOKUP(REG_STOCK[[#This Row],[CODIGO]],PRODUCTOS[CODIGO],PRODUCTOS[PRECIO COMPRA UNITARIO],"",0)</f>
        <v>11557.16697761194</v>
      </c>
      <c r="Q8" s="3">
        <f>IFERROR(REG_STOCK[[#This Row],[VALOR UNITARIO]]*REG_STOCK[[#This Row],[PERDIDA O EN PROCESO]],"")</f>
        <v>630461.58073745517</v>
      </c>
      <c r="R8" s="3">
        <f>+REG_STOCK[[#This Row],[VALOR UNITARIO]]*REG_STOCK[[#This Row],[STOCK FISICO]]</f>
        <v>1236616.8666044776</v>
      </c>
    </row>
    <row r="9" spans="1:22" hidden="1" x14ac:dyDescent="0.25">
      <c r="A9" s="1">
        <v>46125</v>
      </c>
      <c r="B9">
        <v>701096</v>
      </c>
      <c r="C9" s="81" t="s">
        <v>204</v>
      </c>
      <c r="D9" s="81" t="s">
        <v>18</v>
      </c>
      <c r="E9">
        <v>910</v>
      </c>
      <c r="F9">
        <v>0.7111632270168855</v>
      </c>
      <c r="G9">
        <v>185</v>
      </c>
      <c r="H9" s="81" t="str">
        <f>+_xlfn.XLOOKUP(REG_STOCK[[#This Row],[CODIGO]],PRODUCTOS[CODIGO],PRODUCTOS[DESC CORTA],"",0)</f>
        <v>VOCANITA EMPAPELADA MURO</v>
      </c>
      <c r="I9" s="76">
        <f>SUMIFS(DETALLE_GD_1[CANTIDAD RECEPCIONADA],DETALLE_GD_1[CODIGO],REG_STOCK[[#This Row],[CODIGO]],DETALLE_GD_1[FECHA SOLICITUD],"&lt;="&amp;REG_STOCK[[#This Row],[FECHA STOCK ]])+97</f>
        <v>1007</v>
      </c>
      <c r="J9" s="81">
        <f>+REG_STOCK[[#This Row],[SOLICITADO A TF]]-REG_STOCK[[#This Row],[STOCK FISICO]]</f>
        <v>822</v>
      </c>
      <c r="K9" s="40">
        <f>+_xlfn.XLOOKUP(REG_STOCK[[#This Row],[CODIGO]],PRODUCTOS[CODIGO],PRODUCTOS[CANT X MODULO],"",0)</f>
        <v>31.237499999999997</v>
      </c>
      <c r="L9" s="3">
        <f>+REG_STOCK[[#This Row],[CONSUMO]]/REG_STOCK[[#This Row],[CUBICACION PPTO.]]</f>
        <v>26.314525810324131</v>
      </c>
      <c r="M9" s="3">
        <f>+REG_STOCK[[#This Row],[STOCK FISICO]]/REG_STOCK[[#This Row],[CUBICACION PPTO.]]</f>
        <v>5.9223689475790318</v>
      </c>
      <c r="N9" s="3">
        <f>+REG_STOCK[[#This Row],[SOLICITADO A TF]]/REG_STOCK[[#This Row],[CUBICACION PPTO.]]</f>
        <v>32.236894757903165</v>
      </c>
      <c r="O9" s="3" t="str">
        <f>IF($V$2-REG_STOCK[[#This Row],[ALCANCE FISICO]]&gt;0,"",($V$2-REG_STOCK[[#This Row],[ALCANCE FISICO]]/REG_STOCK[[#This Row],[CUBICACION PPTO.]]))</f>
        <v/>
      </c>
      <c r="P9" s="3">
        <f>+_xlfn.XLOOKUP(REG_STOCK[[#This Row],[CODIGO]],PRODUCTOS[CODIGO],PRODUCTOS[PRECIO COMPRA UNITARIO],"",0)</f>
        <v>16226.792738275341</v>
      </c>
      <c r="Q9" s="3" t="str">
        <f>IFERROR(REG_STOCK[[#This Row],[VALOR UNITARIO]]*REG_STOCK[[#This Row],[PERDIDA O EN PROCESO]],"")</f>
        <v/>
      </c>
      <c r="R9" s="3">
        <f>+REG_STOCK[[#This Row],[VALOR UNITARIO]]*REG_STOCK[[#This Row],[STOCK FISICO]]</f>
        <v>3001956.656580938</v>
      </c>
    </row>
    <row r="10" spans="1:22" hidden="1" x14ac:dyDescent="0.25">
      <c r="A10" s="1">
        <v>46125</v>
      </c>
      <c r="B10">
        <v>302046</v>
      </c>
      <c r="C10" s="81" t="s">
        <v>519</v>
      </c>
      <c r="D10" s="81" t="s">
        <v>20</v>
      </c>
      <c r="E10">
        <v>2173</v>
      </c>
      <c r="F10">
        <v>0.52500000000000002</v>
      </c>
      <c r="G10">
        <v>131</v>
      </c>
      <c r="H10" s="81" t="str">
        <f>+_xlfn.XLOOKUP(REG_STOCK[[#This Row],[CODIGO]],PRODUCTOS[CODIGO],PRODUCTOS[DESC CORTA],"",0)</f>
        <v>PINO 2X6X400</v>
      </c>
      <c r="I10" s="76">
        <f>SUMIFS(DETALLE_GD_1[CANTIDAD RECEPCIONADA],DETALLE_GD_1[CODIGO],REG_STOCK[[#This Row],[CODIGO]],DETALLE_GD_1[FECHA SOLICITUD],"&lt;="&amp;REG_STOCK[[#This Row],[FECHA STOCK ]])+97</f>
        <v>2270</v>
      </c>
      <c r="J10" s="81">
        <f>+REG_STOCK[[#This Row],[SOLICITADO A TF]]-REG_STOCK[[#This Row],[STOCK FISICO]]</f>
        <v>2139</v>
      </c>
      <c r="K10" s="40">
        <f>+_xlfn.XLOOKUP(REG_STOCK[[#This Row],[CODIGO]],PRODUCTOS[CODIGO],PRODUCTOS[CANT X MODULO],"",0)</f>
        <v>34.65</v>
      </c>
      <c r="L10" s="3">
        <f>+REG_STOCK[[#This Row],[CONSUMO]]/REG_STOCK[[#This Row],[CUBICACION PPTO.]]</f>
        <v>61.731601731601735</v>
      </c>
      <c r="M10" s="3">
        <f>+REG_STOCK[[#This Row],[STOCK FISICO]]/REG_STOCK[[#This Row],[CUBICACION PPTO.]]</f>
        <v>3.7806637806637808</v>
      </c>
      <c r="N10" s="3">
        <f>+REG_STOCK[[#This Row],[SOLICITADO A TF]]/REG_STOCK[[#This Row],[CUBICACION PPTO.]]</f>
        <v>65.512265512265515</v>
      </c>
      <c r="O10" s="3">
        <f>IF($V$2-REG_STOCK[[#This Row],[ALCANCE FISICO]]&gt;0,"",($V$2-REG_STOCK[[#This Row],[ALCANCE FISICO]]/REG_STOCK[[#This Row],[CUBICACION PPTO.]]))</f>
        <v>62.109314126630146</v>
      </c>
      <c r="P10" s="3">
        <f>+_xlfn.XLOOKUP(REG_STOCK[[#This Row],[CODIGO]],PRODUCTOS[CODIGO],PRODUCTOS[PRECIO COMPRA UNITARIO],"",0)</f>
        <v>10292.490437458782</v>
      </c>
      <c r="Q10" s="3">
        <f>IFERROR(REG_STOCK[[#This Row],[VALOR UNITARIO]]*REG_STOCK[[#This Row],[PERDIDA O EN PROCESO]],"")</f>
        <v>639259.52172546438</v>
      </c>
      <c r="R10" s="3">
        <f>+REG_STOCK[[#This Row],[VALOR UNITARIO]]*REG_STOCK[[#This Row],[STOCK FISICO]]</f>
        <v>1348316.2473071006</v>
      </c>
    </row>
    <row r="11" spans="1:22" hidden="1" x14ac:dyDescent="0.25">
      <c r="A11" s="1">
        <v>46125</v>
      </c>
      <c r="B11">
        <v>701043</v>
      </c>
      <c r="C11" s="81" t="s">
        <v>197</v>
      </c>
      <c r="D11" s="81" t="s">
        <v>699</v>
      </c>
      <c r="E11">
        <v>396</v>
      </c>
      <c r="F11">
        <v>0.52500000000000002</v>
      </c>
      <c r="G11">
        <v>62</v>
      </c>
      <c r="H11" s="81" t="str">
        <f>+_xlfn.XLOOKUP(REG_STOCK[[#This Row],[CODIGO]],PRODUCTOS[CODIGO],PRODUCTOS[DESC CORTA],"",0)</f>
        <v>VOLCANITA EMPAPELADA CIELO</v>
      </c>
      <c r="I11" s="76">
        <f>SUMIFS(DETALLE_GD_1[CANTIDAD RECEPCIONADA],DETALLE_GD_1[CODIGO],REG_STOCK[[#This Row],[CODIGO]],DETALLE_GD_1[FECHA SOLICITUD],"&lt;="&amp;REG_STOCK[[#This Row],[FECHA STOCK ]])+97</f>
        <v>493</v>
      </c>
      <c r="J11" s="81">
        <f>+REG_STOCK[[#This Row],[SOLICITADO A TF]]-REG_STOCK[[#This Row],[STOCK FISICO]]</f>
        <v>431</v>
      </c>
      <c r="K11" s="40">
        <f>+_xlfn.XLOOKUP(REG_STOCK[[#This Row],[CODIGO]],PRODUCTOS[CODIGO],PRODUCTOS[CANT X MODULO],"",0)</f>
        <v>7.0875000000000012</v>
      </c>
      <c r="L11" s="3">
        <f>+REG_STOCK[[#This Row],[CONSUMO]]/REG_STOCK[[#This Row],[CUBICACION PPTO.]]</f>
        <v>60.811287477954131</v>
      </c>
      <c r="M11" s="3">
        <f>+REG_STOCK[[#This Row],[STOCK FISICO]]/REG_STOCK[[#This Row],[CUBICACION PPTO.]]</f>
        <v>8.7477954144620789</v>
      </c>
      <c r="N11" s="3">
        <f>+REG_STOCK[[#This Row],[SOLICITADO A TF]]/REG_STOCK[[#This Row],[CUBICACION PPTO.]]</f>
        <v>69.559082892416214</v>
      </c>
      <c r="O11" s="3">
        <f>IF($V$2-REG_STOCK[[#This Row],[ALCANCE FISICO]]&gt;0,"",($V$2-REG_STOCK[[#This Row],[ALCANCE FISICO]]/REG_STOCK[[#This Row],[CUBICACION PPTO.]]))</f>
        <v>54.185667316766676</v>
      </c>
      <c r="P11" s="3">
        <f>+_xlfn.XLOOKUP(REG_STOCK[[#This Row],[CODIGO]],PRODUCTOS[CODIGO],PRODUCTOS[PRECIO COMPRA UNITARIO],"",0)</f>
        <v>22493.996861924687</v>
      </c>
      <c r="Q11" s="3">
        <f>IFERROR(REG_STOCK[[#This Row],[VALOR UNITARIO]]*REG_STOCK[[#This Row],[PERDIDA O EN PROCESO]],"")</f>
        <v>1218852.2305846447</v>
      </c>
      <c r="R11" s="3">
        <f>+REG_STOCK[[#This Row],[VALOR UNITARIO]]*REG_STOCK[[#This Row],[STOCK FISICO]]</f>
        <v>1394627.8054393306</v>
      </c>
    </row>
    <row r="12" spans="1:22" hidden="1" x14ac:dyDescent="0.25">
      <c r="A12" s="1">
        <v>46132</v>
      </c>
      <c r="B12" t="s">
        <v>21</v>
      </c>
      <c r="C12" s="81" t="s">
        <v>510</v>
      </c>
      <c r="D12" s="81" t="s">
        <v>20</v>
      </c>
      <c r="E12">
        <v>388</v>
      </c>
      <c r="F12">
        <v>8.9250000000000006E-3</v>
      </c>
      <c r="G12">
        <v>44</v>
      </c>
      <c r="H12" s="81" t="str">
        <f>+_xlfn.XLOOKUP(REG_STOCK[[#This Row],[CODIGO]],PRODUCTOS[CODIGO],PRODUCTOS[DESC CORTA],"",0)</f>
        <v>PINO 3X8X320</v>
      </c>
      <c r="I12" s="76">
        <f>SUMIFS(DETALLE_GD_1[CANTIDAD RECEPCIONADA],DETALLE_GD_1[CODIGO],REG_STOCK[[#This Row],[CODIGO]],DETALLE_GD_1[FECHA SOLICITUD],"&lt;="&amp;REG_STOCK[[#This Row],[FECHA STOCK ]])+97</f>
        <v>485</v>
      </c>
      <c r="J12" s="81">
        <f>+REG_STOCK[[#This Row],[SOLICITADO A TF]]-REG_STOCK[[#This Row],[STOCK FISICO]]</f>
        <v>441</v>
      </c>
      <c r="K12" s="40">
        <f>+_xlfn.XLOOKUP(REG_STOCK[[#This Row],[CODIGO]],PRODUCTOS[CODIGO],PRODUCTOS[CANT X MODULO],"",0)</f>
        <v>6.3000000000000007</v>
      </c>
      <c r="L12" s="3">
        <f>+REG_STOCK[[#This Row],[CONSUMO]]/REG_STOCK[[#This Row],[CUBICACION PPTO.]]</f>
        <v>69.999999999999986</v>
      </c>
      <c r="M12" s="3">
        <f>+REG_STOCK[[#This Row],[STOCK FISICO]]/REG_STOCK[[#This Row],[CUBICACION PPTO.]]</f>
        <v>6.9841269841269833</v>
      </c>
      <c r="N12" s="3">
        <f>+REG_STOCK[[#This Row],[SOLICITADO A TF]]/REG_STOCK[[#This Row],[CUBICACION PPTO.]]</f>
        <v>76.984126984126974</v>
      </c>
      <c r="O12" s="3">
        <f>IF($V$2-REG_STOCK[[#This Row],[ALCANCE FISICO]]&gt;0,"",($V$2-REG_STOCK[[#This Row],[ALCANCE FISICO]]/REG_STOCK[[#This Row],[CUBICACION PPTO.]]))</f>
        <v>51.780297304106831</v>
      </c>
      <c r="P12" s="3">
        <f>+_xlfn.XLOOKUP(REG_STOCK[[#This Row],[CODIGO]],PRODUCTOS[CODIGO],PRODUCTOS[PRECIO COMPRA UNITARIO],"",0)</f>
        <v>15451.816831683169</v>
      </c>
      <c r="Q12" s="3">
        <f>IFERROR(REG_STOCK[[#This Row],[VALOR UNITARIO]]*REG_STOCK[[#This Row],[PERDIDA O EN PROCESO]],"")</f>
        <v>800099.66943315649</v>
      </c>
      <c r="R12" s="3">
        <f>+REG_STOCK[[#This Row],[VALOR UNITARIO]]*REG_STOCK[[#This Row],[STOCK FISICO]]</f>
        <v>679879.94059405942</v>
      </c>
    </row>
    <row r="13" spans="1:22" hidden="1" x14ac:dyDescent="0.25">
      <c r="A13" s="1">
        <v>46132</v>
      </c>
      <c r="B13">
        <v>1901008</v>
      </c>
      <c r="C13" s="81" t="s">
        <v>750</v>
      </c>
      <c r="D13" s="81" t="s">
        <v>26</v>
      </c>
      <c r="E13">
        <v>3494</v>
      </c>
      <c r="F13">
        <v>3.1500000000000012</v>
      </c>
      <c r="G13">
        <v>32</v>
      </c>
      <c r="H13" s="81" t="str">
        <f>+_xlfn.XLOOKUP(REG_STOCK[[#This Row],[CODIGO]],PRODUCTOS[CODIGO],PRODUCTOS[DESC CORTA],"",0)</f>
        <v>AISLAN GLASS 90MM</v>
      </c>
      <c r="I13" s="76">
        <f>SUMIFS(DETALLE_GD_1[CANTIDAD RECEPCIONADA],DETALLE_GD_1[CODIGO],REG_STOCK[[#This Row],[CODIGO]],DETALLE_GD_1[FECHA SOLICITUD],"&lt;="&amp;REG_STOCK[[#This Row],[FECHA STOCK ]])+97</f>
        <v>3591</v>
      </c>
      <c r="J13" s="81">
        <f>+REG_STOCK[[#This Row],[SOLICITADO A TF]]-REG_STOCK[[#This Row],[STOCK FISICO]]</f>
        <v>3559</v>
      </c>
      <c r="K13" s="40">
        <f>+_xlfn.XLOOKUP(REG_STOCK[[#This Row],[CODIGO]],PRODUCTOS[CODIGO],PRODUCTOS[CANT X MODULO],"",0)</f>
        <v>62.430325650000007</v>
      </c>
      <c r="L13" s="3">
        <f>+REG_STOCK[[#This Row],[CONSUMO]]/REG_STOCK[[#This Row],[CUBICACION PPTO.]]</f>
        <v>57.007551425450551</v>
      </c>
      <c r="M13" s="3">
        <f>+REG_STOCK[[#This Row],[STOCK FISICO]]/REG_STOCK[[#This Row],[CUBICACION PPTO.]]</f>
        <v>0.5125714092763185</v>
      </c>
      <c r="N13" s="3">
        <f>+REG_STOCK[[#This Row],[SOLICITADO A TF]]/REG_STOCK[[#This Row],[CUBICACION PPTO.]]</f>
        <v>57.52012283472687</v>
      </c>
      <c r="O13" s="3" t="str">
        <f>IF($V$2-REG_STOCK[[#This Row],[ALCANCE FISICO]]&gt;0,"",($V$2-REG_STOCK[[#This Row],[ALCANCE FISICO]]/REG_STOCK[[#This Row],[CUBICACION PPTO.]]))</f>
        <v/>
      </c>
      <c r="P13" s="3">
        <f>+_xlfn.XLOOKUP(REG_STOCK[[#This Row],[CODIGO]],PRODUCTOS[CODIGO],PRODUCTOS[PRECIO COMPRA UNITARIO],"",0)</f>
        <v>2059.785564685033</v>
      </c>
      <c r="Q13" s="3" t="str">
        <f>IFERROR(REG_STOCK[[#This Row],[VALOR UNITARIO]]*REG_STOCK[[#This Row],[PERDIDA O EN PROCESO]],"")</f>
        <v/>
      </c>
      <c r="R13" s="3">
        <f>+REG_STOCK[[#This Row],[VALOR UNITARIO]]*REG_STOCK[[#This Row],[STOCK FISICO]]</f>
        <v>65913.138069921057</v>
      </c>
    </row>
    <row r="14" spans="1:22" hidden="1" x14ac:dyDescent="0.25">
      <c r="A14" s="1">
        <v>46132</v>
      </c>
      <c r="B14">
        <v>304002</v>
      </c>
      <c r="C14" s="81" t="s">
        <v>37</v>
      </c>
      <c r="D14" s="81" t="s">
        <v>18</v>
      </c>
      <c r="E14">
        <v>1247</v>
      </c>
      <c r="F14">
        <v>0.52500000000000002</v>
      </c>
      <c r="G14">
        <v>233</v>
      </c>
      <c r="H14" s="81" t="str">
        <f>+_xlfn.XLOOKUP(REG_STOCK[[#This Row],[CODIGO]],PRODUCTOS[CODIGO],PRODUCTOS[DESC CORTA],"",0)</f>
        <v>SMARTPANEL</v>
      </c>
      <c r="I14" s="76">
        <f>SUMIFS(DETALLE_GD_1[CANTIDAD RECEPCIONADA],DETALLE_GD_1[CODIGO],REG_STOCK[[#This Row],[CODIGO]],DETALLE_GD_1[FECHA SOLICITUD],"&lt;="&amp;REG_STOCK[[#This Row],[FECHA STOCK ]])+97</f>
        <v>1344</v>
      </c>
      <c r="J14" s="81">
        <f>+REG_STOCK[[#This Row],[SOLICITADO A TF]]-REG_STOCK[[#This Row],[STOCK FISICO]]</f>
        <v>1111</v>
      </c>
      <c r="K14" s="40">
        <f>+_xlfn.XLOOKUP(REG_STOCK[[#This Row],[CODIGO]],PRODUCTOS[CODIGO],PRODUCTOS[CANT X MODULO],"",0)</f>
        <v>23.296874999999996</v>
      </c>
      <c r="L14" s="3">
        <f>+REG_STOCK[[#This Row],[CONSUMO]]/REG_STOCK[[#This Row],[CUBICACION PPTO.]]</f>
        <v>47.68879946344736</v>
      </c>
      <c r="M14" s="3">
        <f>+REG_STOCK[[#This Row],[STOCK FISICO]]/REG_STOCK[[#This Row],[CUBICACION PPTO.]]</f>
        <v>10.001341381623073</v>
      </c>
      <c r="N14" s="3">
        <f>+REG_STOCK[[#This Row],[SOLICITADO A TF]]/REG_STOCK[[#This Row],[CUBICACION PPTO.]]</f>
        <v>57.690140845070431</v>
      </c>
      <c r="O14" s="3" t="str">
        <f>IF($V$2-REG_STOCK[[#This Row],[ALCANCE FISICO]]&gt;0,"",($V$2-REG_STOCK[[#This Row],[ALCANCE FISICO]]/REG_STOCK[[#This Row],[CUBICACION PPTO.]]))</f>
        <v/>
      </c>
      <c r="P14" s="3">
        <f>+_xlfn.XLOOKUP(REG_STOCK[[#This Row],[CODIGO]],PRODUCTOS[CODIGO],PRODUCTOS[PRECIO COMPRA UNITARIO],"",0)</f>
        <v>21579.067512460355</v>
      </c>
      <c r="Q14" s="3" t="str">
        <f>IFERROR(REG_STOCK[[#This Row],[VALOR UNITARIO]]*REG_STOCK[[#This Row],[PERDIDA O EN PROCESO]],"")</f>
        <v/>
      </c>
      <c r="R14" s="3">
        <f>+REG_STOCK[[#This Row],[VALOR UNITARIO]]*REG_STOCK[[#This Row],[STOCK FISICO]]</f>
        <v>5027922.7304032631</v>
      </c>
    </row>
    <row r="15" spans="1:22" hidden="1" x14ac:dyDescent="0.25">
      <c r="A15" s="1">
        <v>46132</v>
      </c>
      <c r="B15">
        <v>304007</v>
      </c>
      <c r="C15" s="81" t="s">
        <v>80</v>
      </c>
      <c r="D15" s="81" t="s">
        <v>18</v>
      </c>
      <c r="E15">
        <v>684</v>
      </c>
      <c r="F15">
        <v>4.7250000000000005</v>
      </c>
      <c r="G15">
        <v>91</v>
      </c>
      <c r="H15" s="81" t="str">
        <f>+_xlfn.XLOOKUP(REG_STOCK[[#This Row],[CODIGO]],PRODUCTOS[CODIGO],PRODUCTOS[DESC CORTA],"",0)</f>
        <v>OSB 11MM</v>
      </c>
      <c r="I15" s="76">
        <f>SUMIFS(DETALLE_GD_1[CANTIDAD RECEPCIONADA],DETALLE_GD_1[CODIGO],REG_STOCK[[#This Row],[CODIGO]],DETALLE_GD_1[FECHA SOLICITUD],"&lt;="&amp;REG_STOCK[[#This Row],[FECHA STOCK ]])+97</f>
        <v>781</v>
      </c>
      <c r="J15" s="81">
        <f>+REG_STOCK[[#This Row],[SOLICITADO A TF]]-REG_STOCK[[#This Row],[STOCK FISICO]]</f>
        <v>690</v>
      </c>
      <c r="K15" s="40">
        <f>+_xlfn.XLOOKUP(REG_STOCK[[#This Row],[CODIGO]],PRODUCTOS[CODIGO],PRODUCTOS[CANT X MODULO],"",0)</f>
        <v>8.6625000000000014</v>
      </c>
      <c r="L15" s="3">
        <f>+REG_STOCK[[#This Row],[CONSUMO]]/REG_STOCK[[#This Row],[CUBICACION PPTO.]]</f>
        <v>79.653679653679646</v>
      </c>
      <c r="M15" s="3">
        <f>+REG_STOCK[[#This Row],[STOCK FISICO]]/REG_STOCK[[#This Row],[CUBICACION PPTO.]]</f>
        <v>10.505050505050503</v>
      </c>
      <c r="N15" s="3">
        <f>+REG_STOCK[[#This Row],[SOLICITADO A TF]]/REG_STOCK[[#This Row],[CUBICACION PPTO.]]</f>
        <v>90.158730158730137</v>
      </c>
      <c r="O15" s="3">
        <f>IF($V$2-REG_STOCK[[#This Row],[ALCANCE FISICO]]&gt;0,"",($V$2-REG_STOCK[[#This Row],[ALCANCE FISICO]]/REG_STOCK[[#This Row],[CUBICACION PPTO.]]))</f>
        <v>53.59206578254198</v>
      </c>
      <c r="P15" s="3">
        <f>+_xlfn.XLOOKUP(REG_STOCK[[#This Row],[CODIGO]],PRODUCTOS[CODIGO],PRODUCTOS[PRECIO COMPRA UNITARIO],"",0)</f>
        <v>11557.16697761194</v>
      </c>
      <c r="Q15" s="3">
        <f>IFERROR(REG_STOCK[[#This Row],[VALOR UNITARIO]]*REG_STOCK[[#This Row],[PERDIDA O EN PROCESO]],"")</f>
        <v>619372.45292400091</v>
      </c>
      <c r="R15" s="3">
        <f>+REG_STOCK[[#This Row],[VALOR UNITARIO]]*REG_STOCK[[#This Row],[STOCK FISICO]]</f>
        <v>1051702.1949626866</v>
      </c>
    </row>
    <row r="16" spans="1:22" hidden="1" x14ac:dyDescent="0.25">
      <c r="A16" s="1">
        <v>46132</v>
      </c>
      <c r="B16">
        <v>701043</v>
      </c>
      <c r="C16" s="81" t="s">
        <v>197</v>
      </c>
      <c r="D16" s="81" t="s">
        <v>699</v>
      </c>
      <c r="E16">
        <v>476</v>
      </c>
      <c r="F16">
        <v>0.91874999999999996</v>
      </c>
      <c r="G16">
        <v>58</v>
      </c>
      <c r="H16" s="81" t="str">
        <f>+_xlfn.XLOOKUP(REG_STOCK[[#This Row],[CODIGO]],PRODUCTOS[CODIGO],PRODUCTOS[DESC CORTA],"",0)</f>
        <v>VOLCANITA EMPAPELADA CIELO</v>
      </c>
      <c r="I16" s="76">
        <f>SUMIFS(DETALLE_GD_1[CANTIDAD RECEPCIONADA],DETALLE_GD_1[CODIGO],REG_STOCK[[#This Row],[CODIGO]],DETALLE_GD_1[FECHA SOLICITUD],"&lt;="&amp;REG_STOCK[[#This Row],[FECHA STOCK ]])+97</f>
        <v>573</v>
      </c>
      <c r="J16" s="81">
        <f>+REG_STOCK[[#This Row],[SOLICITADO A TF]]-REG_STOCK[[#This Row],[STOCK FISICO]]</f>
        <v>515</v>
      </c>
      <c r="K16" s="40">
        <f>+_xlfn.XLOOKUP(REG_STOCK[[#This Row],[CODIGO]],PRODUCTOS[CODIGO],PRODUCTOS[CANT X MODULO],"",0)</f>
        <v>7.0875000000000012</v>
      </c>
      <c r="L16" s="3">
        <f>+REG_STOCK[[#This Row],[CONSUMO]]/REG_STOCK[[#This Row],[CUBICACION PPTO.]]</f>
        <v>72.663139329805986</v>
      </c>
      <c r="M16" s="3">
        <f>+REG_STOCK[[#This Row],[STOCK FISICO]]/REG_STOCK[[#This Row],[CUBICACION PPTO.]]</f>
        <v>8.1834215167548479</v>
      </c>
      <c r="N16" s="3">
        <f>+REG_STOCK[[#This Row],[SOLICITADO A TF]]/REG_STOCK[[#This Row],[CUBICACION PPTO.]]</f>
        <v>80.846560846560834</v>
      </c>
      <c r="O16" s="3">
        <f>IF($V$2-REG_STOCK[[#This Row],[ALCANCE FISICO]]&gt;0,"",($V$2-REG_STOCK[[#This Row],[ALCANCE FISICO]]/REG_STOCK[[#This Row],[CUBICACION PPTO.]]))</f>
        <v>52.593077834700409</v>
      </c>
      <c r="P16" s="3">
        <f>+_xlfn.XLOOKUP(REG_STOCK[[#This Row],[CODIGO]],PRODUCTOS[CODIGO],PRODUCTOS[PRECIO COMPRA UNITARIO],"",0)</f>
        <v>22493.996861924687</v>
      </c>
      <c r="Q16" s="3">
        <f>IFERROR(REG_STOCK[[#This Row],[VALOR UNITARIO]]*REG_STOCK[[#This Row],[PERDIDA O EN PROCESO]],"")</f>
        <v>1183028.5277727118</v>
      </c>
      <c r="R16" s="3">
        <f>+REG_STOCK[[#This Row],[VALOR UNITARIO]]*REG_STOCK[[#This Row],[STOCK FISICO]]</f>
        <v>1304651.8179916318</v>
      </c>
    </row>
    <row r="17" spans="1:18" hidden="1" x14ac:dyDescent="0.25">
      <c r="A17" s="1">
        <v>46132</v>
      </c>
      <c r="B17">
        <v>302046</v>
      </c>
      <c r="C17" s="81" t="s">
        <v>519</v>
      </c>
      <c r="D17" s="81" t="s">
        <v>20</v>
      </c>
      <c r="E17">
        <v>2509</v>
      </c>
      <c r="F17">
        <v>0.52500000000000002</v>
      </c>
      <c r="G17">
        <v>398</v>
      </c>
      <c r="H17" s="81" t="str">
        <f>+_xlfn.XLOOKUP(REG_STOCK[[#This Row],[CODIGO]],PRODUCTOS[CODIGO],PRODUCTOS[DESC CORTA],"",0)</f>
        <v>PINO 2X6X400</v>
      </c>
      <c r="I17" s="76">
        <f>SUMIFS(DETALLE_GD_1[CANTIDAD RECEPCIONADA],DETALLE_GD_1[CODIGO],REG_STOCK[[#This Row],[CODIGO]],DETALLE_GD_1[FECHA SOLICITUD],"&lt;="&amp;REG_STOCK[[#This Row],[FECHA STOCK ]])+97</f>
        <v>2606</v>
      </c>
      <c r="J17" s="81">
        <f>+REG_STOCK[[#This Row],[SOLICITADO A TF]]-REG_STOCK[[#This Row],[STOCK FISICO]]</f>
        <v>2208</v>
      </c>
      <c r="K17" s="40">
        <f>+_xlfn.XLOOKUP(REG_STOCK[[#This Row],[CODIGO]],PRODUCTOS[CODIGO],PRODUCTOS[CANT X MODULO],"",0)</f>
        <v>34.65</v>
      </c>
      <c r="L17" s="3">
        <f>+REG_STOCK[[#This Row],[CONSUMO]]/REG_STOCK[[#This Row],[CUBICACION PPTO.]]</f>
        <v>63.722943722943725</v>
      </c>
      <c r="M17" s="3">
        <f>+REG_STOCK[[#This Row],[STOCK FISICO]]/REG_STOCK[[#This Row],[CUBICACION PPTO.]]</f>
        <v>11.486291486291487</v>
      </c>
      <c r="N17" s="3">
        <f>+REG_STOCK[[#This Row],[SOLICITADO A TF]]/REG_STOCK[[#This Row],[CUBICACION PPTO.]]</f>
        <v>75.209235209235217</v>
      </c>
      <c r="O17" s="3">
        <f>IF($V$2-REG_STOCK[[#This Row],[ALCANCE FISICO]]&gt;0,"",($V$2-REG_STOCK[[#This Row],[ALCANCE FISICO]]/REG_STOCK[[#This Row],[CUBICACION PPTO.]]))</f>
        <v>61.829459301320775</v>
      </c>
      <c r="P17" s="3">
        <f>+_xlfn.XLOOKUP(REG_STOCK[[#This Row],[CODIGO]],PRODUCTOS[CODIGO],PRODUCTOS[PRECIO COMPRA UNITARIO],"",0)</f>
        <v>10292.490437458782</v>
      </c>
      <c r="Q17" s="3">
        <f>IFERROR(REG_STOCK[[#This Row],[VALOR UNITARIO]]*REG_STOCK[[#This Row],[PERDIDA O EN PROCESO]],"")</f>
        <v>636379.11861209106</v>
      </c>
      <c r="R17" s="3">
        <f>+REG_STOCK[[#This Row],[VALOR UNITARIO]]*REG_STOCK[[#This Row],[STOCK FISICO]]</f>
        <v>4096411.1941085951</v>
      </c>
    </row>
    <row r="18" spans="1:18" hidden="1" x14ac:dyDescent="0.25">
      <c r="A18" s="1">
        <v>46139</v>
      </c>
      <c r="B18">
        <v>304007</v>
      </c>
      <c r="C18" s="81" t="s">
        <v>80</v>
      </c>
      <c r="D18" s="81" t="s">
        <v>18</v>
      </c>
      <c r="E18">
        <v>684</v>
      </c>
      <c r="F18">
        <v>7.3500000000000005</v>
      </c>
      <c r="G18">
        <v>127</v>
      </c>
      <c r="H18" s="81" t="str">
        <f>+_xlfn.XLOOKUP(REG_STOCK[[#This Row],[CODIGO]],PRODUCTOS[CODIGO],PRODUCTOS[DESC CORTA],"",0)</f>
        <v>OSB 11MM</v>
      </c>
      <c r="I18" s="76">
        <f>SUMIFS(DETALLE_GD_1[CANTIDAD RECEPCIONADA],DETALLE_GD_1[CODIGO],REG_STOCK[[#This Row],[CODIGO]],DETALLE_GD_1[FECHA SOLICITUD],"&lt;="&amp;REG_STOCK[[#This Row],[FECHA STOCK ]])+97</f>
        <v>781</v>
      </c>
      <c r="J18" s="81">
        <f>+REG_STOCK[[#This Row],[SOLICITADO A TF]]-REG_STOCK[[#This Row],[STOCK FISICO]]</f>
        <v>654</v>
      </c>
      <c r="K18" s="40">
        <f>+_xlfn.XLOOKUP(REG_STOCK[[#This Row],[CODIGO]],PRODUCTOS[CODIGO],PRODUCTOS[CANT X MODULO],"",0)</f>
        <v>8.6625000000000014</v>
      </c>
      <c r="L18" s="3">
        <f>+REG_STOCK[[#This Row],[CONSUMO]]/REG_STOCK[[#This Row],[CUBICACION PPTO.]]</f>
        <v>75.497835497835482</v>
      </c>
      <c r="M18" s="3">
        <f>+REG_STOCK[[#This Row],[STOCK FISICO]]/REG_STOCK[[#This Row],[CUBICACION PPTO.]]</f>
        <v>14.660894660894659</v>
      </c>
      <c r="N18" s="3">
        <f>+REG_STOCK[[#This Row],[SOLICITADO A TF]]/REG_STOCK[[#This Row],[CUBICACION PPTO.]]</f>
        <v>90.158730158730137</v>
      </c>
      <c r="O18" s="3">
        <f>IF($V$2-REG_STOCK[[#This Row],[ALCANCE FISICO]]&gt;0,"",($V$2-REG_STOCK[[#This Row],[ALCANCE FISICO]]/REG_STOCK[[#This Row],[CUBICACION PPTO.]]))</f>
        <v>53.59206578254198</v>
      </c>
      <c r="P18" s="3">
        <f>+_xlfn.XLOOKUP(REG_STOCK[[#This Row],[CODIGO]],PRODUCTOS[CODIGO],PRODUCTOS[PRECIO COMPRA UNITARIO],"",0)</f>
        <v>11557.16697761194</v>
      </c>
      <c r="Q18" s="3">
        <f>IFERROR(REG_STOCK[[#This Row],[VALOR UNITARIO]]*REG_STOCK[[#This Row],[PERDIDA O EN PROCESO]],"")</f>
        <v>619372.45292400091</v>
      </c>
      <c r="R18" s="3">
        <f>+REG_STOCK[[#This Row],[VALOR UNITARIO]]*REG_STOCK[[#This Row],[STOCK FISICO]]</f>
        <v>1467760.2061567164</v>
      </c>
    </row>
    <row r="19" spans="1:18" hidden="1" x14ac:dyDescent="0.25">
      <c r="A19" s="1">
        <v>46139</v>
      </c>
      <c r="B19">
        <v>701043</v>
      </c>
      <c r="C19" s="81" t="s">
        <v>197</v>
      </c>
      <c r="D19" s="81" t="s">
        <v>699</v>
      </c>
      <c r="E19">
        <v>556</v>
      </c>
      <c r="F19">
        <v>0.52500000000000002</v>
      </c>
      <c r="G19">
        <v>104</v>
      </c>
      <c r="H19" s="81" t="str">
        <f>+_xlfn.XLOOKUP(REG_STOCK[[#This Row],[CODIGO]],PRODUCTOS[CODIGO],PRODUCTOS[DESC CORTA],"",0)</f>
        <v>VOLCANITA EMPAPELADA CIELO</v>
      </c>
      <c r="I19" s="76">
        <f>SUMIFS(DETALLE_GD_1[CANTIDAD RECEPCIONADA],DETALLE_GD_1[CODIGO],REG_STOCK[[#This Row],[CODIGO]],DETALLE_GD_1[FECHA SOLICITUD],"&lt;="&amp;REG_STOCK[[#This Row],[FECHA STOCK ]])+97</f>
        <v>653</v>
      </c>
      <c r="J19" s="81">
        <f>+REG_STOCK[[#This Row],[SOLICITADO A TF]]-REG_STOCK[[#This Row],[STOCK FISICO]]</f>
        <v>549</v>
      </c>
      <c r="K19" s="40">
        <f>+_xlfn.XLOOKUP(REG_STOCK[[#This Row],[CODIGO]],PRODUCTOS[CODIGO],PRODUCTOS[CANT X MODULO],"",0)</f>
        <v>7.0875000000000012</v>
      </c>
      <c r="L19" s="3">
        <f>+REG_STOCK[[#This Row],[CONSUMO]]/REG_STOCK[[#This Row],[CUBICACION PPTO.]]</f>
        <v>77.460317460317441</v>
      </c>
      <c r="M19" s="3">
        <f>+REG_STOCK[[#This Row],[STOCK FISICO]]/REG_STOCK[[#This Row],[CUBICACION PPTO.]]</f>
        <v>14.673721340388004</v>
      </c>
      <c r="N19" s="3">
        <f>+REG_STOCK[[#This Row],[SOLICITADO A TF]]/REG_STOCK[[#This Row],[CUBICACION PPTO.]]</f>
        <v>92.134038800705454</v>
      </c>
      <c r="O19" s="3">
        <f>IF($V$2-REG_STOCK[[#This Row],[ALCANCE FISICO]]&gt;0,"",($V$2-REG_STOCK[[#This Row],[ALCANCE FISICO]]/REG_STOCK[[#This Row],[CUBICACION PPTO.]]))</f>
        <v>51.00048835263415</v>
      </c>
      <c r="P19" s="3">
        <f>+_xlfn.XLOOKUP(REG_STOCK[[#This Row],[CODIGO]],PRODUCTOS[CODIGO],PRODUCTOS[PRECIO COMPRA UNITARIO],"",0)</f>
        <v>22493.996861924687</v>
      </c>
      <c r="Q19" s="3">
        <f>IFERROR(REG_STOCK[[#This Row],[VALOR UNITARIO]]*REG_STOCK[[#This Row],[PERDIDA O EN PROCESO]],"")</f>
        <v>1147204.8249607792</v>
      </c>
      <c r="R19" s="3">
        <f>+REG_STOCK[[#This Row],[VALOR UNITARIO]]*REG_STOCK[[#This Row],[STOCK FISICO]]</f>
        <v>2339375.6736401673</v>
      </c>
    </row>
    <row r="20" spans="1:18" hidden="1" x14ac:dyDescent="0.25">
      <c r="A20" s="1">
        <v>46139</v>
      </c>
      <c r="B20">
        <v>302046</v>
      </c>
      <c r="C20" s="81" t="s">
        <v>519</v>
      </c>
      <c r="D20" s="81" t="s">
        <v>20</v>
      </c>
      <c r="E20">
        <v>2509</v>
      </c>
      <c r="F20">
        <v>0.52500000000000002</v>
      </c>
      <c r="G20">
        <v>36</v>
      </c>
      <c r="H20" s="81" t="str">
        <f>+_xlfn.XLOOKUP(REG_STOCK[[#This Row],[CODIGO]],PRODUCTOS[CODIGO],PRODUCTOS[DESC CORTA],"",0)</f>
        <v>PINO 2X6X400</v>
      </c>
      <c r="I20" s="76">
        <f>SUMIFS(DETALLE_GD_1[CANTIDAD RECEPCIONADA],DETALLE_GD_1[CODIGO],REG_STOCK[[#This Row],[CODIGO]],DETALLE_GD_1[FECHA SOLICITUD],"&lt;="&amp;REG_STOCK[[#This Row],[FECHA STOCK ]])+97</f>
        <v>2606</v>
      </c>
      <c r="J20" s="81">
        <f>+REG_STOCK[[#This Row],[SOLICITADO A TF]]-REG_STOCK[[#This Row],[STOCK FISICO]]</f>
        <v>2570</v>
      </c>
      <c r="K20" s="40">
        <f>+_xlfn.XLOOKUP(REG_STOCK[[#This Row],[CODIGO]],PRODUCTOS[CODIGO],PRODUCTOS[CANT X MODULO],"",0)</f>
        <v>34.65</v>
      </c>
      <c r="L20" s="3">
        <f>+REG_STOCK[[#This Row],[CONSUMO]]/REG_STOCK[[#This Row],[CUBICACION PPTO.]]</f>
        <v>74.170274170274169</v>
      </c>
      <c r="M20" s="3">
        <f>+REG_STOCK[[#This Row],[STOCK FISICO]]/REG_STOCK[[#This Row],[CUBICACION PPTO.]]</f>
        <v>1.0389610389610391</v>
      </c>
      <c r="N20" s="3">
        <f>+REG_STOCK[[#This Row],[SOLICITADO A TF]]/REG_STOCK[[#This Row],[CUBICACION PPTO.]]</f>
        <v>75.209235209235217</v>
      </c>
      <c r="O20" s="3">
        <f>IF($V$2-REG_STOCK[[#This Row],[ALCANCE FISICO]]&gt;0,"",($V$2-REG_STOCK[[#This Row],[ALCANCE FISICO]]/REG_STOCK[[#This Row],[CUBICACION PPTO.]]))</f>
        <v>61.829459301320775</v>
      </c>
      <c r="P20" s="3">
        <f>+_xlfn.XLOOKUP(REG_STOCK[[#This Row],[CODIGO]],PRODUCTOS[CODIGO],PRODUCTOS[PRECIO COMPRA UNITARIO],"",0)</f>
        <v>10292.490437458782</v>
      </c>
      <c r="Q20" s="3">
        <f>IFERROR(REG_STOCK[[#This Row],[VALOR UNITARIO]]*REG_STOCK[[#This Row],[PERDIDA O EN PROCESO]],"")</f>
        <v>636379.11861209106</v>
      </c>
      <c r="R20" s="3">
        <f>+REG_STOCK[[#This Row],[VALOR UNITARIO]]*REG_STOCK[[#This Row],[STOCK FISICO]]</f>
        <v>370529.65574851615</v>
      </c>
    </row>
    <row r="21" spans="1:18" hidden="1" x14ac:dyDescent="0.25">
      <c r="A21" s="1">
        <v>46139</v>
      </c>
      <c r="B21">
        <v>302010</v>
      </c>
      <c r="C21" s="81" t="s">
        <v>514</v>
      </c>
      <c r="D21" s="81" t="s">
        <v>20</v>
      </c>
      <c r="E21">
        <v>2184</v>
      </c>
      <c r="F21">
        <v>15.865499999999999</v>
      </c>
      <c r="G21">
        <v>168</v>
      </c>
      <c r="H21" s="81" t="str">
        <f>+_xlfn.XLOOKUP(REG_STOCK[[#This Row],[CODIGO]],PRODUCTOS[CODIGO],PRODUCTOS[DESC CORTA],"",0)</f>
        <v>PINO 2X6X320</v>
      </c>
      <c r="I21" s="76">
        <f>SUMIFS(DETALLE_GD_1[CANTIDAD RECEPCIONADA],DETALLE_GD_1[CODIGO],REG_STOCK[[#This Row],[CODIGO]],DETALLE_GD_1[FECHA SOLICITUD],"&lt;="&amp;REG_STOCK[[#This Row],[FECHA STOCK ]])+97</f>
        <v>1693</v>
      </c>
      <c r="J21" s="81">
        <f>+REG_STOCK[[#This Row],[SOLICITADO A TF]]-REG_STOCK[[#This Row],[STOCK FISICO]]</f>
        <v>1525</v>
      </c>
      <c r="K21" s="40">
        <f>+_xlfn.XLOOKUP(REG_STOCK[[#This Row],[CODIGO]],PRODUCTOS[CODIGO],PRODUCTOS[CANT X MODULO],"",0)</f>
        <v>34.912500000000023</v>
      </c>
      <c r="L21" s="3">
        <f>+REG_STOCK[[#This Row],[CONSUMO]]/REG_STOCK[[#This Row],[CUBICACION PPTO.]]</f>
        <v>43.680630146795529</v>
      </c>
      <c r="M21" s="3">
        <f>+REG_STOCK[[#This Row],[STOCK FISICO]]/REG_STOCK[[#This Row],[CUBICACION PPTO.]]</f>
        <v>4.812030075187967</v>
      </c>
      <c r="N21" s="3">
        <f>+REG_STOCK[[#This Row],[SOLICITADO A TF]]/REG_STOCK[[#This Row],[CUBICACION PPTO.]]</f>
        <v>48.492660221983499</v>
      </c>
      <c r="O21" s="3" t="str">
        <f>IF($V$2-REG_STOCK[[#This Row],[ALCANCE FISICO]]&gt;0,"",($V$2-REG_STOCK[[#This Row],[ALCANCE FISICO]]/REG_STOCK[[#This Row],[CUBICACION PPTO.]]))</f>
        <v/>
      </c>
      <c r="P21" s="3">
        <f>+_xlfn.XLOOKUP(REG_STOCK[[#This Row],[CODIGO]],PRODUCTOS[CODIGO],PRODUCTOS[PRECIO COMPRA UNITARIO],"",0)</f>
        <v>5566.8590808416393</v>
      </c>
      <c r="Q21" s="3" t="str">
        <f>IFERROR(REG_STOCK[[#This Row],[VALOR UNITARIO]]*REG_STOCK[[#This Row],[PERDIDA O EN PROCESO]],"")</f>
        <v/>
      </c>
      <c r="R21" s="3">
        <f>+REG_STOCK[[#This Row],[VALOR UNITARIO]]*REG_STOCK[[#This Row],[STOCK FISICO]]</f>
        <v>935232.32558139542</v>
      </c>
    </row>
    <row r="22" spans="1:18" hidden="1" x14ac:dyDescent="0.25">
      <c r="A22" s="1">
        <v>46139</v>
      </c>
      <c r="B22">
        <v>1901008</v>
      </c>
      <c r="C22" s="81" t="s">
        <v>750</v>
      </c>
      <c r="D22" s="81" t="s">
        <v>26</v>
      </c>
      <c r="E22">
        <v>3696</v>
      </c>
      <c r="F22">
        <v>0.7111632270168855</v>
      </c>
      <c r="G22">
        <v>27</v>
      </c>
      <c r="H22" s="81" t="str">
        <f>+_xlfn.XLOOKUP(REG_STOCK[[#This Row],[CODIGO]],PRODUCTOS[CODIGO],PRODUCTOS[DESC CORTA],"",0)</f>
        <v>AISLAN GLASS 90MM</v>
      </c>
      <c r="I22" s="76">
        <f>SUMIFS(DETALLE_GD_1[CANTIDAD RECEPCIONADA],DETALLE_GD_1[CODIGO],REG_STOCK[[#This Row],[CODIGO]],DETALLE_GD_1[FECHA SOLICITUD],"&lt;="&amp;REG_STOCK[[#This Row],[FECHA STOCK ]])+97</f>
        <v>3793</v>
      </c>
      <c r="J22" s="81">
        <f>+REG_STOCK[[#This Row],[SOLICITADO A TF]]-REG_STOCK[[#This Row],[STOCK FISICO]]</f>
        <v>3766</v>
      </c>
      <c r="K22" s="40">
        <f>+_xlfn.XLOOKUP(REG_STOCK[[#This Row],[CODIGO]],PRODUCTOS[CODIGO],PRODUCTOS[CANT X MODULO],"",0)</f>
        <v>62.430325650000007</v>
      </c>
      <c r="L22" s="3">
        <f>+REG_STOCK[[#This Row],[CONSUMO]]/REG_STOCK[[#This Row],[CUBICACION PPTO.]]</f>
        <v>60.323247729206734</v>
      </c>
      <c r="M22" s="3">
        <f>+REG_STOCK[[#This Row],[STOCK FISICO]]/REG_STOCK[[#This Row],[CUBICACION PPTO.]]</f>
        <v>0.43248212657689378</v>
      </c>
      <c r="N22" s="3">
        <f>+REG_STOCK[[#This Row],[SOLICITADO A TF]]/REG_STOCK[[#This Row],[CUBICACION PPTO.]]</f>
        <v>60.755729855783628</v>
      </c>
      <c r="O22" s="3" t="str">
        <f>IF($V$2-REG_STOCK[[#This Row],[ALCANCE FISICO]]&gt;0,"",($V$2-REG_STOCK[[#This Row],[ALCANCE FISICO]]/REG_STOCK[[#This Row],[CUBICACION PPTO.]]))</f>
        <v/>
      </c>
      <c r="P22" s="3">
        <f>+_xlfn.XLOOKUP(REG_STOCK[[#This Row],[CODIGO]],PRODUCTOS[CODIGO],PRODUCTOS[PRECIO COMPRA UNITARIO],"",0)</f>
        <v>2059.785564685033</v>
      </c>
      <c r="Q22" s="3" t="str">
        <f>IFERROR(REG_STOCK[[#This Row],[VALOR UNITARIO]]*REG_STOCK[[#This Row],[PERDIDA O EN PROCESO]],"")</f>
        <v/>
      </c>
      <c r="R22" s="3">
        <f>+REG_STOCK[[#This Row],[VALOR UNITARIO]]*REG_STOCK[[#This Row],[STOCK FISICO]]</f>
        <v>55614.210246495888</v>
      </c>
    </row>
    <row r="23" spans="1:18" hidden="1" x14ac:dyDescent="0.25">
      <c r="A23" s="1">
        <v>46139</v>
      </c>
      <c r="B23">
        <v>304002</v>
      </c>
      <c r="C23" s="81" t="s">
        <v>37</v>
      </c>
      <c r="D23" s="81" t="s">
        <v>18</v>
      </c>
      <c r="E23">
        <v>1319</v>
      </c>
      <c r="F23">
        <v>0.65625</v>
      </c>
      <c r="G23">
        <v>311</v>
      </c>
      <c r="H23" s="81" t="str">
        <f>+_xlfn.XLOOKUP(REG_STOCK[[#This Row],[CODIGO]],PRODUCTOS[CODIGO],PRODUCTOS[DESC CORTA],"",0)</f>
        <v>SMARTPANEL</v>
      </c>
      <c r="I23" s="76">
        <f>SUMIFS(DETALLE_GD_1[CANTIDAD RECEPCIONADA],DETALLE_GD_1[CODIGO],REG_STOCK[[#This Row],[CODIGO]],DETALLE_GD_1[FECHA SOLICITUD],"&lt;="&amp;REG_STOCK[[#This Row],[FECHA STOCK ]])+97</f>
        <v>1416</v>
      </c>
      <c r="J23" s="81">
        <f>+REG_STOCK[[#This Row],[SOLICITADO A TF]]-REG_STOCK[[#This Row],[STOCK FISICO]]</f>
        <v>1105</v>
      </c>
      <c r="K23" s="40">
        <f>+_xlfn.XLOOKUP(REG_STOCK[[#This Row],[CODIGO]],PRODUCTOS[CODIGO],PRODUCTOS[CANT X MODULO],"",0)</f>
        <v>23.296874999999996</v>
      </c>
      <c r="L23" s="3">
        <f>+REG_STOCK[[#This Row],[CONSUMO]]/REG_STOCK[[#This Row],[CUBICACION PPTO.]]</f>
        <v>47.43125419181758</v>
      </c>
      <c r="M23" s="3">
        <f>+REG_STOCK[[#This Row],[STOCK FISICO]]/REG_STOCK[[#This Row],[CUBICACION PPTO.]]</f>
        <v>13.349429912810196</v>
      </c>
      <c r="N23" s="3">
        <f>+REG_STOCK[[#This Row],[SOLICITADO A TF]]/REG_STOCK[[#This Row],[CUBICACION PPTO.]]</f>
        <v>60.780684104627774</v>
      </c>
      <c r="O23" s="3" t="str">
        <f>IF($V$2-REG_STOCK[[#This Row],[ALCANCE FISICO]]&gt;0,"",($V$2-REG_STOCK[[#This Row],[ALCANCE FISICO]]/REG_STOCK[[#This Row],[CUBICACION PPTO.]]))</f>
        <v/>
      </c>
      <c r="P23" s="3">
        <f>+_xlfn.XLOOKUP(REG_STOCK[[#This Row],[CODIGO]],PRODUCTOS[CODIGO],PRODUCTOS[PRECIO COMPRA UNITARIO],"",0)</f>
        <v>21579.067512460355</v>
      </c>
      <c r="Q23" s="3" t="str">
        <f>IFERROR(REG_STOCK[[#This Row],[VALOR UNITARIO]]*REG_STOCK[[#This Row],[PERDIDA O EN PROCESO]],"")</f>
        <v/>
      </c>
      <c r="R23" s="3">
        <f>+REG_STOCK[[#This Row],[VALOR UNITARIO]]*REG_STOCK[[#This Row],[STOCK FISICO]]</f>
        <v>6711089.9963751705</v>
      </c>
    </row>
    <row r="24" spans="1:18" hidden="1" x14ac:dyDescent="0.25">
      <c r="A24" s="1">
        <v>46139</v>
      </c>
      <c r="B24">
        <v>304101</v>
      </c>
      <c r="C24" s="81" t="s">
        <v>698</v>
      </c>
      <c r="D24" s="81" t="s">
        <v>18</v>
      </c>
      <c r="E24">
        <v>2413</v>
      </c>
      <c r="F24">
        <v>15.865499999999999</v>
      </c>
      <c r="G24">
        <v>232</v>
      </c>
      <c r="H24" s="81" t="str">
        <f>+_xlfn.XLOOKUP(REG_STOCK[[#This Row],[CODIGO]],PRODUCTOS[CODIGO],PRODUCTOS[DESC CORTA],"",0)</f>
        <v>OSB 9.5</v>
      </c>
      <c r="I24" s="76">
        <f>SUMIFS(DETALLE_GD_1[CANTIDAD RECEPCIONADA],DETALLE_GD_1[CODIGO],REG_STOCK[[#This Row],[CODIGO]],DETALLE_GD_1[FECHA SOLICITUD],"&lt;="&amp;REG_STOCK[[#This Row],[FECHA STOCK ]])+97</f>
        <v>2510</v>
      </c>
      <c r="J24" s="81">
        <f>+REG_STOCK[[#This Row],[SOLICITADO A TF]]-REG_STOCK[[#This Row],[STOCK FISICO]]</f>
        <v>2278</v>
      </c>
      <c r="K24" s="40">
        <f>+_xlfn.XLOOKUP(REG_STOCK[[#This Row],[CODIGO]],PRODUCTOS[CODIGO],PRODUCTOS[CANT X MODULO],"",0)</f>
        <v>47.643749999999976</v>
      </c>
      <c r="L24" s="3">
        <f>+REG_STOCK[[#This Row],[CONSUMO]]/REG_STOCK[[#This Row],[CUBICACION PPTO.]]</f>
        <v>47.813196904106022</v>
      </c>
      <c r="M24" s="3">
        <f>+REG_STOCK[[#This Row],[STOCK FISICO]]/REG_STOCK[[#This Row],[CUBICACION PPTO.]]</f>
        <v>4.8694739603830541</v>
      </c>
      <c r="N24" s="3">
        <f>+REG_STOCK[[#This Row],[SOLICITADO A TF]]/REG_STOCK[[#This Row],[CUBICACION PPTO.]]</f>
        <v>52.682670864489076</v>
      </c>
      <c r="O24" s="3" t="str">
        <f>IF($V$2-REG_STOCK[[#This Row],[ALCANCE FISICO]]&gt;0,"",($V$2-REG_STOCK[[#This Row],[ALCANCE FISICO]]/REG_STOCK[[#This Row],[CUBICACION PPTO.]]))</f>
        <v/>
      </c>
      <c r="P24" s="3">
        <f>+_xlfn.XLOOKUP(REG_STOCK[[#This Row],[CODIGO]],PRODUCTOS[CODIGO],PRODUCTOS[PRECIO COMPRA UNITARIO],"",0)</f>
        <v>9652.5142678608627</v>
      </c>
      <c r="Q24" s="3" t="str">
        <f>IFERROR(REG_STOCK[[#This Row],[VALOR UNITARIO]]*REG_STOCK[[#This Row],[PERDIDA O EN PROCESO]],"")</f>
        <v/>
      </c>
      <c r="R24" s="3">
        <f>+REG_STOCK[[#This Row],[VALOR UNITARIO]]*REG_STOCK[[#This Row],[STOCK FISICO]]</f>
        <v>2239383.3101437204</v>
      </c>
    </row>
    <row r="25" spans="1:18" hidden="1" x14ac:dyDescent="0.25">
      <c r="A25" s="1">
        <v>46139</v>
      </c>
      <c r="B25">
        <v>302028</v>
      </c>
      <c r="C25" s="81" t="s">
        <v>515</v>
      </c>
      <c r="D25" s="81" t="s">
        <v>20</v>
      </c>
      <c r="E25">
        <v>8641</v>
      </c>
      <c r="F25">
        <v>23.296874999999996</v>
      </c>
      <c r="G25">
        <v>134</v>
      </c>
      <c r="H25" s="81" t="str">
        <f>+_xlfn.XLOOKUP(REG_STOCK[[#This Row],[CODIGO]],PRODUCTOS[CODIGO],PRODUCTOS[DESC CORTA],"",0)</f>
        <v>PINO 2X4X320</v>
      </c>
      <c r="I25" s="76">
        <f>SUMIFS(DETALLE_GD_1[CANTIDAD RECEPCIONADA],DETALLE_GD_1[CODIGO],REG_STOCK[[#This Row],[CODIGO]],DETALLE_GD_1[FECHA SOLICITUD],"&lt;="&amp;REG_STOCK[[#This Row],[FECHA STOCK ]])+97</f>
        <v>8138</v>
      </c>
      <c r="J25" s="81">
        <f>+REG_STOCK[[#This Row],[SOLICITADO A TF]]-REG_STOCK[[#This Row],[STOCK FISICO]]</f>
        <v>8004</v>
      </c>
      <c r="K25" s="40">
        <f>+_xlfn.XLOOKUP(REG_STOCK[[#This Row],[CODIGO]],PRODUCTOS[CODIGO],PRODUCTOS[CANT X MODULO],"",0)</f>
        <v>172.72499999999994</v>
      </c>
      <c r="L25" s="3">
        <f>+REG_STOCK[[#This Row],[CONSUMO]]/REG_STOCK[[#This Row],[CUBICACION PPTO.]]</f>
        <v>46.339557099435538</v>
      </c>
      <c r="M25" s="3">
        <f>+REG_STOCK[[#This Row],[STOCK FISICO]]/REG_STOCK[[#This Row],[CUBICACION PPTO.]]</f>
        <v>0.77579968157475787</v>
      </c>
      <c r="N25" s="3">
        <f>+REG_STOCK[[#This Row],[SOLICITADO A TF]]/REG_STOCK[[#This Row],[CUBICACION PPTO.]]</f>
        <v>47.115356781010291</v>
      </c>
      <c r="O25" s="3" t="str">
        <f>IF($V$2-REG_STOCK[[#This Row],[ALCANCE FISICO]]&gt;0,"",($V$2-REG_STOCK[[#This Row],[ALCANCE FISICO]]/REG_STOCK[[#This Row],[CUBICACION PPTO.]]))</f>
        <v/>
      </c>
      <c r="P25" s="3">
        <f>+_xlfn.XLOOKUP(REG_STOCK[[#This Row],[CODIGO]],PRODUCTOS[CODIGO],PRODUCTOS[PRECIO COMPRA UNITARIO],"",0)</f>
        <v>4760.4046547265589</v>
      </c>
      <c r="Q25" s="3" t="str">
        <f>IFERROR(REG_STOCK[[#This Row],[VALOR UNITARIO]]*REG_STOCK[[#This Row],[PERDIDA O EN PROCESO]],"")</f>
        <v/>
      </c>
      <c r="R25" s="3">
        <f>+REG_STOCK[[#This Row],[VALOR UNITARIO]]*REG_STOCK[[#This Row],[STOCK FISICO]]</f>
        <v>637894.2237333589</v>
      </c>
    </row>
    <row r="26" spans="1:18" hidden="1" x14ac:dyDescent="0.25">
      <c r="A26" s="1">
        <v>46139</v>
      </c>
      <c r="B26">
        <v>304049</v>
      </c>
      <c r="C26" s="81" t="s">
        <v>318</v>
      </c>
      <c r="D26" s="81" t="s">
        <v>18</v>
      </c>
      <c r="E26">
        <v>975</v>
      </c>
      <c r="F26">
        <v>8.4</v>
      </c>
      <c r="G26">
        <v>87</v>
      </c>
      <c r="H26" s="81" t="str">
        <f>+_xlfn.XLOOKUP(REG_STOCK[[#This Row],[CODIGO]],PRODUCTOS[CODIGO],PRODUCTOS[DESC CORTA],"",0)</f>
        <v>TERCIADO FENOLICO</v>
      </c>
      <c r="I26" s="76">
        <f>SUMIFS(DETALLE_GD_1[CANTIDAD RECEPCIONADA],DETALLE_GD_1[CODIGO],REG_STOCK[[#This Row],[CODIGO]],DETALLE_GD_1[FECHA SOLICITUD],"&lt;="&amp;REG_STOCK[[#This Row],[FECHA STOCK ]])+97</f>
        <v>1072</v>
      </c>
      <c r="J26" s="81">
        <f>+REG_STOCK[[#This Row],[SOLICITADO A TF]]-REG_STOCK[[#This Row],[STOCK FISICO]]</f>
        <v>985</v>
      </c>
      <c r="K26" s="40">
        <f>+_xlfn.XLOOKUP(REG_STOCK[[#This Row],[CODIGO]],PRODUCTOS[CODIGO],PRODUCTOS[CANT X MODULO],"",0)</f>
        <v>23.273250000000008</v>
      </c>
      <c r="L26" s="3">
        <f>+REG_STOCK[[#This Row],[CONSUMO]]/REG_STOCK[[#This Row],[CUBICACION PPTO.]]</f>
        <v>42.323268129719729</v>
      </c>
      <c r="M26" s="3">
        <f>+REG_STOCK[[#This Row],[STOCK FISICO]]/REG_STOCK[[#This Row],[CUBICACION PPTO.]]</f>
        <v>3.738197286584382</v>
      </c>
      <c r="N26" s="3">
        <f>+REG_STOCK[[#This Row],[SOLICITADO A TF]]/REG_STOCK[[#This Row],[CUBICACION PPTO.]]</f>
        <v>46.06146541630411</v>
      </c>
      <c r="O26" s="3" t="str">
        <f>IF($V$2-REG_STOCK[[#This Row],[ALCANCE FISICO]]&gt;0,"",($V$2-REG_STOCK[[#This Row],[ALCANCE FISICO]]/REG_STOCK[[#This Row],[CUBICACION PPTO.]]))</f>
        <v/>
      </c>
      <c r="P26" s="3">
        <f>+_xlfn.XLOOKUP(REG_STOCK[[#This Row],[CODIGO]],PRODUCTOS[CODIGO],PRODUCTOS[PRECIO COMPRA UNITARIO],"",0)</f>
        <v>15018.620734341253</v>
      </c>
      <c r="Q26" s="3" t="str">
        <f>IFERROR(REG_STOCK[[#This Row],[VALOR UNITARIO]]*REG_STOCK[[#This Row],[PERDIDA O EN PROCESO]],"")</f>
        <v/>
      </c>
      <c r="R26" s="3">
        <f>+REG_STOCK[[#This Row],[VALOR UNITARIO]]*REG_STOCK[[#This Row],[STOCK FISICO]]</f>
        <v>1306620.003887689</v>
      </c>
    </row>
    <row r="27" spans="1:18" hidden="1" x14ac:dyDescent="0.25">
      <c r="A27" s="1">
        <v>46139</v>
      </c>
      <c r="B27">
        <v>701096</v>
      </c>
      <c r="C27" s="81" t="s">
        <v>204</v>
      </c>
      <c r="D27" s="81" t="s">
        <v>18</v>
      </c>
      <c r="E27">
        <v>1260</v>
      </c>
      <c r="F27">
        <v>0.69825000000000004</v>
      </c>
      <c r="G27">
        <v>81</v>
      </c>
      <c r="H27" s="81" t="str">
        <f>+_xlfn.XLOOKUP(REG_STOCK[[#This Row],[CODIGO]],PRODUCTOS[CODIGO],PRODUCTOS[DESC CORTA],"",0)</f>
        <v>VOCANITA EMPAPELADA MURO</v>
      </c>
      <c r="I27" s="76">
        <f>SUMIFS(DETALLE_GD_1[CANTIDAD RECEPCIONADA],DETALLE_GD_1[CODIGO],REG_STOCK[[#This Row],[CODIGO]],DETALLE_GD_1[FECHA SOLICITUD],"&lt;="&amp;REG_STOCK[[#This Row],[FECHA STOCK ]])+97</f>
        <v>1357</v>
      </c>
      <c r="J27" s="81">
        <f>+REG_STOCK[[#This Row],[SOLICITADO A TF]]-REG_STOCK[[#This Row],[STOCK FISICO]]</f>
        <v>1276</v>
      </c>
      <c r="K27" s="40">
        <f>+_xlfn.XLOOKUP(REG_STOCK[[#This Row],[CODIGO]],PRODUCTOS[CODIGO],PRODUCTOS[CANT X MODULO],"",0)</f>
        <v>31.237499999999997</v>
      </c>
      <c r="L27" s="3">
        <f>+REG_STOCK[[#This Row],[CONSUMO]]/REG_STOCK[[#This Row],[CUBICACION PPTO.]]</f>
        <v>40.848339335734295</v>
      </c>
      <c r="M27" s="3">
        <f>+REG_STOCK[[#This Row],[STOCK FISICO]]/REG_STOCK[[#This Row],[CUBICACION PPTO.]]</f>
        <v>2.5930372148859546</v>
      </c>
      <c r="N27" s="3">
        <f>+REG_STOCK[[#This Row],[SOLICITADO A TF]]/REG_STOCK[[#This Row],[CUBICACION PPTO.]]</f>
        <v>43.441376550620255</v>
      </c>
      <c r="O27" s="3" t="str">
        <f>IF($V$2-REG_STOCK[[#This Row],[ALCANCE FISICO]]&gt;0,"",($V$2-REG_STOCK[[#This Row],[ALCANCE FISICO]]/REG_STOCK[[#This Row],[CUBICACION PPTO.]]))</f>
        <v/>
      </c>
      <c r="P27" s="3">
        <f>+_xlfn.XLOOKUP(REG_STOCK[[#This Row],[CODIGO]],PRODUCTOS[CODIGO],PRODUCTOS[PRECIO COMPRA UNITARIO],"",0)</f>
        <v>16226.792738275341</v>
      </c>
      <c r="Q27" s="3" t="str">
        <f>IFERROR(REG_STOCK[[#This Row],[VALOR UNITARIO]]*REG_STOCK[[#This Row],[PERDIDA O EN PROCESO]],"")</f>
        <v/>
      </c>
      <c r="R27" s="3">
        <f>+REG_STOCK[[#This Row],[VALOR UNITARIO]]*REG_STOCK[[#This Row],[STOCK FISICO]]</f>
        <v>1314370.2118003026</v>
      </c>
    </row>
    <row r="28" spans="1:18" hidden="1" x14ac:dyDescent="0.25">
      <c r="A28" s="1">
        <v>46146</v>
      </c>
      <c r="B28">
        <v>304007</v>
      </c>
      <c r="C28" s="81" t="s">
        <v>80</v>
      </c>
      <c r="D28" s="81" t="s">
        <v>18</v>
      </c>
      <c r="E28">
        <v>684</v>
      </c>
      <c r="F28">
        <v>0.52500000000000002</v>
      </c>
      <c r="G28">
        <v>103</v>
      </c>
      <c r="H28" s="81" t="str">
        <f>+_xlfn.XLOOKUP(REG_STOCK[[#This Row],[CODIGO]],PRODUCTOS[CODIGO],PRODUCTOS[DESC CORTA],"",0)</f>
        <v>OSB 11MM</v>
      </c>
      <c r="I28" s="76">
        <f>SUMIFS(DETALLE_GD_1[CANTIDAD RECEPCIONADA],DETALLE_GD_1[CODIGO],REG_STOCK[[#This Row],[CODIGO]],DETALLE_GD_1[FECHA SOLICITUD],"&lt;="&amp;REG_STOCK[[#This Row],[FECHA STOCK ]])+97</f>
        <v>781</v>
      </c>
      <c r="J28" s="81">
        <f>+REG_STOCK[[#This Row],[SOLICITADO A TF]]-REG_STOCK[[#This Row],[STOCK FISICO]]</f>
        <v>678</v>
      </c>
      <c r="K28" s="40">
        <f>+_xlfn.XLOOKUP(REG_STOCK[[#This Row],[CODIGO]],PRODUCTOS[CODIGO],PRODUCTOS[CANT X MODULO],"",0)</f>
        <v>8.6625000000000014</v>
      </c>
      <c r="L28" s="3">
        <f>+REG_STOCK[[#This Row],[CONSUMO]]/REG_STOCK[[#This Row],[CUBICACION PPTO.]]</f>
        <v>78.268398268398258</v>
      </c>
      <c r="M28" s="3">
        <f>+REG_STOCK[[#This Row],[STOCK FISICO]]/REG_STOCK[[#This Row],[CUBICACION PPTO.]]</f>
        <v>11.890331890331888</v>
      </c>
      <c r="N28" s="3">
        <f>+REG_STOCK[[#This Row],[SOLICITADO A TF]]/REG_STOCK[[#This Row],[CUBICACION PPTO.]]</f>
        <v>90.158730158730137</v>
      </c>
      <c r="O28" s="3">
        <f>IF($V$2-REG_STOCK[[#This Row],[ALCANCE FISICO]]&gt;0,"",($V$2-REG_STOCK[[#This Row],[ALCANCE FISICO]]/REG_STOCK[[#This Row],[CUBICACION PPTO.]]))</f>
        <v>53.59206578254198</v>
      </c>
      <c r="P28" s="3">
        <f>+_xlfn.XLOOKUP(REG_STOCK[[#This Row],[CODIGO]],PRODUCTOS[CODIGO],PRODUCTOS[PRECIO COMPRA UNITARIO],"",0)</f>
        <v>11557.16697761194</v>
      </c>
      <c r="Q28" s="3">
        <f>IFERROR(REG_STOCK[[#This Row],[VALOR UNITARIO]]*REG_STOCK[[#This Row],[PERDIDA O EN PROCESO]],"")</f>
        <v>619372.45292400091</v>
      </c>
      <c r="R28" s="3">
        <f>+REG_STOCK[[#This Row],[VALOR UNITARIO]]*REG_STOCK[[#This Row],[STOCK FISICO]]</f>
        <v>1190388.1986940298</v>
      </c>
    </row>
    <row r="29" spans="1:18" hidden="1" x14ac:dyDescent="0.25">
      <c r="A29" s="1">
        <v>46146</v>
      </c>
      <c r="B29">
        <v>701043</v>
      </c>
      <c r="C29" s="81" t="s">
        <v>197</v>
      </c>
      <c r="D29" s="81" t="s">
        <v>699</v>
      </c>
      <c r="E29">
        <v>596</v>
      </c>
      <c r="F29">
        <v>52.5</v>
      </c>
      <c r="G29">
        <v>109</v>
      </c>
      <c r="H29" s="81" t="str">
        <f>+_xlfn.XLOOKUP(REG_STOCK[[#This Row],[CODIGO]],PRODUCTOS[CODIGO],PRODUCTOS[DESC CORTA],"",0)</f>
        <v>VOLCANITA EMPAPELADA CIELO</v>
      </c>
      <c r="I29" s="76">
        <f>SUMIFS(DETALLE_GD_1[CANTIDAD RECEPCIONADA],DETALLE_GD_1[CODIGO],REG_STOCK[[#This Row],[CODIGO]],DETALLE_GD_1[FECHA SOLICITUD],"&lt;="&amp;REG_STOCK[[#This Row],[FECHA STOCK ]])+97</f>
        <v>693</v>
      </c>
      <c r="J29" s="81">
        <f>+REG_STOCK[[#This Row],[SOLICITADO A TF]]-REG_STOCK[[#This Row],[STOCK FISICO]]</f>
        <v>584</v>
      </c>
      <c r="K29" s="40">
        <f>+_xlfn.XLOOKUP(REG_STOCK[[#This Row],[CODIGO]],PRODUCTOS[CODIGO],PRODUCTOS[CANT X MODULO],"",0)</f>
        <v>7.0875000000000012</v>
      </c>
      <c r="L29" s="3">
        <f>+REG_STOCK[[#This Row],[CONSUMO]]/REG_STOCK[[#This Row],[CUBICACION PPTO.]]</f>
        <v>82.39858906525572</v>
      </c>
      <c r="M29" s="3">
        <f>+REG_STOCK[[#This Row],[STOCK FISICO]]/REG_STOCK[[#This Row],[CUBICACION PPTO.]]</f>
        <v>15.379188712522042</v>
      </c>
      <c r="N29" s="3">
        <f>+REG_STOCK[[#This Row],[SOLICITADO A TF]]/REG_STOCK[[#This Row],[CUBICACION PPTO.]]</f>
        <v>97.777777777777757</v>
      </c>
      <c r="O29" s="3">
        <f>IF($V$2-REG_STOCK[[#This Row],[ALCANCE FISICO]]&gt;0,"",($V$2-REG_STOCK[[#This Row],[ALCANCE FISICO]]/REG_STOCK[[#This Row],[CUBICACION PPTO.]]))</f>
        <v>50.204193611601028</v>
      </c>
      <c r="P29" s="3">
        <f>+_xlfn.XLOOKUP(REG_STOCK[[#This Row],[CODIGO]],PRODUCTOS[CODIGO],PRODUCTOS[PRECIO COMPRA UNITARIO],"",0)</f>
        <v>22493.996861924687</v>
      </c>
      <c r="Q29" s="3">
        <f>IFERROR(REG_STOCK[[#This Row],[VALOR UNITARIO]]*REG_STOCK[[#This Row],[PERDIDA O EN PROCESO]],"")</f>
        <v>1129292.9735548128</v>
      </c>
      <c r="R29" s="3">
        <f>+REG_STOCK[[#This Row],[VALOR UNITARIO]]*REG_STOCK[[#This Row],[STOCK FISICO]]</f>
        <v>2451845.6579497908</v>
      </c>
    </row>
    <row r="30" spans="1:18" hidden="1" x14ac:dyDescent="0.25">
      <c r="A30" s="1">
        <v>46146</v>
      </c>
      <c r="B30">
        <v>302046</v>
      </c>
      <c r="C30" s="81" t="s">
        <v>519</v>
      </c>
      <c r="D30" s="81" t="s">
        <v>20</v>
      </c>
      <c r="E30">
        <v>2509</v>
      </c>
      <c r="F30">
        <v>0.10500000000000001</v>
      </c>
      <c r="G30">
        <v>36</v>
      </c>
      <c r="H30" s="81" t="str">
        <f>+_xlfn.XLOOKUP(REG_STOCK[[#This Row],[CODIGO]],PRODUCTOS[CODIGO],PRODUCTOS[DESC CORTA],"",0)</f>
        <v>PINO 2X6X400</v>
      </c>
      <c r="I30" s="76">
        <f>SUMIFS(DETALLE_GD_1[CANTIDAD RECEPCIONADA],DETALLE_GD_1[CODIGO],REG_STOCK[[#This Row],[CODIGO]],DETALLE_GD_1[FECHA SOLICITUD],"&lt;="&amp;REG_STOCK[[#This Row],[FECHA STOCK ]])+97</f>
        <v>2606</v>
      </c>
      <c r="J30" s="81">
        <f>+REG_STOCK[[#This Row],[SOLICITADO A TF]]-REG_STOCK[[#This Row],[STOCK FISICO]]</f>
        <v>2570</v>
      </c>
      <c r="K30" s="40">
        <f>+_xlfn.XLOOKUP(REG_STOCK[[#This Row],[CODIGO]],PRODUCTOS[CODIGO],PRODUCTOS[CANT X MODULO],"",0)</f>
        <v>34.65</v>
      </c>
      <c r="L30" s="3">
        <f>+REG_STOCK[[#This Row],[CONSUMO]]/REG_STOCK[[#This Row],[CUBICACION PPTO.]]</f>
        <v>74.170274170274169</v>
      </c>
      <c r="M30" s="3">
        <f>+REG_STOCK[[#This Row],[STOCK FISICO]]/REG_STOCK[[#This Row],[CUBICACION PPTO.]]</f>
        <v>1.0389610389610391</v>
      </c>
      <c r="N30" s="3">
        <f>+REG_STOCK[[#This Row],[SOLICITADO A TF]]/REG_STOCK[[#This Row],[CUBICACION PPTO.]]</f>
        <v>75.209235209235217</v>
      </c>
      <c r="O30" s="3">
        <f>IF($V$2-REG_STOCK[[#This Row],[ALCANCE FISICO]]&gt;0,"",($V$2-REG_STOCK[[#This Row],[ALCANCE FISICO]]/REG_STOCK[[#This Row],[CUBICACION PPTO.]]))</f>
        <v>61.829459301320775</v>
      </c>
      <c r="P30" s="3">
        <f>+_xlfn.XLOOKUP(REG_STOCK[[#This Row],[CODIGO]],PRODUCTOS[CODIGO],PRODUCTOS[PRECIO COMPRA UNITARIO],"",0)</f>
        <v>10292.490437458782</v>
      </c>
      <c r="Q30" s="3">
        <f>IFERROR(REG_STOCK[[#This Row],[VALOR UNITARIO]]*REG_STOCK[[#This Row],[PERDIDA O EN PROCESO]],"")</f>
        <v>636379.11861209106</v>
      </c>
      <c r="R30" s="3">
        <f>+REG_STOCK[[#This Row],[VALOR UNITARIO]]*REG_STOCK[[#This Row],[STOCK FISICO]]</f>
        <v>370529.65574851615</v>
      </c>
    </row>
    <row r="31" spans="1:18" hidden="1" x14ac:dyDescent="0.25">
      <c r="A31" s="1">
        <v>46146</v>
      </c>
      <c r="B31">
        <v>302010</v>
      </c>
      <c r="C31" s="81" t="s">
        <v>514</v>
      </c>
      <c r="D31" s="81" t="s">
        <v>20</v>
      </c>
      <c r="E31">
        <v>1596</v>
      </c>
      <c r="F31">
        <v>8.4</v>
      </c>
      <c r="G31">
        <v>0</v>
      </c>
      <c r="H31" s="81" t="str">
        <f>+_xlfn.XLOOKUP(REG_STOCK[[#This Row],[CODIGO]],PRODUCTOS[CODIGO],PRODUCTOS[DESC CORTA],"",0)</f>
        <v>PINO 2X6X320</v>
      </c>
      <c r="I31" s="76">
        <f>SUMIFS(DETALLE_GD_1[CANTIDAD RECEPCIONADA],DETALLE_GD_1[CODIGO],REG_STOCK[[#This Row],[CODIGO]],DETALLE_GD_1[FECHA SOLICITUD],"&lt;="&amp;REG_STOCK[[#This Row],[FECHA STOCK ]])+97</f>
        <v>1861</v>
      </c>
      <c r="J31" s="81">
        <f>+REG_STOCK[[#This Row],[SOLICITADO A TF]]-REG_STOCK[[#This Row],[STOCK FISICO]]</f>
        <v>1861</v>
      </c>
      <c r="K31" s="40">
        <f>+_xlfn.XLOOKUP(REG_STOCK[[#This Row],[CODIGO]],PRODUCTOS[CODIGO],PRODUCTOS[CANT X MODULO],"",0)</f>
        <v>34.912500000000023</v>
      </c>
      <c r="L31" s="3">
        <f>+REG_STOCK[[#This Row],[CONSUMO]]/REG_STOCK[[#This Row],[CUBICACION PPTO.]]</f>
        <v>53.304690297171469</v>
      </c>
      <c r="M31" s="3">
        <f>+REG_STOCK[[#This Row],[STOCK FISICO]]/REG_STOCK[[#This Row],[CUBICACION PPTO.]]</f>
        <v>0</v>
      </c>
      <c r="N31" s="3">
        <f>+REG_STOCK[[#This Row],[SOLICITADO A TF]]/REG_STOCK[[#This Row],[CUBICACION PPTO.]]</f>
        <v>53.304690297171469</v>
      </c>
      <c r="O31" s="3" t="str">
        <f>IF($V$2-REG_STOCK[[#This Row],[ALCANCE FISICO]]&gt;0,"",($V$2-REG_STOCK[[#This Row],[ALCANCE FISICO]]/REG_STOCK[[#This Row],[CUBICACION PPTO.]]))</f>
        <v/>
      </c>
      <c r="P31" s="3">
        <f>+_xlfn.XLOOKUP(REG_STOCK[[#This Row],[CODIGO]],PRODUCTOS[CODIGO],PRODUCTOS[PRECIO COMPRA UNITARIO],"",0)</f>
        <v>5566.8590808416393</v>
      </c>
      <c r="Q31" s="3" t="str">
        <f>IFERROR(REG_STOCK[[#This Row],[VALOR UNITARIO]]*REG_STOCK[[#This Row],[PERDIDA O EN PROCESO]],"")</f>
        <v/>
      </c>
      <c r="R31" s="3">
        <f>+REG_STOCK[[#This Row],[VALOR UNITARIO]]*REG_STOCK[[#This Row],[STOCK FISICO]]</f>
        <v>0</v>
      </c>
    </row>
    <row r="32" spans="1:18" hidden="1" x14ac:dyDescent="0.25">
      <c r="A32" s="1">
        <v>46146</v>
      </c>
      <c r="B32">
        <v>1901008</v>
      </c>
      <c r="C32" s="81" t="s">
        <v>750</v>
      </c>
      <c r="D32" s="81" t="s">
        <v>26</v>
      </c>
      <c r="E32">
        <v>3696</v>
      </c>
      <c r="F32">
        <v>0.69825000000000004</v>
      </c>
      <c r="G32">
        <v>6</v>
      </c>
      <c r="H32" s="81" t="str">
        <f>+_xlfn.XLOOKUP(REG_STOCK[[#This Row],[CODIGO]],PRODUCTOS[CODIGO],PRODUCTOS[DESC CORTA],"",0)</f>
        <v>AISLAN GLASS 90MM</v>
      </c>
      <c r="I32" s="76">
        <f>SUMIFS(DETALLE_GD_1[CANTIDAD RECEPCIONADA],DETALLE_GD_1[CODIGO],REG_STOCK[[#This Row],[CODIGO]],DETALLE_GD_1[FECHA SOLICITUD],"&lt;="&amp;REG_STOCK[[#This Row],[FECHA STOCK ]])+97</f>
        <v>3793</v>
      </c>
      <c r="J32" s="81">
        <f>+REG_STOCK[[#This Row],[SOLICITADO A TF]]-REG_STOCK[[#This Row],[STOCK FISICO]]</f>
        <v>3787</v>
      </c>
      <c r="K32" s="40">
        <f>+_xlfn.XLOOKUP(REG_STOCK[[#This Row],[CODIGO]],PRODUCTOS[CODIGO],PRODUCTOS[CANT X MODULO],"",0)</f>
        <v>62.430325650000007</v>
      </c>
      <c r="L32" s="3">
        <f>+REG_STOCK[[#This Row],[CONSUMO]]/REG_STOCK[[#This Row],[CUBICACION PPTO.]]</f>
        <v>60.65962271654432</v>
      </c>
      <c r="M32" s="3">
        <f>+REG_STOCK[[#This Row],[STOCK FISICO]]/REG_STOCK[[#This Row],[CUBICACION PPTO.]]</f>
        <v>9.6107139239309719E-2</v>
      </c>
      <c r="N32" s="3">
        <f>+REG_STOCK[[#This Row],[SOLICITADO A TF]]/REG_STOCK[[#This Row],[CUBICACION PPTO.]]</f>
        <v>60.755729855783628</v>
      </c>
      <c r="O32" s="3" t="str">
        <f>IF($V$2-REG_STOCK[[#This Row],[ALCANCE FISICO]]&gt;0,"",($V$2-REG_STOCK[[#This Row],[ALCANCE FISICO]]/REG_STOCK[[#This Row],[CUBICACION PPTO.]]))</f>
        <v/>
      </c>
      <c r="P32" s="3">
        <f>+_xlfn.XLOOKUP(REG_STOCK[[#This Row],[CODIGO]],PRODUCTOS[CODIGO],PRODUCTOS[PRECIO COMPRA UNITARIO],"",0)</f>
        <v>2059.785564685033</v>
      </c>
      <c r="Q32" s="3" t="str">
        <f>IFERROR(REG_STOCK[[#This Row],[VALOR UNITARIO]]*REG_STOCK[[#This Row],[PERDIDA O EN PROCESO]],"")</f>
        <v/>
      </c>
      <c r="R32" s="3">
        <f>+REG_STOCK[[#This Row],[VALOR UNITARIO]]*REG_STOCK[[#This Row],[STOCK FISICO]]</f>
        <v>12358.713388110198</v>
      </c>
    </row>
    <row r="33" spans="1:18" hidden="1" x14ac:dyDescent="0.25">
      <c r="A33" s="1">
        <v>46146</v>
      </c>
      <c r="B33">
        <v>304002</v>
      </c>
      <c r="C33" s="81" t="s">
        <v>37</v>
      </c>
      <c r="D33" s="81" t="s">
        <v>18</v>
      </c>
      <c r="E33">
        <v>1319</v>
      </c>
      <c r="F33">
        <v>47.25</v>
      </c>
      <c r="G33">
        <v>219</v>
      </c>
      <c r="H33" s="81" t="str">
        <f>+_xlfn.XLOOKUP(REG_STOCK[[#This Row],[CODIGO]],PRODUCTOS[CODIGO],PRODUCTOS[DESC CORTA],"",0)</f>
        <v>SMARTPANEL</v>
      </c>
      <c r="I33" s="76">
        <f>SUMIFS(DETALLE_GD_1[CANTIDAD RECEPCIONADA],DETALLE_GD_1[CODIGO],REG_STOCK[[#This Row],[CODIGO]],DETALLE_GD_1[FECHA SOLICITUD],"&lt;="&amp;REG_STOCK[[#This Row],[FECHA STOCK ]])+97</f>
        <v>1488</v>
      </c>
      <c r="J33" s="81">
        <f>+REG_STOCK[[#This Row],[SOLICITADO A TF]]-REG_STOCK[[#This Row],[STOCK FISICO]]</f>
        <v>1269</v>
      </c>
      <c r="K33" s="40">
        <f>+_xlfn.XLOOKUP(REG_STOCK[[#This Row],[CODIGO]],PRODUCTOS[CODIGO],PRODUCTOS[CANT X MODULO],"",0)</f>
        <v>23.296874999999996</v>
      </c>
      <c r="L33" s="3">
        <f>+REG_STOCK[[#This Row],[CONSUMO]]/REG_STOCK[[#This Row],[CUBICACION PPTO.]]</f>
        <v>54.470824949698198</v>
      </c>
      <c r="M33" s="3">
        <f>+REG_STOCK[[#This Row],[STOCK FISICO]]/REG_STOCK[[#This Row],[CUBICACION PPTO.]]</f>
        <v>9.4004024144869227</v>
      </c>
      <c r="N33" s="3">
        <f>+REG_STOCK[[#This Row],[SOLICITADO A TF]]/REG_STOCK[[#This Row],[CUBICACION PPTO.]]</f>
        <v>63.871227364185117</v>
      </c>
      <c r="O33" s="3" t="str">
        <f>IF($V$2-REG_STOCK[[#This Row],[ALCANCE FISICO]]&gt;0,"",($V$2-REG_STOCK[[#This Row],[ALCANCE FISICO]]/REG_STOCK[[#This Row],[CUBICACION PPTO.]]))</f>
        <v/>
      </c>
      <c r="P33" s="3">
        <f>+_xlfn.XLOOKUP(REG_STOCK[[#This Row],[CODIGO]],PRODUCTOS[CODIGO],PRODUCTOS[PRECIO COMPRA UNITARIO],"",0)</f>
        <v>21579.067512460355</v>
      </c>
      <c r="Q33" s="3" t="str">
        <f>IFERROR(REG_STOCK[[#This Row],[VALOR UNITARIO]]*REG_STOCK[[#This Row],[PERDIDA O EN PROCESO]],"")</f>
        <v/>
      </c>
      <c r="R33" s="3">
        <f>+REG_STOCK[[#This Row],[VALOR UNITARIO]]*REG_STOCK[[#This Row],[STOCK FISICO]]</f>
        <v>4725815.7852288177</v>
      </c>
    </row>
    <row r="34" spans="1:18" hidden="1" x14ac:dyDescent="0.25">
      <c r="A34" s="1">
        <v>46146</v>
      </c>
      <c r="B34">
        <v>304101</v>
      </c>
      <c r="C34" s="81" t="s">
        <v>698</v>
      </c>
      <c r="D34" s="81" t="s">
        <v>18</v>
      </c>
      <c r="E34">
        <v>2665</v>
      </c>
      <c r="F34">
        <v>8.4</v>
      </c>
      <c r="G34">
        <v>279</v>
      </c>
      <c r="H34" s="81" t="str">
        <f>+_xlfn.XLOOKUP(REG_STOCK[[#This Row],[CODIGO]],PRODUCTOS[CODIGO],PRODUCTOS[DESC CORTA],"",0)</f>
        <v>OSB 9.5</v>
      </c>
      <c r="I34" s="76">
        <f>SUMIFS(DETALLE_GD_1[CANTIDAD RECEPCIONADA],DETALLE_GD_1[CODIGO],REG_STOCK[[#This Row],[CODIGO]],DETALLE_GD_1[FECHA SOLICITUD],"&lt;="&amp;REG_STOCK[[#This Row],[FECHA STOCK ]])+97</f>
        <v>2930</v>
      </c>
      <c r="J34" s="81">
        <f>+REG_STOCK[[#This Row],[SOLICITADO A TF]]-REG_STOCK[[#This Row],[STOCK FISICO]]</f>
        <v>2651</v>
      </c>
      <c r="K34" s="40">
        <f>+_xlfn.XLOOKUP(REG_STOCK[[#This Row],[CODIGO]],PRODUCTOS[CODIGO],PRODUCTOS[CANT X MODULO],"",0)</f>
        <v>47.643749999999976</v>
      </c>
      <c r="L34" s="3">
        <f>+REG_STOCK[[#This Row],[CONSUMO]]/REG_STOCK[[#This Row],[CUBICACION PPTO.]]</f>
        <v>55.642135642135671</v>
      </c>
      <c r="M34" s="3">
        <f>+REG_STOCK[[#This Row],[STOCK FISICO]]/REG_STOCK[[#This Row],[CUBICACION PPTO.]]</f>
        <v>5.8559622195985863</v>
      </c>
      <c r="N34" s="3">
        <f>+REG_STOCK[[#This Row],[SOLICITADO A TF]]/REG_STOCK[[#This Row],[CUBICACION PPTO.]]</f>
        <v>61.498097861734259</v>
      </c>
      <c r="O34" s="3" t="str">
        <f>IF($V$2-REG_STOCK[[#This Row],[ALCANCE FISICO]]&gt;0,"",($V$2-REG_STOCK[[#This Row],[ALCANCE FISICO]]/REG_STOCK[[#This Row],[CUBICACION PPTO.]]))</f>
        <v/>
      </c>
      <c r="P34" s="3">
        <f>+_xlfn.XLOOKUP(REG_STOCK[[#This Row],[CODIGO]],PRODUCTOS[CODIGO],PRODUCTOS[PRECIO COMPRA UNITARIO],"",0)</f>
        <v>9652.5142678608627</v>
      </c>
      <c r="Q34" s="3" t="str">
        <f>IFERROR(REG_STOCK[[#This Row],[VALOR UNITARIO]]*REG_STOCK[[#This Row],[PERDIDA O EN PROCESO]],"")</f>
        <v/>
      </c>
      <c r="R34" s="3">
        <f>+REG_STOCK[[#This Row],[VALOR UNITARIO]]*REG_STOCK[[#This Row],[STOCK FISICO]]</f>
        <v>2693051.4807331809</v>
      </c>
    </row>
    <row r="35" spans="1:18" hidden="1" x14ac:dyDescent="0.25">
      <c r="A35" s="1">
        <v>46146</v>
      </c>
      <c r="B35">
        <v>302028</v>
      </c>
      <c r="C35" s="81" t="s">
        <v>515</v>
      </c>
      <c r="D35" s="81" t="s">
        <v>20</v>
      </c>
      <c r="E35">
        <v>8041</v>
      </c>
      <c r="F35">
        <v>6.8249999999999984</v>
      </c>
      <c r="G35">
        <v>0</v>
      </c>
      <c r="H35" s="81" t="str">
        <f>+_xlfn.XLOOKUP(REG_STOCK[[#This Row],[CODIGO]],PRODUCTOS[CODIGO],PRODUCTOS[DESC CORTA],"",0)</f>
        <v>PINO 2X4X320</v>
      </c>
      <c r="I35" s="76">
        <f>SUMIFS(DETALLE_GD_1[CANTIDAD RECEPCIONADA],DETALLE_GD_1[CODIGO],REG_STOCK[[#This Row],[CODIGO]],DETALLE_GD_1[FECHA SOLICITUD],"&lt;="&amp;REG_STOCK[[#This Row],[FECHA STOCK ]])+97</f>
        <v>8138</v>
      </c>
      <c r="J35" s="81">
        <f>+REG_STOCK[[#This Row],[SOLICITADO A TF]]-REG_STOCK[[#This Row],[STOCK FISICO]]</f>
        <v>8138</v>
      </c>
      <c r="K35" s="40">
        <f>+_xlfn.XLOOKUP(REG_STOCK[[#This Row],[CODIGO]],PRODUCTOS[CODIGO],PRODUCTOS[CANT X MODULO],"",0)</f>
        <v>172.72499999999994</v>
      </c>
      <c r="L35" s="3">
        <f>+REG_STOCK[[#This Row],[CONSUMO]]/REG_STOCK[[#This Row],[CUBICACION PPTO.]]</f>
        <v>47.115356781010291</v>
      </c>
      <c r="M35" s="3">
        <f>+REG_STOCK[[#This Row],[STOCK FISICO]]/REG_STOCK[[#This Row],[CUBICACION PPTO.]]</f>
        <v>0</v>
      </c>
      <c r="N35" s="3">
        <f>+REG_STOCK[[#This Row],[SOLICITADO A TF]]/REG_STOCK[[#This Row],[CUBICACION PPTO.]]</f>
        <v>47.115356781010291</v>
      </c>
      <c r="O35" s="3" t="str">
        <f>IF($V$2-REG_STOCK[[#This Row],[ALCANCE FISICO]]&gt;0,"",($V$2-REG_STOCK[[#This Row],[ALCANCE FISICO]]/REG_STOCK[[#This Row],[CUBICACION PPTO.]]))</f>
        <v/>
      </c>
      <c r="P35" s="3">
        <f>+_xlfn.XLOOKUP(REG_STOCK[[#This Row],[CODIGO]],PRODUCTOS[CODIGO],PRODUCTOS[PRECIO COMPRA UNITARIO],"",0)</f>
        <v>4760.4046547265589</v>
      </c>
      <c r="Q35" s="3" t="str">
        <f>IFERROR(REG_STOCK[[#This Row],[VALOR UNITARIO]]*REG_STOCK[[#This Row],[PERDIDA O EN PROCESO]],"")</f>
        <v/>
      </c>
      <c r="R35" s="3">
        <f>+REG_STOCK[[#This Row],[VALOR UNITARIO]]*REG_STOCK[[#This Row],[STOCK FISICO]]</f>
        <v>0</v>
      </c>
    </row>
    <row r="36" spans="1:18" hidden="1" x14ac:dyDescent="0.25">
      <c r="A36" s="1">
        <v>46146</v>
      </c>
      <c r="B36">
        <v>304049</v>
      </c>
      <c r="C36" s="81" t="s">
        <v>318</v>
      </c>
      <c r="D36" s="81" t="s">
        <v>18</v>
      </c>
      <c r="E36">
        <v>1105</v>
      </c>
      <c r="F36">
        <v>13.650000000000002</v>
      </c>
      <c r="G36">
        <v>115</v>
      </c>
      <c r="H36" s="81" t="str">
        <f>+_xlfn.XLOOKUP(REG_STOCK[[#This Row],[CODIGO]],PRODUCTOS[CODIGO],PRODUCTOS[DESC CORTA],"",0)</f>
        <v>TERCIADO FENOLICO</v>
      </c>
      <c r="I36" s="76">
        <f>SUMIFS(DETALLE_GD_1[CANTIDAD RECEPCIONADA],DETALLE_GD_1[CODIGO],REG_STOCK[[#This Row],[CODIGO]],DETALLE_GD_1[FECHA SOLICITUD],"&lt;="&amp;REG_STOCK[[#This Row],[FECHA STOCK ]])+97</f>
        <v>1202</v>
      </c>
      <c r="J36" s="81">
        <f>+REG_STOCK[[#This Row],[SOLICITADO A TF]]-REG_STOCK[[#This Row],[STOCK FISICO]]</f>
        <v>1087</v>
      </c>
      <c r="K36" s="40">
        <f>+_xlfn.XLOOKUP(REG_STOCK[[#This Row],[CODIGO]],PRODUCTOS[CODIGO],PRODUCTOS[CANT X MODULO],"",0)</f>
        <v>23.273250000000008</v>
      </c>
      <c r="L36" s="3">
        <f>+REG_STOCK[[#This Row],[CONSUMO]]/REG_STOCK[[#This Row],[CUBICACION PPTO.]]</f>
        <v>46.705982189853138</v>
      </c>
      <c r="M36" s="3">
        <f>+REG_STOCK[[#This Row],[STOCK FISICO]]/REG_STOCK[[#This Row],[CUBICACION PPTO.]]</f>
        <v>4.9412952638759071</v>
      </c>
      <c r="N36" s="3">
        <f>+REG_STOCK[[#This Row],[SOLICITADO A TF]]/REG_STOCK[[#This Row],[CUBICACION PPTO.]]</f>
        <v>51.647277453729046</v>
      </c>
      <c r="O36" s="3" t="str">
        <f>IF($V$2-REG_STOCK[[#This Row],[ALCANCE FISICO]]&gt;0,"",($V$2-REG_STOCK[[#This Row],[ALCANCE FISICO]]/REG_STOCK[[#This Row],[CUBICACION PPTO.]]))</f>
        <v/>
      </c>
      <c r="P36" s="3">
        <f>+_xlfn.XLOOKUP(REG_STOCK[[#This Row],[CODIGO]],PRODUCTOS[CODIGO],PRODUCTOS[PRECIO COMPRA UNITARIO],"",0)</f>
        <v>15018.620734341253</v>
      </c>
      <c r="Q36" s="3" t="str">
        <f>IFERROR(REG_STOCK[[#This Row],[VALOR UNITARIO]]*REG_STOCK[[#This Row],[PERDIDA O EN PROCESO]],"")</f>
        <v/>
      </c>
      <c r="R36" s="3">
        <f>+REG_STOCK[[#This Row],[VALOR UNITARIO]]*REG_STOCK[[#This Row],[STOCK FISICO]]</f>
        <v>1727141.3844492442</v>
      </c>
    </row>
    <row r="37" spans="1:18" hidden="1" x14ac:dyDescent="0.25">
      <c r="A37" s="1">
        <v>46146</v>
      </c>
      <c r="B37">
        <v>701096</v>
      </c>
      <c r="C37" s="81" t="s">
        <v>204</v>
      </c>
      <c r="D37" s="81" t="s">
        <v>18</v>
      </c>
      <c r="E37">
        <v>1400</v>
      </c>
      <c r="F37">
        <v>0.52500000000000002</v>
      </c>
      <c r="G37">
        <v>208</v>
      </c>
      <c r="H37" s="81" t="str">
        <f>+_xlfn.XLOOKUP(REG_STOCK[[#This Row],[CODIGO]],PRODUCTOS[CODIGO],PRODUCTOS[DESC CORTA],"",0)</f>
        <v>VOCANITA EMPAPELADA MURO</v>
      </c>
      <c r="I37" s="76">
        <f>SUMIFS(DETALLE_GD_1[CANTIDAD RECEPCIONADA],DETALLE_GD_1[CODIGO],REG_STOCK[[#This Row],[CODIGO]],DETALLE_GD_1[FECHA SOLICITUD],"&lt;="&amp;REG_STOCK[[#This Row],[FECHA STOCK ]])+97</f>
        <v>1497</v>
      </c>
      <c r="J37" s="81">
        <f>+REG_STOCK[[#This Row],[SOLICITADO A TF]]-REG_STOCK[[#This Row],[STOCK FISICO]]</f>
        <v>1289</v>
      </c>
      <c r="K37" s="40">
        <f>+_xlfn.XLOOKUP(REG_STOCK[[#This Row],[CODIGO]],PRODUCTOS[CODIGO],PRODUCTOS[CANT X MODULO],"",0)</f>
        <v>31.237499999999997</v>
      </c>
      <c r="L37" s="3">
        <f>+REG_STOCK[[#This Row],[CONSUMO]]/REG_STOCK[[#This Row],[CUBICACION PPTO.]]</f>
        <v>41.264505802320933</v>
      </c>
      <c r="M37" s="3">
        <f>+REG_STOCK[[#This Row],[STOCK FISICO]]/REG_STOCK[[#This Row],[CUBICACION PPTO.]]</f>
        <v>6.6586634653861552</v>
      </c>
      <c r="N37" s="3">
        <f>+REG_STOCK[[#This Row],[SOLICITADO A TF]]/REG_STOCK[[#This Row],[CUBICACION PPTO.]]</f>
        <v>47.923169267707088</v>
      </c>
      <c r="O37" s="3" t="str">
        <f>IF($V$2-REG_STOCK[[#This Row],[ALCANCE FISICO]]&gt;0,"",($V$2-REG_STOCK[[#This Row],[ALCANCE FISICO]]/REG_STOCK[[#This Row],[CUBICACION PPTO.]]))</f>
        <v/>
      </c>
      <c r="P37" s="3">
        <f>+_xlfn.XLOOKUP(REG_STOCK[[#This Row],[CODIGO]],PRODUCTOS[CODIGO],PRODUCTOS[PRECIO COMPRA UNITARIO],"",0)</f>
        <v>16226.792738275341</v>
      </c>
      <c r="Q37" s="3" t="str">
        <f>IFERROR(REG_STOCK[[#This Row],[VALOR UNITARIO]]*REG_STOCK[[#This Row],[PERDIDA O EN PROCESO]],"")</f>
        <v/>
      </c>
      <c r="R37" s="3">
        <f>+REG_STOCK[[#This Row],[VALOR UNITARIO]]*REG_STOCK[[#This Row],[STOCK FISICO]]</f>
        <v>3375172.8895612708</v>
      </c>
    </row>
    <row r="38" spans="1:18" hidden="1" x14ac:dyDescent="0.25">
      <c r="A38" s="1">
        <v>46153</v>
      </c>
      <c r="B38">
        <v>304007</v>
      </c>
      <c r="C38" s="81" t="s">
        <v>80</v>
      </c>
      <c r="D38" s="81" t="s">
        <v>18</v>
      </c>
      <c r="E38">
        <v>972</v>
      </c>
      <c r="F38">
        <v>0.52500000000000002</v>
      </c>
      <c r="G38">
        <v>339</v>
      </c>
      <c r="H38" s="81" t="str">
        <f>+_xlfn.XLOOKUP(REG_STOCK[[#This Row],[CODIGO]],PRODUCTOS[CODIGO],PRODUCTOS[DESC CORTA],"",0)</f>
        <v>OSB 11MM</v>
      </c>
      <c r="I38" s="76">
        <f>SUMIFS(DETALLE_GD_1[CANTIDAD RECEPCIONADA],DETALLE_GD_1[CODIGO],REG_STOCK[[#This Row],[CODIGO]],DETALLE_GD_1[FECHA SOLICITUD],"&lt;="&amp;REG_STOCK[[#This Row],[FECHA STOCK ]])+97</f>
        <v>1069</v>
      </c>
      <c r="J38" s="81">
        <f>+REG_STOCK[[#This Row],[SOLICITADO A TF]]-REG_STOCK[[#This Row],[STOCK FISICO]]</f>
        <v>730</v>
      </c>
      <c r="K38" s="40">
        <f>+_xlfn.XLOOKUP(REG_STOCK[[#This Row],[CODIGO]],PRODUCTOS[CODIGO],PRODUCTOS[CANT X MODULO],"",0)</f>
        <v>8.6625000000000014</v>
      </c>
      <c r="L38" s="3">
        <f>+REG_STOCK[[#This Row],[CONSUMO]]/REG_STOCK[[#This Row],[CUBICACION PPTO.]]</f>
        <v>84.271284271284259</v>
      </c>
      <c r="M38" s="3">
        <f>+REG_STOCK[[#This Row],[STOCK FISICO]]/REG_STOCK[[#This Row],[CUBICACION PPTO.]]</f>
        <v>39.134199134199129</v>
      </c>
      <c r="N38" s="3">
        <f>+REG_STOCK[[#This Row],[SOLICITADO A TF]]/REG_STOCK[[#This Row],[CUBICACION PPTO.]]</f>
        <v>123.40548340548338</v>
      </c>
      <c r="O38" s="3">
        <f>IF($V$2-REG_STOCK[[#This Row],[ALCANCE FISICO]]&gt;0,"",($V$2-REG_STOCK[[#This Row],[ALCANCE FISICO]]/REG_STOCK[[#This Row],[CUBICACION PPTO.]]))</f>
        <v>49.754056749727752</v>
      </c>
      <c r="P38" s="3">
        <f>+_xlfn.XLOOKUP(REG_STOCK[[#This Row],[CODIGO]],PRODUCTOS[CODIGO],PRODUCTOS[PRECIO COMPRA UNITARIO],"",0)</f>
        <v>11557.16697761194</v>
      </c>
      <c r="Q38" s="3">
        <f>IFERROR(REG_STOCK[[#This Row],[VALOR UNITARIO]]*REG_STOCK[[#This Row],[PERDIDA O EN PROCESO]],"")</f>
        <v>575015.94167018402</v>
      </c>
      <c r="R38" s="3">
        <f>+REG_STOCK[[#This Row],[VALOR UNITARIO]]*REG_STOCK[[#This Row],[STOCK FISICO]]</f>
        <v>3917879.6054104473</v>
      </c>
    </row>
    <row r="39" spans="1:18" hidden="1" x14ac:dyDescent="0.25">
      <c r="A39" s="1">
        <v>46153</v>
      </c>
      <c r="B39">
        <v>701043</v>
      </c>
      <c r="C39" s="81" t="s">
        <v>197</v>
      </c>
      <c r="D39" s="81" t="s">
        <v>699</v>
      </c>
      <c r="E39">
        <v>676</v>
      </c>
      <c r="F39">
        <v>2.1</v>
      </c>
      <c r="G39">
        <v>120</v>
      </c>
      <c r="H39" s="81" t="str">
        <f>+_xlfn.XLOOKUP(REG_STOCK[[#This Row],[CODIGO]],PRODUCTOS[CODIGO],PRODUCTOS[DESC CORTA],"",0)</f>
        <v>VOLCANITA EMPAPELADA CIELO</v>
      </c>
      <c r="I39" s="76">
        <f>SUMIFS(DETALLE_GD_1[CANTIDAD RECEPCIONADA],DETALLE_GD_1[CODIGO],REG_STOCK[[#This Row],[CODIGO]],DETALLE_GD_1[FECHA SOLICITUD],"&lt;="&amp;REG_STOCK[[#This Row],[FECHA STOCK ]])+97</f>
        <v>773</v>
      </c>
      <c r="J39" s="81">
        <f>+REG_STOCK[[#This Row],[SOLICITADO A TF]]-REG_STOCK[[#This Row],[STOCK FISICO]]</f>
        <v>653</v>
      </c>
      <c r="K39" s="40">
        <f>+_xlfn.XLOOKUP(REG_STOCK[[#This Row],[CODIGO]],PRODUCTOS[CODIGO],PRODUCTOS[CANT X MODULO],"",0)</f>
        <v>7.0875000000000012</v>
      </c>
      <c r="L39" s="3">
        <f>+REG_STOCK[[#This Row],[CONSUMO]]/REG_STOCK[[#This Row],[CUBICACION PPTO.]]</f>
        <v>92.134038800705454</v>
      </c>
      <c r="M39" s="3">
        <f>+REG_STOCK[[#This Row],[STOCK FISICO]]/REG_STOCK[[#This Row],[CUBICACION PPTO.]]</f>
        <v>16.931216931216927</v>
      </c>
      <c r="N39" s="3">
        <f>+REG_STOCK[[#This Row],[SOLICITADO A TF]]/REG_STOCK[[#This Row],[CUBICACION PPTO.]]</f>
        <v>109.06525573192238</v>
      </c>
      <c r="O39" s="3">
        <f>IF($V$2-REG_STOCK[[#This Row],[ALCANCE FISICO]]&gt;0,"",($V$2-REG_STOCK[[#This Row],[ALCANCE FISICO]]/REG_STOCK[[#This Row],[CUBICACION PPTO.]]))</f>
        <v>48.611604129534769</v>
      </c>
      <c r="P39" s="3">
        <f>+_xlfn.XLOOKUP(REG_STOCK[[#This Row],[CODIGO]],PRODUCTOS[CODIGO],PRODUCTOS[PRECIO COMPRA UNITARIO],"",0)</f>
        <v>22493.996861924687</v>
      </c>
      <c r="Q39" s="3">
        <f>IFERROR(REG_STOCK[[#This Row],[VALOR UNITARIO]]*REG_STOCK[[#This Row],[PERDIDA O EN PROCESO]],"")</f>
        <v>1093469.2707428802</v>
      </c>
      <c r="R39" s="3">
        <f>+REG_STOCK[[#This Row],[VALOR UNITARIO]]*REG_STOCK[[#This Row],[STOCK FISICO]]</f>
        <v>2699279.6234309622</v>
      </c>
    </row>
    <row r="40" spans="1:18" hidden="1" x14ac:dyDescent="0.25">
      <c r="A40" s="1">
        <v>46153</v>
      </c>
      <c r="B40">
        <v>302046</v>
      </c>
      <c r="C40" s="81" t="s">
        <v>519</v>
      </c>
      <c r="D40" s="81" t="s">
        <v>20</v>
      </c>
      <c r="E40">
        <v>3181</v>
      </c>
      <c r="F40">
        <v>2.3625000000000003</v>
      </c>
      <c r="G40">
        <v>434</v>
      </c>
      <c r="H40" s="81" t="str">
        <f>+_xlfn.XLOOKUP(REG_STOCK[[#This Row],[CODIGO]],PRODUCTOS[CODIGO],PRODUCTOS[DESC CORTA],"",0)</f>
        <v>PINO 2X6X400</v>
      </c>
      <c r="I40" s="76">
        <f>SUMIFS(DETALLE_GD_1[CANTIDAD RECEPCIONADA],DETALLE_GD_1[CODIGO],REG_STOCK[[#This Row],[CODIGO]],DETALLE_GD_1[FECHA SOLICITUD],"&lt;="&amp;REG_STOCK[[#This Row],[FECHA STOCK ]])+97</f>
        <v>3278</v>
      </c>
      <c r="J40" s="81">
        <f>+REG_STOCK[[#This Row],[SOLICITADO A TF]]-REG_STOCK[[#This Row],[STOCK FISICO]]</f>
        <v>2844</v>
      </c>
      <c r="K40" s="40">
        <f>+_xlfn.XLOOKUP(REG_STOCK[[#This Row],[CODIGO]],PRODUCTOS[CODIGO],PRODUCTOS[CANT X MODULO],"",0)</f>
        <v>34.65</v>
      </c>
      <c r="L40" s="3">
        <f>+REG_STOCK[[#This Row],[CONSUMO]]/REG_STOCK[[#This Row],[CUBICACION PPTO.]]</f>
        <v>82.077922077922082</v>
      </c>
      <c r="M40" s="3">
        <f>+REG_STOCK[[#This Row],[STOCK FISICO]]/REG_STOCK[[#This Row],[CUBICACION PPTO.]]</f>
        <v>12.525252525252526</v>
      </c>
      <c r="N40" s="3">
        <f>+REG_STOCK[[#This Row],[SOLICITADO A TF]]/REG_STOCK[[#This Row],[CUBICACION PPTO.]]</f>
        <v>94.603174603174608</v>
      </c>
      <c r="O40" s="3">
        <f>IF($V$2-REG_STOCK[[#This Row],[ALCANCE FISICO]]&gt;0,"",($V$2-REG_STOCK[[#This Row],[ALCANCE FISICO]]/REG_STOCK[[#This Row],[CUBICACION PPTO.]]))</f>
        <v>61.269749650702032</v>
      </c>
      <c r="P40" s="3">
        <f>+_xlfn.XLOOKUP(REG_STOCK[[#This Row],[CODIGO]],PRODUCTOS[CODIGO],PRODUCTOS[PRECIO COMPRA UNITARIO],"",0)</f>
        <v>10292.490437458782</v>
      </c>
      <c r="Q40" s="3">
        <f>IFERROR(REG_STOCK[[#This Row],[VALOR UNITARIO]]*REG_STOCK[[#This Row],[PERDIDA O EN PROCESO]],"")</f>
        <v>630618.31238534418</v>
      </c>
      <c r="R40" s="3">
        <f>+REG_STOCK[[#This Row],[VALOR UNITARIO]]*REG_STOCK[[#This Row],[STOCK FISICO]]</f>
        <v>4466940.8498571115</v>
      </c>
    </row>
    <row r="41" spans="1:18" hidden="1" x14ac:dyDescent="0.25">
      <c r="A41" s="1">
        <v>46153</v>
      </c>
      <c r="B41">
        <v>302010</v>
      </c>
      <c r="C41" s="81" t="s">
        <v>514</v>
      </c>
      <c r="D41" s="81" t="s">
        <v>20</v>
      </c>
      <c r="E41">
        <v>1848</v>
      </c>
      <c r="F41">
        <v>13.650000000000002</v>
      </c>
      <c r="G41">
        <v>0</v>
      </c>
      <c r="H41" s="81" t="str">
        <f>+_xlfn.XLOOKUP(REG_STOCK[[#This Row],[CODIGO]],PRODUCTOS[CODIGO],PRODUCTOS[DESC CORTA],"",0)</f>
        <v>PINO 2X6X320</v>
      </c>
      <c r="I41" s="76">
        <f>SUMIFS(DETALLE_GD_1[CANTIDAD RECEPCIONADA],DETALLE_GD_1[CODIGO],REG_STOCK[[#This Row],[CODIGO]],DETALLE_GD_1[FECHA SOLICITUD],"&lt;="&amp;REG_STOCK[[#This Row],[FECHA STOCK ]])+97</f>
        <v>1945</v>
      </c>
      <c r="J41" s="81">
        <f>+REG_STOCK[[#This Row],[SOLICITADO A TF]]-REG_STOCK[[#This Row],[STOCK FISICO]]</f>
        <v>1945</v>
      </c>
      <c r="K41" s="40">
        <f>+_xlfn.XLOOKUP(REG_STOCK[[#This Row],[CODIGO]],PRODUCTOS[CODIGO],PRODUCTOS[CANT X MODULO],"",0)</f>
        <v>34.912500000000023</v>
      </c>
      <c r="L41" s="3">
        <f>+REG_STOCK[[#This Row],[CONSUMO]]/REG_STOCK[[#This Row],[CUBICACION PPTO.]]</f>
        <v>55.71070533476545</v>
      </c>
      <c r="M41" s="3">
        <f>+REG_STOCK[[#This Row],[STOCK FISICO]]/REG_STOCK[[#This Row],[CUBICACION PPTO.]]</f>
        <v>0</v>
      </c>
      <c r="N41" s="3">
        <f>+REG_STOCK[[#This Row],[SOLICITADO A TF]]/REG_STOCK[[#This Row],[CUBICACION PPTO.]]</f>
        <v>55.71070533476545</v>
      </c>
      <c r="O41" s="3" t="str">
        <f>IF($V$2-REG_STOCK[[#This Row],[ALCANCE FISICO]]&gt;0,"",($V$2-REG_STOCK[[#This Row],[ALCANCE FISICO]]/REG_STOCK[[#This Row],[CUBICACION PPTO.]]))</f>
        <v/>
      </c>
      <c r="P41" s="3">
        <f>+_xlfn.XLOOKUP(REG_STOCK[[#This Row],[CODIGO]],PRODUCTOS[CODIGO],PRODUCTOS[PRECIO COMPRA UNITARIO],"",0)</f>
        <v>5566.8590808416393</v>
      </c>
      <c r="Q41" s="3" t="str">
        <f>IFERROR(REG_STOCK[[#This Row],[VALOR UNITARIO]]*REG_STOCK[[#This Row],[PERDIDA O EN PROCESO]],"")</f>
        <v/>
      </c>
      <c r="R41" s="3">
        <f>+REG_STOCK[[#This Row],[VALOR UNITARIO]]*REG_STOCK[[#This Row],[STOCK FISICO]]</f>
        <v>0</v>
      </c>
    </row>
    <row r="42" spans="1:18" hidden="1" x14ac:dyDescent="0.25">
      <c r="A42" s="1">
        <v>46153</v>
      </c>
      <c r="B42">
        <v>1901008</v>
      </c>
      <c r="C42" s="81" t="s">
        <v>750</v>
      </c>
      <c r="D42" s="81" t="s">
        <v>26</v>
      </c>
      <c r="E42">
        <v>4236</v>
      </c>
      <c r="F42">
        <v>0.52500000000000002</v>
      </c>
      <c r="G42">
        <v>26</v>
      </c>
      <c r="H42" s="81" t="str">
        <f>+_xlfn.XLOOKUP(REG_STOCK[[#This Row],[CODIGO]],PRODUCTOS[CODIGO],PRODUCTOS[DESC CORTA],"",0)</f>
        <v>AISLAN GLASS 90MM</v>
      </c>
      <c r="I42" s="76">
        <f>SUMIFS(DETALLE_GD_1[CANTIDAD RECEPCIONADA],DETALLE_GD_1[CODIGO],REG_STOCK[[#This Row],[CODIGO]],DETALLE_GD_1[FECHA SOLICITUD],"&lt;="&amp;REG_STOCK[[#This Row],[FECHA STOCK ]])+97</f>
        <v>4333</v>
      </c>
      <c r="J42" s="81">
        <f>+REG_STOCK[[#This Row],[SOLICITADO A TF]]-REG_STOCK[[#This Row],[STOCK FISICO]]</f>
        <v>4307</v>
      </c>
      <c r="K42" s="40">
        <f>+_xlfn.XLOOKUP(REG_STOCK[[#This Row],[CODIGO]],PRODUCTOS[CODIGO],PRODUCTOS[CANT X MODULO],"",0)</f>
        <v>62.430325650000007</v>
      </c>
      <c r="L42" s="3">
        <f>+REG_STOCK[[#This Row],[CONSUMO]]/REG_STOCK[[#This Row],[CUBICACION PPTO.]]</f>
        <v>68.988908117284495</v>
      </c>
      <c r="M42" s="3">
        <f>+REG_STOCK[[#This Row],[STOCK FISICO]]/REG_STOCK[[#This Row],[CUBICACION PPTO.]]</f>
        <v>0.41646427003700881</v>
      </c>
      <c r="N42" s="3">
        <f>+REG_STOCK[[#This Row],[SOLICITADO A TF]]/REG_STOCK[[#This Row],[CUBICACION PPTO.]]</f>
        <v>69.405372387321506</v>
      </c>
      <c r="O42" s="3">
        <f>IF($V$2-REG_STOCK[[#This Row],[ALCANCE FISICO]]&gt;0,"",($V$2-REG_STOCK[[#This Row],[ALCANCE FISICO]]/REG_STOCK[[#This Row],[CUBICACION PPTO.]]))</f>
        <v>62.88827470200259</v>
      </c>
      <c r="P42" s="3">
        <f>+_xlfn.XLOOKUP(REG_STOCK[[#This Row],[CODIGO]],PRODUCTOS[CODIGO],PRODUCTOS[PRECIO COMPRA UNITARIO],"",0)</f>
        <v>2059.785564685033</v>
      </c>
      <c r="Q42" s="3">
        <f>IFERROR(REG_STOCK[[#This Row],[VALOR UNITARIO]]*REG_STOCK[[#This Row],[PERDIDA O EN PROCESO]],"")</f>
        <v>129536.36041913189</v>
      </c>
      <c r="R42" s="3">
        <f>+REG_STOCK[[#This Row],[VALOR UNITARIO]]*REG_STOCK[[#This Row],[STOCK FISICO]]</f>
        <v>53554.424681810859</v>
      </c>
    </row>
    <row r="43" spans="1:18" hidden="1" x14ac:dyDescent="0.25">
      <c r="A43" s="1">
        <v>46153</v>
      </c>
      <c r="B43">
        <v>304002</v>
      </c>
      <c r="C43" s="81" t="s">
        <v>37</v>
      </c>
      <c r="D43" s="81" t="s">
        <v>18</v>
      </c>
      <c r="E43">
        <v>1391</v>
      </c>
      <c r="F43">
        <v>7.875</v>
      </c>
      <c r="G43">
        <v>248</v>
      </c>
      <c r="H43" s="81" t="str">
        <f>+_xlfn.XLOOKUP(REG_STOCK[[#This Row],[CODIGO]],PRODUCTOS[CODIGO],PRODUCTOS[DESC CORTA],"",0)</f>
        <v>SMARTPANEL</v>
      </c>
      <c r="I43" s="76">
        <f>SUMIFS(DETALLE_GD_1[CANTIDAD RECEPCIONADA],DETALLE_GD_1[CODIGO],REG_STOCK[[#This Row],[CODIGO]],DETALLE_GD_1[FECHA SOLICITUD],"&lt;="&amp;REG_STOCK[[#This Row],[FECHA STOCK ]])+97</f>
        <v>1488</v>
      </c>
      <c r="J43" s="81">
        <f>+REG_STOCK[[#This Row],[SOLICITADO A TF]]-REG_STOCK[[#This Row],[STOCK FISICO]]</f>
        <v>1240</v>
      </c>
      <c r="K43" s="40">
        <f>+_xlfn.XLOOKUP(REG_STOCK[[#This Row],[CODIGO]],PRODUCTOS[CODIGO],PRODUCTOS[CANT X MODULO],"",0)</f>
        <v>23.296874999999996</v>
      </c>
      <c r="L43" s="3">
        <f>+REG_STOCK[[#This Row],[CONSUMO]]/REG_STOCK[[#This Row],[CUBICACION PPTO.]]</f>
        <v>53.226022803487602</v>
      </c>
      <c r="M43" s="3">
        <f>+REG_STOCK[[#This Row],[STOCK FISICO]]/REG_STOCK[[#This Row],[CUBICACION PPTO.]]</f>
        <v>10.64520456069752</v>
      </c>
      <c r="N43" s="3">
        <f>+REG_STOCK[[#This Row],[SOLICITADO A TF]]/REG_STOCK[[#This Row],[CUBICACION PPTO.]]</f>
        <v>63.871227364185117</v>
      </c>
      <c r="O43" s="3" t="str">
        <f>IF($V$2-REG_STOCK[[#This Row],[ALCANCE FISICO]]&gt;0,"",($V$2-REG_STOCK[[#This Row],[ALCANCE FISICO]]/REG_STOCK[[#This Row],[CUBICACION PPTO.]]))</f>
        <v/>
      </c>
      <c r="P43" s="3">
        <f>+_xlfn.XLOOKUP(REG_STOCK[[#This Row],[CODIGO]],PRODUCTOS[CODIGO],PRODUCTOS[PRECIO COMPRA UNITARIO],"",0)</f>
        <v>21579.067512460355</v>
      </c>
      <c r="Q43" s="3" t="str">
        <f>IFERROR(REG_STOCK[[#This Row],[VALOR UNITARIO]]*REG_STOCK[[#This Row],[PERDIDA O EN PROCESO]],"")</f>
        <v/>
      </c>
      <c r="R43" s="3">
        <f>+REG_STOCK[[#This Row],[VALOR UNITARIO]]*REG_STOCK[[#This Row],[STOCK FISICO]]</f>
        <v>5351608.7430901676</v>
      </c>
    </row>
    <row r="44" spans="1:18" hidden="1" x14ac:dyDescent="0.25">
      <c r="A44" s="1">
        <v>46153</v>
      </c>
      <c r="B44">
        <v>304101</v>
      </c>
      <c r="C44" s="81" t="s">
        <v>698</v>
      </c>
      <c r="D44" s="81" t="s">
        <v>18</v>
      </c>
      <c r="E44">
        <v>3169</v>
      </c>
      <c r="F44">
        <v>13.650000000000002</v>
      </c>
      <c r="G44">
        <v>525</v>
      </c>
      <c r="H44" s="81" t="str">
        <f>+_xlfn.XLOOKUP(REG_STOCK[[#This Row],[CODIGO]],PRODUCTOS[CODIGO],PRODUCTOS[DESC CORTA],"",0)</f>
        <v>OSB 9.5</v>
      </c>
      <c r="I44" s="76">
        <f>SUMIFS(DETALLE_GD_1[CANTIDAD RECEPCIONADA],DETALLE_GD_1[CODIGO],REG_STOCK[[#This Row],[CODIGO]],DETALLE_GD_1[FECHA SOLICITUD],"&lt;="&amp;REG_STOCK[[#This Row],[FECHA STOCK ]])+97</f>
        <v>3266</v>
      </c>
      <c r="J44" s="81">
        <f>+REG_STOCK[[#This Row],[SOLICITADO A TF]]-REG_STOCK[[#This Row],[STOCK FISICO]]</f>
        <v>2741</v>
      </c>
      <c r="K44" s="40">
        <f>+_xlfn.XLOOKUP(REG_STOCK[[#This Row],[CODIGO]],PRODUCTOS[CODIGO],PRODUCTOS[CANT X MODULO],"",0)</f>
        <v>47.643749999999976</v>
      </c>
      <c r="L44" s="3">
        <f>+REG_STOCK[[#This Row],[CONSUMO]]/REG_STOCK[[#This Row],[CUBICACION PPTO.]]</f>
        <v>57.531155712973927</v>
      </c>
      <c r="M44" s="3">
        <f>+REG_STOCK[[#This Row],[STOCK FISICO]]/REG_STOCK[[#This Row],[CUBICACION PPTO.]]</f>
        <v>11.019283746556479</v>
      </c>
      <c r="N44" s="3">
        <f>+REG_STOCK[[#This Row],[SOLICITADO A TF]]/REG_STOCK[[#This Row],[CUBICACION PPTO.]]</f>
        <v>68.550439459530409</v>
      </c>
      <c r="O44" s="3">
        <f>IF($V$2-REG_STOCK[[#This Row],[ALCANCE FISICO]]&gt;0,"",($V$2-REG_STOCK[[#This Row],[ALCANCE FISICO]]/REG_STOCK[[#This Row],[CUBICACION PPTO.]]))</f>
        <v>62.56118715551294</v>
      </c>
      <c r="P44" s="3">
        <f>+_xlfn.XLOOKUP(REG_STOCK[[#This Row],[CODIGO]],PRODUCTOS[CODIGO],PRODUCTOS[PRECIO COMPRA UNITARIO],"",0)</f>
        <v>9652.5142678608627</v>
      </c>
      <c r="Q44" s="3">
        <f>IFERROR(REG_STOCK[[#This Row],[VALOR UNITARIO]]*REG_STOCK[[#This Row],[PERDIDA O EN PROCESO]],"")</f>
        <v>603872.75163290242</v>
      </c>
      <c r="R44" s="3">
        <f>+REG_STOCK[[#This Row],[VALOR UNITARIO]]*REG_STOCK[[#This Row],[STOCK FISICO]]</f>
        <v>5067569.9906269526</v>
      </c>
    </row>
    <row r="45" spans="1:18" hidden="1" x14ac:dyDescent="0.25">
      <c r="A45" s="1">
        <v>46153</v>
      </c>
      <c r="B45">
        <v>302028</v>
      </c>
      <c r="C45" s="81" t="s">
        <v>515</v>
      </c>
      <c r="D45" s="81" t="s">
        <v>20</v>
      </c>
      <c r="E45">
        <v>8281</v>
      </c>
      <c r="F45">
        <v>0.91874999999999996</v>
      </c>
      <c r="G45">
        <v>0</v>
      </c>
      <c r="H45" s="81" t="str">
        <f>+_xlfn.XLOOKUP(REG_STOCK[[#This Row],[CODIGO]],PRODUCTOS[CODIGO],PRODUCTOS[DESC CORTA],"",0)</f>
        <v>PINO 2X4X320</v>
      </c>
      <c r="I45" s="76">
        <f>SUMIFS(DETALLE_GD_1[CANTIDAD RECEPCIONADA],DETALLE_GD_1[CODIGO],REG_STOCK[[#This Row],[CODIGO]],DETALLE_GD_1[FECHA SOLICITUD],"&lt;="&amp;REG_STOCK[[#This Row],[FECHA STOCK ]])+97</f>
        <v>8378</v>
      </c>
      <c r="J45" s="81">
        <f>+REG_STOCK[[#This Row],[SOLICITADO A TF]]-REG_STOCK[[#This Row],[STOCK FISICO]]</f>
        <v>8378</v>
      </c>
      <c r="K45" s="40">
        <f>+_xlfn.XLOOKUP(REG_STOCK[[#This Row],[CODIGO]],PRODUCTOS[CODIGO],PRODUCTOS[CANT X MODULO],"",0)</f>
        <v>172.72499999999994</v>
      </c>
      <c r="L45" s="3">
        <f>+REG_STOCK[[#This Row],[CONSUMO]]/REG_STOCK[[#This Row],[CUBICACION PPTO.]]</f>
        <v>48.504848748009863</v>
      </c>
      <c r="M45" s="3">
        <f>+REG_STOCK[[#This Row],[STOCK FISICO]]/REG_STOCK[[#This Row],[CUBICACION PPTO.]]</f>
        <v>0</v>
      </c>
      <c r="N45" s="3">
        <f>+REG_STOCK[[#This Row],[SOLICITADO A TF]]/REG_STOCK[[#This Row],[CUBICACION PPTO.]]</f>
        <v>48.504848748009863</v>
      </c>
      <c r="O45" s="3" t="str">
        <f>IF($V$2-REG_STOCK[[#This Row],[ALCANCE FISICO]]&gt;0,"",($V$2-REG_STOCK[[#This Row],[ALCANCE FISICO]]/REG_STOCK[[#This Row],[CUBICACION PPTO.]]))</f>
        <v/>
      </c>
      <c r="P45" s="3">
        <f>+_xlfn.XLOOKUP(REG_STOCK[[#This Row],[CODIGO]],PRODUCTOS[CODIGO],PRODUCTOS[PRECIO COMPRA UNITARIO],"",0)</f>
        <v>4760.4046547265589</v>
      </c>
      <c r="Q45" s="3" t="str">
        <f>IFERROR(REG_STOCK[[#This Row],[VALOR UNITARIO]]*REG_STOCK[[#This Row],[PERDIDA O EN PROCESO]],"")</f>
        <v/>
      </c>
      <c r="R45" s="3">
        <f>+REG_STOCK[[#This Row],[VALOR UNITARIO]]*REG_STOCK[[#This Row],[STOCK FISICO]]</f>
        <v>0</v>
      </c>
    </row>
    <row r="46" spans="1:18" hidden="1" x14ac:dyDescent="0.25">
      <c r="A46" s="1">
        <v>46153</v>
      </c>
      <c r="B46">
        <v>304049</v>
      </c>
      <c r="C46" s="81" t="s">
        <v>318</v>
      </c>
      <c r="D46" s="81" t="s">
        <v>18</v>
      </c>
      <c r="E46">
        <v>1365</v>
      </c>
      <c r="F46">
        <v>0.52500000000000002</v>
      </c>
      <c r="G46">
        <v>165</v>
      </c>
      <c r="H46" s="81" t="str">
        <f>+_xlfn.XLOOKUP(REG_STOCK[[#This Row],[CODIGO]],PRODUCTOS[CODIGO],PRODUCTOS[DESC CORTA],"",0)</f>
        <v>TERCIADO FENOLICO</v>
      </c>
      <c r="I46" s="76">
        <f>SUMIFS(DETALLE_GD_1[CANTIDAD RECEPCIONADA],DETALLE_GD_1[CODIGO],REG_STOCK[[#This Row],[CODIGO]],DETALLE_GD_1[FECHA SOLICITUD],"&lt;="&amp;REG_STOCK[[#This Row],[FECHA STOCK ]])+97</f>
        <v>1462</v>
      </c>
      <c r="J46" s="81">
        <f>+REG_STOCK[[#This Row],[SOLICITADO A TF]]-REG_STOCK[[#This Row],[STOCK FISICO]]</f>
        <v>1297</v>
      </c>
      <c r="K46" s="40">
        <f>+_xlfn.XLOOKUP(REG_STOCK[[#This Row],[CODIGO]],PRODUCTOS[CODIGO],PRODUCTOS[CANT X MODULO],"",0)</f>
        <v>23.273250000000008</v>
      </c>
      <c r="L46" s="3">
        <f>+REG_STOCK[[#This Row],[CONSUMO]]/REG_STOCK[[#This Row],[CUBICACION PPTO.]]</f>
        <v>55.729217019539583</v>
      </c>
      <c r="M46" s="3">
        <f>+REG_STOCK[[#This Row],[STOCK FISICO]]/REG_STOCK[[#This Row],[CUBICACION PPTO.]]</f>
        <v>7.089684509039345</v>
      </c>
      <c r="N46" s="3">
        <f>+REG_STOCK[[#This Row],[SOLICITADO A TF]]/REG_STOCK[[#This Row],[CUBICACION PPTO.]]</f>
        <v>62.818901528578927</v>
      </c>
      <c r="O46" s="3" t="str">
        <f>IF($V$2-REG_STOCK[[#This Row],[ALCANCE FISICO]]&gt;0,"",($V$2-REG_STOCK[[#This Row],[ALCANCE FISICO]]/REG_STOCK[[#This Row],[CUBICACION PPTO.]]))</f>
        <v/>
      </c>
      <c r="P46" s="3">
        <f>+_xlfn.XLOOKUP(REG_STOCK[[#This Row],[CODIGO]],PRODUCTOS[CODIGO],PRODUCTOS[PRECIO COMPRA UNITARIO],"",0)</f>
        <v>15018.620734341253</v>
      </c>
      <c r="Q46" s="3" t="str">
        <f>IFERROR(REG_STOCK[[#This Row],[VALOR UNITARIO]]*REG_STOCK[[#This Row],[PERDIDA O EN PROCESO]],"")</f>
        <v/>
      </c>
      <c r="R46" s="3">
        <f>+REG_STOCK[[#This Row],[VALOR UNITARIO]]*REG_STOCK[[#This Row],[STOCK FISICO]]</f>
        <v>2478072.4211663068</v>
      </c>
    </row>
    <row r="47" spans="1:18" hidden="1" x14ac:dyDescent="0.25">
      <c r="A47" s="1">
        <v>46153</v>
      </c>
      <c r="B47">
        <v>701096</v>
      </c>
      <c r="C47" s="81" t="s">
        <v>204</v>
      </c>
      <c r="D47" s="81" t="s">
        <v>18</v>
      </c>
      <c r="E47">
        <v>1610</v>
      </c>
      <c r="F47">
        <v>52.5</v>
      </c>
      <c r="G47">
        <v>195</v>
      </c>
      <c r="H47" s="81" t="str">
        <f>+_xlfn.XLOOKUP(REG_STOCK[[#This Row],[CODIGO]],PRODUCTOS[CODIGO],PRODUCTOS[DESC CORTA],"",0)</f>
        <v>VOCANITA EMPAPELADA MURO</v>
      </c>
      <c r="I47" s="76">
        <f>SUMIFS(DETALLE_GD_1[CANTIDAD RECEPCIONADA],DETALLE_GD_1[CODIGO],REG_STOCK[[#This Row],[CODIGO]],DETALLE_GD_1[FECHA SOLICITUD],"&lt;="&amp;REG_STOCK[[#This Row],[FECHA STOCK ]])+97</f>
        <v>1777</v>
      </c>
      <c r="J47" s="81">
        <f>+REG_STOCK[[#This Row],[SOLICITADO A TF]]-REG_STOCK[[#This Row],[STOCK FISICO]]</f>
        <v>1582</v>
      </c>
      <c r="K47" s="40">
        <f>+_xlfn.XLOOKUP(REG_STOCK[[#This Row],[CODIGO]],PRODUCTOS[CODIGO],PRODUCTOS[CANT X MODULO],"",0)</f>
        <v>31.237499999999997</v>
      </c>
      <c r="L47" s="3">
        <f>+REG_STOCK[[#This Row],[CONSUMO]]/REG_STOCK[[#This Row],[CUBICACION PPTO.]]</f>
        <v>50.644257703081237</v>
      </c>
      <c r="M47" s="3">
        <f>+REG_STOCK[[#This Row],[STOCK FISICO]]/REG_STOCK[[#This Row],[CUBICACION PPTO.]]</f>
        <v>6.2424969987995205</v>
      </c>
      <c r="N47" s="3">
        <f>+REG_STOCK[[#This Row],[SOLICITADO A TF]]/REG_STOCK[[#This Row],[CUBICACION PPTO.]]</f>
        <v>56.886754701880754</v>
      </c>
      <c r="O47" s="3" t="str">
        <f>IF($V$2-REG_STOCK[[#This Row],[ALCANCE FISICO]]&gt;0,"",($V$2-REG_STOCK[[#This Row],[ALCANCE FISICO]]/REG_STOCK[[#This Row],[CUBICACION PPTO.]]))</f>
        <v/>
      </c>
      <c r="P47" s="3">
        <f>+_xlfn.XLOOKUP(REG_STOCK[[#This Row],[CODIGO]],PRODUCTOS[CODIGO],PRODUCTOS[PRECIO COMPRA UNITARIO],"",0)</f>
        <v>16226.792738275341</v>
      </c>
      <c r="Q47" s="3" t="str">
        <f>IFERROR(REG_STOCK[[#This Row],[VALOR UNITARIO]]*REG_STOCK[[#This Row],[PERDIDA O EN PROCESO]],"")</f>
        <v/>
      </c>
      <c r="R47" s="3">
        <f>+REG_STOCK[[#This Row],[VALOR UNITARIO]]*REG_STOCK[[#This Row],[STOCK FISICO]]</f>
        <v>3164224.5839636913</v>
      </c>
    </row>
    <row r="48" spans="1:18" hidden="1" x14ac:dyDescent="0.25">
      <c r="A48" s="1">
        <v>46153</v>
      </c>
      <c r="B48">
        <v>701040</v>
      </c>
      <c r="C48" s="81" t="s">
        <v>19</v>
      </c>
      <c r="D48" s="81" t="s">
        <v>355</v>
      </c>
      <c r="E48">
        <v>815</v>
      </c>
      <c r="F48">
        <v>52.5</v>
      </c>
      <c r="G48">
        <v>126</v>
      </c>
      <c r="H48" s="81" t="str">
        <f>+_xlfn.XLOOKUP(REG_STOCK[[#This Row],[CODIGO]],PRODUCTOS[CODIGO],PRODUCTOS[DESC CORTA],"",0)</f>
        <v>VOLCANITA RF</v>
      </c>
      <c r="I48" s="76">
        <f>SUMIFS(DETALLE_GD_1[CANTIDAD RECEPCIONADA],DETALLE_GD_1[CODIGO],REG_STOCK[[#This Row],[CODIGO]],DETALLE_GD_1[FECHA SOLICITUD],"&lt;="&amp;REG_STOCK[[#This Row],[FECHA STOCK ]])+97</f>
        <v>912</v>
      </c>
      <c r="J48" s="81">
        <f>+REG_STOCK[[#This Row],[SOLICITADO A TF]]-REG_STOCK[[#This Row],[STOCK FISICO]]</f>
        <v>786</v>
      </c>
      <c r="K48" s="40">
        <f>+_xlfn.XLOOKUP(REG_STOCK[[#This Row],[CODIGO]],PRODUCTOS[CODIGO],PRODUCTOS[CANT X MODULO],"",0)</f>
        <v>4.2840000000000007</v>
      </c>
      <c r="L48" s="3">
        <f>+REG_STOCK[[#This Row],[CONSUMO]]/REG_STOCK[[#This Row],[CUBICACION PPTO.]]</f>
        <v>183.47338935574226</v>
      </c>
      <c r="M48" s="3">
        <f>+REG_STOCK[[#This Row],[STOCK FISICO]]/REG_STOCK[[#This Row],[CUBICACION PPTO.]]</f>
        <v>29.411764705882348</v>
      </c>
      <c r="N48" s="3">
        <f>+REG_STOCK[[#This Row],[SOLICITADO A TF]]/REG_STOCK[[#This Row],[CUBICACION PPTO.]]</f>
        <v>212.8851540616246</v>
      </c>
      <c r="O48" s="3">
        <f>IF($V$2-REG_STOCK[[#This Row],[ALCANCE FISICO]]&gt;0,"",($V$2-REG_STOCK[[#This Row],[ALCANCE FISICO]]/REG_STOCK[[#This Row],[CUBICACION PPTO.]]))</f>
        <v>14.306920153682405</v>
      </c>
      <c r="P48" s="3">
        <f>+_xlfn.XLOOKUP(REG_STOCK[[#This Row],[CODIGO]],PRODUCTOS[CODIGO],PRODUCTOS[PRECIO COMPRA UNITARIO],"",0)</f>
        <v>7583.0947867298582</v>
      </c>
      <c r="Q48" s="3">
        <f>IFERROR(REG_STOCK[[#This Row],[VALOR UNITARIO]]*REG_STOCK[[#This Row],[PERDIDA O EN PROCESO]],"")</f>
        <v>108490.7316315494</v>
      </c>
      <c r="R48" s="3">
        <f>+REG_STOCK[[#This Row],[VALOR UNITARIO]]*REG_STOCK[[#This Row],[STOCK FISICO]]</f>
        <v>955469.94312796218</v>
      </c>
    </row>
    <row r="49" spans="1:18" hidden="1" x14ac:dyDescent="0.25">
      <c r="A49" s="1">
        <v>46153</v>
      </c>
      <c r="B49">
        <v>1902003</v>
      </c>
      <c r="C49" s="81" t="s">
        <v>155</v>
      </c>
      <c r="D49" s="81" t="s">
        <v>47</v>
      </c>
      <c r="E49">
        <v>51</v>
      </c>
      <c r="F49">
        <v>0.65625</v>
      </c>
      <c r="G49">
        <v>15</v>
      </c>
      <c r="H49" s="81">
        <f>+_xlfn.XLOOKUP(REG_STOCK[[#This Row],[CODIGO]],PRODUCTOS[CODIGO],PRODUCTOS[DESC CORTA],"",0)</f>
        <v>0</v>
      </c>
      <c r="I49" s="76">
        <f>SUMIFS(DETALLE_GD_1[CANTIDAD RECEPCIONADA],DETALLE_GD_1[CODIGO],REG_STOCK[[#This Row],[CODIGO]],DETALLE_GD_1[FECHA SOLICITUD],"&lt;="&amp;REG_STOCK[[#This Row],[FECHA STOCK ]])+97</f>
        <v>148</v>
      </c>
      <c r="J49" s="81">
        <f>+REG_STOCK[[#This Row],[SOLICITADO A TF]]-REG_STOCK[[#This Row],[STOCK FISICO]]</f>
        <v>133</v>
      </c>
      <c r="K49" s="40">
        <f>+_xlfn.XLOOKUP(REG_STOCK[[#This Row],[CODIGO]],PRODUCTOS[CODIGO],PRODUCTOS[CANT X MODULO],"",0)</f>
        <v>0.41466600000000009</v>
      </c>
      <c r="L49" s="3">
        <f>+REG_STOCK[[#This Row],[CONSUMO]]/REG_STOCK[[#This Row],[CUBICACION PPTO.]]</f>
        <v>320.74006549849753</v>
      </c>
      <c r="M49" s="3">
        <f>+REG_STOCK[[#This Row],[STOCK FISICO]]/REG_STOCK[[#This Row],[CUBICACION PPTO.]]</f>
        <v>36.173691597574908</v>
      </c>
      <c r="N49" s="3">
        <f>+REG_STOCK[[#This Row],[SOLICITADO A TF]]/REG_STOCK[[#This Row],[CUBICACION PPTO.]]</f>
        <v>356.9137570960724</v>
      </c>
      <c r="O49" s="3">
        <f>IF($V$2-REG_STOCK[[#This Row],[ALCANCE FISICO]]&gt;0,"",($V$2-REG_STOCK[[#This Row],[ALCANCE FISICO]]/REG_STOCK[[#This Row],[CUBICACION PPTO.]]))</f>
        <v>-796.7258784083391</v>
      </c>
      <c r="P49" s="3">
        <f>+_xlfn.XLOOKUP(REG_STOCK[[#This Row],[CODIGO]],PRODUCTOS[CODIGO],PRODUCTOS[PRECIO COMPRA UNITARIO],"",0)</f>
        <v>150732.2183908046</v>
      </c>
      <c r="Q49" s="3">
        <f>IFERROR(REG_STOCK[[#This Row],[VALOR UNITARIO]]*REG_STOCK[[#This Row],[PERDIDA O EN PROCESO]],"")</f>
        <v>-120092259.1018514</v>
      </c>
      <c r="R49" s="3">
        <f>+REG_STOCK[[#This Row],[VALOR UNITARIO]]*REG_STOCK[[#This Row],[STOCK FISICO]]</f>
        <v>2260983.2758620689</v>
      </c>
    </row>
    <row r="50" spans="1:18" hidden="1" x14ac:dyDescent="0.25">
      <c r="A50" s="1">
        <v>46153</v>
      </c>
      <c r="B50" t="s">
        <v>21</v>
      </c>
      <c r="C50" s="81" t="s">
        <v>788</v>
      </c>
      <c r="D50" s="81" t="s">
        <v>20</v>
      </c>
      <c r="E50">
        <v>488</v>
      </c>
      <c r="F50">
        <v>1.5750000000000002</v>
      </c>
      <c r="G50">
        <v>44</v>
      </c>
      <c r="H50" s="81" t="str">
        <f>+_xlfn.XLOOKUP(REG_STOCK[[#This Row],[CODIGO]],PRODUCTOS[CODIGO],PRODUCTOS[DESC CORTA],"",0)</f>
        <v>PINO 3X8X320</v>
      </c>
      <c r="I50" s="76">
        <f>SUMIFS(DETALLE_GD_1[CANTIDAD RECEPCIONADA],DETALLE_GD_1[CODIGO],REG_STOCK[[#This Row],[CODIGO]],DETALLE_GD_1[FECHA SOLICITUD],"&lt;="&amp;REG_STOCK[[#This Row],[FECHA STOCK ]])+97</f>
        <v>625</v>
      </c>
      <c r="J50" s="81">
        <f>+REG_STOCK[[#This Row],[SOLICITADO A TF]]-REG_STOCK[[#This Row],[STOCK FISICO]]</f>
        <v>581</v>
      </c>
      <c r="K50" s="40">
        <f>+_xlfn.XLOOKUP(REG_STOCK[[#This Row],[CODIGO]],PRODUCTOS[CODIGO],PRODUCTOS[CANT X MODULO],"",0)</f>
        <v>6.3000000000000007</v>
      </c>
      <c r="L50" s="3">
        <f>+REG_STOCK[[#This Row],[CONSUMO]]/REG_STOCK[[#This Row],[CUBICACION PPTO.]]</f>
        <v>92.222222222222214</v>
      </c>
      <c r="M50" s="3">
        <f>+REG_STOCK[[#This Row],[STOCK FISICO]]/REG_STOCK[[#This Row],[CUBICACION PPTO.]]</f>
        <v>6.9841269841269833</v>
      </c>
      <c r="N50" s="3">
        <f>+REG_STOCK[[#This Row],[SOLICITADO A TF]]/REG_STOCK[[#This Row],[CUBICACION PPTO.]]</f>
        <v>99.206349206349202</v>
      </c>
      <c r="O50" s="3">
        <f>IF($V$2-REG_STOCK[[#This Row],[ALCANCE FISICO]]&gt;0,"",($V$2-REG_STOCK[[#This Row],[ALCANCE FISICO]]/REG_STOCK[[#This Row],[CUBICACION PPTO.]]))</f>
        <v>48.252960443436635</v>
      </c>
      <c r="P50" s="3">
        <f>+_xlfn.XLOOKUP(REG_STOCK[[#This Row],[CODIGO]],PRODUCTOS[CODIGO],PRODUCTOS[PRECIO COMPRA UNITARIO],"",0)</f>
        <v>15451.816831683169</v>
      </c>
      <c r="Q50" s="3">
        <f>IFERROR(REG_STOCK[[#This Row],[VALOR UNITARIO]]*REG_STOCK[[#This Row],[PERDIDA O EN PROCESO]],"")</f>
        <v>745595.90635843633</v>
      </c>
      <c r="R50" s="3">
        <f>+REG_STOCK[[#This Row],[VALOR UNITARIO]]*REG_STOCK[[#This Row],[STOCK FISICO]]</f>
        <v>679879.94059405942</v>
      </c>
    </row>
    <row r="51" spans="1:18" hidden="1" x14ac:dyDescent="0.25">
      <c r="A51" s="1">
        <v>46153</v>
      </c>
      <c r="B51">
        <v>701084</v>
      </c>
      <c r="C51" s="81" t="s">
        <v>38</v>
      </c>
      <c r="D51" s="81" t="s">
        <v>355</v>
      </c>
      <c r="E51">
        <v>52</v>
      </c>
      <c r="F51">
        <v>0</v>
      </c>
      <c r="G51">
        <v>20</v>
      </c>
      <c r="H51" s="81" t="str">
        <f>+_xlfn.XLOOKUP(REG_STOCK[[#This Row],[CODIGO]],PRODUCTOS[CODIGO],PRODUCTOS[DESC CORTA],"",0)</f>
        <v>FIBROCEMENTO BALCON</v>
      </c>
      <c r="I51" s="76">
        <f>SUMIFS(DETALLE_GD_1[CANTIDAD RECEPCIONADA],DETALLE_GD_1[CODIGO],REG_STOCK[[#This Row],[CODIGO]],DETALLE_GD_1[FECHA SOLICITUD],"&lt;="&amp;REG_STOCK[[#This Row],[FECHA STOCK ]])+97</f>
        <v>149</v>
      </c>
      <c r="J51" s="81">
        <f>+REG_STOCK[[#This Row],[SOLICITADO A TF]]-REG_STOCK[[#This Row],[STOCK FISICO]]</f>
        <v>129</v>
      </c>
      <c r="K51" s="40">
        <f>+_xlfn.XLOOKUP(REG_STOCK[[#This Row],[CODIGO]],PRODUCTOS[CODIGO],PRODUCTOS[CANT X MODULO],"",0)</f>
        <v>0.69825000000000004</v>
      </c>
      <c r="L51" s="3">
        <f>+REG_STOCK[[#This Row],[CONSUMO]]/REG_STOCK[[#This Row],[CUBICACION PPTO.]]</f>
        <v>184.74758324382384</v>
      </c>
      <c r="M51" s="3">
        <f>+REG_STOCK[[#This Row],[STOCK FISICO]]/REG_STOCK[[#This Row],[CUBICACION PPTO.]]</f>
        <v>28.643036161833152</v>
      </c>
      <c r="N51" s="3">
        <f>+REG_STOCK[[#This Row],[SOLICITADO A TF]]/REG_STOCK[[#This Row],[CUBICACION PPTO.]]</f>
        <v>213.39061940565699</v>
      </c>
      <c r="O51" s="3">
        <f>IF($V$2-REG_STOCK[[#This Row],[ALCANCE FISICO]]&gt;0,"",($V$2-REG_STOCK[[#This Row],[ALCANCE FISICO]]/REG_STOCK[[#This Row],[CUBICACION PPTO.]]))</f>
        <v>-241.60776141161045</v>
      </c>
      <c r="P51" s="3">
        <f>+_xlfn.XLOOKUP(REG_STOCK[[#This Row],[CODIGO]],PRODUCTOS[CODIGO],PRODUCTOS[PRECIO COMPRA UNITARIO],"",0)</f>
        <v>39170.619565217392</v>
      </c>
      <c r="Q51" s="3">
        <f>IFERROR(REG_STOCK[[#This Row],[VALOR UNITARIO]]*REG_STOCK[[#This Row],[PERDIDA O EN PROCESO]],"")</f>
        <v>-9463925.7062580045</v>
      </c>
      <c r="R51" s="3">
        <f>+REG_STOCK[[#This Row],[VALOR UNITARIO]]*REG_STOCK[[#This Row],[STOCK FISICO]]</f>
        <v>783412.3913043479</v>
      </c>
    </row>
    <row r="52" spans="1:18" hidden="1" x14ac:dyDescent="0.25">
      <c r="A52" s="1">
        <v>46153</v>
      </c>
      <c r="B52">
        <v>5309018</v>
      </c>
      <c r="C52" s="81" t="s">
        <v>112</v>
      </c>
      <c r="D52" s="81" t="s">
        <v>47</v>
      </c>
      <c r="E52">
        <v>2300</v>
      </c>
      <c r="F52">
        <v>0.52500000000000002</v>
      </c>
      <c r="G52">
        <v>200</v>
      </c>
      <c r="H52" s="81">
        <f>+_xlfn.XLOOKUP(REG_STOCK[[#This Row],[CODIGO]],PRODUCTOS[CODIGO],PRODUCTOS[DESC CORTA],"",0)</f>
        <v>0</v>
      </c>
      <c r="I52" s="76">
        <f>SUMIFS(DETALLE_GD_1[CANTIDAD RECEPCIONADA],DETALLE_GD_1[CODIGO],REG_STOCK[[#This Row],[CODIGO]],DETALLE_GD_1[FECHA SOLICITUD],"&lt;="&amp;REG_STOCK[[#This Row],[FECHA STOCK ]])+97</f>
        <v>2397</v>
      </c>
      <c r="J52" s="81">
        <f>+REG_STOCK[[#This Row],[SOLICITADO A TF]]-REG_STOCK[[#This Row],[STOCK FISICO]]</f>
        <v>2197</v>
      </c>
      <c r="K52" s="40">
        <f>+_xlfn.XLOOKUP(REG_STOCK[[#This Row],[CODIGO]],PRODUCTOS[CODIGO],PRODUCTOS[CANT X MODULO],"",0)</f>
        <v>34.649999999999991</v>
      </c>
      <c r="L52" s="3">
        <f>+REG_STOCK[[#This Row],[CONSUMO]]/REG_STOCK[[#This Row],[CUBICACION PPTO.]]</f>
        <v>63.405483405483423</v>
      </c>
      <c r="M52" s="3">
        <f>+REG_STOCK[[#This Row],[STOCK FISICO]]/REG_STOCK[[#This Row],[CUBICACION PPTO.]]</f>
        <v>5.7720057720057731</v>
      </c>
      <c r="N52" s="3">
        <f>+REG_STOCK[[#This Row],[SOLICITADO A TF]]/REG_STOCK[[#This Row],[CUBICACION PPTO.]]</f>
        <v>69.177489177489193</v>
      </c>
      <c r="O52" s="3">
        <f>IF($V$2-REG_STOCK[[#This Row],[ALCANCE FISICO]]&gt;0,"",($V$2-REG_STOCK[[#This Row],[ALCANCE FISICO]]/REG_STOCK[[#This Row],[CUBICACION PPTO.]]))</f>
        <v>62.003535665873329</v>
      </c>
      <c r="P52" s="3">
        <f>+_xlfn.XLOOKUP(REG_STOCK[[#This Row],[CODIGO]],PRODUCTOS[CODIGO],PRODUCTOS[PRECIO COMPRA UNITARIO],"",0)</f>
        <v>706.42250000000001</v>
      </c>
      <c r="Q52" s="3">
        <f>IFERROR(REG_STOCK[[#This Row],[VALOR UNITARIO]]*REG_STOCK[[#This Row],[PERDIDA O EN PROCESO]],"")</f>
        <v>43800.692673925405</v>
      </c>
      <c r="R52" s="3">
        <f>+REG_STOCK[[#This Row],[VALOR UNITARIO]]*REG_STOCK[[#This Row],[STOCK FISICO]]</f>
        <v>141284.5</v>
      </c>
    </row>
    <row r="53" spans="1:18" hidden="1" x14ac:dyDescent="0.25">
      <c r="A53" s="1">
        <v>46153</v>
      </c>
      <c r="B53">
        <v>1902014</v>
      </c>
      <c r="C53" s="81" t="s">
        <v>316</v>
      </c>
      <c r="D53" s="81" t="s">
        <v>18</v>
      </c>
      <c r="E53">
        <v>360</v>
      </c>
      <c r="F53">
        <v>0.91874999999999996</v>
      </c>
      <c r="G53">
        <v>92</v>
      </c>
      <c r="H53" s="81" t="str">
        <f>+_xlfn.XLOOKUP(REG_STOCK[[#This Row],[CODIGO]],PRODUCTOS[CODIGO],PRODUCTOS[DESC CORTA],"",0)</f>
        <v>VOLCOGLASS</v>
      </c>
      <c r="I53" s="76">
        <f>SUMIFS(DETALLE_GD_1[CANTIDAD RECEPCIONADA],DETALLE_GD_1[CODIGO],REG_STOCK[[#This Row],[CODIGO]],DETALLE_GD_1[FECHA SOLICITUD],"&lt;="&amp;REG_STOCK[[#This Row],[FECHA STOCK ]])+97</f>
        <v>457</v>
      </c>
      <c r="J53" s="81">
        <f>+REG_STOCK[[#This Row],[SOLICITADO A TF]]-REG_STOCK[[#This Row],[STOCK FISICO]]</f>
        <v>365</v>
      </c>
      <c r="K53" s="40">
        <f>+_xlfn.XLOOKUP(REG_STOCK[[#This Row],[CODIGO]],PRODUCTOS[CODIGO],PRODUCTOS[CANT X MODULO],"",0)</f>
        <v>5.5125000000000002</v>
      </c>
      <c r="L53" s="3">
        <f>+REG_STOCK[[#This Row],[CONSUMO]]/REG_STOCK[[#This Row],[CUBICACION PPTO.]]</f>
        <v>66.213151927437636</v>
      </c>
      <c r="M53" s="3">
        <f>+REG_STOCK[[#This Row],[STOCK FISICO]]/REG_STOCK[[#This Row],[CUBICACION PPTO.]]</f>
        <v>16.689342403628117</v>
      </c>
      <c r="N53" s="3">
        <f>+REG_STOCK[[#This Row],[SOLICITADO A TF]]/REG_STOCK[[#This Row],[CUBICACION PPTO.]]</f>
        <v>82.902494331065753</v>
      </c>
      <c r="O53" s="3">
        <f>IF($V$2-REG_STOCK[[#This Row],[ALCANCE FISICO]]&gt;0,"",($V$2-REG_STOCK[[#This Row],[ALCANCE FISICO]]/REG_STOCK[[#This Row],[CUBICACION PPTO.]]))</f>
        <v>48.960998760804401</v>
      </c>
      <c r="P53" s="3">
        <f>+_xlfn.XLOOKUP(REG_STOCK[[#This Row],[CODIGO]],PRODUCTOS[CODIGO],PRODUCTOS[PRECIO COMPRA UNITARIO],"",0)</f>
        <v>29799.757692307692</v>
      </c>
      <c r="Q53" s="3">
        <f>IFERROR(REG_STOCK[[#This Row],[VALOR UNITARIO]]*REG_STOCK[[#This Row],[PERDIDA O EN PROCESO]],"")</f>
        <v>1459025.8994453484</v>
      </c>
      <c r="R53" s="3">
        <f>+REG_STOCK[[#This Row],[VALOR UNITARIO]]*REG_STOCK[[#This Row],[STOCK FISICO]]</f>
        <v>2741577.7076923079</v>
      </c>
    </row>
    <row r="54" spans="1:18" hidden="1" x14ac:dyDescent="0.25">
      <c r="A54" s="1">
        <v>46160</v>
      </c>
      <c r="B54">
        <v>304007</v>
      </c>
      <c r="C54" s="81" t="s">
        <v>80</v>
      </c>
      <c r="D54" s="81" t="s">
        <v>18</v>
      </c>
      <c r="E54">
        <v>972</v>
      </c>
      <c r="F54">
        <v>1.378125</v>
      </c>
      <c r="G54">
        <v>168</v>
      </c>
      <c r="H54" s="81" t="str">
        <f>+_xlfn.XLOOKUP(REG_STOCK[[#This Row],[CODIGO]],PRODUCTOS[CODIGO],PRODUCTOS[DESC CORTA],"",0)</f>
        <v>OSB 11MM</v>
      </c>
      <c r="I54" s="76">
        <f>SUMIFS(DETALLE_GD_1[CANTIDAD RECEPCIONADA],DETALLE_GD_1[CODIGO],REG_STOCK[[#This Row],[CODIGO]],DETALLE_GD_1[FECHA SOLICITUD],"&lt;="&amp;REG_STOCK[[#This Row],[FECHA STOCK ]])+97</f>
        <v>1069</v>
      </c>
      <c r="J54" s="81">
        <f>+REG_STOCK[[#This Row],[SOLICITADO A TF]]-REG_STOCK[[#This Row],[STOCK FISICO]]</f>
        <v>901</v>
      </c>
      <c r="K54" s="40">
        <f>+_xlfn.XLOOKUP(REG_STOCK[[#This Row],[CODIGO]],PRODUCTOS[CODIGO],PRODUCTOS[CANT X MODULO],"",0)</f>
        <v>8.6625000000000014</v>
      </c>
      <c r="L54" s="3">
        <f>+REG_STOCK[[#This Row],[CONSUMO]]/REG_STOCK[[#This Row],[CUBICACION PPTO.]]</f>
        <v>104.01154401154399</v>
      </c>
      <c r="M54" s="3">
        <f>+REG_STOCK[[#This Row],[STOCK FISICO]]/REG_STOCK[[#This Row],[CUBICACION PPTO.]]</f>
        <v>19.393939393939391</v>
      </c>
      <c r="N54" s="3">
        <f>+REG_STOCK[[#This Row],[SOLICITADO A TF]]/REG_STOCK[[#This Row],[CUBICACION PPTO.]]</f>
        <v>123.40548340548338</v>
      </c>
      <c r="O54" s="3">
        <f>IF($V$2-REG_STOCK[[#This Row],[ALCANCE FISICO]]&gt;0,"",($V$2-REG_STOCK[[#This Row],[ALCANCE FISICO]]/REG_STOCK[[#This Row],[CUBICACION PPTO.]]))</f>
        <v>49.754056749727752</v>
      </c>
      <c r="P54" s="3">
        <f>+_xlfn.XLOOKUP(REG_STOCK[[#This Row],[CODIGO]],PRODUCTOS[CODIGO],PRODUCTOS[PRECIO COMPRA UNITARIO],"",0)</f>
        <v>11557.16697761194</v>
      </c>
      <c r="Q54" s="3">
        <f>IFERROR(REG_STOCK[[#This Row],[VALOR UNITARIO]]*REG_STOCK[[#This Row],[PERDIDA O EN PROCESO]],"")</f>
        <v>575015.94167018402</v>
      </c>
      <c r="R54" s="3">
        <f>+REG_STOCK[[#This Row],[VALOR UNITARIO]]*REG_STOCK[[#This Row],[STOCK FISICO]]</f>
        <v>1941604.0522388059</v>
      </c>
    </row>
    <row r="55" spans="1:18" hidden="1" x14ac:dyDescent="0.25">
      <c r="A55" s="1">
        <v>46160</v>
      </c>
      <c r="B55">
        <v>701043</v>
      </c>
      <c r="C55" s="81" t="s">
        <v>197</v>
      </c>
      <c r="D55" s="81" t="s">
        <v>699</v>
      </c>
      <c r="E55">
        <v>716</v>
      </c>
      <c r="F55">
        <v>0</v>
      </c>
      <c r="G55">
        <v>110</v>
      </c>
      <c r="H55" s="81" t="str">
        <f>+_xlfn.XLOOKUP(REG_STOCK[[#This Row],[CODIGO]],PRODUCTOS[CODIGO],PRODUCTOS[DESC CORTA],"",0)</f>
        <v>VOLCANITA EMPAPELADA CIELO</v>
      </c>
      <c r="I55" s="76">
        <f>SUMIFS(DETALLE_GD_1[CANTIDAD RECEPCIONADA],DETALLE_GD_1[CODIGO],REG_STOCK[[#This Row],[CODIGO]],DETALLE_GD_1[FECHA SOLICITUD],"&lt;="&amp;REG_STOCK[[#This Row],[FECHA STOCK ]])+97</f>
        <v>813</v>
      </c>
      <c r="J55" s="81">
        <f>+REG_STOCK[[#This Row],[SOLICITADO A TF]]-REG_STOCK[[#This Row],[STOCK FISICO]]</f>
        <v>703</v>
      </c>
      <c r="K55" s="40">
        <f>+_xlfn.XLOOKUP(REG_STOCK[[#This Row],[CODIGO]],PRODUCTOS[CODIGO],PRODUCTOS[CANT X MODULO],"",0)</f>
        <v>7.0875000000000012</v>
      </c>
      <c r="L55" s="3">
        <f>+REG_STOCK[[#This Row],[CONSUMO]]/REG_STOCK[[#This Row],[CUBICACION PPTO.]]</f>
        <v>99.188712522045833</v>
      </c>
      <c r="M55" s="3">
        <f>+REG_STOCK[[#This Row],[STOCK FISICO]]/REG_STOCK[[#This Row],[CUBICACION PPTO.]]</f>
        <v>15.520282186948851</v>
      </c>
      <c r="N55" s="3">
        <f>+REG_STOCK[[#This Row],[SOLICITADO A TF]]/REG_STOCK[[#This Row],[CUBICACION PPTO.]]</f>
        <v>114.70899470899469</v>
      </c>
      <c r="O55" s="3">
        <f>IF($V$2-REG_STOCK[[#This Row],[ALCANCE FISICO]]&gt;0,"",($V$2-REG_STOCK[[#This Row],[ALCANCE FISICO]]/REG_STOCK[[#This Row],[CUBICACION PPTO.]]))</f>
        <v>47.815309388501632</v>
      </c>
      <c r="P55" s="3">
        <f>+_xlfn.XLOOKUP(REG_STOCK[[#This Row],[CODIGO]],PRODUCTOS[CODIGO],PRODUCTOS[PRECIO COMPRA UNITARIO],"",0)</f>
        <v>22493.996861924687</v>
      </c>
      <c r="Q55" s="3">
        <f>IFERROR(REG_STOCK[[#This Row],[VALOR UNITARIO]]*REG_STOCK[[#This Row],[PERDIDA O EN PROCESO]],"")</f>
        <v>1075557.4193369136</v>
      </c>
      <c r="R55" s="3">
        <f>+REG_STOCK[[#This Row],[VALOR UNITARIO]]*REG_STOCK[[#This Row],[STOCK FISICO]]</f>
        <v>2474339.6548117157</v>
      </c>
    </row>
    <row r="56" spans="1:18" hidden="1" x14ac:dyDescent="0.25">
      <c r="A56" s="1">
        <v>46160</v>
      </c>
      <c r="B56">
        <v>302046</v>
      </c>
      <c r="C56" s="81" t="s">
        <v>519</v>
      </c>
      <c r="D56" s="81" t="s">
        <v>20</v>
      </c>
      <c r="E56">
        <v>3181</v>
      </c>
      <c r="F56">
        <v>0</v>
      </c>
      <c r="G56">
        <v>0</v>
      </c>
      <c r="H56" s="81" t="str">
        <f>+_xlfn.XLOOKUP(REG_STOCK[[#This Row],[CODIGO]],PRODUCTOS[CODIGO],PRODUCTOS[DESC CORTA],"",0)</f>
        <v>PINO 2X6X400</v>
      </c>
      <c r="I56" s="76">
        <f>SUMIFS(DETALLE_GD_1[CANTIDAD RECEPCIONADA],DETALLE_GD_1[CODIGO],REG_STOCK[[#This Row],[CODIGO]],DETALLE_GD_1[FECHA SOLICITUD],"&lt;="&amp;REG_STOCK[[#This Row],[FECHA STOCK ]])+97</f>
        <v>3278</v>
      </c>
      <c r="J56" s="81">
        <f>+REG_STOCK[[#This Row],[SOLICITADO A TF]]-REG_STOCK[[#This Row],[STOCK FISICO]]</f>
        <v>3278</v>
      </c>
      <c r="K56" s="40">
        <f>+_xlfn.XLOOKUP(REG_STOCK[[#This Row],[CODIGO]],PRODUCTOS[CODIGO],PRODUCTOS[CANT X MODULO],"",0)</f>
        <v>34.65</v>
      </c>
      <c r="L56" s="3">
        <f>+REG_STOCK[[#This Row],[CONSUMO]]/REG_STOCK[[#This Row],[CUBICACION PPTO.]]</f>
        <v>94.603174603174608</v>
      </c>
      <c r="M56" s="3">
        <f>+REG_STOCK[[#This Row],[STOCK FISICO]]/REG_STOCK[[#This Row],[CUBICACION PPTO.]]</f>
        <v>0</v>
      </c>
      <c r="N56" s="3">
        <f>+REG_STOCK[[#This Row],[SOLICITADO A TF]]/REG_STOCK[[#This Row],[CUBICACION PPTO.]]</f>
        <v>94.603174603174608</v>
      </c>
      <c r="O56" s="3">
        <f>IF($V$2-REG_STOCK[[#This Row],[ALCANCE FISICO]]&gt;0,"",($V$2-REG_STOCK[[#This Row],[ALCANCE FISICO]]/REG_STOCK[[#This Row],[CUBICACION PPTO.]]))</f>
        <v>61.269749650702032</v>
      </c>
      <c r="P56" s="3">
        <f>+_xlfn.XLOOKUP(REG_STOCK[[#This Row],[CODIGO]],PRODUCTOS[CODIGO],PRODUCTOS[PRECIO COMPRA UNITARIO],"",0)</f>
        <v>10292.490437458782</v>
      </c>
      <c r="Q56" s="3">
        <f>IFERROR(REG_STOCK[[#This Row],[VALOR UNITARIO]]*REG_STOCK[[#This Row],[PERDIDA O EN PROCESO]],"")</f>
        <v>630618.31238534418</v>
      </c>
      <c r="R56" s="3">
        <f>+REG_STOCK[[#This Row],[VALOR UNITARIO]]*REG_STOCK[[#This Row],[STOCK FISICO]]</f>
        <v>0</v>
      </c>
    </row>
    <row r="57" spans="1:18" hidden="1" x14ac:dyDescent="0.25">
      <c r="A57" s="1">
        <v>46160</v>
      </c>
      <c r="B57">
        <v>302010</v>
      </c>
      <c r="C57" s="81" t="s">
        <v>514</v>
      </c>
      <c r="D57" s="81" t="s">
        <v>20</v>
      </c>
      <c r="E57">
        <v>2184</v>
      </c>
      <c r="F57">
        <v>47.25</v>
      </c>
      <c r="G57">
        <v>168</v>
      </c>
      <c r="H57" s="81" t="str">
        <f>+_xlfn.XLOOKUP(REG_STOCK[[#This Row],[CODIGO]],PRODUCTOS[CODIGO],PRODUCTOS[DESC CORTA],"",0)</f>
        <v>PINO 2X6X320</v>
      </c>
      <c r="I57" s="76">
        <f>SUMIFS(DETALLE_GD_1[CANTIDAD RECEPCIONADA],DETALLE_GD_1[CODIGO],REG_STOCK[[#This Row],[CODIGO]],DETALLE_GD_1[FECHA SOLICITUD],"&lt;="&amp;REG_STOCK[[#This Row],[FECHA STOCK ]])+97</f>
        <v>2281</v>
      </c>
      <c r="J57" s="81">
        <f>+REG_STOCK[[#This Row],[SOLICITADO A TF]]-REG_STOCK[[#This Row],[STOCK FISICO]]</f>
        <v>2113</v>
      </c>
      <c r="K57" s="40">
        <f>+_xlfn.XLOOKUP(REG_STOCK[[#This Row],[CODIGO]],PRODUCTOS[CODIGO],PRODUCTOS[CANT X MODULO],"",0)</f>
        <v>34.912500000000023</v>
      </c>
      <c r="L57" s="3">
        <f>+REG_STOCK[[#This Row],[CONSUMO]]/REG_STOCK[[#This Row],[CUBICACION PPTO.]]</f>
        <v>60.522735409953412</v>
      </c>
      <c r="M57" s="3">
        <f>+REG_STOCK[[#This Row],[STOCK FISICO]]/REG_STOCK[[#This Row],[CUBICACION PPTO.]]</f>
        <v>4.812030075187967</v>
      </c>
      <c r="N57" s="3">
        <f>+REG_STOCK[[#This Row],[SOLICITADO A TF]]/REG_STOCK[[#This Row],[CUBICACION PPTO.]]</f>
        <v>65.334765485141389</v>
      </c>
      <c r="O57" s="3">
        <f>IF($V$2-REG_STOCK[[#This Row],[ALCANCE FISICO]]&gt;0,"",($V$2-REG_STOCK[[#This Row],[ALCANCE FISICO]]/REG_STOCK[[#This Row],[CUBICACION PPTO.]]))</f>
        <v>62.128613949584206</v>
      </c>
      <c r="P57" s="3">
        <f>+_xlfn.XLOOKUP(REG_STOCK[[#This Row],[CODIGO]],PRODUCTOS[CODIGO],PRODUCTOS[PRECIO COMPRA UNITARIO],"",0)</f>
        <v>5566.8590808416393</v>
      </c>
      <c r="Q57" s="3">
        <f>IFERROR(REG_STOCK[[#This Row],[VALOR UNITARIO]]*REG_STOCK[[#This Row],[PERDIDA O EN PROCESO]],"")</f>
        <v>345861.23874534736</v>
      </c>
      <c r="R57" s="3">
        <f>+REG_STOCK[[#This Row],[VALOR UNITARIO]]*REG_STOCK[[#This Row],[STOCK FISICO]]</f>
        <v>935232.32558139542</v>
      </c>
    </row>
    <row r="58" spans="1:18" hidden="1" x14ac:dyDescent="0.25">
      <c r="A58" s="1">
        <v>46160</v>
      </c>
      <c r="B58">
        <v>1901008</v>
      </c>
      <c r="C58" s="81" t="s">
        <v>750</v>
      </c>
      <c r="D58" s="81" t="s">
        <v>26</v>
      </c>
      <c r="E58">
        <v>4641</v>
      </c>
      <c r="F58">
        <v>22.05</v>
      </c>
      <c r="G58">
        <v>0</v>
      </c>
      <c r="H58" s="81" t="str">
        <f>+_xlfn.XLOOKUP(REG_STOCK[[#This Row],[CODIGO]],PRODUCTOS[CODIGO],PRODUCTOS[DESC CORTA],"",0)</f>
        <v>AISLAN GLASS 90MM</v>
      </c>
      <c r="I58" s="76">
        <f>SUMIFS(DETALLE_GD_1[CANTIDAD RECEPCIONADA],DETALLE_GD_1[CODIGO],REG_STOCK[[#This Row],[CODIGO]],DETALLE_GD_1[FECHA SOLICITUD],"&lt;="&amp;REG_STOCK[[#This Row],[FECHA STOCK ]])+97</f>
        <v>4738</v>
      </c>
      <c r="J58" s="81">
        <f>+REG_STOCK[[#This Row],[SOLICITADO A TF]]-REG_STOCK[[#This Row],[STOCK FISICO]]</f>
        <v>4738</v>
      </c>
      <c r="K58" s="40">
        <f>+_xlfn.XLOOKUP(REG_STOCK[[#This Row],[CODIGO]],PRODUCTOS[CODIGO],PRODUCTOS[CANT X MODULO],"",0)</f>
        <v>62.430325650000007</v>
      </c>
      <c r="L58" s="3">
        <f>+REG_STOCK[[#This Row],[CONSUMO]]/REG_STOCK[[#This Row],[CUBICACION PPTO.]]</f>
        <v>75.892604285974912</v>
      </c>
      <c r="M58" s="3">
        <f>+REG_STOCK[[#This Row],[STOCK FISICO]]/REG_STOCK[[#This Row],[CUBICACION PPTO.]]</f>
        <v>0</v>
      </c>
      <c r="N58" s="3">
        <f>+REG_STOCK[[#This Row],[SOLICITADO A TF]]/REG_STOCK[[#This Row],[CUBICACION PPTO.]]</f>
        <v>75.892604285974912</v>
      </c>
      <c r="O58" s="3">
        <f>IF($V$2-REG_STOCK[[#This Row],[ALCANCE FISICO]]&gt;0,"",($V$2-REG_STOCK[[#This Row],[ALCANCE FISICO]]/REG_STOCK[[#This Row],[CUBICACION PPTO.]]))</f>
        <v>62.784363152108995</v>
      </c>
      <c r="P58" s="3">
        <f>+_xlfn.XLOOKUP(REG_STOCK[[#This Row],[CODIGO]],PRODUCTOS[CODIGO],PRODUCTOS[PRECIO COMPRA UNITARIO],"",0)</f>
        <v>2059.785564685033</v>
      </c>
      <c r="Q58" s="3">
        <f>IFERROR(REG_STOCK[[#This Row],[VALOR UNITARIO]]*REG_STOCK[[#This Row],[PERDIDA O EN PROCESO]],"")</f>
        <v>129322.324908657</v>
      </c>
      <c r="R58" s="3">
        <f>+REG_STOCK[[#This Row],[VALOR UNITARIO]]*REG_STOCK[[#This Row],[STOCK FISICO]]</f>
        <v>0</v>
      </c>
    </row>
    <row r="59" spans="1:18" hidden="1" x14ac:dyDescent="0.25">
      <c r="A59" s="1">
        <v>46160</v>
      </c>
      <c r="B59">
        <v>304002</v>
      </c>
      <c r="C59" s="81" t="s">
        <v>37</v>
      </c>
      <c r="D59" s="81" t="s">
        <v>18</v>
      </c>
      <c r="E59">
        <v>1607</v>
      </c>
      <c r="F59">
        <v>0</v>
      </c>
      <c r="G59">
        <v>546</v>
      </c>
      <c r="H59" s="81" t="str">
        <f>+_xlfn.XLOOKUP(REG_STOCK[[#This Row],[CODIGO]],PRODUCTOS[CODIGO],PRODUCTOS[DESC CORTA],"",0)</f>
        <v>SMARTPANEL</v>
      </c>
      <c r="I59" s="76">
        <f>SUMIFS(DETALLE_GD_1[CANTIDAD RECEPCIONADA],DETALLE_GD_1[CODIGO],REG_STOCK[[#This Row],[CODIGO]],DETALLE_GD_1[FECHA SOLICITUD],"&lt;="&amp;REG_STOCK[[#This Row],[FECHA STOCK ]])+97</f>
        <v>1992</v>
      </c>
      <c r="J59" s="81">
        <f>+REG_STOCK[[#This Row],[SOLICITADO A TF]]-REG_STOCK[[#This Row],[STOCK FISICO]]</f>
        <v>1446</v>
      </c>
      <c r="K59" s="40">
        <f>+_xlfn.XLOOKUP(REG_STOCK[[#This Row],[CODIGO]],PRODUCTOS[CODIGO],PRODUCTOS[CANT X MODULO],"",0)</f>
        <v>23.296874999999996</v>
      </c>
      <c r="L59" s="3">
        <f>+REG_STOCK[[#This Row],[CONSUMO]]/REG_STOCK[[#This Row],[CUBICACION PPTO.]]</f>
        <v>62.068410462776669</v>
      </c>
      <c r="M59" s="3">
        <f>+REG_STOCK[[#This Row],[STOCK FISICO]]/REG_STOCK[[#This Row],[CUBICACION PPTO.]]</f>
        <v>23.436619718309863</v>
      </c>
      <c r="N59" s="3">
        <f>+REG_STOCK[[#This Row],[SOLICITADO A TF]]/REG_STOCK[[#This Row],[CUBICACION PPTO.]]</f>
        <v>85.505030181086539</v>
      </c>
      <c r="O59" s="3">
        <f>IF($V$2-REG_STOCK[[#This Row],[ALCANCE FISICO]]&gt;0,"",($V$2-REG_STOCK[[#This Row],[ALCANCE FISICO]]/REG_STOCK[[#This Row],[CUBICACION PPTO.]]))</f>
        <v>60.329763962716605</v>
      </c>
      <c r="P59" s="3">
        <f>+_xlfn.XLOOKUP(REG_STOCK[[#This Row],[CODIGO]],PRODUCTOS[CODIGO],PRODUCTOS[PRECIO COMPRA UNITARIO],"",0)</f>
        <v>21579.067512460355</v>
      </c>
      <c r="Q59" s="3">
        <f>IFERROR(REG_STOCK[[#This Row],[VALOR UNITARIO]]*REG_STOCK[[#This Row],[PERDIDA O EN PROCESO]],"")</f>
        <v>1301860.0495622593</v>
      </c>
      <c r="R59" s="3">
        <f>+REG_STOCK[[#This Row],[VALOR UNITARIO]]*REG_STOCK[[#This Row],[STOCK FISICO]]</f>
        <v>11782170.861803355</v>
      </c>
    </row>
    <row r="60" spans="1:18" hidden="1" x14ac:dyDescent="0.25">
      <c r="A60" s="1">
        <v>46160</v>
      </c>
      <c r="B60">
        <v>304101</v>
      </c>
      <c r="C60" s="81" t="s">
        <v>698</v>
      </c>
      <c r="D60" s="81" t="s">
        <v>18</v>
      </c>
      <c r="E60">
        <v>3337</v>
      </c>
      <c r="F60">
        <v>47.25</v>
      </c>
      <c r="G60">
        <v>179</v>
      </c>
      <c r="H60" s="81" t="str">
        <f>+_xlfn.XLOOKUP(REG_STOCK[[#This Row],[CODIGO]],PRODUCTOS[CODIGO],PRODUCTOS[DESC CORTA],"",0)</f>
        <v>OSB 9.5</v>
      </c>
      <c r="I60" s="76">
        <f>SUMIFS(DETALLE_GD_1[CANTIDAD RECEPCIONADA],DETALLE_GD_1[CODIGO],REG_STOCK[[#This Row],[CODIGO]],DETALLE_GD_1[FECHA SOLICITUD],"&lt;="&amp;REG_STOCK[[#This Row],[FECHA STOCK ]])+97</f>
        <v>3686</v>
      </c>
      <c r="J60" s="81">
        <f>+REG_STOCK[[#This Row],[SOLICITADO A TF]]-REG_STOCK[[#This Row],[STOCK FISICO]]</f>
        <v>3507</v>
      </c>
      <c r="K60" s="40">
        <f>+_xlfn.XLOOKUP(REG_STOCK[[#This Row],[CODIGO]],PRODUCTOS[CODIGO],PRODUCTOS[CANT X MODULO],"",0)</f>
        <v>47.643749999999976</v>
      </c>
      <c r="L60" s="3">
        <f>+REG_STOCK[[#This Row],[CONSUMO]]/REG_STOCK[[#This Row],[CUBICACION PPTO.]]</f>
        <v>73.608815426997282</v>
      </c>
      <c r="M60" s="3">
        <f>+REG_STOCK[[#This Row],[STOCK FISICO]]/REG_STOCK[[#This Row],[CUBICACION PPTO.]]</f>
        <v>3.7570510297783044</v>
      </c>
      <c r="N60" s="3">
        <f>+REG_STOCK[[#This Row],[SOLICITADO A TF]]/REG_STOCK[[#This Row],[CUBICACION PPTO.]]</f>
        <v>77.365866456775592</v>
      </c>
      <c r="O60" s="3">
        <f>IF($V$2-REG_STOCK[[#This Row],[ALCANCE FISICO]]&gt;0,"",($V$2-REG_STOCK[[#This Row],[ALCANCE FISICO]]/REG_STOCK[[#This Row],[CUBICACION PPTO.]]))</f>
        <v>62.376159171837323</v>
      </c>
      <c r="P60" s="3">
        <f>+_xlfn.XLOOKUP(REG_STOCK[[#This Row],[CODIGO]],PRODUCTOS[CODIGO],PRODUCTOS[PRECIO COMPRA UNITARIO],"",0)</f>
        <v>9652.5142678608627</v>
      </c>
      <c r="Q60" s="3">
        <f>IFERROR(REG_STOCK[[#This Row],[VALOR UNITARIO]]*REG_STOCK[[#This Row],[PERDIDA O EN PROCESO]],"")</f>
        <v>602086.76638051996</v>
      </c>
      <c r="R60" s="3">
        <f>+REG_STOCK[[#This Row],[VALOR UNITARIO]]*REG_STOCK[[#This Row],[STOCK FISICO]]</f>
        <v>1727800.0539470944</v>
      </c>
    </row>
    <row r="61" spans="1:18" hidden="1" x14ac:dyDescent="0.25">
      <c r="A61" s="1">
        <v>46160</v>
      </c>
      <c r="B61">
        <v>302028</v>
      </c>
      <c r="C61" s="81" t="s">
        <v>515</v>
      </c>
      <c r="D61" s="81" t="s">
        <v>20</v>
      </c>
      <c r="E61">
        <v>8641</v>
      </c>
      <c r="F61">
        <v>3.9375</v>
      </c>
      <c r="G61">
        <v>0</v>
      </c>
      <c r="H61" s="81" t="str">
        <f>+_xlfn.XLOOKUP(REG_STOCK[[#This Row],[CODIGO]],PRODUCTOS[CODIGO],PRODUCTOS[DESC CORTA],"",0)</f>
        <v>PINO 2X4X320</v>
      </c>
      <c r="I61" s="76">
        <f>SUMIFS(DETALLE_GD_1[CANTIDAD RECEPCIONADA],DETALLE_GD_1[CODIGO],REG_STOCK[[#This Row],[CODIGO]],DETALLE_GD_1[FECHA SOLICITUD],"&lt;="&amp;REG_STOCK[[#This Row],[FECHA STOCK ]])+97</f>
        <v>8738</v>
      </c>
      <c r="J61" s="81">
        <f>+REG_STOCK[[#This Row],[SOLICITADO A TF]]-REG_STOCK[[#This Row],[STOCK FISICO]]</f>
        <v>8738</v>
      </c>
      <c r="K61" s="40">
        <f>+_xlfn.XLOOKUP(REG_STOCK[[#This Row],[CODIGO]],PRODUCTOS[CODIGO],PRODUCTOS[CANT X MODULO],"",0)</f>
        <v>172.72499999999994</v>
      </c>
      <c r="L61" s="3">
        <f>+REG_STOCK[[#This Row],[CONSUMO]]/REG_STOCK[[#This Row],[CUBICACION PPTO.]]</f>
        <v>50.589086698509206</v>
      </c>
      <c r="M61" s="3">
        <f>+REG_STOCK[[#This Row],[STOCK FISICO]]/REG_STOCK[[#This Row],[CUBICACION PPTO.]]</f>
        <v>0</v>
      </c>
      <c r="N61" s="3">
        <f>+REG_STOCK[[#This Row],[SOLICITADO A TF]]/REG_STOCK[[#This Row],[CUBICACION PPTO.]]</f>
        <v>50.589086698509206</v>
      </c>
      <c r="O61" s="3" t="str">
        <f>IF($V$2-REG_STOCK[[#This Row],[ALCANCE FISICO]]&gt;0,"",($V$2-REG_STOCK[[#This Row],[ALCANCE FISICO]]/REG_STOCK[[#This Row],[CUBICACION PPTO.]]))</f>
        <v/>
      </c>
      <c r="P61" s="3">
        <f>+_xlfn.XLOOKUP(REG_STOCK[[#This Row],[CODIGO]],PRODUCTOS[CODIGO],PRODUCTOS[PRECIO COMPRA UNITARIO],"",0)</f>
        <v>4760.4046547265589</v>
      </c>
      <c r="Q61" s="3" t="str">
        <f>IFERROR(REG_STOCK[[#This Row],[VALOR UNITARIO]]*REG_STOCK[[#This Row],[PERDIDA O EN PROCESO]],"")</f>
        <v/>
      </c>
      <c r="R61" s="3">
        <f>+REG_STOCK[[#This Row],[VALOR UNITARIO]]*REG_STOCK[[#This Row],[STOCK FISICO]]</f>
        <v>0</v>
      </c>
    </row>
    <row r="62" spans="1:18" hidden="1" x14ac:dyDescent="0.25">
      <c r="A62" s="1">
        <v>46160</v>
      </c>
      <c r="B62">
        <v>304049</v>
      </c>
      <c r="C62" s="81" t="s">
        <v>318</v>
      </c>
      <c r="D62" s="81" t="s">
        <v>18</v>
      </c>
      <c r="E62">
        <v>1560</v>
      </c>
      <c r="F62">
        <v>7.875</v>
      </c>
      <c r="G62">
        <v>172</v>
      </c>
      <c r="H62" s="81" t="str">
        <f>+_xlfn.XLOOKUP(REG_STOCK[[#This Row],[CODIGO]],PRODUCTOS[CODIGO],PRODUCTOS[DESC CORTA],"",0)</f>
        <v>TERCIADO FENOLICO</v>
      </c>
      <c r="I62" s="76">
        <f>SUMIFS(DETALLE_GD_1[CANTIDAD RECEPCIONADA],DETALLE_GD_1[CODIGO],REG_STOCK[[#This Row],[CODIGO]],DETALLE_GD_1[FECHA SOLICITUD],"&lt;="&amp;REG_STOCK[[#This Row],[FECHA STOCK ]])+97</f>
        <v>1657</v>
      </c>
      <c r="J62" s="81">
        <f>+REG_STOCK[[#This Row],[SOLICITADO A TF]]-REG_STOCK[[#This Row],[STOCK FISICO]]</f>
        <v>1485</v>
      </c>
      <c r="K62" s="40">
        <f>+_xlfn.XLOOKUP(REG_STOCK[[#This Row],[CODIGO]],PRODUCTOS[CODIGO],PRODUCTOS[CANT X MODULO],"",0)</f>
        <v>23.273250000000008</v>
      </c>
      <c r="L62" s="3">
        <f>+REG_STOCK[[#This Row],[CONSUMO]]/REG_STOCK[[#This Row],[CUBICACION PPTO.]]</f>
        <v>63.807160581354111</v>
      </c>
      <c r="M62" s="3">
        <f>+REG_STOCK[[#This Row],[STOCK FISICO]]/REG_STOCK[[#This Row],[CUBICACION PPTO.]]</f>
        <v>7.3904590033622268</v>
      </c>
      <c r="N62" s="3">
        <f>+REG_STOCK[[#This Row],[SOLICITADO A TF]]/REG_STOCK[[#This Row],[CUBICACION PPTO.]]</f>
        <v>71.197619584716335</v>
      </c>
      <c r="O62" s="3">
        <f>IF($V$2-REG_STOCK[[#This Row],[ALCANCE FISICO]]&gt;0,"",($V$2-REG_STOCK[[#This Row],[ALCANCE FISICO]]/REG_STOCK[[#This Row],[CUBICACION PPTO.]]))</f>
        <v>60.940795996059151</v>
      </c>
      <c r="P62" s="3">
        <f>+_xlfn.XLOOKUP(REG_STOCK[[#This Row],[CODIGO]],PRODUCTOS[CODIGO],PRODUCTOS[PRECIO COMPRA UNITARIO],"",0)</f>
        <v>15018.620734341253</v>
      </c>
      <c r="Q62" s="3">
        <f>IFERROR(REG_STOCK[[#This Row],[VALOR UNITARIO]]*REG_STOCK[[#This Row],[PERDIDA O EN PROCESO]],"")</f>
        <v>915246.70231367438</v>
      </c>
      <c r="R62" s="3">
        <f>+REG_STOCK[[#This Row],[VALOR UNITARIO]]*REG_STOCK[[#This Row],[STOCK FISICO]]</f>
        <v>2583202.7663066955</v>
      </c>
    </row>
    <row r="63" spans="1:18" hidden="1" x14ac:dyDescent="0.25">
      <c r="A63" s="1">
        <v>46160</v>
      </c>
      <c r="B63">
        <v>701096</v>
      </c>
      <c r="C63" s="81" t="s">
        <v>204</v>
      </c>
      <c r="D63" s="81" t="s">
        <v>18</v>
      </c>
      <c r="E63">
        <v>1820</v>
      </c>
      <c r="F63">
        <v>0</v>
      </c>
      <c r="G63">
        <v>42</v>
      </c>
      <c r="H63" s="81" t="str">
        <f>+_xlfn.XLOOKUP(REG_STOCK[[#This Row],[CODIGO]],PRODUCTOS[CODIGO],PRODUCTOS[DESC CORTA],"",0)</f>
        <v>VOCANITA EMPAPELADA MURO</v>
      </c>
      <c r="I63" s="76">
        <f>SUMIFS(DETALLE_GD_1[CANTIDAD RECEPCIONADA],DETALLE_GD_1[CODIGO],REG_STOCK[[#This Row],[CODIGO]],DETALLE_GD_1[FECHA SOLICITUD],"&lt;="&amp;REG_STOCK[[#This Row],[FECHA STOCK ]])+97</f>
        <v>1917</v>
      </c>
      <c r="J63" s="81">
        <f>+REG_STOCK[[#This Row],[SOLICITADO A TF]]-REG_STOCK[[#This Row],[STOCK FISICO]]</f>
        <v>1875</v>
      </c>
      <c r="K63" s="40">
        <f>+_xlfn.XLOOKUP(REG_STOCK[[#This Row],[CODIGO]],PRODUCTOS[CODIGO],PRODUCTOS[CANT X MODULO],"",0)</f>
        <v>31.237499999999997</v>
      </c>
      <c r="L63" s="3">
        <f>+REG_STOCK[[#This Row],[CONSUMO]]/REG_STOCK[[#This Row],[CUBICACION PPTO.]]</f>
        <v>60.024009603841542</v>
      </c>
      <c r="M63" s="3">
        <f>+REG_STOCK[[#This Row],[STOCK FISICO]]/REG_STOCK[[#This Row],[CUBICACION PPTO.]]</f>
        <v>1.3445378151260505</v>
      </c>
      <c r="N63" s="3">
        <f>+REG_STOCK[[#This Row],[SOLICITADO A TF]]/REG_STOCK[[#This Row],[CUBICACION PPTO.]]</f>
        <v>61.368547418967594</v>
      </c>
      <c r="O63" s="3" t="str">
        <f>IF($V$2-REG_STOCK[[#This Row],[ALCANCE FISICO]]&gt;0,"",($V$2-REG_STOCK[[#This Row],[ALCANCE FISICO]]/REG_STOCK[[#This Row],[CUBICACION PPTO.]]))</f>
        <v/>
      </c>
      <c r="P63" s="3">
        <f>+_xlfn.XLOOKUP(REG_STOCK[[#This Row],[CODIGO]],PRODUCTOS[CODIGO],PRODUCTOS[PRECIO COMPRA UNITARIO],"",0)</f>
        <v>16226.792738275341</v>
      </c>
      <c r="Q63" s="3" t="str">
        <f>IFERROR(REG_STOCK[[#This Row],[VALOR UNITARIO]]*REG_STOCK[[#This Row],[PERDIDA O EN PROCESO]],"")</f>
        <v/>
      </c>
      <c r="R63" s="3">
        <f>+REG_STOCK[[#This Row],[VALOR UNITARIO]]*REG_STOCK[[#This Row],[STOCK FISICO]]</f>
        <v>681525.29500756436</v>
      </c>
    </row>
    <row r="64" spans="1:18" hidden="1" x14ac:dyDescent="0.25">
      <c r="A64" s="1">
        <v>46160</v>
      </c>
      <c r="B64">
        <v>701040</v>
      </c>
      <c r="C64" s="81" t="s">
        <v>19</v>
      </c>
      <c r="D64" s="81" t="s">
        <v>18</v>
      </c>
      <c r="E64">
        <v>895</v>
      </c>
      <c r="F64">
        <v>0</v>
      </c>
      <c r="G64">
        <v>156</v>
      </c>
      <c r="H64" s="81" t="str">
        <f>+_xlfn.XLOOKUP(REG_STOCK[[#This Row],[CODIGO]],PRODUCTOS[CODIGO],PRODUCTOS[DESC CORTA],"",0)</f>
        <v>VOLCANITA RF</v>
      </c>
      <c r="I64" s="76">
        <f>SUMIFS(DETALLE_GD_1[CANTIDAD RECEPCIONADA],DETALLE_GD_1[CODIGO],REG_STOCK[[#This Row],[CODIGO]],DETALLE_GD_1[FECHA SOLICITUD],"&lt;="&amp;REG_STOCK[[#This Row],[FECHA STOCK ]])+97</f>
        <v>992</v>
      </c>
      <c r="J64" s="81">
        <f>+REG_STOCK[[#This Row],[SOLICITADO A TF]]-REG_STOCK[[#This Row],[STOCK FISICO]]</f>
        <v>836</v>
      </c>
      <c r="K64" s="40">
        <f>+_xlfn.XLOOKUP(REG_STOCK[[#This Row],[CODIGO]],PRODUCTOS[CODIGO],PRODUCTOS[CANT X MODULO],"",0)</f>
        <v>4.2840000000000007</v>
      </c>
      <c r="L64" s="3">
        <f>+REG_STOCK[[#This Row],[CONSUMO]]/REG_STOCK[[#This Row],[CUBICACION PPTO.]]</f>
        <v>195.14472455648922</v>
      </c>
      <c r="M64" s="3">
        <f>+REG_STOCK[[#This Row],[STOCK FISICO]]/REG_STOCK[[#This Row],[CUBICACION PPTO.]]</f>
        <v>36.414565826330524</v>
      </c>
      <c r="N64" s="3">
        <f>+REG_STOCK[[#This Row],[SOLICITADO A TF]]/REG_STOCK[[#This Row],[CUBICACION PPTO.]]</f>
        <v>231.55929038281977</v>
      </c>
      <c r="O64" s="3">
        <f>IF($V$2-REG_STOCK[[#This Row],[ALCANCE FISICO]]&gt;0,"",($V$2-REG_STOCK[[#This Row],[ALCANCE FISICO]]/REG_STOCK[[#This Row],[CUBICACION PPTO.]]))</f>
        <v>9.9478780619001554</v>
      </c>
      <c r="P64" s="3">
        <f>+_xlfn.XLOOKUP(REG_STOCK[[#This Row],[CODIGO]],PRODUCTOS[CODIGO],PRODUCTOS[PRECIO COMPRA UNITARIO],"",0)</f>
        <v>7583.0947867298582</v>
      </c>
      <c r="Q64" s="3">
        <f>IFERROR(REG_STOCK[[#This Row],[VALOR UNITARIO]]*REG_STOCK[[#This Row],[PERDIDA O EN PROCESO]],"")</f>
        <v>75435.702270219394</v>
      </c>
      <c r="R64" s="3">
        <f>+REG_STOCK[[#This Row],[VALOR UNITARIO]]*REG_STOCK[[#This Row],[STOCK FISICO]]</f>
        <v>1182962.7867298578</v>
      </c>
    </row>
    <row r="65" spans="1:18" hidden="1" x14ac:dyDescent="0.25">
      <c r="A65" s="1">
        <v>46160</v>
      </c>
      <c r="B65">
        <v>1902003</v>
      </c>
      <c r="C65" s="81" t="s">
        <v>155</v>
      </c>
      <c r="D65" s="81" t="s">
        <v>47</v>
      </c>
      <c r="E65">
        <v>54</v>
      </c>
      <c r="F65">
        <v>1.05</v>
      </c>
      <c r="G65">
        <v>33</v>
      </c>
      <c r="H65" s="81">
        <f>+_xlfn.XLOOKUP(REG_STOCK[[#This Row],[CODIGO]],PRODUCTOS[CODIGO],PRODUCTOS[DESC CORTA],"",0)</f>
        <v>0</v>
      </c>
      <c r="I65" s="76">
        <f>SUMIFS(DETALLE_GD_1[CANTIDAD RECEPCIONADA],DETALLE_GD_1[CODIGO],REG_STOCK[[#This Row],[CODIGO]],DETALLE_GD_1[FECHA SOLICITUD],"&lt;="&amp;REG_STOCK[[#This Row],[FECHA STOCK ]])+97</f>
        <v>161</v>
      </c>
      <c r="J65" s="81">
        <f>+REG_STOCK[[#This Row],[SOLICITADO A TF]]-REG_STOCK[[#This Row],[STOCK FISICO]]</f>
        <v>128</v>
      </c>
      <c r="K65" s="40">
        <f>+_xlfn.XLOOKUP(REG_STOCK[[#This Row],[CODIGO]],PRODUCTOS[CODIGO],PRODUCTOS[CANT X MODULO],"",0)</f>
        <v>0.41466600000000009</v>
      </c>
      <c r="L65" s="3">
        <f>+REG_STOCK[[#This Row],[CONSUMO]]/REG_STOCK[[#This Row],[CUBICACION PPTO.]]</f>
        <v>308.68216829930589</v>
      </c>
      <c r="M65" s="3">
        <f>+REG_STOCK[[#This Row],[STOCK FISICO]]/REG_STOCK[[#This Row],[CUBICACION PPTO.]]</f>
        <v>79.582121514664792</v>
      </c>
      <c r="N65" s="3">
        <f>+REG_STOCK[[#This Row],[SOLICITADO A TF]]/REG_STOCK[[#This Row],[CUBICACION PPTO.]]</f>
        <v>388.26428981397066</v>
      </c>
      <c r="O65" s="3">
        <f>IF($V$2-REG_STOCK[[#This Row],[ALCANCE FISICO]]&gt;0,"",($V$2-REG_STOCK[[#This Row],[ALCANCE FISICO]]/REG_STOCK[[#This Row],[CUBICACION PPTO.]]))</f>
        <v>-872.33017853880131</v>
      </c>
      <c r="P65" s="3">
        <f>+_xlfn.XLOOKUP(REG_STOCK[[#This Row],[CODIGO]],PRODUCTOS[CODIGO],PRODUCTOS[PRECIO COMPRA UNITARIO],"",0)</f>
        <v>150732.2183908046</v>
      </c>
      <c r="Q65" s="3">
        <f>IFERROR(REG_STOCK[[#This Row],[VALOR UNITARIO]]*REG_STOCK[[#This Row],[PERDIDA O EN PROCESO]],"")</f>
        <v>-131488262.98040016</v>
      </c>
      <c r="R65" s="3">
        <f>+REG_STOCK[[#This Row],[VALOR UNITARIO]]*REG_STOCK[[#This Row],[STOCK FISICO]]</f>
        <v>4974163.2068965519</v>
      </c>
    </row>
    <row r="66" spans="1:18" hidden="1" x14ac:dyDescent="0.25">
      <c r="A66" s="1">
        <v>46160</v>
      </c>
      <c r="B66" t="s">
        <v>21</v>
      </c>
      <c r="C66" s="81" t="s">
        <v>788</v>
      </c>
      <c r="D66" s="81" t="s">
        <v>20</v>
      </c>
      <c r="E66">
        <v>488</v>
      </c>
      <c r="F66">
        <v>0.31171874999999999</v>
      </c>
      <c r="G66">
        <v>0</v>
      </c>
      <c r="H66" s="81" t="str">
        <f>+_xlfn.XLOOKUP(REG_STOCK[[#This Row],[CODIGO]],PRODUCTOS[CODIGO],PRODUCTOS[DESC CORTA],"",0)</f>
        <v>PINO 3X8X320</v>
      </c>
      <c r="I66" s="76">
        <f>SUMIFS(DETALLE_GD_1[CANTIDAD RECEPCIONADA],DETALLE_GD_1[CODIGO],REG_STOCK[[#This Row],[CODIGO]],DETALLE_GD_1[FECHA SOLICITUD],"&lt;="&amp;REG_STOCK[[#This Row],[FECHA STOCK ]])+97</f>
        <v>665</v>
      </c>
      <c r="J66" s="81">
        <f>+REG_STOCK[[#This Row],[SOLICITADO A TF]]-REG_STOCK[[#This Row],[STOCK FISICO]]</f>
        <v>665</v>
      </c>
      <c r="K66" s="40">
        <f>+_xlfn.XLOOKUP(REG_STOCK[[#This Row],[CODIGO]],PRODUCTOS[CODIGO],PRODUCTOS[CANT X MODULO],"",0)</f>
        <v>6.3000000000000007</v>
      </c>
      <c r="L66" s="3">
        <f>+REG_STOCK[[#This Row],[CONSUMO]]/REG_STOCK[[#This Row],[CUBICACION PPTO.]]</f>
        <v>105.55555555555554</v>
      </c>
      <c r="M66" s="3">
        <f>+REG_STOCK[[#This Row],[STOCK FISICO]]/REG_STOCK[[#This Row],[CUBICACION PPTO.]]</f>
        <v>0</v>
      </c>
      <c r="N66" s="3">
        <f>+REG_STOCK[[#This Row],[SOLICITADO A TF]]/REG_STOCK[[#This Row],[CUBICACION PPTO.]]</f>
        <v>105.55555555555554</v>
      </c>
      <c r="O66" s="3">
        <f>IF($V$2-REG_STOCK[[#This Row],[ALCANCE FISICO]]&gt;0,"",($V$2-REG_STOCK[[#This Row],[ALCANCE FISICO]]/REG_STOCK[[#This Row],[CUBICACION PPTO.]]))</f>
        <v>47.245149911816583</v>
      </c>
      <c r="P66" s="3">
        <f>+_xlfn.XLOOKUP(REG_STOCK[[#This Row],[CODIGO]],PRODUCTOS[CODIGO],PRODUCTOS[PRECIO COMPRA UNITARIO],"",0)</f>
        <v>15451.816831683169</v>
      </c>
      <c r="Q66" s="3">
        <f>IFERROR(REG_STOCK[[#This Row],[VALOR UNITARIO]]*REG_STOCK[[#This Row],[PERDIDA O EN PROCESO]],"")</f>
        <v>730023.40262280207</v>
      </c>
      <c r="R66" s="3">
        <f>+REG_STOCK[[#This Row],[VALOR UNITARIO]]*REG_STOCK[[#This Row],[STOCK FISICO]]</f>
        <v>0</v>
      </c>
    </row>
    <row r="67" spans="1:18" hidden="1" x14ac:dyDescent="0.25">
      <c r="A67" s="1">
        <v>46160</v>
      </c>
      <c r="B67">
        <v>701084</v>
      </c>
      <c r="C67" s="81" t="s">
        <v>38</v>
      </c>
      <c r="D67" s="81" t="s">
        <v>18</v>
      </c>
      <c r="E67">
        <v>52</v>
      </c>
      <c r="F67">
        <v>0</v>
      </c>
      <c r="G67">
        <v>0</v>
      </c>
      <c r="H67" s="81" t="str">
        <f>+_xlfn.XLOOKUP(REG_STOCK[[#This Row],[CODIGO]],PRODUCTOS[CODIGO],PRODUCTOS[DESC CORTA],"",0)</f>
        <v>FIBROCEMENTO BALCON</v>
      </c>
      <c r="I67" s="76">
        <f>SUMIFS(DETALLE_GD_1[CANTIDAD RECEPCIONADA],DETALLE_GD_1[CODIGO],REG_STOCK[[#This Row],[CODIGO]],DETALLE_GD_1[FECHA SOLICITUD],"&lt;="&amp;REG_STOCK[[#This Row],[FECHA STOCK ]])+97</f>
        <v>149</v>
      </c>
      <c r="J67" s="81">
        <f>+REG_STOCK[[#This Row],[SOLICITADO A TF]]-REG_STOCK[[#This Row],[STOCK FISICO]]</f>
        <v>149</v>
      </c>
      <c r="K67" s="40">
        <f>+_xlfn.XLOOKUP(REG_STOCK[[#This Row],[CODIGO]],PRODUCTOS[CODIGO],PRODUCTOS[CANT X MODULO],"",0)</f>
        <v>0.69825000000000004</v>
      </c>
      <c r="L67" s="3">
        <f>+REG_STOCK[[#This Row],[CONSUMO]]/REG_STOCK[[#This Row],[CUBICACION PPTO.]]</f>
        <v>213.39061940565699</v>
      </c>
      <c r="M67" s="3">
        <f>+REG_STOCK[[#This Row],[STOCK FISICO]]/REG_STOCK[[#This Row],[CUBICACION PPTO.]]</f>
        <v>0</v>
      </c>
      <c r="N67" s="3">
        <f>+REG_STOCK[[#This Row],[SOLICITADO A TF]]/REG_STOCK[[#This Row],[CUBICACION PPTO.]]</f>
        <v>213.39061940565699</v>
      </c>
      <c r="O67" s="3">
        <f>IF($V$2-REG_STOCK[[#This Row],[ALCANCE FISICO]]&gt;0,"",($V$2-REG_STOCK[[#This Row],[ALCANCE FISICO]]/REG_STOCK[[#This Row],[CUBICACION PPTO.]]))</f>
        <v>-241.60776141161045</v>
      </c>
      <c r="P67" s="3">
        <f>+_xlfn.XLOOKUP(REG_STOCK[[#This Row],[CODIGO]],PRODUCTOS[CODIGO],PRODUCTOS[PRECIO COMPRA UNITARIO],"",0)</f>
        <v>39170.619565217392</v>
      </c>
      <c r="Q67" s="3">
        <f>IFERROR(REG_STOCK[[#This Row],[VALOR UNITARIO]]*REG_STOCK[[#This Row],[PERDIDA O EN PROCESO]],"")</f>
        <v>-9463925.7062580045</v>
      </c>
      <c r="R67" s="3">
        <f>+REG_STOCK[[#This Row],[VALOR UNITARIO]]*REG_STOCK[[#This Row],[STOCK FISICO]]</f>
        <v>0</v>
      </c>
    </row>
    <row r="68" spans="1:18" hidden="1" x14ac:dyDescent="0.25">
      <c r="A68" s="1">
        <v>46160</v>
      </c>
      <c r="B68">
        <v>5309018</v>
      </c>
      <c r="C68" s="81" t="s">
        <v>112</v>
      </c>
      <c r="D68" s="81" t="s">
        <v>26</v>
      </c>
      <c r="E68">
        <v>2600</v>
      </c>
      <c r="F68">
        <v>1.378125</v>
      </c>
      <c r="G68">
        <v>5</v>
      </c>
      <c r="H68" s="81">
        <f>+_xlfn.XLOOKUP(REG_STOCK[[#This Row],[CODIGO]],PRODUCTOS[CODIGO],PRODUCTOS[DESC CORTA],"",0)</f>
        <v>0</v>
      </c>
      <c r="I68" s="76">
        <f>SUMIFS(DETALLE_GD_1[CANTIDAD RECEPCIONADA],DETALLE_GD_1[CODIGO],REG_STOCK[[#This Row],[CODIGO]],DETALLE_GD_1[FECHA SOLICITUD],"&lt;="&amp;REG_STOCK[[#This Row],[FECHA STOCK ]])+97</f>
        <v>2697</v>
      </c>
      <c r="J68" s="81">
        <f>+REG_STOCK[[#This Row],[SOLICITADO A TF]]-REG_STOCK[[#This Row],[STOCK FISICO]]</f>
        <v>2692</v>
      </c>
      <c r="K68" s="40">
        <f>+_xlfn.XLOOKUP(REG_STOCK[[#This Row],[CODIGO]],PRODUCTOS[CODIGO],PRODUCTOS[CANT X MODULO],"",0)</f>
        <v>34.649999999999991</v>
      </c>
      <c r="L68" s="3">
        <f>+REG_STOCK[[#This Row],[CONSUMO]]/REG_STOCK[[#This Row],[CUBICACION PPTO.]]</f>
        <v>77.691197691197715</v>
      </c>
      <c r="M68" s="3">
        <f>+REG_STOCK[[#This Row],[STOCK FISICO]]/REG_STOCK[[#This Row],[CUBICACION PPTO.]]</f>
        <v>0.14430014430014435</v>
      </c>
      <c r="N68" s="3">
        <f>+REG_STOCK[[#This Row],[SOLICITADO A TF]]/REG_STOCK[[#This Row],[CUBICACION PPTO.]]</f>
        <v>77.835497835497861</v>
      </c>
      <c r="O68" s="3">
        <f>IF($V$2-REG_STOCK[[#This Row],[ALCANCE FISICO]]&gt;0,"",($V$2-REG_STOCK[[#This Row],[ALCANCE FISICO]]/REG_STOCK[[#This Row],[CUBICACION PPTO.]]))</f>
        <v>61.753665286132815</v>
      </c>
      <c r="P68" s="3">
        <f>+_xlfn.XLOOKUP(REG_STOCK[[#This Row],[CODIGO]],PRODUCTOS[CODIGO],PRODUCTOS[PRECIO COMPRA UNITARIO],"",0)</f>
        <v>706.42250000000001</v>
      </c>
      <c r="Q68" s="3">
        <f>IFERROR(REG_STOCK[[#This Row],[VALOR UNITARIO]]*REG_STOCK[[#This Row],[PERDIDA O EN PROCESO]],"")</f>
        <v>43624.178615593162</v>
      </c>
      <c r="R68" s="3">
        <f>+REG_STOCK[[#This Row],[VALOR UNITARIO]]*REG_STOCK[[#This Row],[STOCK FISICO]]</f>
        <v>3532.1125000000002</v>
      </c>
    </row>
    <row r="69" spans="1:18" hidden="1" x14ac:dyDescent="0.25">
      <c r="A69" s="1">
        <v>46160</v>
      </c>
      <c r="B69">
        <v>1902014</v>
      </c>
      <c r="C69" s="81" t="s">
        <v>316</v>
      </c>
      <c r="D69" s="81" t="s">
        <v>18</v>
      </c>
      <c r="E69">
        <v>360</v>
      </c>
      <c r="F69">
        <v>52.5</v>
      </c>
      <c r="G69">
        <v>16</v>
      </c>
      <c r="H69" s="81" t="str">
        <f>+_xlfn.XLOOKUP(REG_STOCK[[#This Row],[CODIGO]],PRODUCTOS[CODIGO],PRODUCTOS[DESC CORTA],"",0)</f>
        <v>VOLCOGLASS</v>
      </c>
      <c r="I69" s="76">
        <f>SUMIFS(DETALLE_GD_1[CANTIDAD RECEPCIONADA],DETALLE_GD_1[CODIGO],REG_STOCK[[#This Row],[CODIGO]],DETALLE_GD_1[FECHA SOLICITUD],"&lt;="&amp;REG_STOCK[[#This Row],[FECHA STOCK ]])+97</f>
        <v>457</v>
      </c>
      <c r="J69" s="81">
        <f>+REG_STOCK[[#This Row],[SOLICITADO A TF]]-REG_STOCK[[#This Row],[STOCK FISICO]]</f>
        <v>441</v>
      </c>
      <c r="K69" s="40">
        <f>+_xlfn.XLOOKUP(REG_STOCK[[#This Row],[CODIGO]],PRODUCTOS[CODIGO],PRODUCTOS[CANT X MODULO],"",0)</f>
        <v>5.5125000000000002</v>
      </c>
      <c r="L69" s="3">
        <f>+REG_STOCK[[#This Row],[CONSUMO]]/REG_STOCK[[#This Row],[CUBICACION PPTO.]]</f>
        <v>80</v>
      </c>
      <c r="M69" s="3">
        <f>+REG_STOCK[[#This Row],[STOCK FISICO]]/REG_STOCK[[#This Row],[CUBICACION PPTO.]]</f>
        <v>2.9024943310657596</v>
      </c>
      <c r="N69" s="3">
        <f>+REG_STOCK[[#This Row],[SOLICITADO A TF]]/REG_STOCK[[#This Row],[CUBICACION PPTO.]]</f>
        <v>82.902494331065753</v>
      </c>
      <c r="O69" s="3">
        <f>IF($V$2-REG_STOCK[[#This Row],[ALCANCE FISICO]]&gt;0,"",($V$2-REG_STOCK[[#This Row],[ALCANCE FISICO]]/REG_STOCK[[#This Row],[CUBICACION PPTO.]]))</f>
        <v>48.960998760804401</v>
      </c>
      <c r="P69" s="3">
        <f>+_xlfn.XLOOKUP(REG_STOCK[[#This Row],[CODIGO]],PRODUCTOS[CODIGO],PRODUCTOS[PRECIO COMPRA UNITARIO],"",0)</f>
        <v>29799.757692307692</v>
      </c>
      <c r="Q69" s="3">
        <f>IFERROR(REG_STOCK[[#This Row],[VALOR UNITARIO]]*REG_STOCK[[#This Row],[PERDIDA O EN PROCESO]],"")</f>
        <v>1459025.8994453484</v>
      </c>
      <c r="R69" s="3">
        <f>+REG_STOCK[[#This Row],[VALOR UNITARIO]]*REG_STOCK[[#This Row],[STOCK FISICO]]</f>
        <v>476796.12307692308</v>
      </c>
    </row>
    <row r="70" spans="1:18" hidden="1" x14ac:dyDescent="0.25">
      <c r="A70" s="1">
        <v>46167</v>
      </c>
      <c r="B70">
        <v>304007</v>
      </c>
      <c r="C70" s="81" t="s">
        <v>80</v>
      </c>
      <c r="D70" s="81" t="s">
        <v>18</v>
      </c>
      <c r="E70">
        <v>972</v>
      </c>
      <c r="F70">
        <v>0</v>
      </c>
      <c r="G70">
        <v>256</v>
      </c>
      <c r="H70" s="81" t="str">
        <f>+_xlfn.XLOOKUP(REG_STOCK[[#This Row],[CODIGO]],PRODUCTOS[CODIGO],PRODUCTOS[DESC CORTA],"",0)</f>
        <v>OSB 11MM</v>
      </c>
      <c r="I70" s="76">
        <f>SUMIFS(DETALLE_GD_1[CANTIDAD RECEPCIONADA],DETALLE_GD_1[CODIGO],REG_STOCK[[#This Row],[CODIGO]],DETALLE_GD_1[FECHA SOLICITUD],"&lt;="&amp;REG_STOCK[[#This Row],[FECHA STOCK ]])+97</f>
        <v>1069</v>
      </c>
      <c r="J70" s="81">
        <f>+REG_STOCK[[#This Row],[SOLICITADO A TF]]-REG_STOCK[[#This Row],[STOCK FISICO]]</f>
        <v>813</v>
      </c>
      <c r="K70" s="40">
        <f>+_xlfn.XLOOKUP(REG_STOCK[[#This Row],[CODIGO]],PRODUCTOS[CODIGO],PRODUCTOS[CANT X MODULO],"",0)</f>
        <v>8.6625000000000014</v>
      </c>
      <c r="L70" s="3">
        <f>+REG_STOCK[[#This Row],[CONSUMO]]/REG_STOCK[[#This Row],[CUBICACION PPTO.]]</f>
        <v>93.852813852813838</v>
      </c>
      <c r="M70" s="3">
        <f>+REG_STOCK[[#This Row],[STOCK FISICO]]/REG_STOCK[[#This Row],[CUBICACION PPTO.]]</f>
        <v>29.552669552669549</v>
      </c>
      <c r="N70" s="3">
        <f>+REG_STOCK[[#This Row],[SOLICITADO A TF]]/REG_STOCK[[#This Row],[CUBICACION PPTO.]]</f>
        <v>123.40548340548338</v>
      </c>
      <c r="O70" s="3">
        <f>IF($V$2-REG_STOCK[[#This Row],[ALCANCE FISICO]]&gt;0,"",($V$2-REG_STOCK[[#This Row],[ALCANCE FISICO]]/REG_STOCK[[#This Row],[CUBICACION PPTO.]]))</f>
        <v>49.754056749727752</v>
      </c>
      <c r="P70" s="3">
        <f>+_xlfn.XLOOKUP(REG_STOCK[[#This Row],[CODIGO]],PRODUCTOS[CODIGO],PRODUCTOS[PRECIO COMPRA UNITARIO],"",0)</f>
        <v>11557.16697761194</v>
      </c>
      <c r="Q70" s="3">
        <f>IFERROR(REG_STOCK[[#This Row],[VALOR UNITARIO]]*REG_STOCK[[#This Row],[PERDIDA O EN PROCESO]],"")</f>
        <v>575015.94167018402</v>
      </c>
      <c r="R70" s="3">
        <f>+REG_STOCK[[#This Row],[VALOR UNITARIO]]*REG_STOCK[[#This Row],[STOCK FISICO]]</f>
        <v>2958634.7462686566</v>
      </c>
    </row>
    <row r="71" spans="1:18" hidden="1" x14ac:dyDescent="0.25">
      <c r="A71" s="1">
        <v>46167</v>
      </c>
      <c r="B71">
        <v>701043</v>
      </c>
      <c r="C71" s="81" t="s">
        <v>197</v>
      </c>
      <c r="D71" s="81" t="s">
        <v>699</v>
      </c>
      <c r="E71">
        <v>716</v>
      </c>
      <c r="F71">
        <v>0</v>
      </c>
      <c r="G71">
        <v>90</v>
      </c>
      <c r="H71" s="81" t="str">
        <f>+_xlfn.XLOOKUP(REG_STOCK[[#This Row],[CODIGO]],PRODUCTOS[CODIGO],PRODUCTOS[DESC CORTA],"",0)</f>
        <v>VOLCANITA EMPAPELADA CIELO</v>
      </c>
      <c r="I71" s="76">
        <f>SUMIFS(DETALLE_GD_1[CANTIDAD RECEPCIONADA],DETALLE_GD_1[CODIGO],REG_STOCK[[#This Row],[CODIGO]],DETALLE_GD_1[FECHA SOLICITUD],"&lt;="&amp;REG_STOCK[[#This Row],[FECHA STOCK ]])+97</f>
        <v>813</v>
      </c>
      <c r="J71" s="81">
        <f>+REG_STOCK[[#This Row],[SOLICITADO A TF]]-REG_STOCK[[#This Row],[STOCK FISICO]]</f>
        <v>723</v>
      </c>
      <c r="K71" s="40">
        <f>+_xlfn.XLOOKUP(REG_STOCK[[#This Row],[CODIGO]],PRODUCTOS[CODIGO],PRODUCTOS[CANT X MODULO],"",0)</f>
        <v>7.0875000000000012</v>
      </c>
      <c r="L71" s="3">
        <f>+REG_STOCK[[#This Row],[CONSUMO]]/REG_STOCK[[#This Row],[CUBICACION PPTO.]]</f>
        <v>102.010582010582</v>
      </c>
      <c r="M71" s="3">
        <f>+REG_STOCK[[#This Row],[STOCK FISICO]]/REG_STOCK[[#This Row],[CUBICACION PPTO.]]</f>
        <v>12.698412698412696</v>
      </c>
      <c r="N71" s="3">
        <f>+REG_STOCK[[#This Row],[SOLICITADO A TF]]/REG_STOCK[[#This Row],[CUBICACION PPTO.]]</f>
        <v>114.70899470899469</v>
      </c>
      <c r="O71" s="3">
        <f>IF($V$2-REG_STOCK[[#This Row],[ALCANCE FISICO]]&gt;0,"",($V$2-REG_STOCK[[#This Row],[ALCANCE FISICO]]/REG_STOCK[[#This Row],[CUBICACION PPTO.]]))</f>
        <v>47.815309388501632</v>
      </c>
      <c r="P71" s="3">
        <f>+_xlfn.XLOOKUP(REG_STOCK[[#This Row],[CODIGO]],PRODUCTOS[CODIGO],PRODUCTOS[PRECIO COMPRA UNITARIO],"",0)</f>
        <v>22493.996861924687</v>
      </c>
      <c r="Q71" s="3">
        <f>IFERROR(REG_STOCK[[#This Row],[VALOR UNITARIO]]*REG_STOCK[[#This Row],[PERDIDA O EN PROCESO]],"")</f>
        <v>1075557.4193369136</v>
      </c>
      <c r="R71" s="3">
        <f>+REG_STOCK[[#This Row],[VALOR UNITARIO]]*REG_STOCK[[#This Row],[STOCK FISICO]]</f>
        <v>2024459.7175732218</v>
      </c>
    </row>
    <row r="72" spans="1:18" hidden="1" x14ac:dyDescent="0.25">
      <c r="A72" s="1">
        <v>46167</v>
      </c>
      <c r="B72">
        <v>302046</v>
      </c>
      <c r="C72" s="81" t="s">
        <v>519</v>
      </c>
      <c r="D72" s="81" t="s">
        <v>20</v>
      </c>
      <c r="E72">
        <v>3469</v>
      </c>
      <c r="F72">
        <v>0</v>
      </c>
      <c r="G72">
        <v>148</v>
      </c>
      <c r="H72" s="81" t="str">
        <f>+_xlfn.XLOOKUP(REG_STOCK[[#This Row],[CODIGO]],PRODUCTOS[CODIGO],PRODUCTOS[DESC CORTA],"",0)</f>
        <v>PINO 2X6X400</v>
      </c>
      <c r="I72" s="76">
        <f>SUMIFS(DETALLE_GD_1[CANTIDAD RECEPCIONADA],DETALLE_GD_1[CODIGO],REG_STOCK[[#This Row],[CODIGO]],DETALLE_GD_1[FECHA SOLICITUD],"&lt;="&amp;REG_STOCK[[#This Row],[FECHA STOCK ]])+97</f>
        <v>3566</v>
      </c>
      <c r="J72" s="81">
        <f>+REG_STOCK[[#This Row],[SOLICITADO A TF]]-REG_STOCK[[#This Row],[STOCK FISICO]]</f>
        <v>3418</v>
      </c>
      <c r="K72" s="40">
        <f>+_xlfn.XLOOKUP(REG_STOCK[[#This Row],[CODIGO]],PRODUCTOS[CODIGO],PRODUCTOS[CANT X MODULO],"",0)</f>
        <v>34.65</v>
      </c>
      <c r="L72" s="3">
        <f>+REG_STOCK[[#This Row],[CONSUMO]]/REG_STOCK[[#This Row],[CUBICACION PPTO.]]</f>
        <v>98.64357864357865</v>
      </c>
      <c r="M72" s="3">
        <f>+REG_STOCK[[#This Row],[STOCK FISICO]]/REG_STOCK[[#This Row],[CUBICACION PPTO.]]</f>
        <v>4.2712842712842711</v>
      </c>
      <c r="N72" s="3">
        <f>+REG_STOCK[[#This Row],[SOLICITADO A TF]]/REG_STOCK[[#This Row],[CUBICACION PPTO.]]</f>
        <v>102.91486291486292</v>
      </c>
      <c r="O72" s="3">
        <f>IF($V$2-REG_STOCK[[#This Row],[ALCANCE FISICO]]&gt;0,"",($V$2-REG_STOCK[[#This Row],[ALCANCE FISICO]]/REG_STOCK[[#This Row],[CUBICACION PPTO.]]))</f>
        <v>61.029874086151139</v>
      </c>
      <c r="P72" s="3">
        <f>+_xlfn.XLOOKUP(REG_STOCK[[#This Row],[CODIGO]],PRODUCTOS[CODIGO],PRODUCTOS[PRECIO COMPRA UNITARIO],"",0)</f>
        <v>10292.490437458782</v>
      </c>
      <c r="Q72" s="3">
        <f>IFERROR(REG_STOCK[[#This Row],[VALOR UNITARIO]]*REG_STOCK[[#This Row],[PERDIDA O EN PROCESO]],"")</f>
        <v>628149.39543102414</v>
      </c>
      <c r="R72" s="3">
        <f>+REG_STOCK[[#This Row],[VALOR UNITARIO]]*REG_STOCK[[#This Row],[STOCK FISICO]]</f>
        <v>1523288.5847438998</v>
      </c>
    </row>
    <row r="73" spans="1:18" hidden="1" x14ac:dyDescent="0.25">
      <c r="A73" s="1">
        <v>46167</v>
      </c>
      <c r="B73">
        <v>302010</v>
      </c>
      <c r="C73" s="81" t="s">
        <v>514</v>
      </c>
      <c r="D73" s="81" t="s">
        <v>20</v>
      </c>
      <c r="E73">
        <v>2184</v>
      </c>
      <c r="F73">
        <v>0</v>
      </c>
      <c r="G73">
        <v>0</v>
      </c>
      <c r="H73" s="81" t="str">
        <f>+_xlfn.XLOOKUP(REG_STOCK[[#This Row],[CODIGO]],PRODUCTOS[CODIGO],PRODUCTOS[DESC CORTA],"",0)</f>
        <v>PINO 2X6X320</v>
      </c>
      <c r="I73" s="76">
        <f>SUMIFS(DETALLE_GD_1[CANTIDAD RECEPCIONADA],DETALLE_GD_1[CODIGO],REG_STOCK[[#This Row],[CODIGO]],DETALLE_GD_1[FECHA SOLICITUD],"&lt;="&amp;REG_STOCK[[#This Row],[FECHA STOCK ]])+97</f>
        <v>2449</v>
      </c>
      <c r="J73" s="81">
        <f>+REG_STOCK[[#This Row],[SOLICITADO A TF]]-REG_STOCK[[#This Row],[STOCK FISICO]]</f>
        <v>2449</v>
      </c>
      <c r="K73" s="40">
        <f>+_xlfn.XLOOKUP(REG_STOCK[[#This Row],[CODIGO]],PRODUCTOS[CODIGO],PRODUCTOS[CANT X MODULO],"",0)</f>
        <v>34.912500000000023</v>
      </c>
      <c r="L73" s="3">
        <f>+REG_STOCK[[#This Row],[CONSUMO]]/REG_STOCK[[#This Row],[CUBICACION PPTO.]]</f>
        <v>70.146795560329352</v>
      </c>
      <c r="M73" s="3">
        <f>+REG_STOCK[[#This Row],[STOCK FISICO]]/REG_STOCK[[#This Row],[CUBICACION PPTO.]]</f>
        <v>0</v>
      </c>
      <c r="N73" s="3">
        <f>+REG_STOCK[[#This Row],[SOLICITADO A TF]]/REG_STOCK[[#This Row],[CUBICACION PPTO.]]</f>
        <v>70.146795560329352</v>
      </c>
      <c r="O73" s="3">
        <f>IF($V$2-REG_STOCK[[#This Row],[ALCANCE FISICO]]&gt;0,"",($V$2-REG_STOCK[[#This Row],[ALCANCE FISICO]]/REG_STOCK[[#This Row],[CUBICACION PPTO.]]))</f>
        <v>61.99078279812877</v>
      </c>
      <c r="P73" s="3">
        <f>+_xlfn.XLOOKUP(REG_STOCK[[#This Row],[CODIGO]],PRODUCTOS[CODIGO],PRODUCTOS[PRECIO COMPRA UNITARIO],"",0)</f>
        <v>5566.8590808416393</v>
      </c>
      <c r="Q73" s="3">
        <f>IFERROR(REG_STOCK[[#This Row],[VALOR UNITARIO]]*REG_STOCK[[#This Row],[PERDIDA O EN PROCESO]],"")</f>
        <v>345093.95214824483</v>
      </c>
      <c r="R73" s="3">
        <f>+REG_STOCK[[#This Row],[VALOR UNITARIO]]*REG_STOCK[[#This Row],[STOCK FISICO]]</f>
        <v>0</v>
      </c>
    </row>
    <row r="74" spans="1:18" hidden="1" x14ac:dyDescent="0.25">
      <c r="A74" s="1">
        <v>46167</v>
      </c>
      <c r="B74">
        <v>1901008</v>
      </c>
      <c r="C74" s="81" t="s">
        <v>750</v>
      </c>
      <c r="D74" s="81" t="s">
        <v>26</v>
      </c>
      <c r="E74">
        <v>5181</v>
      </c>
      <c r="F74">
        <v>0</v>
      </c>
      <c r="G74">
        <v>33</v>
      </c>
      <c r="H74" s="81" t="str">
        <f>+_xlfn.XLOOKUP(REG_STOCK[[#This Row],[CODIGO]],PRODUCTOS[CODIGO],PRODUCTOS[DESC CORTA],"",0)</f>
        <v>AISLAN GLASS 90MM</v>
      </c>
      <c r="I74" s="76">
        <f>SUMIFS(DETALLE_GD_1[CANTIDAD RECEPCIONADA],DETALLE_GD_1[CODIGO],REG_STOCK[[#This Row],[CODIGO]],DETALLE_GD_1[FECHA SOLICITUD],"&lt;="&amp;REG_STOCK[[#This Row],[FECHA STOCK ]])+97</f>
        <v>5278</v>
      </c>
      <c r="J74" s="81">
        <f>+REG_STOCK[[#This Row],[SOLICITADO A TF]]-REG_STOCK[[#This Row],[STOCK FISICO]]</f>
        <v>5245</v>
      </c>
      <c r="K74" s="40">
        <f>+_xlfn.XLOOKUP(REG_STOCK[[#This Row],[CODIGO]],PRODUCTOS[CODIGO],PRODUCTOS[CANT X MODULO],"",0)</f>
        <v>62.430325650000007</v>
      </c>
      <c r="L74" s="3">
        <f>+REG_STOCK[[#This Row],[CONSUMO]]/REG_STOCK[[#This Row],[CUBICACION PPTO.]]</f>
        <v>84.013657551696582</v>
      </c>
      <c r="M74" s="3">
        <f>+REG_STOCK[[#This Row],[STOCK FISICO]]/REG_STOCK[[#This Row],[CUBICACION PPTO.]]</f>
        <v>0.52858926581620347</v>
      </c>
      <c r="N74" s="3">
        <f>+REG_STOCK[[#This Row],[SOLICITADO A TF]]/REG_STOCK[[#This Row],[CUBICACION PPTO.]]</f>
        <v>84.54224681751279</v>
      </c>
      <c r="O74" s="3">
        <f>IF($V$2-REG_STOCK[[#This Row],[ALCANCE FISICO]]&gt;0,"",($V$2-REG_STOCK[[#This Row],[ALCANCE FISICO]]/REG_STOCK[[#This Row],[CUBICACION PPTO.]]))</f>
        <v>62.645814418917531</v>
      </c>
      <c r="P74" s="3">
        <f>+_xlfn.XLOOKUP(REG_STOCK[[#This Row],[CODIGO]],PRODUCTOS[CODIGO],PRODUCTOS[PRECIO COMPRA UNITARIO],"",0)</f>
        <v>2059.785564685033</v>
      </c>
      <c r="Q74" s="3">
        <f>IFERROR(REG_STOCK[[#This Row],[VALOR UNITARIO]]*REG_STOCK[[#This Row],[PERDIDA O EN PROCESO]],"")</f>
        <v>129036.94422802383</v>
      </c>
      <c r="R74" s="3">
        <f>+REG_STOCK[[#This Row],[VALOR UNITARIO]]*REG_STOCK[[#This Row],[STOCK FISICO]]</f>
        <v>67972.923634606093</v>
      </c>
    </row>
    <row r="75" spans="1:18" hidden="1" x14ac:dyDescent="0.25">
      <c r="A75" s="1">
        <v>46167</v>
      </c>
      <c r="B75">
        <v>304002</v>
      </c>
      <c r="C75" s="81" t="s">
        <v>37</v>
      </c>
      <c r="D75" s="81" t="s">
        <v>18</v>
      </c>
      <c r="E75">
        <v>1895</v>
      </c>
      <c r="F75">
        <v>0</v>
      </c>
      <c r="G75">
        <v>447</v>
      </c>
      <c r="H75" s="81" t="str">
        <f>+_xlfn.XLOOKUP(REG_STOCK[[#This Row],[CODIGO]],PRODUCTOS[CODIGO],PRODUCTOS[DESC CORTA],"",0)</f>
        <v>SMARTPANEL</v>
      </c>
      <c r="I75" s="76">
        <f>SUMIFS(DETALLE_GD_1[CANTIDAD RECEPCIONADA],DETALLE_GD_1[CODIGO],REG_STOCK[[#This Row],[CODIGO]],DETALLE_GD_1[FECHA SOLICITUD],"&lt;="&amp;REG_STOCK[[#This Row],[FECHA STOCK ]])+97</f>
        <v>1992</v>
      </c>
      <c r="J75" s="81">
        <f>+REG_STOCK[[#This Row],[SOLICITADO A TF]]-REG_STOCK[[#This Row],[STOCK FISICO]]</f>
        <v>1545</v>
      </c>
      <c r="K75" s="40">
        <f>+_xlfn.XLOOKUP(REG_STOCK[[#This Row],[CODIGO]],PRODUCTOS[CODIGO],PRODUCTOS[CANT X MODULO],"",0)</f>
        <v>23.296874999999996</v>
      </c>
      <c r="L75" s="3">
        <f>+REG_STOCK[[#This Row],[CONSUMO]]/REG_STOCK[[#This Row],[CUBICACION PPTO.]]</f>
        <v>66.317907444668023</v>
      </c>
      <c r="M75" s="3">
        <f>+REG_STOCK[[#This Row],[STOCK FISICO]]/REG_STOCK[[#This Row],[CUBICACION PPTO.]]</f>
        <v>19.187122736418512</v>
      </c>
      <c r="N75" s="3">
        <f>+REG_STOCK[[#This Row],[SOLICITADO A TF]]/REG_STOCK[[#This Row],[CUBICACION PPTO.]]</f>
        <v>85.505030181086539</v>
      </c>
      <c r="O75" s="3">
        <f>IF($V$2-REG_STOCK[[#This Row],[ALCANCE FISICO]]&gt;0,"",($V$2-REG_STOCK[[#This Row],[ALCANCE FISICO]]/REG_STOCK[[#This Row],[CUBICACION PPTO.]]))</f>
        <v>60.329763962716605</v>
      </c>
      <c r="P75" s="3">
        <f>+_xlfn.XLOOKUP(REG_STOCK[[#This Row],[CODIGO]],PRODUCTOS[CODIGO],PRODUCTOS[PRECIO COMPRA UNITARIO],"",0)</f>
        <v>21579.067512460355</v>
      </c>
      <c r="Q75" s="3">
        <f>IFERROR(REG_STOCK[[#This Row],[VALOR UNITARIO]]*REG_STOCK[[#This Row],[PERDIDA O EN PROCESO]],"")</f>
        <v>1301860.0495622593</v>
      </c>
      <c r="R75" s="3">
        <f>+REG_STOCK[[#This Row],[VALOR UNITARIO]]*REG_STOCK[[#This Row],[STOCK FISICO]]</f>
        <v>9645843.1780697778</v>
      </c>
    </row>
    <row r="76" spans="1:18" hidden="1" x14ac:dyDescent="0.25">
      <c r="A76" s="1">
        <v>46167</v>
      </c>
      <c r="B76">
        <v>304101</v>
      </c>
      <c r="C76" s="81" t="s">
        <v>698</v>
      </c>
      <c r="D76" s="81" t="s">
        <v>18</v>
      </c>
      <c r="E76">
        <v>3589</v>
      </c>
      <c r="F76">
        <v>0</v>
      </c>
      <c r="G76">
        <v>130</v>
      </c>
      <c r="H76" s="81" t="str">
        <f>+_xlfn.XLOOKUP(REG_STOCK[[#This Row],[CODIGO]],PRODUCTOS[CODIGO],PRODUCTOS[DESC CORTA],"",0)</f>
        <v>OSB 9.5</v>
      </c>
      <c r="I76" s="76">
        <f>SUMIFS(DETALLE_GD_1[CANTIDAD RECEPCIONADA],DETALLE_GD_1[CODIGO],REG_STOCK[[#This Row],[CODIGO]],DETALLE_GD_1[FECHA SOLICITUD],"&lt;="&amp;REG_STOCK[[#This Row],[FECHA STOCK ]])+97</f>
        <v>3770</v>
      </c>
      <c r="J76" s="81">
        <f>+REG_STOCK[[#This Row],[SOLICITADO A TF]]-REG_STOCK[[#This Row],[STOCK FISICO]]</f>
        <v>3640</v>
      </c>
      <c r="K76" s="40">
        <f>+_xlfn.XLOOKUP(REG_STOCK[[#This Row],[CODIGO]],PRODUCTOS[CODIGO],PRODUCTOS[CANT X MODULO],"",0)</f>
        <v>47.643749999999976</v>
      </c>
      <c r="L76" s="3">
        <f>+REG_STOCK[[#This Row],[CONSUMO]]/REG_STOCK[[#This Row],[CUBICACION PPTO.]]</f>
        <v>76.400367309458261</v>
      </c>
      <c r="M76" s="3">
        <f>+REG_STOCK[[#This Row],[STOCK FISICO]]/REG_STOCK[[#This Row],[CUBICACION PPTO.]]</f>
        <v>2.7285845467663665</v>
      </c>
      <c r="N76" s="3">
        <f>+REG_STOCK[[#This Row],[SOLICITADO A TF]]/REG_STOCK[[#This Row],[CUBICACION PPTO.]]</f>
        <v>79.128951856224617</v>
      </c>
      <c r="O76" s="3">
        <f>IF($V$2-REG_STOCK[[#This Row],[ALCANCE FISICO]]&gt;0,"",($V$2-REG_STOCK[[#This Row],[ALCANCE FISICO]]/REG_STOCK[[#This Row],[CUBICACION PPTO.]]))</f>
        <v>62.339153575102195</v>
      </c>
      <c r="P76" s="3">
        <f>+_xlfn.XLOOKUP(REG_STOCK[[#This Row],[CODIGO]],PRODUCTOS[CODIGO],PRODUCTOS[PRECIO COMPRA UNITARIO],"",0)</f>
        <v>9652.5142678608627</v>
      </c>
      <c r="Q76" s="3">
        <f>IFERROR(REG_STOCK[[#This Row],[VALOR UNITARIO]]*REG_STOCK[[#This Row],[PERDIDA O EN PROCESO]],"")</f>
        <v>601729.56933004339</v>
      </c>
      <c r="R76" s="3">
        <f>+REG_STOCK[[#This Row],[VALOR UNITARIO]]*REG_STOCK[[#This Row],[STOCK FISICO]]</f>
        <v>1254826.8548219122</v>
      </c>
    </row>
    <row r="77" spans="1:18" hidden="1" x14ac:dyDescent="0.25">
      <c r="A77" s="1">
        <v>46167</v>
      </c>
      <c r="B77">
        <v>302028</v>
      </c>
      <c r="C77" s="81" t="s">
        <v>515</v>
      </c>
      <c r="D77" s="81" t="s">
        <v>20</v>
      </c>
      <c r="E77">
        <v>8641</v>
      </c>
      <c r="F77">
        <v>0</v>
      </c>
      <c r="G77">
        <v>0</v>
      </c>
      <c r="H77" s="81" t="str">
        <f>+_xlfn.XLOOKUP(REG_STOCK[[#This Row],[CODIGO]],PRODUCTOS[CODIGO],PRODUCTOS[DESC CORTA],"",0)</f>
        <v>PINO 2X4X320</v>
      </c>
      <c r="I77" s="76">
        <f>SUMIFS(DETALLE_GD_1[CANTIDAD RECEPCIONADA],DETALLE_GD_1[CODIGO],REG_STOCK[[#This Row],[CODIGO]],DETALLE_GD_1[FECHA SOLICITUD],"&lt;="&amp;REG_STOCK[[#This Row],[FECHA STOCK ]])+97</f>
        <v>8978</v>
      </c>
      <c r="J77" s="81">
        <f>+REG_STOCK[[#This Row],[SOLICITADO A TF]]-REG_STOCK[[#This Row],[STOCK FISICO]]</f>
        <v>8978</v>
      </c>
      <c r="K77" s="40">
        <f>+_xlfn.XLOOKUP(REG_STOCK[[#This Row],[CODIGO]],PRODUCTOS[CODIGO],PRODUCTOS[CANT X MODULO],"",0)</f>
        <v>172.72499999999994</v>
      </c>
      <c r="L77" s="3">
        <f>+REG_STOCK[[#This Row],[CONSUMO]]/REG_STOCK[[#This Row],[CUBICACION PPTO.]]</f>
        <v>51.978578665508778</v>
      </c>
      <c r="M77" s="3">
        <f>+REG_STOCK[[#This Row],[STOCK FISICO]]/REG_STOCK[[#This Row],[CUBICACION PPTO.]]</f>
        <v>0</v>
      </c>
      <c r="N77" s="3">
        <f>+REG_STOCK[[#This Row],[SOLICITADO A TF]]/REG_STOCK[[#This Row],[CUBICACION PPTO.]]</f>
        <v>51.978578665508778</v>
      </c>
      <c r="O77" s="3" t="str">
        <f>IF($V$2-REG_STOCK[[#This Row],[ALCANCE FISICO]]&gt;0,"",($V$2-REG_STOCK[[#This Row],[ALCANCE FISICO]]/REG_STOCK[[#This Row],[CUBICACION PPTO.]]))</f>
        <v/>
      </c>
      <c r="P77" s="3">
        <f>+_xlfn.XLOOKUP(REG_STOCK[[#This Row],[CODIGO]],PRODUCTOS[CODIGO],PRODUCTOS[PRECIO COMPRA UNITARIO],"",0)</f>
        <v>4760.4046547265589</v>
      </c>
      <c r="Q77" s="3" t="str">
        <f>IFERROR(REG_STOCK[[#This Row],[VALOR UNITARIO]]*REG_STOCK[[#This Row],[PERDIDA O EN PROCESO]],"")</f>
        <v/>
      </c>
      <c r="R77" s="3">
        <f>+REG_STOCK[[#This Row],[VALOR UNITARIO]]*REG_STOCK[[#This Row],[STOCK FISICO]]</f>
        <v>0</v>
      </c>
    </row>
    <row r="78" spans="1:18" hidden="1" x14ac:dyDescent="0.25">
      <c r="A78" s="1">
        <v>46167</v>
      </c>
      <c r="B78">
        <v>304049</v>
      </c>
      <c r="C78" s="81" t="s">
        <v>318</v>
      </c>
      <c r="D78" s="81" t="s">
        <v>18</v>
      </c>
      <c r="E78">
        <v>1690</v>
      </c>
      <c r="F78">
        <v>0</v>
      </c>
      <c r="G78">
        <v>195</v>
      </c>
      <c r="H78" s="81" t="str">
        <f>+_xlfn.XLOOKUP(REG_STOCK[[#This Row],[CODIGO]],PRODUCTOS[CODIGO],PRODUCTOS[DESC CORTA],"",0)</f>
        <v>TERCIADO FENOLICO</v>
      </c>
      <c r="I78" s="76">
        <f>SUMIFS(DETALLE_GD_1[CANTIDAD RECEPCIONADA],DETALLE_GD_1[CODIGO],REG_STOCK[[#This Row],[CODIGO]],DETALLE_GD_1[FECHA SOLICITUD],"&lt;="&amp;REG_STOCK[[#This Row],[FECHA STOCK ]])+97</f>
        <v>1787</v>
      </c>
      <c r="J78" s="81">
        <f>+REG_STOCK[[#This Row],[SOLICITADO A TF]]-REG_STOCK[[#This Row],[STOCK FISICO]]</f>
        <v>1592</v>
      </c>
      <c r="K78" s="40">
        <f>+_xlfn.XLOOKUP(REG_STOCK[[#This Row],[CODIGO]],PRODUCTOS[CODIGO],PRODUCTOS[CANT X MODULO],"",0)</f>
        <v>23.273250000000008</v>
      </c>
      <c r="L78" s="3">
        <f>+REG_STOCK[[#This Row],[CONSUMO]]/REG_STOCK[[#This Row],[CUBICACION PPTO.]]</f>
        <v>68.404713566003863</v>
      </c>
      <c r="M78" s="3">
        <f>+REG_STOCK[[#This Row],[STOCK FISICO]]/REG_STOCK[[#This Row],[CUBICACION PPTO.]]</f>
        <v>8.3787180561374086</v>
      </c>
      <c r="N78" s="3">
        <f>+REG_STOCK[[#This Row],[SOLICITADO A TF]]/REG_STOCK[[#This Row],[CUBICACION PPTO.]]</f>
        <v>76.783431622141279</v>
      </c>
      <c r="O78" s="3">
        <f>IF($V$2-REG_STOCK[[#This Row],[ALCANCE FISICO]]&gt;0,"",($V$2-REG_STOCK[[#This Row],[ALCANCE FISICO]]/REG_STOCK[[#This Row],[CUBICACION PPTO.]]))</f>
        <v>60.700786025924991</v>
      </c>
      <c r="P78" s="3">
        <f>+_xlfn.XLOOKUP(REG_STOCK[[#This Row],[CODIGO]],PRODUCTOS[CODIGO],PRODUCTOS[PRECIO COMPRA UNITARIO],"",0)</f>
        <v>15018.620734341253</v>
      </c>
      <c r="Q78" s="3">
        <f>IFERROR(REG_STOCK[[#This Row],[VALOR UNITARIO]]*REG_STOCK[[#This Row],[PERDIDA O EN PROCESO]],"")</f>
        <v>911642.08359976893</v>
      </c>
      <c r="R78" s="3">
        <f>+REG_STOCK[[#This Row],[VALOR UNITARIO]]*REG_STOCK[[#This Row],[STOCK FISICO]]</f>
        <v>2928631.0431965445</v>
      </c>
    </row>
    <row r="79" spans="1:18" hidden="1" x14ac:dyDescent="0.25">
      <c r="A79" s="1">
        <v>46167</v>
      </c>
      <c r="B79">
        <v>701096</v>
      </c>
      <c r="C79" s="81" t="s">
        <v>204</v>
      </c>
      <c r="D79" s="81" t="s">
        <v>18</v>
      </c>
      <c r="E79">
        <v>1820</v>
      </c>
      <c r="F79">
        <v>0</v>
      </c>
      <c r="G79">
        <v>178</v>
      </c>
      <c r="H79" s="81" t="str">
        <f>+_xlfn.XLOOKUP(REG_STOCK[[#This Row],[CODIGO]],PRODUCTOS[CODIGO],PRODUCTOS[DESC CORTA],"",0)</f>
        <v>VOCANITA EMPAPELADA MURO</v>
      </c>
      <c r="I79" s="76">
        <f>SUMIFS(DETALLE_GD_1[CANTIDAD RECEPCIONADA],DETALLE_GD_1[CODIGO],REG_STOCK[[#This Row],[CODIGO]],DETALLE_GD_1[FECHA SOLICITUD],"&lt;="&amp;REG_STOCK[[#This Row],[FECHA STOCK ]])+97</f>
        <v>1917</v>
      </c>
      <c r="J79" s="81">
        <f>+REG_STOCK[[#This Row],[SOLICITADO A TF]]-REG_STOCK[[#This Row],[STOCK FISICO]]</f>
        <v>1739</v>
      </c>
      <c r="K79" s="40">
        <f>+_xlfn.XLOOKUP(REG_STOCK[[#This Row],[CODIGO]],PRODUCTOS[CODIGO],PRODUCTOS[CANT X MODULO],"",0)</f>
        <v>31.237499999999997</v>
      </c>
      <c r="L79" s="3">
        <f>+REG_STOCK[[#This Row],[CONSUMO]]/REG_STOCK[[#This Row],[CUBICACION PPTO.]]</f>
        <v>55.670268107242904</v>
      </c>
      <c r="M79" s="3">
        <f>+REG_STOCK[[#This Row],[STOCK FISICO]]/REG_STOCK[[#This Row],[CUBICACION PPTO.]]</f>
        <v>5.6982793117246908</v>
      </c>
      <c r="N79" s="3">
        <f>+REG_STOCK[[#This Row],[SOLICITADO A TF]]/REG_STOCK[[#This Row],[CUBICACION PPTO.]]</f>
        <v>61.368547418967594</v>
      </c>
      <c r="O79" s="3" t="str">
        <f>IF($V$2-REG_STOCK[[#This Row],[ALCANCE FISICO]]&gt;0,"",($V$2-REG_STOCK[[#This Row],[ALCANCE FISICO]]/REG_STOCK[[#This Row],[CUBICACION PPTO.]]))</f>
        <v/>
      </c>
      <c r="P79" s="3">
        <f>+_xlfn.XLOOKUP(REG_STOCK[[#This Row],[CODIGO]],PRODUCTOS[CODIGO],PRODUCTOS[PRECIO COMPRA UNITARIO],"",0)</f>
        <v>16226.792738275341</v>
      </c>
      <c r="Q79" s="3" t="str">
        <f>IFERROR(REG_STOCK[[#This Row],[VALOR UNITARIO]]*REG_STOCK[[#This Row],[PERDIDA O EN PROCESO]],"")</f>
        <v/>
      </c>
      <c r="R79" s="3">
        <f>+REG_STOCK[[#This Row],[VALOR UNITARIO]]*REG_STOCK[[#This Row],[STOCK FISICO]]</f>
        <v>2888369.1074130107</v>
      </c>
    </row>
    <row r="80" spans="1:18" hidden="1" x14ac:dyDescent="0.25">
      <c r="A80" s="1">
        <v>46167</v>
      </c>
      <c r="B80">
        <v>701040</v>
      </c>
      <c r="C80" s="81" t="s">
        <v>19</v>
      </c>
      <c r="D80" s="81" t="s">
        <v>18</v>
      </c>
      <c r="E80">
        <v>895</v>
      </c>
      <c r="F80">
        <v>0</v>
      </c>
      <c r="G80">
        <v>140</v>
      </c>
      <c r="H80" s="81" t="str">
        <f>+_xlfn.XLOOKUP(REG_STOCK[[#This Row],[CODIGO]],PRODUCTOS[CODIGO],PRODUCTOS[DESC CORTA],"",0)</f>
        <v>VOLCANITA RF</v>
      </c>
      <c r="I80" s="76">
        <f>SUMIFS(DETALLE_GD_1[CANTIDAD RECEPCIONADA],DETALLE_GD_1[CODIGO],REG_STOCK[[#This Row],[CODIGO]],DETALLE_GD_1[FECHA SOLICITUD],"&lt;="&amp;REG_STOCK[[#This Row],[FECHA STOCK ]])+97</f>
        <v>992</v>
      </c>
      <c r="J80" s="81">
        <f>+REG_STOCK[[#This Row],[SOLICITADO A TF]]-REG_STOCK[[#This Row],[STOCK FISICO]]</f>
        <v>852</v>
      </c>
      <c r="K80" s="40">
        <f>+_xlfn.XLOOKUP(REG_STOCK[[#This Row],[CODIGO]],PRODUCTOS[CODIGO],PRODUCTOS[CANT X MODULO],"",0)</f>
        <v>4.2840000000000007</v>
      </c>
      <c r="L80" s="3">
        <f>+REG_STOCK[[#This Row],[CONSUMO]]/REG_STOCK[[#This Row],[CUBICACION PPTO.]]</f>
        <v>198.87955182072827</v>
      </c>
      <c r="M80" s="3">
        <f>+REG_STOCK[[#This Row],[STOCK FISICO]]/REG_STOCK[[#This Row],[CUBICACION PPTO.]]</f>
        <v>32.679738562091501</v>
      </c>
      <c r="N80" s="3">
        <f>+REG_STOCK[[#This Row],[SOLICITADO A TF]]/REG_STOCK[[#This Row],[CUBICACION PPTO.]]</f>
        <v>231.55929038281977</v>
      </c>
      <c r="O80" s="3">
        <f>IF($V$2-REG_STOCK[[#This Row],[ALCANCE FISICO]]&gt;0,"",($V$2-REG_STOCK[[#This Row],[ALCANCE FISICO]]/REG_STOCK[[#This Row],[CUBICACION PPTO.]]))</f>
        <v>9.9478780619001554</v>
      </c>
      <c r="P80" s="3">
        <f>+_xlfn.XLOOKUP(REG_STOCK[[#This Row],[CODIGO]],PRODUCTOS[CODIGO],PRODUCTOS[PRECIO COMPRA UNITARIO],"",0)</f>
        <v>7583.0947867298582</v>
      </c>
      <c r="Q80" s="3">
        <f>IFERROR(REG_STOCK[[#This Row],[VALOR UNITARIO]]*REG_STOCK[[#This Row],[PERDIDA O EN PROCESO]],"")</f>
        <v>75435.702270219394</v>
      </c>
      <c r="R80" s="3">
        <f>+REG_STOCK[[#This Row],[VALOR UNITARIO]]*REG_STOCK[[#This Row],[STOCK FISICO]]</f>
        <v>1061633.2701421801</v>
      </c>
    </row>
    <row r="81" spans="1:18" hidden="1" x14ac:dyDescent="0.25">
      <c r="A81" s="1">
        <v>46167</v>
      </c>
      <c r="B81">
        <v>1902003</v>
      </c>
      <c r="C81" s="81" t="s">
        <v>155</v>
      </c>
      <c r="D81" s="81" t="s">
        <v>47</v>
      </c>
      <c r="E81">
        <v>64</v>
      </c>
      <c r="F81">
        <v>0</v>
      </c>
      <c r="G81">
        <v>31</v>
      </c>
      <c r="H81" s="81">
        <f>+_xlfn.XLOOKUP(REG_STOCK[[#This Row],[CODIGO]],PRODUCTOS[CODIGO],PRODUCTOS[DESC CORTA],"",0)</f>
        <v>0</v>
      </c>
      <c r="I81" s="76">
        <f>SUMIFS(DETALLE_GD_1[CANTIDAD RECEPCIONADA],DETALLE_GD_1[CODIGO],REG_STOCK[[#This Row],[CODIGO]],DETALLE_GD_1[FECHA SOLICITUD],"&lt;="&amp;REG_STOCK[[#This Row],[FECHA STOCK ]])+97</f>
        <v>171</v>
      </c>
      <c r="J81" s="81">
        <f>+REG_STOCK[[#This Row],[SOLICITADO A TF]]-REG_STOCK[[#This Row],[STOCK FISICO]]</f>
        <v>140</v>
      </c>
      <c r="K81" s="40">
        <f>+_xlfn.XLOOKUP(REG_STOCK[[#This Row],[CODIGO]],PRODUCTOS[CODIGO],PRODUCTOS[CANT X MODULO],"",0)</f>
        <v>0.41466600000000009</v>
      </c>
      <c r="L81" s="3">
        <f>+REG_STOCK[[#This Row],[CONSUMO]]/REG_STOCK[[#This Row],[CUBICACION PPTO.]]</f>
        <v>337.62112157736578</v>
      </c>
      <c r="M81" s="3">
        <f>+REG_STOCK[[#This Row],[STOCK FISICO]]/REG_STOCK[[#This Row],[CUBICACION PPTO.]]</f>
        <v>74.758962634988137</v>
      </c>
      <c r="N81" s="3">
        <f>+REG_STOCK[[#This Row],[SOLICITADO A TF]]/REG_STOCK[[#This Row],[CUBICACION PPTO.]]</f>
        <v>412.38008421235395</v>
      </c>
      <c r="O81" s="3">
        <f>IF($V$2-REG_STOCK[[#This Row],[ALCANCE FISICO]]&gt;0,"",($V$2-REG_STOCK[[#This Row],[ALCANCE FISICO]]/REG_STOCK[[#This Row],[CUBICACION PPTO.]]))</f>
        <v>-930.48733248531073</v>
      </c>
      <c r="P81" s="3">
        <f>+_xlfn.XLOOKUP(REG_STOCK[[#This Row],[CODIGO]],PRODUCTOS[CODIGO],PRODUCTOS[PRECIO COMPRA UNITARIO],"",0)</f>
        <v>150732.2183908046</v>
      </c>
      <c r="Q81" s="3">
        <f>IFERROR(REG_STOCK[[#This Row],[VALOR UNITARIO]]*REG_STOCK[[#This Row],[PERDIDA O EN PROCESO]],"")</f>
        <v>-140254419.81005308</v>
      </c>
      <c r="R81" s="3">
        <f>+REG_STOCK[[#This Row],[VALOR UNITARIO]]*REG_STOCK[[#This Row],[STOCK FISICO]]</f>
        <v>4672698.7701149425</v>
      </c>
    </row>
    <row r="82" spans="1:18" hidden="1" x14ac:dyDescent="0.25">
      <c r="A82" s="1">
        <v>46167</v>
      </c>
      <c r="B82" t="s">
        <v>21</v>
      </c>
      <c r="C82" s="81" t="s">
        <v>788</v>
      </c>
      <c r="D82" s="81" t="s">
        <v>20</v>
      </c>
      <c r="E82">
        <v>488</v>
      </c>
      <c r="F82">
        <v>8.1375000000000003E-2</v>
      </c>
      <c r="G82">
        <v>45</v>
      </c>
      <c r="H82" s="81" t="str">
        <f>+_xlfn.XLOOKUP(REG_STOCK[[#This Row],[CODIGO]],PRODUCTOS[CODIGO],PRODUCTOS[DESC CORTA],"",0)</f>
        <v>PINO 3X8X320</v>
      </c>
      <c r="I82" s="76">
        <f>SUMIFS(DETALLE_GD_1[CANTIDAD RECEPCIONADA],DETALLE_GD_1[CODIGO],REG_STOCK[[#This Row],[CODIGO]],DETALLE_GD_1[FECHA SOLICITUD],"&lt;="&amp;REG_STOCK[[#This Row],[FECHA STOCK ]])+97</f>
        <v>705</v>
      </c>
      <c r="J82" s="81">
        <f>+REG_STOCK[[#This Row],[SOLICITADO A TF]]-REG_STOCK[[#This Row],[STOCK FISICO]]</f>
        <v>660</v>
      </c>
      <c r="K82" s="40">
        <f>+_xlfn.XLOOKUP(REG_STOCK[[#This Row],[CODIGO]],PRODUCTOS[CODIGO],PRODUCTOS[CANT X MODULO],"",0)</f>
        <v>6.3000000000000007</v>
      </c>
      <c r="L82" s="3">
        <f>+REG_STOCK[[#This Row],[CONSUMO]]/REG_STOCK[[#This Row],[CUBICACION PPTO.]]</f>
        <v>104.76190476190474</v>
      </c>
      <c r="M82" s="3">
        <f>+REG_STOCK[[#This Row],[STOCK FISICO]]/REG_STOCK[[#This Row],[CUBICACION PPTO.]]</f>
        <v>7.1428571428571423</v>
      </c>
      <c r="N82" s="3">
        <f>+REG_STOCK[[#This Row],[SOLICITADO A TF]]/REG_STOCK[[#This Row],[CUBICACION PPTO.]]</f>
        <v>111.9047619047619</v>
      </c>
      <c r="O82" s="3">
        <f>IF($V$2-REG_STOCK[[#This Row],[ALCANCE FISICO]]&gt;0,"",($V$2-REG_STOCK[[#This Row],[ALCANCE FISICO]]/REG_STOCK[[#This Row],[CUBICACION PPTO.]]))</f>
        <v>46.237339380196531</v>
      </c>
      <c r="P82" s="3">
        <f>+_xlfn.XLOOKUP(REG_STOCK[[#This Row],[CODIGO]],PRODUCTOS[CODIGO],PRODUCTOS[PRECIO COMPRA UNITARIO],"",0)</f>
        <v>15451.816831683169</v>
      </c>
      <c r="Q82" s="3">
        <f>IFERROR(REG_STOCK[[#This Row],[VALOR UNITARIO]]*REG_STOCK[[#This Row],[PERDIDA O EN PROCESO]],"")</f>
        <v>714450.8988871678</v>
      </c>
      <c r="R82" s="3">
        <f>+REG_STOCK[[#This Row],[VALOR UNITARIO]]*REG_STOCK[[#This Row],[STOCK FISICO]]</f>
        <v>695331.75742574257</v>
      </c>
    </row>
    <row r="83" spans="1:18" hidden="1" x14ac:dyDescent="0.25">
      <c r="A83" s="1">
        <v>46167</v>
      </c>
      <c r="B83">
        <v>701084</v>
      </c>
      <c r="C83" s="81" t="s">
        <v>38</v>
      </c>
      <c r="D83" s="81" t="s">
        <v>18</v>
      </c>
      <c r="E83">
        <v>72</v>
      </c>
      <c r="F83">
        <v>0</v>
      </c>
      <c r="G83">
        <v>40</v>
      </c>
      <c r="H83" s="81" t="str">
        <f>+_xlfn.XLOOKUP(REG_STOCK[[#This Row],[CODIGO]],PRODUCTOS[CODIGO],PRODUCTOS[DESC CORTA],"",0)</f>
        <v>FIBROCEMENTO BALCON</v>
      </c>
      <c r="I83" s="76">
        <f>SUMIFS(DETALLE_GD_1[CANTIDAD RECEPCIONADA],DETALLE_GD_1[CODIGO],REG_STOCK[[#This Row],[CODIGO]],DETALLE_GD_1[FECHA SOLICITUD],"&lt;="&amp;REG_STOCK[[#This Row],[FECHA STOCK ]])+97</f>
        <v>169</v>
      </c>
      <c r="J83" s="81">
        <f>+REG_STOCK[[#This Row],[SOLICITADO A TF]]-REG_STOCK[[#This Row],[STOCK FISICO]]</f>
        <v>129</v>
      </c>
      <c r="K83" s="40">
        <f>+_xlfn.XLOOKUP(REG_STOCK[[#This Row],[CODIGO]],PRODUCTOS[CODIGO],PRODUCTOS[CANT X MODULO],"",0)</f>
        <v>0.69825000000000004</v>
      </c>
      <c r="L83" s="3">
        <f>+REG_STOCK[[#This Row],[CONSUMO]]/REG_STOCK[[#This Row],[CUBICACION PPTO.]]</f>
        <v>184.74758324382384</v>
      </c>
      <c r="M83" s="3">
        <f>+REG_STOCK[[#This Row],[STOCK FISICO]]/REG_STOCK[[#This Row],[CUBICACION PPTO.]]</f>
        <v>57.286072323666303</v>
      </c>
      <c r="N83" s="3">
        <f>+REG_STOCK[[#This Row],[SOLICITADO A TF]]/REG_STOCK[[#This Row],[CUBICACION PPTO.]]</f>
        <v>242.03365556749014</v>
      </c>
      <c r="O83" s="3">
        <f>IF($V$2-REG_STOCK[[#This Row],[ALCANCE FISICO]]&gt;0,"",($V$2-REG_STOCK[[#This Row],[ALCANCE FISICO]]/REG_STOCK[[#This Row],[CUBICACION PPTO.]]))</f>
        <v>-282.62893744001451</v>
      </c>
      <c r="P83" s="3">
        <f>+_xlfn.XLOOKUP(REG_STOCK[[#This Row],[CODIGO]],PRODUCTOS[CODIGO],PRODUCTOS[PRECIO COMPRA UNITARIO],"",0)</f>
        <v>39170.619565217392</v>
      </c>
      <c r="Q83" s="3">
        <f>IFERROR(REG_STOCK[[#This Row],[VALOR UNITARIO]]*REG_STOCK[[#This Row],[PERDIDA O EN PROCESO]],"")</f>
        <v>-11070750.586584434</v>
      </c>
      <c r="R83" s="3">
        <f>+REG_STOCK[[#This Row],[VALOR UNITARIO]]*REG_STOCK[[#This Row],[STOCK FISICO]]</f>
        <v>1566824.7826086958</v>
      </c>
    </row>
    <row r="84" spans="1:18" hidden="1" x14ac:dyDescent="0.25">
      <c r="A84" s="1">
        <v>46167</v>
      </c>
      <c r="B84">
        <v>5309018</v>
      </c>
      <c r="C84" s="81" t="s">
        <v>112</v>
      </c>
      <c r="D84" s="81" t="s">
        <v>26</v>
      </c>
      <c r="E84">
        <v>2600</v>
      </c>
      <c r="F84">
        <v>0</v>
      </c>
      <c r="G84">
        <v>4</v>
      </c>
      <c r="H84" s="81">
        <f>+_xlfn.XLOOKUP(REG_STOCK[[#This Row],[CODIGO]],PRODUCTOS[CODIGO],PRODUCTOS[DESC CORTA],"",0)</f>
        <v>0</v>
      </c>
      <c r="I84" s="76">
        <f>SUMIFS(DETALLE_GD_1[CANTIDAD RECEPCIONADA],DETALLE_GD_1[CODIGO],REG_STOCK[[#This Row],[CODIGO]],DETALLE_GD_1[FECHA SOLICITUD],"&lt;="&amp;REG_STOCK[[#This Row],[FECHA STOCK ]])+97</f>
        <v>2697</v>
      </c>
      <c r="J84" s="81">
        <f>+REG_STOCK[[#This Row],[SOLICITADO A TF]]-REG_STOCK[[#This Row],[STOCK FISICO]]</f>
        <v>2693</v>
      </c>
      <c r="K84" s="40">
        <f>+_xlfn.XLOOKUP(REG_STOCK[[#This Row],[CODIGO]],PRODUCTOS[CODIGO],PRODUCTOS[CANT X MODULO],"",0)</f>
        <v>34.649999999999991</v>
      </c>
      <c r="L84" s="3">
        <f>+REG_STOCK[[#This Row],[CONSUMO]]/REG_STOCK[[#This Row],[CUBICACION PPTO.]]</f>
        <v>77.720057720057738</v>
      </c>
      <c r="M84" s="3">
        <f>+REG_STOCK[[#This Row],[STOCK FISICO]]/REG_STOCK[[#This Row],[CUBICACION PPTO.]]</f>
        <v>0.11544011544011547</v>
      </c>
      <c r="N84" s="3">
        <f>+REG_STOCK[[#This Row],[SOLICITADO A TF]]/REG_STOCK[[#This Row],[CUBICACION PPTO.]]</f>
        <v>77.835497835497861</v>
      </c>
      <c r="O84" s="3">
        <f>IF($V$2-REG_STOCK[[#This Row],[ALCANCE FISICO]]&gt;0,"",($V$2-REG_STOCK[[#This Row],[ALCANCE FISICO]]/REG_STOCK[[#This Row],[CUBICACION PPTO.]]))</f>
        <v>61.753665286132815</v>
      </c>
      <c r="P84" s="3">
        <f>+_xlfn.XLOOKUP(REG_STOCK[[#This Row],[CODIGO]],PRODUCTOS[CODIGO],PRODUCTOS[PRECIO COMPRA UNITARIO],"",0)</f>
        <v>706.42250000000001</v>
      </c>
      <c r="Q84" s="3">
        <f>IFERROR(REG_STOCK[[#This Row],[VALOR UNITARIO]]*REG_STOCK[[#This Row],[PERDIDA O EN PROCESO]],"")</f>
        <v>43624.178615593162</v>
      </c>
      <c r="R84" s="3">
        <f>+REG_STOCK[[#This Row],[VALOR UNITARIO]]*REG_STOCK[[#This Row],[STOCK FISICO]]</f>
        <v>2825.69</v>
      </c>
    </row>
    <row r="85" spans="1:18" hidden="1" x14ac:dyDescent="0.25">
      <c r="A85" s="1">
        <v>46167</v>
      </c>
      <c r="B85">
        <v>1902014</v>
      </c>
      <c r="C85" s="81" t="s">
        <v>316</v>
      </c>
      <c r="D85" s="81" t="s">
        <v>18</v>
      </c>
      <c r="E85">
        <v>360</v>
      </c>
      <c r="F85">
        <v>0</v>
      </c>
      <c r="G85">
        <v>12</v>
      </c>
      <c r="H85" s="81" t="str">
        <f>+_xlfn.XLOOKUP(REG_STOCK[[#This Row],[CODIGO]],PRODUCTOS[CODIGO],PRODUCTOS[DESC CORTA],"",0)</f>
        <v>VOLCOGLASS</v>
      </c>
      <c r="I85" s="76">
        <f>SUMIFS(DETALLE_GD_1[CANTIDAD RECEPCIONADA],DETALLE_GD_1[CODIGO],REG_STOCK[[#This Row],[CODIGO]],DETALLE_GD_1[FECHA SOLICITUD],"&lt;="&amp;REG_STOCK[[#This Row],[FECHA STOCK ]])+97</f>
        <v>457</v>
      </c>
      <c r="J85" s="81">
        <f>+REG_STOCK[[#This Row],[SOLICITADO A TF]]-REG_STOCK[[#This Row],[STOCK FISICO]]</f>
        <v>445</v>
      </c>
      <c r="K85" s="40">
        <f>+_xlfn.XLOOKUP(REG_STOCK[[#This Row],[CODIGO]],PRODUCTOS[CODIGO],PRODUCTOS[CANT X MODULO],"",0)</f>
        <v>5.5125000000000002</v>
      </c>
      <c r="L85" s="3">
        <f>+REG_STOCK[[#This Row],[CONSUMO]]/REG_STOCK[[#This Row],[CUBICACION PPTO.]]</f>
        <v>80.725623582766431</v>
      </c>
      <c r="M85" s="3">
        <f>+REG_STOCK[[#This Row],[STOCK FISICO]]/REG_STOCK[[#This Row],[CUBICACION PPTO.]]</f>
        <v>2.1768707482993195</v>
      </c>
      <c r="N85" s="3">
        <f>+REG_STOCK[[#This Row],[SOLICITADO A TF]]/REG_STOCK[[#This Row],[CUBICACION PPTO.]]</f>
        <v>82.902494331065753</v>
      </c>
      <c r="O85" s="3">
        <f>IF($V$2-REG_STOCK[[#This Row],[ALCANCE FISICO]]&gt;0,"",($V$2-REG_STOCK[[#This Row],[ALCANCE FISICO]]/REG_STOCK[[#This Row],[CUBICACION PPTO.]]))</f>
        <v>48.960998760804401</v>
      </c>
      <c r="P85" s="3">
        <f>+_xlfn.XLOOKUP(REG_STOCK[[#This Row],[CODIGO]],PRODUCTOS[CODIGO],PRODUCTOS[PRECIO COMPRA UNITARIO],"",0)</f>
        <v>29799.757692307692</v>
      </c>
      <c r="Q85" s="3">
        <f>IFERROR(REG_STOCK[[#This Row],[VALOR UNITARIO]]*REG_STOCK[[#This Row],[PERDIDA O EN PROCESO]],"")</f>
        <v>1459025.8994453484</v>
      </c>
      <c r="R85" s="3">
        <f>+REG_STOCK[[#This Row],[VALOR UNITARIO]]*REG_STOCK[[#This Row],[STOCK FISICO]]</f>
        <v>357597.09230769228</v>
      </c>
    </row>
    <row r="86" spans="1:18" hidden="1" x14ac:dyDescent="0.25">
      <c r="A86" s="1">
        <v>46174</v>
      </c>
      <c r="B86">
        <v>304007</v>
      </c>
      <c r="C86" s="81" t="s">
        <v>80</v>
      </c>
      <c r="D86" s="81" t="s">
        <v>18</v>
      </c>
      <c r="E86">
        <v>972</v>
      </c>
      <c r="F86">
        <v>0</v>
      </c>
      <c r="G86">
        <v>76</v>
      </c>
      <c r="H86" s="81" t="str">
        <f>+_xlfn.XLOOKUP(REG_STOCK[[#This Row],[CODIGO]],PRODUCTOS[CODIGO],PRODUCTOS[DESC CORTA],"",0)</f>
        <v>OSB 11MM</v>
      </c>
      <c r="I86" s="76">
        <f>SUMIFS(DETALLE_GD_1[CANTIDAD RECEPCIONADA],DETALLE_GD_1[CODIGO],REG_STOCK[[#This Row],[CODIGO]],DETALLE_GD_1[FECHA SOLICITUD],"&lt;="&amp;REG_STOCK[[#This Row],[FECHA STOCK ]])+97</f>
        <v>1097</v>
      </c>
      <c r="J86" s="81">
        <f>+REG_STOCK[[#This Row],[SOLICITADO A TF]]-REG_STOCK[[#This Row],[STOCK FISICO]]</f>
        <v>1021</v>
      </c>
      <c r="K86" s="40">
        <f>+_xlfn.XLOOKUP(REG_STOCK[[#This Row],[CODIGO]],PRODUCTOS[CODIGO],PRODUCTOS[CANT X MODULO],"",0)</f>
        <v>8.6625000000000014</v>
      </c>
      <c r="L86" s="3">
        <f>+REG_STOCK[[#This Row],[CONSUMO]]/REG_STOCK[[#This Row],[CUBICACION PPTO.]]</f>
        <v>117.86435786435784</v>
      </c>
      <c r="M86" s="3">
        <f>+REG_STOCK[[#This Row],[STOCK FISICO]]/REG_STOCK[[#This Row],[CUBICACION PPTO.]]</f>
        <v>8.7734487734487718</v>
      </c>
      <c r="N86" s="3">
        <f>+REG_STOCK[[#This Row],[SOLICITADO A TF]]/REG_STOCK[[#This Row],[CUBICACION PPTO.]]</f>
        <v>126.63780663780662</v>
      </c>
      <c r="O86" s="3">
        <f>IF($V$2-REG_STOCK[[#This Row],[ALCANCE FISICO]]&gt;0,"",($V$2-REG_STOCK[[#This Row],[ALCANCE FISICO]]/REG_STOCK[[#This Row],[CUBICACION PPTO.]]))</f>
        <v>49.380916982648586</v>
      </c>
      <c r="P86" s="3">
        <f>+_xlfn.XLOOKUP(REG_STOCK[[#This Row],[CODIGO]],PRODUCTOS[CODIGO],PRODUCTOS[PRECIO COMPRA UNITARIO],"",0)</f>
        <v>11557.16697761194</v>
      </c>
      <c r="Q86" s="3">
        <f>IFERROR(REG_STOCK[[#This Row],[VALOR UNITARIO]]*REG_STOCK[[#This Row],[PERDIDA O EN PROCESO]],"")</f>
        <v>570703.50307606289</v>
      </c>
      <c r="R86" s="3">
        <f>+REG_STOCK[[#This Row],[VALOR UNITARIO]]*REG_STOCK[[#This Row],[STOCK FISICO]]</f>
        <v>878344.69029850746</v>
      </c>
    </row>
    <row r="87" spans="1:18" hidden="1" x14ac:dyDescent="0.25">
      <c r="A87" s="1">
        <v>46174</v>
      </c>
      <c r="B87">
        <v>701043</v>
      </c>
      <c r="C87" s="81" t="s">
        <v>197</v>
      </c>
      <c r="D87" s="81" t="s">
        <v>699</v>
      </c>
      <c r="E87">
        <v>836</v>
      </c>
      <c r="F87">
        <v>0</v>
      </c>
      <c r="G87">
        <v>135</v>
      </c>
      <c r="H87" s="81" t="str">
        <f>+_xlfn.XLOOKUP(REG_STOCK[[#This Row],[CODIGO]],PRODUCTOS[CODIGO],PRODUCTOS[DESC CORTA],"",0)</f>
        <v>VOLCANITA EMPAPELADA CIELO</v>
      </c>
      <c r="I87" s="76">
        <f>SUMIFS(DETALLE_GD_1[CANTIDAD RECEPCIONADA],DETALLE_GD_1[CODIGO],REG_STOCK[[#This Row],[CODIGO]],DETALLE_GD_1[FECHA SOLICITUD],"&lt;="&amp;REG_STOCK[[#This Row],[FECHA STOCK ]])+97</f>
        <v>933</v>
      </c>
      <c r="J87" s="81">
        <f>+REG_STOCK[[#This Row],[SOLICITADO A TF]]-REG_STOCK[[#This Row],[STOCK FISICO]]</f>
        <v>798</v>
      </c>
      <c r="K87" s="40">
        <f>+_xlfn.XLOOKUP(REG_STOCK[[#This Row],[CODIGO]],PRODUCTOS[CODIGO],PRODUCTOS[CANT X MODULO],"",0)</f>
        <v>7.0875000000000012</v>
      </c>
      <c r="L87" s="3">
        <f>+REG_STOCK[[#This Row],[CONSUMO]]/REG_STOCK[[#This Row],[CUBICACION PPTO.]]</f>
        <v>112.59259259259257</v>
      </c>
      <c r="M87" s="3">
        <f>+REG_STOCK[[#This Row],[STOCK FISICO]]/REG_STOCK[[#This Row],[CUBICACION PPTO.]]</f>
        <v>19.047619047619044</v>
      </c>
      <c r="N87" s="3">
        <f>+REG_STOCK[[#This Row],[SOLICITADO A TF]]/REG_STOCK[[#This Row],[CUBICACION PPTO.]]</f>
        <v>131.64021164021162</v>
      </c>
      <c r="O87" s="3">
        <f>IF($V$2-REG_STOCK[[#This Row],[ALCANCE FISICO]]&gt;0,"",($V$2-REG_STOCK[[#This Row],[ALCANCE FISICO]]/REG_STOCK[[#This Row],[CUBICACION PPTO.]]))</f>
        <v>45.426425165402243</v>
      </c>
      <c r="P87" s="3">
        <f>+_xlfn.XLOOKUP(REG_STOCK[[#This Row],[CODIGO]],PRODUCTOS[CODIGO],PRODUCTOS[PRECIO COMPRA UNITARIO],"",0)</f>
        <v>22493.996861924687</v>
      </c>
      <c r="Q87" s="3">
        <f>IFERROR(REG_STOCK[[#This Row],[VALOR UNITARIO]]*REG_STOCK[[#This Row],[PERDIDA O EN PROCESO]],"")</f>
        <v>1021821.8651190146</v>
      </c>
      <c r="R87" s="3">
        <f>+REG_STOCK[[#This Row],[VALOR UNITARIO]]*REG_STOCK[[#This Row],[STOCK FISICO]]</f>
        <v>3036689.5763598327</v>
      </c>
    </row>
    <row r="88" spans="1:18" hidden="1" x14ac:dyDescent="0.25">
      <c r="A88" s="1">
        <v>46174</v>
      </c>
      <c r="B88">
        <v>302046</v>
      </c>
      <c r="C88" s="81" t="s">
        <v>519</v>
      </c>
      <c r="D88" s="81" t="s">
        <v>20</v>
      </c>
      <c r="E88">
        <v>3757</v>
      </c>
      <c r="F88">
        <v>0</v>
      </c>
      <c r="G88">
        <v>144</v>
      </c>
      <c r="H88" s="81" t="str">
        <f>+_xlfn.XLOOKUP(REG_STOCK[[#This Row],[CODIGO]],PRODUCTOS[CODIGO],PRODUCTOS[DESC CORTA],"",0)</f>
        <v>PINO 2X6X400</v>
      </c>
      <c r="I88" s="76">
        <f>SUMIFS(DETALLE_GD_1[CANTIDAD RECEPCIONADA],DETALLE_GD_1[CODIGO],REG_STOCK[[#This Row],[CODIGO]],DETALLE_GD_1[FECHA SOLICITUD],"&lt;="&amp;REG_STOCK[[#This Row],[FECHA STOCK ]])+97</f>
        <v>3854</v>
      </c>
      <c r="J88" s="81">
        <f>+REG_STOCK[[#This Row],[SOLICITADO A TF]]-REG_STOCK[[#This Row],[STOCK FISICO]]</f>
        <v>3710</v>
      </c>
      <c r="K88" s="40">
        <f>+_xlfn.XLOOKUP(REG_STOCK[[#This Row],[CODIGO]],PRODUCTOS[CODIGO],PRODUCTOS[CANT X MODULO],"",0)</f>
        <v>34.65</v>
      </c>
      <c r="L88" s="3">
        <f>+REG_STOCK[[#This Row],[CONSUMO]]/REG_STOCK[[#This Row],[CUBICACION PPTO.]]</f>
        <v>107.07070707070707</v>
      </c>
      <c r="M88" s="3">
        <f>+REG_STOCK[[#This Row],[STOCK FISICO]]/REG_STOCK[[#This Row],[CUBICACION PPTO.]]</f>
        <v>4.1558441558441563</v>
      </c>
      <c r="N88" s="3">
        <f>+REG_STOCK[[#This Row],[SOLICITADO A TF]]/REG_STOCK[[#This Row],[CUBICACION PPTO.]]</f>
        <v>111.22655122655124</v>
      </c>
      <c r="O88" s="3">
        <f>IF($V$2-REG_STOCK[[#This Row],[ALCANCE FISICO]]&gt;0,"",($V$2-REG_STOCK[[#This Row],[ALCANCE FISICO]]/REG_STOCK[[#This Row],[CUBICACION PPTO.]]))</f>
        <v>60.789998521600253</v>
      </c>
      <c r="P88" s="3">
        <f>+_xlfn.XLOOKUP(REG_STOCK[[#This Row],[CODIGO]],PRODUCTOS[CODIGO],PRODUCTOS[PRECIO COMPRA UNITARIO],"",0)</f>
        <v>10292.490437458782</v>
      </c>
      <c r="Q88" s="3">
        <f>IFERROR(REG_STOCK[[#This Row],[VALOR UNITARIO]]*REG_STOCK[[#This Row],[PERDIDA O EN PROCESO]],"")</f>
        <v>625680.4784767041</v>
      </c>
      <c r="R88" s="3">
        <f>+REG_STOCK[[#This Row],[VALOR UNITARIO]]*REG_STOCK[[#This Row],[STOCK FISICO]]</f>
        <v>1482118.6229940646</v>
      </c>
    </row>
    <row r="89" spans="1:18" hidden="1" x14ac:dyDescent="0.25">
      <c r="A89" s="1">
        <v>46174</v>
      </c>
      <c r="B89">
        <v>302010</v>
      </c>
      <c r="C89" s="81" t="s">
        <v>514</v>
      </c>
      <c r="D89" s="81" t="s">
        <v>20</v>
      </c>
      <c r="E89">
        <v>2856</v>
      </c>
      <c r="F89">
        <v>0</v>
      </c>
      <c r="G89">
        <v>420</v>
      </c>
      <c r="H89" s="81" t="str">
        <f>+_xlfn.XLOOKUP(REG_STOCK[[#This Row],[CODIGO]],PRODUCTOS[CODIGO],PRODUCTOS[DESC CORTA],"",0)</f>
        <v>PINO 2X6X320</v>
      </c>
      <c r="I89" s="76">
        <f>SUMIFS(DETALLE_GD_1[CANTIDAD RECEPCIONADA],DETALLE_GD_1[CODIGO],REG_STOCK[[#This Row],[CODIGO]],DETALLE_GD_1[FECHA SOLICITUD],"&lt;="&amp;REG_STOCK[[#This Row],[FECHA STOCK ]])+97</f>
        <v>2953</v>
      </c>
      <c r="J89" s="81">
        <f>+REG_STOCK[[#This Row],[SOLICITADO A TF]]-REG_STOCK[[#This Row],[STOCK FISICO]]</f>
        <v>2533</v>
      </c>
      <c r="K89" s="40">
        <f>+_xlfn.XLOOKUP(REG_STOCK[[#This Row],[CODIGO]],PRODUCTOS[CODIGO],PRODUCTOS[CANT X MODULO],"",0)</f>
        <v>34.912500000000023</v>
      </c>
      <c r="L89" s="3">
        <f>+REG_STOCK[[#This Row],[CONSUMO]]/REG_STOCK[[#This Row],[CUBICACION PPTO.]]</f>
        <v>72.552810597923326</v>
      </c>
      <c r="M89" s="3">
        <f>+REG_STOCK[[#This Row],[STOCK FISICO]]/REG_STOCK[[#This Row],[CUBICACION PPTO.]]</f>
        <v>12.030075187969917</v>
      </c>
      <c r="N89" s="3">
        <f>+REG_STOCK[[#This Row],[SOLICITADO A TF]]/REG_STOCK[[#This Row],[CUBICACION PPTO.]]</f>
        <v>84.582885785893254</v>
      </c>
      <c r="O89" s="3">
        <f>IF($V$2-REG_STOCK[[#This Row],[ALCANCE FISICO]]&gt;0,"",($V$2-REG_STOCK[[#This Row],[ALCANCE FISICO]]/REG_STOCK[[#This Row],[CUBICACION PPTO.]]))</f>
        <v>61.577289343762459</v>
      </c>
      <c r="P89" s="3">
        <f>+_xlfn.XLOOKUP(REG_STOCK[[#This Row],[CODIGO]],PRODUCTOS[CODIGO],PRODUCTOS[PRECIO COMPRA UNITARIO],"",0)</f>
        <v>5566.8590808416393</v>
      </c>
      <c r="Q89" s="3">
        <f>IFERROR(REG_STOCK[[#This Row],[VALOR UNITARIO]]*REG_STOCK[[#This Row],[PERDIDA O EN PROCESO]],"")</f>
        <v>342792.09235693718</v>
      </c>
      <c r="R89" s="3">
        <f>+REG_STOCK[[#This Row],[VALOR UNITARIO]]*REG_STOCK[[#This Row],[STOCK FISICO]]</f>
        <v>2338080.8139534886</v>
      </c>
    </row>
    <row r="90" spans="1:18" hidden="1" x14ac:dyDescent="0.25">
      <c r="A90" s="1">
        <v>46174</v>
      </c>
      <c r="B90">
        <v>1901008</v>
      </c>
      <c r="C90" s="81" t="s">
        <v>750</v>
      </c>
      <c r="D90" s="81" t="s">
        <v>26</v>
      </c>
      <c r="E90">
        <v>5721</v>
      </c>
      <c r="F90">
        <v>0</v>
      </c>
      <c r="G90">
        <v>50</v>
      </c>
      <c r="H90" s="81" t="str">
        <f>+_xlfn.XLOOKUP(REG_STOCK[[#This Row],[CODIGO]],PRODUCTOS[CODIGO],PRODUCTOS[DESC CORTA],"",0)</f>
        <v>AISLAN GLASS 90MM</v>
      </c>
      <c r="I90" s="76">
        <f>SUMIFS(DETALLE_GD_1[CANTIDAD RECEPCIONADA],DETALLE_GD_1[CODIGO],REG_STOCK[[#This Row],[CODIGO]],DETALLE_GD_1[FECHA SOLICITUD],"&lt;="&amp;REG_STOCK[[#This Row],[FECHA STOCK ]])+97</f>
        <v>6034</v>
      </c>
      <c r="J90" s="81">
        <f>+REG_STOCK[[#This Row],[SOLICITADO A TF]]-REG_STOCK[[#This Row],[STOCK FISICO]]</f>
        <v>5984</v>
      </c>
      <c r="K90" s="40">
        <f>+_xlfn.XLOOKUP(REG_STOCK[[#This Row],[CODIGO]],PRODUCTOS[CODIGO],PRODUCTOS[CANT X MODULO],"",0)</f>
        <v>62.430325650000007</v>
      </c>
      <c r="L90" s="3">
        <f>+REG_STOCK[[#This Row],[CONSUMO]]/REG_STOCK[[#This Row],[CUBICACION PPTO.]]</f>
        <v>95.850853534671558</v>
      </c>
      <c r="M90" s="3">
        <f>+REG_STOCK[[#This Row],[STOCK FISICO]]/REG_STOCK[[#This Row],[CUBICACION PPTO.]]</f>
        <v>0.80089282699424769</v>
      </c>
      <c r="N90" s="3">
        <f>+REG_STOCK[[#This Row],[SOLICITADO A TF]]/REG_STOCK[[#This Row],[CUBICACION PPTO.]]</f>
        <v>96.651746361665815</v>
      </c>
      <c r="O90" s="3">
        <f>IF($V$2-REG_STOCK[[#This Row],[ALCANCE FISICO]]&gt;0,"",($V$2-REG_STOCK[[#This Row],[ALCANCE FISICO]]/REG_STOCK[[#This Row],[CUBICACION PPTO.]]))</f>
        <v>62.451846192449487</v>
      </c>
      <c r="P90" s="3">
        <f>+_xlfn.XLOOKUP(REG_STOCK[[#This Row],[CODIGO]],PRODUCTOS[CODIGO],PRODUCTOS[PRECIO COMPRA UNITARIO],"",0)</f>
        <v>2059.785564685033</v>
      </c>
      <c r="Q90" s="3">
        <f>IFERROR(REG_STOCK[[#This Row],[VALOR UNITARIO]]*REG_STOCK[[#This Row],[PERDIDA O EN PROCESO]],"")</f>
        <v>128637.41127513739</v>
      </c>
      <c r="R90" s="3">
        <f>+REG_STOCK[[#This Row],[VALOR UNITARIO]]*REG_STOCK[[#This Row],[STOCK FISICO]]</f>
        <v>102989.27823425166</v>
      </c>
    </row>
    <row r="91" spans="1:18" hidden="1" x14ac:dyDescent="0.25">
      <c r="A91" s="1">
        <v>46174</v>
      </c>
      <c r="B91">
        <v>304002</v>
      </c>
      <c r="C91" s="81" t="s">
        <v>37</v>
      </c>
      <c r="D91" s="81" t="s">
        <v>18</v>
      </c>
      <c r="E91">
        <v>2111</v>
      </c>
      <c r="F91">
        <v>0</v>
      </c>
      <c r="G91">
        <v>201</v>
      </c>
      <c r="H91" s="81" t="str">
        <f>+_xlfn.XLOOKUP(REG_STOCK[[#This Row],[CODIGO]],PRODUCTOS[CODIGO],PRODUCTOS[DESC CORTA],"",0)</f>
        <v>SMARTPANEL</v>
      </c>
      <c r="I91" s="76">
        <f>SUMIFS(DETALLE_GD_1[CANTIDAD RECEPCIONADA],DETALLE_GD_1[CODIGO],REG_STOCK[[#This Row],[CODIGO]],DETALLE_GD_1[FECHA SOLICITUD],"&lt;="&amp;REG_STOCK[[#This Row],[FECHA STOCK ]])+97</f>
        <v>2232</v>
      </c>
      <c r="J91" s="81">
        <f>+REG_STOCK[[#This Row],[SOLICITADO A TF]]-REG_STOCK[[#This Row],[STOCK FISICO]]</f>
        <v>2031</v>
      </c>
      <c r="K91" s="40">
        <f>+_xlfn.XLOOKUP(REG_STOCK[[#This Row],[CODIGO]],PRODUCTOS[CODIGO],PRODUCTOS[CANT X MODULO],"",0)</f>
        <v>23.296874999999996</v>
      </c>
      <c r="L91" s="3">
        <f>+REG_STOCK[[#This Row],[CONSUMO]]/REG_STOCK[[#This Row],[CUBICACION PPTO.]]</f>
        <v>87.17907444668009</v>
      </c>
      <c r="M91" s="3">
        <f>+REG_STOCK[[#This Row],[STOCK FISICO]]/REG_STOCK[[#This Row],[CUBICACION PPTO.]]</f>
        <v>8.627766599597587</v>
      </c>
      <c r="N91" s="3">
        <f>+REG_STOCK[[#This Row],[SOLICITADO A TF]]/REG_STOCK[[#This Row],[CUBICACION PPTO.]]</f>
        <v>95.806841046277682</v>
      </c>
      <c r="O91" s="3">
        <f>IF($V$2-REG_STOCK[[#This Row],[ALCANCE FISICO]]&gt;0,"",($V$2-REG_STOCK[[#This Row],[ALCANCE FISICO]]/REG_STOCK[[#This Row],[CUBICACION PPTO.]]))</f>
        <v>59.8875668497909</v>
      </c>
      <c r="P91" s="3">
        <f>+_xlfn.XLOOKUP(REG_STOCK[[#This Row],[CODIGO]],PRODUCTOS[CODIGO],PRODUCTOS[PRECIO COMPRA UNITARIO],"",0)</f>
        <v>21579.067512460355</v>
      </c>
      <c r="Q91" s="3">
        <f>IFERROR(REG_STOCK[[#This Row],[VALOR UNITARIO]]*REG_STOCK[[#This Row],[PERDIDA O EN PROCESO]],"")</f>
        <v>1292317.8482086204</v>
      </c>
      <c r="R91" s="3">
        <f>+REG_STOCK[[#This Row],[VALOR UNITARIO]]*REG_STOCK[[#This Row],[STOCK FISICO]]</f>
        <v>4337392.5700045312</v>
      </c>
    </row>
    <row r="92" spans="1:18" hidden="1" x14ac:dyDescent="0.25">
      <c r="A92" s="1">
        <v>46174</v>
      </c>
      <c r="B92">
        <v>304101</v>
      </c>
      <c r="C92" s="81" t="s">
        <v>698</v>
      </c>
      <c r="D92" s="81" t="s">
        <v>18</v>
      </c>
      <c r="E92">
        <v>4261</v>
      </c>
      <c r="F92">
        <v>0</v>
      </c>
      <c r="G92">
        <v>232</v>
      </c>
      <c r="H92" s="81" t="str">
        <f>+_xlfn.XLOOKUP(REG_STOCK[[#This Row],[CODIGO]],PRODUCTOS[CODIGO],PRODUCTOS[DESC CORTA],"",0)</f>
        <v>OSB 9.5</v>
      </c>
      <c r="I92" s="76">
        <f>SUMIFS(DETALLE_GD_1[CANTIDAD RECEPCIONADA],DETALLE_GD_1[CODIGO],REG_STOCK[[#This Row],[CODIGO]],DETALLE_GD_1[FECHA SOLICITUD],"&lt;="&amp;REG_STOCK[[#This Row],[FECHA STOCK ]])+97</f>
        <v>4394</v>
      </c>
      <c r="J92" s="81">
        <f>+REG_STOCK[[#This Row],[SOLICITADO A TF]]-REG_STOCK[[#This Row],[STOCK FISICO]]</f>
        <v>4162</v>
      </c>
      <c r="K92" s="40">
        <f>+_xlfn.XLOOKUP(REG_STOCK[[#This Row],[CODIGO]],PRODUCTOS[CODIGO],PRODUCTOS[CANT X MODULO],"",0)</f>
        <v>47.643749999999976</v>
      </c>
      <c r="L92" s="3">
        <f>+REG_STOCK[[#This Row],[CONSUMO]]/REG_STOCK[[#This Row],[CUBICACION PPTO.]]</f>
        <v>87.356683720320135</v>
      </c>
      <c r="M92" s="3">
        <f>+REG_STOCK[[#This Row],[STOCK FISICO]]/REG_STOCK[[#This Row],[CUBICACION PPTO.]]</f>
        <v>4.8694739603830541</v>
      </c>
      <c r="N92" s="3">
        <f>+REG_STOCK[[#This Row],[SOLICITADO A TF]]/REG_STOCK[[#This Row],[CUBICACION PPTO.]]</f>
        <v>92.226157680703182</v>
      </c>
      <c r="O92" s="3">
        <f>IF($V$2-REG_STOCK[[#This Row],[ALCANCE FISICO]]&gt;0,"",($V$2-REG_STOCK[[#This Row],[ALCANCE FISICO]]/REG_STOCK[[#This Row],[CUBICACION PPTO.]]))</f>
        <v>62.064254856498422</v>
      </c>
      <c r="P92" s="3">
        <f>+_xlfn.XLOOKUP(REG_STOCK[[#This Row],[CODIGO]],PRODUCTOS[CODIGO],PRODUCTOS[PRECIO COMPRA UNITARIO],"",0)</f>
        <v>9652.5142678608627</v>
      </c>
      <c r="Q92" s="3">
        <f>IFERROR(REG_STOCK[[#This Row],[VALOR UNITARIO]]*REG_STOCK[[#This Row],[PERDIDA O EN PROCESO]],"")</f>
        <v>599076.10552650387</v>
      </c>
      <c r="R92" s="3">
        <f>+REG_STOCK[[#This Row],[VALOR UNITARIO]]*REG_STOCK[[#This Row],[STOCK FISICO]]</f>
        <v>2239383.3101437204</v>
      </c>
    </row>
    <row r="93" spans="1:18" hidden="1" x14ac:dyDescent="0.25">
      <c r="A93" s="1">
        <v>46174</v>
      </c>
      <c r="B93">
        <v>302028</v>
      </c>
      <c r="C93" s="81" t="s">
        <v>515</v>
      </c>
      <c r="D93" s="81" t="s">
        <v>20</v>
      </c>
      <c r="E93">
        <v>9601</v>
      </c>
      <c r="F93">
        <v>0</v>
      </c>
      <c r="G93">
        <v>583</v>
      </c>
      <c r="H93" s="81" t="str">
        <f>+_xlfn.XLOOKUP(REG_STOCK[[#This Row],[CODIGO]],PRODUCTOS[CODIGO],PRODUCTOS[DESC CORTA],"",0)</f>
        <v>PINO 2X4X320</v>
      </c>
      <c r="I93" s="76">
        <f>SUMIFS(DETALLE_GD_1[CANTIDAD RECEPCIONADA],DETALLE_GD_1[CODIGO],REG_STOCK[[#This Row],[CODIGO]],DETALLE_GD_1[FECHA SOLICITUD],"&lt;="&amp;REG_STOCK[[#This Row],[FECHA STOCK ]])+97</f>
        <v>9698</v>
      </c>
      <c r="J93" s="81">
        <f>+REG_STOCK[[#This Row],[SOLICITADO A TF]]-REG_STOCK[[#This Row],[STOCK FISICO]]</f>
        <v>9115</v>
      </c>
      <c r="K93" s="40">
        <f>+_xlfn.XLOOKUP(REG_STOCK[[#This Row],[CODIGO]],PRODUCTOS[CODIGO],PRODUCTOS[CANT X MODULO],"",0)</f>
        <v>172.72499999999994</v>
      </c>
      <c r="L93" s="3">
        <f>+REG_STOCK[[#This Row],[CONSUMO]]/REG_STOCK[[#This Row],[CUBICACION PPTO.]]</f>
        <v>52.771746996671027</v>
      </c>
      <c r="M93" s="3">
        <f>+REG_STOCK[[#This Row],[STOCK FISICO]]/REG_STOCK[[#This Row],[CUBICACION PPTO.]]</f>
        <v>3.3753075698364463</v>
      </c>
      <c r="N93" s="3">
        <f>+REG_STOCK[[#This Row],[SOLICITADO A TF]]/REG_STOCK[[#This Row],[CUBICACION PPTO.]]</f>
        <v>56.147054566507471</v>
      </c>
      <c r="O93" s="3" t="str">
        <f>IF($V$2-REG_STOCK[[#This Row],[ALCANCE FISICO]]&gt;0,"",($V$2-REG_STOCK[[#This Row],[ALCANCE FISICO]]/REG_STOCK[[#This Row],[CUBICACION PPTO.]]))</f>
        <v/>
      </c>
      <c r="P93" s="3">
        <f>+_xlfn.XLOOKUP(REG_STOCK[[#This Row],[CODIGO]],PRODUCTOS[CODIGO],PRODUCTOS[PRECIO COMPRA UNITARIO],"",0)</f>
        <v>4760.4046547265589</v>
      </c>
      <c r="Q93" s="3" t="str">
        <f>IFERROR(REG_STOCK[[#This Row],[VALOR UNITARIO]]*REG_STOCK[[#This Row],[PERDIDA O EN PROCESO]],"")</f>
        <v/>
      </c>
      <c r="R93" s="3">
        <f>+REG_STOCK[[#This Row],[VALOR UNITARIO]]*REG_STOCK[[#This Row],[STOCK FISICO]]</f>
        <v>2775315.9137055837</v>
      </c>
    </row>
    <row r="94" spans="1:18" hidden="1" x14ac:dyDescent="0.25">
      <c r="A94" s="1">
        <v>46174</v>
      </c>
      <c r="B94">
        <v>304049</v>
      </c>
      <c r="C94" s="81" t="s">
        <v>318</v>
      </c>
      <c r="D94" s="81" t="s">
        <v>18</v>
      </c>
      <c r="E94">
        <v>1885</v>
      </c>
      <c r="F94">
        <v>0</v>
      </c>
      <c r="G94">
        <v>134</v>
      </c>
      <c r="H94" s="81" t="str">
        <f>+_xlfn.XLOOKUP(REG_STOCK[[#This Row],[CODIGO]],PRODUCTOS[CODIGO],PRODUCTOS[DESC CORTA],"",0)</f>
        <v>TERCIADO FENOLICO</v>
      </c>
      <c r="I94" s="76">
        <f>SUMIFS(DETALLE_GD_1[CANTIDAD RECEPCIONADA],DETALLE_GD_1[CODIGO],REG_STOCK[[#This Row],[CODIGO]],DETALLE_GD_1[FECHA SOLICITUD],"&lt;="&amp;REG_STOCK[[#This Row],[FECHA STOCK ]])+97</f>
        <v>2152</v>
      </c>
      <c r="J94" s="81">
        <f>+REG_STOCK[[#This Row],[SOLICITADO A TF]]-REG_STOCK[[#This Row],[STOCK FISICO]]</f>
        <v>2018</v>
      </c>
      <c r="K94" s="40">
        <f>+_xlfn.XLOOKUP(REG_STOCK[[#This Row],[CODIGO]],PRODUCTOS[CODIGO],PRODUCTOS[CANT X MODULO],"",0)</f>
        <v>23.273250000000008</v>
      </c>
      <c r="L94" s="3">
        <f>+REG_STOCK[[#This Row],[CONSUMO]]/REG_STOCK[[#This Row],[CUBICACION PPTO.]]</f>
        <v>86.708989934796364</v>
      </c>
      <c r="M94" s="3">
        <f>+REG_STOCK[[#This Row],[STOCK FISICO]]/REG_STOCK[[#This Row],[CUBICACION PPTO.]]</f>
        <v>5.7576831770380137</v>
      </c>
      <c r="N94" s="3">
        <f>+REG_STOCK[[#This Row],[SOLICITADO A TF]]/REG_STOCK[[#This Row],[CUBICACION PPTO.]]</f>
        <v>92.466673111834368</v>
      </c>
      <c r="O94" s="3">
        <f>IF($V$2-REG_STOCK[[#This Row],[ALCANCE FISICO]]&gt;0,"",($V$2-REG_STOCK[[#This Row],[ALCANCE FISICO]]/REG_STOCK[[#This Row],[CUBICACION PPTO.]]))</f>
        <v>60.026911879009837</v>
      </c>
      <c r="P94" s="3">
        <f>+_xlfn.XLOOKUP(REG_STOCK[[#This Row],[CODIGO]],PRODUCTOS[CODIGO],PRODUCTOS[PRECIO COMPRA UNITARIO],"",0)</f>
        <v>15018.620734341253</v>
      </c>
      <c r="Q94" s="3">
        <f>IFERROR(REG_STOCK[[#This Row],[VALOR UNITARIO]]*REG_STOCK[[#This Row],[PERDIDA O EN PROCESO]],"")</f>
        <v>901521.42336457246</v>
      </c>
      <c r="R94" s="3">
        <f>+REG_STOCK[[#This Row],[VALOR UNITARIO]]*REG_STOCK[[#This Row],[STOCK FISICO]]</f>
        <v>2012495.1784017279</v>
      </c>
    </row>
    <row r="95" spans="1:18" hidden="1" x14ac:dyDescent="0.25">
      <c r="A95" s="1">
        <v>46174</v>
      </c>
      <c r="B95">
        <v>701096</v>
      </c>
      <c r="C95" s="81" t="s">
        <v>204</v>
      </c>
      <c r="D95" s="81" t="s">
        <v>18</v>
      </c>
      <c r="E95">
        <v>2100</v>
      </c>
      <c r="F95">
        <v>0</v>
      </c>
      <c r="G95">
        <v>218</v>
      </c>
      <c r="H95" s="81" t="str">
        <f>+_xlfn.XLOOKUP(REG_STOCK[[#This Row],[CODIGO]],PRODUCTOS[CODIGO],PRODUCTOS[DESC CORTA],"",0)</f>
        <v>VOCANITA EMPAPELADA MURO</v>
      </c>
      <c r="I95" s="76">
        <f>SUMIFS(DETALLE_GD_1[CANTIDAD RECEPCIONADA],DETALLE_GD_1[CODIGO],REG_STOCK[[#This Row],[CODIGO]],DETALLE_GD_1[FECHA SOLICITUD],"&lt;="&amp;REG_STOCK[[#This Row],[FECHA STOCK ]])+97</f>
        <v>2321</v>
      </c>
      <c r="J95" s="81">
        <f>+REG_STOCK[[#This Row],[SOLICITADO A TF]]-REG_STOCK[[#This Row],[STOCK FISICO]]</f>
        <v>2103</v>
      </c>
      <c r="K95" s="40">
        <f>+_xlfn.XLOOKUP(REG_STOCK[[#This Row],[CODIGO]],PRODUCTOS[CODIGO],PRODUCTOS[CANT X MODULO],"",0)</f>
        <v>31.237499999999997</v>
      </c>
      <c r="L95" s="3">
        <f>+REG_STOCK[[#This Row],[CONSUMO]]/REG_STOCK[[#This Row],[CUBICACION PPTO.]]</f>
        <v>67.322929171668676</v>
      </c>
      <c r="M95" s="3">
        <f>+REG_STOCK[[#This Row],[STOCK FISICO]]/REG_STOCK[[#This Row],[CUBICACION PPTO.]]</f>
        <v>6.978791516606643</v>
      </c>
      <c r="N95" s="3">
        <f>+REG_STOCK[[#This Row],[SOLICITADO A TF]]/REG_STOCK[[#This Row],[CUBICACION PPTO.]]</f>
        <v>74.30172068827531</v>
      </c>
      <c r="O95" s="3">
        <f>IF($V$2-REG_STOCK[[#This Row],[ALCANCE FISICO]]&gt;0,"",($V$2-REG_STOCK[[#This Row],[ALCANCE FISICO]]/REG_STOCK[[#This Row],[CUBICACION PPTO.]]))</f>
        <v>61.62139349537334</v>
      </c>
      <c r="P95" s="3">
        <f>+_xlfn.XLOOKUP(REG_STOCK[[#This Row],[CODIGO]],PRODUCTOS[CODIGO],PRODUCTOS[PRECIO COMPRA UNITARIO],"",0)</f>
        <v>16226.792738275341</v>
      </c>
      <c r="Q95" s="3">
        <f>IFERROR(REG_STOCK[[#This Row],[VALOR UNITARIO]]*REG_STOCK[[#This Row],[PERDIDA O EN PROCESO]],"")</f>
        <v>999917.58049313142</v>
      </c>
      <c r="R95" s="3">
        <f>+REG_STOCK[[#This Row],[VALOR UNITARIO]]*REG_STOCK[[#This Row],[STOCK FISICO]]</f>
        <v>3537440.8169440241</v>
      </c>
    </row>
    <row r="96" spans="1:18" hidden="1" x14ac:dyDescent="0.25">
      <c r="A96" s="1">
        <v>46174</v>
      </c>
      <c r="B96">
        <v>701040</v>
      </c>
      <c r="C96" s="81" t="s">
        <v>19</v>
      </c>
      <c r="D96" s="81" t="s">
        <v>18</v>
      </c>
      <c r="E96">
        <v>1055</v>
      </c>
      <c r="F96">
        <v>0</v>
      </c>
      <c r="G96">
        <v>227</v>
      </c>
      <c r="H96" s="81" t="str">
        <f>+_xlfn.XLOOKUP(REG_STOCK[[#This Row],[CODIGO]],PRODUCTOS[CODIGO],PRODUCTOS[DESC CORTA],"",0)</f>
        <v>VOLCANITA RF</v>
      </c>
      <c r="I96" s="76">
        <f>SUMIFS(DETALLE_GD_1[CANTIDAD RECEPCIONADA],DETALLE_GD_1[CODIGO],REG_STOCK[[#This Row],[CODIGO]],DETALLE_GD_1[FECHA SOLICITUD],"&lt;="&amp;REG_STOCK[[#This Row],[FECHA STOCK ]])+97</f>
        <v>1152</v>
      </c>
      <c r="J96" s="81">
        <f>+REG_STOCK[[#This Row],[SOLICITADO A TF]]-REG_STOCK[[#This Row],[STOCK FISICO]]</f>
        <v>925</v>
      </c>
      <c r="K96" s="40">
        <f>+_xlfn.XLOOKUP(REG_STOCK[[#This Row],[CODIGO]],PRODUCTOS[CODIGO],PRODUCTOS[CANT X MODULO],"",0)</f>
        <v>4.2840000000000007</v>
      </c>
      <c r="L96" s="3">
        <f>+REG_STOCK[[#This Row],[CONSUMO]]/REG_STOCK[[#This Row],[CUBICACION PPTO.]]</f>
        <v>215.91970121381883</v>
      </c>
      <c r="M96" s="3">
        <f>+REG_STOCK[[#This Row],[STOCK FISICO]]/REG_STOCK[[#This Row],[CUBICACION PPTO.]]</f>
        <v>52.987861811391213</v>
      </c>
      <c r="N96" s="3">
        <f>+REG_STOCK[[#This Row],[SOLICITADO A TF]]/REG_STOCK[[#This Row],[CUBICACION PPTO.]]</f>
        <v>268.90756302521004</v>
      </c>
      <c r="O96" s="3">
        <f>IF($V$2-REG_STOCK[[#This Row],[ALCANCE FISICO]]&gt;0,"",($V$2-REG_STOCK[[#This Row],[ALCANCE FISICO]]/REG_STOCK[[#This Row],[CUBICACION PPTO.]]))</f>
        <v>1.2297938783356699</v>
      </c>
      <c r="P96" s="3">
        <f>+_xlfn.XLOOKUP(REG_STOCK[[#This Row],[CODIGO]],PRODUCTOS[CODIGO],PRODUCTOS[PRECIO COMPRA UNITARIO],"",0)</f>
        <v>7583.0947867298582</v>
      </c>
      <c r="Q96" s="3">
        <f>IFERROR(REG_STOCK[[#This Row],[VALOR UNITARIO]]*REG_STOCK[[#This Row],[PERDIDA O EN PROCESO]],"")</f>
        <v>9325.6435475595117</v>
      </c>
      <c r="R96" s="3">
        <f>+REG_STOCK[[#This Row],[VALOR UNITARIO]]*REG_STOCK[[#This Row],[STOCK FISICO]]</f>
        <v>1721362.5165876779</v>
      </c>
    </row>
    <row r="97" spans="1:18" hidden="1" x14ac:dyDescent="0.25">
      <c r="A97" s="1">
        <v>46174</v>
      </c>
      <c r="B97">
        <v>1902003</v>
      </c>
      <c r="C97" s="81" t="s">
        <v>155</v>
      </c>
      <c r="D97" s="81" t="s">
        <v>47</v>
      </c>
      <c r="E97">
        <v>79</v>
      </c>
      <c r="F97">
        <v>0</v>
      </c>
      <c r="G97">
        <v>7</v>
      </c>
      <c r="H97" s="81">
        <f>+_xlfn.XLOOKUP(REG_STOCK[[#This Row],[CODIGO]],PRODUCTOS[CODIGO],PRODUCTOS[DESC CORTA],"",0)</f>
        <v>0</v>
      </c>
      <c r="I97" s="76">
        <f>SUMIFS(DETALLE_GD_1[CANTIDAD RECEPCIONADA],DETALLE_GD_1[CODIGO],REG_STOCK[[#This Row],[CODIGO]],DETALLE_GD_1[FECHA SOLICITUD],"&lt;="&amp;REG_STOCK[[#This Row],[FECHA STOCK ]])+97</f>
        <v>177</v>
      </c>
      <c r="J97" s="81">
        <f>+REG_STOCK[[#This Row],[SOLICITADO A TF]]-REG_STOCK[[#This Row],[STOCK FISICO]]</f>
        <v>170</v>
      </c>
      <c r="K97" s="40">
        <f>+_xlfn.XLOOKUP(REG_STOCK[[#This Row],[CODIGO]],PRODUCTOS[CODIGO],PRODUCTOS[CANT X MODULO],"",0)</f>
        <v>0.41466600000000009</v>
      </c>
      <c r="L97" s="3">
        <f>+REG_STOCK[[#This Row],[CONSUMO]]/REG_STOCK[[#This Row],[CUBICACION PPTO.]]</f>
        <v>409.96850477251564</v>
      </c>
      <c r="M97" s="3">
        <f>+REG_STOCK[[#This Row],[STOCK FISICO]]/REG_STOCK[[#This Row],[CUBICACION PPTO.]]</f>
        <v>16.881056078868291</v>
      </c>
      <c r="N97" s="3">
        <f>+REG_STOCK[[#This Row],[SOLICITADO A TF]]/REG_STOCK[[#This Row],[CUBICACION PPTO.]]</f>
        <v>426.8495608513839</v>
      </c>
      <c r="O97" s="3">
        <f>IF($V$2-REG_STOCK[[#This Row],[ALCANCE FISICO]]&gt;0,"",($V$2-REG_STOCK[[#This Row],[ALCANCE FISICO]]/REG_STOCK[[#This Row],[CUBICACION PPTO.]]))</f>
        <v>-965.38162485321641</v>
      </c>
      <c r="P97" s="3">
        <f>+_xlfn.XLOOKUP(REG_STOCK[[#This Row],[CODIGO]],PRODUCTOS[CODIGO],PRODUCTOS[PRECIO COMPRA UNITARIO],"",0)</f>
        <v>150732.2183908046</v>
      </c>
      <c r="Q97" s="3">
        <f>IFERROR(REG_STOCK[[#This Row],[VALOR UNITARIO]]*REG_STOCK[[#This Row],[PERDIDA O EN PROCESO]],"")</f>
        <v>-145514113.90784481</v>
      </c>
      <c r="R97" s="3">
        <f>+REG_STOCK[[#This Row],[VALOR UNITARIO]]*REG_STOCK[[#This Row],[STOCK FISICO]]</f>
        <v>1055125.5287356321</v>
      </c>
    </row>
    <row r="98" spans="1:18" hidden="1" x14ac:dyDescent="0.25">
      <c r="A98" s="1">
        <v>46174</v>
      </c>
      <c r="B98" t="s">
        <v>21</v>
      </c>
      <c r="C98" s="81" t="s">
        <v>788</v>
      </c>
      <c r="D98" s="81" t="s">
        <v>20</v>
      </c>
      <c r="E98">
        <v>528</v>
      </c>
      <c r="F98">
        <v>4.2840000000000007</v>
      </c>
      <c r="G98">
        <v>28</v>
      </c>
      <c r="H98" s="81" t="str">
        <f>+_xlfn.XLOOKUP(REG_STOCK[[#This Row],[CODIGO]],PRODUCTOS[CODIGO],PRODUCTOS[DESC CORTA],"",0)</f>
        <v>PINO 3X8X320</v>
      </c>
      <c r="I98" s="76">
        <f>SUMIFS(DETALLE_GD_1[CANTIDAD RECEPCIONADA],DETALLE_GD_1[CODIGO],REG_STOCK[[#This Row],[CODIGO]],DETALLE_GD_1[FECHA SOLICITUD],"&lt;="&amp;REG_STOCK[[#This Row],[FECHA STOCK ]])+97</f>
        <v>745</v>
      </c>
      <c r="J98" s="81">
        <f>+REG_STOCK[[#This Row],[SOLICITADO A TF]]-REG_STOCK[[#This Row],[STOCK FISICO]]</f>
        <v>717</v>
      </c>
      <c r="K98" s="40">
        <f>+_xlfn.XLOOKUP(REG_STOCK[[#This Row],[CODIGO]],PRODUCTOS[CODIGO],PRODUCTOS[CANT X MODULO],"",0)</f>
        <v>6.3000000000000007</v>
      </c>
      <c r="L98" s="3">
        <f>+REG_STOCK[[#This Row],[CONSUMO]]/REG_STOCK[[#This Row],[CUBICACION PPTO.]]</f>
        <v>113.8095238095238</v>
      </c>
      <c r="M98" s="3">
        <f>+REG_STOCK[[#This Row],[STOCK FISICO]]/REG_STOCK[[#This Row],[CUBICACION PPTO.]]</f>
        <v>4.4444444444444438</v>
      </c>
      <c r="N98" s="3">
        <f>+REG_STOCK[[#This Row],[SOLICITADO A TF]]/REG_STOCK[[#This Row],[CUBICACION PPTO.]]</f>
        <v>118.25396825396824</v>
      </c>
      <c r="O98" s="3">
        <f>IF($V$2-REG_STOCK[[#This Row],[ALCANCE FISICO]]&gt;0,"",($V$2-REG_STOCK[[#This Row],[ALCANCE FISICO]]/REG_STOCK[[#This Row],[CUBICACION PPTO.]]))</f>
        <v>45.229528848576471</v>
      </c>
      <c r="P98" s="3">
        <f>+_xlfn.XLOOKUP(REG_STOCK[[#This Row],[CODIGO]],PRODUCTOS[CODIGO],PRODUCTOS[PRECIO COMPRA UNITARIO],"",0)</f>
        <v>15451.816831683169</v>
      </c>
      <c r="Q98" s="3">
        <f>IFERROR(REG_STOCK[[#This Row],[VALOR UNITARIO]]*REG_STOCK[[#This Row],[PERDIDA O EN PROCESO]],"")</f>
        <v>698878.39515153342</v>
      </c>
      <c r="R98" s="3">
        <f>+REG_STOCK[[#This Row],[VALOR UNITARIO]]*REG_STOCK[[#This Row],[STOCK FISICO]]</f>
        <v>432650.87128712871</v>
      </c>
    </row>
    <row r="99" spans="1:18" hidden="1" x14ac:dyDescent="0.25">
      <c r="A99" s="1">
        <v>46174</v>
      </c>
      <c r="B99">
        <v>701084</v>
      </c>
      <c r="C99" s="81" t="s">
        <v>38</v>
      </c>
      <c r="D99" s="81" t="s">
        <v>18</v>
      </c>
      <c r="E99">
        <v>72</v>
      </c>
      <c r="F99">
        <v>0</v>
      </c>
      <c r="G99">
        <v>29</v>
      </c>
      <c r="H99" s="81" t="str">
        <f>+_xlfn.XLOOKUP(REG_STOCK[[#This Row],[CODIGO]],PRODUCTOS[CODIGO],PRODUCTOS[DESC CORTA],"",0)</f>
        <v>FIBROCEMENTO BALCON</v>
      </c>
      <c r="I99" s="76">
        <f>SUMIFS(DETALLE_GD_1[CANTIDAD RECEPCIONADA],DETALLE_GD_1[CODIGO],REG_STOCK[[#This Row],[CODIGO]],DETALLE_GD_1[FECHA SOLICITUD],"&lt;="&amp;REG_STOCK[[#This Row],[FECHA STOCK ]])+97</f>
        <v>169</v>
      </c>
      <c r="J99" s="81">
        <f>+REG_STOCK[[#This Row],[SOLICITADO A TF]]-REG_STOCK[[#This Row],[STOCK FISICO]]</f>
        <v>140</v>
      </c>
      <c r="K99" s="40">
        <f>+_xlfn.XLOOKUP(REG_STOCK[[#This Row],[CODIGO]],PRODUCTOS[CODIGO],PRODUCTOS[CANT X MODULO],"",0)</f>
        <v>0.69825000000000004</v>
      </c>
      <c r="L99" s="3">
        <f>+REG_STOCK[[#This Row],[CONSUMO]]/REG_STOCK[[#This Row],[CUBICACION PPTO.]]</f>
        <v>200.50125313283206</v>
      </c>
      <c r="M99" s="3">
        <f>+REG_STOCK[[#This Row],[STOCK FISICO]]/REG_STOCK[[#This Row],[CUBICACION PPTO.]]</f>
        <v>41.532402434658074</v>
      </c>
      <c r="N99" s="3">
        <f>+REG_STOCK[[#This Row],[SOLICITADO A TF]]/REG_STOCK[[#This Row],[CUBICACION PPTO.]]</f>
        <v>242.03365556749014</v>
      </c>
      <c r="O99" s="3">
        <f>IF($V$2-REG_STOCK[[#This Row],[ALCANCE FISICO]]&gt;0,"",($V$2-REG_STOCK[[#This Row],[ALCANCE FISICO]]/REG_STOCK[[#This Row],[CUBICACION PPTO.]]))</f>
        <v>-282.62893744001451</v>
      </c>
      <c r="P99" s="3">
        <f>+_xlfn.XLOOKUP(REG_STOCK[[#This Row],[CODIGO]],PRODUCTOS[CODIGO],PRODUCTOS[PRECIO COMPRA UNITARIO],"",0)</f>
        <v>39170.619565217392</v>
      </c>
      <c r="Q99" s="3">
        <f>IFERROR(REG_STOCK[[#This Row],[VALOR UNITARIO]]*REG_STOCK[[#This Row],[PERDIDA O EN PROCESO]],"")</f>
        <v>-11070750.586584434</v>
      </c>
      <c r="R99" s="3">
        <f>+REG_STOCK[[#This Row],[VALOR UNITARIO]]*REG_STOCK[[#This Row],[STOCK FISICO]]</f>
        <v>1135947.9673913044</v>
      </c>
    </row>
    <row r="100" spans="1:18" hidden="1" x14ac:dyDescent="0.25">
      <c r="A100" s="1">
        <v>46174</v>
      </c>
      <c r="B100">
        <v>5309018</v>
      </c>
      <c r="C100" s="81" t="s">
        <v>112</v>
      </c>
      <c r="D100" s="81" t="s">
        <v>26</v>
      </c>
      <c r="E100">
        <v>3200</v>
      </c>
      <c r="F100">
        <v>0</v>
      </c>
      <c r="G100">
        <v>5</v>
      </c>
      <c r="H100" s="81">
        <f>+_xlfn.XLOOKUP(REG_STOCK[[#This Row],[CODIGO]],PRODUCTOS[CODIGO],PRODUCTOS[DESC CORTA],"",0)</f>
        <v>0</v>
      </c>
      <c r="I100" s="76">
        <f>SUMIFS(DETALLE_GD_1[CANTIDAD RECEPCIONADA],DETALLE_GD_1[CODIGO],REG_STOCK[[#This Row],[CODIGO]],DETALLE_GD_1[FECHA SOLICITUD],"&lt;="&amp;REG_STOCK[[#This Row],[FECHA STOCK ]])+97</f>
        <v>3297</v>
      </c>
      <c r="J100" s="81">
        <f>+REG_STOCK[[#This Row],[SOLICITADO A TF]]-REG_STOCK[[#This Row],[STOCK FISICO]]</f>
        <v>3292</v>
      </c>
      <c r="K100" s="40">
        <f>+_xlfn.XLOOKUP(REG_STOCK[[#This Row],[CODIGO]],PRODUCTOS[CODIGO],PRODUCTOS[CANT X MODULO],"",0)</f>
        <v>34.649999999999991</v>
      </c>
      <c r="L100" s="3">
        <f>+REG_STOCK[[#This Row],[CONSUMO]]/REG_STOCK[[#This Row],[CUBICACION PPTO.]]</f>
        <v>95.007215007215024</v>
      </c>
      <c r="M100" s="3">
        <f>+REG_STOCK[[#This Row],[STOCK FISICO]]/REG_STOCK[[#This Row],[CUBICACION PPTO.]]</f>
        <v>0.14430014430014435</v>
      </c>
      <c r="N100" s="3">
        <f>+REG_STOCK[[#This Row],[SOLICITADO A TF]]/REG_STOCK[[#This Row],[CUBICACION PPTO.]]</f>
        <v>95.15151515151517</v>
      </c>
      <c r="O100" s="3">
        <f>IF($V$2-REG_STOCK[[#This Row],[ALCANCE FISICO]]&gt;0,"",($V$2-REG_STOCK[[#This Row],[ALCANCE FISICO]]/REG_STOCK[[#This Row],[CUBICACION PPTO.]]))</f>
        <v>61.253924526651801</v>
      </c>
      <c r="P100" s="3">
        <f>+_xlfn.XLOOKUP(REG_STOCK[[#This Row],[CODIGO]],PRODUCTOS[CODIGO],PRODUCTOS[PRECIO COMPRA UNITARIO],"",0)</f>
        <v>706.42250000000001</v>
      </c>
      <c r="Q100" s="3">
        <f>IFERROR(REG_STOCK[[#This Row],[VALOR UNITARIO]]*REG_STOCK[[#This Row],[PERDIDA O EN PROCESO]],"")</f>
        <v>43271.150498928684</v>
      </c>
      <c r="R100" s="3">
        <f>+REG_STOCK[[#This Row],[VALOR UNITARIO]]*REG_STOCK[[#This Row],[STOCK FISICO]]</f>
        <v>3532.1125000000002</v>
      </c>
    </row>
    <row r="101" spans="1:18" hidden="1" x14ac:dyDescent="0.25">
      <c r="A101" s="1">
        <v>46174</v>
      </c>
      <c r="B101">
        <v>1902014</v>
      </c>
      <c r="C101" s="81" t="s">
        <v>316</v>
      </c>
      <c r="D101" s="81" t="s">
        <v>18</v>
      </c>
      <c r="E101">
        <v>360</v>
      </c>
      <c r="F101">
        <v>0</v>
      </c>
      <c r="G101">
        <v>12</v>
      </c>
      <c r="H101" s="81" t="str">
        <f>+_xlfn.XLOOKUP(REG_STOCK[[#This Row],[CODIGO]],PRODUCTOS[CODIGO],PRODUCTOS[DESC CORTA],"",0)</f>
        <v>VOLCOGLASS</v>
      </c>
      <c r="I101" s="76">
        <f>SUMIFS(DETALLE_GD_1[CANTIDAD RECEPCIONADA],DETALLE_GD_1[CODIGO],REG_STOCK[[#This Row],[CODIGO]],DETALLE_GD_1[FECHA SOLICITUD],"&lt;="&amp;REG_STOCK[[#This Row],[FECHA STOCK ]])+97</f>
        <v>457</v>
      </c>
      <c r="J101" s="81">
        <f>+REG_STOCK[[#This Row],[SOLICITADO A TF]]-REG_STOCK[[#This Row],[STOCK FISICO]]</f>
        <v>445</v>
      </c>
      <c r="K101" s="40">
        <f>+_xlfn.XLOOKUP(REG_STOCK[[#This Row],[CODIGO]],PRODUCTOS[CODIGO],PRODUCTOS[CANT X MODULO],"",0)</f>
        <v>5.5125000000000002</v>
      </c>
      <c r="L101" s="3">
        <f>+REG_STOCK[[#This Row],[CONSUMO]]/REG_STOCK[[#This Row],[CUBICACION PPTO.]]</f>
        <v>80.725623582766431</v>
      </c>
      <c r="M101" s="3">
        <f>+REG_STOCK[[#This Row],[STOCK FISICO]]/REG_STOCK[[#This Row],[CUBICACION PPTO.]]</f>
        <v>2.1768707482993195</v>
      </c>
      <c r="N101" s="3">
        <f>+REG_STOCK[[#This Row],[SOLICITADO A TF]]/REG_STOCK[[#This Row],[CUBICACION PPTO.]]</f>
        <v>82.902494331065753</v>
      </c>
      <c r="O101" s="3">
        <f>IF($V$2-REG_STOCK[[#This Row],[ALCANCE FISICO]]&gt;0,"",($V$2-REG_STOCK[[#This Row],[ALCANCE FISICO]]/REG_STOCK[[#This Row],[CUBICACION PPTO.]]))</f>
        <v>48.960998760804401</v>
      </c>
      <c r="P101" s="3">
        <f>+_xlfn.XLOOKUP(REG_STOCK[[#This Row],[CODIGO]],PRODUCTOS[CODIGO],PRODUCTOS[PRECIO COMPRA UNITARIO],"",0)</f>
        <v>29799.757692307692</v>
      </c>
      <c r="Q101" s="3">
        <f>IFERROR(REG_STOCK[[#This Row],[VALOR UNITARIO]]*REG_STOCK[[#This Row],[PERDIDA O EN PROCESO]],"")</f>
        <v>1459025.8994453484</v>
      </c>
      <c r="R101" s="3">
        <f>+REG_STOCK[[#This Row],[VALOR UNITARIO]]*REG_STOCK[[#This Row],[STOCK FISICO]]</f>
        <v>357597.09230769228</v>
      </c>
    </row>
    <row r="102" spans="1:18" hidden="1" x14ac:dyDescent="0.25">
      <c r="A102" s="1">
        <v>46181</v>
      </c>
      <c r="B102">
        <v>304007</v>
      </c>
      <c r="C102" s="81" t="s">
        <v>80</v>
      </c>
      <c r="D102" s="81" t="s">
        <v>18</v>
      </c>
      <c r="E102">
        <v>1072</v>
      </c>
      <c r="F102">
        <v>0</v>
      </c>
      <c r="G102">
        <v>114</v>
      </c>
      <c r="H102" s="81" t="str">
        <f>+_xlfn.XLOOKUP(REG_STOCK[[#This Row],[CODIGO]],PRODUCTOS[CODIGO],PRODUCTOS[DESC CORTA],"",0)</f>
        <v>OSB 11MM</v>
      </c>
      <c r="I102" s="76">
        <f>SUMIFS(DETALLE_GD_1[CANTIDAD RECEPCIONADA],DETALLE_GD_1[CODIGO],REG_STOCK[[#This Row],[CODIGO]],DETALLE_GD_1[FECHA SOLICITUD],"&lt;="&amp;REG_STOCK[[#This Row],[FECHA STOCK ]])+97</f>
        <v>1169</v>
      </c>
      <c r="J102" s="81">
        <f>+REG_STOCK[[#This Row],[SOLICITADO A TF]]-REG_STOCK[[#This Row],[STOCK FISICO]]</f>
        <v>1055</v>
      </c>
      <c r="K102" s="40">
        <f>+_xlfn.XLOOKUP(REG_STOCK[[#This Row],[CODIGO]],PRODUCTOS[CODIGO],PRODUCTOS[CANT X MODULO],"",0)</f>
        <v>8.6625000000000014</v>
      </c>
      <c r="L102" s="3">
        <f>+REG_STOCK[[#This Row],[CONSUMO]]/REG_STOCK[[#This Row],[CUBICACION PPTO.]]</f>
        <v>121.78932178932178</v>
      </c>
      <c r="M102" s="3">
        <f>+REG_STOCK[[#This Row],[STOCK FISICO]]/REG_STOCK[[#This Row],[CUBICACION PPTO.]]</f>
        <v>13.160173160173159</v>
      </c>
      <c r="N102" s="3">
        <f>+REG_STOCK[[#This Row],[SOLICITADO A TF]]/REG_STOCK[[#This Row],[CUBICACION PPTO.]]</f>
        <v>134.94949494949492</v>
      </c>
      <c r="O102" s="3">
        <f>IF($V$2-REG_STOCK[[#This Row],[ALCANCE FISICO]]&gt;0,"",($V$2-REG_STOCK[[#This Row],[ALCANCE FISICO]]/REG_STOCK[[#This Row],[CUBICACION PPTO.]]))</f>
        <v>48.421414724445036</v>
      </c>
      <c r="P102" s="3">
        <f>+_xlfn.XLOOKUP(REG_STOCK[[#This Row],[CODIGO]],PRODUCTOS[CODIGO],PRODUCTOS[PRECIO COMPRA UNITARIO],"",0)</f>
        <v>11557.16697761194</v>
      </c>
      <c r="Q102" s="3">
        <f>IFERROR(REG_STOCK[[#This Row],[VALOR UNITARIO]]*REG_STOCK[[#This Row],[PERDIDA O EN PROCESO]],"")</f>
        <v>559614.37526260875</v>
      </c>
      <c r="R102" s="3">
        <f>+REG_STOCK[[#This Row],[VALOR UNITARIO]]*REG_STOCK[[#This Row],[STOCK FISICO]]</f>
        <v>1317517.0354477612</v>
      </c>
    </row>
    <row r="103" spans="1:18" hidden="1" x14ac:dyDescent="0.25">
      <c r="A103" s="1">
        <v>46181</v>
      </c>
      <c r="B103">
        <v>701043</v>
      </c>
      <c r="C103" s="81" t="s">
        <v>197</v>
      </c>
      <c r="D103" s="81" t="s">
        <v>699</v>
      </c>
      <c r="E103">
        <v>836</v>
      </c>
      <c r="F103">
        <v>0</v>
      </c>
      <c r="G103">
        <v>100</v>
      </c>
      <c r="H103" s="81" t="str">
        <f>+_xlfn.XLOOKUP(REG_STOCK[[#This Row],[CODIGO]],PRODUCTOS[CODIGO],PRODUCTOS[DESC CORTA],"",0)</f>
        <v>VOLCANITA EMPAPELADA CIELO</v>
      </c>
      <c r="I103" s="76">
        <f>SUMIFS(DETALLE_GD_1[CANTIDAD RECEPCIONADA],DETALLE_GD_1[CODIGO],REG_STOCK[[#This Row],[CODIGO]],DETALLE_GD_1[FECHA SOLICITUD],"&lt;="&amp;REG_STOCK[[#This Row],[FECHA STOCK ]])+97</f>
        <v>933</v>
      </c>
      <c r="J103" s="81">
        <f>+REG_STOCK[[#This Row],[SOLICITADO A TF]]-REG_STOCK[[#This Row],[STOCK FISICO]]</f>
        <v>833</v>
      </c>
      <c r="K103" s="40">
        <f>+_xlfn.XLOOKUP(REG_STOCK[[#This Row],[CODIGO]],PRODUCTOS[CODIGO],PRODUCTOS[CANT X MODULO],"",0)</f>
        <v>7.0875000000000012</v>
      </c>
      <c r="L103" s="3">
        <f>+REG_STOCK[[#This Row],[CONSUMO]]/REG_STOCK[[#This Row],[CUBICACION PPTO.]]</f>
        <v>117.53086419753085</v>
      </c>
      <c r="M103" s="3">
        <f>+REG_STOCK[[#This Row],[STOCK FISICO]]/REG_STOCK[[#This Row],[CUBICACION PPTO.]]</f>
        <v>14.109347442680773</v>
      </c>
      <c r="N103" s="3">
        <f>+REG_STOCK[[#This Row],[SOLICITADO A TF]]/REG_STOCK[[#This Row],[CUBICACION PPTO.]]</f>
        <v>131.64021164021162</v>
      </c>
      <c r="O103" s="3">
        <f>IF($V$2-REG_STOCK[[#This Row],[ALCANCE FISICO]]&gt;0,"",($V$2-REG_STOCK[[#This Row],[ALCANCE FISICO]]/REG_STOCK[[#This Row],[CUBICACION PPTO.]]))</f>
        <v>45.426425165402243</v>
      </c>
      <c r="P103" s="3">
        <f>+_xlfn.XLOOKUP(REG_STOCK[[#This Row],[CODIGO]],PRODUCTOS[CODIGO],PRODUCTOS[PRECIO COMPRA UNITARIO],"",0)</f>
        <v>22493.996861924687</v>
      </c>
      <c r="Q103" s="3">
        <f>IFERROR(REG_STOCK[[#This Row],[VALOR UNITARIO]]*REG_STOCK[[#This Row],[PERDIDA O EN PROCESO]],"")</f>
        <v>1021821.8651190146</v>
      </c>
      <c r="R103" s="3">
        <f>+REG_STOCK[[#This Row],[VALOR UNITARIO]]*REG_STOCK[[#This Row],[STOCK FISICO]]</f>
        <v>2249399.6861924687</v>
      </c>
    </row>
    <row r="104" spans="1:18" hidden="1" x14ac:dyDescent="0.25">
      <c r="A104" s="1">
        <v>46181</v>
      </c>
      <c r="B104">
        <v>302046</v>
      </c>
      <c r="C104" s="81" t="s">
        <v>519</v>
      </c>
      <c r="D104" s="81" t="s">
        <v>20</v>
      </c>
      <c r="E104">
        <v>4045</v>
      </c>
      <c r="F104">
        <v>0</v>
      </c>
      <c r="G104">
        <v>144</v>
      </c>
      <c r="H104" s="81" t="str">
        <f>+_xlfn.XLOOKUP(REG_STOCK[[#This Row],[CODIGO]],PRODUCTOS[CODIGO],PRODUCTOS[DESC CORTA],"",0)</f>
        <v>PINO 2X6X400</v>
      </c>
      <c r="I104" s="76">
        <f>SUMIFS(DETALLE_GD_1[CANTIDAD RECEPCIONADA],DETALLE_GD_1[CODIGO],REG_STOCK[[#This Row],[CODIGO]],DETALLE_GD_1[FECHA SOLICITUD],"&lt;="&amp;REG_STOCK[[#This Row],[FECHA STOCK ]])+97</f>
        <v>4310</v>
      </c>
      <c r="J104" s="81">
        <f>+REG_STOCK[[#This Row],[SOLICITADO A TF]]-REG_STOCK[[#This Row],[STOCK FISICO]]</f>
        <v>4166</v>
      </c>
      <c r="K104" s="40">
        <f>+_xlfn.XLOOKUP(REG_STOCK[[#This Row],[CODIGO]],PRODUCTOS[CODIGO],PRODUCTOS[CANT X MODULO],"",0)</f>
        <v>34.65</v>
      </c>
      <c r="L104" s="3">
        <f>+REG_STOCK[[#This Row],[CONSUMO]]/REG_STOCK[[#This Row],[CUBICACION PPTO.]]</f>
        <v>120.23088023088023</v>
      </c>
      <c r="M104" s="3">
        <f>+REG_STOCK[[#This Row],[STOCK FISICO]]/REG_STOCK[[#This Row],[CUBICACION PPTO.]]</f>
        <v>4.1558441558441563</v>
      </c>
      <c r="N104" s="3">
        <f>+REG_STOCK[[#This Row],[SOLICITADO A TF]]/REG_STOCK[[#This Row],[CUBICACION PPTO.]]</f>
        <v>124.3867243867244</v>
      </c>
      <c r="O104" s="3">
        <f>IF($V$2-REG_STOCK[[#This Row],[ALCANCE FISICO]]&gt;0,"",($V$2-REG_STOCK[[#This Row],[ALCANCE FISICO]]/REG_STOCK[[#This Row],[CUBICACION PPTO.]]))</f>
        <v>60.410195544394675</v>
      </c>
      <c r="P104" s="3">
        <f>+_xlfn.XLOOKUP(REG_STOCK[[#This Row],[CODIGO]],PRODUCTOS[CODIGO],PRODUCTOS[PRECIO COMPRA UNITARIO],"",0)</f>
        <v>10292.490437458782</v>
      </c>
      <c r="Q104" s="3">
        <f>IFERROR(REG_STOCK[[#This Row],[VALOR UNITARIO]]*REG_STOCK[[#This Row],[PERDIDA O EN PROCESO]],"")</f>
        <v>621771.35996569728</v>
      </c>
      <c r="R104" s="3">
        <f>+REG_STOCK[[#This Row],[VALOR UNITARIO]]*REG_STOCK[[#This Row],[STOCK FISICO]]</f>
        <v>1482118.6229940646</v>
      </c>
    </row>
    <row r="105" spans="1:18" hidden="1" x14ac:dyDescent="0.25">
      <c r="A105" s="1">
        <v>46181</v>
      </c>
      <c r="B105">
        <v>302010</v>
      </c>
      <c r="C105" s="81" t="s">
        <v>514</v>
      </c>
      <c r="D105" s="81" t="s">
        <v>20</v>
      </c>
      <c r="E105">
        <v>3024</v>
      </c>
      <c r="F105">
        <v>0</v>
      </c>
      <c r="G105">
        <v>336</v>
      </c>
      <c r="H105" s="81" t="str">
        <f>+_xlfn.XLOOKUP(REG_STOCK[[#This Row],[CODIGO]],PRODUCTOS[CODIGO],PRODUCTOS[DESC CORTA],"",0)</f>
        <v>PINO 2X6X320</v>
      </c>
      <c r="I105" s="76">
        <f>SUMIFS(DETALLE_GD_1[CANTIDAD RECEPCIONADA],DETALLE_GD_1[CODIGO],REG_STOCK[[#This Row],[CODIGO]],DETALLE_GD_1[FECHA SOLICITUD],"&lt;="&amp;REG_STOCK[[#This Row],[FECHA STOCK ]])+97</f>
        <v>3121</v>
      </c>
      <c r="J105" s="81">
        <f>+REG_STOCK[[#This Row],[SOLICITADO A TF]]-REG_STOCK[[#This Row],[STOCK FISICO]]</f>
        <v>2785</v>
      </c>
      <c r="K105" s="40">
        <f>+_xlfn.XLOOKUP(REG_STOCK[[#This Row],[CODIGO]],PRODUCTOS[CODIGO],PRODUCTOS[CANT X MODULO],"",0)</f>
        <v>34.912500000000023</v>
      </c>
      <c r="L105" s="3">
        <f>+REG_STOCK[[#This Row],[CONSUMO]]/REG_STOCK[[#This Row],[CUBICACION PPTO.]]</f>
        <v>79.770855710705277</v>
      </c>
      <c r="M105" s="3">
        <f>+REG_STOCK[[#This Row],[STOCK FISICO]]/REG_STOCK[[#This Row],[CUBICACION PPTO.]]</f>
        <v>9.624060150375934</v>
      </c>
      <c r="N105" s="3">
        <f>+REG_STOCK[[#This Row],[SOLICITADO A TF]]/REG_STOCK[[#This Row],[CUBICACION PPTO.]]</f>
        <v>89.394915861081216</v>
      </c>
      <c r="O105" s="3">
        <f>IF($V$2-REG_STOCK[[#This Row],[ALCANCE FISICO]]&gt;0,"",($V$2-REG_STOCK[[#This Row],[ALCANCE FISICO]]/REG_STOCK[[#This Row],[CUBICACION PPTO.]]))</f>
        <v>61.439458192307022</v>
      </c>
      <c r="P105" s="3">
        <f>+_xlfn.XLOOKUP(REG_STOCK[[#This Row],[CODIGO]],PRODUCTOS[CODIGO],PRODUCTOS[PRECIO COMPRA UNITARIO],"",0)</f>
        <v>5566.8590808416393</v>
      </c>
      <c r="Q105" s="3">
        <f>IFERROR(REG_STOCK[[#This Row],[VALOR UNITARIO]]*REG_STOCK[[#This Row],[PERDIDA O EN PROCESO]],"")</f>
        <v>342024.80575983459</v>
      </c>
      <c r="R105" s="3">
        <f>+REG_STOCK[[#This Row],[VALOR UNITARIO]]*REG_STOCK[[#This Row],[STOCK FISICO]]</f>
        <v>1870464.6511627908</v>
      </c>
    </row>
    <row r="106" spans="1:18" hidden="1" x14ac:dyDescent="0.25">
      <c r="A106" s="1">
        <v>46181</v>
      </c>
      <c r="B106">
        <v>1901008</v>
      </c>
      <c r="C106" s="81" t="s">
        <v>750</v>
      </c>
      <c r="D106" s="81" t="s">
        <v>26</v>
      </c>
      <c r="E106">
        <v>6207</v>
      </c>
      <c r="F106">
        <v>0</v>
      </c>
      <c r="G106">
        <v>51</v>
      </c>
      <c r="H106" s="81" t="str">
        <f>+_xlfn.XLOOKUP(REG_STOCK[[#This Row],[CODIGO]],PRODUCTOS[CODIGO],PRODUCTOS[DESC CORTA],"",0)</f>
        <v>AISLAN GLASS 90MM</v>
      </c>
      <c r="I106" s="76">
        <f>SUMIFS(DETALLE_GD_1[CANTIDAD RECEPCIONADA],DETALLE_GD_1[CODIGO],REG_STOCK[[#This Row],[CODIGO]],DETALLE_GD_1[FECHA SOLICITUD],"&lt;="&amp;REG_STOCK[[#This Row],[FECHA STOCK ]])+97</f>
        <v>6304</v>
      </c>
      <c r="J106" s="81">
        <f>+REG_STOCK[[#This Row],[SOLICITADO A TF]]-REG_STOCK[[#This Row],[STOCK FISICO]]</f>
        <v>6253</v>
      </c>
      <c r="K106" s="40">
        <f>+_xlfn.XLOOKUP(REG_STOCK[[#This Row],[CODIGO]],PRODUCTOS[CODIGO],PRODUCTOS[CANT X MODULO],"",0)</f>
        <v>62.430325650000007</v>
      </c>
      <c r="L106" s="3">
        <f>+REG_STOCK[[#This Row],[CONSUMO]]/REG_STOCK[[#This Row],[CUBICACION PPTO.]]</f>
        <v>100.15965694390061</v>
      </c>
      <c r="M106" s="3">
        <f>+REG_STOCK[[#This Row],[STOCK FISICO]]/REG_STOCK[[#This Row],[CUBICACION PPTO.]]</f>
        <v>0.81691068353413265</v>
      </c>
      <c r="N106" s="3">
        <f>+REG_STOCK[[#This Row],[SOLICITADO A TF]]/REG_STOCK[[#This Row],[CUBICACION PPTO.]]</f>
        <v>100.97656762743475</v>
      </c>
      <c r="O106" s="3">
        <f>IF($V$2-REG_STOCK[[#This Row],[ALCANCE FISICO]]&gt;0,"",($V$2-REG_STOCK[[#This Row],[ALCANCE FISICO]]/REG_STOCK[[#This Row],[CUBICACION PPTO.]]))</f>
        <v>62.382571825853759</v>
      </c>
      <c r="P106" s="3">
        <f>+_xlfn.XLOOKUP(REG_STOCK[[#This Row],[CODIGO]],PRODUCTOS[CODIGO],PRODUCTOS[PRECIO COMPRA UNITARIO],"",0)</f>
        <v>2059.785564685033</v>
      </c>
      <c r="Q106" s="3">
        <f>IFERROR(REG_STOCK[[#This Row],[VALOR UNITARIO]]*REG_STOCK[[#This Row],[PERDIDA O EN PROCESO]],"")</f>
        <v>128494.72093482081</v>
      </c>
      <c r="R106" s="3">
        <f>+REG_STOCK[[#This Row],[VALOR UNITARIO]]*REG_STOCK[[#This Row],[STOCK FISICO]]</f>
        <v>105049.06379893668</v>
      </c>
    </row>
    <row r="107" spans="1:18" hidden="1" x14ac:dyDescent="0.25">
      <c r="A107" s="1">
        <v>46181</v>
      </c>
      <c r="B107">
        <v>304002</v>
      </c>
      <c r="C107" s="81" t="s">
        <v>37</v>
      </c>
      <c r="D107" s="81" t="s">
        <v>18</v>
      </c>
      <c r="E107">
        <v>2207</v>
      </c>
      <c r="F107">
        <v>0</v>
      </c>
      <c r="G107">
        <v>209</v>
      </c>
      <c r="H107" s="81" t="str">
        <f>+_xlfn.XLOOKUP(REG_STOCK[[#This Row],[CODIGO]],PRODUCTOS[CODIGO],PRODUCTOS[DESC CORTA],"",0)</f>
        <v>SMARTPANEL</v>
      </c>
      <c r="I107" s="76">
        <f>SUMIFS(DETALLE_GD_1[CANTIDAD RECEPCIONADA],DETALLE_GD_1[CODIGO],REG_STOCK[[#This Row],[CODIGO]],DETALLE_GD_1[FECHA SOLICITUD],"&lt;="&amp;REG_STOCK[[#This Row],[FECHA STOCK ]])+97</f>
        <v>2304</v>
      </c>
      <c r="J107" s="81">
        <f>+REG_STOCK[[#This Row],[SOLICITADO A TF]]-REG_STOCK[[#This Row],[STOCK FISICO]]</f>
        <v>2095</v>
      </c>
      <c r="K107" s="40">
        <f>+_xlfn.XLOOKUP(REG_STOCK[[#This Row],[CODIGO]],PRODUCTOS[CODIGO],PRODUCTOS[CANT X MODULO],"",0)</f>
        <v>23.296874999999996</v>
      </c>
      <c r="L107" s="3">
        <f>+REG_STOCK[[#This Row],[CONSUMO]]/REG_STOCK[[#This Row],[CUBICACION PPTO.]]</f>
        <v>89.926224010731062</v>
      </c>
      <c r="M107" s="3">
        <f>+REG_STOCK[[#This Row],[STOCK FISICO]]/REG_STOCK[[#This Row],[CUBICACION PPTO.]]</f>
        <v>8.9711602951039584</v>
      </c>
      <c r="N107" s="3">
        <f>+REG_STOCK[[#This Row],[SOLICITADO A TF]]/REG_STOCK[[#This Row],[CUBICACION PPTO.]]</f>
        <v>98.897384305835018</v>
      </c>
      <c r="O107" s="3">
        <f>IF($V$2-REG_STOCK[[#This Row],[ALCANCE FISICO]]&gt;0,"",($V$2-REG_STOCK[[#This Row],[ALCANCE FISICO]]/REG_STOCK[[#This Row],[CUBICACION PPTO.]]))</f>
        <v>59.754907715913184</v>
      </c>
      <c r="P107" s="3">
        <f>+_xlfn.XLOOKUP(REG_STOCK[[#This Row],[CODIGO]],PRODUCTOS[CODIGO],PRODUCTOS[PRECIO COMPRA UNITARIO],"",0)</f>
        <v>21579.067512460355</v>
      </c>
      <c r="Q107" s="3">
        <f>IFERROR(REG_STOCK[[#This Row],[VALOR UNITARIO]]*REG_STOCK[[#This Row],[PERDIDA O EN PROCESO]],"")</f>
        <v>1289455.1878025287</v>
      </c>
      <c r="R107" s="3">
        <f>+REG_STOCK[[#This Row],[VALOR UNITARIO]]*REG_STOCK[[#This Row],[STOCK FISICO]]</f>
        <v>4510025.1101042144</v>
      </c>
    </row>
    <row r="108" spans="1:18" hidden="1" x14ac:dyDescent="0.25">
      <c r="A108" s="1">
        <v>46181</v>
      </c>
      <c r="B108">
        <v>304101</v>
      </c>
      <c r="C108" s="81" t="s">
        <v>698</v>
      </c>
      <c r="D108" s="81" t="s">
        <v>18</v>
      </c>
      <c r="E108">
        <v>4633</v>
      </c>
      <c r="F108">
        <v>0</v>
      </c>
      <c r="G108">
        <v>379</v>
      </c>
      <c r="H108" s="81" t="str">
        <f>+_xlfn.XLOOKUP(REG_STOCK[[#This Row],[CODIGO]],PRODUCTOS[CODIGO],PRODUCTOS[DESC CORTA],"",0)</f>
        <v>OSB 9.5</v>
      </c>
      <c r="I108" s="76">
        <f>SUMIFS(DETALLE_GD_1[CANTIDAD RECEPCIONADA],DETALLE_GD_1[CODIGO],REG_STOCK[[#This Row],[CODIGO]],DETALLE_GD_1[FECHA SOLICITUD],"&lt;="&amp;REG_STOCK[[#This Row],[FECHA STOCK ]])+97</f>
        <v>4898</v>
      </c>
      <c r="J108" s="81">
        <f>+REG_STOCK[[#This Row],[SOLICITADO A TF]]-REG_STOCK[[#This Row],[STOCK FISICO]]</f>
        <v>4519</v>
      </c>
      <c r="K108" s="40">
        <f>+_xlfn.XLOOKUP(REG_STOCK[[#This Row],[CODIGO]],PRODUCTOS[CODIGO],PRODUCTOS[CANT X MODULO],"",0)</f>
        <v>47.643749999999976</v>
      </c>
      <c r="L108" s="3">
        <f>+REG_STOCK[[#This Row],[CONSUMO]]/REG_STOCK[[#This Row],[CUBICACION PPTO.]]</f>
        <v>94.849796667978538</v>
      </c>
      <c r="M108" s="3">
        <f>+REG_STOCK[[#This Row],[STOCK FISICO]]/REG_STOCK[[#This Row],[CUBICACION PPTO.]]</f>
        <v>7.9548734094188678</v>
      </c>
      <c r="N108" s="3">
        <f>+REG_STOCK[[#This Row],[SOLICITADO A TF]]/REG_STOCK[[#This Row],[CUBICACION PPTO.]]</f>
        <v>102.8046700773974</v>
      </c>
      <c r="O108" s="3">
        <f>IF($V$2-REG_STOCK[[#This Row],[ALCANCE FISICO]]&gt;0,"",($V$2-REG_STOCK[[#This Row],[ALCANCE FISICO]]/REG_STOCK[[#This Row],[CUBICACION PPTO.]]))</f>
        <v>61.842221276087685</v>
      </c>
      <c r="P108" s="3">
        <f>+_xlfn.XLOOKUP(REG_STOCK[[#This Row],[CODIGO]],PRODUCTOS[CODIGO],PRODUCTOS[PRECIO COMPRA UNITARIO],"",0)</f>
        <v>9652.5142678608627</v>
      </c>
      <c r="Q108" s="3">
        <f>IFERROR(REG_STOCK[[#This Row],[VALOR UNITARIO]]*REG_STOCK[[#This Row],[PERDIDA O EN PROCESO]],"")</f>
        <v>596932.92322364496</v>
      </c>
      <c r="R108" s="3">
        <f>+REG_STOCK[[#This Row],[VALOR UNITARIO]]*REG_STOCK[[#This Row],[STOCK FISICO]]</f>
        <v>3658302.9075192669</v>
      </c>
    </row>
    <row r="109" spans="1:18" hidden="1" x14ac:dyDescent="0.25">
      <c r="A109" s="1">
        <v>46181</v>
      </c>
      <c r="B109">
        <v>302028</v>
      </c>
      <c r="C109" s="81" t="s">
        <v>515</v>
      </c>
      <c r="D109" s="81" t="s">
        <v>20</v>
      </c>
      <c r="E109">
        <v>9841</v>
      </c>
      <c r="F109">
        <v>0</v>
      </c>
      <c r="G109">
        <v>382</v>
      </c>
      <c r="H109" s="81" t="str">
        <f>+_xlfn.XLOOKUP(REG_STOCK[[#This Row],[CODIGO]],PRODUCTOS[CODIGO],PRODUCTOS[DESC CORTA],"",0)</f>
        <v>PINO 2X4X320</v>
      </c>
      <c r="I109" s="76">
        <f>SUMIFS(DETALLE_GD_1[CANTIDAD RECEPCIONADA],DETALLE_GD_1[CODIGO],REG_STOCK[[#This Row],[CODIGO]],DETALLE_GD_1[FECHA SOLICITUD],"&lt;="&amp;REG_STOCK[[#This Row],[FECHA STOCK ]])+97</f>
        <v>9938</v>
      </c>
      <c r="J109" s="81">
        <f>+REG_STOCK[[#This Row],[SOLICITADO A TF]]-REG_STOCK[[#This Row],[STOCK FISICO]]</f>
        <v>9556</v>
      </c>
      <c r="K109" s="40">
        <f>+_xlfn.XLOOKUP(REG_STOCK[[#This Row],[CODIGO]],PRODUCTOS[CODIGO],PRODUCTOS[CANT X MODULO],"",0)</f>
        <v>172.72499999999994</v>
      </c>
      <c r="L109" s="3">
        <f>+REG_STOCK[[#This Row],[CONSUMO]]/REG_STOCK[[#This Row],[CUBICACION PPTO.]]</f>
        <v>55.324938486032728</v>
      </c>
      <c r="M109" s="3">
        <f>+REG_STOCK[[#This Row],[STOCK FISICO]]/REG_STOCK[[#This Row],[CUBICACION PPTO.]]</f>
        <v>2.2116080474743098</v>
      </c>
      <c r="N109" s="3">
        <f>+REG_STOCK[[#This Row],[SOLICITADO A TF]]/REG_STOCK[[#This Row],[CUBICACION PPTO.]]</f>
        <v>57.536546533507043</v>
      </c>
      <c r="O109" s="3" t="str">
        <f>IF($V$2-REG_STOCK[[#This Row],[ALCANCE FISICO]]&gt;0,"",($V$2-REG_STOCK[[#This Row],[ALCANCE FISICO]]/REG_STOCK[[#This Row],[CUBICACION PPTO.]]))</f>
        <v/>
      </c>
      <c r="P109" s="3">
        <f>+_xlfn.XLOOKUP(REG_STOCK[[#This Row],[CODIGO]],PRODUCTOS[CODIGO],PRODUCTOS[PRECIO COMPRA UNITARIO],"",0)</f>
        <v>4760.4046547265589</v>
      </c>
      <c r="Q109" s="3" t="str">
        <f>IFERROR(REG_STOCK[[#This Row],[VALOR UNITARIO]]*REG_STOCK[[#This Row],[PERDIDA O EN PROCESO]],"")</f>
        <v/>
      </c>
      <c r="R109" s="3">
        <f>+REG_STOCK[[#This Row],[VALOR UNITARIO]]*REG_STOCK[[#This Row],[STOCK FISICO]]</f>
        <v>1818474.5781055456</v>
      </c>
    </row>
    <row r="110" spans="1:18" hidden="1" x14ac:dyDescent="0.25">
      <c r="A110" s="1">
        <v>46181</v>
      </c>
      <c r="B110">
        <v>304049</v>
      </c>
      <c r="C110" s="81" t="s">
        <v>318</v>
      </c>
      <c r="D110" s="81" t="s">
        <v>18</v>
      </c>
      <c r="E110">
        <v>2185</v>
      </c>
      <c r="F110">
        <v>0</v>
      </c>
      <c r="G110">
        <v>242</v>
      </c>
      <c r="H110" s="81" t="str">
        <f>+_xlfn.XLOOKUP(REG_STOCK[[#This Row],[CODIGO]],PRODUCTOS[CODIGO],PRODUCTOS[DESC CORTA],"",0)</f>
        <v>TERCIADO FENOLICO</v>
      </c>
      <c r="I110" s="76">
        <f>SUMIFS(DETALLE_GD_1[CANTIDAD RECEPCIONADA],DETALLE_GD_1[CODIGO],REG_STOCK[[#This Row],[CODIGO]],DETALLE_GD_1[FECHA SOLICITUD],"&lt;="&amp;REG_STOCK[[#This Row],[FECHA STOCK ]])+97</f>
        <v>2282</v>
      </c>
      <c r="J110" s="81">
        <f>+REG_STOCK[[#This Row],[SOLICITADO A TF]]-REG_STOCK[[#This Row],[STOCK FISICO]]</f>
        <v>2040</v>
      </c>
      <c r="K110" s="40">
        <f>+_xlfn.XLOOKUP(REG_STOCK[[#This Row],[CODIGO]],PRODUCTOS[CODIGO],PRODUCTOS[CANT X MODULO],"",0)</f>
        <v>23.273250000000008</v>
      </c>
      <c r="L110" s="3">
        <f>+REG_STOCK[[#This Row],[CONSUMO]]/REG_STOCK[[#This Row],[CUBICACION PPTO.]]</f>
        <v>87.654281202668272</v>
      </c>
      <c r="M110" s="3">
        <f>+REG_STOCK[[#This Row],[STOCK FISICO]]/REG_STOCK[[#This Row],[CUBICACION PPTO.]]</f>
        <v>10.398203946591039</v>
      </c>
      <c r="N110" s="3">
        <f>+REG_STOCK[[#This Row],[SOLICITADO A TF]]/REG_STOCK[[#This Row],[CUBICACION PPTO.]]</f>
        <v>98.052485149259311</v>
      </c>
      <c r="O110" s="3">
        <f>IF($V$2-REG_STOCK[[#This Row],[ALCANCE FISICO]]&gt;0,"",($V$2-REG_STOCK[[#This Row],[ALCANCE FISICO]]/REG_STOCK[[#This Row],[CUBICACION PPTO.]]))</f>
        <v>59.78690190887567</v>
      </c>
      <c r="P110" s="3">
        <f>+_xlfn.XLOOKUP(REG_STOCK[[#This Row],[CODIGO]],PRODUCTOS[CODIGO],PRODUCTOS[PRECIO COMPRA UNITARIO],"",0)</f>
        <v>15018.620734341253</v>
      </c>
      <c r="Q110" s="3">
        <f>IFERROR(REG_STOCK[[#This Row],[VALOR UNITARIO]]*REG_STOCK[[#This Row],[PERDIDA O EN PROCESO]],"")</f>
        <v>897916.80465066677</v>
      </c>
      <c r="R110" s="3">
        <f>+REG_STOCK[[#This Row],[VALOR UNITARIO]]*REG_STOCK[[#This Row],[STOCK FISICO]]</f>
        <v>3634506.2177105835</v>
      </c>
    </row>
    <row r="111" spans="1:18" hidden="1" x14ac:dyDescent="0.25">
      <c r="A111" s="1">
        <v>46181</v>
      </c>
      <c r="B111">
        <v>701096</v>
      </c>
      <c r="C111" s="81" t="s">
        <v>204</v>
      </c>
      <c r="D111" s="81" t="s">
        <v>18</v>
      </c>
      <c r="E111">
        <v>2364</v>
      </c>
      <c r="F111">
        <v>0</v>
      </c>
      <c r="G111">
        <v>227</v>
      </c>
      <c r="H111" s="81" t="str">
        <f>+_xlfn.XLOOKUP(REG_STOCK[[#This Row],[CODIGO]],PRODUCTOS[CODIGO],PRODUCTOS[DESC CORTA],"",0)</f>
        <v>VOCANITA EMPAPELADA MURO</v>
      </c>
      <c r="I111" s="76">
        <f>SUMIFS(DETALLE_GD_1[CANTIDAD RECEPCIONADA],DETALLE_GD_1[CODIGO],REG_STOCK[[#This Row],[CODIGO]],DETALLE_GD_1[FECHA SOLICITUD],"&lt;="&amp;REG_STOCK[[#This Row],[FECHA STOCK ]])+97</f>
        <v>2461</v>
      </c>
      <c r="J111" s="81">
        <f>+REG_STOCK[[#This Row],[SOLICITADO A TF]]-REG_STOCK[[#This Row],[STOCK FISICO]]</f>
        <v>2234</v>
      </c>
      <c r="K111" s="40">
        <f>+_xlfn.XLOOKUP(REG_STOCK[[#This Row],[CODIGO]],PRODUCTOS[CODIGO],PRODUCTOS[CANT X MODULO],"",0)</f>
        <v>31.237499999999997</v>
      </c>
      <c r="L111" s="3">
        <f>+REG_STOCK[[#This Row],[CONSUMO]]/REG_STOCK[[#This Row],[CUBICACION PPTO.]]</f>
        <v>71.516606642657067</v>
      </c>
      <c r="M111" s="3">
        <f>+REG_STOCK[[#This Row],[STOCK FISICO]]/REG_STOCK[[#This Row],[CUBICACION PPTO.]]</f>
        <v>7.2669067627050827</v>
      </c>
      <c r="N111" s="3">
        <f>+REG_STOCK[[#This Row],[SOLICITADO A TF]]/REG_STOCK[[#This Row],[CUBICACION PPTO.]]</f>
        <v>78.783513405362157</v>
      </c>
      <c r="O111" s="3">
        <f>IF($V$2-REG_STOCK[[#This Row],[ALCANCE FISICO]]&gt;0,"",($V$2-REG_STOCK[[#This Row],[ALCANCE FISICO]]/REG_STOCK[[#This Row],[CUBICACION PPTO.]]))</f>
        <v>61.477918738523819</v>
      </c>
      <c r="P111" s="3">
        <f>+_xlfn.XLOOKUP(REG_STOCK[[#This Row],[CODIGO]],PRODUCTOS[CODIGO],PRODUCTOS[PRECIO COMPRA UNITARIO],"",0)</f>
        <v>16226.792738275341</v>
      </c>
      <c r="Q111" s="3">
        <f>IFERROR(REG_STOCK[[#This Row],[VALOR UNITARIO]]*REG_STOCK[[#This Row],[PERDIDA O EN PROCESO]],"")</f>
        <v>997589.44535055978</v>
      </c>
      <c r="R111" s="3">
        <f>+REG_STOCK[[#This Row],[VALOR UNITARIO]]*REG_STOCK[[#This Row],[STOCK FISICO]]</f>
        <v>3683481.9515885022</v>
      </c>
    </row>
    <row r="112" spans="1:18" hidden="1" x14ac:dyDescent="0.25">
      <c r="A112" s="1">
        <v>46181</v>
      </c>
      <c r="B112">
        <v>701040</v>
      </c>
      <c r="C112" s="81" t="s">
        <v>19</v>
      </c>
      <c r="D112" s="81" t="s">
        <v>18</v>
      </c>
      <c r="E112">
        <v>1055</v>
      </c>
      <c r="F112">
        <v>0</v>
      </c>
      <c r="G112">
        <v>186</v>
      </c>
      <c r="H112" s="81" t="str">
        <f>+_xlfn.XLOOKUP(REG_STOCK[[#This Row],[CODIGO]],PRODUCTOS[CODIGO],PRODUCTOS[DESC CORTA],"",0)</f>
        <v>VOLCANITA RF</v>
      </c>
      <c r="I112" s="76">
        <f>SUMIFS(DETALLE_GD_1[CANTIDAD RECEPCIONADA],DETALLE_GD_1[CODIGO],REG_STOCK[[#This Row],[CODIGO]],DETALLE_GD_1[FECHA SOLICITUD],"&lt;="&amp;REG_STOCK[[#This Row],[FECHA STOCK ]])+97</f>
        <v>1152</v>
      </c>
      <c r="J112" s="81">
        <f>+REG_STOCK[[#This Row],[SOLICITADO A TF]]-REG_STOCK[[#This Row],[STOCK FISICO]]</f>
        <v>966</v>
      </c>
      <c r="K112" s="40">
        <f>+_xlfn.XLOOKUP(REG_STOCK[[#This Row],[CODIGO]],PRODUCTOS[CODIGO],PRODUCTOS[CANT X MODULO],"",0)</f>
        <v>4.2840000000000007</v>
      </c>
      <c r="L112" s="3">
        <f>+REG_STOCK[[#This Row],[CONSUMO]]/REG_STOCK[[#This Row],[CUBICACION PPTO.]]</f>
        <v>225.49019607843132</v>
      </c>
      <c r="M112" s="3">
        <f>+REG_STOCK[[#This Row],[STOCK FISICO]]/REG_STOCK[[#This Row],[CUBICACION PPTO.]]</f>
        <v>43.417366946778706</v>
      </c>
      <c r="N112" s="3">
        <f>+REG_STOCK[[#This Row],[SOLICITADO A TF]]/REG_STOCK[[#This Row],[CUBICACION PPTO.]]</f>
        <v>268.90756302521004</v>
      </c>
      <c r="O112" s="3">
        <f>IF($V$2-REG_STOCK[[#This Row],[ALCANCE FISICO]]&gt;0,"",($V$2-REG_STOCK[[#This Row],[ALCANCE FISICO]]/REG_STOCK[[#This Row],[CUBICACION PPTO.]]))</f>
        <v>1.2297938783356699</v>
      </c>
      <c r="P112" s="3">
        <f>+_xlfn.XLOOKUP(REG_STOCK[[#This Row],[CODIGO]],PRODUCTOS[CODIGO],PRODUCTOS[PRECIO COMPRA UNITARIO],"",0)</f>
        <v>7583.0947867298582</v>
      </c>
      <c r="Q112" s="3">
        <f>IFERROR(REG_STOCK[[#This Row],[VALOR UNITARIO]]*REG_STOCK[[#This Row],[PERDIDA O EN PROCESO]],"")</f>
        <v>9325.6435475595117</v>
      </c>
      <c r="R112" s="3">
        <f>+REG_STOCK[[#This Row],[VALOR UNITARIO]]*REG_STOCK[[#This Row],[STOCK FISICO]]</f>
        <v>1410455.6303317535</v>
      </c>
    </row>
    <row r="113" spans="1:18" hidden="1" x14ac:dyDescent="0.25">
      <c r="A113" s="1">
        <v>46181</v>
      </c>
      <c r="B113">
        <v>1902003</v>
      </c>
      <c r="C113" s="81" t="s">
        <v>155</v>
      </c>
      <c r="D113" s="81" t="s">
        <v>47</v>
      </c>
      <c r="E113">
        <v>87</v>
      </c>
      <c r="F113">
        <v>0</v>
      </c>
      <c r="G113">
        <v>5</v>
      </c>
      <c r="H113" s="81">
        <f>+_xlfn.XLOOKUP(REG_STOCK[[#This Row],[CODIGO]],PRODUCTOS[CODIGO],PRODUCTOS[DESC CORTA],"",0)</f>
        <v>0</v>
      </c>
      <c r="I113" s="76">
        <f>SUMIFS(DETALLE_GD_1[CANTIDAD RECEPCIONADA],DETALLE_GD_1[CODIGO],REG_STOCK[[#This Row],[CODIGO]],DETALLE_GD_1[FECHA SOLICITUD],"&lt;="&amp;REG_STOCK[[#This Row],[FECHA STOCK ]])+97</f>
        <v>184</v>
      </c>
      <c r="J113" s="81">
        <f>+REG_STOCK[[#This Row],[SOLICITADO A TF]]-REG_STOCK[[#This Row],[STOCK FISICO]]</f>
        <v>179</v>
      </c>
      <c r="K113" s="40">
        <f>+_xlfn.XLOOKUP(REG_STOCK[[#This Row],[CODIGO]],PRODUCTOS[CODIGO],PRODUCTOS[CANT X MODULO],"",0)</f>
        <v>0.41466600000000009</v>
      </c>
      <c r="L113" s="3">
        <f>+REG_STOCK[[#This Row],[CONSUMO]]/REG_STOCK[[#This Row],[CUBICACION PPTO.]]</f>
        <v>431.67271973106057</v>
      </c>
      <c r="M113" s="3">
        <f>+REG_STOCK[[#This Row],[STOCK FISICO]]/REG_STOCK[[#This Row],[CUBICACION PPTO.]]</f>
        <v>12.057897199191636</v>
      </c>
      <c r="N113" s="3">
        <f>+REG_STOCK[[#This Row],[SOLICITADO A TF]]/REG_STOCK[[#This Row],[CUBICACION PPTO.]]</f>
        <v>443.73061693025221</v>
      </c>
      <c r="O113" s="3">
        <f>IF($V$2-REG_STOCK[[#This Row],[ALCANCE FISICO]]&gt;0,"",($V$2-REG_STOCK[[#This Row],[ALCANCE FISICO]]/REG_STOCK[[#This Row],[CUBICACION PPTO.]]))</f>
        <v>-1006.0916326157731</v>
      </c>
      <c r="P113" s="3">
        <f>+_xlfn.XLOOKUP(REG_STOCK[[#This Row],[CODIGO]],PRODUCTOS[CODIGO],PRODUCTOS[PRECIO COMPRA UNITARIO],"",0)</f>
        <v>150732.2183908046</v>
      </c>
      <c r="Q113" s="3">
        <f>IFERROR(REG_STOCK[[#This Row],[VALOR UNITARIO]]*REG_STOCK[[#This Row],[PERDIDA O EN PROCESO]],"")</f>
        <v>-151650423.68860185</v>
      </c>
      <c r="R113" s="3">
        <f>+REG_STOCK[[#This Row],[VALOR UNITARIO]]*REG_STOCK[[#This Row],[STOCK FISICO]]</f>
        <v>753661.091954023</v>
      </c>
    </row>
    <row r="114" spans="1:18" hidden="1" x14ac:dyDescent="0.25">
      <c r="A114" s="1">
        <v>46181</v>
      </c>
      <c r="B114" t="s">
        <v>21</v>
      </c>
      <c r="C114" s="81" t="s">
        <v>788</v>
      </c>
      <c r="D114" s="81" t="s">
        <v>20</v>
      </c>
      <c r="E114">
        <v>728</v>
      </c>
      <c r="F114">
        <v>0.7111632270168855</v>
      </c>
      <c r="G114">
        <v>7</v>
      </c>
      <c r="H114" s="81" t="str">
        <f>+_xlfn.XLOOKUP(REG_STOCK[[#This Row],[CODIGO]],PRODUCTOS[CODIGO],PRODUCTOS[DESC CORTA],"",0)</f>
        <v>PINO 3X8X320</v>
      </c>
      <c r="I114" s="76">
        <f>SUMIFS(DETALLE_GD_1[CANTIDAD RECEPCIONADA],DETALLE_GD_1[CODIGO],REG_STOCK[[#This Row],[CODIGO]],DETALLE_GD_1[FECHA SOLICITUD],"&lt;="&amp;REG_STOCK[[#This Row],[FECHA STOCK ]])+97</f>
        <v>825</v>
      </c>
      <c r="J114" s="81">
        <f>+REG_STOCK[[#This Row],[SOLICITADO A TF]]-REG_STOCK[[#This Row],[STOCK FISICO]]</f>
        <v>818</v>
      </c>
      <c r="K114" s="40">
        <f>+_xlfn.XLOOKUP(REG_STOCK[[#This Row],[CODIGO]],PRODUCTOS[CODIGO],PRODUCTOS[CANT X MODULO],"",0)</f>
        <v>6.3000000000000007</v>
      </c>
      <c r="L114" s="3">
        <f>+REG_STOCK[[#This Row],[CONSUMO]]/REG_STOCK[[#This Row],[CUBICACION PPTO.]]</f>
        <v>129.84126984126982</v>
      </c>
      <c r="M114" s="3">
        <f>+REG_STOCK[[#This Row],[STOCK FISICO]]/REG_STOCK[[#This Row],[CUBICACION PPTO.]]</f>
        <v>1.1111111111111109</v>
      </c>
      <c r="N114" s="3">
        <f>+REG_STOCK[[#This Row],[SOLICITADO A TF]]/REG_STOCK[[#This Row],[CUBICACION PPTO.]]</f>
        <v>130.95238095238093</v>
      </c>
      <c r="O114" s="3">
        <f>IF($V$2-REG_STOCK[[#This Row],[ALCANCE FISICO]]&gt;0,"",($V$2-REG_STOCK[[#This Row],[ALCANCE FISICO]]/REG_STOCK[[#This Row],[CUBICACION PPTO.]]))</f>
        <v>43.21390778533636</v>
      </c>
      <c r="P114" s="3">
        <f>+_xlfn.XLOOKUP(REG_STOCK[[#This Row],[CODIGO]],PRODUCTOS[CODIGO],PRODUCTOS[PRECIO COMPRA UNITARIO],"",0)</f>
        <v>15451.816831683169</v>
      </c>
      <c r="Q114" s="3">
        <f>IFERROR(REG_STOCK[[#This Row],[VALOR UNITARIO]]*REG_STOCK[[#This Row],[PERDIDA O EN PROCESO]],"")</f>
        <v>667733.38768026466</v>
      </c>
      <c r="R114" s="3">
        <f>+REG_STOCK[[#This Row],[VALOR UNITARIO]]*REG_STOCK[[#This Row],[STOCK FISICO]]</f>
        <v>108162.71782178218</v>
      </c>
    </row>
    <row r="115" spans="1:18" hidden="1" x14ac:dyDescent="0.25">
      <c r="A115" s="1">
        <v>46181</v>
      </c>
      <c r="B115">
        <v>701084</v>
      </c>
      <c r="C115" s="81" t="s">
        <v>38</v>
      </c>
      <c r="D115" s="81" t="s">
        <v>18</v>
      </c>
      <c r="E115">
        <v>92</v>
      </c>
      <c r="F115">
        <v>0</v>
      </c>
      <c r="G115">
        <v>41</v>
      </c>
      <c r="H115" s="81" t="str">
        <f>+_xlfn.XLOOKUP(REG_STOCK[[#This Row],[CODIGO]],PRODUCTOS[CODIGO],PRODUCTOS[DESC CORTA],"",0)</f>
        <v>FIBROCEMENTO BALCON</v>
      </c>
      <c r="I115" s="76">
        <f>SUMIFS(DETALLE_GD_1[CANTIDAD RECEPCIONADA],DETALLE_GD_1[CODIGO],REG_STOCK[[#This Row],[CODIGO]],DETALLE_GD_1[FECHA SOLICITUD],"&lt;="&amp;REG_STOCK[[#This Row],[FECHA STOCK ]])+97</f>
        <v>189</v>
      </c>
      <c r="J115" s="81">
        <f>+REG_STOCK[[#This Row],[SOLICITADO A TF]]-REG_STOCK[[#This Row],[STOCK FISICO]]</f>
        <v>148</v>
      </c>
      <c r="K115" s="40">
        <f>+_xlfn.XLOOKUP(REG_STOCK[[#This Row],[CODIGO]],PRODUCTOS[CODIGO],PRODUCTOS[CANT X MODULO],"",0)</f>
        <v>0.69825000000000004</v>
      </c>
      <c r="L115" s="3">
        <f>+REG_STOCK[[#This Row],[CONSUMO]]/REG_STOCK[[#This Row],[CUBICACION PPTO.]]</f>
        <v>211.95846759756532</v>
      </c>
      <c r="M115" s="3">
        <f>+REG_STOCK[[#This Row],[STOCK FISICO]]/REG_STOCK[[#This Row],[CUBICACION PPTO.]]</f>
        <v>58.718224131757964</v>
      </c>
      <c r="N115" s="3">
        <f>+REG_STOCK[[#This Row],[SOLICITADO A TF]]/REG_STOCK[[#This Row],[CUBICACION PPTO.]]</f>
        <v>270.6766917293233</v>
      </c>
      <c r="O115" s="3">
        <f>IF($V$2-REG_STOCK[[#This Row],[ALCANCE FISICO]]&gt;0,"",($V$2-REG_STOCK[[#This Row],[ALCANCE FISICO]]/REG_STOCK[[#This Row],[CUBICACION PPTO.]]))</f>
        <v>-323.65011346841857</v>
      </c>
      <c r="P115" s="3">
        <f>+_xlfn.XLOOKUP(REG_STOCK[[#This Row],[CODIGO]],PRODUCTOS[CODIGO],PRODUCTOS[PRECIO COMPRA UNITARIO],"",0)</f>
        <v>39170.619565217392</v>
      </c>
      <c r="Q115" s="3">
        <f>IFERROR(REG_STOCK[[#This Row],[VALOR UNITARIO]]*REG_STOCK[[#This Row],[PERDIDA O EN PROCESO]],"")</f>
        <v>-12677575.466910865</v>
      </c>
      <c r="R115" s="3">
        <f>+REG_STOCK[[#This Row],[VALOR UNITARIO]]*REG_STOCK[[#This Row],[STOCK FISICO]]</f>
        <v>1605995.4021739131</v>
      </c>
    </row>
    <row r="116" spans="1:18" hidden="1" x14ac:dyDescent="0.25">
      <c r="A116" s="1">
        <v>46181</v>
      </c>
      <c r="B116">
        <v>5309018</v>
      </c>
      <c r="C116" s="81" t="s">
        <v>112</v>
      </c>
      <c r="D116" s="81" t="s">
        <v>26</v>
      </c>
      <c r="E116">
        <v>3200</v>
      </c>
      <c r="F116">
        <v>0</v>
      </c>
      <c r="G116">
        <v>4</v>
      </c>
      <c r="H116" s="81">
        <f>+_xlfn.XLOOKUP(REG_STOCK[[#This Row],[CODIGO]],PRODUCTOS[CODIGO],PRODUCTOS[DESC CORTA],"",0)</f>
        <v>0</v>
      </c>
      <c r="I116" s="76">
        <f>SUMIFS(DETALLE_GD_1[CANTIDAD RECEPCIONADA],DETALLE_GD_1[CODIGO],REG_STOCK[[#This Row],[CODIGO]],DETALLE_GD_1[FECHA SOLICITUD],"&lt;="&amp;REG_STOCK[[#This Row],[FECHA STOCK ]])+97</f>
        <v>3297</v>
      </c>
      <c r="J116" s="81">
        <f>+REG_STOCK[[#This Row],[SOLICITADO A TF]]-REG_STOCK[[#This Row],[STOCK FISICO]]</f>
        <v>3293</v>
      </c>
      <c r="K116" s="40">
        <f>+_xlfn.XLOOKUP(REG_STOCK[[#This Row],[CODIGO]],PRODUCTOS[CODIGO],PRODUCTOS[CANT X MODULO],"",0)</f>
        <v>34.649999999999991</v>
      </c>
      <c r="L116" s="3">
        <f>+REG_STOCK[[#This Row],[CONSUMO]]/REG_STOCK[[#This Row],[CUBICACION PPTO.]]</f>
        <v>95.036075036075061</v>
      </c>
      <c r="M116" s="3">
        <f>+REG_STOCK[[#This Row],[STOCK FISICO]]/REG_STOCK[[#This Row],[CUBICACION PPTO.]]</f>
        <v>0.11544011544011547</v>
      </c>
      <c r="N116" s="3">
        <f>+REG_STOCK[[#This Row],[SOLICITADO A TF]]/REG_STOCK[[#This Row],[CUBICACION PPTO.]]</f>
        <v>95.15151515151517</v>
      </c>
      <c r="O116" s="3">
        <f>IF($V$2-REG_STOCK[[#This Row],[ALCANCE FISICO]]&gt;0,"",($V$2-REG_STOCK[[#This Row],[ALCANCE FISICO]]/REG_STOCK[[#This Row],[CUBICACION PPTO.]]))</f>
        <v>61.253924526651801</v>
      </c>
      <c r="P116" s="3">
        <f>+_xlfn.XLOOKUP(REG_STOCK[[#This Row],[CODIGO]],PRODUCTOS[CODIGO],PRODUCTOS[PRECIO COMPRA UNITARIO],"",0)</f>
        <v>706.42250000000001</v>
      </c>
      <c r="Q116" s="3">
        <f>IFERROR(REG_STOCK[[#This Row],[VALOR UNITARIO]]*REG_STOCK[[#This Row],[PERDIDA O EN PROCESO]],"")</f>
        <v>43271.150498928684</v>
      </c>
      <c r="R116" s="3">
        <f>+REG_STOCK[[#This Row],[VALOR UNITARIO]]*REG_STOCK[[#This Row],[STOCK FISICO]]</f>
        <v>2825.69</v>
      </c>
    </row>
    <row r="117" spans="1:18" hidden="1" x14ac:dyDescent="0.25">
      <c r="A117" s="1">
        <v>46181</v>
      </c>
      <c r="B117">
        <v>1902014</v>
      </c>
      <c r="C117" s="81" t="s">
        <v>316</v>
      </c>
      <c r="D117" s="81" t="s">
        <v>18</v>
      </c>
      <c r="E117">
        <v>360</v>
      </c>
      <c r="F117">
        <v>0</v>
      </c>
      <c r="G117">
        <v>140</v>
      </c>
      <c r="H117" s="81" t="str">
        <f>+_xlfn.XLOOKUP(REG_STOCK[[#This Row],[CODIGO]],PRODUCTOS[CODIGO],PRODUCTOS[DESC CORTA],"",0)</f>
        <v>VOLCOGLASS</v>
      </c>
      <c r="I117" s="76">
        <f>SUMIFS(DETALLE_GD_1[CANTIDAD RECEPCIONADA],DETALLE_GD_1[CODIGO],REG_STOCK[[#This Row],[CODIGO]],DETALLE_GD_1[FECHA SOLICITUD],"&lt;="&amp;REG_STOCK[[#This Row],[FECHA STOCK ]])+97</f>
        <v>617</v>
      </c>
      <c r="J117" s="81">
        <f>+REG_STOCK[[#This Row],[SOLICITADO A TF]]-REG_STOCK[[#This Row],[STOCK FISICO]]</f>
        <v>477</v>
      </c>
      <c r="K117" s="40">
        <f>+_xlfn.XLOOKUP(REG_STOCK[[#This Row],[CODIGO]],PRODUCTOS[CODIGO],PRODUCTOS[CANT X MODULO],"",0)</f>
        <v>5.5125000000000002</v>
      </c>
      <c r="L117" s="3">
        <f>+REG_STOCK[[#This Row],[CONSUMO]]/REG_STOCK[[#This Row],[CUBICACION PPTO.]]</f>
        <v>86.530612244897952</v>
      </c>
      <c r="M117" s="3">
        <f>+REG_STOCK[[#This Row],[STOCK FISICO]]/REG_STOCK[[#This Row],[CUBICACION PPTO.]]</f>
        <v>25.396825396825395</v>
      </c>
      <c r="N117" s="3">
        <f>+REG_STOCK[[#This Row],[SOLICITADO A TF]]/REG_STOCK[[#This Row],[CUBICACION PPTO.]]</f>
        <v>111.92743764172336</v>
      </c>
      <c r="O117" s="3">
        <f>IF($V$2-REG_STOCK[[#This Row],[ALCANCE FISICO]]&gt;0,"",($V$2-REG_STOCK[[#This Row],[ALCANCE FISICO]]/REG_STOCK[[#This Row],[CUBICACION PPTO.]]))</f>
        <v>43.695702922136348</v>
      </c>
      <c r="P117" s="3">
        <f>+_xlfn.XLOOKUP(REG_STOCK[[#This Row],[CODIGO]],PRODUCTOS[CODIGO],PRODUCTOS[PRECIO COMPRA UNITARIO],"",0)</f>
        <v>29799.757692307692</v>
      </c>
      <c r="Q117" s="3">
        <f>IFERROR(REG_STOCK[[#This Row],[VALOR UNITARIO]]*REG_STOCK[[#This Row],[PERDIDA O EN PROCESO]],"")</f>
        <v>1302121.3592747243</v>
      </c>
      <c r="R117" s="3">
        <f>+REG_STOCK[[#This Row],[VALOR UNITARIO]]*REG_STOCK[[#This Row],[STOCK FISICO]]</f>
        <v>4171966.076923077</v>
      </c>
    </row>
    <row r="118" spans="1:18" x14ac:dyDescent="0.25">
      <c r="A118" s="1">
        <v>46188</v>
      </c>
      <c r="B118">
        <v>304007</v>
      </c>
      <c r="C118" s="81" t="s">
        <v>80</v>
      </c>
      <c r="D118" s="81" t="s">
        <v>18</v>
      </c>
      <c r="E118">
        <v>1072</v>
      </c>
      <c r="F118">
        <v>0</v>
      </c>
      <c r="G118">
        <v>78</v>
      </c>
      <c r="H118" s="81" t="str">
        <f>+_xlfn.XLOOKUP(REG_STOCK[[#This Row],[CODIGO]],PRODUCTOS[CODIGO],PRODUCTOS[DESC CORTA],"",0)</f>
        <v>OSB 11MM</v>
      </c>
      <c r="I118" s="76">
        <f>SUMIFS(DETALLE_GD_1[CANTIDAD RECEPCIONADA],DETALLE_GD_1[CODIGO],REG_STOCK[[#This Row],[CODIGO]],DETALLE_GD_1[FECHA SOLICITUD],"&lt;="&amp;REG_STOCK[[#This Row],[FECHA STOCK ]])+97</f>
        <v>1169</v>
      </c>
      <c r="J118" s="81">
        <f>+REG_STOCK[[#This Row],[SOLICITADO A TF]]-REG_STOCK[[#This Row],[STOCK FISICO]]</f>
        <v>1091</v>
      </c>
      <c r="K118" s="40">
        <f>+_xlfn.XLOOKUP(REG_STOCK[[#This Row],[CODIGO]],PRODUCTOS[CODIGO],PRODUCTOS[CANT X MODULO],"",0)</f>
        <v>8.6625000000000014</v>
      </c>
      <c r="L118" s="3">
        <f>+REG_STOCK[[#This Row],[CONSUMO]]/REG_STOCK[[#This Row],[CUBICACION PPTO.]]</f>
        <v>125.94516594516593</v>
      </c>
      <c r="M118" s="3">
        <f>+REG_STOCK[[#This Row],[STOCK FISICO]]/REG_STOCK[[#This Row],[CUBICACION PPTO.]]</f>
        <v>9.0043290043290032</v>
      </c>
      <c r="N118" s="3">
        <f>+REG_STOCK[[#This Row],[SOLICITADO A TF]]/REG_STOCK[[#This Row],[CUBICACION PPTO.]]</f>
        <v>134.94949494949492</v>
      </c>
      <c r="O118" s="3">
        <f>IF($V$2-REG_STOCK[[#This Row],[ALCANCE FISICO]]&gt;0,"",($V$2-REG_STOCK[[#This Row],[ALCANCE FISICO]]/REG_STOCK[[#This Row],[CUBICACION PPTO.]]))</f>
        <v>48.421414724445036</v>
      </c>
      <c r="P118" s="3">
        <f>+_xlfn.XLOOKUP(REG_STOCK[[#This Row],[CODIGO]],PRODUCTOS[CODIGO],PRODUCTOS[PRECIO COMPRA UNITARIO],"",0)</f>
        <v>11557.16697761194</v>
      </c>
      <c r="Q118" s="3">
        <f>IFERROR(REG_STOCK[[#This Row],[VALOR UNITARIO]]*REG_STOCK[[#This Row],[PERDIDA O EN PROCESO]],"")</f>
        <v>559614.37526260875</v>
      </c>
      <c r="R118" s="3">
        <f>+REG_STOCK[[#This Row],[VALOR UNITARIO]]*REG_STOCK[[#This Row],[STOCK FISICO]]</f>
        <v>901459.02425373124</v>
      </c>
    </row>
    <row r="119" spans="1:18" x14ac:dyDescent="0.25">
      <c r="A119" s="1">
        <v>46188</v>
      </c>
      <c r="B119">
        <v>701043</v>
      </c>
      <c r="C119" s="81" t="s">
        <v>197</v>
      </c>
      <c r="D119" s="81" t="s">
        <v>699</v>
      </c>
      <c r="E119">
        <v>956</v>
      </c>
      <c r="F119">
        <v>0</v>
      </c>
      <c r="G119">
        <v>142</v>
      </c>
      <c r="H119" s="81" t="str">
        <f>+_xlfn.XLOOKUP(REG_STOCK[[#This Row],[CODIGO]],PRODUCTOS[CODIGO],PRODUCTOS[DESC CORTA],"",0)</f>
        <v>VOLCANITA EMPAPELADA CIELO</v>
      </c>
      <c r="I119" s="76">
        <f>SUMIFS(DETALLE_GD_1[CANTIDAD RECEPCIONADA],DETALLE_GD_1[CODIGO],REG_STOCK[[#This Row],[CODIGO]],DETALLE_GD_1[FECHA SOLICITUD],"&lt;="&amp;REG_STOCK[[#This Row],[FECHA STOCK ]])+97</f>
        <v>1053</v>
      </c>
      <c r="J119" s="81">
        <f>+REG_STOCK[[#This Row],[SOLICITADO A TF]]-REG_STOCK[[#This Row],[STOCK FISICO]]</f>
        <v>911</v>
      </c>
      <c r="K119" s="40">
        <f>+_xlfn.XLOOKUP(REG_STOCK[[#This Row],[CODIGO]],PRODUCTOS[CODIGO],PRODUCTOS[CANT X MODULO],"",0)</f>
        <v>7.0875000000000012</v>
      </c>
      <c r="L119" s="3">
        <f>+REG_STOCK[[#This Row],[CONSUMO]]/REG_STOCK[[#This Row],[CUBICACION PPTO.]]</f>
        <v>128.53615520282185</v>
      </c>
      <c r="M119" s="3">
        <f>+REG_STOCK[[#This Row],[STOCK FISICO]]/REG_STOCK[[#This Row],[CUBICACION PPTO.]]</f>
        <v>20.035273368606699</v>
      </c>
      <c r="N119" s="3">
        <f>+REG_STOCK[[#This Row],[SOLICITADO A TF]]/REG_STOCK[[#This Row],[CUBICACION PPTO.]]</f>
        <v>148.57142857142856</v>
      </c>
      <c r="O119" s="3">
        <f>IF($V$2-REG_STOCK[[#This Row],[ALCANCE FISICO]]&gt;0,"",($V$2-REG_STOCK[[#This Row],[ALCANCE FISICO]]/REG_STOCK[[#This Row],[CUBICACION PPTO.]]))</f>
        <v>43.037540942302854</v>
      </c>
      <c r="P119" s="3">
        <f>+_xlfn.XLOOKUP(REG_STOCK[[#This Row],[CODIGO]],PRODUCTOS[CODIGO],PRODUCTOS[PRECIO COMPRA UNITARIO],"",0)</f>
        <v>22493.996861924687</v>
      </c>
      <c r="Q119" s="3">
        <f>IFERROR(REG_STOCK[[#This Row],[VALOR UNITARIO]]*REG_STOCK[[#This Row],[PERDIDA O EN PROCESO]],"")</f>
        <v>968086.31090111565</v>
      </c>
      <c r="R119" s="3">
        <f>+REG_STOCK[[#This Row],[VALOR UNITARIO]]*REG_STOCK[[#This Row],[STOCK FISICO]]</f>
        <v>3194147.5543933054</v>
      </c>
    </row>
    <row r="120" spans="1:18" x14ac:dyDescent="0.25">
      <c r="A120" s="1">
        <v>46188</v>
      </c>
      <c r="B120">
        <v>302046</v>
      </c>
      <c r="C120" s="81" t="s">
        <v>519</v>
      </c>
      <c r="D120" s="81" t="s">
        <v>20</v>
      </c>
      <c r="E120">
        <v>4549</v>
      </c>
      <c r="F120">
        <v>0</v>
      </c>
      <c r="G120">
        <v>348</v>
      </c>
      <c r="H120" s="81" t="str">
        <f>+_xlfn.XLOOKUP(REG_STOCK[[#This Row],[CODIGO]],PRODUCTOS[CODIGO],PRODUCTOS[DESC CORTA],"",0)</f>
        <v>PINO 2X6X400</v>
      </c>
      <c r="I120" s="76">
        <f>SUMIFS(DETALLE_GD_1[CANTIDAD RECEPCIONADA],DETALLE_GD_1[CODIGO],REG_STOCK[[#This Row],[CODIGO]],DETALLE_GD_1[FECHA SOLICITUD],"&lt;="&amp;REG_STOCK[[#This Row],[FECHA STOCK ]])+97</f>
        <v>4646</v>
      </c>
      <c r="J120" s="81">
        <f>+REG_STOCK[[#This Row],[SOLICITADO A TF]]-REG_STOCK[[#This Row],[STOCK FISICO]]</f>
        <v>4298</v>
      </c>
      <c r="K120" s="40">
        <f>+_xlfn.XLOOKUP(REG_STOCK[[#This Row],[CODIGO]],PRODUCTOS[CODIGO],PRODUCTOS[CANT X MODULO],"",0)</f>
        <v>34.65</v>
      </c>
      <c r="L120" s="3">
        <f>+REG_STOCK[[#This Row],[CONSUMO]]/REG_STOCK[[#This Row],[CUBICACION PPTO.]]</f>
        <v>124.04040404040404</v>
      </c>
      <c r="M120" s="3">
        <f>+REG_STOCK[[#This Row],[STOCK FISICO]]/REG_STOCK[[#This Row],[CUBICACION PPTO.]]</f>
        <v>10.043290043290044</v>
      </c>
      <c r="N120" s="3">
        <f>+REG_STOCK[[#This Row],[SOLICITADO A TF]]/REG_STOCK[[#This Row],[CUBICACION PPTO.]]</f>
        <v>134.0836940836941</v>
      </c>
      <c r="O120" s="3">
        <f>IF($V$2-REG_STOCK[[#This Row],[ALCANCE FISICO]]&gt;0,"",($V$2-REG_STOCK[[#This Row],[ALCANCE FISICO]]/REG_STOCK[[#This Row],[CUBICACION PPTO.]]))</f>
        <v>60.130340719085311</v>
      </c>
      <c r="P120" s="3">
        <f>+_xlfn.XLOOKUP(REG_STOCK[[#This Row],[CODIGO]],PRODUCTOS[CODIGO],PRODUCTOS[PRECIO COMPRA UNITARIO],"",0)</f>
        <v>10292.490437458782</v>
      </c>
      <c r="Q120" s="3">
        <f>IFERROR(REG_STOCK[[#This Row],[VALOR UNITARIO]]*REG_STOCK[[#This Row],[PERDIDA O EN PROCESO]],"")</f>
        <v>618890.95685232396</v>
      </c>
      <c r="R120" s="3">
        <f>+REG_STOCK[[#This Row],[VALOR UNITARIO]]*REG_STOCK[[#This Row],[STOCK FISICO]]</f>
        <v>3581786.6722356561</v>
      </c>
    </row>
    <row r="121" spans="1:18" x14ac:dyDescent="0.25">
      <c r="A121" s="1">
        <v>46188</v>
      </c>
      <c r="B121">
        <v>302010</v>
      </c>
      <c r="C121" s="81" t="s">
        <v>514</v>
      </c>
      <c r="D121" s="81" t="s">
        <v>20</v>
      </c>
      <c r="E121">
        <v>3024</v>
      </c>
      <c r="F121">
        <v>0</v>
      </c>
      <c r="G121">
        <v>0</v>
      </c>
      <c r="H121" s="81" t="str">
        <f>+_xlfn.XLOOKUP(REG_STOCK[[#This Row],[CODIGO]],PRODUCTOS[CODIGO],PRODUCTOS[DESC CORTA],"",0)</f>
        <v>PINO 2X6X320</v>
      </c>
      <c r="I121" s="76">
        <f>SUMIFS(DETALLE_GD_1[CANTIDAD RECEPCIONADA],DETALLE_GD_1[CODIGO],REG_STOCK[[#This Row],[CODIGO]],DETALLE_GD_1[FECHA SOLICITUD],"&lt;="&amp;REG_STOCK[[#This Row],[FECHA STOCK ]])+97</f>
        <v>3121</v>
      </c>
      <c r="J121" s="81">
        <f>+REG_STOCK[[#This Row],[SOLICITADO A TF]]-REG_STOCK[[#This Row],[STOCK FISICO]]</f>
        <v>3121</v>
      </c>
      <c r="K121" s="40">
        <f>+_xlfn.XLOOKUP(REG_STOCK[[#This Row],[CODIGO]],PRODUCTOS[CODIGO],PRODUCTOS[CANT X MODULO],"",0)</f>
        <v>34.912500000000023</v>
      </c>
      <c r="L121" s="3">
        <f>+REG_STOCK[[#This Row],[CONSUMO]]/REG_STOCK[[#This Row],[CUBICACION PPTO.]]</f>
        <v>89.394915861081216</v>
      </c>
      <c r="M121" s="3">
        <f>+REG_STOCK[[#This Row],[STOCK FISICO]]/REG_STOCK[[#This Row],[CUBICACION PPTO.]]</f>
        <v>0</v>
      </c>
      <c r="N121" s="3">
        <f>+REG_STOCK[[#This Row],[SOLICITADO A TF]]/REG_STOCK[[#This Row],[CUBICACION PPTO.]]</f>
        <v>89.394915861081216</v>
      </c>
      <c r="O121" s="3">
        <f>IF($V$2-REG_STOCK[[#This Row],[ALCANCE FISICO]]&gt;0,"",($V$2-REG_STOCK[[#This Row],[ALCANCE FISICO]]/REG_STOCK[[#This Row],[CUBICACION PPTO.]]))</f>
        <v>61.439458192307022</v>
      </c>
      <c r="P121" s="3">
        <f>+_xlfn.XLOOKUP(REG_STOCK[[#This Row],[CODIGO]],PRODUCTOS[CODIGO],PRODUCTOS[PRECIO COMPRA UNITARIO],"",0)</f>
        <v>5566.8590808416393</v>
      </c>
      <c r="Q121" s="3">
        <f>IFERROR(REG_STOCK[[#This Row],[VALOR UNITARIO]]*REG_STOCK[[#This Row],[PERDIDA O EN PROCESO]],"")</f>
        <v>342024.80575983459</v>
      </c>
      <c r="R121" s="3">
        <f>+REG_STOCK[[#This Row],[VALOR UNITARIO]]*REG_STOCK[[#This Row],[STOCK FISICO]]</f>
        <v>0</v>
      </c>
    </row>
    <row r="122" spans="1:18" x14ac:dyDescent="0.25">
      <c r="A122" s="1">
        <v>46188</v>
      </c>
      <c r="B122">
        <v>1901008</v>
      </c>
      <c r="C122" s="81" t="s">
        <v>750</v>
      </c>
      <c r="D122" s="81" t="s">
        <v>26</v>
      </c>
      <c r="E122">
        <v>6207</v>
      </c>
      <c r="F122">
        <v>0</v>
      </c>
      <c r="G122">
        <v>7</v>
      </c>
      <c r="H122" s="81" t="str">
        <f>+_xlfn.XLOOKUP(REG_STOCK[[#This Row],[CODIGO]],PRODUCTOS[CODIGO],PRODUCTOS[DESC CORTA],"",0)</f>
        <v>AISLAN GLASS 90MM</v>
      </c>
      <c r="I122" s="76">
        <f>SUMIFS(DETALLE_GD_1[CANTIDAD RECEPCIONADA],DETALLE_GD_1[CODIGO],REG_STOCK[[#This Row],[CODIGO]],DETALLE_GD_1[FECHA SOLICITUD],"&lt;="&amp;REG_STOCK[[#This Row],[FECHA STOCK ]])+97</f>
        <v>6304</v>
      </c>
      <c r="J122" s="81">
        <f>+REG_STOCK[[#This Row],[SOLICITADO A TF]]-REG_STOCK[[#This Row],[STOCK FISICO]]</f>
        <v>6297</v>
      </c>
      <c r="K122" s="40">
        <f>+_xlfn.XLOOKUP(REG_STOCK[[#This Row],[CODIGO]],PRODUCTOS[CODIGO],PRODUCTOS[CANT X MODULO],"",0)</f>
        <v>62.430325650000007</v>
      </c>
      <c r="L122" s="3">
        <f>+REG_STOCK[[#This Row],[CONSUMO]]/REG_STOCK[[#This Row],[CUBICACION PPTO.]]</f>
        <v>100.86444263165555</v>
      </c>
      <c r="M122" s="3">
        <f>+REG_STOCK[[#This Row],[STOCK FISICO]]/REG_STOCK[[#This Row],[CUBICACION PPTO.]]</f>
        <v>0.11212499577919467</v>
      </c>
      <c r="N122" s="3">
        <f>+REG_STOCK[[#This Row],[SOLICITADO A TF]]/REG_STOCK[[#This Row],[CUBICACION PPTO.]]</f>
        <v>100.97656762743475</v>
      </c>
      <c r="O122" s="3">
        <f>IF($V$2-REG_STOCK[[#This Row],[ALCANCE FISICO]]&gt;0,"",($V$2-REG_STOCK[[#This Row],[ALCANCE FISICO]]/REG_STOCK[[#This Row],[CUBICACION PPTO.]]))</f>
        <v>62.382571825853759</v>
      </c>
      <c r="P122" s="3">
        <f>+_xlfn.XLOOKUP(REG_STOCK[[#This Row],[CODIGO]],PRODUCTOS[CODIGO],PRODUCTOS[PRECIO COMPRA UNITARIO],"",0)</f>
        <v>2059.785564685033</v>
      </c>
      <c r="Q122" s="3">
        <f>IFERROR(REG_STOCK[[#This Row],[VALOR UNITARIO]]*REG_STOCK[[#This Row],[PERDIDA O EN PROCESO]],"")</f>
        <v>128494.72093482081</v>
      </c>
      <c r="R122" s="3">
        <f>+REG_STOCK[[#This Row],[VALOR UNITARIO]]*REG_STOCK[[#This Row],[STOCK FISICO]]</f>
        <v>14418.498952795231</v>
      </c>
    </row>
    <row r="123" spans="1:18" x14ac:dyDescent="0.25">
      <c r="A123" s="1">
        <v>46188</v>
      </c>
      <c r="B123">
        <v>304002</v>
      </c>
      <c r="C123" s="81" t="s">
        <v>37</v>
      </c>
      <c r="D123" s="81" t="s">
        <v>18</v>
      </c>
      <c r="E123">
        <v>2207</v>
      </c>
      <c r="F123">
        <v>0</v>
      </c>
      <c r="G123">
        <v>180</v>
      </c>
      <c r="H123" s="81" t="str">
        <f>+_xlfn.XLOOKUP(REG_STOCK[[#This Row],[CODIGO]],PRODUCTOS[CODIGO],PRODUCTOS[DESC CORTA],"",0)</f>
        <v>SMARTPANEL</v>
      </c>
      <c r="I123" s="76">
        <f>SUMIFS(DETALLE_GD_1[CANTIDAD RECEPCIONADA],DETALLE_GD_1[CODIGO],REG_STOCK[[#This Row],[CODIGO]],DETALLE_GD_1[FECHA SOLICITUD],"&lt;="&amp;REG_STOCK[[#This Row],[FECHA STOCK ]])+97</f>
        <v>2304</v>
      </c>
      <c r="J123" s="81">
        <f>+REG_STOCK[[#This Row],[SOLICITADO A TF]]-REG_STOCK[[#This Row],[STOCK FISICO]]</f>
        <v>2124</v>
      </c>
      <c r="K123" s="40">
        <f>+_xlfn.XLOOKUP(REG_STOCK[[#This Row],[CODIGO]],PRODUCTOS[CODIGO],PRODUCTOS[CANT X MODULO],"",0)</f>
        <v>23.296874999999996</v>
      </c>
      <c r="L123" s="3">
        <f>+REG_STOCK[[#This Row],[CONSUMO]]/REG_STOCK[[#This Row],[CUBICACION PPTO.]]</f>
        <v>91.171026156941664</v>
      </c>
      <c r="M123" s="3">
        <f>+REG_STOCK[[#This Row],[STOCK FISICO]]/REG_STOCK[[#This Row],[CUBICACION PPTO.]]</f>
        <v>7.726358148893361</v>
      </c>
      <c r="N123" s="3">
        <f>+REG_STOCK[[#This Row],[SOLICITADO A TF]]/REG_STOCK[[#This Row],[CUBICACION PPTO.]]</f>
        <v>98.897384305835018</v>
      </c>
      <c r="O123" s="3">
        <f>IF($V$2-REG_STOCK[[#This Row],[ALCANCE FISICO]]&gt;0,"",($V$2-REG_STOCK[[#This Row],[ALCANCE FISICO]]/REG_STOCK[[#This Row],[CUBICACION PPTO.]]))</f>
        <v>59.754907715913184</v>
      </c>
      <c r="P123" s="3">
        <f>+_xlfn.XLOOKUP(REG_STOCK[[#This Row],[CODIGO]],PRODUCTOS[CODIGO],PRODUCTOS[PRECIO COMPRA UNITARIO],"",0)</f>
        <v>21579.067512460355</v>
      </c>
      <c r="Q123" s="3">
        <f>IFERROR(REG_STOCK[[#This Row],[VALOR UNITARIO]]*REG_STOCK[[#This Row],[PERDIDA O EN PROCESO]],"")</f>
        <v>1289455.1878025287</v>
      </c>
      <c r="R123" s="3">
        <f>+REG_STOCK[[#This Row],[VALOR UNITARIO]]*REG_STOCK[[#This Row],[STOCK FISICO]]</f>
        <v>3884232.152242864</v>
      </c>
    </row>
    <row r="124" spans="1:18" x14ac:dyDescent="0.25">
      <c r="A124" s="1">
        <v>46188</v>
      </c>
      <c r="B124">
        <v>304101</v>
      </c>
      <c r="C124" s="81" t="s">
        <v>698</v>
      </c>
      <c r="D124" s="81" t="s">
        <v>18</v>
      </c>
      <c r="E124">
        <v>4801</v>
      </c>
      <c r="F124">
        <v>0</v>
      </c>
      <c r="G124">
        <v>296</v>
      </c>
      <c r="H124" s="81" t="str">
        <f>+_xlfn.XLOOKUP(REG_STOCK[[#This Row],[CODIGO]],PRODUCTOS[CODIGO],PRODUCTOS[DESC CORTA],"",0)</f>
        <v>OSB 9.5</v>
      </c>
      <c r="I124" s="76">
        <f>SUMIFS(DETALLE_GD_1[CANTIDAD RECEPCIONADA],DETALLE_GD_1[CODIGO],REG_STOCK[[#This Row],[CODIGO]],DETALLE_GD_1[FECHA SOLICITUD],"&lt;="&amp;REG_STOCK[[#This Row],[FECHA STOCK ]])+97</f>
        <v>4898</v>
      </c>
      <c r="J124" s="81">
        <f>+REG_STOCK[[#This Row],[SOLICITADO A TF]]-REG_STOCK[[#This Row],[STOCK FISICO]]</f>
        <v>4602</v>
      </c>
      <c r="K124" s="40">
        <f>+_xlfn.XLOOKUP(REG_STOCK[[#This Row],[CODIGO]],PRODUCTOS[CODIGO],PRODUCTOS[CANT X MODULO],"",0)</f>
        <v>47.643749999999976</v>
      </c>
      <c r="L124" s="3">
        <f>+REG_STOCK[[#This Row],[CONSUMO]]/REG_STOCK[[#This Row],[CUBICACION PPTO.]]</f>
        <v>96.591892955529374</v>
      </c>
      <c r="M124" s="3">
        <f>+REG_STOCK[[#This Row],[STOCK FISICO]]/REG_STOCK[[#This Row],[CUBICACION PPTO.]]</f>
        <v>6.2127771218680339</v>
      </c>
      <c r="N124" s="3">
        <f>+REG_STOCK[[#This Row],[SOLICITADO A TF]]/REG_STOCK[[#This Row],[CUBICACION PPTO.]]</f>
        <v>102.8046700773974</v>
      </c>
      <c r="O124" s="3">
        <f>IF($V$2-REG_STOCK[[#This Row],[ALCANCE FISICO]]&gt;0,"",($V$2-REG_STOCK[[#This Row],[ALCANCE FISICO]]/REG_STOCK[[#This Row],[CUBICACION PPTO.]]))</f>
        <v>61.842221276087685</v>
      </c>
      <c r="P124" s="3">
        <f>+_xlfn.XLOOKUP(REG_STOCK[[#This Row],[CODIGO]],PRODUCTOS[CODIGO],PRODUCTOS[PRECIO COMPRA UNITARIO],"",0)</f>
        <v>9652.5142678608627</v>
      </c>
      <c r="Q124" s="3">
        <f>IFERROR(REG_STOCK[[#This Row],[VALOR UNITARIO]]*REG_STOCK[[#This Row],[PERDIDA O EN PROCESO]],"")</f>
        <v>596932.92322364496</v>
      </c>
      <c r="R124" s="3">
        <f>+REG_STOCK[[#This Row],[VALOR UNITARIO]]*REG_STOCK[[#This Row],[STOCK FISICO]]</f>
        <v>2857144.2232868155</v>
      </c>
    </row>
    <row r="125" spans="1:18" x14ac:dyDescent="0.25">
      <c r="A125" s="1">
        <v>46188</v>
      </c>
      <c r="B125">
        <v>302028</v>
      </c>
      <c r="C125" s="81" t="s">
        <v>515</v>
      </c>
      <c r="D125" s="81" t="s">
        <v>20</v>
      </c>
      <c r="E125">
        <v>9841</v>
      </c>
      <c r="F125">
        <v>0</v>
      </c>
      <c r="G125">
        <v>240</v>
      </c>
      <c r="H125" s="81" t="str">
        <f>+_xlfn.XLOOKUP(REG_STOCK[[#This Row],[CODIGO]],PRODUCTOS[CODIGO],PRODUCTOS[DESC CORTA],"",0)</f>
        <v>PINO 2X4X320</v>
      </c>
      <c r="I125" s="76">
        <f>SUMIFS(DETALLE_GD_1[CANTIDAD RECEPCIONADA],DETALLE_GD_1[CODIGO],REG_STOCK[[#This Row],[CODIGO]],DETALLE_GD_1[FECHA SOLICITUD],"&lt;="&amp;REG_STOCK[[#This Row],[FECHA STOCK ]])+97</f>
        <v>9938</v>
      </c>
      <c r="J125" s="81">
        <f>+REG_STOCK[[#This Row],[SOLICITADO A TF]]-REG_STOCK[[#This Row],[STOCK FISICO]]</f>
        <v>9698</v>
      </c>
      <c r="K125" s="40">
        <f>+_xlfn.XLOOKUP(REG_STOCK[[#This Row],[CODIGO]],PRODUCTOS[CODIGO],PRODUCTOS[CANT X MODULO],"",0)</f>
        <v>172.72499999999994</v>
      </c>
      <c r="L125" s="3">
        <f>+REG_STOCK[[#This Row],[CONSUMO]]/REG_STOCK[[#This Row],[CUBICACION PPTO.]]</f>
        <v>56.147054566507471</v>
      </c>
      <c r="M125" s="3">
        <f>+REG_STOCK[[#This Row],[STOCK FISICO]]/REG_STOCK[[#This Row],[CUBICACION PPTO.]]</f>
        <v>1.3894919669995662</v>
      </c>
      <c r="N125" s="3">
        <f>+REG_STOCK[[#This Row],[SOLICITADO A TF]]/REG_STOCK[[#This Row],[CUBICACION PPTO.]]</f>
        <v>57.536546533507043</v>
      </c>
      <c r="O125" s="3" t="str">
        <f>IF($V$2-REG_STOCK[[#This Row],[ALCANCE FISICO]]&gt;0,"",($V$2-REG_STOCK[[#This Row],[ALCANCE FISICO]]/REG_STOCK[[#This Row],[CUBICACION PPTO.]]))</f>
        <v/>
      </c>
      <c r="P125" s="3">
        <f>+_xlfn.XLOOKUP(REG_STOCK[[#This Row],[CODIGO]],PRODUCTOS[CODIGO],PRODUCTOS[PRECIO COMPRA UNITARIO],"",0)</f>
        <v>4760.4046547265589</v>
      </c>
      <c r="Q125" s="3" t="str">
        <f>IFERROR(REG_STOCK[[#This Row],[VALOR UNITARIO]]*REG_STOCK[[#This Row],[PERDIDA O EN PROCESO]],"")</f>
        <v/>
      </c>
      <c r="R125" s="3">
        <f>+REG_STOCK[[#This Row],[VALOR UNITARIO]]*REG_STOCK[[#This Row],[STOCK FISICO]]</f>
        <v>1142497.1171343741</v>
      </c>
    </row>
    <row r="126" spans="1:18" x14ac:dyDescent="0.25">
      <c r="A126" s="1">
        <v>46188</v>
      </c>
      <c r="B126">
        <v>304049</v>
      </c>
      <c r="C126" s="81" t="s">
        <v>318</v>
      </c>
      <c r="D126" s="81" t="s">
        <v>18</v>
      </c>
      <c r="E126">
        <v>2315</v>
      </c>
      <c r="F126">
        <v>0</v>
      </c>
      <c r="G126">
        <v>154</v>
      </c>
      <c r="H126" s="81" t="str">
        <f>+_xlfn.XLOOKUP(REG_STOCK[[#This Row],[CODIGO]],PRODUCTOS[CODIGO],PRODUCTOS[DESC CORTA],"",0)</f>
        <v>TERCIADO FENOLICO</v>
      </c>
      <c r="I126" s="76">
        <f>SUMIFS(DETALLE_GD_1[CANTIDAD RECEPCIONADA],DETALLE_GD_1[CODIGO],REG_STOCK[[#This Row],[CODIGO]],DETALLE_GD_1[FECHA SOLICITUD],"&lt;="&amp;REG_STOCK[[#This Row],[FECHA STOCK ]])+97</f>
        <v>2412</v>
      </c>
      <c r="J126" s="81">
        <f>+REG_STOCK[[#This Row],[SOLICITADO A TF]]-REG_STOCK[[#This Row],[STOCK FISICO]]</f>
        <v>2258</v>
      </c>
      <c r="K126" s="40">
        <f>+_xlfn.XLOOKUP(REG_STOCK[[#This Row],[CODIGO]],PRODUCTOS[CODIGO],PRODUCTOS[CANT X MODULO],"",0)</f>
        <v>23.273250000000008</v>
      </c>
      <c r="L126" s="3">
        <f>+REG_STOCK[[#This Row],[CONSUMO]]/REG_STOCK[[#This Row],[CUBICACION PPTO.]]</f>
        <v>97.021258311580866</v>
      </c>
      <c r="M126" s="3">
        <f>+REG_STOCK[[#This Row],[STOCK FISICO]]/REG_STOCK[[#This Row],[CUBICACION PPTO.]]</f>
        <v>6.6170388751033888</v>
      </c>
      <c r="N126" s="3">
        <f>+REG_STOCK[[#This Row],[SOLICITADO A TF]]/REG_STOCK[[#This Row],[CUBICACION PPTO.]]</f>
        <v>103.63829718668424</v>
      </c>
      <c r="O126" s="3">
        <f>IF($V$2-REG_STOCK[[#This Row],[ALCANCE FISICO]]&gt;0,"",($V$2-REG_STOCK[[#This Row],[ALCANCE FISICO]]/REG_STOCK[[#This Row],[CUBICACION PPTO.]]))</f>
        <v>59.54689193874151</v>
      </c>
      <c r="P126" s="3">
        <f>+_xlfn.XLOOKUP(REG_STOCK[[#This Row],[CODIGO]],PRODUCTOS[CODIGO],PRODUCTOS[PRECIO COMPRA UNITARIO],"",0)</f>
        <v>15018.620734341253</v>
      </c>
      <c r="Q126" s="3">
        <f>IFERROR(REG_STOCK[[#This Row],[VALOR UNITARIO]]*REG_STOCK[[#This Row],[PERDIDA O EN PROCESO]],"")</f>
        <v>894312.18593676132</v>
      </c>
      <c r="R126" s="3">
        <f>+REG_STOCK[[#This Row],[VALOR UNITARIO]]*REG_STOCK[[#This Row],[STOCK FISICO]]</f>
        <v>2312867.5930885528</v>
      </c>
    </row>
    <row r="127" spans="1:18" x14ac:dyDescent="0.25">
      <c r="A127" s="1">
        <v>46188</v>
      </c>
      <c r="B127">
        <v>701096</v>
      </c>
      <c r="C127" s="81" t="s">
        <v>204</v>
      </c>
      <c r="D127" s="81" t="s">
        <v>18</v>
      </c>
      <c r="E127">
        <v>2644</v>
      </c>
      <c r="F127">
        <v>0</v>
      </c>
      <c r="G127">
        <v>308</v>
      </c>
      <c r="H127" s="81" t="str">
        <f>+_xlfn.XLOOKUP(REG_STOCK[[#This Row],[CODIGO]],PRODUCTOS[CODIGO],PRODUCTOS[DESC CORTA],"",0)</f>
        <v>VOCANITA EMPAPELADA MURO</v>
      </c>
      <c r="I127" s="76">
        <f>SUMIFS(DETALLE_GD_1[CANTIDAD RECEPCIONADA],DETALLE_GD_1[CODIGO],REG_STOCK[[#This Row],[CODIGO]],DETALLE_GD_1[FECHA SOLICITUD],"&lt;="&amp;REG_STOCK[[#This Row],[FECHA STOCK ]])+97</f>
        <v>2741</v>
      </c>
      <c r="J127" s="81">
        <f>+REG_STOCK[[#This Row],[SOLICITADO A TF]]-REG_STOCK[[#This Row],[STOCK FISICO]]</f>
        <v>2433</v>
      </c>
      <c r="K127" s="40">
        <f>+_xlfn.XLOOKUP(REG_STOCK[[#This Row],[CODIGO]],PRODUCTOS[CODIGO],PRODUCTOS[CANT X MODULO],"",0)</f>
        <v>31.237499999999997</v>
      </c>
      <c r="L127" s="3">
        <f>+REG_STOCK[[#This Row],[CONSUMO]]/REG_STOCK[[#This Row],[CUBICACION PPTO.]]</f>
        <v>77.887154861944779</v>
      </c>
      <c r="M127" s="3">
        <f>+REG_STOCK[[#This Row],[STOCK FISICO]]/REG_STOCK[[#This Row],[CUBICACION PPTO.]]</f>
        <v>9.8599439775910369</v>
      </c>
      <c r="N127" s="3">
        <f>+REG_STOCK[[#This Row],[SOLICITADO A TF]]/REG_STOCK[[#This Row],[CUBICACION PPTO.]]</f>
        <v>87.747098839535823</v>
      </c>
      <c r="O127" s="3">
        <f>IF($V$2-REG_STOCK[[#This Row],[ALCANCE FISICO]]&gt;0,"",($V$2-REG_STOCK[[#This Row],[ALCANCE FISICO]]/REG_STOCK[[#This Row],[CUBICACION PPTO.]]))</f>
        <v>61.190969224824784</v>
      </c>
      <c r="P127" s="3">
        <f>+_xlfn.XLOOKUP(REG_STOCK[[#This Row],[CODIGO]],PRODUCTOS[CODIGO],PRODUCTOS[PRECIO COMPRA UNITARIO],"",0)</f>
        <v>16226.792738275341</v>
      </c>
      <c r="Q127" s="3">
        <f>IFERROR(REG_STOCK[[#This Row],[VALOR UNITARIO]]*REG_STOCK[[#This Row],[PERDIDA O EN PROCESO]],"")</f>
        <v>992933.17506541661</v>
      </c>
      <c r="R127" s="3">
        <f>+REG_STOCK[[#This Row],[VALOR UNITARIO]]*REG_STOCK[[#This Row],[STOCK FISICO]]</f>
        <v>4997852.1633888045</v>
      </c>
    </row>
    <row r="128" spans="1:18" x14ac:dyDescent="0.25">
      <c r="A128" s="1">
        <v>46188</v>
      </c>
      <c r="B128">
        <v>701040</v>
      </c>
      <c r="C128" s="81" t="s">
        <v>19</v>
      </c>
      <c r="D128" s="81" t="s">
        <v>18</v>
      </c>
      <c r="E128">
        <v>1055</v>
      </c>
      <c r="F128">
        <v>0</v>
      </c>
      <c r="G128">
        <v>129</v>
      </c>
      <c r="H128" s="81" t="str">
        <f>+_xlfn.XLOOKUP(REG_STOCK[[#This Row],[CODIGO]],PRODUCTOS[CODIGO],PRODUCTOS[DESC CORTA],"",0)</f>
        <v>VOLCANITA RF</v>
      </c>
      <c r="I128" s="76">
        <f>SUMIFS(DETALLE_GD_1[CANTIDAD RECEPCIONADA],DETALLE_GD_1[CODIGO],REG_STOCK[[#This Row],[CODIGO]],DETALLE_GD_1[FECHA SOLICITUD],"&lt;="&amp;REG_STOCK[[#This Row],[FECHA STOCK ]])+97</f>
        <v>1152</v>
      </c>
      <c r="J128" s="81">
        <f>+REG_STOCK[[#This Row],[SOLICITADO A TF]]-REG_STOCK[[#This Row],[STOCK FISICO]]</f>
        <v>1023</v>
      </c>
      <c r="K128" s="40">
        <f>+_xlfn.XLOOKUP(REG_STOCK[[#This Row],[CODIGO]],PRODUCTOS[CODIGO],PRODUCTOS[CANT X MODULO],"",0)</f>
        <v>4.2840000000000007</v>
      </c>
      <c r="L128" s="3">
        <f>+REG_STOCK[[#This Row],[CONSUMO]]/REG_STOCK[[#This Row],[CUBICACION PPTO.]]</f>
        <v>238.79551820728287</v>
      </c>
      <c r="M128" s="3">
        <f>+REG_STOCK[[#This Row],[STOCK FISICO]]/REG_STOCK[[#This Row],[CUBICACION PPTO.]]</f>
        <v>30.112044817927167</v>
      </c>
      <c r="N128" s="3">
        <f>+REG_STOCK[[#This Row],[SOLICITADO A TF]]/REG_STOCK[[#This Row],[CUBICACION PPTO.]]</f>
        <v>268.90756302521004</v>
      </c>
      <c r="O128" s="3">
        <f>IF($V$2-REG_STOCK[[#This Row],[ALCANCE FISICO]]&gt;0,"",($V$2-REG_STOCK[[#This Row],[ALCANCE FISICO]]/REG_STOCK[[#This Row],[CUBICACION PPTO.]]))</f>
        <v>1.2297938783356699</v>
      </c>
      <c r="P128" s="3">
        <f>+_xlfn.XLOOKUP(REG_STOCK[[#This Row],[CODIGO]],PRODUCTOS[CODIGO],PRODUCTOS[PRECIO COMPRA UNITARIO],"",0)</f>
        <v>7583.0947867298582</v>
      </c>
      <c r="Q128" s="3">
        <f>IFERROR(REG_STOCK[[#This Row],[VALOR UNITARIO]]*REG_STOCK[[#This Row],[PERDIDA O EN PROCESO]],"")</f>
        <v>9325.6435475595117</v>
      </c>
      <c r="R128" s="3">
        <f>+REG_STOCK[[#This Row],[VALOR UNITARIO]]*REG_STOCK[[#This Row],[STOCK FISICO]]</f>
        <v>978219.22748815175</v>
      </c>
    </row>
    <row r="129" spans="1:18" x14ac:dyDescent="0.25">
      <c r="A129" s="1">
        <v>46188</v>
      </c>
      <c r="B129">
        <v>1902003</v>
      </c>
      <c r="C129" s="81" t="s">
        <v>155</v>
      </c>
      <c r="D129" s="81" t="s">
        <v>47</v>
      </c>
      <c r="E129">
        <v>87</v>
      </c>
      <c r="F129">
        <v>0</v>
      </c>
      <c r="G129">
        <v>19</v>
      </c>
      <c r="H129" s="81">
        <f>+_xlfn.XLOOKUP(REG_STOCK[[#This Row],[CODIGO]],PRODUCTOS[CODIGO],PRODUCTOS[DESC CORTA],"",0)</f>
        <v>0</v>
      </c>
      <c r="I129" s="76">
        <f>SUMIFS(DETALLE_GD_1[CANTIDAD RECEPCIONADA],DETALLE_GD_1[CODIGO],REG_STOCK[[#This Row],[CODIGO]],DETALLE_GD_1[FECHA SOLICITUD],"&lt;="&amp;REG_STOCK[[#This Row],[FECHA STOCK ]])+97</f>
        <v>184</v>
      </c>
      <c r="J129" s="81">
        <f>+REG_STOCK[[#This Row],[SOLICITADO A TF]]-REG_STOCK[[#This Row],[STOCK FISICO]]</f>
        <v>165</v>
      </c>
      <c r="K129" s="40">
        <f>+_xlfn.XLOOKUP(REG_STOCK[[#This Row],[CODIGO]],PRODUCTOS[CODIGO],PRODUCTOS[CANT X MODULO],"",0)</f>
        <v>0.41466600000000009</v>
      </c>
      <c r="L129" s="3">
        <f>+REG_STOCK[[#This Row],[CONSUMO]]/REG_STOCK[[#This Row],[CUBICACION PPTO.]]</f>
        <v>397.910607573324</v>
      </c>
      <c r="M129" s="3">
        <f>+REG_STOCK[[#This Row],[STOCK FISICO]]/REG_STOCK[[#This Row],[CUBICACION PPTO.]]</f>
        <v>45.820009356928217</v>
      </c>
      <c r="N129" s="3">
        <f>+REG_STOCK[[#This Row],[SOLICITADO A TF]]/REG_STOCK[[#This Row],[CUBICACION PPTO.]]</f>
        <v>443.73061693025221</v>
      </c>
      <c r="O129" s="3">
        <f>IF($V$2-REG_STOCK[[#This Row],[ALCANCE FISICO]]&gt;0,"",($V$2-REG_STOCK[[#This Row],[ALCANCE FISICO]]/REG_STOCK[[#This Row],[CUBICACION PPTO.]]))</f>
        <v>-1006.0916326157731</v>
      </c>
      <c r="P129" s="3">
        <f>+_xlfn.XLOOKUP(REG_STOCK[[#This Row],[CODIGO]],PRODUCTOS[CODIGO],PRODUCTOS[PRECIO COMPRA UNITARIO],"",0)</f>
        <v>150732.2183908046</v>
      </c>
      <c r="Q129" s="3">
        <f>IFERROR(REG_STOCK[[#This Row],[VALOR UNITARIO]]*REG_STOCK[[#This Row],[PERDIDA O EN PROCESO]],"")</f>
        <v>-151650423.68860185</v>
      </c>
      <c r="R129" s="3">
        <f>+REG_STOCK[[#This Row],[VALOR UNITARIO]]*REG_STOCK[[#This Row],[STOCK FISICO]]</f>
        <v>2863912.1494252873</v>
      </c>
    </row>
    <row r="130" spans="1:18" x14ac:dyDescent="0.25">
      <c r="A130" s="1">
        <v>46188</v>
      </c>
      <c r="B130" t="s">
        <v>21</v>
      </c>
      <c r="C130" s="81" t="s">
        <v>788</v>
      </c>
      <c r="D130" s="81" t="s">
        <v>20</v>
      </c>
      <c r="E130">
        <v>808</v>
      </c>
      <c r="F130">
        <v>0.52500000000000002</v>
      </c>
      <c r="G130">
        <v>0</v>
      </c>
      <c r="H130" s="81" t="str">
        <f>+_xlfn.XLOOKUP(REG_STOCK[[#This Row],[CODIGO]],PRODUCTOS[CODIGO],PRODUCTOS[DESC CORTA],"",0)</f>
        <v>PINO 3X8X320</v>
      </c>
      <c r="I130" s="76">
        <f>SUMIFS(DETALLE_GD_1[CANTIDAD RECEPCIONADA],DETALLE_GD_1[CODIGO],REG_STOCK[[#This Row],[CODIGO]],DETALLE_GD_1[FECHA SOLICITUD],"&lt;="&amp;REG_STOCK[[#This Row],[FECHA STOCK ]])+97</f>
        <v>905</v>
      </c>
      <c r="J130" s="81">
        <f>+REG_STOCK[[#This Row],[SOLICITADO A TF]]-REG_STOCK[[#This Row],[STOCK FISICO]]</f>
        <v>905</v>
      </c>
      <c r="K130" s="40">
        <f>+_xlfn.XLOOKUP(REG_STOCK[[#This Row],[CODIGO]],PRODUCTOS[CODIGO],PRODUCTOS[CANT X MODULO],"",0)</f>
        <v>6.3000000000000007</v>
      </c>
      <c r="L130" s="3">
        <f>+REG_STOCK[[#This Row],[CONSUMO]]/REG_STOCK[[#This Row],[CUBICACION PPTO.]]</f>
        <v>143.65079365079364</v>
      </c>
      <c r="M130" s="3">
        <f>+REG_STOCK[[#This Row],[STOCK FISICO]]/REG_STOCK[[#This Row],[CUBICACION PPTO.]]</f>
        <v>0</v>
      </c>
      <c r="N130" s="3">
        <f>+REG_STOCK[[#This Row],[SOLICITADO A TF]]/REG_STOCK[[#This Row],[CUBICACION PPTO.]]</f>
        <v>143.65079365079364</v>
      </c>
      <c r="O130" s="3">
        <f>IF($V$2-REG_STOCK[[#This Row],[ALCANCE FISICO]]&gt;0,"",($V$2-REG_STOCK[[#This Row],[ALCANCE FISICO]]/REG_STOCK[[#This Row],[CUBICACION PPTO.]]))</f>
        <v>41.198286722096249</v>
      </c>
      <c r="P130" s="3">
        <f>+_xlfn.XLOOKUP(REG_STOCK[[#This Row],[CODIGO]],PRODUCTOS[CODIGO],PRODUCTOS[PRECIO COMPRA UNITARIO],"",0)</f>
        <v>15451.816831683169</v>
      </c>
      <c r="Q130" s="3">
        <f>IFERROR(REG_STOCK[[#This Row],[VALOR UNITARIO]]*REG_STOCK[[#This Row],[PERDIDA O EN PROCESO]],"")</f>
        <v>636588.38020899601</v>
      </c>
      <c r="R130" s="3">
        <f>+REG_STOCK[[#This Row],[VALOR UNITARIO]]*REG_STOCK[[#This Row],[STOCK FISICO]]</f>
        <v>0</v>
      </c>
    </row>
    <row r="131" spans="1:18" x14ac:dyDescent="0.25">
      <c r="A131" s="1">
        <v>46188</v>
      </c>
      <c r="B131">
        <v>701084</v>
      </c>
      <c r="C131" s="81" t="s">
        <v>38</v>
      </c>
      <c r="D131" s="81" t="s">
        <v>18</v>
      </c>
      <c r="E131">
        <v>92</v>
      </c>
      <c r="F131">
        <v>0</v>
      </c>
      <c r="G131">
        <v>40</v>
      </c>
      <c r="H131" s="81" t="str">
        <f>+_xlfn.XLOOKUP(REG_STOCK[[#This Row],[CODIGO]],PRODUCTOS[CODIGO],PRODUCTOS[DESC CORTA],"",0)</f>
        <v>FIBROCEMENTO BALCON</v>
      </c>
      <c r="I131" s="76">
        <f>SUMIFS(DETALLE_GD_1[CANTIDAD RECEPCIONADA],DETALLE_GD_1[CODIGO],REG_STOCK[[#This Row],[CODIGO]],DETALLE_GD_1[FECHA SOLICITUD],"&lt;="&amp;REG_STOCK[[#This Row],[FECHA STOCK ]])+97</f>
        <v>189</v>
      </c>
      <c r="J131" s="81">
        <f>+REG_STOCK[[#This Row],[SOLICITADO A TF]]-REG_STOCK[[#This Row],[STOCK FISICO]]</f>
        <v>149</v>
      </c>
      <c r="K131" s="40">
        <f>+_xlfn.XLOOKUP(REG_STOCK[[#This Row],[CODIGO]],PRODUCTOS[CODIGO],PRODUCTOS[CANT X MODULO],"",0)</f>
        <v>0.69825000000000004</v>
      </c>
      <c r="L131" s="3">
        <f>+REG_STOCK[[#This Row],[CONSUMO]]/REG_STOCK[[#This Row],[CUBICACION PPTO.]]</f>
        <v>213.39061940565699</v>
      </c>
      <c r="M131" s="3">
        <f>+REG_STOCK[[#This Row],[STOCK FISICO]]/REG_STOCK[[#This Row],[CUBICACION PPTO.]]</f>
        <v>57.286072323666303</v>
      </c>
      <c r="N131" s="3">
        <f>+REG_STOCK[[#This Row],[SOLICITADO A TF]]/REG_STOCK[[#This Row],[CUBICACION PPTO.]]</f>
        <v>270.6766917293233</v>
      </c>
      <c r="O131" s="3">
        <f>IF($V$2-REG_STOCK[[#This Row],[ALCANCE FISICO]]&gt;0,"",($V$2-REG_STOCK[[#This Row],[ALCANCE FISICO]]/REG_STOCK[[#This Row],[CUBICACION PPTO.]]))</f>
        <v>-323.65011346841857</v>
      </c>
      <c r="P131" s="3">
        <f>+_xlfn.XLOOKUP(REG_STOCK[[#This Row],[CODIGO]],PRODUCTOS[CODIGO],PRODUCTOS[PRECIO COMPRA UNITARIO],"",0)</f>
        <v>39170.619565217392</v>
      </c>
      <c r="Q131" s="3">
        <f>IFERROR(REG_STOCK[[#This Row],[VALOR UNITARIO]]*REG_STOCK[[#This Row],[PERDIDA O EN PROCESO]],"")</f>
        <v>-12677575.466910865</v>
      </c>
      <c r="R131" s="3">
        <f>+REG_STOCK[[#This Row],[VALOR UNITARIO]]*REG_STOCK[[#This Row],[STOCK FISICO]]</f>
        <v>1566824.7826086958</v>
      </c>
    </row>
    <row r="132" spans="1:18" x14ac:dyDescent="0.25">
      <c r="A132" s="1">
        <v>46188</v>
      </c>
      <c r="B132">
        <v>5309018</v>
      </c>
      <c r="C132" s="81" t="s">
        <v>112</v>
      </c>
      <c r="D132" s="81" t="s">
        <v>26</v>
      </c>
      <c r="E132">
        <v>3200</v>
      </c>
      <c r="F132">
        <v>0</v>
      </c>
      <c r="G132">
        <v>1</v>
      </c>
      <c r="H132" s="81">
        <f>+_xlfn.XLOOKUP(REG_STOCK[[#This Row],[CODIGO]],PRODUCTOS[CODIGO],PRODUCTOS[DESC CORTA],"",0)</f>
        <v>0</v>
      </c>
      <c r="I132" s="76">
        <f>SUMIFS(DETALLE_GD_1[CANTIDAD RECEPCIONADA],DETALLE_GD_1[CODIGO],REG_STOCK[[#This Row],[CODIGO]],DETALLE_GD_1[FECHA SOLICITUD],"&lt;="&amp;REG_STOCK[[#This Row],[FECHA STOCK ]])+97</f>
        <v>3297</v>
      </c>
      <c r="J132" s="81">
        <f>+REG_STOCK[[#This Row],[SOLICITADO A TF]]-REG_STOCK[[#This Row],[STOCK FISICO]]</f>
        <v>3296</v>
      </c>
      <c r="K132" s="40">
        <f>+_xlfn.XLOOKUP(REG_STOCK[[#This Row],[CODIGO]],PRODUCTOS[CODIGO],PRODUCTOS[CANT X MODULO],"",0)</f>
        <v>34.649999999999991</v>
      </c>
      <c r="L132" s="3">
        <f>+REG_STOCK[[#This Row],[CONSUMO]]/REG_STOCK[[#This Row],[CUBICACION PPTO.]]</f>
        <v>95.122655122655146</v>
      </c>
      <c r="M132" s="3">
        <f>+REG_STOCK[[#This Row],[STOCK FISICO]]/REG_STOCK[[#This Row],[CUBICACION PPTO.]]</f>
        <v>2.8860028860028867E-2</v>
      </c>
      <c r="N132" s="3">
        <f>+REG_STOCK[[#This Row],[SOLICITADO A TF]]/REG_STOCK[[#This Row],[CUBICACION PPTO.]]</f>
        <v>95.15151515151517</v>
      </c>
      <c r="O132" s="3">
        <f>IF($V$2-REG_STOCK[[#This Row],[ALCANCE FISICO]]&gt;0,"",($V$2-REG_STOCK[[#This Row],[ALCANCE FISICO]]/REG_STOCK[[#This Row],[CUBICACION PPTO.]]))</f>
        <v>61.253924526651801</v>
      </c>
      <c r="P132" s="3">
        <f>+_xlfn.XLOOKUP(REG_STOCK[[#This Row],[CODIGO]],PRODUCTOS[CODIGO],PRODUCTOS[PRECIO COMPRA UNITARIO],"",0)</f>
        <v>706.42250000000001</v>
      </c>
      <c r="Q132" s="3">
        <f>IFERROR(REG_STOCK[[#This Row],[VALOR UNITARIO]]*REG_STOCK[[#This Row],[PERDIDA O EN PROCESO]],"")</f>
        <v>43271.150498928684</v>
      </c>
      <c r="R132" s="3">
        <f>+REG_STOCK[[#This Row],[VALOR UNITARIO]]*REG_STOCK[[#This Row],[STOCK FISICO]]</f>
        <v>706.42250000000001</v>
      </c>
    </row>
    <row r="133" spans="1:18" x14ac:dyDescent="0.25">
      <c r="A133" s="1">
        <v>46188</v>
      </c>
      <c r="B133">
        <v>1902014</v>
      </c>
      <c r="C133" s="81" t="s">
        <v>316</v>
      </c>
      <c r="D133" s="81" t="s">
        <v>18</v>
      </c>
      <c r="E133">
        <v>520</v>
      </c>
      <c r="F133">
        <v>0</v>
      </c>
      <c r="G133">
        <v>59</v>
      </c>
      <c r="H133" s="81" t="str">
        <f>+_xlfn.XLOOKUP(REG_STOCK[[#This Row],[CODIGO]],PRODUCTOS[CODIGO],PRODUCTOS[DESC CORTA],"",0)</f>
        <v>VOLCOGLASS</v>
      </c>
      <c r="I133" s="76">
        <f>SUMIFS(DETALLE_GD_1[CANTIDAD RECEPCIONADA],DETALLE_GD_1[CODIGO],REG_STOCK[[#This Row],[CODIGO]],DETALLE_GD_1[FECHA SOLICITUD],"&lt;="&amp;REG_STOCK[[#This Row],[FECHA STOCK ]])+97</f>
        <v>617</v>
      </c>
      <c r="J133" s="81">
        <f>+REG_STOCK[[#This Row],[SOLICITADO A TF]]-REG_STOCK[[#This Row],[STOCK FISICO]]</f>
        <v>558</v>
      </c>
      <c r="K133" s="40">
        <f>+_xlfn.XLOOKUP(REG_STOCK[[#This Row],[CODIGO]],PRODUCTOS[CODIGO],PRODUCTOS[CANT X MODULO],"",0)</f>
        <v>5.5125000000000002</v>
      </c>
      <c r="L133" s="3">
        <f>+REG_STOCK[[#This Row],[CONSUMO]]/REG_STOCK[[#This Row],[CUBICACION PPTO.]]</f>
        <v>101.22448979591836</v>
      </c>
      <c r="M133" s="3">
        <f>+REG_STOCK[[#This Row],[STOCK FISICO]]/REG_STOCK[[#This Row],[CUBICACION PPTO.]]</f>
        <v>10.702947845804989</v>
      </c>
      <c r="N133" s="3">
        <f>+REG_STOCK[[#This Row],[SOLICITADO A TF]]/REG_STOCK[[#This Row],[CUBICACION PPTO.]]</f>
        <v>111.92743764172336</v>
      </c>
      <c r="O133" s="3">
        <f>IF($V$2-REG_STOCK[[#This Row],[ALCANCE FISICO]]&gt;0,"",($V$2-REG_STOCK[[#This Row],[ALCANCE FISICO]]/REG_STOCK[[#This Row],[CUBICACION PPTO.]]))</f>
        <v>43.695702922136348</v>
      </c>
      <c r="P133" s="3">
        <f>+_xlfn.XLOOKUP(REG_STOCK[[#This Row],[CODIGO]],PRODUCTOS[CODIGO],PRODUCTOS[PRECIO COMPRA UNITARIO],"",0)</f>
        <v>29799.757692307692</v>
      </c>
      <c r="Q133" s="3">
        <f>IFERROR(REG_STOCK[[#This Row],[VALOR UNITARIO]]*REG_STOCK[[#This Row],[PERDIDA O EN PROCESO]],"")</f>
        <v>1302121.3592747243</v>
      </c>
      <c r="R133" s="3">
        <f>+REG_STOCK[[#This Row],[VALOR UNITARIO]]*REG_STOCK[[#This Row],[STOCK FISICO]]</f>
        <v>1758185.7038461538</v>
      </c>
    </row>
    <row r="134" spans="1:18" x14ac:dyDescent="0.25">
      <c r="A134" s="1">
        <v>46188</v>
      </c>
      <c r="B134">
        <v>302054</v>
      </c>
      <c r="C134" s="81" t="s">
        <v>356</v>
      </c>
      <c r="D134" s="81" t="s">
        <v>20</v>
      </c>
      <c r="E134">
        <v>15000</v>
      </c>
      <c r="G134">
        <v>723</v>
      </c>
      <c r="H134" s="81">
        <f>+_xlfn.XLOOKUP(REG_STOCK[[#This Row],[CODIGO]],PRODUCTOS[CODIGO],PRODUCTOS[DESC CORTA],"",0)</f>
        <v>0</v>
      </c>
      <c r="I134" s="76">
        <f>SUMIFS(DETALLE_GD_1[CANTIDAD RECEPCIONADA],DETALLE_GD_1[CODIGO],REG_STOCK[[#This Row],[CODIGO]],DETALLE_GD_1[FECHA SOLICITUD],"&lt;="&amp;REG_STOCK[[#This Row],[FECHA STOCK ]])+97</f>
        <v>15097</v>
      </c>
      <c r="J134" s="81">
        <f>+REG_STOCK[[#This Row],[SOLICITADO A TF]]-REG_STOCK[[#This Row],[STOCK FISICO]]</f>
        <v>14374</v>
      </c>
      <c r="K134" s="40" t="str">
        <f>+_xlfn.XLOOKUP(REG_STOCK[[#This Row],[CODIGO]],PRODUCTOS[CODIGO],PRODUCTOS[CANT X MODULO],"",0)</f>
        <v/>
      </c>
      <c r="L134" s="3" t="e">
        <f>+REG_STOCK[[#This Row],[CONSUMO]]/REG_STOCK[[#This Row],[CUBICACION PPTO.]]</f>
        <v>#VALUE!</v>
      </c>
      <c r="M134" s="3" t="e">
        <f>+REG_STOCK[[#This Row],[STOCK FISICO]]/REG_STOCK[[#This Row],[CUBICACION PPTO.]]</f>
        <v>#VALUE!</v>
      </c>
      <c r="N134" s="3" t="e">
        <f>+REG_STOCK[[#This Row],[SOLICITADO A TF]]/REG_STOCK[[#This Row],[CUBICACION PPTO.]]</f>
        <v>#VALUE!</v>
      </c>
      <c r="O134" s="3" t="e">
        <f>IF($V$2-REG_STOCK[[#This Row],[ALCANCE FISICO]]&gt;0,"",($V$2-REG_STOCK[[#This Row],[ALCANCE FISICO]]/REG_STOCK[[#This Row],[CUBICACION PPTO.]]))</f>
        <v>#VALUE!</v>
      </c>
      <c r="P134" s="3">
        <f>+_xlfn.XLOOKUP(REG_STOCK[[#This Row],[CODIGO]],PRODUCTOS[CODIGO],PRODUCTOS[PRECIO COMPRA UNITARIO],"",0)</f>
        <v>4898.2382666666663</v>
      </c>
      <c r="Q134" s="3" t="str">
        <f>IFERROR(REG_STOCK[[#This Row],[VALOR UNITARIO]]*REG_STOCK[[#This Row],[PERDIDA O EN PROCESO]],"")</f>
        <v/>
      </c>
      <c r="R134" s="3">
        <f>+REG_STOCK[[#This Row],[VALOR UNITARIO]]*REG_STOCK[[#This Row],[STOCK FISICO]]</f>
        <v>3541426.2667999999</v>
      </c>
    </row>
    <row r="135" spans="1:18" x14ac:dyDescent="0.25">
      <c r="A135" s="1">
        <v>46188</v>
      </c>
      <c r="B135">
        <v>302048</v>
      </c>
      <c r="C135" s="81" t="s">
        <v>126</v>
      </c>
      <c r="D135" s="81" t="s">
        <v>20</v>
      </c>
      <c r="E135">
        <v>2598</v>
      </c>
      <c r="G135">
        <v>0</v>
      </c>
      <c r="H135" s="81" t="str">
        <f>+_xlfn.XLOOKUP(REG_STOCK[[#This Row],[CODIGO]],PRODUCTOS[CODIGO],PRODUCTOS[DESC CORTA],"",0)</f>
        <v>PINO 2X8X4</v>
      </c>
      <c r="I135" s="76">
        <f>SUMIFS(DETALLE_GD_1[CANTIDAD RECEPCIONADA],DETALLE_GD_1[CODIGO],REG_STOCK[[#This Row],[CODIGO]],DETALLE_GD_1[FECHA SOLICITUD],"&lt;="&amp;REG_STOCK[[#This Row],[FECHA STOCK ]])+97</f>
        <v>2695</v>
      </c>
      <c r="J135" s="81">
        <f>+REG_STOCK[[#This Row],[SOLICITADO A TF]]-REG_STOCK[[#This Row],[STOCK FISICO]]</f>
        <v>2695</v>
      </c>
      <c r="K135" s="40" t="str">
        <f>+_xlfn.XLOOKUP(REG_STOCK[[#This Row],[CODIGO]],PRODUCTOS[CODIGO],PRODUCTOS[CANT X MODULO],"",0)</f>
        <v/>
      </c>
      <c r="L135" s="3" t="e">
        <f>+REG_STOCK[[#This Row],[CONSUMO]]/REG_STOCK[[#This Row],[CUBICACION PPTO.]]</f>
        <v>#VALUE!</v>
      </c>
      <c r="M135" s="3" t="e">
        <f>+REG_STOCK[[#This Row],[STOCK FISICO]]/REG_STOCK[[#This Row],[CUBICACION PPTO.]]</f>
        <v>#VALUE!</v>
      </c>
      <c r="N135" s="3" t="e">
        <f>+REG_STOCK[[#This Row],[SOLICITADO A TF]]/REG_STOCK[[#This Row],[CUBICACION PPTO.]]</f>
        <v>#VALUE!</v>
      </c>
      <c r="O135" s="3" t="e">
        <f>IF($V$2-REG_STOCK[[#This Row],[ALCANCE FISICO]]&gt;0,"",($V$2-REG_STOCK[[#This Row],[ALCANCE FISICO]]/REG_STOCK[[#This Row],[CUBICACION PPTO.]]))</f>
        <v>#VALUE!</v>
      </c>
      <c r="P135" s="3">
        <f>+_xlfn.XLOOKUP(REG_STOCK[[#This Row],[CODIGO]],PRODUCTOS[CODIGO],PRODUCTOS[PRECIO COMPRA UNITARIO],"",0)</f>
        <v>13720.09507313318</v>
      </c>
      <c r="Q135" s="3" t="str">
        <f>IFERROR(REG_STOCK[[#This Row],[VALOR UNITARIO]]*REG_STOCK[[#This Row],[PERDIDA O EN PROCESO]],"")</f>
        <v/>
      </c>
      <c r="R135" s="3">
        <f>+REG_STOCK[[#This Row],[VALOR UNITARIO]]*REG_STOCK[[#This Row],[STOCK FISICO]]</f>
        <v>0</v>
      </c>
    </row>
    <row r="136" spans="1:18" x14ac:dyDescent="0.25">
      <c r="A136" s="1">
        <v>46188</v>
      </c>
      <c r="B136">
        <v>705028</v>
      </c>
      <c r="C136" s="81" t="s">
        <v>72</v>
      </c>
      <c r="D136" s="81" t="s">
        <v>18</v>
      </c>
      <c r="E136">
        <v>369</v>
      </c>
      <c r="F136">
        <v>0</v>
      </c>
      <c r="G136">
        <v>68</v>
      </c>
      <c r="H136" s="81" t="str">
        <f>+_xlfn.XLOOKUP(REG_STOCK[[#This Row],[CODIGO]],PRODUCTOS[CODIGO],PRODUCTOS[DESC CORTA],"",0)</f>
        <v>SIMPLISIMA</v>
      </c>
      <c r="I136" s="76">
        <f>SUMIFS(DETALLE_GD_1[CANTIDAD RECEPCIONADA],DETALLE_GD_1[CODIGO],REG_STOCK[[#This Row],[CODIGO]],DETALLE_GD_1[FECHA SOLICITUD],"&lt;="&amp;REG_STOCK[[#This Row],[FECHA STOCK ]])+97</f>
        <v>506</v>
      </c>
      <c r="J136" s="81">
        <f>+REG_STOCK[[#This Row],[SOLICITADO A TF]]-REG_STOCK[[#This Row],[STOCK FISICO]]</f>
        <v>438</v>
      </c>
      <c r="K136" s="40">
        <f>+_xlfn.XLOOKUP(REG_STOCK[[#This Row],[CODIGO]],PRODUCTOS[CODIGO],PRODUCTOS[CANT X MODULO],"",0)</f>
        <v>3.6749999999999998</v>
      </c>
      <c r="L136" s="3">
        <f>+REG_STOCK[[#This Row],[CONSUMO]]/REG_STOCK[[#This Row],[CUBICACION PPTO.]]</f>
        <v>119.18367346938776</v>
      </c>
      <c r="M136" s="3">
        <f>+REG_STOCK[[#This Row],[STOCK FISICO]]/REG_STOCK[[#This Row],[CUBICACION PPTO.]]</f>
        <v>18.503401360544217</v>
      </c>
      <c r="N136" s="3">
        <f>+REG_STOCK[[#This Row],[SOLICITADO A TF]]/REG_STOCK[[#This Row],[CUBICACION PPTO.]]</f>
        <v>137.68707482993199</v>
      </c>
      <c r="O136" s="3">
        <f>IF($V$2-REG_STOCK[[#This Row],[ALCANCE FISICO]]&gt;0,"",($V$2-REG_STOCK[[#This Row],[ALCANCE FISICO]]/REG_STOCK[[#This Row],[CUBICACION PPTO.]]))</f>
        <v>26.534129297977685</v>
      </c>
      <c r="P136" s="3">
        <f>+_xlfn.XLOOKUP(REG_STOCK[[#This Row],[CODIGO]],PRODUCTOS[CODIGO],PRODUCTOS[PRECIO COMPRA UNITARIO],"",0)</f>
        <v>22787.611246943765</v>
      </c>
      <c r="Q136" s="3">
        <f>IFERROR(REG_STOCK[[#This Row],[VALOR UNITARIO]]*REG_STOCK[[#This Row],[PERDIDA O EN PROCESO]],"")</f>
        <v>604649.42321845633</v>
      </c>
      <c r="R136" s="3">
        <f>+REG_STOCK[[#This Row],[VALOR UNITARIO]]*REG_STOCK[[#This Row],[STOCK FISICO]]</f>
        <v>1549557.564792176</v>
      </c>
    </row>
    <row r="137" spans="1:18" x14ac:dyDescent="0.25">
      <c r="A137" s="1">
        <v>46188</v>
      </c>
      <c r="B137">
        <v>1902013</v>
      </c>
      <c r="C137" s="81" t="s">
        <v>338</v>
      </c>
      <c r="D137" s="81" t="s">
        <v>47</v>
      </c>
      <c r="E137">
        <v>314</v>
      </c>
      <c r="F137">
        <v>0</v>
      </c>
      <c r="G137">
        <v>22</v>
      </c>
      <c r="H137" s="81">
        <f>+_xlfn.XLOOKUP(REG_STOCK[[#This Row],[CODIGO]],PRODUCTOS[CODIGO],PRODUCTOS[DESC CORTA],"",0)</f>
        <v>0</v>
      </c>
      <c r="I137" s="76">
        <f>SUMIFS(DETALLE_GD_1[CANTIDAD RECEPCIONADA],DETALLE_GD_1[CODIGO],REG_STOCK[[#This Row],[CODIGO]],DETALLE_GD_1[FECHA SOLICITUD],"&lt;="&amp;REG_STOCK[[#This Row],[FECHA STOCK ]])+97</f>
        <v>411</v>
      </c>
      <c r="J137" s="81">
        <f>+REG_STOCK[[#This Row],[SOLICITADO A TF]]-REG_STOCK[[#This Row],[STOCK FISICO]]</f>
        <v>389</v>
      </c>
      <c r="K137" s="40">
        <f>+_xlfn.XLOOKUP(REG_STOCK[[#This Row],[CODIGO]],PRODUCTOS[CODIGO],PRODUCTOS[CANT X MODULO],"",0)</f>
        <v>130.33466250000004</v>
      </c>
      <c r="L137" s="3">
        <f>+REG_STOCK[[#This Row],[CONSUMO]]/REG_STOCK[[#This Row],[CUBICACION PPTO.]]</f>
        <v>2.9846242936333218</v>
      </c>
      <c r="M137" s="3">
        <f>+REG_STOCK[[#This Row],[STOCK FISICO]]/REG_STOCK[[#This Row],[CUBICACION PPTO.]]</f>
        <v>0.1687962325448151</v>
      </c>
      <c r="N137" s="3">
        <f>+REG_STOCK[[#This Row],[SOLICITADO A TF]]/REG_STOCK[[#This Row],[CUBICACION PPTO.]]</f>
        <v>3.1534205261781367</v>
      </c>
      <c r="O137" s="3" t="str">
        <f>IF($V$2-REG_STOCK[[#This Row],[ALCANCE FISICO]]&gt;0,"",($V$2-REG_STOCK[[#This Row],[ALCANCE FISICO]]/REG_STOCK[[#This Row],[CUBICACION PPTO.]]))</f>
        <v/>
      </c>
      <c r="P137" s="3">
        <f>+_xlfn.XLOOKUP(REG_STOCK[[#This Row],[CODIGO]],PRODUCTOS[CODIGO],PRODUCTOS[PRECIO COMPRA UNITARIO],"",0)</f>
        <v>39952.315286624202</v>
      </c>
      <c r="Q137" s="3" t="str">
        <f>IFERROR(REG_STOCK[[#This Row],[VALOR UNITARIO]]*REG_STOCK[[#This Row],[PERDIDA O EN PROCESO]],"")</f>
        <v/>
      </c>
      <c r="R137" s="3">
        <f>+REG_STOCK[[#This Row],[VALOR UNITARIO]]*REG_STOCK[[#This Row],[STOCK FISICO]]</f>
        <v>878950.93630573247</v>
      </c>
    </row>
    <row r="138" spans="1:18" x14ac:dyDescent="0.25">
      <c r="A138" s="1"/>
      <c r="K138" s="3"/>
      <c r="O138" s="3"/>
      <c r="P138" s="3"/>
      <c r="Q138" s="3"/>
      <c r="R138" s="3"/>
    </row>
    <row r="139" spans="1:18" x14ac:dyDescent="0.25">
      <c r="A139" s="1"/>
      <c r="K139" s="3"/>
      <c r="O139" s="3"/>
      <c r="P139" s="3"/>
      <c r="Q139" s="3"/>
      <c r="R139" s="3"/>
    </row>
    <row r="140" spans="1:18" x14ac:dyDescent="0.25">
      <c r="A140" s="1"/>
      <c r="K140" s="3"/>
      <c r="O140" s="3"/>
      <c r="P140" s="3"/>
      <c r="Q140" s="3"/>
      <c r="R140" s="3"/>
    </row>
    <row r="141" spans="1:18" x14ac:dyDescent="0.25">
      <c r="A141" s="1"/>
      <c r="K141" s="3"/>
      <c r="O141" s="3"/>
      <c r="P141" s="3"/>
      <c r="Q141" s="3"/>
      <c r="R141" s="3"/>
    </row>
    <row r="142" spans="1:18" x14ac:dyDescent="0.25">
      <c r="A142" s="1"/>
      <c r="K142" s="3">
        <f>+I30/K30</f>
        <v>75.209235209235217</v>
      </c>
      <c r="O142" s="3"/>
      <c r="P142" s="3"/>
      <c r="Q142" s="3"/>
      <c r="R142" s="3"/>
    </row>
    <row r="143" spans="1:18" x14ac:dyDescent="0.25">
      <c r="A143" s="1"/>
      <c r="K143" s="3"/>
      <c r="O143" s="3"/>
      <c r="P143" s="3"/>
      <c r="Q143" s="3"/>
      <c r="R143" s="3"/>
    </row>
    <row r="144" spans="1:18" x14ac:dyDescent="0.25">
      <c r="A144" s="1"/>
      <c r="K144" s="3"/>
      <c r="O144" s="3"/>
      <c r="P144" s="3"/>
      <c r="Q144" s="3"/>
      <c r="R144" s="3"/>
    </row>
    <row r="145" spans="1:18" x14ac:dyDescent="0.25">
      <c r="A145" s="1"/>
      <c r="K145" s="3"/>
      <c r="O145" s="3"/>
      <c r="P145" s="3"/>
      <c r="Q145" s="3"/>
      <c r="R145" s="3"/>
    </row>
    <row r="147" spans="1:18" x14ac:dyDescent="0.25">
      <c r="K147">
        <v>684</v>
      </c>
      <c r="L147" s="3">
        <v>252</v>
      </c>
      <c r="Q147" s="14"/>
      <c r="R147" s="14"/>
    </row>
    <row r="148" spans="1:18" x14ac:dyDescent="0.25">
      <c r="L148" s="3">
        <v>16</v>
      </c>
    </row>
    <row r="149" spans="1:18" x14ac:dyDescent="0.25">
      <c r="L149" s="3">
        <v>2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7BF0F-9E8E-4893-AF0A-77B086AB818C}">
  <sheetPr codeName="Hoja5"/>
  <dimension ref="A1:AH2232"/>
  <sheetViews>
    <sheetView topLeftCell="A2150" workbookViewId="0">
      <selection activeCell="AB2170" sqref="AB2170"/>
    </sheetView>
  </sheetViews>
  <sheetFormatPr baseColWidth="10" defaultRowHeight="15" x14ac:dyDescent="0.25"/>
  <cols>
    <col min="1" max="1" width="12" bestFit="1" customWidth="1"/>
    <col min="2" max="2" width="17.5703125" bestFit="1" customWidth="1"/>
    <col min="3" max="3" width="38.85546875" customWidth="1"/>
    <col min="4" max="4" width="4.85546875" bestFit="1" customWidth="1"/>
    <col min="5" max="5" width="80" bestFit="1" customWidth="1"/>
    <col min="6" max="6" width="14.140625" bestFit="1" customWidth="1"/>
    <col min="7" max="7" width="81.140625" bestFit="1" customWidth="1"/>
    <col min="8" max="8" width="19.140625" bestFit="1" customWidth="1"/>
    <col min="9" max="9" width="22.140625" bestFit="1" customWidth="1"/>
    <col min="10" max="10" width="13.28515625" bestFit="1" customWidth="1"/>
    <col min="11" max="11" width="26" bestFit="1" customWidth="1"/>
    <col min="12" max="12" width="16.5703125" bestFit="1" customWidth="1"/>
    <col min="13" max="14" width="25.5703125" bestFit="1" customWidth="1"/>
    <col min="15" max="15" width="12.140625" bestFit="1" customWidth="1"/>
    <col min="16" max="16" width="16.28515625" style="4" bestFit="1" customWidth="1"/>
    <col min="17" max="17" width="24.85546875" bestFit="1" customWidth="1"/>
    <col min="18" max="18" width="8.28515625" bestFit="1" customWidth="1"/>
    <col min="19" max="19" width="32.5703125" bestFit="1" customWidth="1"/>
    <col min="20" max="20" width="10" bestFit="1" customWidth="1"/>
    <col min="21" max="21" width="12.5703125" bestFit="1" customWidth="1"/>
    <col min="22" max="22" width="5" bestFit="1" customWidth="1"/>
    <col min="23" max="23" width="15.140625" bestFit="1" customWidth="1"/>
    <col min="24" max="24" width="18.7109375" style="38" bestFit="1" customWidth="1"/>
    <col min="25" max="25" width="10.7109375" style="38" bestFit="1" customWidth="1"/>
    <col min="26" max="26" width="22.140625" bestFit="1" customWidth="1"/>
    <col min="27" max="27" width="31.5703125" bestFit="1" customWidth="1"/>
    <col min="28" max="28" width="19.85546875" bestFit="1" customWidth="1"/>
    <col min="29" max="29" width="21.42578125" bestFit="1" customWidth="1"/>
    <col min="30" max="30" width="64.5703125" bestFit="1" customWidth="1"/>
    <col min="31" max="31" width="23.7109375" style="4" bestFit="1" customWidth="1"/>
    <col min="32" max="32" width="19.85546875" bestFit="1" customWidth="1"/>
    <col min="33" max="33" width="23.7109375" bestFit="1" customWidth="1"/>
    <col min="34" max="34" width="23.7109375" style="3" bestFit="1" customWidth="1"/>
  </cols>
  <sheetData>
    <row r="1" spans="1:34" x14ac:dyDescent="0.25">
      <c r="A1" t="s">
        <v>317</v>
      </c>
      <c r="B1" t="s">
        <v>0</v>
      </c>
      <c r="C1" t="s">
        <v>376</v>
      </c>
      <c r="D1" t="s">
        <v>779</v>
      </c>
      <c r="E1" t="s">
        <v>1</v>
      </c>
      <c r="F1" t="s">
        <v>2</v>
      </c>
      <c r="G1" t="s">
        <v>3</v>
      </c>
      <c r="H1" t="s">
        <v>4</v>
      </c>
      <c r="I1" t="s">
        <v>5</v>
      </c>
      <c r="J1" t="s">
        <v>349</v>
      </c>
      <c r="K1" t="s">
        <v>755</v>
      </c>
      <c r="L1" t="s">
        <v>6</v>
      </c>
      <c r="M1" t="s">
        <v>350</v>
      </c>
      <c r="N1" t="s">
        <v>7</v>
      </c>
      <c r="O1" t="s">
        <v>8</v>
      </c>
      <c r="P1" t="s">
        <v>377</v>
      </c>
      <c r="Q1" t="s">
        <v>9</v>
      </c>
      <c r="R1" s="4" t="s">
        <v>10</v>
      </c>
      <c r="S1" t="s">
        <v>11</v>
      </c>
      <c r="T1" t="s">
        <v>12</v>
      </c>
      <c r="U1" t="s">
        <v>13</v>
      </c>
      <c r="V1" t="s">
        <v>14</v>
      </c>
      <c r="W1" t="s">
        <v>415</v>
      </c>
      <c r="X1" t="s">
        <v>754</v>
      </c>
      <c r="Y1" s="38" t="s">
        <v>758</v>
      </c>
      <c r="Z1" s="4" t="s">
        <v>397</v>
      </c>
      <c r="AA1" t="s">
        <v>413</v>
      </c>
      <c r="AB1" t="s">
        <v>416</v>
      </c>
      <c r="AC1" s="3" t="s">
        <v>701</v>
      </c>
      <c r="AD1" t="s">
        <v>716</v>
      </c>
      <c r="AE1"/>
      <c r="AH1"/>
    </row>
    <row r="2" spans="1:34" x14ac:dyDescent="0.25">
      <c r="A2" s="1">
        <v>45944</v>
      </c>
      <c r="B2" s="1">
        <v>45944</v>
      </c>
      <c r="C2" s="81" t="s">
        <v>15</v>
      </c>
      <c r="D2" s="38">
        <v>10</v>
      </c>
      <c r="E2" s="81" t="s">
        <v>16</v>
      </c>
      <c r="F2">
        <v>304101</v>
      </c>
      <c r="G2" s="81" t="s">
        <v>17</v>
      </c>
      <c r="H2" s="81" t="s">
        <v>18</v>
      </c>
      <c r="I2" s="3">
        <v>10</v>
      </c>
      <c r="J2" s="3"/>
      <c r="K2" s="26">
        <v>10</v>
      </c>
      <c r="L2" s="2">
        <v>10686.3</v>
      </c>
      <c r="M2" s="2">
        <v>106863</v>
      </c>
      <c r="N2" s="2">
        <v>106863</v>
      </c>
      <c r="O2" s="2">
        <v>9657.5879999999997</v>
      </c>
      <c r="P2" s="2">
        <v>-1028.712</v>
      </c>
      <c r="Q2" s="2">
        <v>-10287.120500000001</v>
      </c>
      <c r="R2" s="4">
        <v>-0.10651852774480756</v>
      </c>
      <c r="T2">
        <v>295517</v>
      </c>
      <c r="U2" s="2">
        <v>1420957</v>
      </c>
      <c r="V2">
        <v>5284</v>
      </c>
      <c r="W2" s="2">
        <v>6579000000</v>
      </c>
      <c r="X2" s="6">
        <v>96575.879500000039</v>
      </c>
      <c r="Y2" s="38">
        <v>10010</v>
      </c>
      <c r="Z2" s="86">
        <f>+((DETALLE_GD_1[[#This Row],[VALOR X UN (GD)]]-DETALLE_GD_1[[#This Row],[VALOR PPTO]])/DETALLE_GD_1[[#This Row],[VALOR PPTO]])</f>
        <v>0.10651852201605613</v>
      </c>
      <c r="AA2" s="2">
        <f>+DETALLE_GD_1[[#This Row],[VALOR PPTO]]*DETALLE_GD_1[[#This Row],[CANTIDAD RECIBIDA]]</f>
        <v>96575.88</v>
      </c>
      <c r="AB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" s="3">
        <f>+DETALLE_GD_1[[#This Row],[CANTIDAD SOLICITADA]]-DETALLE_GD_1[[#This Row],[DEVOLUCIÓN]]</f>
        <v>10</v>
      </c>
      <c r="AD2" s="38" t="str">
        <f>+_xlfn.XLOOKUP(DETALLE_GD_1[[#This Row],[CODIGO]],PRODUCTOS[CODIGO],PRODUCTOS[DESC CORTA],"",0)</f>
        <v>OSB 9.5</v>
      </c>
      <c r="AE2"/>
      <c r="AH2"/>
    </row>
    <row r="3" spans="1:34" x14ac:dyDescent="0.25">
      <c r="A3" s="1">
        <v>45944</v>
      </c>
      <c r="B3" s="1">
        <v>45944</v>
      </c>
      <c r="C3" s="81" t="s">
        <v>15</v>
      </c>
      <c r="D3" s="38">
        <v>10</v>
      </c>
      <c r="E3" s="81" t="s">
        <v>16</v>
      </c>
      <c r="F3">
        <v>701040</v>
      </c>
      <c r="G3" s="81" t="s">
        <v>19</v>
      </c>
      <c r="H3" s="81" t="s">
        <v>18</v>
      </c>
      <c r="I3" s="3">
        <v>20</v>
      </c>
      <c r="J3" s="3"/>
      <c r="K3" s="26">
        <v>20</v>
      </c>
      <c r="L3" s="2">
        <v>7729.1</v>
      </c>
      <c r="M3" s="2">
        <v>154582</v>
      </c>
      <c r="N3" s="2">
        <v>154582</v>
      </c>
      <c r="O3" s="2">
        <v>7835.7259999999997</v>
      </c>
      <c r="P3" s="2">
        <v>106.626</v>
      </c>
      <c r="Q3" s="2">
        <v>2132.5191</v>
      </c>
      <c r="R3" s="4">
        <v>1.3607667576169729E-2</v>
      </c>
      <c r="T3">
        <v>295517</v>
      </c>
      <c r="U3" s="2"/>
      <c r="V3">
        <v>5284</v>
      </c>
      <c r="W3" s="2">
        <v>6579000000</v>
      </c>
      <c r="X3" s="6">
        <v>156714.51907999994</v>
      </c>
      <c r="Y3" s="38">
        <v>10010</v>
      </c>
      <c r="Z3" s="86">
        <f>+((DETALLE_GD_1[[#This Row],[VALOR X UN (GD)]]-DETALLE_GD_1[[#This Row],[VALOR PPTO]])/DETALLE_GD_1[[#This Row],[VALOR PPTO]])</f>
        <v>-1.3607673366832799E-2</v>
      </c>
      <c r="AA3" s="2">
        <f>+DETALLE_GD_1[[#This Row],[VALOR PPTO]]*DETALLE_GD_1[[#This Row],[CANTIDAD RECIBIDA]]</f>
        <v>156714.51999999999</v>
      </c>
      <c r="AB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" s="3">
        <f>+DETALLE_GD_1[[#This Row],[CANTIDAD SOLICITADA]]-DETALLE_GD_1[[#This Row],[DEVOLUCIÓN]]</f>
        <v>20</v>
      </c>
      <c r="AD3" s="38" t="str">
        <f>+_xlfn.XLOOKUP(DETALLE_GD_1[[#This Row],[CODIGO]],PRODUCTOS[CODIGO],PRODUCTOS[DESC CORTA],"",0)</f>
        <v>VOLCANITA RF</v>
      </c>
      <c r="AE3"/>
      <c r="AH3"/>
    </row>
    <row r="4" spans="1:34" x14ac:dyDescent="0.25">
      <c r="A4" s="1">
        <v>45944</v>
      </c>
      <c r="B4" s="1">
        <v>45944</v>
      </c>
      <c r="C4" s="81" t="s">
        <v>15</v>
      </c>
      <c r="D4" s="38">
        <v>10</v>
      </c>
      <c r="E4" s="81" t="s">
        <v>16</v>
      </c>
      <c r="F4">
        <v>302044</v>
      </c>
      <c r="G4" s="81" t="s">
        <v>247</v>
      </c>
      <c r="H4" s="81" t="s">
        <v>20</v>
      </c>
      <c r="I4" s="3">
        <v>31</v>
      </c>
      <c r="J4" s="3"/>
      <c r="K4" s="26">
        <v>31</v>
      </c>
      <c r="L4" s="2">
        <v>13934.3871</v>
      </c>
      <c r="M4" s="2">
        <v>431966</v>
      </c>
      <c r="N4" s="2">
        <v>431966</v>
      </c>
      <c r="O4" s="2">
        <v>13725.9625</v>
      </c>
      <c r="P4" s="2">
        <v>-208.4246</v>
      </c>
      <c r="Q4" s="2">
        <v>-6461.1614</v>
      </c>
      <c r="R4" s="4">
        <v>-1.5184695591140752E-2</v>
      </c>
      <c r="T4">
        <v>295517</v>
      </c>
      <c r="U4" s="2"/>
      <c r="V4">
        <v>5284</v>
      </c>
      <c r="W4" s="2">
        <v>6579000000</v>
      </c>
      <c r="X4" s="6">
        <v>425504.83855400002</v>
      </c>
      <c r="Y4" s="38">
        <v>10010</v>
      </c>
      <c r="Z4" s="86">
        <f>+((DETALLE_GD_1[[#This Row],[VALOR X UN (GD)]]-DETALLE_GD_1[[#This Row],[VALOR PPTO]])/DETALLE_GD_1[[#This Row],[VALOR PPTO]])</f>
        <v>1.5184698340826757E-2</v>
      </c>
      <c r="AA4" s="2">
        <f>+DETALLE_GD_1[[#This Row],[VALOR PPTO]]*DETALLE_GD_1[[#This Row],[CANTIDAD RECIBIDA]]</f>
        <v>425504.83749999997</v>
      </c>
      <c r="AB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" s="3">
        <f>+DETALLE_GD_1[[#This Row],[CANTIDAD SOLICITADA]]-DETALLE_GD_1[[#This Row],[DEVOLUCIÓN]]</f>
        <v>31</v>
      </c>
      <c r="AD4" s="38" t="str">
        <f>+_xlfn.XLOOKUP(DETALLE_GD_1[[#This Row],[CODIGO]],PRODUCTOS[CODIGO],PRODUCTOS[DESC CORTA],"",0)</f>
        <v>PINO 2X8X4</v>
      </c>
      <c r="AE4"/>
      <c r="AH4"/>
    </row>
    <row r="5" spans="1:34" x14ac:dyDescent="0.25">
      <c r="A5" s="1">
        <v>45944</v>
      </c>
      <c r="B5" s="1">
        <v>45944</v>
      </c>
      <c r="C5" s="81" t="s">
        <v>15</v>
      </c>
      <c r="D5" s="38">
        <v>10</v>
      </c>
      <c r="E5" s="81" t="s">
        <v>16</v>
      </c>
      <c r="F5" t="s">
        <v>21</v>
      </c>
      <c r="G5" s="81" t="s">
        <v>22</v>
      </c>
      <c r="H5" s="81" t="s">
        <v>20</v>
      </c>
      <c r="I5" s="3">
        <v>6</v>
      </c>
      <c r="J5" s="3"/>
      <c r="K5" s="26">
        <v>6</v>
      </c>
      <c r="L5" s="2">
        <v>15392.6667</v>
      </c>
      <c r="M5" s="2">
        <v>92356</v>
      </c>
      <c r="N5" s="2">
        <v>92356</v>
      </c>
      <c r="O5" s="2">
        <v>15359.702799999999</v>
      </c>
      <c r="P5" s="2">
        <v>-32.963900000000002</v>
      </c>
      <c r="Q5" s="2">
        <v>-197.7833</v>
      </c>
      <c r="R5" s="4">
        <v>-2.1461275734355246E-3</v>
      </c>
      <c r="T5">
        <v>295517</v>
      </c>
      <c r="U5" s="2"/>
      <c r="V5">
        <v>5284</v>
      </c>
      <c r="W5" s="2">
        <v>6579000000</v>
      </c>
      <c r="X5" s="6">
        <v>92158.216710000022</v>
      </c>
      <c r="Y5" s="38">
        <v>10010</v>
      </c>
      <c r="Z5" s="86">
        <f>+((DETALLE_GD_1[[#This Row],[VALOR X UN (GD)]]-DETALLE_GD_1[[#This Row],[VALOR PPTO]])/DETALLE_GD_1[[#This Row],[VALOR PPTO]])</f>
        <v>2.1461287649394267E-3</v>
      </c>
      <c r="AA5" s="2">
        <f>+DETALLE_GD_1[[#This Row],[VALOR PPTO]]*DETALLE_GD_1[[#This Row],[CANTIDAD RECIBIDA]]</f>
        <v>92158.216799999995</v>
      </c>
      <c r="AB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" s="3">
        <f>+DETALLE_GD_1[[#This Row],[CANTIDAD SOLICITADA]]-DETALLE_GD_1[[#This Row],[DEVOLUCIÓN]]</f>
        <v>6</v>
      </c>
      <c r="AD5" s="38" t="str">
        <f>+_xlfn.XLOOKUP(DETALLE_GD_1[[#This Row],[CODIGO]],PRODUCTOS[CODIGO],PRODUCTOS[DESC CORTA],"",0)</f>
        <v>PINO 3X8X320</v>
      </c>
      <c r="AE5"/>
      <c r="AH5"/>
    </row>
    <row r="6" spans="1:34" x14ac:dyDescent="0.25">
      <c r="A6" s="1">
        <v>45944</v>
      </c>
      <c r="B6" s="1">
        <v>45944</v>
      </c>
      <c r="C6" s="81" t="s">
        <v>15</v>
      </c>
      <c r="D6" s="38">
        <v>10</v>
      </c>
      <c r="E6" s="81" t="s">
        <v>16</v>
      </c>
      <c r="F6">
        <v>304014</v>
      </c>
      <c r="G6" s="81" t="s">
        <v>23</v>
      </c>
      <c r="H6" s="81" t="s">
        <v>18</v>
      </c>
      <c r="I6" s="3">
        <v>22</v>
      </c>
      <c r="J6" s="3"/>
      <c r="K6" s="26">
        <v>22</v>
      </c>
      <c r="L6" s="2">
        <v>20860.272700000001</v>
      </c>
      <c r="M6" s="2">
        <v>458926</v>
      </c>
      <c r="N6" s="2">
        <v>458926</v>
      </c>
      <c r="O6" s="2">
        <v>20894.5723</v>
      </c>
      <c r="P6" s="2">
        <v>34.299599999999998</v>
      </c>
      <c r="Q6" s="2">
        <v>754.59029999999996</v>
      </c>
      <c r="R6" s="4">
        <v>1.6415534742433445E-3</v>
      </c>
      <c r="T6">
        <v>295517</v>
      </c>
      <c r="U6" s="2"/>
      <c r="V6">
        <v>5284</v>
      </c>
      <c r="W6" s="2">
        <v>6579000000</v>
      </c>
      <c r="X6" s="6">
        <v>459680.59026999999</v>
      </c>
      <c r="Y6" s="38">
        <v>10010</v>
      </c>
      <c r="Z6" s="86">
        <f>+((DETALLE_GD_1[[#This Row],[VALOR X UN (GD)]]-DETALLE_GD_1[[#This Row],[VALOR PPTO]])/DETALLE_GD_1[[#This Row],[VALOR PPTO]])</f>
        <v>-1.6415554962088629E-3</v>
      </c>
      <c r="AA6" s="2">
        <f>+DETALLE_GD_1[[#This Row],[VALOR PPTO]]*DETALLE_GD_1[[#This Row],[CANTIDAD RECIBIDA]]</f>
        <v>459680.5906</v>
      </c>
      <c r="AB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" s="3">
        <f>+DETALLE_GD_1[[#This Row],[CANTIDAD SOLICITADA]]-DETALLE_GD_1[[#This Row],[DEVOLUCIÓN]]</f>
        <v>22</v>
      </c>
      <c r="AD6" s="38">
        <f>+_xlfn.XLOOKUP(DETALLE_GD_1[[#This Row],[CODIGO]],PRODUCTOS[CODIGO],PRODUCTOS[DESC CORTA],"",0)</f>
        <v>0</v>
      </c>
      <c r="AE6"/>
      <c r="AH6"/>
    </row>
    <row r="7" spans="1:34" x14ac:dyDescent="0.25">
      <c r="A7" s="1">
        <v>45944</v>
      </c>
      <c r="B7" s="1">
        <v>45944</v>
      </c>
      <c r="C7" s="81" t="s">
        <v>15</v>
      </c>
      <c r="D7" s="38">
        <v>10</v>
      </c>
      <c r="E7" s="81" t="s">
        <v>16</v>
      </c>
      <c r="F7">
        <v>2302098</v>
      </c>
      <c r="G7" s="81" t="s">
        <v>24</v>
      </c>
      <c r="H7" s="81" t="s">
        <v>25</v>
      </c>
      <c r="I7" s="3">
        <v>1</v>
      </c>
      <c r="J7" s="3"/>
      <c r="K7" s="26">
        <v>1</v>
      </c>
      <c r="L7" s="2">
        <v>21213</v>
      </c>
      <c r="M7" s="2">
        <v>21213</v>
      </c>
      <c r="N7" s="2">
        <v>21213</v>
      </c>
      <c r="O7" s="2">
        <v>21213</v>
      </c>
      <c r="P7" s="2">
        <v>0</v>
      </c>
      <c r="Q7" s="2">
        <v>0</v>
      </c>
      <c r="R7" s="4">
        <v>-1.7149761029050001E-16</v>
      </c>
      <c r="T7">
        <v>295517</v>
      </c>
      <c r="U7" s="2"/>
      <c r="V7">
        <v>5284</v>
      </c>
      <c r="W7" s="2">
        <v>6579000000</v>
      </c>
      <c r="X7" s="6">
        <v>21212.999999999996</v>
      </c>
      <c r="Y7" s="38">
        <v>10010</v>
      </c>
      <c r="Z7" s="86">
        <f>+((DETALLE_GD_1[[#This Row],[VALOR X UN (GD)]]-DETALLE_GD_1[[#This Row],[VALOR PPTO]])/DETALLE_GD_1[[#This Row],[VALOR PPTO]])</f>
        <v>0</v>
      </c>
      <c r="AA7" s="2">
        <f>+DETALLE_GD_1[[#This Row],[VALOR PPTO]]*DETALLE_GD_1[[#This Row],[CANTIDAD RECIBIDA]]</f>
        <v>21213</v>
      </c>
      <c r="AB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" s="3">
        <f>+DETALLE_GD_1[[#This Row],[CANTIDAD SOLICITADA]]-DETALLE_GD_1[[#This Row],[DEVOLUCIÓN]]</f>
        <v>1</v>
      </c>
      <c r="AD7" s="38" t="str">
        <f>+_xlfn.XLOOKUP(DETALLE_GD_1[[#This Row],[CODIGO]],PRODUCTOS[CODIGO],PRODUCTOS[DESC CORTA],"",0)</f>
        <v>COLA FRIA</v>
      </c>
      <c r="AE7"/>
      <c r="AH7"/>
    </row>
    <row r="8" spans="1:34" x14ac:dyDescent="0.25">
      <c r="A8" s="1">
        <v>45944</v>
      </c>
      <c r="B8" s="1">
        <v>45944</v>
      </c>
      <c r="C8" s="81" t="s">
        <v>15</v>
      </c>
      <c r="D8" s="38">
        <v>10</v>
      </c>
      <c r="E8" s="81" t="s">
        <v>16</v>
      </c>
      <c r="F8">
        <v>1901008</v>
      </c>
      <c r="G8" s="81" t="s">
        <v>278</v>
      </c>
      <c r="H8" s="81" t="s">
        <v>26</v>
      </c>
      <c r="I8" s="3">
        <v>67</v>
      </c>
      <c r="J8" s="3"/>
      <c r="K8" s="26">
        <v>67</v>
      </c>
      <c r="L8" s="2">
        <v>2031.3581999999999</v>
      </c>
      <c r="M8" s="2">
        <v>136101</v>
      </c>
      <c r="N8" s="2">
        <v>136101</v>
      </c>
      <c r="O8" s="2">
        <v>2112.7957999999999</v>
      </c>
      <c r="P8" s="2">
        <v>81.437600000000003</v>
      </c>
      <c r="Q8" s="2">
        <v>5456.3172000000004</v>
      </c>
      <c r="R8" s="4">
        <v>3.8544932195633694E-2</v>
      </c>
      <c r="T8">
        <v>295517</v>
      </c>
      <c r="U8" s="2"/>
      <c r="V8">
        <v>5284</v>
      </c>
      <c r="W8" s="2">
        <v>6579000000</v>
      </c>
      <c r="X8" s="6">
        <v>141557.317193</v>
      </c>
      <c r="Y8" s="38">
        <v>10010</v>
      </c>
      <c r="Z8" s="86">
        <f>+((DETALLE_GD_1[[#This Row],[VALOR X UN (GD)]]-DETALLE_GD_1[[#This Row],[VALOR PPTO]])/DETALLE_GD_1[[#This Row],[VALOR PPTO]])</f>
        <v>-3.8544945990521176E-2</v>
      </c>
      <c r="AA8" s="2">
        <f>+DETALLE_GD_1[[#This Row],[VALOR PPTO]]*DETALLE_GD_1[[#This Row],[CANTIDAD RECIBIDA]]</f>
        <v>141557.3186</v>
      </c>
      <c r="AB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" s="3">
        <f>+DETALLE_GD_1[[#This Row],[CANTIDAD SOLICITADA]]-DETALLE_GD_1[[#This Row],[DEVOLUCIÓN]]</f>
        <v>67</v>
      </c>
      <c r="AD8" s="38" t="str">
        <f>+_xlfn.XLOOKUP(DETALLE_GD_1[[#This Row],[CODIGO]],PRODUCTOS[CODIGO],PRODUCTOS[DESC CORTA],"",0)</f>
        <v>AISLAN GLASS 90MM</v>
      </c>
      <c r="AE8"/>
      <c r="AH8"/>
    </row>
    <row r="9" spans="1:34" x14ac:dyDescent="0.25">
      <c r="A9" s="1">
        <v>45944</v>
      </c>
      <c r="B9" s="1">
        <v>45944</v>
      </c>
      <c r="C9" s="81" t="s">
        <v>15</v>
      </c>
      <c r="D9" s="38">
        <v>10</v>
      </c>
      <c r="E9" s="81" t="s">
        <v>16</v>
      </c>
      <c r="F9">
        <v>1901505</v>
      </c>
      <c r="G9" s="81" t="s">
        <v>27</v>
      </c>
      <c r="H9" s="81" t="s">
        <v>28</v>
      </c>
      <c r="I9" s="3">
        <v>10</v>
      </c>
      <c r="J9" s="3"/>
      <c r="K9" s="26">
        <v>10</v>
      </c>
      <c r="L9" s="2">
        <v>1895</v>
      </c>
      <c r="M9" s="2">
        <v>18950</v>
      </c>
      <c r="N9" s="2">
        <v>18950</v>
      </c>
      <c r="O9" s="2">
        <v>1895</v>
      </c>
      <c r="P9" s="2">
        <v>0</v>
      </c>
      <c r="Q9" s="2">
        <v>0</v>
      </c>
      <c r="R9" s="4">
        <v>0</v>
      </c>
      <c r="T9">
        <v>295517</v>
      </c>
      <c r="U9" s="2"/>
      <c r="V9">
        <v>5284</v>
      </c>
      <c r="W9" s="2">
        <v>6579000000</v>
      </c>
      <c r="X9" s="6">
        <v>18950</v>
      </c>
      <c r="Y9" s="38">
        <v>10010</v>
      </c>
      <c r="Z9" s="86">
        <f>+((DETALLE_GD_1[[#This Row],[VALOR X UN (GD)]]-DETALLE_GD_1[[#This Row],[VALOR PPTO]])/DETALLE_GD_1[[#This Row],[VALOR PPTO]])</f>
        <v>0</v>
      </c>
      <c r="AA9" s="2">
        <f>+DETALLE_GD_1[[#This Row],[VALOR PPTO]]*DETALLE_GD_1[[#This Row],[CANTIDAD RECIBIDA]]</f>
        <v>18950</v>
      </c>
      <c r="AB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" s="3">
        <f>+DETALLE_GD_1[[#This Row],[CANTIDAD SOLICITADA]]-DETALLE_GD_1[[#This Row],[DEVOLUCIÓN]]</f>
        <v>10</v>
      </c>
      <c r="AD9" s="38" t="str">
        <f>+_xlfn.XLOOKUP(DETALLE_GD_1[[#This Row],[CODIGO]],PRODUCTOS[CODIGO],PRODUCTOS[DESC CORTA],"",0)</f>
        <v>POLIETILENO</v>
      </c>
      <c r="AE9"/>
      <c r="AH9"/>
    </row>
    <row r="10" spans="1:34" x14ac:dyDescent="0.25">
      <c r="A10" s="1">
        <v>45944</v>
      </c>
      <c r="B10" s="1">
        <v>45944</v>
      </c>
      <c r="C10" s="81" t="s">
        <v>15</v>
      </c>
      <c r="D10" s="38">
        <v>10</v>
      </c>
      <c r="E10" s="81" t="s">
        <v>29</v>
      </c>
      <c r="F10">
        <v>407011</v>
      </c>
      <c r="G10" s="81" t="s">
        <v>30</v>
      </c>
      <c r="H10" s="81" t="s">
        <v>31</v>
      </c>
      <c r="I10" s="3">
        <v>1000</v>
      </c>
      <c r="J10" s="3"/>
      <c r="K10" s="26">
        <v>1000</v>
      </c>
      <c r="L10" s="2">
        <v>481.52199999999999</v>
      </c>
      <c r="M10" s="2">
        <v>481522</v>
      </c>
      <c r="N10" s="2">
        <v>481522</v>
      </c>
      <c r="O10" s="2">
        <v>473.17520000000002</v>
      </c>
      <c r="P10" s="2">
        <v>-8.3468</v>
      </c>
      <c r="Q10" s="2">
        <v>-8346.76</v>
      </c>
      <c r="R10" s="4">
        <v>-1.7639891723835923E-2</v>
      </c>
      <c r="T10">
        <v>295553</v>
      </c>
      <c r="U10" s="2">
        <v>1003866</v>
      </c>
      <c r="V10">
        <v>5284</v>
      </c>
      <c r="W10" s="2">
        <v>6579000000</v>
      </c>
      <c r="X10" s="6">
        <v>473175.23999999993</v>
      </c>
      <c r="Y10" s="38">
        <v>10010</v>
      </c>
      <c r="Z10" s="86">
        <f>+((DETALLE_GD_1[[#This Row],[VALOR X UN (GD)]]-DETALLE_GD_1[[#This Row],[VALOR PPTO]])/DETALLE_GD_1[[#This Row],[VALOR PPTO]])</f>
        <v>1.7639977750313146E-2</v>
      </c>
      <c r="AA10" s="2">
        <f>+DETALLE_GD_1[[#This Row],[VALOR PPTO]]*DETALLE_GD_1[[#This Row],[CANTIDAD RECIBIDA]]</f>
        <v>473175.2</v>
      </c>
      <c r="AB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" s="3">
        <f>+DETALLE_GD_1[[#This Row],[CANTIDAD SOLICITADA]]-DETALLE_GD_1[[#This Row],[DEVOLUCIÓN]]</f>
        <v>1000</v>
      </c>
      <c r="AD10" s="38" t="str">
        <f>+_xlfn.XLOOKUP(DETALLE_GD_1[[#This Row],[CODIGO]],PRODUCTOS[CODIGO],PRODUCTOS[DESC CORTA],"",0)</f>
        <v>TORNILLO SIMPSON 6"</v>
      </c>
      <c r="AE10"/>
      <c r="AH10"/>
    </row>
    <row r="11" spans="1:34" x14ac:dyDescent="0.25">
      <c r="A11" s="1">
        <v>45944</v>
      </c>
      <c r="B11" s="1">
        <v>45944</v>
      </c>
      <c r="C11" s="81" t="s">
        <v>15</v>
      </c>
      <c r="D11" s="38">
        <v>10</v>
      </c>
      <c r="E11" s="81" t="s">
        <v>29</v>
      </c>
      <c r="F11">
        <v>407117</v>
      </c>
      <c r="G11" s="81" t="s">
        <v>32</v>
      </c>
      <c r="H11" s="81" t="s">
        <v>31</v>
      </c>
      <c r="I11" s="3">
        <v>200</v>
      </c>
      <c r="J11" s="3"/>
      <c r="K11" s="26">
        <v>200</v>
      </c>
      <c r="L11" s="2">
        <v>585.07000000000005</v>
      </c>
      <c r="M11" s="2">
        <v>117014</v>
      </c>
      <c r="N11" s="2">
        <v>117014</v>
      </c>
      <c r="O11" s="2">
        <v>585.07209999999998</v>
      </c>
      <c r="P11" s="2">
        <v>2.0999999999999999E-3</v>
      </c>
      <c r="Q11" s="2">
        <v>0.41060000000000002</v>
      </c>
      <c r="R11" s="4">
        <v>3.508969518208351E-6</v>
      </c>
      <c r="T11">
        <v>295553</v>
      </c>
      <c r="U11" s="2"/>
      <c r="V11">
        <v>5284</v>
      </c>
      <c r="W11" s="2">
        <v>6579000000</v>
      </c>
      <c r="X11" s="6">
        <v>117014.4106</v>
      </c>
      <c r="Y11" s="38">
        <v>10010</v>
      </c>
      <c r="Z11" s="86">
        <f>+((DETALLE_GD_1[[#This Row],[VALOR X UN (GD)]]-DETALLE_GD_1[[#This Row],[VALOR PPTO]])/DETALLE_GD_1[[#This Row],[VALOR PPTO]])</f>
        <v>-3.589301215914422E-6</v>
      </c>
      <c r="AA11" s="2">
        <f>+DETALLE_GD_1[[#This Row],[VALOR PPTO]]*DETALLE_GD_1[[#This Row],[CANTIDAD RECIBIDA]]</f>
        <v>117014.42</v>
      </c>
      <c r="AB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" s="3">
        <f>+DETALLE_GD_1[[#This Row],[CANTIDAD SOLICITADA]]-DETALLE_GD_1[[#This Row],[DEVOLUCIÓN]]</f>
        <v>200</v>
      </c>
      <c r="AD11" s="38">
        <f>+_xlfn.XLOOKUP(DETALLE_GD_1[[#This Row],[CODIGO]],PRODUCTOS[CODIGO],PRODUCTOS[DESC CORTA],"",0)</f>
        <v>0</v>
      </c>
      <c r="AE11"/>
      <c r="AH11"/>
    </row>
    <row r="12" spans="1:34" x14ac:dyDescent="0.25">
      <c r="A12" s="1">
        <v>45944</v>
      </c>
      <c r="B12" s="1">
        <v>45944</v>
      </c>
      <c r="C12" s="81" t="s">
        <v>15</v>
      </c>
      <c r="D12" s="38">
        <v>10</v>
      </c>
      <c r="E12" s="81" t="s">
        <v>29</v>
      </c>
      <c r="F12">
        <v>412249</v>
      </c>
      <c r="G12" s="81" t="s">
        <v>33</v>
      </c>
      <c r="H12" s="81" t="s">
        <v>31</v>
      </c>
      <c r="I12" s="3">
        <v>100</v>
      </c>
      <c r="J12" s="3"/>
      <c r="K12" s="26">
        <v>100</v>
      </c>
      <c r="L12" s="2">
        <v>1719.72</v>
      </c>
      <c r="M12" s="2">
        <v>171972</v>
      </c>
      <c r="N12" s="2">
        <v>171972</v>
      </c>
      <c r="O12" s="2">
        <v>1719.7191</v>
      </c>
      <c r="P12" s="2">
        <v>-8.9999999999999998E-4</v>
      </c>
      <c r="Q12" s="2">
        <v>-9.2999999999999999E-2</v>
      </c>
      <c r="R12" s="4">
        <v>-5.4078600170765824E-7</v>
      </c>
      <c r="T12">
        <v>295553</v>
      </c>
      <c r="U12" s="2"/>
      <c r="V12">
        <v>5284</v>
      </c>
      <c r="W12" s="2">
        <v>6579000000</v>
      </c>
      <c r="X12" s="6">
        <v>171971.90700000001</v>
      </c>
      <c r="Y12" s="38">
        <v>10010</v>
      </c>
      <c r="Z12" s="86">
        <f>+((DETALLE_GD_1[[#This Row],[VALOR X UN (GD)]]-DETALLE_GD_1[[#This Row],[VALOR PPTO]])/DETALLE_GD_1[[#This Row],[VALOR PPTO]])</f>
        <v>5.2334128288826658E-7</v>
      </c>
      <c r="AA12" s="2">
        <f>+DETALLE_GD_1[[#This Row],[VALOR PPTO]]*DETALLE_GD_1[[#This Row],[CANTIDAD RECIBIDA]]</f>
        <v>171971.91</v>
      </c>
      <c r="AB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" s="3">
        <f>+DETALLE_GD_1[[#This Row],[CANTIDAD SOLICITADA]]-DETALLE_GD_1[[#This Row],[DEVOLUCIÓN]]</f>
        <v>100</v>
      </c>
      <c r="AD12" s="38">
        <f>+_xlfn.XLOOKUP(DETALLE_GD_1[[#This Row],[CODIGO]],PRODUCTOS[CODIGO],PRODUCTOS[DESC CORTA],"",0)</f>
        <v>0</v>
      </c>
      <c r="AE12"/>
      <c r="AH12"/>
    </row>
    <row r="13" spans="1:34" x14ac:dyDescent="0.25">
      <c r="A13" s="1">
        <v>45944</v>
      </c>
      <c r="B13" s="1">
        <v>45944</v>
      </c>
      <c r="C13" s="81" t="s">
        <v>15</v>
      </c>
      <c r="D13" s="38">
        <v>10</v>
      </c>
      <c r="E13" s="81" t="s">
        <v>29</v>
      </c>
      <c r="F13" t="s">
        <v>34</v>
      </c>
      <c r="G13" s="81" t="s">
        <v>35</v>
      </c>
      <c r="H13" s="81" t="s">
        <v>36</v>
      </c>
      <c r="I13" s="3">
        <v>1</v>
      </c>
      <c r="J13" s="3"/>
      <c r="K13" s="26">
        <v>1</v>
      </c>
      <c r="L13" s="2">
        <v>233358</v>
      </c>
      <c r="M13" s="2">
        <v>233358</v>
      </c>
      <c r="N13" s="2">
        <v>233358</v>
      </c>
      <c r="O13" s="2">
        <v>233358.08790000001</v>
      </c>
      <c r="P13" s="2">
        <v>8.7900000000000006E-2</v>
      </c>
      <c r="Q13" s="2">
        <v>8.7900000000000006E-2</v>
      </c>
      <c r="R13" s="4">
        <v>3.7672574700427221E-7</v>
      </c>
      <c r="T13">
        <v>295553</v>
      </c>
      <c r="U13" s="2"/>
      <c r="V13">
        <v>5284</v>
      </c>
      <c r="W13" s="2">
        <v>6579000000</v>
      </c>
      <c r="X13" s="6">
        <v>233358.08791199999</v>
      </c>
      <c r="Y13" s="38">
        <v>10010</v>
      </c>
      <c r="Z13" s="86">
        <f>+((DETALLE_GD_1[[#This Row],[VALOR X UN (GD)]]-DETALLE_GD_1[[#This Row],[VALOR PPTO]])/DETALLE_GD_1[[#This Row],[VALOR PPTO]])</f>
        <v>-3.766743240150547E-7</v>
      </c>
      <c r="AA13" s="2">
        <f>+DETALLE_GD_1[[#This Row],[VALOR PPTO]]*DETALLE_GD_1[[#This Row],[CANTIDAD RECIBIDA]]</f>
        <v>233358.08790000001</v>
      </c>
      <c r="AB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" s="3">
        <f>+DETALLE_GD_1[[#This Row],[CANTIDAD SOLICITADA]]-DETALLE_GD_1[[#This Row],[DEVOLUCIÓN]]</f>
        <v>1</v>
      </c>
      <c r="AD13" s="38" t="str">
        <f>+_xlfn.XLOOKUP(DETALLE_GD_1[[#This Row],[CODIGO]],PRODUCTOS[CODIGO],PRODUCTOS[DESC CORTA],"",0)</f>
        <v>CLAVO TORNILLO</v>
      </c>
      <c r="AE13"/>
      <c r="AH13"/>
    </row>
    <row r="14" spans="1:34" x14ac:dyDescent="0.25">
      <c r="A14" s="1">
        <v>45965</v>
      </c>
      <c r="B14" s="1">
        <v>45965</v>
      </c>
      <c r="C14" s="81" t="s">
        <v>15</v>
      </c>
      <c r="D14" s="38">
        <v>11</v>
      </c>
      <c r="E14" s="81" t="s">
        <v>16</v>
      </c>
      <c r="F14">
        <v>304002</v>
      </c>
      <c r="G14" s="81" t="s">
        <v>37</v>
      </c>
      <c r="H14" s="81" t="s">
        <v>18</v>
      </c>
      <c r="I14" s="3">
        <v>72</v>
      </c>
      <c r="J14" s="3"/>
      <c r="K14" s="26">
        <v>72</v>
      </c>
      <c r="L14" s="2">
        <v>21814.9444</v>
      </c>
      <c r="M14" s="2">
        <v>1570676</v>
      </c>
      <c r="N14" s="2">
        <v>1570676</v>
      </c>
      <c r="O14" s="2">
        <v>21246.5072</v>
      </c>
      <c r="P14" s="2">
        <v>-568.43730000000005</v>
      </c>
      <c r="Q14" s="2">
        <v>-40927.485000000001</v>
      </c>
      <c r="R14" s="4">
        <v>-2.675438778482607E-2</v>
      </c>
      <c r="T14">
        <v>297463</v>
      </c>
      <c r="U14" s="2">
        <v>4047618</v>
      </c>
      <c r="V14">
        <v>5332</v>
      </c>
      <c r="W14" s="2">
        <v>6579000000</v>
      </c>
      <c r="X14" s="6">
        <v>1529748.5150160005</v>
      </c>
      <c r="Y14" s="38">
        <v>10010</v>
      </c>
      <c r="Z14" s="86">
        <f>+((DETALLE_GD_1[[#This Row],[VALOR X UN (GD)]]-DETALLE_GD_1[[#This Row],[VALOR PPTO]])/DETALLE_GD_1[[#This Row],[VALOR PPTO]])</f>
        <v>2.6754383421666611E-2</v>
      </c>
      <c r="AA14" s="2">
        <f>+DETALLE_GD_1[[#This Row],[VALOR PPTO]]*DETALLE_GD_1[[#This Row],[CANTIDAD RECIBIDA]]</f>
        <v>1529748.5183999999</v>
      </c>
      <c r="AB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" s="3">
        <f>+DETALLE_GD_1[[#This Row],[CANTIDAD SOLICITADA]]-DETALLE_GD_1[[#This Row],[DEVOLUCIÓN]]</f>
        <v>72</v>
      </c>
      <c r="AD14" s="38" t="str">
        <f>+_xlfn.XLOOKUP(DETALLE_GD_1[[#This Row],[CODIGO]],PRODUCTOS[CODIGO],PRODUCTOS[DESC CORTA],"",0)</f>
        <v>SMARTPANEL</v>
      </c>
      <c r="AE14"/>
      <c r="AH14"/>
    </row>
    <row r="15" spans="1:34" x14ac:dyDescent="0.25">
      <c r="A15" s="1">
        <v>45965</v>
      </c>
      <c r="B15" s="1">
        <v>45965</v>
      </c>
      <c r="C15" s="81" t="s">
        <v>15</v>
      </c>
      <c r="D15" s="38">
        <v>11</v>
      </c>
      <c r="E15" s="81" t="s">
        <v>16</v>
      </c>
      <c r="F15">
        <v>701084</v>
      </c>
      <c r="G15" s="81" t="s">
        <v>38</v>
      </c>
      <c r="H15" s="81" t="s">
        <v>18</v>
      </c>
      <c r="I15" s="3">
        <v>1</v>
      </c>
      <c r="J15" s="3"/>
      <c r="K15" s="26">
        <v>1</v>
      </c>
      <c r="L15" s="2">
        <v>38182</v>
      </c>
      <c r="M15" s="2">
        <v>38182</v>
      </c>
      <c r="N15" s="2">
        <v>38182</v>
      </c>
      <c r="O15" s="2">
        <v>38182.916700000002</v>
      </c>
      <c r="P15" s="2">
        <v>0.91669999999999996</v>
      </c>
      <c r="Q15" s="2">
        <v>0.91669999999999996</v>
      </c>
      <c r="R15" s="4">
        <v>2.4007254552922275E-5</v>
      </c>
      <c r="T15">
        <v>297463</v>
      </c>
      <c r="U15" s="2"/>
      <c r="V15">
        <v>5332</v>
      </c>
      <c r="W15" s="2">
        <v>6579000000</v>
      </c>
      <c r="X15" s="6">
        <v>38182.916666999998</v>
      </c>
      <c r="Y15" s="38">
        <v>10010</v>
      </c>
      <c r="Z15" s="86">
        <f>+((DETALLE_GD_1[[#This Row],[VALOR X UN (GD)]]-DETALLE_GD_1[[#This Row],[VALOR PPTO]])/DETALLE_GD_1[[#This Row],[VALOR PPTO]])</f>
        <v>-2.4008118793124654E-5</v>
      </c>
      <c r="AA15" s="2">
        <f>+DETALLE_GD_1[[#This Row],[VALOR PPTO]]*DETALLE_GD_1[[#This Row],[CANTIDAD RECIBIDA]]</f>
        <v>38182.916700000002</v>
      </c>
      <c r="AB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" s="3">
        <f>+DETALLE_GD_1[[#This Row],[CANTIDAD SOLICITADA]]-DETALLE_GD_1[[#This Row],[DEVOLUCIÓN]]</f>
        <v>1</v>
      </c>
      <c r="AD15" s="38" t="str">
        <f>+_xlfn.XLOOKUP(DETALLE_GD_1[[#This Row],[CODIGO]],PRODUCTOS[CODIGO],PRODUCTOS[DESC CORTA],"",0)</f>
        <v>FIBROCEMENTO BALCON</v>
      </c>
      <c r="AE15"/>
      <c r="AH15"/>
    </row>
    <row r="16" spans="1:34" x14ac:dyDescent="0.25">
      <c r="A16" s="1">
        <v>45965</v>
      </c>
      <c r="B16" s="1">
        <v>45965</v>
      </c>
      <c r="C16" s="81" t="s">
        <v>15</v>
      </c>
      <c r="D16" s="38">
        <v>11</v>
      </c>
      <c r="E16" s="81" t="s">
        <v>16</v>
      </c>
      <c r="F16">
        <v>1901008</v>
      </c>
      <c r="G16" s="81" t="s">
        <v>278</v>
      </c>
      <c r="H16" s="81" t="s">
        <v>26</v>
      </c>
      <c r="I16" s="3">
        <v>162</v>
      </c>
      <c r="J16" s="3"/>
      <c r="K16" s="26">
        <v>162</v>
      </c>
      <c r="L16" s="2">
        <v>2017.3704</v>
      </c>
      <c r="M16" s="2">
        <v>326814</v>
      </c>
      <c r="N16" s="2">
        <v>326814</v>
      </c>
      <c r="O16" s="2">
        <v>2112.7957999999999</v>
      </c>
      <c r="P16" s="2">
        <v>95.425399999999996</v>
      </c>
      <c r="Q16" s="2">
        <v>15458.9162</v>
      </c>
      <c r="R16" s="4">
        <v>4.5165467281837846E-2</v>
      </c>
      <c r="T16">
        <v>297463</v>
      </c>
      <c r="U16" s="2"/>
      <c r="V16">
        <v>5332</v>
      </c>
      <c r="W16" s="2">
        <v>6579000000</v>
      </c>
      <c r="X16" s="6">
        <v>342272.91619800002</v>
      </c>
      <c r="Y16" s="38">
        <v>10010</v>
      </c>
      <c r="Z16" s="86">
        <f>+((DETALLE_GD_1[[#This Row],[VALOR X UN (GD)]]-DETALLE_GD_1[[#This Row],[VALOR PPTO]])/DETALLE_GD_1[[#This Row],[VALOR PPTO]])</f>
        <v>-4.5165462748458632E-2</v>
      </c>
      <c r="AA16" s="2">
        <f>+DETALLE_GD_1[[#This Row],[VALOR PPTO]]*DETALLE_GD_1[[#This Row],[CANTIDAD RECIBIDA]]</f>
        <v>342272.91959999996</v>
      </c>
      <c r="AB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" s="3">
        <f>+DETALLE_GD_1[[#This Row],[CANTIDAD SOLICITADA]]-DETALLE_GD_1[[#This Row],[DEVOLUCIÓN]]</f>
        <v>162</v>
      </c>
      <c r="AD16" s="38" t="str">
        <f>+_xlfn.XLOOKUP(DETALLE_GD_1[[#This Row],[CODIGO]],PRODUCTOS[CODIGO],PRODUCTOS[DESC CORTA],"",0)</f>
        <v>AISLAN GLASS 90MM</v>
      </c>
      <c r="AE16"/>
      <c r="AH16"/>
    </row>
    <row r="17" spans="1:34" x14ac:dyDescent="0.25">
      <c r="A17" s="1">
        <v>45965</v>
      </c>
      <c r="B17" s="1">
        <v>45965</v>
      </c>
      <c r="C17" s="81" t="s">
        <v>15</v>
      </c>
      <c r="D17" s="38">
        <v>11</v>
      </c>
      <c r="E17" s="81" t="s">
        <v>16</v>
      </c>
      <c r="F17">
        <v>1901038</v>
      </c>
      <c r="G17" s="81" t="s">
        <v>39</v>
      </c>
      <c r="H17" s="81" t="s">
        <v>26</v>
      </c>
      <c r="I17" s="3">
        <v>43</v>
      </c>
      <c r="J17" s="3"/>
      <c r="K17" s="26">
        <v>43</v>
      </c>
      <c r="L17" s="2">
        <v>4210.0465000000004</v>
      </c>
      <c r="M17" s="2">
        <v>181032</v>
      </c>
      <c r="N17" s="2">
        <v>181032</v>
      </c>
      <c r="O17" s="2">
        <v>4197.4179000000004</v>
      </c>
      <c r="P17" s="2">
        <v>-12.6286</v>
      </c>
      <c r="Q17" s="2">
        <v>-543.03139999999996</v>
      </c>
      <c r="R17" s="4">
        <v>-3.008667948722264E-3</v>
      </c>
      <c r="T17">
        <v>297463</v>
      </c>
      <c r="U17" s="2"/>
      <c r="V17">
        <v>5332</v>
      </c>
      <c r="W17" s="2">
        <v>6579000000</v>
      </c>
      <c r="X17" s="6">
        <v>180488.96862500004</v>
      </c>
      <c r="Y17" s="38">
        <v>10010</v>
      </c>
      <c r="Z17" s="86">
        <f>+((DETALLE_GD_1[[#This Row],[VALOR X UN (GD)]]-DETALLE_GD_1[[#This Row],[VALOR PPTO]])/DETALLE_GD_1[[#This Row],[VALOR PPTO]])</f>
        <v>3.0086592045076104E-3</v>
      </c>
      <c r="AA17" s="2">
        <f>+DETALLE_GD_1[[#This Row],[VALOR PPTO]]*DETALLE_GD_1[[#This Row],[CANTIDAD RECIBIDA]]</f>
        <v>180488.96970000002</v>
      </c>
      <c r="AB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" s="3">
        <f>+DETALLE_GD_1[[#This Row],[CANTIDAD SOLICITADA]]-DETALLE_GD_1[[#This Row],[DEVOLUCIÓN]]</f>
        <v>43</v>
      </c>
      <c r="AD17" s="38" t="str">
        <f>+_xlfn.XLOOKUP(DETALLE_GD_1[[#This Row],[CODIGO]],PRODUCTOS[CODIGO],PRODUCTOS[DESC CORTA],"",0)</f>
        <v>AISLAN ROCA 90MM</v>
      </c>
      <c r="AE17"/>
      <c r="AH17"/>
    </row>
    <row r="18" spans="1:34" x14ac:dyDescent="0.25">
      <c r="A18" s="1">
        <v>45965</v>
      </c>
      <c r="B18" s="1">
        <v>45965</v>
      </c>
      <c r="C18" s="81" t="s">
        <v>15</v>
      </c>
      <c r="D18" s="38">
        <v>11</v>
      </c>
      <c r="E18" s="81" t="s">
        <v>16</v>
      </c>
      <c r="F18">
        <v>701040</v>
      </c>
      <c r="G18" s="81" t="s">
        <v>19</v>
      </c>
      <c r="H18" s="81" t="s">
        <v>18</v>
      </c>
      <c r="I18" s="3">
        <v>40</v>
      </c>
      <c r="J18" s="3"/>
      <c r="K18" s="26">
        <v>40</v>
      </c>
      <c r="L18" s="2">
        <v>7744.8249999999998</v>
      </c>
      <c r="M18" s="2">
        <v>309793</v>
      </c>
      <c r="N18" s="2">
        <v>309793</v>
      </c>
      <c r="O18" s="2">
        <v>7835.7259999999997</v>
      </c>
      <c r="P18" s="2">
        <v>90.900999999999996</v>
      </c>
      <c r="Q18" s="2">
        <v>3636.0382</v>
      </c>
      <c r="R18" s="4">
        <v>1.1600833736865771E-2</v>
      </c>
      <c r="T18">
        <v>297463</v>
      </c>
      <c r="U18" s="2"/>
      <c r="V18">
        <v>5332</v>
      </c>
      <c r="W18" s="2">
        <v>6579000000</v>
      </c>
      <c r="X18" s="6">
        <v>313429.03815999988</v>
      </c>
      <c r="Y18" s="38">
        <v>10010</v>
      </c>
      <c r="Z18" s="86">
        <f>+((DETALLE_GD_1[[#This Row],[VALOR X UN (GD)]]-DETALLE_GD_1[[#This Row],[VALOR PPTO]])/DETALLE_GD_1[[#This Row],[VALOR PPTO]])</f>
        <v>-1.1600839539310058E-2</v>
      </c>
      <c r="AA18" s="2">
        <f>+DETALLE_GD_1[[#This Row],[VALOR PPTO]]*DETALLE_GD_1[[#This Row],[CANTIDAD RECIBIDA]]</f>
        <v>313429.03999999998</v>
      </c>
      <c r="AB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" s="3">
        <f>+DETALLE_GD_1[[#This Row],[CANTIDAD SOLICITADA]]-DETALLE_GD_1[[#This Row],[DEVOLUCIÓN]]</f>
        <v>40</v>
      </c>
      <c r="AD18" s="38" t="str">
        <f>+_xlfn.XLOOKUP(DETALLE_GD_1[[#This Row],[CODIGO]],PRODUCTOS[CODIGO],PRODUCTOS[DESC CORTA],"",0)</f>
        <v>VOLCANITA RF</v>
      </c>
      <c r="AE18"/>
      <c r="AH18"/>
    </row>
    <row r="19" spans="1:34" x14ac:dyDescent="0.25">
      <c r="A19" s="1">
        <v>45965</v>
      </c>
      <c r="B19" s="1">
        <v>45965</v>
      </c>
      <c r="C19" s="81" t="s">
        <v>15</v>
      </c>
      <c r="D19" s="38">
        <v>11</v>
      </c>
      <c r="E19" s="81" t="s">
        <v>16</v>
      </c>
      <c r="F19">
        <v>412280</v>
      </c>
      <c r="G19" s="81" t="s">
        <v>40</v>
      </c>
      <c r="H19" s="81" t="s">
        <v>31</v>
      </c>
      <c r="I19" s="3">
        <v>4</v>
      </c>
      <c r="J19" s="3"/>
      <c r="K19" s="26">
        <v>4</v>
      </c>
      <c r="L19" s="2">
        <v>42900.25</v>
      </c>
      <c r="M19" s="2">
        <v>171601</v>
      </c>
      <c r="N19" s="2">
        <v>171601</v>
      </c>
      <c r="O19" s="2">
        <v>40002.920100000003</v>
      </c>
      <c r="P19" s="2">
        <v>-2897.3299000000002</v>
      </c>
      <c r="Q19" s="2">
        <v>-11589.319600000001</v>
      </c>
      <c r="R19" s="4">
        <v>-7.2427960265505589E-2</v>
      </c>
      <c r="T19">
        <v>297463</v>
      </c>
      <c r="U19" s="2"/>
      <c r="V19">
        <v>5332</v>
      </c>
      <c r="W19" s="2">
        <v>6579000000</v>
      </c>
      <c r="X19" s="6">
        <v>160011.680372</v>
      </c>
      <c r="Y19" s="38">
        <v>10010</v>
      </c>
      <c r="Z19" s="86">
        <f>+((DETALLE_GD_1[[#This Row],[VALOR X UN (GD)]]-DETALLE_GD_1[[#This Row],[VALOR PPTO]])/DETALLE_GD_1[[#This Row],[VALOR PPTO]])</f>
        <v>7.2427960077844342E-2</v>
      </c>
      <c r="AA19" s="2">
        <f>+DETALLE_GD_1[[#This Row],[VALOR PPTO]]*DETALLE_GD_1[[#This Row],[CANTIDAD RECIBIDA]]</f>
        <v>160011.68040000001</v>
      </c>
      <c r="AB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" s="3">
        <f>+DETALLE_GD_1[[#This Row],[CANTIDAD SOLICITADA]]-DETALLE_GD_1[[#This Row],[DEVOLUCIÓN]]</f>
        <v>4</v>
      </c>
      <c r="AD19" s="38" t="str">
        <f>+_xlfn.XLOOKUP(DETALLE_GD_1[[#This Row],[CODIGO]],PRODUCTOS[CODIGO],PRODUCTOS[DESC CORTA],"",0)</f>
        <v>PB2</v>
      </c>
      <c r="AE19"/>
      <c r="AH19"/>
    </row>
    <row r="20" spans="1:34" x14ac:dyDescent="0.25">
      <c r="A20" s="1">
        <v>45965</v>
      </c>
      <c r="B20" s="1">
        <v>45965</v>
      </c>
      <c r="C20" s="81" t="s">
        <v>15</v>
      </c>
      <c r="D20" s="38">
        <v>11</v>
      </c>
      <c r="E20" s="81" t="s">
        <v>16</v>
      </c>
      <c r="F20">
        <v>412260</v>
      </c>
      <c r="G20" s="81" t="s">
        <v>41</v>
      </c>
      <c r="H20" s="81" t="s">
        <v>31</v>
      </c>
      <c r="I20" s="3">
        <v>16</v>
      </c>
      <c r="J20" s="3"/>
      <c r="K20" s="26">
        <v>16</v>
      </c>
      <c r="L20" s="2">
        <v>90595</v>
      </c>
      <c r="M20" s="2">
        <v>1449520</v>
      </c>
      <c r="N20" s="2">
        <v>1449520</v>
      </c>
      <c r="O20" s="2">
        <v>87567.442500000005</v>
      </c>
      <c r="P20" s="2">
        <v>-3027.5574999999999</v>
      </c>
      <c r="Q20" s="2">
        <v>-48440.920400000003</v>
      </c>
      <c r="R20" s="4">
        <v>-3.4574008744867088E-2</v>
      </c>
      <c r="T20">
        <v>297463</v>
      </c>
      <c r="U20" s="2"/>
      <c r="V20">
        <v>5332</v>
      </c>
      <c r="W20" s="2">
        <v>6579000000</v>
      </c>
      <c r="X20" s="6">
        <v>1401079.0796479995</v>
      </c>
      <c r="Y20" s="38">
        <v>10010</v>
      </c>
      <c r="Z20" s="86">
        <f>+((DETALLE_GD_1[[#This Row],[VALOR X UN (GD)]]-DETALLE_GD_1[[#This Row],[VALOR PPTO]])/DETALLE_GD_1[[#This Row],[VALOR PPTO]])</f>
        <v>3.4574008484945705E-2</v>
      </c>
      <c r="AA20" s="2">
        <f>+DETALLE_GD_1[[#This Row],[VALOR PPTO]]*DETALLE_GD_1[[#This Row],[CANTIDAD RECIBIDA]]</f>
        <v>1401079.08</v>
      </c>
      <c r="AB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" s="3">
        <f>+DETALLE_GD_1[[#This Row],[CANTIDAD SOLICITADA]]-DETALLE_GD_1[[#This Row],[DEVOLUCIÓN]]</f>
        <v>16</v>
      </c>
      <c r="AD20" s="38" t="str">
        <f>+_xlfn.XLOOKUP(DETALLE_GD_1[[#This Row],[CODIGO]],PRODUCTOS[CODIGO],PRODUCTOS[DESC CORTA],"",0)</f>
        <v>PB1</v>
      </c>
      <c r="AE20"/>
      <c r="AH20"/>
    </row>
    <row r="21" spans="1:34" x14ac:dyDescent="0.25">
      <c r="A21" s="1">
        <v>45980</v>
      </c>
      <c r="B21" s="1">
        <v>45980</v>
      </c>
      <c r="C21" s="81" t="s">
        <v>15</v>
      </c>
      <c r="D21" s="38">
        <v>11</v>
      </c>
      <c r="E21" s="81" t="s">
        <v>42</v>
      </c>
      <c r="F21">
        <v>407011</v>
      </c>
      <c r="G21" s="81" t="s">
        <v>30</v>
      </c>
      <c r="H21" s="81" t="s">
        <v>31</v>
      </c>
      <c r="I21" s="3">
        <v>500</v>
      </c>
      <c r="J21" s="3"/>
      <c r="K21" s="26">
        <v>500</v>
      </c>
      <c r="L21" s="2">
        <v>481.52199999999999</v>
      </c>
      <c r="M21" s="2">
        <v>240761</v>
      </c>
      <c r="N21" s="2">
        <v>240761</v>
      </c>
      <c r="O21" s="2">
        <v>473.17520000000002</v>
      </c>
      <c r="P21" s="2">
        <v>-8.3468</v>
      </c>
      <c r="Q21" s="2">
        <v>-4173.38</v>
      </c>
      <c r="R21" s="4">
        <v>-1.7639891723835923E-2</v>
      </c>
      <c r="T21">
        <v>298886</v>
      </c>
      <c r="U21" s="2">
        <v>240761</v>
      </c>
      <c r="V21">
        <v>5332</v>
      </c>
      <c r="W21" s="2">
        <v>6579000000</v>
      </c>
      <c r="X21" s="6">
        <v>236587.61999999997</v>
      </c>
      <c r="Y21" s="38">
        <v>10010</v>
      </c>
      <c r="Z21" s="86">
        <f>+((DETALLE_GD_1[[#This Row],[VALOR X UN (GD)]]-DETALLE_GD_1[[#This Row],[VALOR PPTO]])/DETALLE_GD_1[[#This Row],[VALOR PPTO]])</f>
        <v>1.7639977750313146E-2</v>
      </c>
      <c r="AA21" s="2">
        <f>+DETALLE_GD_1[[#This Row],[VALOR PPTO]]*DETALLE_GD_1[[#This Row],[CANTIDAD RECIBIDA]]</f>
        <v>236587.6</v>
      </c>
      <c r="AB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" s="3">
        <f>+DETALLE_GD_1[[#This Row],[CANTIDAD SOLICITADA]]-DETALLE_GD_1[[#This Row],[DEVOLUCIÓN]]</f>
        <v>500</v>
      </c>
      <c r="AD21" s="38" t="str">
        <f>+_xlfn.XLOOKUP(DETALLE_GD_1[[#This Row],[CODIGO]],PRODUCTOS[CODIGO],PRODUCTOS[DESC CORTA],"",0)</f>
        <v>TORNILLO SIMPSON 6"</v>
      </c>
      <c r="AE21"/>
      <c r="AH21"/>
    </row>
    <row r="22" spans="1:34" x14ac:dyDescent="0.25">
      <c r="A22" s="1">
        <v>45975</v>
      </c>
      <c r="B22" s="1">
        <v>45975</v>
      </c>
      <c r="C22" s="81" t="s">
        <v>15</v>
      </c>
      <c r="D22" s="38">
        <v>11</v>
      </c>
      <c r="E22" s="81" t="s">
        <v>16</v>
      </c>
      <c r="F22">
        <v>407185</v>
      </c>
      <c r="G22" s="81" t="s">
        <v>43</v>
      </c>
      <c r="H22" s="81" t="s">
        <v>31</v>
      </c>
      <c r="I22" s="3">
        <v>8000</v>
      </c>
      <c r="J22" s="3"/>
      <c r="K22" s="26">
        <v>8000</v>
      </c>
      <c r="L22" s="2">
        <v>7.2504999999999997</v>
      </c>
      <c r="M22" s="2">
        <v>58004</v>
      </c>
      <c r="N22" s="2">
        <v>58004</v>
      </c>
      <c r="O22" s="2">
        <v>6.8783000000000003</v>
      </c>
      <c r="P22" s="2">
        <v>-0.37219999999999998</v>
      </c>
      <c r="Q22" s="2">
        <v>-2977.44</v>
      </c>
      <c r="R22" s="4">
        <v>-5.4109142930250306E-2</v>
      </c>
      <c r="T22">
        <v>298492</v>
      </c>
      <c r="U22" s="2">
        <v>368311</v>
      </c>
      <c r="V22">
        <v>5332</v>
      </c>
      <c r="W22" s="2">
        <v>6579000000</v>
      </c>
      <c r="X22" s="6">
        <v>55026.560000000005</v>
      </c>
      <c r="Y22" s="38">
        <v>10010</v>
      </c>
      <c r="Z22" s="86">
        <f>+((DETALLE_GD_1[[#This Row],[VALOR X UN (GD)]]-DETALLE_GD_1[[#This Row],[VALOR PPTO]])/DETALLE_GD_1[[#This Row],[VALOR PPTO]])</f>
        <v>5.4112207958361719E-2</v>
      </c>
      <c r="AA22" s="2">
        <f>+DETALLE_GD_1[[#This Row],[VALOR PPTO]]*DETALLE_GD_1[[#This Row],[CANTIDAD RECIBIDA]]</f>
        <v>55026.400000000001</v>
      </c>
      <c r="AB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" s="3">
        <f>+DETALLE_GD_1[[#This Row],[CANTIDAD SOLICITADA]]-DETALLE_GD_1[[#This Row],[DEVOLUCIÓN]]</f>
        <v>8000</v>
      </c>
      <c r="AD22" s="38">
        <f>+_xlfn.XLOOKUP(DETALLE_GD_1[[#This Row],[CODIGO]],PRODUCTOS[CODIGO],PRODUCTOS[DESC CORTA],"",0)</f>
        <v>0</v>
      </c>
      <c r="AE22"/>
      <c r="AH22"/>
    </row>
    <row r="23" spans="1:34" x14ac:dyDescent="0.25">
      <c r="A23" s="1">
        <v>45975</v>
      </c>
      <c r="B23" s="1">
        <v>45975</v>
      </c>
      <c r="C23" s="81" t="s">
        <v>15</v>
      </c>
      <c r="D23" s="38">
        <v>11</v>
      </c>
      <c r="E23" s="81" t="s">
        <v>16</v>
      </c>
      <c r="F23">
        <v>804070</v>
      </c>
      <c r="G23" s="81" t="s">
        <v>44</v>
      </c>
      <c r="H23" s="81" t="s">
        <v>26</v>
      </c>
      <c r="I23" s="3">
        <v>46</v>
      </c>
      <c r="J23" s="3"/>
      <c r="K23" s="26">
        <v>46</v>
      </c>
      <c r="L23" s="2">
        <v>6223.4129999999996</v>
      </c>
      <c r="M23" s="2">
        <v>286277</v>
      </c>
      <c r="N23" s="2">
        <v>286277</v>
      </c>
      <c r="O23" s="2">
        <v>6479.9989999999998</v>
      </c>
      <c r="P23" s="2">
        <v>256.58589999999998</v>
      </c>
      <c r="Q23" s="2">
        <v>11802.9529</v>
      </c>
      <c r="R23" s="4">
        <v>3.9596600633989981E-2</v>
      </c>
      <c r="T23">
        <v>298492</v>
      </c>
      <c r="U23" s="2"/>
      <c r="V23">
        <v>5332</v>
      </c>
      <c r="W23" s="2">
        <v>6579000000</v>
      </c>
      <c r="X23" s="6">
        <v>298079.95285</v>
      </c>
      <c r="Y23" s="38">
        <v>10010</v>
      </c>
      <c r="Z23" s="86">
        <f>+((DETALLE_GD_1[[#This Row],[VALOR X UN (GD)]]-DETALLE_GD_1[[#This Row],[VALOR PPTO]])/DETALLE_GD_1[[#This Row],[VALOR PPTO]])</f>
        <v>-3.9596611048859767E-2</v>
      </c>
      <c r="AA23" s="2">
        <f>+DETALLE_GD_1[[#This Row],[VALOR PPTO]]*DETALLE_GD_1[[#This Row],[CANTIDAD RECIBIDA]]</f>
        <v>298079.95399999997</v>
      </c>
      <c r="AB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" s="3">
        <f>+DETALLE_GD_1[[#This Row],[CANTIDAD SOLICITADA]]-DETALLE_GD_1[[#This Row],[DEVOLUCIÓN]]</f>
        <v>46</v>
      </c>
      <c r="AD23" s="38" t="str">
        <f>+_xlfn.XLOOKUP(DETALLE_GD_1[[#This Row],[CODIGO]],PRODUCTOS[CODIGO],PRODUCTOS[DESC CORTA],"",0)</f>
        <v>TARKETT</v>
      </c>
      <c r="AE23"/>
      <c r="AH23"/>
    </row>
    <row r="24" spans="1:34" x14ac:dyDescent="0.25">
      <c r="A24" s="1">
        <v>45975</v>
      </c>
      <c r="B24" s="1">
        <v>45975</v>
      </c>
      <c r="C24" s="81" t="s">
        <v>15</v>
      </c>
      <c r="D24" s="38">
        <v>11</v>
      </c>
      <c r="E24" s="81" t="s">
        <v>16</v>
      </c>
      <c r="F24" t="s">
        <v>45</v>
      </c>
      <c r="G24" s="81" t="s">
        <v>360</v>
      </c>
      <c r="H24" s="81" t="s">
        <v>47</v>
      </c>
      <c r="I24" s="3">
        <v>1</v>
      </c>
      <c r="J24" s="3"/>
      <c r="K24" s="26">
        <v>1</v>
      </c>
      <c r="L24" s="2">
        <v>24030</v>
      </c>
      <c r="M24" s="2">
        <v>24030</v>
      </c>
      <c r="N24" s="2">
        <v>24030</v>
      </c>
      <c r="O24" s="2">
        <v>24029.782599999999</v>
      </c>
      <c r="P24" s="2">
        <v>-0.21740000000000001</v>
      </c>
      <c r="Q24" s="2">
        <v>-0.21740000000000001</v>
      </c>
      <c r="R24" s="4">
        <v>-9.0467318630514202E-6</v>
      </c>
      <c r="T24">
        <v>298492</v>
      </c>
      <c r="U24" s="2"/>
      <c r="V24">
        <v>5332</v>
      </c>
      <c r="W24" s="2">
        <v>6579000000</v>
      </c>
      <c r="X24" s="6">
        <v>24029.782609000009</v>
      </c>
      <c r="Y24" s="38">
        <v>10010</v>
      </c>
      <c r="Z24" s="86">
        <f>+((DETALLE_GD_1[[#This Row],[VALOR X UN (GD)]]-DETALLE_GD_1[[#This Row],[VALOR PPTO]])/DETALLE_GD_1[[#This Row],[VALOR PPTO]])</f>
        <v>9.0471064020929622E-6</v>
      </c>
      <c r="AA24" s="2">
        <f>+DETALLE_GD_1[[#This Row],[VALOR PPTO]]*DETALLE_GD_1[[#This Row],[CANTIDAD RECIBIDA]]</f>
        <v>24029.782599999999</v>
      </c>
      <c r="AB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" s="3">
        <f>+DETALLE_GD_1[[#This Row],[CANTIDAD SOLICITADA]]-DETALLE_GD_1[[#This Row],[DEVOLUCIÓN]]</f>
        <v>1</v>
      </c>
      <c r="AD24" s="38" t="str">
        <f>+_xlfn.XLOOKUP(DETALLE_GD_1[[#This Row],[CODIGO]],PRODUCTOS[CODIGO],PRODUCTOS[DESC CORTA],"",0)</f>
        <v>MONOFILAMENTO TARKETT</v>
      </c>
      <c r="AE24"/>
      <c r="AH24"/>
    </row>
    <row r="25" spans="1:34" x14ac:dyDescent="0.25">
      <c r="A25" s="1">
        <v>45979</v>
      </c>
      <c r="B25" s="1">
        <v>45979</v>
      </c>
      <c r="C25" s="81" t="s">
        <v>15</v>
      </c>
      <c r="D25" s="38">
        <v>11</v>
      </c>
      <c r="E25" s="81" t="s">
        <v>378</v>
      </c>
      <c r="F25">
        <v>1703006</v>
      </c>
      <c r="G25" s="81" t="s">
        <v>48</v>
      </c>
      <c r="H25" s="81" t="s">
        <v>31</v>
      </c>
      <c r="I25" s="3">
        <v>1</v>
      </c>
      <c r="J25" s="3"/>
      <c r="K25" s="26">
        <v>1</v>
      </c>
      <c r="L25" s="2">
        <v>1662</v>
      </c>
      <c r="M25" s="2">
        <v>1662</v>
      </c>
      <c r="N25" s="2">
        <v>1662</v>
      </c>
      <c r="O25" s="2">
        <v>1662</v>
      </c>
      <c r="P25" s="2">
        <v>0</v>
      </c>
      <c r="Q25" s="2">
        <v>0</v>
      </c>
      <c r="R25" s="4">
        <v>0</v>
      </c>
      <c r="T25">
        <v>298676</v>
      </c>
      <c r="U25" s="2">
        <v>375698</v>
      </c>
      <c r="V25">
        <v>5332</v>
      </c>
      <c r="W25" s="2">
        <v>6579000000</v>
      </c>
      <c r="X25" s="6">
        <v>1662</v>
      </c>
      <c r="Y25" s="38">
        <v>10010</v>
      </c>
      <c r="Z25" s="86">
        <f>+((DETALLE_GD_1[[#This Row],[VALOR X UN (GD)]]-DETALLE_GD_1[[#This Row],[VALOR PPTO]])/DETALLE_GD_1[[#This Row],[VALOR PPTO]])</f>
        <v>0</v>
      </c>
      <c r="AA25" s="2">
        <f>+DETALLE_GD_1[[#This Row],[VALOR PPTO]]*DETALLE_GD_1[[#This Row],[CANTIDAD RECIBIDA]]</f>
        <v>1662</v>
      </c>
      <c r="AB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" s="3">
        <f>+DETALLE_GD_1[[#This Row],[CANTIDAD SOLICITADA]]-DETALLE_GD_1[[#This Row],[DEVOLUCIÓN]]</f>
        <v>1</v>
      </c>
      <c r="AD25" s="38" t="str">
        <f>+_xlfn.XLOOKUP(DETALLE_GD_1[[#This Row],[CODIGO]],PRODUCTOS[CODIGO],PRODUCTOS[DESC CORTA],"",0)</f>
        <v>SIFON LAVAPLATO</v>
      </c>
      <c r="AE25"/>
      <c r="AH25"/>
    </row>
    <row r="26" spans="1:34" x14ac:dyDescent="0.25">
      <c r="A26" s="1">
        <v>45979</v>
      </c>
      <c r="B26" s="1">
        <v>45979</v>
      </c>
      <c r="C26" s="81" t="s">
        <v>15</v>
      </c>
      <c r="D26" s="38">
        <v>11</v>
      </c>
      <c r="E26" s="81" t="s">
        <v>378</v>
      </c>
      <c r="F26">
        <v>1703046</v>
      </c>
      <c r="G26" s="81" t="s">
        <v>49</v>
      </c>
      <c r="H26" s="81" t="s">
        <v>31</v>
      </c>
      <c r="I26" s="3">
        <v>1</v>
      </c>
      <c r="J26" s="3"/>
      <c r="K26" s="26">
        <v>1</v>
      </c>
      <c r="L26" s="2">
        <v>3138</v>
      </c>
      <c r="M26" s="2">
        <v>3138</v>
      </c>
      <c r="N26" s="2">
        <v>3138</v>
      </c>
      <c r="O26" s="2">
        <v>3138</v>
      </c>
      <c r="P26" s="2">
        <v>0</v>
      </c>
      <c r="Q26" s="2">
        <v>0</v>
      </c>
      <c r="R26" s="4">
        <v>0</v>
      </c>
      <c r="T26">
        <v>298676</v>
      </c>
      <c r="U26" s="2"/>
      <c r="V26">
        <v>5332</v>
      </c>
      <c r="W26" s="2">
        <v>6579000000</v>
      </c>
      <c r="X26" s="6">
        <v>3138</v>
      </c>
      <c r="Y26" s="38">
        <v>10010</v>
      </c>
      <c r="Z26" s="86">
        <f>+((DETALLE_GD_1[[#This Row],[VALOR X UN (GD)]]-DETALLE_GD_1[[#This Row],[VALOR PPTO]])/DETALLE_GD_1[[#This Row],[VALOR PPTO]])</f>
        <v>0</v>
      </c>
      <c r="AA26" s="2">
        <f>+DETALLE_GD_1[[#This Row],[VALOR PPTO]]*DETALLE_GD_1[[#This Row],[CANTIDAD RECIBIDA]]</f>
        <v>3138</v>
      </c>
      <c r="AB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" s="3">
        <f>+DETALLE_GD_1[[#This Row],[CANTIDAD SOLICITADA]]-DETALLE_GD_1[[#This Row],[DEVOLUCIÓN]]</f>
        <v>1</v>
      </c>
      <c r="AD26" s="38" t="str">
        <f>+_xlfn.XLOOKUP(DETALLE_GD_1[[#This Row],[CODIGO]],PRODUCTOS[CODIGO],PRODUCTOS[DESC CORTA],"",0)</f>
        <v>DESAGUE 1  1/2</v>
      </c>
      <c r="AE26"/>
      <c r="AH26"/>
    </row>
    <row r="27" spans="1:34" x14ac:dyDescent="0.25">
      <c r="A27" s="1">
        <v>45979</v>
      </c>
      <c r="B27" s="1">
        <v>45979</v>
      </c>
      <c r="C27" s="81" t="s">
        <v>15</v>
      </c>
      <c r="D27" s="38">
        <v>11</v>
      </c>
      <c r="E27" s="81" t="s">
        <v>378</v>
      </c>
      <c r="F27">
        <v>1801035</v>
      </c>
      <c r="G27" s="81" t="s">
        <v>50</v>
      </c>
      <c r="H27" s="81" t="s">
        <v>31</v>
      </c>
      <c r="I27" s="3">
        <v>1</v>
      </c>
      <c r="J27" s="3"/>
      <c r="K27" s="26">
        <v>1</v>
      </c>
      <c r="L27" s="2">
        <v>18126</v>
      </c>
      <c r="M27" s="2">
        <v>18126</v>
      </c>
      <c r="N27" s="2">
        <v>18126</v>
      </c>
      <c r="O27" s="2">
        <v>18126.208299999998</v>
      </c>
      <c r="P27" s="2">
        <v>0.20830000000000001</v>
      </c>
      <c r="Q27" s="2">
        <v>0.20830000000000001</v>
      </c>
      <c r="R27" s="4">
        <v>1.1493468251680086E-5</v>
      </c>
      <c r="T27">
        <v>298676</v>
      </c>
      <c r="U27" s="2"/>
      <c r="V27">
        <v>5332</v>
      </c>
      <c r="W27" s="2">
        <v>6579000000</v>
      </c>
      <c r="X27" s="6">
        <v>18126.208332999999</v>
      </c>
      <c r="Y27" s="38">
        <v>10010</v>
      </c>
      <c r="Z27" s="86">
        <f>+((DETALLE_GD_1[[#This Row],[VALOR X UN (GD)]]-DETALLE_GD_1[[#This Row],[VALOR PPTO]])/DETALLE_GD_1[[#This Row],[VALOR PPTO]])</f>
        <v>-1.1491647704303209E-5</v>
      </c>
      <c r="AA27" s="2">
        <f>+DETALLE_GD_1[[#This Row],[VALOR PPTO]]*DETALLE_GD_1[[#This Row],[CANTIDAD RECIBIDA]]</f>
        <v>18126.208299999998</v>
      </c>
      <c r="AB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" s="3">
        <f>+DETALLE_GD_1[[#This Row],[CANTIDAD SOLICITADA]]-DETALLE_GD_1[[#This Row],[DEVOLUCIÓN]]</f>
        <v>1</v>
      </c>
      <c r="AD27" s="38" t="str">
        <f>+_xlfn.XLOOKUP(DETALLE_GD_1[[#This Row],[CODIGO]],PRODUCTOS[CODIGO],PRODUCTOS[DESC CORTA],"",0)</f>
        <v>LAVAMANOS</v>
      </c>
      <c r="AE27"/>
      <c r="AH27"/>
    </row>
    <row r="28" spans="1:34" x14ac:dyDescent="0.25">
      <c r="A28" s="1">
        <v>45979</v>
      </c>
      <c r="B28" s="1">
        <v>45979</v>
      </c>
      <c r="C28" s="81" t="s">
        <v>15</v>
      </c>
      <c r="D28" s="38">
        <v>11</v>
      </c>
      <c r="E28" s="81" t="s">
        <v>378</v>
      </c>
      <c r="F28">
        <v>1801229</v>
      </c>
      <c r="G28" s="81" t="s">
        <v>259</v>
      </c>
      <c r="H28" s="81" t="s">
        <v>31</v>
      </c>
      <c r="I28" s="3">
        <v>1</v>
      </c>
      <c r="J28" s="3"/>
      <c r="K28" s="26">
        <v>1</v>
      </c>
      <c r="L28" s="2">
        <v>3684</v>
      </c>
      <c r="M28" s="2">
        <v>3684</v>
      </c>
      <c r="N28" s="2">
        <v>3684</v>
      </c>
      <c r="O28" s="2">
        <v>4675.5185000000001</v>
      </c>
      <c r="P28" s="2">
        <v>991.51850000000002</v>
      </c>
      <c r="Q28" s="2">
        <v>991.51850000000002</v>
      </c>
      <c r="R28" s="4">
        <v>0.2120660018713959</v>
      </c>
      <c r="T28">
        <v>298676</v>
      </c>
      <c r="U28" s="2"/>
      <c r="V28">
        <v>5332</v>
      </c>
      <c r="W28" s="2">
        <v>6579000000</v>
      </c>
      <c r="X28" s="6">
        <v>4675.5185190000002</v>
      </c>
      <c r="Y28" s="38">
        <v>10010</v>
      </c>
      <c r="Z28" s="86">
        <f>+((DETALLE_GD_1[[#This Row],[VALOR X UN (GD)]]-DETALLE_GD_1[[#This Row],[VALOR PPTO]])/DETALLE_GD_1[[#This Row],[VALOR PPTO]])</f>
        <v>-0.21206599866945242</v>
      </c>
      <c r="AA28" s="2">
        <f>+DETALLE_GD_1[[#This Row],[VALOR PPTO]]*DETALLE_GD_1[[#This Row],[CANTIDAD RECIBIDA]]</f>
        <v>4675.5185000000001</v>
      </c>
      <c r="AB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" s="3">
        <f>+DETALLE_GD_1[[#This Row],[CANTIDAD SOLICITADA]]-DETALLE_GD_1[[#This Row],[DEVOLUCIÓN]]</f>
        <v>1</v>
      </c>
      <c r="AD28" s="38" t="str">
        <f>+_xlfn.XLOOKUP(DETALLE_GD_1[[#This Row],[CODIGO]],PRODUCTOS[CODIGO],PRODUCTOS[DESC CORTA],"",0)</f>
        <v>KIT DESAGUE TINA</v>
      </c>
      <c r="AE28"/>
      <c r="AH28"/>
    </row>
    <row r="29" spans="1:34" x14ac:dyDescent="0.25">
      <c r="A29" s="1">
        <v>45979</v>
      </c>
      <c r="B29" s="1">
        <v>45979</v>
      </c>
      <c r="C29" s="81" t="s">
        <v>15</v>
      </c>
      <c r="D29" s="38">
        <v>11</v>
      </c>
      <c r="E29" s="81" t="s">
        <v>378</v>
      </c>
      <c r="F29">
        <v>1801230</v>
      </c>
      <c r="G29" s="81" t="s">
        <v>51</v>
      </c>
      <c r="H29" s="81" t="s">
        <v>31</v>
      </c>
      <c r="I29" s="3">
        <v>1</v>
      </c>
      <c r="J29" s="3"/>
      <c r="K29" s="26">
        <v>1</v>
      </c>
      <c r="L29" s="2">
        <v>9310</v>
      </c>
      <c r="M29" s="2">
        <v>9310</v>
      </c>
      <c r="N29" s="2">
        <v>9310</v>
      </c>
      <c r="O29" s="2">
        <v>9309.8462</v>
      </c>
      <c r="P29" s="2">
        <v>-0.15379999999999999</v>
      </c>
      <c r="Q29" s="2">
        <v>-0.15379999999999999</v>
      </c>
      <c r="R29" s="4">
        <v>-1.652508510391957E-5</v>
      </c>
      <c r="T29">
        <v>298676</v>
      </c>
      <c r="U29" s="2"/>
      <c r="V29">
        <v>5332</v>
      </c>
      <c r="W29" s="2">
        <v>6579000000</v>
      </c>
      <c r="X29" s="6">
        <v>9309.8461540000008</v>
      </c>
      <c r="Y29" s="38">
        <v>10010</v>
      </c>
      <c r="Z29" s="86">
        <f>+((DETALLE_GD_1[[#This Row],[VALOR X UN (GD)]]-DETALLE_GD_1[[#This Row],[VALOR PPTO]])/DETALLE_GD_1[[#This Row],[VALOR PPTO]])</f>
        <v>1.6520144016992092E-5</v>
      </c>
      <c r="AA29" s="2">
        <f>+DETALLE_GD_1[[#This Row],[VALOR PPTO]]*DETALLE_GD_1[[#This Row],[CANTIDAD RECIBIDA]]</f>
        <v>9309.8462</v>
      </c>
      <c r="AB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" s="3">
        <f>+DETALLE_GD_1[[#This Row],[CANTIDAD SOLICITADA]]-DETALLE_GD_1[[#This Row],[DEVOLUCIÓN]]</f>
        <v>1</v>
      </c>
      <c r="AD29" s="38" t="str">
        <f>+_xlfn.XLOOKUP(DETALLE_GD_1[[#This Row],[CODIGO]],PRODUCTOS[CODIGO],PRODUCTOS[DESC CORTA],"",0)</f>
        <v>SOPORTE TINA</v>
      </c>
      <c r="AE29"/>
      <c r="AH29"/>
    </row>
    <row r="30" spans="1:34" x14ac:dyDescent="0.25">
      <c r="A30" s="1">
        <v>45979</v>
      </c>
      <c r="B30" s="1">
        <v>45979</v>
      </c>
      <c r="C30" s="81" t="s">
        <v>15</v>
      </c>
      <c r="D30" s="38">
        <v>11</v>
      </c>
      <c r="E30" s="81" t="s">
        <v>378</v>
      </c>
      <c r="F30">
        <v>1808149</v>
      </c>
      <c r="G30" s="81" t="s">
        <v>52</v>
      </c>
      <c r="H30" s="81" t="s">
        <v>31</v>
      </c>
      <c r="I30" s="3">
        <v>1</v>
      </c>
      <c r="J30" s="3"/>
      <c r="K30" s="26">
        <v>1</v>
      </c>
      <c r="L30" s="2">
        <v>20303</v>
      </c>
      <c r="M30" s="2">
        <v>20303</v>
      </c>
      <c r="N30" s="2">
        <v>20303</v>
      </c>
      <c r="O30" s="2">
        <v>20303.2</v>
      </c>
      <c r="P30" s="2">
        <v>0.2</v>
      </c>
      <c r="Q30" s="2">
        <v>0.2</v>
      </c>
      <c r="R30" s="4">
        <v>9.850663934785038E-6</v>
      </c>
      <c r="T30">
        <v>298676</v>
      </c>
      <c r="U30" s="2"/>
      <c r="V30">
        <v>5332</v>
      </c>
      <c r="W30" s="2">
        <v>6579000000</v>
      </c>
      <c r="X30" s="6">
        <v>20303.2</v>
      </c>
      <c r="Y30" s="38">
        <v>10010</v>
      </c>
      <c r="Z30" s="86">
        <f>+((DETALLE_GD_1[[#This Row],[VALOR X UN (GD)]]-DETALLE_GD_1[[#This Row],[VALOR PPTO]])/DETALLE_GD_1[[#This Row],[VALOR PPTO]])</f>
        <v>-9.850663934785038E-6</v>
      </c>
      <c r="AA30" s="2">
        <f>+DETALLE_GD_1[[#This Row],[VALOR PPTO]]*DETALLE_GD_1[[#This Row],[CANTIDAD RECIBIDA]]</f>
        <v>20303.2</v>
      </c>
      <c r="AB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" s="3">
        <f>+DETALLE_GD_1[[#This Row],[CANTIDAD SOLICITADA]]-DETALLE_GD_1[[#This Row],[DEVOLUCIÓN]]</f>
        <v>1</v>
      </c>
      <c r="AD30" s="38" t="str">
        <f>+_xlfn.XLOOKUP(DETALLE_GD_1[[#This Row],[CODIGO]],PRODUCTOS[CODIGO],PRODUCTOS[DESC CORTA],"",0)</f>
        <v>MONOMANDO LAVAPLATOS</v>
      </c>
      <c r="AE30"/>
      <c r="AH30"/>
    </row>
    <row r="31" spans="1:34" x14ac:dyDescent="0.25">
      <c r="A31" s="1">
        <v>45979</v>
      </c>
      <c r="B31" s="1">
        <v>45979</v>
      </c>
      <c r="C31" s="81" t="s">
        <v>15</v>
      </c>
      <c r="D31" s="38">
        <v>11</v>
      </c>
      <c r="E31" s="81" t="s">
        <v>378</v>
      </c>
      <c r="F31">
        <v>1801020</v>
      </c>
      <c r="G31" s="81" t="s">
        <v>53</v>
      </c>
      <c r="H31" s="81" t="s">
        <v>31</v>
      </c>
      <c r="I31" s="3">
        <v>1</v>
      </c>
      <c r="J31" s="3"/>
      <c r="K31" s="26">
        <v>1</v>
      </c>
      <c r="L31" s="2">
        <v>30757</v>
      </c>
      <c r="M31" s="2">
        <v>30757</v>
      </c>
      <c r="N31" s="2">
        <v>30757</v>
      </c>
      <c r="O31" s="2">
        <v>30757</v>
      </c>
      <c r="P31" s="2">
        <v>0</v>
      </c>
      <c r="Q31" s="2">
        <v>0</v>
      </c>
      <c r="R31" s="4">
        <v>0</v>
      </c>
      <c r="T31">
        <v>298676</v>
      </c>
      <c r="U31" s="2"/>
      <c r="V31">
        <v>5332</v>
      </c>
      <c r="W31" s="2">
        <v>6579000000</v>
      </c>
      <c r="X31" s="6">
        <v>30757</v>
      </c>
      <c r="Y31" s="38">
        <v>10010</v>
      </c>
      <c r="Z31" s="86">
        <f>+((DETALLE_GD_1[[#This Row],[VALOR X UN (GD)]]-DETALLE_GD_1[[#This Row],[VALOR PPTO]])/DETALLE_GD_1[[#This Row],[VALOR PPTO]])</f>
        <v>0</v>
      </c>
      <c r="AA31" s="2">
        <f>+DETALLE_GD_1[[#This Row],[VALOR PPTO]]*DETALLE_GD_1[[#This Row],[CANTIDAD RECIBIDA]]</f>
        <v>30757</v>
      </c>
      <c r="AB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" s="3">
        <f>+DETALLE_GD_1[[#This Row],[CANTIDAD SOLICITADA]]-DETALLE_GD_1[[#This Row],[DEVOLUCIÓN]]</f>
        <v>1</v>
      </c>
      <c r="AD31" s="38" t="str">
        <f>+_xlfn.XLOOKUP(DETALLE_GD_1[[#This Row],[CODIGO]],PRODUCTOS[CODIGO],PRODUCTOS[DESC CORTA],"",0)</f>
        <v>TINA</v>
      </c>
      <c r="AE31"/>
      <c r="AH31"/>
    </row>
    <row r="32" spans="1:34" x14ac:dyDescent="0.25">
      <c r="A32" s="1">
        <v>45979</v>
      </c>
      <c r="B32" s="1">
        <v>45979</v>
      </c>
      <c r="C32" s="81" t="s">
        <v>15</v>
      </c>
      <c r="D32" s="38">
        <v>11</v>
      </c>
      <c r="E32" s="81" t="s">
        <v>378</v>
      </c>
      <c r="F32">
        <v>4212234</v>
      </c>
      <c r="G32" s="81" t="s">
        <v>54</v>
      </c>
      <c r="H32" s="81" t="s">
        <v>31</v>
      </c>
      <c r="I32" s="3">
        <v>1</v>
      </c>
      <c r="J32" s="3"/>
      <c r="K32" s="26">
        <v>1</v>
      </c>
      <c r="L32" s="2">
        <v>204000</v>
      </c>
      <c r="M32" s="2">
        <v>204000</v>
      </c>
      <c r="N32" s="2">
        <v>204000</v>
      </c>
      <c r="O32" s="2">
        <v>124909</v>
      </c>
      <c r="P32" s="2">
        <v>-79091</v>
      </c>
      <c r="Q32" s="2">
        <v>-79091</v>
      </c>
      <c r="R32" s="4">
        <v>-0.6331889615640186</v>
      </c>
      <c r="T32">
        <v>298676</v>
      </c>
      <c r="U32" s="2"/>
      <c r="V32">
        <v>5332</v>
      </c>
      <c r="W32" s="2">
        <v>6579000000</v>
      </c>
      <c r="X32" s="6">
        <v>124909</v>
      </c>
      <c r="Y32" s="38">
        <v>10010</v>
      </c>
      <c r="Z32" s="86">
        <f>+((DETALLE_GD_1[[#This Row],[VALOR X UN (GD)]]-DETALLE_GD_1[[#This Row],[VALOR PPTO]])/DETALLE_GD_1[[#This Row],[VALOR PPTO]])</f>
        <v>0.6331889615640186</v>
      </c>
      <c r="AA32" s="2">
        <f>+DETALLE_GD_1[[#This Row],[VALOR PPTO]]*DETALLE_GD_1[[#This Row],[CANTIDAD RECIBIDA]]</f>
        <v>124909</v>
      </c>
      <c r="AB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2" s="3">
        <f>+DETALLE_GD_1[[#This Row],[CANTIDAD SOLICITADA]]-DETALLE_GD_1[[#This Row],[DEVOLUCIÓN]]</f>
        <v>1</v>
      </c>
      <c r="AD32" s="38" t="str">
        <f>+_xlfn.XLOOKUP(DETALLE_GD_1[[#This Row],[CODIGO]],PRODUCTOS[CODIGO],PRODUCTOS[DESC CORTA],"",0)</f>
        <v>BARANDA BALCON</v>
      </c>
      <c r="AE32"/>
      <c r="AH32"/>
    </row>
    <row r="33" spans="1:34" x14ac:dyDescent="0.25">
      <c r="A33" s="1">
        <v>45979</v>
      </c>
      <c r="B33" s="1">
        <v>45979</v>
      </c>
      <c r="C33" s="81" t="s">
        <v>15</v>
      </c>
      <c r="D33" s="38">
        <v>11</v>
      </c>
      <c r="E33" s="81" t="s">
        <v>378</v>
      </c>
      <c r="F33">
        <v>5316507</v>
      </c>
      <c r="G33" s="81" t="s">
        <v>55</v>
      </c>
      <c r="H33" s="81" t="s">
        <v>31</v>
      </c>
      <c r="I33" s="3">
        <v>1</v>
      </c>
      <c r="J33" s="3"/>
      <c r="K33" s="26">
        <v>1</v>
      </c>
      <c r="L33" s="2">
        <v>36777</v>
      </c>
      <c r="M33" s="2">
        <v>36777</v>
      </c>
      <c r="N33" s="2">
        <v>36777</v>
      </c>
      <c r="O33" s="2">
        <v>41419.666700000002</v>
      </c>
      <c r="P33" s="2">
        <v>4642.6666999999998</v>
      </c>
      <c r="Q33" s="2">
        <v>4642.6666999999998</v>
      </c>
      <c r="R33" s="4">
        <v>0.11208846040035655</v>
      </c>
      <c r="T33">
        <v>298676</v>
      </c>
      <c r="U33" s="2"/>
      <c r="V33">
        <v>5332</v>
      </c>
      <c r="W33" s="2">
        <v>6579000000</v>
      </c>
      <c r="X33" s="6">
        <v>41419.666666999998</v>
      </c>
      <c r="Y33" s="38">
        <v>10010</v>
      </c>
      <c r="Z33" s="86">
        <f>+((DETALLE_GD_1[[#This Row],[VALOR X UN (GD)]]-DETALLE_GD_1[[#This Row],[VALOR PPTO]])/DETALLE_GD_1[[#This Row],[VALOR PPTO]])</f>
        <v>-0.11208846110777616</v>
      </c>
      <c r="AA33" s="2">
        <f>+DETALLE_GD_1[[#This Row],[VALOR PPTO]]*DETALLE_GD_1[[#This Row],[CANTIDAD RECIBIDA]]</f>
        <v>41419.666700000002</v>
      </c>
      <c r="AB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" s="3">
        <f>+DETALLE_GD_1[[#This Row],[CANTIDAD SOLICITADA]]-DETALLE_GD_1[[#This Row],[DEVOLUCIÓN]]</f>
        <v>1</v>
      </c>
      <c r="AD33" s="38" t="str">
        <f>+_xlfn.XLOOKUP(DETALLE_GD_1[[#This Row],[CODIGO]],PRODUCTOS[CODIGO],PRODUCTOS[DESC CORTA],"",0)</f>
        <v>MUEBLE LAVAPLATOS</v>
      </c>
      <c r="AE33"/>
      <c r="AH33"/>
    </row>
    <row r="34" spans="1:34" x14ac:dyDescent="0.25">
      <c r="A34" s="1">
        <v>45979</v>
      </c>
      <c r="B34" s="1">
        <v>45979</v>
      </c>
      <c r="C34" s="81" t="s">
        <v>15</v>
      </c>
      <c r="D34" s="38">
        <v>11</v>
      </c>
      <c r="E34" s="81" t="s">
        <v>378</v>
      </c>
      <c r="F34">
        <v>5316509</v>
      </c>
      <c r="G34" s="81" t="s">
        <v>56</v>
      </c>
      <c r="H34" s="81" t="s">
        <v>31</v>
      </c>
      <c r="I34" s="3">
        <v>1</v>
      </c>
      <c r="J34" s="3"/>
      <c r="K34" s="26">
        <v>1</v>
      </c>
      <c r="L34" s="2">
        <v>15433</v>
      </c>
      <c r="M34" s="2">
        <v>15433</v>
      </c>
      <c r="N34" s="2">
        <v>15433</v>
      </c>
      <c r="O34" s="2">
        <v>15433.3333</v>
      </c>
      <c r="P34" s="2">
        <v>0.33329999999999999</v>
      </c>
      <c r="Q34" s="2">
        <v>0.33329999999999999</v>
      </c>
      <c r="R34" s="4">
        <v>2.1598250540455263E-5</v>
      </c>
      <c r="T34">
        <v>298676</v>
      </c>
      <c r="U34" s="2"/>
      <c r="V34">
        <v>5332</v>
      </c>
      <c r="W34" s="2">
        <v>6579000000</v>
      </c>
      <c r="X34" s="6">
        <v>15433.333333</v>
      </c>
      <c r="Y34" s="38">
        <v>10010</v>
      </c>
      <c r="Z34" s="86">
        <f>+((DETALLE_GD_1[[#This Row],[VALOR X UN (GD)]]-DETALLE_GD_1[[#This Row],[VALOR PPTO]])/DETALLE_GD_1[[#This Row],[VALOR PPTO]])</f>
        <v>-2.1596112357674266E-5</v>
      </c>
      <c r="AA34" s="2">
        <f>+DETALLE_GD_1[[#This Row],[VALOR PPTO]]*DETALLE_GD_1[[#This Row],[CANTIDAD RECIBIDA]]</f>
        <v>15433.3333</v>
      </c>
      <c r="AB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" s="3">
        <f>+DETALLE_GD_1[[#This Row],[CANTIDAD SOLICITADA]]-DETALLE_GD_1[[#This Row],[DEVOLUCIÓN]]</f>
        <v>1</v>
      </c>
      <c r="AD34" s="38" t="str">
        <f>+_xlfn.XLOOKUP(DETALLE_GD_1[[#This Row],[CODIGO]],PRODUCTOS[CODIGO],PRODUCTOS[DESC CORTA],"",0)</f>
        <v>LAVAPLATOS</v>
      </c>
      <c r="AE34"/>
      <c r="AH34"/>
    </row>
    <row r="35" spans="1:34" x14ac:dyDescent="0.25">
      <c r="A35" s="1">
        <v>45979</v>
      </c>
      <c r="B35" s="1">
        <v>45979</v>
      </c>
      <c r="C35" s="81" t="s">
        <v>15</v>
      </c>
      <c r="D35" s="38">
        <v>11</v>
      </c>
      <c r="E35" s="81" t="s">
        <v>378</v>
      </c>
      <c r="F35">
        <v>609008</v>
      </c>
      <c r="G35" s="81" t="s">
        <v>57</v>
      </c>
      <c r="H35" s="81" t="s">
        <v>58</v>
      </c>
      <c r="I35" s="3">
        <v>1</v>
      </c>
      <c r="J35" s="3"/>
      <c r="K35" s="26">
        <v>1</v>
      </c>
      <c r="L35" s="2">
        <v>2068</v>
      </c>
      <c r="M35" s="2">
        <v>2068</v>
      </c>
      <c r="N35" s="2">
        <v>2068</v>
      </c>
      <c r="O35" s="2">
        <v>2130.7573000000002</v>
      </c>
      <c r="P35" s="2">
        <v>62.757300000000001</v>
      </c>
      <c r="Q35" s="2">
        <v>62.757300000000001</v>
      </c>
      <c r="R35" s="4">
        <v>2.9453053947284105E-2</v>
      </c>
      <c r="T35">
        <v>298676</v>
      </c>
      <c r="U35" s="2"/>
      <c r="V35">
        <v>5332</v>
      </c>
      <c r="W35" s="2">
        <v>6579000000</v>
      </c>
      <c r="X35" s="6">
        <v>2130.75731</v>
      </c>
      <c r="Y35" s="38">
        <v>10010</v>
      </c>
      <c r="Z35" s="86">
        <f>+((DETALLE_GD_1[[#This Row],[VALOR X UN (GD)]]-DETALLE_GD_1[[#This Row],[VALOR PPTO]])/DETALLE_GD_1[[#This Row],[VALOR PPTO]])</f>
        <v>-2.9453049392345252E-2</v>
      </c>
      <c r="AA35" s="2">
        <f>+DETALLE_GD_1[[#This Row],[VALOR PPTO]]*DETALLE_GD_1[[#This Row],[CANTIDAD RECIBIDA]]</f>
        <v>2130.7573000000002</v>
      </c>
      <c r="AB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" s="3">
        <f>+DETALLE_GD_1[[#This Row],[CANTIDAD SOLICITADA]]-DETALLE_GD_1[[#This Row],[DEVOLUCIÓN]]</f>
        <v>1</v>
      </c>
      <c r="AD35" s="38" t="str">
        <f>+_xlfn.XLOOKUP(DETALLE_GD_1[[#This Row],[CODIGO]],PRODUCTOS[CODIGO],PRODUCTOS[DESC CORTA],"",0)</f>
        <v>DUCO</v>
      </c>
      <c r="AE35"/>
      <c r="AH35"/>
    </row>
    <row r="36" spans="1:34" x14ac:dyDescent="0.25">
      <c r="A36" s="1">
        <v>45979</v>
      </c>
      <c r="B36" s="1">
        <v>45979</v>
      </c>
      <c r="C36" s="81" t="s">
        <v>15</v>
      </c>
      <c r="D36" s="38">
        <v>11</v>
      </c>
      <c r="E36" s="81" t="s">
        <v>378</v>
      </c>
      <c r="F36">
        <v>1610023</v>
      </c>
      <c r="G36" s="81" t="s">
        <v>351</v>
      </c>
      <c r="H36" s="81" t="s">
        <v>28</v>
      </c>
      <c r="I36" s="3">
        <v>4</v>
      </c>
      <c r="J36" s="3"/>
      <c r="K36" s="26">
        <v>4</v>
      </c>
      <c r="L36" s="2">
        <v>1658.75</v>
      </c>
      <c r="M36" s="2">
        <v>6635</v>
      </c>
      <c r="N36" s="2">
        <v>6635</v>
      </c>
      <c r="O36" s="2">
        <v>2109.0585000000001</v>
      </c>
      <c r="P36" s="2">
        <v>450.30849999999998</v>
      </c>
      <c r="Q36" s="2">
        <v>1801.2342000000001</v>
      </c>
      <c r="R36" s="4">
        <v>0.21351163708001053</v>
      </c>
      <c r="T36">
        <v>298676</v>
      </c>
      <c r="U36" s="2"/>
      <c r="V36">
        <v>5332</v>
      </c>
      <c r="W36" s="2">
        <v>6579000000</v>
      </c>
      <c r="X36" s="6">
        <v>8436.2341680000009</v>
      </c>
      <c r="Y36" s="38">
        <v>10010</v>
      </c>
      <c r="Z36" s="86">
        <f>+((DETALLE_GD_1[[#This Row],[VALOR X UN (GD)]]-DETALLE_GD_1[[#This Row],[VALOR PPTO]])/DETALLE_GD_1[[#This Row],[VALOR PPTO]])</f>
        <v>-0.21351162141780328</v>
      </c>
      <c r="AA36" s="2">
        <f>+DETALLE_GD_1[[#This Row],[VALOR PPTO]]*DETALLE_GD_1[[#This Row],[CANTIDAD RECIBIDA]]</f>
        <v>8436.2340000000004</v>
      </c>
      <c r="AB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" s="3">
        <f>+DETALLE_GD_1[[#This Row],[CANTIDAD SOLICITADA]]-DETALLE_GD_1[[#This Row],[DEVOLUCIÓN]]</f>
        <v>4</v>
      </c>
      <c r="AD36" s="38" t="str">
        <f>+_xlfn.XLOOKUP(DETALLE_GD_1[[#This Row],[CODIGO]],PRODUCTOS[CODIGO],PRODUCTOS[DESC CORTA],"",0)</f>
        <v>TRAPOS DE ASEO</v>
      </c>
      <c r="AE36"/>
      <c r="AH36"/>
    </row>
    <row r="37" spans="1:34" x14ac:dyDescent="0.25">
      <c r="A37" s="1">
        <v>45979</v>
      </c>
      <c r="B37" s="1">
        <v>45979</v>
      </c>
      <c r="C37" s="81" t="s">
        <v>15</v>
      </c>
      <c r="D37" s="38">
        <v>11</v>
      </c>
      <c r="E37" s="81" t="s">
        <v>378</v>
      </c>
      <c r="F37">
        <v>5316481</v>
      </c>
      <c r="G37" s="81" t="s">
        <v>60</v>
      </c>
      <c r="H37" s="81" t="s">
        <v>31</v>
      </c>
      <c r="I37" s="3">
        <v>1</v>
      </c>
      <c r="J37" s="3"/>
      <c r="K37" s="26">
        <v>1</v>
      </c>
      <c r="L37" s="2">
        <v>11769</v>
      </c>
      <c r="M37" s="2">
        <v>11769</v>
      </c>
      <c r="N37" s="2">
        <v>11769</v>
      </c>
      <c r="O37" s="2">
        <v>11769.175800000001</v>
      </c>
      <c r="P37" s="2">
        <v>0.17580000000000001</v>
      </c>
      <c r="Q37" s="2">
        <v>0.17580000000000001</v>
      </c>
      <c r="R37" s="4">
        <v>1.493936386279282E-5</v>
      </c>
      <c r="T37">
        <v>298676</v>
      </c>
      <c r="U37" s="2"/>
      <c r="V37">
        <v>5332</v>
      </c>
      <c r="W37" s="2">
        <v>6579000000</v>
      </c>
      <c r="X37" s="6">
        <v>11769.175824</v>
      </c>
      <c r="Y37" s="38">
        <v>10010</v>
      </c>
      <c r="Z37" s="86">
        <f>+((DETALLE_GD_1[[#This Row],[VALOR X UN (GD)]]-DETALLE_GD_1[[#This Row],[VALOR PPTO]])/DETALLE_GD_1[[#This Row],[VALOR PPTO]])</f>
        <v>-1.4937324668129315E-5</v>
      </c>
      <c r="AA37" s="2">
        <f>+DETALLE_GD_1[[#This Row],[VALOR PPTO]]*DETALLE_GD_1[[#This Row],[CANTIDAD RECIBIDA]]</f>
        <v>11769.175800000001</v>
      </c>
      <c r="AB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7" s="3">
        <f>+DETALLE_GD_1[[#This Row],[CANTIDAD SOLICITADA]]-DETALLE_GD_1[[#This Row],[DEVOLUCIÓN]]</f>
        <v>1</v>
      </c>
      <c r="AD37" s="38">
        <f>+_xlfn.XLOOKUP(DETALLE_GD_1[[#This Row],[CODIGO]],PRODUCTOS[CODIGO],PRODUCTOS[DESC CORTA],"",0)</f>
        <v>0</v>
      </c>
      <c r="AE37"/>
      <c r="AH37"/>
    </row>
    <row r="38" spans="1:34" x14ac:dyDescent="0.25">
      <c r="A38" s="1">
        <v>45979</v>
      </c>
      <c r="B38" s="1">
        <v>45979</v>
      </c>
      <c r="C38" s="81" t="s">
        <v>15</v>
      </c>
      <c r="D38" s="38">
        <v>11</v>
      </c>
      <c r="E38" s="81" t="s">
        <v>378</v>
      </c>
      <c r="F38">
        <v>5316479</v>
      </c>
      <c r="G38" s="81" t="s">
        <v>61</v>
      </c>
      <c r="H38" s="81" t="s">
        <v>31</v>
      </c>
      <c r="I38" s="3">
        <v>1</v>
      </c>
      <c r="J38" s="3"/>
      <c r="K38" s="26">
        <v>1</v>
      </c>
      <c r="L38" s="2">
        <v>10525</v>
      </c>
      <c r="M38" s="2">
        <v>10525</v>
      </c>
      <c r="N38" s="2">
        <v>10525</v>
      </c>
      <c r="O38" s="2">
        <v>10525</v>
      </c>
      <c r="P38" s="2">
        <v>0</v>
      </c>
      <c r="Q38" s="2">
        <v>0</v>
      </c>
      <c r="R38" s="4">
        <v>0</v>
      </c>
      <c r="T38">
        <v>298676</v>
      </c>
      <c r="U38" s="2"/>
      <c r="V38">
        <v>5332</v>
      </c>
      <c r="W38" s="2">
        <v>6579000000</v>
      </c>
      <c r="X38" s="6">
        <v>10525</v>
      </c>
      <c r="Y38" s="38">
        <v>10010</v>
      </c>
      <c r="Z38" s="86">
        <f>+((DETALLE_GD_1[[#This Row],[VALOR X UN (GD)]]-DETALLE_GD_1[[#This Row],[VALOR PPTO]])/DETALLE_GD_1[[#This Row],[VALOR PPTO]])</f>
        <v>0</v>
      </c>
      <c r="AA38" s="2">
        <f>+DETALLE_GD_1[[#This Row],[VALOR PPTO]]*DETALLE_GD_1[[#This Row],[CANTIDAD RECIBIDA]]</f>
        <v>10525</v>
      </c>
      <c r="AB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" s="3">
        <f>+DETALLE_GD_1[[#This Row],[CANTIDAD SOLICITADA]]-DETALLE_GD_1[[#This Row],[DEVOLUCIÓN]]</f>
        <v>1</v>
      </c>
      <c r="AD38" s="38" t="str">
        <f>+_xlfn.XLOOKUP(DETALLE_GD_1[[#This Row],[CODIGO]],PRODUCTOS[CODIGO],PRODUCTOS[DESC CORTA],"",0)</f>
        <v>LAVADERO</v>
      </c>
      <c r="AE38"/>
      <c r="AH38"/>
    </row>
    <row r="39" spans="1:34" x14ac:dyDescent="0.25">
      <c r="A39" s="1">
        <v>45979</v>
      </c>
      <c r="B39" s="1">
        <v>45979</v>
      </c>
      <c r="C39" s="81" t="s">
        <v>15</v>
      </c>
      <c r="D39" s="38">
        <v>11</v>
      </c>
      <c r="E39" s="81" t="s">
        <v>378</v>
      </c>
      <c r="F39">
        <v>5316482</v>
      </c>
      <c r="G39" s="81" t="s">
        <v>62</v>
      </c>
      <c r="H39" s="81" t="s">
        <v>31</v>
      </c>
      <c r="I39" s="3">
        <v>1</v>
      </c>
      <c r="J39" s="3"/>
      <c r="K39" s="26">
        <v>1</v>
      </c>
      <c r="L39" s="2">
        <v>1511</v>
      </c>
      <c r="M39" s="2">
        <v>1511</v>
      </c>
      <c r="N39" s="2">
        <v>1511</v>
      </c>
      <c r="O39" s="2">
        <v>1511</v>
      </c>
      <c r="P39" s="2">
        <v>0</v>
      </c>
      <c r="Q39" s="2">
        <v>0</v>
      </c>
      <c r="R39" s="4">
        <v>0</v>
      </c>
      <c r="T39">
        <v>298676</v>
      </c>
      <c r="U39" s="2"/>
      <c r="V39">
        <v>5332</v>
      </c>
      <c r="W39" s="2">
        <v>6579000000</v>
      </c>
      <c r="X39" s="6">
        <v>1511</v>
      </c>
      <c r="Y39" s="38">
        <v>10010</v>
      </c>
      <c r="Z39" s="86">
        <f>+((DETALLE_GD_1[[#This Row],[VALOR X UN (GD)]]-DETALLE_GD_1[[#This Row],[VALOR PPTO]])/DETALLE_GD_1[[#This Row],[VALOR PPTO]])</f>
        <v>0</v>
      </c>
      <c r="AA39" s="2">
        <f>+DETALLE_GD_1[[#This Row],[VALOR PPTO]]*DETALLE_GD_1[[#This Row],[CANTIDAD RECIBIDA]]</f>
        <v>1511</v>
      </c>
      <c r="AB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" s="3">
        <f>+DETALLE_GD_1[[#This Row],[CANTIDAD SOLICITADA]]-DETALLE_GD_1[[#This Row],[DEVOLUCIÓN]]</f>
        <v>1</v>
      </c>
      <c r="AD39" s="38" t="str">
        <f>+_xlfn.XLOOKUP(DETALLE_GD_1[[#This Row],[CODIGO]],PRODUCTOS[CODIGO],PRODUCTOS[DESC CORTA],"",0)</f>
        <v>SIFON LAVADERO</v>
      </c>
      <c r="AE39"/>
      <c r="AH39"/>
    </row>
    <row r="40" spans="1:34" x14ac:dyDescent="0.25">
      <c r="A40" s="1">
        <v>45979</v>
      </c>
      <c r="B40" s="1">
        <v>45979</v>
      </c>
      <c r="C40" s="81" t="s">
        <v>15</v>
      </c>
      <c r="D40" s="38">
        <v>11</v>
      </c>
      <c r="E40" s="81" t="s">
        <v>63</v>
      </c>
      <c r="F40">
        <v>307030</v>
      </c>
      <c r="G40" s="81" t="s">
        <v>64</v>
      </c>
      <c r="H40" s="81" t="s">
        <v>31</v>
      </c>
      <c r="I40" s="3">
        <v>30</v>
      </c>
      <c r="J40" s="3"/>
      <c r="K40" s="26">
        <v>30</v>
      </c>
      <c r="L40" s="2">
        <v>2730</v>
      </c>
      <c r="M40" s="2">
        <v>81900</v>
      </c>
      <c r="N40" s="2">
        <v>81900</v>
      </c>
      <c r="O40" s="2">
        <v>2729.9989</v>
      </c>
      <c r="P40" s="2">
        <v>-1.1000000000000001E-3</v>
      </c>
      <c r="Q40" s="2">
        <v>-3.4299999999999997E-2</v>
      </c>
      <c r="R40" s="4">
        <v>-4.190477945900508E-7</v>
      </c>
      <c r="T40">
        <v>298721</v>
      </c>
      <c r="U40" s="2">
        <v>523808</v>
      </c>
      <c r="V40">
        <v>5332</v>
      </c>
      <c r="W40" s="2">
        <v>6579000000</v>
      </c>
      <c r="X40" s="6">
        <v>81899.965679999994</v>
      </c>
      <c r="Y40" s="38">
        <v>10010</v>
      </c>
      <c r="Z40" s="86">
        <f>+((DETALLE_GD_1[[#This Row],[VALOR X UN (GD)]]-DETALLE_GD_1[[#This Row],[VALOR PPTO]])/DETALLE_GD_1[[#This Row],[VALOR PPTO]])</f>
        <v>4.0293056526552117E-7</v>
      </c>
      <c r="AA40" s="2">
        <f>+DETALLE_GD_1[[#This Row],[VALOR PPTO]]*DETALLE_GD_1[[#This Row],[CANTIDAD RECIBIDA]]</f>
        <v>81899.967000000004</v>
      </c>
      <c r="AB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0" s="3">
        <f>+DETALLE_GD_1[[#This Row],[CANTIDAD SOLICITADA]]-DETALLE_GD_1[[#This Row],[DEVOLUCIÓN]]</f>
        <v>30</v>
      </c>
      <c r="AD40" s="38" t="str">
        <f>+_xlfn.XLOOKUP(DETALLE_GD_1[[#This Row],[CODIGO]],PRODUCTOS[CODIGO],PRODUCTOS[DESC CORTA],"",0)</f>
        <v>GUARDAPOLVO BLANCO</v>
      </c>
      <c r="AE40"/>
      <c r="AH40"/>
    </row>
    <row r="41" spans="1:34" x14ac:dyDescent="0.25">
      <c r="A41" s="1">
        <v>45979</v>
      </c>
      <c r="B41" s="1">
        <v>45979</v>
      </c>
      <c r="C41" s="81" t="s">
        <v>15</v>
      </c>
      <c r="D41" s="38">
        <v>11</v>
      </c>
      <c r="E41" s="81" t="s">
        <v>63</v>
      </c>
      <c r="F41">
        <v>307031</v>
      </c>
      <c r="G41" s="81" t="s">
        <v>65</v>
      </c>
      <c r="H41" s="81" t="s">
        <v>31</v>
      </c>
      <c r="I41" s="3">
        <v>30</v>
      </c>
      <c r="J41" s="3"/>
      <c r="K41" s="26">
        <v>30</v>
      </c>
      <c r="L41" s="2">
        <v>2700</v>
      </c>
      <c r="M41" s="2">
        <v>81000</v>
      </c>
      <c r="N41" s="2">
        <v>81000</v>
      </c>
      <c r="O41" s="2">
        <v>2699.9985999999999</v>
      </c>
      <c r="P41" s="2">
        <v>-1.4E-3</v>
      </c>
      <c r="Q41" s="2">
        <v>-4.1799999999999997E-2</v>
      </c>
      <c r="R41" s="4">
        <v>-5.1666693335944687E-7</v>
      </c>
      <c r="T41">
        <v>298721</v>
      </c>
      <c r="U41" s="2"/>
      <c r="V41">
        <v>5332</v>
      </c>
      <c r="W41" s="2">
        <v>6579000000</v>
      </c>
      <c r="X41" s="6">
        <v>80999.95815000002</v>
      </c>
      <c r="Y41" s="38">
        <v>10010</v>
      </c>
      <c r="Z41" s="86">
        <f>+((DETALLE_GD_1[[#This Row],[VALOR X UN (GD)]]-DETALLE_GD_1[[#This Row],[VALOR PPTO]])/DETALLE_GD_1[[#This Row],[VALOR PPTO]])</f>
        <v>5.1851878741837811E-7</v>
      </c>
      <c r="AA41" s="2">
        <f>+DETALLE_GD_1[[#This Row],[VALOR PPTO]]*DETALLE_GD_1[[#This Row],[CANTIDAD RECIBIDA]]</f>
        <v>80999.957999999999</v>
      </c>
      <c r="AB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" s="3">
        <f>+DETALLE_GD_1[[#This Row],[CANTIDAD SOLICITADA]]-DETALLE_GD_1[[#This Row],[DEVOLUCIÓN]]</f>
        <v>30</v>
      </c>
      <c r="AD41" s="38" t="str">
        <f>+_xlfn.XLOOKUP(DETALLE_GD_1[[#This Row],[CODIGO]],PRODUCTOS[CODIGO],PRODUCTOS[DESC CORTA],"",0)</f>
        <v>CORNIZA BLANCA</v>
      </c>
      <c r="AE41"/>
      <c r="AH41"/>
    </row>
    <row r="42" spans="1:34" x14ac:dyDescent="0.25">
      <c r="A42" s="1">
        <v>45979</v>
      </c>
      <c r="B42" s="1">
        <v>45979</v>
      </c>
      <c r="C42" s="81" t="s">
        <v>15</v>
      </c>
      <c r="D42" s="38">
        <v>11</v>
      </c>
      <c r="E42" s="81" t="s">
        <v>63</v>
      </c>
      <c r="F42">
        <v>404184</v>
      </c>
      <c r="G42" s="81" t="s">
        <v>66</v>
      </c>
      <c r="H42" s="81" t="s">
        <v>31</v>
      </c>
      <c r="I42" s="3">
        <v>3</v>
      </c>
      <c r="J42" s="3"/>
      <c r="K42" s="26">
        <v>3</v>
      </c>
      <c r="L42" s="2">
        <v>1842.6667</v>
      </c>
      <c r="M42" s="2">
        <v>5528</v>
      </c>
      <c r="N42" s="2">
        <v>5528</v>
      </c>
      <c r="O42" s="2">
        <v>1754.8757000000001</v>
      </c>
      <c r="P42" s="2">
        <v>-87.790899999999993</v>
      </c>
      <c r="Q42" s="2">
        <v>-263.37279999999998</v>
      </c>
      <c r="R42" s="4">
        <v>-5.0026867495990605E-2</v>
      </c>
      <c r="T42">
        <v>298721</v>
      </c>
      <c r="U42" s="2"/>
      <c r="V42">
        <v>5332</v>
      </c>
      <c r="W42" s="2">
        <v>6579000000</v>
      </c>
      <c r="X42" s="6">
        <v>5264.6271930000003</v>
      </c>
      <c r="Y42" s="38">
        <v>10010</v>
      </c>
      <c r="Z42" s="86">
        <f>+((DETALLE_GD_1[[#This Row],[VALOR X UN (GD)]]-DETALLE_GD_1[[#This Row],[VALOR PPTO]])/DETALLE_GD_1[[#This Row],[VALOR PPTO]])</f>
        <v>5.0026905039485099E-2</v>
      </c>
      <c r="AA42" s="2">
        <f>+DETALLE_GD_1[[#This Row],[VALOR PPTO]]*DETALLE_GD_1[[#This Row],[CANTIDAD RECIBIDA]]</f>
        <v>5264.6270999999997</v>
      </c>
      <c r="AB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" s="3">
        <f>+DETALLE_GD_1[[#This Row],[CANTIDAD SOLICITADA]]-DETALLE_GD_1[[#This Row],[DEVOLUCIÓN]]</f>
        <v>3</v>
      </c>
      <c r="AD42" s="38" t="str">
        <f>+_xlfn.XLOOKUP(DETALLE_GD_1[[#This Row],[CODIGO]],PRODUCTOS[CODIGO],PRODUCTOS[DESC CORTA],"",0)</f>
        <v>ANGULO BLANCO</v>
      </c>
      <c r="AE42"/>
      <c r="AH42"/>
    </row>
    <row r="43" spans="1:34" x14ac:dyDescent="0.25">
      <c r="A43" s="1">
        <v>45979</v>
      </c>
      <c r="B43" s="1">
        <v>45979</v>
      </c>
      <c r="C43" s="81" t="s">
        <v>15</v>
      </c>
      <c r="D43" s="38">
        <v>11</v>
      </c>
      <c r="E43" s="81" t="s">
        <v>63</v>
      </c>
      <c r="F43">
        <v>601121</v>
      </c>
      <c r="G43" s="81" t="s">
        <v>67</v>
      </c>
      <c r="H43" s="81" t="s">
        <v>68</v>
      </c>
      <c r="I43" s="3">
        <v>1</v>
      </c>
      <c r="J43" s="3"/>
      <c r="K43" s="26">
        <v>1</v>
      </c>
      <c r="L43" s="2">
        <v>35000</v>
      </c>
      <c r="M43" s="2">
        <v>35000</v>
      </c>
      <c r="N43" s="2">
        <v>35000</v>
      </c>
      <c r="O43" s="2">
        <v>35000</v>
      </c>
      <c r="P43" s="2">
        <v>0</v>
      </c>
      <c r="Q43" s="2">
        <v>0</v>
      </c>
      <c r="R43" s="4">
        <v>0</v>
      </c>
      <c r="T43">
        <v>298721</v>
      </c>
      <c r="U43" s="2"/>
      <c r="V43">
        <v>5332</v>
      </c>
      <c r="W43" s="2">
        <v>6579000000</v>
      </c>
      <c r="X43" s="6">
        <v>35000</v>
      </c>
      <c r="Y43" s="38">
        <v>10010</v>
      </c>
      <c r="Z43" s="86">
        <f>+((DETALLE_GD_1[[#This Row],[VALOR X UN (GD)]]-DETALLE_GD_1[[#This Row],[VALOR PPTO]])/DETALLE_GD_1[[#This Row],[VALOR PPTO]])</f>
        <v>0</v>
      </c>
      <c r="AA43" s="2">
        <f>+DETALLE_GD_1[[#This Row],[VALOR PPTO]]*DETALLE_GD_1[[#This Row],[CANTIDAD RECIBIDA]]</f>
        <v>35000</v>
      </c>
      <c r="AB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" s="3">
        <f>+DETALLE_GD_1[[#This Row],[CANTIDAD SOLICITADA]]-DETALLE_GD_1[[#This Row],[DEVOLUCIÓN]]</f>
        <v>1</v>
      </c>
      <c r="AD43" s="38" t="str">
        <f>+_xlfn.XLOOKUP(DETALLE_GD_1[[#This Row],[CODIGO]],PRODUCTOS[CODIGO],PRODUCTOS[DESC CORTA],"",0)</f>
        <v>PINTURA BALCON</v>
      </c>
      <c r="AE43"/>
      <c r="AH43"/>
    </row>
    <row r="44" spans="1:34" x14ac:dyDescent="0.25">
      <c r="A44" s="1">
        <v>45979</v>
      </c>
      <c r="B44" s="1">
        <v>45979</v>
      </c>
      <c r="C44" s="81" t="s">
        <v>15</v>
      </c>
      <c r="D44" s="38">
        <v>11</v>
      </c>
      <c r="E44" s="81" t="s">
        <v>63</v>
      </c>
      <c r="F44">
        <v>601122</v>
      </c>
      <c r="G44" s="81" t="s">
        <v>69</v>
      </c>
      <c r="H44" s="81" t="s">
        <v>31</v>
      </c>
      <c r="I44" s="3">
        <v>1</v>
      </c>
      <c r="J44" s="3"/>
      <c r="K44" s="26">
        <v>1</v>
      </c>
      <c r="L44" s="2">
        <v>12000</v>
      </c>
      <c r="M44" s="2">
        <v>12000</v>
      </c>
      <c r="N44" s="2">
        <v>12000</v>
      </c>
      <c r="O44" s="2">
        <v>12000</v>
      </c>
      <c r="P44" s="2">
        <v>0</v>
      </c>
      <c r="Q44" s="2">
        <v>0</v>
      </c>
      <c r="R44" s="4">
        <v>0</v>
      </c>
      <c r="T44">
        <v>298721</v>
      </c>
      <c r="U44" s="2"/>
      <c r="V44">
        <v>5332</v>
      </c>
      <c r="W44" s="2">
        <v>6579000000</v>
      </c>
      <c r="X44" s="6">
        <v>12000</v>
      </c>
      <c r="Y44" s="38">
        <v>10010</v>
      </c>
      <c r="Z44" s="86">
        <f>+((DETALLE_GD_1[[#This Row],[VALOR X UN (GD)]]-DETALLE_GD_1[[#This Row],[VALOR PPTO]])/DETALLE_GD_1[[#This Row],[VALOR PPTO]])</f>
        <v>0</v>
      </c>
      <c r="AA44" s="2">
        <f>+DETALLE_GD_1[[#This Row],[VALOR PPTO]]*DETALLE_GD_1[[#This Row],[CANTIDAD RECIBIDA]]</f>
        <v>12000</v>
      </c>
      <c r="AB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" s="3">
        <f>+DETALLE_GD_1[[#This Row],[CANTIDAD SOLICITADA]]-DETALLE_GD_1[[#This Row],[DEVOLUCIÓN]]</f>
        <v>1</v>
      </c>
      <c r="AD44" s="38" t="str">
        <f>+_xlfn.XLOOKUP(DETALLE_GD_1[[#This Row],[CODIGO]],PRODUCTOS[CODIGO],PRODUCTOS[DESC CORTA],"",0)</f>
        <v>CATALIZADOR BALCON</v>
      </c>
      <c r="AE44"/>
      <c r="AH44"/>
    </row>
    <row r="45" spans="1:34" x14ac:dyDescent="0.25">
      <c r="A45" s="1">
        <v>45979</v>
      </c>
      <c r="B45" s="1">
        <v>45979</v>
      </c>
      <c r="C45" s="81" t="s">
        <v>15</v>
      </c>
      <c r="D45" s="38">
        <v>11</v>
      </c>
      <c r="E45" s="81" t="s">
        <v>63</v>
      </c>
      <c r="F45">
        <v>601123</v>
      </c>
      <c r="G45" s="81" t="s">
        <v>70</v>
      </c>
      <c r="H45" s="81" t="s">
        <v>68</v>
      </c>
      <c r="I45" s="3">
        <v>1</v>
      </c>
      <c r="J45" s="3"/>
      <c r="K45" s="26">
        <v>1</v>
      </c>
      <c r="L45" s="2">
        <v>11428</v>
      </c>
      <c r="M45" s="2">
        <v>11428</v>
      </c>
      <c r="N45" s="2">
        <v>11428</v>
      </c>
      <c r="O45" s="2">
        <v>11427.75</v>
      </c>
      <c r="P45" s="2">
        <v>-0.25</v>
      </c>
      <c r="Q45" s="2">
        <v>-0.25</v>
      </c>
      <c r="R45" s="4">
        <v>-2.1876572378639716E-5</v>
      </c>
      <c r="T45">
        <v>298721</v>
      </c>
      <c r="U45" s="2"/>
      <c r="V45">
        <v>5332</v>
      </c>
      <c r="W45" s="2">
        <v>6579000000</v>
      </c>
      <c r="X45" s="6">
        <v>11427.75</v>
      </c>
      <c r="Y45" s="38">
        <v>10010</v>
      </c>
      <c r="Z45" s="86">
        <f>+((DETALLE_GD_1[[#This Row],[VALOR X UN (GD)]]-DETALLE_GD_1[[#This Row],[VALOR PPTO]])/DETALLE_GD_1[[#This Row],[VALOR PPTO]])</f>
        <v>2.1876572378639716E-5</v>
      </c>
      <c r="AA45" s="2">
        <f>+DETALLE_GD_1[[#This Row],[VALOR PPTO]]*DETALLE_GD_1[[#This Row],[CANTIDAD RECIBIDA]]</f>
        <v>11427.75</v>
      </c>
      <c r="AB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" s="3">
        <f>+DETALLE_GD_1[[#This Row],[CANTIDAD SOLICITADA]]-DETALLE_GD_1[[#This Row],[DEVOLUCIÓN]]</f>
        <v>1</v>
      </c>
      <c r="AD45" s="38" t="str">
        <f>+_xlfn.XLOOKUP(DETALLE_GD_1[[#This Row],[CODIGO]],PRODUCTOS[CODIGO],PRODUCTOS[DESC CORTA],"",0)</f>
        <v>DILUYENTE</v>
      </c>
      <c r="AE45"/>
      <c r="AH45"/>
    </row>
    <row r="46" spans="1:34" x14ac:dyDescent="0.25">
      <c r="A46" s="1">
        <v>45979</v>
      </c>
      <c r="B46" s="1">
        <v>45979</v>
      </c>
      <c r="C46" s="81" t="s">
        <v>15</v>
      </c>
      <c r="D46" s="38">
        <v>11</v>
      </c>
      <c r="E46" s="81" t="s">
        <v>63</v>
      </c>
      <c r="F46">
        <v>602060</v>
      </c>
      <c r="G46" s="81" t="s">
        <v>71</v>
      </c>
      <c r="H46" s="81" t="s">
        <v>25</v>
      </c>
      <c r="I46" s="3">
        <v>1</v>
      </c>
      <c r="J46" s="3"/>
      <c r="K46" s="26">
        <v>1</v>
      </c>
      <c r="L46" s="2">
        <v>63032</v>
      </c>
      <c r="M46" s="2">
        <v>63032</v>
      </c>
      <c r="N46" s="2">
        <v>63032</v>
      </c>
      <c r="O46" s="2">
        <v>63032</v>
      </c>
      <c r="P46" s="2">
        <v>0</v>
      </c>
      <c r="Q46" s="2">
        <v>0</v>
      </c>
      <c r="R46" s="4">
        <v>0</v>
      </c>
      <c r="T46">
        <v>298721</v>
      </c>
      <c r="U46" s="2"/>
      <c r="V46">
        <v>5332</v>
      </c>
      <c r="W46" s="2">
        <v>6579000000</v>
      </c>
      <c r="X46" s="6">
        <v>63032</v>
      </c>
      <c r="Y46" s="38">
        <v>10010</v>
      </c>
      <c r="Z46" s="86">
        <f>+((DETALLE_GD_1[[#This Row],[VALOR X UN (GD)]]-DETALLE_GD_1[[#This Row],[VALOR PPTO]])/DETALLE_GD_1[[#This Row],[VALOR PPTO]])</f>
        <v>0</v>
      </c>
      <c r="AA46" s="2">
        <f>+DETALLE_GD_1[[#This Row],[VALOR PPTO]]*DETALLE_GD_1[[#This Row],[CANTIDAD RECIBIDA]]</f>
        <v>63032</v>
      </c>
      <c r="AB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" s="3">
        <f>+DETALLE_GD_1[[#This Row],[CANTIDAD SOLICITADA]]-DETALLE_GD_1[[#This Row],[DEVOLUCIÓN]]</f>
        <v>1</v>
      </c>
      <c r="AD46" s="38" t="str">
        <f>+_xlfn.XLOOKUP(DETALLE_GD_1[[#This Row],[CODIGO]],PRODUCTOS[CODIGO],PRODUCTOS[DESC CORTA],"",0)</f>
        <v>OLEO SEMIBRILLO</v>
      </c>
      <c r="AE46"/>
      <c r="AH46"/>
    </row>
    <row r="47" spans="1:34" x14ac:dyDescent="0.25">
      <c r="A47" s="1">
        <v>45979</v>
      </c>
      <c r="B47" s="1">
        <v>45979</v>
      </c>
      <c r="C47" s="81" t="s">
        <v>15</v>
      </c>
      <c r="D47" s="38">
        <v>11</v>
      </c>
      <c r="E47" s="81" t="s">
        <v>63</v>
      </c>
      <c r="F47">
        <v>705028</v>
      </c>
      <c r="G47" s="81" t="s">
        <v>72</v>
      </c>
      <c r="H47" s="81" t="s">
        <v>18</v>
      </c>
      <c r="I47" s="3">
        <v>6</v>
      </c>
      <c r="J47" s="3"/>
      <c r="K47" s="26">
        <v>6</v>
      </c>
      <c r="L47" s="2">
        <v>22927</v>
      </c>
      <c r="M47" s="2">
        <v>137562</v>
      </c>
      <c r="N47" s="2">
        <v>137562</v>
      </c>
      <c r="O47" s="2">
        <v>22927.086200000002</v>
      </c>
      <c r="P47" s="2">
        <v>8.6199999999999999E-2</v>
      </c>
      <c r="Q47" s="2">
        <v>0.51719999999999999</v>
      </c>
      <c r="R47" s="4">
        <v>3.7600504146909681E-6</v>
      </c>
      <c r="T47">
        <v>298721</v>
      </c>
      <c r="U47" s="2"/>
      <c r="V47">
        <v>5332</v>
      </c>
      <c r="W47" s="2">
        <v>6579000000</v>
      </c>
      <c r="X47" s="6">
        <v>137562.517242</v>
      </c>
      <c r="Y47" s="38">
        <v>10010</v>
      </c>
      <c r="Z47" s="86">
        <f>+((DETALLE_GD_1[[#This Row],[VALOR X UN (GD)]]-DETALLE_GD_1[[#This Row],[VALOR PPTO]])/DETALLE_GD_1[[#This Row],[VALOR PPTO]])</f>
        <v>-3.7597451001668997E-6</v>
      </c>
      <c r="AA47" s="2">
        <f>+DETALLE_GD_1[[#This Row],[VALOR PPTO]]*DETALLE_GD_1[[#This Row],[CANTIDAD RECIBIDA]]</f>
        <v>137562.5172</v>
      </c>
      <c r="AB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7" s="3">
        <f>+DETALLE_GD_1[[#This Row],[CANTIDAD SOLICITADA]]-DETALLE_GD_1[[#This Row],[DEVOLUCIÓN]]</f>
        <v>6</v>
      </c>
      <c r="AD47" s="38" t="str">
        <f>+_xlfn.XLOOKUP(DETALLE_GD_1[[#This Row],[CODIGO]],PRODUCTOS[CODIGO],PRODUCTOS[DESC CORTA],"",0)</f>
        <v>SIMPLISIMA</v>
      </c>
      <c r="AE47"/>
      <c r="AH47"/>
    </row>
    <row r="48" spans="1:34" x14ac:dyDescent="0.25">
      <c r="A48" s="1">
        <v>45979</v>
      </c>
      <c r="B48" s="1">
        <v>45979</v>
      </c>
      <c r="C48" s="81" t="s">
        <v>15</v>
      </c>
      <c r="D48" s="38">
        <v>11</v>
      </c>
      <c r="E48" s="81" t="s">
        <v>63</v>
      </c>
      <c r="F48">
        <v>1801735</v>
      </c>
      <c r="G48" s="81" t="s">
        <v>73</v>
      </c>
      <c r="H48" s="81" t="s">
        <v>31</v>
      </c>
      <c r="I48" s="3">
        <v>1</v>
      </c>
      <c r="J48" s="3"/>
      <c r="K48" s="26">
        <v>1</v>
      </c>
      <c r="L48" s="2">
        <v>3958</v>
      </c>
      <c r="M48" s="2">
        <v>3958</v>
      </c>
      <c r="N48" s="2">
        <v>3958</v>
      </c>
      <c r="O48" s="2">
        <v>3495</v>
      </c>
      <c r="P48" s="2">
        <v>-463</v>
      </c>
      <c r="Q48" s="2">
        <v>-463</v>
      </c>
      <c r="R48" s="4">
        <v>-0.13247496423462088</v>
      </c>
      <c r="T48">
        <v>298721</v>
      </c>
      <c r="U48" s="2"/>
      <c r="V48">
        <v>5332</v>
      </c>
      <c r="W48" s="2">
        <v>6579000000</v>
      </c>
      <c r="X48" s="6">
        <v>3495</v>
      </c>
      <c r="Y48" s="38">
        <v>10010</v>
      </c>
      <c r="Z48" s="86">
        <f>+((DETALLE_GD_1[[#This Row],[VALOR X UN (GD)]]-DETALLE_GD_1[[#This Row],[VALOR PPTO]])/DETALLE_GD_1[[#This Row],[VALOR PPTO]])</f>
        <v>0.13247496423462088</v>
      </c>
      <c r="AA48" s="2">
        <f>+DETALLE_GD_1[[#This Row],[VALOR PPTO]]*DETALLE_GD_1[[#This Row],[CANTIDAD RECIBIDA]]</f>
        <v>3495</v>
      </c>
      <c r="AB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" s="3">
        <f>+DETALLE_GD_1[[#This Row],[CANTIDAD SOLICITADA]]-DETALLE_GD_1[[#This Row],[DEVOLUCIÓN]]</f>
        <v>1</v>
      </c>
      <c r="AD48" s="38" t="str">
        <f>+_xlfn.XLOOKUP(DETALLE_GD_1[[#This Row],[CODIGO]],PRODUCTOS[CODIGO],PRODUCTOS[DESC CORTA],"",0)</f>
        <v>BURLETE PVC</v>
      </c>
      <c r="AE48"/>
      <c r="AH48"/>
    </row>
    <row r="49" spans="1:34" x14ac:dyDescent="0.25">
      <c r="A49" s="1">
        <v>45979</v>
      </c>
      <c r="B49" s="1">
        <v>45979</v>
      </c>
      <c r="C49" s="81" t="s">
        <v>15</v>
      </c>
      <c r="D49" s="38">
        <v>11</v>
      </c>
      <c r="E49" s="81" t="s">
        <v>63</v>
      </c>
      <c r="F49">
        <v>2302119</v>
      </c>
      <c r="G49" s="81" t="s">
        <v>74</v>
      </c>
      <c r="H49" s="81" t="s">
        <v>31</v>
      </c>
      <c r="I49" s="3">
        <v>24</v>
      </c>
      <c r="J49" s="3"/>
      <c r="K49" s="26">
        <v>24</v>
      </c>
      <c r="L49" s="2">
        <v>3850</v>
      </c>
      <c r="M49" s="2">
        <v>92400</v>
      </c>
      <c r="N49" s="2">
        <v>92400</v>
      </c>
      <c r="O49" s="2">
        <v>3671</v>
      </c>
      <c r="P49" s="2">
        <v>-179</v>
      </c>
      <c r="Q49" s="2">
        <v>-4296</v>
      </c>
      <c r="R49" s="4">
        <v>-4.8760555706891855E-2</v>
      </c>
      <c r="T49">
        <v>298721</v>
      </c>
      <c r="U49" s="2"/>
      <c r="V49">
        <v>5332</v>
      </c>
      <c r="W49" s="2">
        <v>6579000000</v>
      </c>
      <c r="X49" s="6">
        <v>88104</v>
      </c>
      <c r="Y49" s="38">
        <v>10010</v>
      </c>
      <c r="Z49" s="86">
        <f>+((DETALLE_GD_1[[#This Row],[VALOR X UN (GD)]]-DETALLE_GD_1[[#This Row],[VALOR PPTO]])/DETALLE_GD_1[[#This Row],[VALOR PPTO]])</f>
        <v>4.8760555706891855E-2</v>
      </c>
      <c r="AA49" s="2">
        <f>+DETALLE_GD_1[[#This Row],[VALOR PPTO]]*DETALLE_GD_1[[#This Row],[CANTIDAD RECIBIDA]]</f>
        <v>88104</v>
      </c>
      <c r="AB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" s="3">
        <f>+DETALLE_GD_1[[#This Row],[CANTIDAD SOLICITADA]]-DETALLE_GD_1[[#This Row],[DEVOLUCIÓN]]</f>
        <v>24</v>
      </c>
      <c r="AD49" s="38" t="str">
        <f>+_xlfn.XLOOKUP(DETALLE_GD_1[[#This Row],[CODIGO]],PRODUCTOS[CODIGO],PRODUCTOS[DESC CORTA],"",0)</f>
        <v>SELLO</v>
      </c>
      <c r="AE49"/>
      <c r="AH49"/>
    </row>
    <row r="50" spans="1:34" x14ac:dyDescent="0.25">
      <c r="A50" s="1">
        <v>45986</v>
      </c>
      <c r="B50" s="1">
        <v>45986</v>
      </c>
      <c r="C50" s="81" t="s">
        <v>75</v>
      </c>
      <c r="D50" s="38">
        <v>11</v>
      </c>
      <c r="E50" s="81" t="s">
        <v>379</v>
      </c>
      <c r="F50">
        <v>701022</v>
      </c>
      <c r="G50" s="81" t="s">
        <v>76</v>
      </c>
      <c r="H50" s="81" t="s">
        <v>18</v>
      </c>
      <c r="I50" s="3">
        <v>15</v>
      </c>
      <c r="J50" s="3"/>
      <c r="K50" s="26">
        <v>15</v>
      </c>
      <c r="L50" s="2">
        <v>11151.4</v>
      </c>
      <c r="M50" s="2">
        <v>167271</v>
      </c>
      <c r="N50" s="2">
        <v>167271</v>
      </c>
      <c r="O50" s="2">
        <v>11163.5985</v>
      </c>
      <c r="P50" s="2">
        <v>12.198499999999999</v>
      </c>
      <c r="Q50" s="2">
        <v>182.9777</v>
      </c>
      <c r="R50" s="4">
        <v>1.0927041123051074E-3</v>
      </c>
      <c r="T50">
        <v>299355</v>
      </c>
      <c r="U50" s="2">
        <v>213022</v>
      </c>
      <c r="V50">
        <v>5332</v>
      </c>
      <c r="W50" s="2">
        <v>6579000000</v>
      </c>
      <c r="X50" s="6">
        <v>167453.97764999999</v>
      </c>
      <c r="Y50" s="38">
        <v>10010</v>
      </c>
      <c r="Z50" s="86">
        <f>+((DETALLE_GD_1[[#This Row],[VALOR X UN (GD)]]-DETALLE_GD_1[[#This Row],[VALOR PPTO]])/DETALLE_GD_1[[#This Row],[VALOR PPTO]])</f>
        <v>-1.0927032175154295E-3</v>
      </c>
      <c r="AA50" s="2">
        <f>+DETALLE_GD_1[[#This Row],[VALOR PPTO]]*DETALLE_GD_1[[#This Row],[CANTIDAD RECIBIDA]]</f>
        <v>167453.97750000001</v>
      </c>
      <c r="AB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" s="3">
        <f>+DETALLE_GD_1[[#This Row],[CANTIDAD SOLICITADA]]-DETALLE_GD_1[[#This Row],[DEVOLUCIÓN]]</f>
        <v>15</v>
      </c>
      <c r="AD50" s="38" t="str">
        <f>+_xlfn.XLOOKUP(DETALLE_GD_1[[#This Row],[CODIGO]],PRODUCTOS[CODIGO],PRODUCTOS[DESC CORTA],"",0)</f>
        <v>VOLCANITA RF</v>
      </c>
      <c r="AE50"/>
      <c r="AH50"/>
    </row>
    <row r="51" spans="1:34" x14ac:dyDescent="0.25">
      <c r="A51" s="1">
        <v>45986</v>
      </c>
      <c r="B51" s="1">
        <v>45986</v>
      </c>
      <c r="C51" s="81" t="s">
        <v>75</v>
      </c>
      <c r="D51" s="38">
        <v>11</v>
      </c>
      <c r="E51" s="81" t="s">
        <v>379</v>
      </c>
      <c r="F51">
        <v>701015</v>
      </c>
      <c r="G51" s="81" t="s">
        <v>254</v>
      </c>
      <c r="H51" s="81" t="s">
        <v>18</v>
      </c>
      <c r="I51" s="3">
        <v>5</v>
      </c>
      <c r="J51" s="3"/>
      <c r="K51" s="26">
        <v>5</v>
      </c>
      <c r="L51" s="2">
        <v>9150.2000000000007</v>
      </c>
      <c r="M51" s="2">
        <v>45751</v>
      </c>
      <c r="N51" s="2">
        <v>45751</v>
      </c>
      <c r="O51" s="2">
        <v>9151.2975000000006</v>
      </c>
      <c r="P51" s="2">
        <v>1.0974999999999999</v>
      </c>
      <c r="Q51" s="2">
        <v>5.4873000000000003</v>
      </c>
      <c r="R51" s="4">
        <v>1.1992485260560381E-4</v>
      </c>
      <c r="T51">
        <v>299355</v>
      </c>
      <c r="U51" s="2"/>
      <c r="V51">
        <v>5332</v>
      </c>
      <c r="W51" s="2">
        <v>6579000000</v>
      </c>
      <c r="X51" s="6">
        <v>45756.487340000007</v>
      </c>
      <c r="Y51" s="38">
        <v>10010</v>
      </c>
      <c r="Z51" s="86">
        <f>+((DETALLE_GD_1[[#This Row],[VALOR X UN (GD)]]-DETALLE_GD_1[[#This Row],[VALOR PPTO]])/DETALLE_GD_1[[#This Row],[VALOR PPTO]])</f>
        <v>-1.1992834895815096E-4</v>
      </c>
      <c r="AA51" s="2">
        <f>+DETALLE_GD_1[[#This Row],[VALOR PPTO]]*DETALLE_GD_1[[#This Row],[CANTIDAD RECIBIDA]]</f>
        <v>45756.487500000003</v>
      </c>
      <c r="AB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" s="3">
        <f>+DETALLE_GD_1[[#This Row],[CANTIDAD SOLICITADA]]-DETALLE_GD_1[[#This Row],[DEVOLUCIÓN]]</f>
        <v>5</v>
      </c>
      <c r="AD51" s="38" t="str">
        <f>+_xlfn.XLOOKUP(DETALLE_GD_1[[#This Row],[CODIGO]],PRODUCTOS[CODIGO],PRODUCTOS[DESC CORTA],"",0)</f>
        <v>VOLCANITA RH</v>
      </c>
      <c r="AE51"/>
      <c r="AH51"/>
    </row>
    <row r="52" spans="1:34" x14ac:dyDescent="0.25">
      <c r="A52" s="1">
        <v>45960</v>
      </c>
      <c r="B52" s="1">
        <v>45960</v>
      </c>
      <c r="C52" s="81" t="s">
        <v>15</v>
      </c>
      <c r="D52" s="38">
        <v>10</v>
      </c>
      <c r="E52" s="81" t="s">
        <v>379</v>
      </c>
      <c r="F52">
        <v>2502036</v>
      </c>
      <c r="G52" s="81" t="s">
        <v>77</v>
      </c>
      <c r="H52" s="81" t="s">
        <v>31</v>
      </c>
      <c r="I52" s="3">
        <v>2</v>
      </c>
      <c r="J52" s="3"/>
      <c r="K52" s="26">
        <v>2</v>
      </c>
      <c r="L52" s="2">
        <v>37350</v>
      </c>
      <c r="M52" s="2">
        <v>74700</v>
      </c>
      <c r="N52" s="2">
        <v>74700</v>
      </c>
      <c r="O52" s="2">
        <v>47856.412700000001</v>
      </c>
      <c r="P52" s="2">
        <v>10506.412700000001</v>
      </c>
      <c r="Q52" s="2">
        <v>21012.825400000002</v>
      </c>
      <c r="R52" s="4">
        <v>0.21954033128853975</v>
      </c>
      <c r="T52">
        <v>297163</v>
      </c>
      <c r="U52" s="2">
        <v>74700</v>
      </c>
      <c r="V52">
        <v>5284</v>
      </c>
      <c r="W52" s="2">
        <v>6579000000</v>
      </c>
      <c r="X52" s="6">
        <v>95712.825396</v>
      </c>
      <c r="Y52" s="38">
        <v>10010</v>
      </c>
      <c r="Z52" s="86">
        <f>+((DETALLE_GD_1[[#This Row],[VALOR X UN (GD)]]-DETALLE_GD_1[[#This Row],[VALOR PPTO]])/DETALLE_GD_1[[#This Row],[VALOR PPTO]])</f>
        <v>-0.21954033132115647</v>
      </c>
      <c r="AA52" s="2">
        <f>+DETALLE_GD_1[[#This Row],[VALOR PPTO]]*DETALLE_GD_1[[#This Row],[CANTIDAD RECIBIDA]]</f>
        <v>95712.825400000002</v>
      </c>
      <c r="AB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" s="3">
        <f>+DETALLE_GD_1[[#This Row],[CANTIDAD SOLICITADA]]-DETALLE_GD_1[[#This Row],[DEVOLUCIÓN]]</f>
        <v>2</v>
      </c>
      <c r="AD52" s="38">
        <f>+_xlfn.XLOOKUP(DETALLE_GD_1[[#This Row],[CODIGO]],PRODUCTOS[CODIGO],PRODUCTOS[DESC CORTA],"",0)</f>
        <v>0</v>
      </c>
      <c r="AE52"/>
      <c r="AH52"/>
    </row>
    <row r="53" spans="1:34" x14ac:dyDescent="0.25">
      <c r="A53" s="1">
        <v>45954</v>
      </c>
      <c r="B53" s="1">
        <v>45954</v>
      </c>
      <c r="C53" s="81" t="s">
        <v>15</v>
      </c>
      <c r="D53" s="38">
        <v>10</v>
      </c>
      <c r="E53" s="81" t="s">
        <v>379</v>
      </c>
      <c r="F53">
        <v>302019</v>
      </c>
      <c r="G53" s="81" t="s">
        <v>78</v>
      </c>
      <c r="H53" s="81" t="s">
        <v>20</v>
      </c>
      <c r="I53" s="3">
        <v>6</v>
      </c>
      <c r="J53" s="3"/>
      <c r="K53" s="26">
        <v>6</v>
      </c>
      <c r="L53" s="2">
        <v>1661.6667</v>
      </c>
      <c r="M53" s="2">
        <v>9970</v>
      </c>
      <c r="N53" s="2">
        <v>9970</v>
      </c>
      <c r="O53" s="2">
        <v>1660.3430000000001</v>
      </c>
      <c r="P53" s="2">
        <v>-1.3237000000000001</v>
      </c>
      <c r="Q53" s="2">
        <v>-7.9423000000000004</v>
      </c>
      <c r="R53" s="4">
        <v>-7.9725255765850588E-4</v>
      </c>
      <c r="T53">
        <v>296692</v>
      </c>
      <c r="U53" s="2">
        <v>9970</v>
      </c>
      <c r="V53">
        <v>5284</v>
      </c>
      <c r="W53" s="2">
        <v>6579000000</v>
      </c>
      <c r="X53" s="6">
        <v>9962.0577240000002</v>
      </c>
      <c r="Y53" s="38">
        <v>10010</v>
      </c>
      <c r="Z53" s="86">
        <f>+((DETALLE_GD_1[[#This Row],[VALOR X UN (GD)]]-DETALLE_GD_1[[#This Row],[VALOR PPTO]])/DETALLE_GD_1[[#This Row],[VALOR PPTO]])</f>
        <v>7.9724490662466555E-4</v>
      </c>
      <c r="AA53" s="2">
        <f>+DETALLE_GD_1[[#This Row],[VALOR PPTO]]*DETALLE_GD_1[[#This Row],[CANTIDAD RECIBIDA]]</f>
        <v>9962.0580000000009</v>
      </c>
      <c r="AB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" s="3">
        <f>+DETALLE_GD_1[[#This Row],[CANTIDAD SOLICITADA]]-DETALLE_GD_1[[#This Row],[DEVOLUCIÓN]]</f>
        <v>6</v>
      </c>
      <c r="AD53" s="38" t="str">
        <f>+_xlfn.XLOOKUP(DETALLE_GD_1[[#This Row],[CODIGO]],PRODUCTOS[CODIGO],PRODUCTOS[DESC CORTA],"",0)</f>
        <v>PINO 1X4X320</v>
      </c>
      <c r="AE53"/>
      <c r="AH53"/>
    </row>
    <row r="54" spans="1:34" x14ac:dyDescent="0.25">
      <c r="A54" s="1">
        <v>45952</v>
      </c>
      <c r="B54" s="1">
        <v>45952</v>
      </c>
      <c r="C54" s="81" t="s">
        <v>15</v>
      </c>
      <c r="D54" s="38">
        <v>10</v>
      </c>
      <c r="E54" s="81" t="s">
        <v>79</v>
      </c>
      <c r="F54">
        <v>304007</v>
      </c>
      <c r="G54" s="81" t="s">
        <v>80</v>
      </c>
      <c r="H54" s="81" t="s">
        <v>18</v>
      </c>
      <c r="I54" s="3">
        <v>72</v>
      </c>
      <c r="J54" s="3"/>
      <c r="K54" s="26">
        <v>72</v>
      </c>
      <c r="L54" s="2">
        <v>13290</v>
      </c>
      <c r="M54" s="2">
        <v>956880</v>
      </c>
      <c r="N54" s="2">
        <v>956880</v>
      </c>
      <c r="O54" s="2">
        <v>11444.352999999999</v>
      </c>
      <c r="P54" s="2">
        <v>-1845.6469999999999</v>
      </c>
      <c r="Q54" s="2">
        <v>-132886.58240000001</v>
      </c>
      <c r="R54" s="4">
        <v>-0.1612714125868045</v>
      </c>
      <c r="T54">
        <v>296397</v>
      </c>
      <c r="U54" s="2">
        <v>956880</v>
      </c>
      <c r="V54">
        <v>5284</v>
      </c>
      <c r="W54" s="2">
        <v>6579000000</v>
      </c>
      <c r="X54" s="6">
        <v>823993.41758399969</v>
      </c>
      <c r="Y54" s="38">
        <v>10010</v>
      </c>
      <c r="Z54" s="86">
        <f>+((DETALLE_GD_1[[#This Row],[VALOR X UN (GD)]]-DETALLE_GD_1[[#This Row],[VALOR PPTO]])/DETALLE_GD_1[[#This Row],[VALOR PPTO]])</f>
        <v>0.16127141481916898</v>
      </c>
      <c r="AA54" s="2">
        <f>+DETALLE_GD_1[[#This Row],[VALOR PPTO]]*DETALLE_GD_1[[#This Row],[CANTIDAD RECIBIDA]]</f>
        <v>823993.41599999997</v>
      </c>
      <c r="AB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4" s="3">
        <f>+DETALLE_GD_1[[#This Row],[CANTIDAD SOLICITADA]]-DETALLE_GD_1[[#This Row],[DEVOLUCIÓN]]</f>
        <v>72</v>
      </c>
      <c r="AD54" s="38" t="str">
        <f>+_xlfn.XLOOKUP(DETALLE_GD_1[[#This Row],[CODIGO]],PRODUCTOS[CODIGO],PRODUCTOS[DESC CORTA],"",0)</f>
        <v>OSB 11MM</v>
      </c>
      <c r="AE54"/>
      <c r="AH54"/>
    </row>
    <row r="55" spans="1:34" x14ac:dyDescent="0.25">
      <c r="A55" s="1">
        <v>45951</v>
      </c>
      <c r="B55" s="1">
        <v>45951</v>
      </c>
      <c r="C55" s="81" t="s">
        <v>15</v>
      </c>
      <c r="D55" s="38">
        <v>10</v>
      </c>
      <c r="E55" s="81" t="s">
        <v>379</v>
      </c>
      <c r="F55">
        <v>5112589</v>
      </c>
      <c r="G55" s="81" t="s">
        <v>81</v>
      </c>
      <c r="H55" s="81" t="s">
        <v>31</v>
      </c>
      <c r="I55" s="3">
        <v>10</v>
      </c>
      <c r="J55" s="3"/>
      <c r="K55" s="26">
        <v>10</v>
      </c>
      <c r="L55" s="2">
        <v>5505.1</v>
      </c>
      <c r="M55" s="2">
        <v>55051</v>
      </c>
      <c r="N55" s="2">
        <v>55051</v>
      </c>
      <c r="O55" s="2">
        <v>5090.0923000000003</v>
      </c>
      <c r="P55" s="2">
        <v>-415.0077</v>
      </c>
      <c r="Q55" s="2">
        <v>-4150.0769</v>
      </c>
      <c r="R55" s="4">
        <v>-8.1532449096795453E-2</v>
      </c>
      <c r="T55">
        <v>296285</v>
      </c>
      <c r="U55" s="2">
        <v>55051</v>
      </c>
      <c r="V55">
        <v>5284</v>
      </c>
      <c r="W55" s="2">
        <v>6579000000</v>
      </c>
      <c r="X55" s="6">
        <v>50900.92308</v>
      </c>
      <c r="Y55" s="38">
        <v>10010</v>
      </c>
      <c r="Z55" s="86">
        <f>+((DETALLE_GD_1[[#This Row],[VALOR X UN (GD)]]-DETALLE_GD_1[[#This Row],[VALOR PPTO]])/DETALLE_GD_1[[#This Row],[VALOR PPTO]])</f>
        <v>8.1532450796619166E-2</v>
      </c>
      <c r="AA55" s="2">
        <f>+DETALLE_GD_1[[#This Row],[VALOR PPTO]]*DETALLE_GD_1[[#This Row],[CANTIDAD RECIBIDA]]</f>
        <v>50900.923000000003</v>
      </c>
      <c r="AB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" s="3">
        <f>+DETALLE_GD_1[[#This Row],[CANTIDAD SOLICITADA]]-DETALLE_GD_1[[#This Row],[DEVOLUCIÓN]]</f>
        <v>10</v>
      </c>
      <c r="AD55" s="38" t="str">
        <f>+_xlfn.XLOOKUP(DETALLE_GD_1[[#This Row],[CODIGO]],PRODUCTOS[CODIGO],PRODUCTOS[DESC CORTA],"",0)</f>
        <v>BROCAS VISLIDER</v>
      </c>
      <c r="AE55"/>
      <c r="AH55"/>
    </row>
    <row r="56" spans="1:34" x14ac:dyDescent="0.25">
      <c r="A56" s="1">
        <v>45950</v>
      </c>
      <c r="B56" s="1">
        <v>45950</v>
      </c>
      <c r="C56" s="81" t="s">
        <v>15</v>
      </c>
      <c r="D56" s="38">
        <v>10</v>
      </c>
      <c r="E56" s="81" t="s">
        <v>379</v>
      </c>
      <c r="F56" t="s">
        <v>82</v>
      </c>
      <c r="G56" s="81" t="s">
        <v>83</v>
      </c>
      <c r="H56" s="81" t="s">
        <v>36</v>
      </c>
      <c r="I56" s="3">
        <v>2</v>
      </c>
      <c r="J56" s="3"/>
      <c r="K56" s="26">
        <v>2</v>
      </c>
      <c r="L56" s="2">
        <v>32294</v>
      </c>
      <c r="M56" s="2">
        <v>64588</v>
      </c>
      <c r="N56" s="2">
        <v>64588</v>
      </c>
      <c r="O56" s="2">
        <v>36939.818200000002</v>
      </c>
      <c r="P56" s="2">
        <v>4645.8181999999997</v>
      </c>
      <c r="Q56" s="2">
        <v>9291.6363999999994</v>
      </c>
      <c r="R56" s="4">
        <v>0.1257672184283733</v>
      </c>
      <c r="T56">
        <v>296137</v>
      </c>
      <c r="U56" s="2">
        <v>64588</v>
      </c>
      <c r="V56">
        <v>5284</v>
      </c>
      <c r="W56" s="2">
        <v>6579000000</v>
      </c>
      <c r="X56" s="6">
        <v>73879.636363999962</v>
      </c>
      <c r="Y56" s="38">
        <v>10010</v>
      </c>
      <c r="Z56" s="86">
        <f>+((DETALLE_GD_1[[#This Row],[VALOR X UN (GD)]]-DETALLE_GD_1[[#This Row],[VALOR PPTO]])/DETALLE_GD_1[[#This Row],[VALOR PPTO]])</f>
        <v>-0.12576721885436895</v>
      </c>
      <c r="AA56" s="2">
        <f>+DETALLE_GD_1[[#This Row],[VALOR PPTO]]*DETALLE_GD_1[[#This Row],[CANTIDAD RECIBIDA]]</f>
        <v>73879.636400000003</v>
      </c>
      <c r="AB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6" s="3">
        <f>+DETALLE_GD_1[[#This Row],[CANTIDAD SOLICITADA]]-DETALLE_GD_1[[#This Row],[DEVOLUCIÓN]]</f>
        <v>2</v>
      </c>
      <c r="AD56" s="38" t="str">
        <f>+_xlfn.XLOOKUP(DETALLE_GD_1[[#This Row],[CODIGO]],PRODUCTOS[CODIGO],PRODUCTOS[DESC CORTA],"",0)</f>
        <v>CLAVO R20</v>
      </c>
      <c r="AE56"/>
      <c r="AH56"/>
    </row>
    <row r="57" spans="1:34" x14ac:dyDescent="0.25">
      <c r="A57" s="1">
        <v>45945</v>
      </c>
      <c r="B57" s="1">
        <v>45945</v>
      </c>
      <c r="C57" s="81" t="s">
        <v>15</v>
      </c>
      <c r="D57" s="38">
        <v>10</v>
      </c>
      <c r="E57" s="81" t="s">
        <v>16</v>
      </c>
      <c r="F57">
        <v>302044</v>
      </c>
      <c r="G57" s="81" t="s">
        <v>247</v>
      </c>
      <c r="H57" s="81" t="s">
        <v>20</v>
      </c>
      <c r="I57" s="3">
        <v>21</v>
      </c>
      <c r="J57" s="3"/>
      <c r="K57" s="26">
        <v>21</v>
      </c>
      <c r="L57" s="2">
        <v>13934.380999999999</v>
      </c>
      <c r="M57" s="2">
        <v>292622</v>
      </c>
      <c r="N57" s="2">
        <v>292622</v>
      </c>
      <c r="O57" s="2">
        <v>13725.9625</v>
      </c>
      <c r="P57" s="2">
        <v>-208.41839999999999</v>
      </c>
      <c r="Q57" s="2">
        <v>-4376.7867999999999</v>
      </c>
      <c r="R57" s="4">
        <v>-1.518424794360961E-2</v>
      </c>
      <c r="T57">
        <v>295732</v>
      </c>
      <c r="U57" s="2">
        <v>869191</v>
      </c>
      <c r="V57">
        <v>5284</v>
      </c>
      <c r="W57" s="2">
        <v>6579000000</v>
      </c>
      <c r="X57" s="6">
        <v>288245.21321399999</v>
      </c>
      <c r="Y57" s="38">
        <v>10010</v>
      </c>
      <c r="Z57" s="86">
        <f>+((DETALLE_GD_1[[#This Row],[VALOR X UN (GD)]]-DETALLE_GD_1[[#This Row],[VALOR PPTO]])/DETALLE_GD_1[[#This Row],[VALOR PPTO]])</f>
        <v>1.518425392754787E-2</v>
      </c>
      <c r="AA57" s="2">
        <f>+DETALLE_GD_1[[#This Row],[VALOR PPTO]]*DETALLE_GD_1[[#This Row],[CANTIDAD RECIBIDA]]</f>
        <v>288245.21249999997</v>
      </c>
      <c r="AB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7" s="3">
        <f>+DETALLE_GD_1[[#This Row],[CANTIDAD SOLICITADA]]-DETALLE_GD_1[[#This Row],[DEVOLUCIÓN]]</f>
        <v>21</v>
      </c>
      <c r="AD57" s="38" t="str">
        <f>+_xlfn.XLOOKUP(DETALLE_GD_1[[#This Row],[CODIGO]],PRODUCTOS[CODIGO],PRODUCTOS[DESC CORTA],"",0)</f>
        <v>PINO 2X8X4</v>
      </c>
      <c r="AE57"/>
      <c r="AH57"/>
    </row>
    <row r="58" spans="1:34" x14ac:dyDescent="0.25">
      <c r="A58" s="1">
        <v>45945</v>
      </c>
      <c r="B58" s="1">
        <v>45945</v>
      </c>
      <c r="C58" s="81" t="s">
        <v>15</v>
      </c>
      <c r="D58" s="38">
        <v>10</v>
      </c>
      <c r="E58" s="81" t="s">
        <v>16</v>
      </c>
      <c r="F58">
        <v>302039</v>
      </c>
      <c r="G58" s="81" t="s">
        <v>84</v>
      </c>
      <c r="H58" s="81" t="s">
        <v>20</v>
      </c>
      <c r="I58" s="3">
        <v>30</v>
      </c>
      <c r="J58" s="3"/>
      <c r="K58" s="26">
        <v>30</v>
      </c>
      <c r="L58" s="2">
        <v>10135.933300000001</v>
      </c>
      <c r="M58" s="2">
        <v>304078</v>
      </c>
      <c r="N58" s="2">
        <v>304078</v>
      </c>
      <c r="O58" s="2">
        <v>9825.5480000000007</v>
      </c>
      <c r="P58" s="2">
        <v>-310.3854</v>
      </c>
      <c r="Q58" s="2">
        <v>-9311.5612999999994</v>
      </c>
      <c r="R58" s="4">
        <v>-3.1589625201899743E-2</v>
      </c>
      <c r="T58">
        <v>295732</v>
      </c>
      <c r="U58" s="2"/>
      <c r="V58">
        <v>5284</v>
      </c>
      <c r="W58" s="2">
        <v>6579000000</v>
      </c>
      <c r="X58" s="6">
        <v>294766.43868000002</v>
      </c>
      <c r="Y58" s="38">
        <v>10010</v>
      </c>
      <c r="Z58" s="86">
        <f>+((DETALLE_GD_1[[#This Row],[VALOR X UN (GD)]]-DETALLE_GD_1[[#This Row],[VALOR PPTO]])/DETALLE_GD_1[[#This Row],[VALOR PPTO]])</f>
        <v>3.1589617189799482E-2</v>
      </c>
      <c r="AA58" s="2">
        <f>+DETALLE_GD_1[[#This Row],[VALOR PPTO]]*DETALLE_GD_1[[#This Row],[CANTIDAD RECIBIDA]]</f>
        <v>294766.44</v>
      </c>
      <c r="AB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" s="3">
        <f>+DETALLE_GD_1[[#This Row],[CANTIDAD SOLICITADA]]-DETALLE_GD_1[[#This Row],[DEVOLUCIÓN]]</f>
        <v>30</v>
      </c>
      <c r="AD58" s="38" t="str">
        <f>+_xlfn.XLOOKUP(DETALLE_GD_1[[#This Row],[CODIGO]],PRODUCTOS[CODIGO],PRODUCTOS[DESC CORTA],"",0)</f>
        <v>PINO 2X6X400</v>
      </c>
      <c r="AE58"/>
      <c r="AH58"/>
    </row>
    <row r="59" spans="1:34" x14ac:dyDescent="0.25">
      <c r="A59" s="1">
        <v>45945</v>
      </c>
      <c r="B59" s="1">
        <v>45945</v>
      </c>
      <c r="C59" s="81" t="s">
        <v>15</v>
      </c>
      <c r="D59" s="38">
        <v>10</v>
      </c>
      <c r="E59" s="81" t="s">
        <v>16</v>
      </c>
      <c r="F59" t="s">
        <v>21</v>
      </c>
      <c r="G59" s="81" t="s">
        <v>22</v>
      </c>
      <c r="H59" s="81" t="s">
        <v>20</v>
      </c>
      <c r="I59" s="3">
        <v>10</v>
      </c>
      <c r="J59" s="3"/>
      <c r="K59" s="26">
        <v>10</v>
      </c>
      <c r="L59" s="2">
        <v>15392.6</v>
      </c>
      <c r="M59" s="2">
        <v>153926</v>
      </c>
      <c r="N59" s="2">
        <v>153926</v>
      </c>
      <c r="O59" s="2">
        <v>15359.702799999999</v>
      </c>
      <c r="P59" s="2">
        <v>-32.897199999999998</v>
      </c>
      <c r="Q59" s="2">
        <v>-328.97210000000001</v>
      </c>
      <c r="R59" s="4">
        <v>-2.1417872116720926E-3</v>
      </c>
      <c r="T59">
        <v>295732</v>
      </c>
      <c r="U59" s="2"/>
      <c r="V59">
        <v>5284</v>
      </c>
      <c r="W59" s="2">
        <v>6579000000</v>
      </c>
      <c r="X59" s="6">
        <v>153597.02785000004</v>
      </c>
      <c r="Y59" s="38">
        <v>10010</v>
      </c>
      <c r="Z59" s="86">
        <f>+((DETALLE_GD_1[[#This Row],[VALOR X UN (GD)]]-DETALLE_GD_1[[#This Row],[VALOR PPTO]])/DETALLE_GD_1[[#This Row],[VALOR PPTO]])</f>
        <v>2.1417862329993292E-3</v>
      </c>
      <c r="AA59" s="2">
        <f>+DETALLE_GD_1[[#This Row],[VALOR PPTO]]*DETALLE_GD_1[[#This Row],[CANTIDAD RECIBIDA]]</f>
        <v>153597.02799999999</v>
      </c>
      <c r="AB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9" s="3">
        <f>+DETALLE_GD_1[[#This Row],[CANTIDAD SOLICITADA]]-DETALLE_GD_1[[#This Row],[DEVOLUCIÓN]]</f>
        <v>10</v>
      </c>
      <c r="AD59" s="38" t="str">
        <f>+_xlfn.XLOOKUP(DETALLE_GD_1[[#This Row],[CODIGO]],PRODUCTOS[CODIGO],PRODUCTOS[DESC CORTA],"",0)</f>
        <v>PINO 3X8X320</v>
      </c>
      <c r="AE59"/>
      <c r="AH59"/>
    </row>
    <row r="60" spans="1:34" x14ac:dyDescent="0.25">
      <c r="A60" s="1">
        <v>45945</v>
      </c>
      <c r="B60" s="1">
        <v>45945</v>
      </c>
      <c r="C60" s="81" t="s">
        <v>15</v>
      </c>
      <c r="D60" s="38">
        <v>10</v>
      </c>
      <c r="E60" s="81" t="s">
        <v>16</v>
      </c>
      <c r="F60">
        <v>307275</v>
      </c>
      <c r="G60" s="81" t="s">
        <v>85</v>
      </c>
      <c r="H60" s="81" t="s">
        <v>20</v>
      </c>
      <c r="I60" s="3">
        <v>80</v>
      </c>
      <c r="J60" s="3"/>
      <c r="K60" s="26">
        <v>80</v>
      </c>
      <c r="L60" s="2">
        <v>1482.0625</v>
      </c>
      <c r="M60" s="2">
        <v>118565</v>
      </c>
      <c r="N60" s="2">
        <v>118565</v>
      </c>
      <c r="O60" s="2">
        <v>1482.0600999999999</v>
      </c>
      <c r="P60" s="2">
        <v>-2.3999999999999998E-3</v>
      </c>
      <c r="Q60" s="2">
        <v>-0.19489999999999999</v>
      </c>
      <c r="R60" s="4">
        <v>-1.6436580805059599E-6</v>
      </c>
      <c r="T60">
        <v>295732</v>
      </c>
      <c r="U60" s="2"/>
      <c r="V60">
        <v>5284</v>
      </c>
      <c r="W60" s="2">
        <v>6579000000</v>
      </c>
      <c r="X60" s="6">
        <v>118564.80512</v>
      </c>
      <c r="Y60" s="38">
        <v>10010</v>
      </c>
      <c r="Z60" s="86">
        <f>+((DETALLE_GD_1[[#This Row],[VALOR X UN (GD)]]-DETALLE_GD_1[[#This Row],[VALOR PPTO]])/DETALLE_GD_1[[#This Row],[VALOR PPTO]])</f>
        <v>1.6193675277268931E-6</v>
      </c>
      <c r="AA60" s="2">
        <f>+DETALLE_GD_1[[#This Row],[VALOR PPTO]]*DETALLE_GD_1[[#This Row],[CANTIDAD RECIBIDA]]</f>
        <v>118564.80799999999</v>
      </c>
      <c r="AB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" s="3">
        <f>+DETALLE_GD_1[[#This Row],[CANTIDAD SOLICITADA]]-DETALLE_GD_1[[#This Row],[DEVOLUCIÓN]]</f>
        <v>80</v>
      </c>
      <c r="AD60" s="38">
        <f>+_xlfn.XLOOKUP(DETALLE_GD_1[[#This Row],[CODIGO]],PRODUCTOS[CODIGO],PRODUCTOS[DESC CORTA],"",0)</f>
        <v>0</v>
      </c>
      <c r="AE60"/>
      <c r="AH60"/>
    </row>
    <row r="61" spans="1:34" x14ac:dyDescent="0.25">
      <c r="A61" s="1">
        <v>45940</v>
      </c>
      <c r="B61" s="1">
        <v>45940</v>
      </c>
      <c r="C61" s="81" t="s">
        <v>15</v>
      </c>
      <c r="D61" s="38">
        <v>10</v>
      </c>
      <c r="E61" s="81" t="s">
        <v>16</v>
      </c>
      <c r="F61">
        <v>307252</v>
      </c>
      <c r="G61" s="81" t="s">
        <v>86</v>
      </c>
      <c r="H61" s="81" t="s">
        <v>20</v>
      </c>
      <c r="I61" s="3">
        <v>4</v>
      </c>
      <c r="J61" s="3"/>
      <c r="K61" s="26">
        <v>4</v>
      </c>
      <c r="L61" s="2">
        <v>16753</v>
      </c>
      <c r="M61" s="2">
        <v>67012</v>
      </c>
      <c r="N61" s="2">
        <v>67012</v>
      </c>
      <c r="O61" s="2">
        <v>16753.021000000001</v>
      </c>
      <c r="P61" s="2">
        <v>2.1000000000000001E-2</v>
      </c>
      <c r="Q61" s="2">
        <v>8.3900000000000002E-2</v>
      </c>
      <c r="R61" s="4">
        <v>1.2522517596739283E-6</v>
      </c>
      <c r="T61">
        <v>295292</v>
      </c>
      <c r="U61" s="2">
        <v>67012</v>
      </c>
      <c r="V61">
        <v>5284</v>
      </c>
      <c r="W61" s="2">
        <v>6579000000</v>
      </c>
      <c r="X61" s="6">
        <v>67012.083916000003</v>
      </c>
      <c r="Y61" s="38">
        <v>10010</v>
      </c>
      <c r="Z61" s="86">
        <f>+((DETALLE_GD_1[[#This Row],[VALOR X UN (GD)]]-DETALLE_GD_1[[#This Row],[VALOR PPTO]])/DETALLE_GD_1[[#This Row],[VALOR PPTO]])</f>
        <v>-1.2535052633575928E-6</v>
      </c>
      <c r="AA61" s="2">
        <f>+DETALLE_GD_1[[#This Row],[VALOR PPTO]]*DETALLE_GD_1[[#This Row],[CANTIDAD RECIBIDA]]</f>
        <v>67012.084000000003</v>
      </c>
      <c r="AB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" s="3">
        <f>+DETALLE_GD_1[[#This Row],[CANTIDAD SOLICITADA]]-DETALLE_GD_1[[#This Row],[DEVOLUCIÓN]]</f>
        <v>4</v>
      </c>
      <c r="AD61" s="38" t="str">
        <f>+_xlfn.XLOOKUP(DETALLE_GD_1[[#This Row],[CODIGO]],PRODUCTOS[CODIGO],PRODUCTOS[DESC CORTA],"",0)</f>
        <v>PINO 2X12X320</v>
      </c>
      <c r="AE61"/>
      <c r="AH61"/>
    </row>
    <row r="62" spans="1:34" x14ac:dyDescent="0.25">
      <c r="A62" s="1">
        <v>45940</v>
      </c>
      <c r="B62" s="1">
        <v>45940</v>
      </c>
      <c r="C62" s="81" t="s">
        <v>15</v>
      </c>
      <c r="D62" s="38">
        <v>10</v>
      </c>
      <c r="E62" s="81" t="s">
        <v>16</v>
      </c>
      <c r="F62">
        <v>2502036</v>
      </c>
      <c r="G62" s="81" t="s">
        <v>77</v>
      </c>
      <c r="H62" s="81" t="s">
        <v>31</v>
      </c>
      <c r="I62" s="3">
        <v>1</v>
      </c>
      <c r="J62" s="3"/>
      <c r="K62" s="26">
        <v>1</v>
      </c>
      <c r="L62" s="2">
        <v>43752</v>
      </c>
      <c r="M62" s="2">
        <v>43752</v>
      </c>
      <c r="N62" s="2">
        <v>43752</v>
      </c>
      <c r="O62" s="2">
        <v>47856.412700000001</v>
      </c>
      <c r="P62" s="2">
        <v>4104.4126999999999</v>
      </c>
      <c r="Q62" s="2">
        <v>4104.4126999999999</v>
      </c>
      <c r="R62" s="4">
        <v>8.576515594474407E-2</v>
      </c>
      <c r="T62">
        <v>295290</v>
      </c>
      <c r="U62" s="2">
        <v>43752</v>
      </c>
      <c r="V62">
        <v>5284</v>
      </c>
      <c r="W62" s="2">
        <v>6579000000</v>
      </c>
      <c r="X62" s="6">
        <v>47856.412698</v>
      </c>
      <c r="Y62" s="38">
        <v>10010</v>
      </c>
      <c r="Z62" s="86">
        <f>+((DETALLE_GD_1[[#This Row],[VALOR X UN (GD)]]-DETALLE_GD_1[[#This Row],[VALOR PPTO]])/DETALLE_GD_1[[#This Row],[VALOR PPTO]])</f>
        <v>-8.5765155982951494E-2</v>
      </c>
      <c r="AA62" s="2">
        <f>+DETALLE_GD_1[[#This Row],[VALOR PPTO]]*DETALLE_GD_1[[#This Row],[CANTIDAD RECIBIDA]]</f>
        <v>47856.412700000001</v>
      </c>
      <c r="AB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" s="3">
        <f>+DETALLE_GD_1[[#This Row],[CANTIDAD SOLICITADA]]-DETALLE_GD_1[[#This Row],[DEVOLUCIÓN]]</f>
        <v>1</v>
      </c>
      <c r="AD62" s="38">
        <f>+_xlfn.XLOOKUP(DETALLE_GD_1[[#This Row],[CODIGO]],PRODUCTOS[CODIGO],PRODUCTOS[DESC CORTA],"",0)</f>
        <v>0</v>
      </c>
      <c r="AE62"/>
      <c r="AH62"/>
    </row>
    <row r="63" spans="1:34" x14ac:dyDescent="0.25">
      <c r="A63" s="1">
        <v>45940</v>
      </c>
      <c r="B63" s="1">
        <v>45940</v>
      </c>
      <c r="C63" s="81" t="s">
        <v>15</v>
      </c>
      <c r="D63" s="38">
        <v>10</v>
      </c>
      <c r="E63" s="81" t="s">
        <v>16</v>
      </c>
      <c r="F63">
        <v>302044</v>
      </c>
      <c r="G63" s="81" t="s">
        <v>247</v>
      </c>
      <c r="H63" s="81" t="s">
        <v>20</v>
      </c>
      <c r="I63" s="3">
        <v>2</v>
      </c>
      <c r="J63" s="3"/>
      <c r="K63" s="26">
        <v>2</v>
      </c>
      <c r="L63" s="2">
        <v>13934.5</v>
      </c>
      <c r="M63" s="2">
        <v>27869</v>
      </c>
      <c r="N63" s="2">
        <v>27869</v>
      </c>
      <c r="O63" s="2">
        <v>13725.9625</v>
      </c>
      <c r="P63" s="2">
        <v>-208.53749999999999</v>
      </c>
      <c r="Q63" s="2">
        <v>-417.07490000000001</v>
      </c>
      <c r="R63" s="4">
        <v>-1.5192921114525882E-2</v>
      </c>
      <c r="T63">
        <v>295268</v>
      </c>
      <c r="U63" s="2">
        <v>27869</v>
      </c>
      <c r="V63">
        <v>5284</v>
      </c>
      <c r="W63" s="2">
        <v>6579000000</v>
      </c>
      <c r="X63" s="6">
        <v>27451.925068</v>
      </c>
      <c r="Y63" s="38">
        <v>10010</v>
      </c>
      <c r="Z63" s="86">
        <f>+((DETALLE_GD_1[[#This Row],[VALOR X UN (GD)]]-DETALLE_GD_1[[#This Row],[VALOR PPTO]])/DETALLE_GD_1[[#This Row],[VALOR PPTO]])</f>
        <v>1.5192923629217286E-2</v>
      </c>
      <c r="AA63" s="2">
        <f>+DETALLE_GD_1[[#This Row],[VALOR PPTO]]*DETALLE_GD_1[[#This Row],[CANTIDAD RECIBIDA]]</f>
        <v>27451.924999999999</v>
      </c>
      <c r="AB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3" s="3">
        <f>+DETALLE_GD_1[[#This Row],[CANTIDAD SOLICITADA]]-DETALLE_GD_1[[#This Row],[DEVOLUCIÓN]]</f>
        <v>2</v>
      </c>
      <c r="AD63" s="38" t="str">
        <f>+_xlfn.XLOOKUP(DETALLE_GD_1[[#This Row],[CODIGO]],PRODUCTOS[CODIGO],PRODUCTOS[DESC CORTA],"",0)</f>
        <v>PINO 2X8X4</v>
      </c>
      <c r="AE63"/>
      <c r="AH63"/>
    </row>
    <row r="64" spans="1:34" x14ac:dyDescent="0.25">
      <c r="A64" s="1">
        <v>45939</v>
      </c>
      <c r="B64" s="1">
        <v>45939</v>
      </c>
      <c r="C64" s="81" t="s">
        <v>15</v>
      </c>
      <c r="D64" s="38">
        <v>10</v>
      </c>
      <c r="E64" s="81" t="s">
        <v>16</v>
      </c>
      <c r="F64">
        <v>307252</v>
      </c>
      <c r="G64" s="81" t="s">
        <v>86</v>
      </c>
      <c r="H64" s="81" t="s">
        <v>20</v>
      </c>
      <c r="I64" s="3">
        <v>4</v>
      </c>
      <c r="J64" s="3"/>
      <c r="K64" s="26">
        <v>4</v>
      </c>
      <c r="L64" s="2">
        <v>16753</v>
      </c>
      <c r="M64" s="2">
        <v>67012</v>
      </c>
      <c r="N64" s="2">
        <v>67012</v>
      </c>
      <c r="O64" s="2">
        <v>16753.021000000001</v>
      </c>
      <c r="P64" s="2">
        <v>2.1000000000000001E-2</v>
      </c>
      <c r="Q64" s="2">
        <v>8.3900000000000002E-2</v>
      </c>
      <c r="R64" s="4">
        <v>1.2522517596739283E-6</v>
      </c>
      <c r="T64">
        <v>295178</v>
      </c>
      <c r="U64" s="2">
        <v>67012</v>
      </c>
      <c r="V64">
        <v>5284</v>
      </c>
      <c r="W64" s="2">
        <v>6579000000</v>
      </c>
      <c r="X64" s="6">
        <v>67012.083916000003</v>
      </c>
      <c r="Y64" s="38">
        <v>10010</v>
      </c>
      <c r="Z64" s="86">
        <f>+((DETALLE_GD_1[[#This Row],[VALOR X UN (GD)]]-DETALLE_GD_1[[#This Row],[VALOR PPTO]])/DETALLE_GD_1[[#This Row],[VALOR PPTO]])</f>
        <v>-1.2535052633575928E-6</v>
      </c>
      <c r="AA64" s="2">
        <f>+DETALLE_GD_1[[#This Row],[VALOR PPTO]]*DETALLE_GD_1[[#This Row],[CANTIDAD RECIBIDA]]</f>
        <v>67012.084000000003</v>
      </c>
      <c r="AB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" s="3">
        <f>+DETALLE_GD_1[[#This Row],[CANTIDAD SOLICITADA]]-DETALLE_GD_1[[#This Row],[DEVOLUCIÓN]]</f>
        <v>4</v>
      </c>
      <c r="AD64" s="38" t="str">
        <f>+_xlfn.XLOOKUP(DETALLE_GD_1[[#This Row],[CODIGO]],PRODUCTOS[CODIGO],PRODUCTOS[DESC CORTA],"",0)</f>
        <v>PINO 2X12X320</v>
      </c>
      <c r="AE64"/>
      <c r="AH64"/>
    </row>
    <row r="65" spans="1:34" x14ac:dyDescent="0.25">
      <c r="A65" s="1">
        <v>45974</v>
      </c>
      <c r="B65" s="1">
        <v>45974</v>
      </c>
      <c r="C65" s="81" t="s">
        <v>15</v>
      </c>
      <c r="D65" s="38">
        <v>11</v>
      </c>
      <c r="E65" s="81" t="s">
        <v>16</v>
      </c>
      <c r="F65" t="s">
        <v>87</v>
      </c>
      <c r="G65" s="81" t="s">
        <v>88</v>
      </c>
      <c r="H65" s="81" t="s">
        <v>20</v>
      </c>
      <c r="I65" s="3">
        <v>2</v>
      </c>
      <c r="J65" s="3"/>
      <c r="K65" s="26">
        <v>2</v>
      </c>
      <c r="L65" s="2">
        <v>17998</v>
      </c>
      <c r="M65" s="2">
        <v>35996</v>
      </c>
      <c r="N65" s="2">
        <v>35996</v>
      </c>
      <c r="O65" s="2">
        <v>17998</v>
      </c>
      <c r="P65" s="2">
        <v>0</v>
      </c>
      <c r="Q65" s="2">
        <v>0</v>
      </c>
      <c r="R65" s="4">
        <v>0</v>
      </c>
      <c r="T65">
        <v>298403</v>
      </c>
      <c r="U65" s="2">
        <v>35996</v>
      </c>
      <c r="V65">
        <v>5332</v>
      </c>
      <c r="W65" s="2">
        <v>6579000000</v>
      </c>
      <c r="X65" s="6">
        <v>35996</v>
      </c>
      <c r="Y65" s="38">
        <v>10010</v>
      </c>
      <c r="Z65" s="86">
        <f>+((DETALLE_GD_1[[#This Row],[VALOR X UN (GD)]]-DETALLE_GD_1[[#This Row],[VALOR PPTO]])/DETALLE_GD_1[[#This Row],[VALOR PPTO]])</f>
        <v>0</v>
      </c>
      <c r="AA65" s="2">
        <f>+DETALLE_GD_1[[#This Row],[VALOR PPTO]]*DETALLE_GD_1[[#This Row],[CANTIDAD RECIBIDA]]</f>
        <v>35996</v>
      </c>
      <c r="AB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" s="3">
        <f>+DETALLE_GD_1[[#This Row],[CANTIDAD SOLICITADA]]-DETALLE_GD_1[[#This Row],[DEVOLUCIÓN]]</f>
        <v>2</v>
      </c>
      <c r="AD65" s="38" t="str">
        <f>+_xlfn.XLOOKUP(DETALLE_GD_1[[#This Row],[CODIGO]],PRODUCTOS[CODIGO],PRODUCTOS[DESC CORTA],"",0)</f>
        <v>PINO 2X10X12</v>
      </c>
      <c r="AE65"/>
      <c r="AH65"/>
    </row>
    <row r="66" spans="1:34" x14ac:dyDescent="0.25">
      <c r="A66" s="1">
        <v>45985</v>
      </c>
      <c r="B66" s="1">
        <v>45985</v>
      </c>
      <c r="C66" s="81" t="s">
        <v>15</v>
      </c>
      <c r="D66" s="38">
        <v>11</v>
      </c>
      <c r="E66" s="81" t="s">
        <v>16</v>
      </c>
      <c r="F66">
        <v>1405027</v>
      </c>
      <c r="G66" s="81" t="s">
        <v>89</v>
      </c>
      <c r="H66" s="81" t="s">
        <v>90</v>
      </c>
      <c r="I66" s="3">
        <v>1</v>
      </c>
      <c r="J66" s="3"/>
      <c r="K66" s="26">
        <v>1</v>
      </c>
      <c r="L66" s="2">
        <v>20069</v>
      </c>
      <c r="M66" s="2">
        <v>20069</v>
      </c>
      <c r="N66" s="2">
        <v>20069</v>
      </c>
      <c r="O66" s="2">
        <v>20069</v>
      </c>
      <c r="P66" s="2">
        <v>0</v>
      </c>
      <c r="Q66" s="2">
        <v>0</v>
      </c>
      <c r="R66" s="4">
        <v>0</v>
      </c>
      <c r="T66">
        <v>299157</v>
      </c>
      <c r="U66" s="2">
        <v>319185</v>
      </c>
      <c r="V66">
        <v>5332</v>
      </c>
      <c r="W66" s="2">
        <v>6579000000</v>
      </c>
      <c r="X66" s="6">
        <v>20069</v>
      </c>
      <c r="Y66" s="38">
        <v>10010</v>
      </c>
      <c r="Z66" s="86">
        <f>+((DETALLE_GD_1[[#This Row],[VALOR X UN (GD)]]-DETALLE_GD_1[[#This Row],[VALOR PPTO]])/DETALLE_GD_1[[#This Row],[VALOR PPTO]])</f>
        <v>0</v>
      </c>
      <c r="AA66" s="2">
        <f>+DETALLE_GD_1[[#This Row],[VALOR PPTO]]*DETALLE_GD_1[[#This Row],[CANTIDAD RECIBIDA]]</f>
        <v>20069</v>
      </c>
      <c r="AB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" s="3">
        <f>+DETALLE_GD_1[[#This Row],[CANTIDAD SOLICITADA]]-DETALLE_GD_1[[#This Row],[DEVOLUCIÓN]]</f>
        <v>1</v>
      </c>
      <c r="AD66" s="38" t="str">
        <f>+_xlfn.XLOOKUP(DETALLE_GD_1[[#This Row],[CODIGO]],PRODUCTOS[CODIGO],PRODUCTOS[DESC CORTA],"",0)</f>
        <v>CERRADURA ACCESO 2 MANILLAS</v>
      </c>
      <c r="AE66"/>
      <c r="AH66"/>
    </row>
    <row r="67" spans="1:34" x14ac:dyDescent="0.25">
      <c r="A67" s="1">
        <v>45985</v>
      </c>
      <c r="B67" s="1">
        <v>45985</v>
      </c>
      <c r="C67" s="81" t="s">
        <v>15</v>
      </c>
      <c r="D67" s="38">
        <v>11</v>
      </c>
      <c r="E67" s="81" t="s">
        <v>16</v>
      </c>
      <c r="F67">
        <v>1405026</v>
      </c>
      <c r="G67" s="81" t="s">
        <v>91</v>
      </c>
      <c r="H67" s="81" t="s">
        <v>90</v>
      </c>
      <c r="I67" s="3">
        <v>1</v>
      </c>
      <c r="J67" s="3"/>
      <c r="K67" s="26">
        <v>1</v>
      </c>
      <c r="L67" s="2">
        <v>18849</v>
      </c>
      <c r="M67" s="2">
        <v>18849</v>
      </c>
      <c r="N67" s="2">
        <v>18849</v>
      </c>
      <c r="O67" s="2">
        <v>18880.599999999999</v>
      </c>
      <c r="P67" s="2">
        <v>31.6</v>
      </c>
      <c r="Q67" s="2">
        <v>31.6</v>
      </c>
      <c r="R67" s="4">
        <v>1.6736756247152393E-3</v>
      </c>
      <c r="T67">
        <v>299157</v>
      </c>
      <c r="U67" s="2"/>
      <c r="V67">
        <v>5332</v>
      </c>
      <c r="W67" s="2">
        <v>6579000000</v>
      </c>
      <c r="X67" s="6">
        <v>18880.599999999999</v>
      </c>
      <c r="Y67" s="38">
        <v>10010</v>
      </c>
      <c r="Z67" s="86">
        <f>+((DETALLE_GD_1[[#This Row],[VALOR X UN (GD)]]-DETALLE_GD_1[[#This Row],[VALOR PPTO]])/DETALLE_GD_1[[#This Row],[VALOR PPTO]])</f>
        <v>-1.6736756247152393E-3</v>
      </c>
      <c r="AA67" s="2">
        <f>+DETALLE_GD_1[[#This Row],[VALOR PPTO]]*DETALLE_GD_1[[#This Row],[CANTIDAD RECIBIDA]]</f>
        <v>18880.599999999999</v>
      </c>
      <c r="AB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" s="3">
        <f>+DETALLE_GD_1[[#This Row],[CANTIDAD SOLICITADA]]-DETALLE_GD_1[[#This Row],[DEVOLUCIÓN]]</f>
        <v>1</v>
      </c>
      <c r="AD67" s="38" t="str">
        <f>+_xlfn.XLOOKUP(DETALLE_GD_1[[#This Row],[CODIGO]],PRODUCTOS[CODIGO],PRODUCTOS[DESC CORTA],"",0)</f>
        <v>CERRADURA ACCESO 1 MANILLA</v>
      </c>
      <c r="AE67"/>
      <c r="AH67"/>
    </row>
    <row r="68" spans="1:34" x14ac:dyDescent="0.25">
      <c r="A68" s="1">
        <v>45985</v>
      </c>
      <c r="B68" s="1">
        <v>45985</v>
      </c>
      <c r="C68" s="81" t="s">
        <v>15</v>
      </c>
      <c r="D68" s="38">
        <v>11</v>
      </c>
      <c r="E68" s="81" t="s">
        <v>16</v>
      </c>
      <c r="F68" t="s">
        <v>92</v>
      </c>
      <c r="G68" s="81" t="s">
        <v>93</v>
      </c>
      <c r="H68" s="81" t="s">
        <v>31</v>
      </c>
      <c r="I68" s="3">
        <v>1</v>
      </c>
      <c r="J68" s="3"/>
      <c r="K68" s="26">
        <v>1</v>
      </c>
      <c r="L68" s="2">
        <v>17428</v>
      </c>
      <c r="M68" s="2">
        <v>17428</v>
      </c>
      <c r="N68" s="2">
        <v>17428</v>
      </c>
      <c r="O68" s="2">
        <v>17428.4935</v>
      </c>
      <c r="P68" s="2">
        <v>0.49349999999999999</v>
      </c>
      <c r="Q68" s="2">
        <v>0.49349999999999999</v>
      </c>
      <c r="R68" s="4">
        <v>2.8316044632830243E-5</v>
      </c>
      <c r="T68">
        <v>299157</v>
      </c>
      <c r="U68" s="2"/>
      <c r="V68">
        <v>5332</v>
      </c>
      <c r="W68" s="2">
        <v>6579000000</v>
      </c>
      <c r="X68" s="6">
        <v>17428.493505999999</v>
      </c>
      <c r="Y68" s="38">
        <v>10010</v>
      </c>
      <c r="Z68" s="86">
        <f>+((DETALLE_GD_1[[#This Row],[VALOR X UN (GD)]]-DETALLE_GD_1[[#This Row],[VALOR PPTO]])/DETALLE_GD_1[[#This Row],[VALOR PPTO]])</f>
        <v>-2.8315700378836228E-5</v>
      </c>
      <c r="AA68" s="2">
        <f>+DETALLE_GD_1[[#This Row],[VALOR PPTO]]*DETALLE_GD_1[[#This Row],[CANTIDAD RECIBIDA]]</f>
        <v>17428.4935</v>
      </c>
      <c r="AB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" s="3">
        <f>+DETALLE_GD_1[[#This Row],[CANTIDAD SOLICITADA]]-DETALLE_GD_1[[#This Row],[DEVOLUCIÓN]]</f>
        <v>1</v>
      </c>
      <c r="AD68" s="38" t="str">
        <f>+_xlfn.XLOOKUP(DETALLE_GD_1[[#This Row],[CODIGO]],PRODUCTOS[CODIGO],PRODUCTOS[DESC CORTA],"",0)</f>
        <v>CERRADURA BAÑO</v>
      </c>
      <c r="AE68"/>
      <c r="AH68"/>
    </row>
    <row r="69" spans="1:34" x14ac:dyDescent="0.25">
      <c r="A69" s="1">
        <v>45985</v>
      </c>
      <c r="B69" s="1">
        <v>45985</v>
      </c>
      <c r="C69" s="81" t="s">
        <v>15</v>
      </c>
      <c r="D69" s="38">
        <v>11</v>
      </c>
      <c r="E69" s="81" t="s">
        <v>16</v>
      </c>
      <c r="F69" t="s">
        <v>94</v>
      </c>
      <c r="G69" s="81" t="s">
        <v>95</v>
      </c>
      <c r="H69" s="81" t="s">
        <v>31</v>
      </c>
      <c r="I69" s="3">
        <v>5</v>
      </c>
      <c r="J69" s="3"/>
      <c r="K69" s="26">
        <v>5</v>
      </c>
      <c r="L69" s="2">
        <v>3021.2</v>
      </c>
      <c r="M69" s="2">
        <v>15106</v>
      </c>
      <c r="N69" s="2">
        <v>15106</v>
      </c>
      <c r="O69" s="2">
        <v>3021.2829000000002</v>
      </c>
      <c r="P69" s="2">
        <v>8.2900000000000001E-2</v>
      </c>
      <c r="Q69" s="2">
        <v>0.4143</v>
      </c>
      <c r="R69" s="4">
        <v>2.7428414879995626E-5</v>
      </c>
      <c r="T69">
        <v>299157</v>
      </c>
      <c r="U69" s="2"/>
      <c r="V69">
        <v>5332</v>
      </c>
      <c r="W69" s="2">
        <v>6579000000</v>
      </c>
      <c r="X69" s="6">
        <v>15106.414345000005</v>
      </c>
      <c r="Y69" s="38">
        <v>10010</v>
      </c>
      <c r="Z69" s="86">
        <f>+((DETALLE_GD_1[[#This Row],[VALOR X UN (GD)]]-DETALLE_GD_1[[#This Row],[VALOR PPTO]])/DETALLE_GD_1[[#This Row],[VALOR PPTO]])</f>
        <v>-2.7438675140396863E-5</v>
      </c>
      <c r="AA69" s="2">
        <f>+DETALLE_GD_1[[#This Row],[VALOR PPTO]]*DETALLE_GD_1[[#This Row],[CANTIDAD RECIBIDA]]</f>
        <v>15106.414500000001</v>
      </c>
      <c r="AB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" s="3">
        <f>+DETALLE_GD_1[[#This Row],[CANTIDAD SOLICITADA]]-DETALLE_GD_1[[#This Row],[DEVOLUCIÓN]]</f>
        <v>5</v>
      </c>
      <c r="AD69" s="38" t="str">
        <f>+_xlfn.XLOOKUP(DETALLE_GD_1[[#This Row],[CODIGO]],PRODUCTOS[CODIGO],PRODUCTOS[DESC CORTA],"",0)</f>
        <v>TOPE DE PUERTA</v>
      </c>
      <c r="AE69"/>
      <c r="AH69"/>
    </row>
    <row r="70" spans="1:34" x14ac:dyDescent="0.25">
      <c r="A70" s="1">
        <v>45985</v>
      </c>
      <c r="B70" s="1">
        <v>45985</v>
      </c>
      <c r="C70" s="81" t="s">
        <v>15</v>
      </c>
      <c r="D70" s="38">
        <v>11</v>
      </c>
      <c r="E70" s="81" t="s">
        <v>16</v>
      </c>
      <c r="F70">
        <v>5316484</v>
      </c>
      <c r="G70" s="81" t="s">
        <v>96</v>
      </c>
      <c r="H70" s="81" t="s">
        <v>31</v>
      </c>
      <c r="I70" s="3">
        <v>1</v>
      </c>
      <c r="J70" s="3"/>
      <c r="K70" s="26">
        <v>1</v>
      </c>
      <c r="L70" s="2">
        <v>7545</v>
      </c>
      <c r="M70" s="2">
        <v>7545</v>
      </c>
      <c r="N70" s="2">
        <v>7545</v>
      </c>
      <c r="O70" s="2">
        <v>4372.7272999999996</v>
      </c>
      <c r="P70" s="2">
        <v>-3172.2727</v>
      </c>
      <c r="Q70" s="2">
        <v>-3172.2727</v>
      </c>
      <c r="R70" s="4">
        <v>-0.72546777536015772</v>
      </c>
      <c r="T70">
        <v>299157</v>
      </c>
      <c r="U70" s="2"/>
      <c r="V70">
        <v>5332</v>
      </c>
      <c r="W70" s="2">
        <v>6579000000</v>
      </c>
      <c r="X70" s="6">
        <v>4372.7272730000004</v>
      </c>
      <c r="Y70" s="38">
        <v>10010</v>
      </c>
      <c r="Z70" s="86">
        <f>+((DETALLE_GD_1[[#This Row],[VALOR X UN (GD)]]-DETALLE_GD_1[[#This Row],[VALOR PPTO]])/DETALLE_GD_1[[#This Row],[VALOR PPTO]])</f>
        <v>0.72546776470602248</v>
      </c>
      <c r="AA70" s="2">
        <f>+DETALLE_GD_1[[#This Row],[VALOR PPTO]]*DETALLE_GD_1[[#This Row],[CANTIDAD RECIBIDA]]</f>
        <v>4372.7272999999996</v>
      </c>
      <c r="AB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" s="3">
        <f>+DETALLE_GD_1[[#This Row],[CANTIDAD SOLICITADA]]-DETALLE_GD_1[[#This Row],[DEVOLUCIÓN]]</f>
        <v>1</v>
      </c>
      <c r="AD70" s="38" t="str">
        <f>+_xlfn.XLOOKUP(DETALLE_GD_1[[#This Row],[CODIGO]],PRODUCTOS[CODIGO],PRODUCTOS[DESC CORTA],"",0)</f>
        <v>LLAVE DE BOLA AC</v>
      </c>
      <c r="AE70"/>
      <c r="AH70"/>
    </row>
    <row r="71" spans="1:34" x14ac:dyDescent="0.25">
      <c r="A71" s="1">
        <v>45985</v>
      </c>
      <c r="B71" s="1">
        <v>45985</v>
      </c>
      <c r="C71" s="81" t="s">
        <v>15</v>
      </c>
      <c r="D71" s="38">
        <v>11</v>
      </c>
      <c r="E71" s="81" t="s">
        <v>16</v>
      </c>
      <c r="F71">
        <v>5316483</v>
      </c>
      <c r="G71" s="81" t="s">
        <v>97</v>
      </c>
      <c r="H71" s="81" t="s">
        <v>31</v>
      </c>
      <c r="I71" s="3">
        <v>1</v>
      </c>
      <c r="J71" s="3"/>
      <c r="K71" s="26">
        <v>1</v>
      </c>
      <c r="L71" s="2">
        <v>7148</v>
      </c>
      <c r="M71" s="2">
        <v>7148</v>
      </c>
      <c r="N71" s="2">
        <v>7148</v>
      </c>
      <c r="O71" s="2">
        <v>3237.6071000000002</v>
      </c>
      <c r="P71" s="2">
        <v>-3910.3928999999998</v>
      </c>
      <c r="Q71" s="2">
        <v>-3910.3928999999998</v>
      </c>
      <c r="R71" s="4">
        <v>-1.2078033820300351</v>
      </c>
      <c r="T71">
        <v>299157</v>
      </c>
      <c r="U71" s="2"/>
      <c r="V71">
        <v>5332</v>
      </c>
      <c r="W71" s="2">
        <v>6579000000</v>
      </c>
      <c r="X71" s="6">
        <v>3237.6071430000002</v>
      </c>
      <c r="Y71" s="38">
        <v>10010</v>
      </c>
      <c r="Z71" s="86">
        <f>+((DETALLE_GD_1[[#This Row],[VALOR X UN (GD)]]-DETALLE_GD_1[[#This Row],[VALOR PPTO]])/DETALLE_GD_1[[#This Row],[VALOR PPTO]])</f>
        <v>1.2078034113527858</v>
      </c>
      <c r="AA71" s="2">
        <f>+DETALLE_GD_1[[#This Row],[VALOR PPTO]]*DETALLE_GD_1[[#This Row],[CANTIDAD RECIBIDA]]</f>
        <v>3237.6071000000002</v>
      </c>
      <c r="AB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" s="3">
        <f>+DETALLE_GD_1[[#This Row],[CANTIDAD SOLICITADA]]-DETALLE_GD_1[[#This Row],[DEVOLUCIÓN]]</f>
        <v>1</v>
      </c>
      <c r="AD71" s="38" t="str">
        <f>+_xlfn.XLOOKUP(DETALLE_GD_1[[#This Row],[CODIGO]],PRODUCTOS[CODIGO],PRODUCTOS[DESC CORTA],"",0)</f>
        <v>LLAVE DE BOLA AF</v>
      </c>
      <c r="AE71"/>
      <c r="AH71"/>
    </row>
    <row r="72" spans="1:34" x14ac:dyDescent="0.25">
      <c r="A72" s="1">
        <v>45985</v>
      </c>
      <c r="B72" s="1">
        <v>45985</v>
      </c>
      <c r="C72" s="81" t="s">
        <v>15</v>
      </c>
      <c r="D72" s="38">
        <v>11</v>
      </c>
      <c r="E72" s="81" t="s">
        <v>16</v>
      </c>
      <c r="F72">
        <v>1801155</v>
      </c>
      <c r="G72" s="81" t="s">
        <v>98</v>
      </c>
      <c r="H72" s="81" t="s">
        <v>31</v>
      </c>
      <c r="I72" s="3">
        <v>1</v>
      </c>
      <c r="J72" s="3"/>
      <c r="K72" s="26">
        <v>1</v>
      </c>
      <c r="L72" s="2">
        <v>23734</v>
      </c>
      <c r="M72" s="2">
        <v>23734</v>
      </c>
      <c r="N72" s="2">
        <v>23734</v>
      </c>
      <c r="O72" s="2">
        <v>23733.489799999999</v>
      </c>
      <c r="P72" s="2">
        <v>-0.51019999999999999</v>
      </c>
      <c r="Q72" s="2">
        <v>-0.51019999999999999</v>
      </c>
      <c r="R72" s="4">
        <v>-2.1497217829479417E-5</v>
      </c>
      <c r="T72">
        <v>299157</v>
      </c>
      <c r="U72" s="2"/>
      <c r="V72">
        <v>5332</v>
      </c>
      <c r="W72" s="2">
        <v>6579000000</v>
      </c>
      <c r="X72" s="6">
        <v>23733.489796000002</v>
      </c>
      <c r="Y72" s="38">
        <v>10010</v>
      </c>
      <c r="Z72" s="86">
        <f>+((DETALLE_GD_1[[#This Row],[VALOR X UN (GD)]]-DETALLE_GD_1[[#This Row],[VALOR PPTO]])/DETALLE_GD_1[[#This Row],[VALOR PPTO]])</f>
        <v>2.1497049287737822E-5</v>
      </c>
      <c r="AA72" s="2">
        <f>+DETALLE_GD_1[[#This Row],[VALOR PPTO]]*DETALLE_GD_1[[#This Row],[CANTIDAD RECIBIDA]]</f>
        <v>23733.489799999999</v>
      </c>
      <c r="AB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" s="3">
        <f>+DETALLE_GD_1[[#This Row],[CANTIDAD SOLICITADA]]-DETALLE_GD_1[[#This Row],[DEVOLUCIÓN]]</f>
        <v>1</v>
      </c>
      <c r="AD72" s="38" t="str">
        <f>+_xlfn.XLOOKUP(DETALLE_GD_1[[#This Row],[CODIGO]],PRODUCTOS[CODIGO],PRODUCTOS[DESC CORTA],"",0)</f>
        <v>ESTANQUE</v>
      </c>
      <c r="AE72"/>
      <c r="AH72"/>
    </row>
    <row r="73" spans="1:34" x14ac:dyDescent="0.25">
      <c r="A73" s="1">
        <v>45985</v>
      </c>
      <c r="B73" s="1">
        <v>45985</v>
      </c>
      <c r="C73" s="81" t="s">
        <v>15</v>
      </c>
      <c r="D73" s="38">
        <v>11</v>
      </c>
      <c r="E73" s="81" t="s">
        <v>16</v>
      </c>
      <c r="F73">
        <v>1801154</v>
      </c>
      <c r="G73" s="81" t="s">
        <v>99</v>
      </c>
      <c r="H73" s="81" t="s">
        <v>31</v>
      </c>
      <c r="I73" s="3">
        <v>1</v>
      </c>
      <c r="J73" s="3"/>
      <c r="K73" s="26">
        <v>1</v>
      </c>
      <c r="L73" s="2">
        <v>32739</v>
      </c>
      <c r="M73" s="2">
        <v>32739</v>
      </c>
      <c r="N73" s="2">
        <v>32739</v>
      </c>
      <c r="O73" s="2">
        <v>32738.5</v>
      </c>
      <c r="P73" s="2">
        <v>-0.5</v>
      </c>
      <c r="Q73" s="2">
        <v>-0.5</v>
      </c>
      <c r="R73" s="4">
        <v>-1.5272538448615544E-5</v>
      </c>
      <c r="T73">
        <v>299157</v>
      </c>
      <c r="U73" s="2"/>
      <c r="V73">
        <v>5332</v>
      </c>
      <c r="W73" s="2">
        <v>6579000000</v>
      </c>
      <c r="X73" s="6">
        <v>32738.5</v>
      </c>
      <c r="Y73" s="38">
        <v>10010</v>
      </c>
      <c r="Z73" s="86">
        <f>+((DETALLE_GD_1[[#This Row],[VALOR X UN (GD)]]-DETALLE_GD_1[[#This Row],[VALOR PPTO]])/DETALLE_GD_1[[#This Row],[VALOR PPTO]])</f>
        <v>1.5272538448615544E-5</v>
      </c>
      <c r="AA73" s="2">
        <f>+DETALLE_GD_1[[#This Row],[VALOR PPTO]]*DETALLE_GD_1[[#This Row],[CANTIDAD RECIBIDA]]</f>
        <v>32738.5</v>
      </c>
      <c r="AB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" s="3">
        <f>+DETALLE_GD_1[[#This Row],[CANTIDAD SOLICITADA]]-DETALLE_GD_1[[#This Row],[DEVOLUCIÓN]]</f>
        <v>1</v>
      </c>
      <c r="AD73" s="38" t="str">
        <f>+_xlfn.XLOOKUP(DETALLE_GD_1[[#This Row],[CODIGO]],PRODUCTOS[CODIGO],PRODUCTOS[DESC CORTA],"",0)</f>
        <v>WC</v>
      </c>
      <c r="AE73"/>
      <c r="AH73"/>
    </row>
    <row r="74" spans="1:34" x14ac:dyDescent="0.25">
      <c r="A74" s="1">
        <v>45985</v>
      </c>
      <c r="B74" s="1">
        <v>45985</v>
      </c>
      <c r="C74" s="81" t="s">
        <v>15</v>
      </c>
      <c r="D74" s="38">
        <v>11</v>
      </c>
      <c r="E74" s="81" t="s">
        <v>16</v>
      </c>
      <c r="F74">
        <v>1101971</v>
      </c>
      <c r="G74" s="81" t="s">
        <v>100</v>
      </c>
      <c r="H74" s="81" t="s">
        <v>90</v>
      </c>
      <c r="I74" s="3">
        <v>3</v>
      </c>
      <c r="J74" s="3"/>
      <c r="K74" s="26">
        <v>3</v>
      </c>
      <c r="L74" s="2">
        <v>44950</v>
      </c>
      <c r="M74" s="2">
        <v>134850</v>
      </c>
      <c r="N74" s="2">
        <v>134850</v>
      </c>
      <c r="O74" s="2">
        <v>44950</v>
      </c>
      <c r="P74" s="2">
        <v>0</v>
      </c>
      <c r="Q74" s="2">
        <v>0</v>
      </c>
      <c r="R74" s="4">
        <v>0</v>
      </c>
      <c r="T74">
        <v>299157</v>
      </c>
      <c r="U74" s="2"/>
      <c r="V74">
        <v>5332</v>
      </c>
      <c r="W74" s="2">
        <v>6579000000</v>
      </c>
      <c r="X74" s="6">
        <v>134850</v>
      </c>
      <c r="Y74" s="38">
        <v>10010</v>
      </c>
      <c r="Z74" s="86">
        <f>+((DETALLE_GD_1[[#This Row],[VALOR X UN (GD)]]-DETALLE_GD_1[[#This Row],[VALOR PPTO]])/DETALLE_GD_1[[#This Row],[VALOR PPTO]])</f>
        <v>0</v>
      </c>
      <c r="AA74" s="2">
        <f>+DETALLE_GD_1[[#This Row],[VALOR PPTO]]*DETALLE_GD_1[[#This Row],[CANTIDAD RECIBIDA]]</f>
        <v>134850</v>
      </c>
      <c r="AB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" s="3">
        <f>+DETALLE_GD_1[[#This Row],[CANTIDAD SOLICITADA]]-DETALLE_GD_1[[#This Row],[DEVOLUCIÓN]]</f>
        <v>3</v>
      </c>
      <c r="AD74" s="38" t="str">
        <f>+_xlfn.XLOOKUP(DETALLE_GD_1[[#This Row],[CODIGO]],PRODUCTOS[CODIGO],PRODUCTOS[DESC CORTA],"",0)</f>
        <v>PUERTA INTERIOR</v>
      </c>
      <c r="AE74"/>
      <c r="AH74"/>
    </row>
    <row r="75" spans="1:34" x14ac:dyDescent="0.25">
      <c r="A75" s="1">
        <v>45985</v>
      </c>
      <c r="B75" s="1">
        <v>45985</v>
      </c>
      <c r="C75" s="81" t="s">
        <v>15</v>
      </c>
      <c r="D75" s="38">
        <v>11</v>
      </c>
      <c r="E75" s="81" t="s">
        <v>16</v>
      </c>
      <c r="F75">
        <v>1802005</v>
      </c>
      <c r="G75" s="81" t="s">
        <v>101</v>
      </c>
      <c r="H75" s="81" t="s">
        <v>31</v>
      </c>
      <c r="I75" s="3">
        <v>1</v>
      </c>
      <c r="J75" s="3"/>
      <c r="K75" s="26">
        <v>1</v>
      </c>
      <c r="L75" s="2">
        <v>3780</v>
      </c>
      <c r="M75" s="2">
        <v>3780</v>
      </c>
      <c r="N75" s="2">
        <v>3780</v>
      </c>
      <c r="O75" s="2">
        <v>3780.4088000000002</v>
      </c>
      <c r="P75" s="2">
        <v>0.4088</v>
      </c>
      <c r="Q75" s="2">
        <v>0.4088</v>
      </c>
      <c r="R75" s="4">
        <v>1.0813407295344464E-4</v>
      </c>
      <c r="T75">
        <v>299157</v>
      </c>
      <c r="U75" s="2"/>
      <c r="V75">
        <v>5332</v>
      </c>
      <c r="W75" s="2">
        <v>6579000000</v>
      </c>
      <c r="X75" s="6">
        <v>3780.4087909999998</v>
      </c>
      <c r="Y75" s="38">
        <v>10010</v>
      </c>
      <c r="Z75" s="86">
        <f>+((DETALLE_GD_1[[#This Row],[VALOR X UN (GD)]]-DETALLE_GD_1[[#This Row],[VALOR PPTO]])/DETALLE_GD_1[[#This Row],[VALOR PPTO]])</f>
        <v>-1.0813645339100778E-4</v>
      </c>
      <c r="AA75" s="2">
        <f>+DETALLE_GD_1[[#This Row],[VALOR PPTO]]*DETALLE_GD_1[[#This Row],[CANTIDAD RECIBIDA]]</f>
        <v>3780.4088000000002</v>
      </c>
      <c r="AB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" s="3">
        <f>+DETALLE_GD_1[[#This Row],[CANTIDAD SOLICITADA]]-DETALLE_GD_1[[#This Row],[DEVOLUCIÓN]]</f>
        <v>1</v>
      </c>
      <c r="AD75" s="38" t="str">
        <f>+_xlfn.XLOOKUP(DETALLE_GD_1[[#This Row],[CODIGO]],PRODUCTOS[CODIGO],PRODUCTOS[DESC CORTA],"",0)</f>
        <v>ASIENTO WC</v>
      </c>
      <c r="AE75"/>
      <c r="AH75"/>
    </row>
    <row r="76" spans="1:34" x14ac:dyDescent="0.25">
      <c r="A76" s="1">
        <v>45985</v>
      </c>
      <c r="B76" s="1">
        <v>45985</v>
      </c>
      <c r="C76" s="81" t="s">
        <v>15</v>
      </c>
      <c r="D76" s="38">
        <v>11</v>
      </c>
      <c r="E76" s="81" t="s">
        <v>16</v>
      </c>
      <c r="F76">
        <v>1808043</v>
      </c>
      <c r="G76" s="81" t="s">
        <v>102</v>
      </c>
      <c r="H76" s="81" t="s">
        <v>31</v>
      </c>
      <c r="I76" s="3">
        <v>1</v>
      </c>
      <c r="J76" s="3"/>
      <c r="K76" s="26">
        <v>1</v>
      </c>
      <c r="L76" s="2">
        <v>2780</v>
      </c>
      <c r="M76" s="2">
        <v>2780</v>
      </c>
      <c r="N76" s="2">
        <v>2780</v>
      </c>
      <c r="O76" s="2">
        <v>2779.7273</v>
      </c>
      <c r="P76" s="2">
        <v>-0.2727</v>
      </c>
      <c r="Q76" s="2">
        <v>-0.2727</v>
      </c>
      <c r="R76" s="4">
        <v>-9.8112862599535934E-5</v>
      </c>
      <c r="T76">
        <v>299157</v>
      </c>
      <c r="U76" s="2"/>
      <c r="V76">
        <v>5332</v>
      </c>
      <c r="W76" s="2">
        <v>6579000000</v>
      </c>
      <c r="X76" s="6">
        <v>2779.727273</v>
      </c>
      <c r="Y76" s="38">
        <v>10010</v>
      </c>
      <c r="Z76" s="86">
        <f>+((DETALLE_GD_1[[#This Row],[VALOR X UN (GD)]]-DETALLE_GD_1[[#This Row],[VALOR PPTO]])/DETALLE_GD_1[[#This Row],[VALOR PPTO]])</f>
        <v>9.8103148463515169E-5</v>
      </c>
      <c r="AA76" s="2">
        <f>+DETALLE_GD_1[[#This Row],[VALOR PPTO]]*DETALLE_GD_1[[#This Row],[CANTIDAD RECIBIDA]]</f>
        <v>2779.7273</v>
      </c>
      <c r="AB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" s="3">
        <f>+DETALLE_GD_1[[#This Row],[CANTIDAD SOLICITADA]]-DETALLE_GD_1[[#This Row],[DEVOLUCIÓN]]</f>
        <v>1</v>
      </c>
      <c r="AD76" s="38" t="str">
        <f>+_xlfn.XLOOKUP(DETALLE_GD_1[[#This Row],[CODIGO]],PRODUCTOS[CODIGO],PRODUCTOS[DESC CORTA],"",0)</f>
        <v>LLAVE ANGULAR</v>
      </c>
      <c r="AE76"/>
      <c r="AH76"/>
    </row>
    <row r="77" spans="1:34" x14ac:dyDescent="0.25">
      <c r="A77" s="1">
        <v>45985</v>
      </c>
      <c r="B77" s="1">
        <v>45985</v>
      </c>
      <c r="C77" s="81" t="s">
        <v>15</v>
      </c>
      <c r="D77" s="38">
        <v>11</v>
      </c>
      <c r="E77" s="81" t="s">
        <v>16</v>
      </c>
      <c r="F77">
        <v>1801236</v>
      </c>
      <c r="G77" s="81" t="s">
        <v>103</v>
      </c>
      <c r="H77" s="81" t="s">
        <v>31</v>
      </c>
      <c r="I77" s="3">
        <v>1</v>
      </c>
      <c r="J77" s="3"/>
      <c r="K77" s="26">
        <v>1</v>
      </c>
      <c r="L77" s="2">
        <v>9269</v>
      </c>
      <c r="M77" s="2">
        <v>9269</v>
      </c>
      <c r="N77" s="2">
        <v>9269</v>
      </c>
      <c r="O77" s="2">
        <v>8938</v>
      </c>
      <c r="P77" s="2">
        <v>-331</v>
      </c>
      <c r="Q77" s="2">
        <v>-331</v>
      </c>
      <c r="R77" s="4">
        <v>-3.7032893264712465E-2</v>
      </c>
      <c r="T77">
        <v>299157</v>
      </c>
      <c r="U77" s="2"/>
      <c r="V77">
        <v>5332</v>
      </c>
      <c r="W77" s="2">
        <v>6579000000</v>
      </c>
      <c r="X77" s="6">
        <v>8938</v>
      </c>
      <c r="Y77" s="38">
        <v>10010</v>
      </c>
      <c r="Z77" s="86">
        <f>+((DETALLE_GD_1[[#This Row],[VALOR X UN (GD)]]-DETALLE_GD_1[[#This Row],[VALOR PPTO]])/DETALLE_GD_1[[#This Row],[VALOR PPTO]])</f>
        <v>3.7032893264712465E-2</v>
      </c>
      <c r="AA77" s="2">
        <f>+DETALLE_GD_1[[#This Row],[VALOR PPTO]]*DETALLE_GD_1[[#This Row],[CANTIDAD RECIBIDA]]</f>
        <v>8938</v>
      </c>
      <c r="AB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" s="3">
        <f>+DETALLE_GD_1[[#This Row],[CANTIDAD SOLICITADA]]-DETALLE_GD_1[[#This Row],[DEVOLUCIÓN]]</f>
        <v>1</v>
      </c>
      <c r="AD77" s="38" t="str">
        <f>+_xlfn.XLOOKUP(DETALLE_GD_1[[#This Row],[CODIGO]],PRODUCTOS[CODIGO],PRODUCTOS[DESC CORTA],"",0)</f>
        <v>MONOMANDO LAVAMANOS</v>
      </c>
      <c r="AE77"/>
      <c r="AH77"/>
    </row>
    <row r="78" spans="1:34" x14ac:dyDescent="0.25">
      <c r="A78" s="1">
        <v>45985</v>
      </c>
      <c r="B78" s="1">
        <v>45985</v>
      </c>
      <c r="C78" s="81" t="s">
        <v>15</v>
      </c>
      <c r="D78" s="38">
        <v>11</v>
      </c>
      <c r="E78" s="81" t="s">
        <v>16</v>
      </c>
      <c r="F78">
        <v>1801238</v>
      </c>
      <c r="G78" s="81" t="s">
        <v>104</v>
      </c>
      <c r="H78" s="81" t="s">
        <v>31</v>
      </c>
      <c r="I78" s="3">
        <v>1</v>
      </c>
      <c r="J78" s="3"/>
      <c r="K78" s="26">
        <v>1</v>
      </c>
      <c r="L78" s="2">
        <v>16615</v>
      </c>
      <c r="M78" s="2">
        <v>16615</v>
      </c>
      <c r="N78" s="2">
        <v>16615</v>
      </c>
      <c r="O78" s="2">
        <v>16615</v>
      </c>
      <c r="P78" s="2">
        <v>0</v>
      </c>
      <c r="Q78" s="2">
        <v>0</v>
      </c>
      <c r="R78" s="4">
        <v>0</v>
      </c>
      <c r="T78">
        <v>299157</v>
      </c>
      <c r="U78" s="2"/>
      <c r="V78">
        <v>5332</v>
      </c>
      <c r="W78" s="2">
        <v>6579000000</v>
      </c>
      <c r="X78" s="6">
        <v>16615</v>
      </c>
      <c r="Y78" s="38">
        <v>10010</v>
      </c>
      <c r="Z78" s="86">
        <f>+((DETALLE_GD_1[[#This Row],[VALOR X UN (GD)]]-DETALLE_GD_1[[#This Row],[VALOR PPTO]])/DETALLE_GD_1[[#This Row],[VALOR PPTO]])</f>
        <v>0</v>
      </c>
      <c r="AA78" s="2">
        <f>+DETALLE_GD_1[[#This Row],[VALOR PPTO]]*DETALLE_GD_1[[#This Row],[CANTIDAD RECIBIDA]]</f>
        <v>16615</v>
      </c>
      <c r="AB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" s="3">
        <f>+DETALLE_GD_1[[#This Row],[CANTIDAD SOLICITADA]]-DETALLE_GD_1[[#This Row],[DEVOLUCIÓN]]</f>
        <v>1</v>
      </c>
      <c r="AD78" s="38" t="str">
        <f>+_xlfn.XLOOKUP(DETALLE_GD_1[[#This Row],[CODIGO]],PRODUCTOS[CODIGO],PRODUCTOS[DESC CORTA],"",0)</f>
        <v>MONOMANDO TINA</v>
      </c>
      <c r="AE78"/>
      <c r="AH78"/>
    </row>
    <row r="79" spans="1:34" x14ac:dyDescent="0.25">
      <c r="A79" s="1">
        <v>45985</v>
      </c>
      <c r="B79" s="1">
        <v>45985</v>
      </c>
      <c r="C79" s="81" t="s">
        <v>15</v>
      </c>
      <c r="D79" s="38">
        <v>11</v>
      </c>
      <c r="E79" s="81" t="s">
        <v>16</v>
      </c>
      <c r="F79">
        <v>1801011</v>
      </c>
      <c r="G79" s="81" t="s">
        <v>105</v>
      </c>
      <c r="H79" s="81" t="s">
        <v>31</v>
      </c>
      <c r="I79" s="3">
        <v>1</v>
      </c>
      <c r="J79" s="3"/>
      <c r="K79" s="26">
        <v>1</v>
      </c>
      <c r="L79" s="2">
        <v>9273</v>
      </c>
      <c r="M79" s="2">
        <v>9273</v>
      </c>
      <c r="N79" s="2">
        <v>9273</v>
      </c>
      <c r="O79" s="2">
        <v>9242.4218000000001</v>
      </c>
      <c r="P79" s="2">
        <v>-30.578199999999999</v>
      </c>
      <c r="Q79" s="2">
        <v>-30.578199999999999</v>
      </c>
      <c r="R79" s="4">
        <v>-3.3084652231043952E-3</v>
      </c>
      <c r="T79">
        <v>299157</v>
      </c>
      <c r="U79" s="2"/>
      <c r="V79">
        <v>5332</v>
      </c>
      <c r="W79" s="2">
        <v>6579000000</v>
      </c>
      <c r="X79" s="6">
        <v>9242.4217690000005</v>
      </c>
      <c r="Y79" s="38">
        <v>10010</v>
      </c>
      <c r="Z79" s="86">
        <f>+((DETALLE_GD_1[[#This Row],[VALOR X UN (GD)]]-DETALLE_GD_1[[#This Row],[VALOR PPTO]])/DETALLE_GD_1[[#This Row],[VALOR PPTO]])</f>
        <v>3.308461857908273E-3</v>
      </c>
      <c r="AA79" s="2">
        <f>+DETALLE_GD_1[[#This Row],[VALOR PPTO]]*DETALLE_GD_1[[#This Row],[CANTIDAD RECIBIDA]]</f>
        <v>9242.4218000000001</v>
      </c>
      <c r="AB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" s="3">
        <f>+DETALLE_GD_1[[#This Row],[CANTIDAD SOLICITADA]]-DETALLE_GD_1[[#This Row],[DEVOLUCIÓN]]</f>
        <v>1</v>
      </c>
      <c r="AD79" s="38" t="str">
        <f>+_xlfn.XLOOKUP(DETALLE_GD_1[[#This Row],[CODIGO]],PRODUCTOS[CODIGO],PRODUCTOS[DESC CORTA],"",0)</f>
        <v>PEDESTAL LAVAMANOS</v>
      </c>
      <c r="AE79"/>
      <c r="AH79"/>
    </row>
    <row r="80" spans="1:34" x14ac:dyDescent="0.25">
      <c r="A80" s="1">
        <v>45938</v>
      </c>
      <c r="B80" s="1">
        <v>45938</v>
      </c>
      <c r="C80" s="81" t="s">
        <v>15</v>
      </c>
      <c r="D80" s="38">
        <v>10</v>
      </c>
      <c r="E80" s="81" t="s">
        <v>16</v>
      </c>
      <c r="F80">
        <v>407423</v>
      </c>
      <c r="G80" s="81" t="s">
        <v>106</v>
      </c>
      <c r="H80" s="81" t="s">
        <v>31</v>
      </c>
      <c r="I80" s="3">
        <v>400</v>
      </c>
      <c r="J80" s="3"/>
      <c r="K80" s="26">
        <v>400</v>
      </c>
      <c r="L80" s="2">
        <v>3.2124999999999999</v>
      </c>
      <c r="M80" s="2">
        <v>1285</v>
      </c>
      <c r="N80" s="2">
        <v>1285</v>
      </c>
      <c r="O80" s="2">
        <v>106.6405</v>
      </c>
      <c r="P80" s="2">
        <v>103.428</v>
      </c>
      <c r="Q80" s="2">
        <v>41371.200799999999</v>
      </c>
      <c r="R80" s="4">
        <v>0.96987542312499131</v>
      </c>
      <c r="T80">
        <v>294980</v>
      </c>
      <c r="U80" s="2">
        <v>2578440</v>
      </c>
      <c r="V80">
        <v>5284</v>
      </c>
      <c r="W80" s="2">
        <v>6579000000</v>
      </c>
      <c r="X80" s="6">
        <v>42656.200793513512</v>
      </c>
      <c r="Y80" s="38">
        <v>10010</v>
      </c>
      <c r="Z80" s="86">
        <f>+((DETALLE_GD_1[[#This Row],[VALOR X UN (GD)]]-DETALLE_GD_1[[#This Row],[VALOR PPTO]])/DETALLE_GD_1[[#This Row],[VALOR PPTO]])</f>
        <v>-0.9698754225645978</v>
      </c>
      <c r="AA80" s="2">
        <f>+DETALLE_GD_1[[#This Row],[VALOR PPTO]]*DETALLE_GD_1[[#This Row],[CANTIDAD RECIBIDA]]</f>
        <v>42656.200000000004</v>
      </c>
      <c r="AB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" s="3">
        <f>+DETALLE_GD_1[[#This Row],[CANTIDAD SOLICITADA]]-DETALLE_GD_1[[#This Row],[DEVOLUCIÓN]]</f>
        <v>400</v>
      </c>
      <c r="AD80" s="38" t="str">
        <f>+_xlfn.XLOOKUP(DETALLE_GD_1[[#This Row],[CODIGO]],PRODUCTOS[CODIGO],PRODUCTOS[DESC CORTA],"",0)</f>
        <v>TORNILLO CRS 6X1 5/8</v>
      </c>
      <c r="AE80"/>
      <c r="AH80"/>
    </row>
    <row r="81" spans="1:34" x14ac:dyDescent="0.25">
      <c r="A81" s="1">
        <v>45938</v>
      </c>
      <c r="B81" s="1">
        <v>45938</v>
      </c>
      <c r="C81" s="81" t="s">
        <v>15</v>
      </c>
      <c r="D81" s="38">
        <v>10</v>
      </c>
      <c r="E81" s="81" t="s">
        <v>16</v>
      </c>
      <c r="F81">
        <v>407170</v>
      </c>
      <c r="G81" s="81" t="s">
        <v>107</v>
      </c>
      <c r="H81" s="81" t="s">
        <v>31</v>
      </c>
      <c r="I81" s="3">
        <v>200</v>
      </c>
      <c r="J81" s="3"/>
      <c r="K81" s="26">
        <v>200</v>
      </c>
      <c r="L81" s="2">
        <v>5.7249999999999996</v>
      </c>
      <c r="M81" s="2">
        <v>1145</v>
      </c>
      <c r="N81" s="2">
        <v>1145</v>
      </c>
      <c r="O81" s="2">
        <v>4.8802000000000003</v>
      </c>
      <c r="P81" s="2">
        <v>-0.8448</v>
      </c>
      <c r="Q81" s="2">
        <v>-168.95679999999999</v>
      </c>
      <c r="R81" s="4">
        <v>-0.1731038134377656</v>
      </c>
      <c r="T81">
        <v>294980</v>
      </c>
      <c r="U81" s="2"/>
      <c r="V81">
        <v>5284</v>
      </c>
      <c r="W81" s="2">
        <v>6579000000</v>
      </c>
      <c r="X81" s="6">
        <v>976.04320000000018</v>
      </c>
      <c r="Y81" s="38">
        <v>10010</v>
      </c>
      <c r="Z81" s="86">
        <f>+((DETALLE_GD_1[[#This Row],[VALOR X UN (GD)]]-DETALLE_GD_1[[#This Row],[VALOR PPTO]])/DETALLE_GD_1[[#This Row],[VALOR PPTO]])</f>
        <v>0.17310765952215057</v>
      </c>
      <c r="AA81" s="2">
        <f>+DETALLE_GD_1[[#This Row],[VALOR PPTO]]*DETALLE_GD_1[[#This Row],[CANTIDAD RECIBIDA]]</f>
        <v>976.04000000000008</v>
      </c>
      <c r="AB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" s="3">
        <f>+DETALLE_GD_1[[#This Row],[CANTIDAD SOLICITADA]]-DETALLE_GD_1[[#This Row],[DEVOLUCIÓN]]</f>
        <v>200</v>
      </c>
      <c r="AD81" s="38" t="str">
        <f>+_xlfn.XLOOKUP(DETALLE_GD_1[[#This Row],[CODIGO]],PRODUCTOS[CODIGO],PRODUCTOS[DESC CORTA],"",0)</f>
        <v>TORNILLO CRS 6X2 1/4</v>
      </c>
      <c r="AE81"/>
      <c r="AH81"/>
    </row>
    <row r="82" spans="1:34" x14ac:dyDescent="0.25">
      <c r="A82" s="1">
        <v>45938</v>
      </c>
      <c r="B82" s="1">
        <v>45938</v>
      </c>
      <c r="C82" s="81" t="s">
        <v>15</v>
      </c>
      <c r="D82" s="38">
        <v>10</v>
      </c>
      <c r="E82" s="81" t="s">
        <v>16</v>
      </c>
      <c r="F82">
        <v>304014</v>
      </c>
      <c r="G82" s="81" t="s">
        <v>23</v>
      </c>
      <c r="H82" s="81" t="s">
        <v>18</v>
      </c>
      <c r="I82" s="3">
        <v>24</v>
      </c>
      <c r="J82" s="3"/>
      <c r="K82" s="26">
        <v>24</v>
      </c>
      <c r="L82" s="2">
        <v>20860.25</v>
      </c>
      <c r="M82" s="2">
        <v>500646</v>
      </c>
      <c r="N82" s="2">
        <v>500646</v>
      </c>
      <c r="O82" s="2">
        <v>20894.5723</v>
      </c>
      <c r="P82" s="2">
        <v>34.322299999999998</v>
      </c>
      <c r="Q82" s="2">
        <v>823.73479999999995</v>
      </c>
      <c r="R82" s="4">
        <v>1.6426411860384427E-3</v>
      </c>
      <c r="T82">
        <v>294980</v>
      </c>
      <c r="U82" s="2"/>
      <c r="V82">
        <v>5284</v>
      </c>
      <c r="W82" s="2">
        <v>6579000000</v>
      </c>
      <c r="X82" s="6">
        <v>501469.73483999993</v>
      </c>
      <c r="Y82" s="38">
        <v>10010</v>
      </c>
      <c r="Z82" s="86">
        <f>+((DETALLE_GD_1[[#This Row],[VALOR X UN (GD)]]-DETALLE_GD_1[[#This Row],[VALOR PPTO]])/DETALLE_GD_1[[#This Row],[VALOR PPTO]])</f>
        <v>-1.6426419027490604E-3</v>
      </c>
      <c r="AA82" s="2">
        <f>+DETALLE_GD_1[[#This Row],[VALOR PPTO]]*DETALLE_GD_1[[#This Row],[CANTIDAD RECIBIDA]]</f>
        <v>501469.7352</v>
      </c>
      <c r="AB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" s="3">
        <f>+DETALLE_GD_1[[#This Row],[CANTIDAD SOLICITADA]]-DETALLE_GD_1[[#This Row],[DEVOLUCIÓN]]</f>
        <v>24</v>
      </c>
      <c r="AD82" s="38">
        <f>+_xlfn.XLOOKUP(DETALLE_GD_1[[#This Row],[CODIGO]],PRODUCTOS[CODIGO],PRODUCTOS[DESC CORTA],"",0)</f>
        <v>0</v>
      </c>
      <c r="AE82"/>
      <c r="AH82"/>
    </row>
    <row r="83" spans="1:34" x14ac:dyDescent="0.25">
      <c r="A83" s="1">
        <v>45938</v>
      </c>
      <c r="B83" s="1">
        <v>45938</v>
      </c>
      <c r="C83" s="81" t="s">
        <v>15</v>
      </c>
      <c r="D83" s="38">
        <v>10</v>
      </c>
      <c r="E83" s="81" t="s">
        <v>16</v>
      </c>
      <c r="F83">
        <v>1901505</v>
      </c>
      <c r="G83" s="81" t="s">
        <v>27</v>
      </c>
      <c r="H83" s="81" t="s">
        <v>28</v>
      </c>
      <c r="I83" s="3">
        <v>10</v>
      </c>
      <c r="J83" s="3"/>
      <c r="K83" s="26">
        <v>10</v>
      </c>
      <c r="L83" s="2">
        <v>1895</v>
      </c>
      <c r="M83" s="2">
        <v>18950</v>
      </c>
      <c r="N83" s="2">
        <v>18950</v>
      </c>
      <c r="O83" s="2">
        <v>1895</v>
      </c>
      <c r="P83" s="2">
        <v>0</v>
      </c>
      <c r="Q83" s="2">
        <v>0</v>
      </c>
      <c r="R83" s="4">
        <v>0</v>
      </c>
      <c r="T83">
        <v>294980</v>
      </c>
      <c r="U83" s="2"/>
      <c r="V83">
        <v>5284</v>
      </c>
      <c r="W83" s="2">
        <v>6579000000</v>
      </c>
      <c r="X83" s="6">
        <v>18950</v>
      </c>
      <c r="Y83" s="38">
        <v>10010</v>
      </c>
      <c r="Z83" s="86">
        <f>+((DETALLE_GD_1[[#This Row],[VALOR X UN (GD)]]-DETALLE_GD_1[[#This Row],[VALOR PPTO]])/DETALLE_GD_1[[#This Row],[VALOR PPTO]])</f>
        <v>0</v>
      </c>
      <c r="AA83" s="2">
        <f>+DETALLE_GD_1[[#This Row],[VALOR PPTO]]*DETALLE_GD_1[[#This Row],[CANTIDAD RECIBIDA]]</f>
        <v>18950</v>
      </c>
      <c r="AB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" s="3">
        <f>+DETALLE_GD_1[[#This Row],[CANTIDAD SOLICITADA]]-DETALLE_GD_1[[#This Row],[DEVOLUCIÓN]]</f>
        <v>10</v>
      </c>
      <c r="AD83" s="38" t="str">
        <f>+_xlfn.XLOOKUP(DETALLE_GD_1[[#This Row],[CODIGO]],PRODUCTOS[CODIGO],PRODUCTOS[DESC CORTA],"",0)</f>
        <v>POLIETILENO</v>
      </c>
      <c r="AE83"/>
      <c r="AH83"/>
    </row>
    <row r="84" spans="1:34" x14ac:dyDescent="0.25">
      <c r="A84" s="1">
        <v>45938</v>
      </c>
      <c r="B84" s="1">
        <v>45938</v>
      </c>
      <c r="C84" s="81" t="s">
        <v>15</v>
      </c>
      <c r="D84" s="38">
        <v>10</v>
      </c>
      <c r="E84" s="81" t="s">
        <v>16</v>
      </c>
      <c r="F84">
        <v>701040</v>
      </c>
      <c r="G84" s="81" t="s">
        <v>19</v>
      </c>
      <c r="H84" s="81" t="s">
        <v>18</v>
      </c>
      <c r="I84" s="3">
        <v>15</v>
      </c>
      <c r="J84" s="3"/>
      <c r="K84" s="26">
        <v>15</v>
      </c>
      <c r="L84" s="2">
        <v>7722.8</v>
      </c>
      <c r="M84" s="2">
        <v>115842</v>
      </c>
      <c r="N84" s="2">
        <v>115842</v>
      </c>
      <c r="O84" s="2">
        <v>7835.7259999999997</v>
      </c>
      <c r="P84" s="2">
        <v>112.926</v>
      </c>
      <c r="Q84" s="2">
        <v>1693.8893</v>
      </c>
      <c r="R84" s="4">
        <v>1.4411677317830504E-2</v>
      </c>
      <c r="T84">
        <v>294980</v>
      </c>
      <c r="U84" s="2"/>
      <c r="V84">
        <v>5284</v>
      </c>
      <c r="W84" s="2">
        <v>6579000000</v>
      </c>
      <c r="X84" s="6">
        <v>117535.88930999996</v>
      </c>
      <c r="Y84" s="38">
        <v>10010</v>
      </c>
      <c r="Z84" s="86">
        <f>+((DETALLE_GD_1[[#This Row],[VALOR X UN (GD)]]-DETALLE_GD_1[[#This Row],[VALOR PPTO]])/DETALLE_GD_1[[#This Row],[VALOR PPTO]])</f>
        <v>-1.4411683103773599E-2</v>
      </c>
      <c r="AA84" s="2">
        <f>+DETALLE_GD_1[[#This Row],[VALOR PPTO]]*DETALLE_GD_1[[#This Row],[CANTIDAD RECIBIDA]]</f>
        <v>117535.89</v>
      </c>
      <c r="AB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" s="3">
        <f>+DETALLE_GD_1[[#This Row],[CANTIDAD SOLICITADA]]-DETALLE_GD_1[[#This Row],[DEVOLUCIÓN]]</f>
        <v>15</v>
      </c>
      <c r="AD84" s="38" t="str">
        <f>+_xlfn.XLOOKUP(DETALLE_GD_1[[#This Row],[CODIGO]],PRODUCTOS[CODIGO],PRODUCTOS[DESC CORTA],"",0)</f>
        <v>VOLCANITA RF</v>
      </c>
      <c r="AE84"/>
      <c r="AH84"/>
    </row>
    <row r="85" spans="1:34" x14ac:dyDescent="0.25">
      <c r="A85" s="1">
        <v>45938</v>
      </c>
      <c r="B85" s="1">
        <v>45938</v>
      </c>
      <c r="C85" s="81" t="s">
        <v>15</v>
      </c>
      <c r="D85" s="38">
        <v>10</v>
      </c>
      <c r="E85" s="81" t="s">
        <v>16</v>
      </c>
      <c r="F85">
        <v>304007</v>
      </c>
      <c r="G85" s="81" t="s">
        <v>80</v>
      </c>
      <c r="H85" s="81" t="s">
        <v>18</v>
      </c>
      <c r="I85" s="3">
        <v>15</v>
      </c>
      <c r="J85" s="3"/>
      <c r="K85" s="26">
        <v>15</v>
      </c>
      <c r="L85" s="2">
        <v>13290</v>
      </c>
      <c r="M85" s="2">
        <v>199350</v>
      </c>
      <c r="N85" s="2">
        <v>199350</v>
      </c>
      <c r="O85" s="2">
        <v>11444.352999999999</v>
      </c>
      <c r="P85" s="2">
        <v>-1845.6469999999999</v>
      </c>
      <c r="Q85" s="2">
        <v>-27684.704699999998</v>
      </c>
      <c r="R85" s="4">
        <v>-0.1612714125868045</v>
      </c>
      <c r="T85">
        <v>294980</v>
      </c>
      <c r="U85" s="2"/>
      <c r="V85">
        <v>5284</v>
      </c>
      <c r="W85" s="2">
        <v>6579000000</v>
      </c>
      <c r="X85" s="6">
        <v>171665.29532999994</v>
      </c>
      <c r="Y85" s="38">
        <v>10010</v>
      </c>
      <c r="Z85" s="86">
        <f>+((DETALLE_GD_1[[#This Row],[VALOR X UN (GD)]]-DETALLE_GD_1[[#This Row],[VALOR PPTO]])/DETALLE_GD_1[[#This Row],[VALOR PPTO]])</f>
        <v>0.16127141481916898</v>
      </c>
      <c r="AA85" s="2">
        <f>+DETALLE_GD_1[[#This Row],[VALOR PPTO]]*DETALLE_GD_1[[#This Row],[CANTIDAD RECIBIDA]]</f>
        <v>171665.29499999998</v>
      </c>
      <c r="AB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5" s="3">
        <f>+DETALLE_GD_1[[#This Row],[CANTIDAD SOLICITADA]]-DETALLE_GD_1[[#This Row],[DEVOLUCIÓN]]</f>
        <v>15</v>
      </c>
      <c r="AD85" s="38" t="str">
        <f>+_xlfn.XLOOKUP(DETALLE_GD_1[[#This Row],[CODIGO]],PRODUCTOS[CODIGO],PRODUCTOS[DESC CORTA],"",0)</f>
        <v>OSB 11MM</v>
      </c>
      <c r="AE85"/>
      <c r="AH85"/>
    </row>
    <row r="86" spans="1:34" x14ac:dyDescent="0.25">
      <c r="A86" s="1">
        <v>45938</v>
      </c>
      <c r="B86" s="1">
        <v>45938</v>
      </c>
      <c r="C86" s="81" t="s">
        <v>15</v>
      </c>
      <c r="D86" s="38">
        <v>10</v>
      </c>
      <c r="E86" s="81" t="s">
        <v>16</v>
      </c>
      <c r="F86">
        <v>304101</v>
      </c>
      <c r="G86" s="81" t="s">
        <v>17</v>
      </c>
      <c r="H86" s="81" t="s">
        <v>18</v>
      </c>
      <c r="I86" s="3">
        <v>24</v>
      </c>
      <c r="J86" s="3"/>
      <c r="K86" s="26">
        <v>24</v>
      </c>
      <c r="L86" s="2">
        <v>10686.3333</v>
      </c>
      <c r="M86" s="2">
        <v>256472</v>
      </c>
      <c r="N86" s="2">
        <v>256472</v>
      </c>
      <c r="O86" s="2">
        <v>9657.5879999999997</v>
      </c>
      <c r="P86" s="2">
        <v>-1028.7454</v>
      </c>
      <c r="Q86" s="2">
        <v>-24689.889200000001</v>
      </c>
      <c r="R86" s="4">
        <v>-0.10652197926225759</v>
      </c>
      <c r="T86">
        <v>294980</v>
      </c>
      <c r="U86" s="2"/>
      <c r="V86">
        <v>5284</v>
      </c>
      <c r="W86" s="2">
        <v>6579000000</v>
      </c>
      <c r="X86" s="6">
        <v>231782.11080000011</v>
      </c>
      <c r="Y86" s="38">
        <v>10010</v>
      </c>
      <c r="Z86" s="86">
        <f>+((DETALLE_GD_1[[#This Row],[VALOR X UN (GD)]]-DETALLE_GD_1[[#This Row],[VALOR PPTO]])/DETALLE_GD_1[[#This Row],[VALOR PPTO]])</f>
        <v>0.10652197008197083</v>
      </c>
      <c r="AA86" s="2">
        <f>+DETALLE_GD_1[[#This Row],[VALOR PPTO]]*DETALLE_GD_1[[#This Row],[CANTIDAD RECIBIDA]]</f>
        <v>231782.11199999999</v>
      </c>
      <c r="AB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6" s="3">
        <f>+DETALLE_GD_1[[#This Row],[CANTIDAD SOLICITADA]]-DETALLE_GD_1[[#This Row],[DEVOLUCIÓN]]</f>
        <v>24</v>
      </c>
      <c r="AD86" s="38" t="str">
        <f>+_xlfn.XLOOKUP(DETALLE_GD_1[[#This Row],[CODIGO]],PRODUCTOS[CODIGO],PRODUCTOS[DESC CORTA],"",0)</f>
        <v>OSB 9.5</v>
      </c>
      <c r="AE86"/>
      <c r="AH86"/>
    </row>
    <row r="87" spans="1:34" x14ac:dyDescent="0.25">
      <c r="A87" s="1">
        <v>45938</v>
      </c>
      <c r="B87" s="1">
        <v>45938</v>
      </c>
      <c r="C87" s="81" t="s">
        <v>15</v>
      </c>
      <c r="D87" s="38">
        <v>10</v>
      </c>
      <c r="E87" s="81" t="s">
        <v>16</v>
      </c>
      <c r="F87" t="s">
        <v>21</v>
      </c>
      <c r="G87" s="81" t="s">
        <v>22</v>
      </c>
      <c r="H87" s="81" t="s">
        <v>20</v>
      </c>
      <c r="I87" s="3">
        <v>10</v>
      </c>
      <c r="J87" s="3"/>
      <c r="K87" s="26">
        <v>10</v>
      </c>
      <c r="L87" s="2">
        <v>14420.7</v>
      </c>
      <c r="M87" s="2">
        <v>144207</v>
      </c>
      <c r="N87" s="2">
        <v>144207</v>
      </c>
      <c r="O87" s="2">
        <v>15359.702799999999</v>
      </c>
      <c r="P87" s="2">
        <v>939.00279999999998</v>
      </c>
      <c r="Q87" s="2">
        <v>9390.0278999999991</v>
      </c>
      <c r="R87" s="4">
        <v>6.1134176757444481E-2</v>
      </c>
      <c r="T87">
        <v>294980</v>
      </c>
      <c r="U87" s="2"/>
      <c r="V87">
        <v>5284</v>
      </c>
      <c r="W87" s="2">
        <v>6579000000</v>
      </c>
      <c r="X87" s="6">
        <v>153597.02785000004</v>
      </c>
      <c r="Y87" s="38">
        <v>10010</v>
      </c>
      <c r="Z87" s="86">
        <f>+((DETALLE_GD_1[[#This Row],[VALOR X UN (GD)]]-DETALLE_GD_1[[#This Row],[VALOR PPTO]])/DETALLE_GD_1[[#This Row],[VALOR PPTO]])</f>
        <v>-6.113417767432313E-2</v>
      </c>
      <c r="AA87" s="2">
        <f>+DETALLE_GD_1[[#This Row],[VALOR PPTO]]*DETALLE_GD_1[[#This Row],[CANTIDAD RECIBIDA]]</f>
        <v>153597.02799999999</v>
      </c>
      <c r="AB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7" s="3">
        <f>+DETALLE_GD_1[[#This Row],[CANTIDAD SOLICITADA]]-DETALLE_GD_1[[#This Row],[DEVOLUCIÓN]]</f>
        <v>10</v>
      </c>
      <c r="AD87" s="38" t="str">
        <f>+_xlfn.XLOOKUP(DETALLE_GD_1[[#This Row],[CODIGO]],PRODUCTOS[CODIGO],PRODUCTOS[DESC CORTA],"",0)</f>
        <v>PINO 3X8X320</v>
      </c>
      <c r="AE87"/>
      <c r="AH87"/>
    </row>
    <row r="88" spans="1:34" x14ac:dyDescent="0.25">
      <c r="A88" s="1">
        <v>45938</v>
      </c>
      <c r="B88" s="1">
        <v>45938</v>
      </c>
      <c r="C88" s="81" t="s">
        <v>15</v>
      </c>
      <c r="D88" s="38">
        <v>10</v>
      </c>
      <c r="E88" s="81" t="s">
        <v>16</v>
      </c>
      <c r="F88">
        <v>302019</v>
      </c>
      <c r="G88" s="81" t="s">
        <v>78</v>
      </c>
      <c r="H88" s="81" t="s">
        <v>20</v>
      </c>
      <c r="I88" s="3">
        <v>5</v>
      </c>
      <c r="J88" s="3"/>
      <c r="K88" s="26">
        <v>5</v>
      </c>
      <c r="L88" s="2">
        <v>1661.6</v>
      </c>
      <c r="M88" s="2">
        <v>8308</v>
      </c>
      <c r="N88" s="2">
        <v>8308</v>
      </c>
      <c r="O88" s="2">
        <v>1660.3430000000001</v>
      </c>
      <c r="P88" s="2">
        <v>-1.2569999999999999</v>
      </c>
      <c r="Q88" s="2">
        <v>-6.2851999999999997</v>
      </c>
      <c r="R88" s="4">
        <v>-7.5710021051466801E-4</v>
      </c>
      <c r="T88">
        <v>294980</v>
      </c>
      <c r="U88" s="2"/>
      <c r="V88">
        <v>5284</v>
      </c>
      <c r="W88" s="2">
        <v>6579000000</v>
      </c>
      <c r="X88" s="6">
        <v>8301.7147700000005</v>
      </c>
      <c r="Y88" s="38">
        <v>10010</v>
      </c>
      <c r="Z88" s="86">
        <f>+((DETALLE_GD_1[[#This Row],[VALOR X UN (GD)]]-DETALLE_GD_1[[#This Row],[VALOR PPTO]])/DETALLE_GD_1[[#This Row],[VALOR PPTO]])</f>
        <v>7.5707248442028808E-4</v>
      </c>
      <c r="AA88" s="2">
        <f>+DETALLE_GD_1[[#This Row],[VALOR PPTO]]*DETALLE_GD_1[[#This Row],[CANTIDAD RECIBIDA]]</f>
        <v>8301.7150000000001</v>
      </c>
      <c r="AB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" s="3">
        <f>+DETALLE_GD_1[[#This Row],[CANTIDAD SOLICITADA]]-DETALLE_GD_1[[#This Row],[DEVOLUCIÓN]]</f>
        <v>5</v>
      </c>
      <c r="AD88" s="38" t="str">
        <f>+_xlfn.XLOOKUP(DETALLE_GD_1[[#This Row],[CODIGO]],PRODUCTOS[CODIGO],PRODUCTOS[DESC CORTA],"",0)</f>
        <v>PINO 1X4X320</v>
      </c>
      <c r="AE88"/>
      <c r="AH88"/>
    </row>
    <row r="89" spans="1:34" x14ac:dyDescent="0.25">
      <c r="A89" s="1">
        <v>45938</v>
      </c>
      <c r="B89" s="1">
        <v>45938</v>
      </c>
      <c r="C89" s="81" t="s">
        <v>15</v>
      </c>
      <c r="D89" s="38">
        <v>10</v>
      </c>
      <c r="E89" s="81" t="s">
        <v>16</v>
      </c>
      <c r="F89">
        <v>302039</v>
      </c>
      <c r="G89" s="81" t="s">
        <v>84</v>
      </c>
      <c r="H89" s="81" t="s">
        <v>20</v>
      </c>
      <c r="I89" s="3">
        <v>20</v>
      </c>
      <c r="J89" s="3"/>
      <c r="K89" s="26">
        <v>20</v>
      </c>
      <c r="L89" s="2">
        <v>10135.950000000001</v>
      </c>
      <c r="M89" s="2">
        <v>202719</v>
      </c>
      <c r="N89" s="2">
        <v>202719</v>
      </c>
      <c r="O89" s="2">
        <v>9825.5480000000007</v>
      </c>
      <c r="P89" s="2">
        <v>-310.40199999999999</v>
      </c>
      <c r="Q89" s="2">
        <v>-6208.0409</v>
      </c>
      <c r="R89" s="4">
        <v>-3.1591321460138259E-2</v>
      </c>
      <c r="T89">
        <v>294980</v>
      </c>
      <c r="U89" s="2"/>
      <c r="V89">
        <v>5284</v>
      </c>
      <c r="W89" s="2">
        <v>6579000000</v>
      </c>
      <c r="X89" s="6">
        <v>196510.95912000001</v>
      </c>
      <c r="Y89" s="38">
        <v>10010</v>
      </c>
      <c r="Z89" s="86">
        <f>+((DETALLE_GD_1[[#This Row],[VALOR X UN (GD)]]-DETALLE_GD_1[[#This Row],[VALOR PPTO]])/DETALLE_GD_1[[#This Row],[VALOR PPTO]])</f>
        <v>3.159131684054671E-2</v>
      </c>
      <c r="AA89" s="2">
        <f>+DETALLE_GD_1[[#This Row],[VALOR PPTO]]*DETALLE_GD_1[[#This Row],[CANTIDAD RECIBIDA]]</f>
        <v>196510.96000000002</v>
      </c>
      <c r="AB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" s="3">
        <f>+DETALLE_GD_1[[#This Row],[CANTIDAD SOLICITADA]]-DETALLE_GD_1[[#This Row],[DEVOLUCIÓN]]</f>
        <v>20</v>
      </c>
      <c r="AD89" s="38" t="str">
        <f>+_xlfn.XLOOKUP(DETALLE_GD_1[[#This Row],[CODIGO]],PRODUCTOS[CODIGO],PRODUCTOS[DESC CORTA],"",0)</f>
        <v>PINO 2X6X400</v>
      </c>
      <c r="AE89"/>
      <c r="AH89"/>
    </row>
    <row r="90" spans="1:34" x14ac:dyDescent="0.25">
      <c r="A90" s="1">
        <v>45938</v>
      </c>
      <c r="B90" s="1">
        <v>45938</v>
      </c>
      <c r="C90" s="81" t="s">
        <v>15</v>
      </c>
      <c r="D90" s="38">
        <v>10</v>
      </c>
      <c r="E90" s="81" t="s">
        <v>16</v>
      </c>
      <c r="F90">
        <v>302028</v>
      </c>
      <c r="G90" s="81" t="s">
        <v>246</v>
      </c>
      <c r="H90" s="81" t="s">
        <v>20</v>
      </c>
      <c r="I90" s="3">
        <v>110</v>
      </c>
      <c r="J90" s="3"/>
      <c r="K90" s="26">
        <v>110</v>
      </c>
      <c r="L90" s="2">
        <v>4435.6000000000004</v>
      </c>
      <c r="M90" s="2">
        <v>487916</v>
      </c>
      <c r="N90" s="2">
        <v>487916</v>
      </c>
      <c r="O90" s="2">
        <v>5123.8024999999998</v>
      </c>
      <c r="P90" s="2">
        <v>688.20249999999999</v>
      </c>
      <c r="Q90" s="2">
        <v>75702.278000000006</v>
      </c>
      <c r="R90" s="4">
        <v>0.13431480299513912</v>
      </c>
      <c r="T90">
        <v>294980</v>
      </c>
      <c r="U90" s="2"/>
      <c r="V90">
        <v>5284</v>
      </c>
      <c r="W90" s="2">
        <v>6579000000</v>
      </c>
      <c r="X90" s="6">
        <v>563618.27797000017</v>
      </c>
      <c r="Y90" s="38">
        <v>10010</v>
      </c>
      <c r="Z90" s="86">
        <f>+((DETALLE_GD_1[[#This Row],[VALOR X UN (GD)]]-DETALLE_GD_1[[#This Row],[VALOR PPTO]])/DETALLE_GD_1[[#This Row],[VALOR PPTO]])</f>
        <v>-0.13431479843338995</v>
      </c>
      <c r="AA90" s="2">
        <f>+DETALLE_GD_1[[#This Row],[VALOR PPTO]]*DETALLE_GD_1[[#This Row],[CANTIDAD RECIBIDA]]</f>
        <v>563618.27500000002</v>
      </c>
      <c r="AB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0" s="3">
        <f>+DETALLE_GD_1[[#This Row],[CANTIDAD SOLICITADA]]-DETALLE_GD_1[[#This Row],[DEVOLUCIÓN]]</f>
        <v>110</v>
      </c>
      <c r="AD90" s="38" t="str">
        <f>+_xlfn.XLOOKUP(DETALLE_GD_1[[#This Row],[CODIGO]],PRODUCTOS[CODIGO],PRODUCTOS[DESC CORTA],"",0)</f>
        <v>PINO 2X4X320</v>
      </c>
      <c r="AE90"/>
      <c r="AH90"/>
    </row>
    <row r="91" spans="1:34" x14ac:dyDescent="0.25">
      <c r="A91" s="1">
        <v>45938</v>
      </c>
      <c r="B91" s="1">
        <v>45938</v>
      </c>
      <c r="C91" s="81" t="s">
        <v>15</v>
      </c>
      <c r="D91" s="38">
        <v>10</v>
      </c>
      <c r="E91" s="81" t="s">
        <v>16</v>
      </c>
      <c r="F91">
        <v>302044</v>
      </c>
      <c r="G91" s="81" t="s">
        <v>247</v>
      </c>
      <c r="H91" s="81" t="s">
        <v>20</v>
      </c>
      <c r="I91" s="3">
        <v>35</v>
      </c>
      <c r="J91" s="3"/>
      <c r="K91" s="26">
        <v>35</v>
      </c>
      <c r="L91" s="2">
        <v>13934.4</v>
      </c>
      <c r="M91" s="2">
        <v>487704</v>
      </c>
      <c r="N91" s="2">
        <v>487704</v>
      </c>
      <c r="O91" s="2">
        <v>13725.9625</v>
      </c>
      <c r="P91" s="2">
        <v>-208.4375</v>
      </c>
      <c r="Q91" s="2">
        <v>-7295.3113000000003</v>
      </c>
      <c r="R91" s="4">
        <v>-1.5185635650956191E-2</v>
      </c>
      <c r="T91">
        <v>294980</v>
      </c>
      <c r="U91" s="2"/>
      <c r="V91">
        <v>5284</v>
      </c>
      <c r="W91" s="2">
        <v>6579000000</v>
      </c>
      <c r="X91" s="6">
        <v>480408.68868999998</v>
      </c>
      <c r="Y91" s="38">
        <v>10010</v>
      </c>
      <c r="Z91" s="86">
        <f>+((DETALLE_GD_1[[#This Row],[VALOR X UN (GD)]]-DETALLE_GD_1[[#This Row],[VALOR PPTO]])/DETALLE_GD_1[[#This Row],[VALOR PPTO]])</f>
        <v>1.5185638165629551E-2</v>
      </c>
      <c r="AA91" s="2">
        <f>+DETALLE_GD_1[[#This Row],[VALOR PPTO]]*DETALLE_GD_1[[#This Row],[CANTIDAD RECIBIDA]]</f>
        <v>480408.6875</v>
      </c>
      <c r="AB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1" s="3">
        <f>+DETALLE_GD_1[[#This Row],[CANTIDAD SOLICITADA]]-DETALLE_GD_1[[#This Row],[DEVOLUCIÓN]]</f>
        <v>35</v>
      </c>
      <c r="AD91" s="38" t="str">
        <f>+_xlfn.XLOOKUP(DETALLE_GD_1[[#This Row],[CODIGO]],PRODUCTOS[CODIGO],PRODUCTOS[DESC CORTA],"",0)</f>
        <v>PINO 2X8X4</v>
      </c>
      <c r="AE91"/>
      <c r="AH91"/>
    </row>
    <row r="92" spans="1:34" x14ac:dyDescent="0.25">
      <c r="A92" s="1">
        <v>45938</v>
      </c>
      <c r="B92" s="1">
        <v>45938</v>
      </c>
      <c r="C92" s="81" t="s">
        <v>15</v>
      </c>
      <c r="D92" s="38">
        <v>10</v>
      </c>
      <c r="E92" s="81" t="s">
        <v>16</v>
      </c>
      <c r="F92">
        <v>408014</v>
      </c>
      <c r="G92" s="81" t="s">
        <v>108</v>
      </c>
      <c r="H92" s="81" t="s">
        <v>36</v>
      </c>
      <c r="I92" s="3">
        <v>1</v>
      </c>
      <c r="J92" s="3"/>
      <c r="K92" s="26">
        <v>1</v>
      </c>
      <c r="L92" s="2">
        <v>14599</v>
      </c>
      <c r="M92" s="2">
        <v>14599</v>
      </c>
      <c r="N92" s="2">
        <v>14599</v>
      </c>
      <c r="O92" s="2">
        <v>16182.1068</v>
      </c>
      <c r="P92" s="2">
        <v>1583.1068</v>
      </c>
      <c r="Q92" s="2">
        <v>1583.1068</v>
      </c>
      <c r="R92" s="4">
        <v>9.7830695674161069E-2</v>
      </c>
      <c r="T92">
        <v>294980</v>
      </c>
      <c r="U92" s="2"/>
      <c r="V92">
        <v>5284</v>
      </c>
      <c r="W92" s="2">
        <v>6579000000</v>
      </c>
      <c r="X92" s="6">
        <v>16182.106762000009</v>
      </c>
      <c r="Y92" s="38">
        <v>10010</v>
      </c>
      <c r="Z92" s="86">
        <f>+((DETALLE_GD_1[[#This Row],[VALOR X UN (GD)]]-DETALLE_GD_1[[#This Row],[VALOR PPTO]])/DETALLE_GD_1[[#This Row],[VALOR PPTO]])</f>
        <v>-9.7830697792700247E-2</v>
      </c>
      <c r="AA92" s="2">
        <f>+DETALLE_GD_1[[#This Row],[VALOR PPTO]]*DETALLE_GD_1[[#This Row],[CANTIDAD RECIBIDA]]</f>
        <v>16182.1068</v>
      </c>
      <c r="AB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" s="3">
        <f>+DETALLE_GD_1[[#This Row],[CANTIDAD SOLICITADA]]-DETALLE_GD_1[[#This Row],[DEVOLUCIÓN]]</f>
        <v>1</v>
      </c>
      <c r="AD92" s="38" t="str">
        <f>+_xlfn.XLOOKUP(DETALLE_GD_1[[#This Row],[CODIGO]],PRODUCTOS[CODIGO],PRODUCTOS[DESC CORTA],"",0)</f>
        <v>GRAPA T40</v>
      </c>
      <c r="AE92"/>
      <c r="AH92"/>
    </row>
    <row r="93" spans="1:34" x14ac:dyDescent="0.25">
      <c r="A93" s="1">
        <v>45938</v>
      </c>
      <c r="B93" s="1">
        <v>45938</v>
      </c>
      <c r="C93" s="81" t="s">
        <v>15</v>
      </c>
      <c r="D93" s="38">
        <v>10</v>
      </c>
      <c r="E93" s="81" t="s">
        <v>16</v>
      </c>
      <c r="F93">
        <v>408088</v>
      </c>
      <c r="G93" s="81" t="s">
        <v>109</v>
      </c>
      <c r="H93" s="81" t="s">
        <v>36</v>
      </c>
      <c r="I93" s="3">
        <v>1</v>
      </c>
      <c r="J93" s="3"/>
      <c r="K93" s="26">
        <v>1</v>
      </c>
      <c r="L93" s="2">
        <v>17500</v>
      </c>
      <c r="M93" s="2">
        <v>17500</v>
      </c>
      <c r="N93" s="2">
        <v>17500</v>
      </c>
      <c r="O93" s="2">
        <v>17500.092700000001</v>
      </c>
      <c r="P93" s="2">
        <v>9.2700000000000005E-2</v>
      </c>
      <c r="Q93" s="2">
        <v>9.2700000000000005E-2</v>
      </c>
      <c r="R93" s="4">
        <v>5.2979719312796486E-6</v>
      </c>
      <c r="T93">
        <v>294980</v>
      </c>
      <c r="U93" s="2"/>
      <c r="V93">
        <v>5284</v>
      </c>
      <c r="W93" s="2">
        <v>6579000000</v>
      </c>
      <c r="X93" s="6">
        <v>17500.092714999999</v>
      </c>
      <c r="Y93" s="38">
        <v>10010</v>
      </c>
      <c r="Z93" s="86">
        <f>+((DETALLE_GD_1[[#This Row],[VALOR X UN (GD)]]-DETALLE_GD_1[[#This Row],[VALOR PPTO]])/DETALLE_GD_1[[#This Row],[VALOR PPTO]])</f>
        <v>-5.2971147976295791E-6</v>
      </c>
      <c r="AA93" s="2">
        <f>+DETALLE_GD_1[[#This Row],[VALOR PPTO]]*DETALLE_GD_1[[#This Row],[CANTIDAD RECIBIDA]]</f>
        <v>17500.092700000001</v>
      </c>
      <c r="AB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" s="3">
        <f>+DETALLE_GD_1[[#This Row],[CANTIDAD SOLICITADA]]-DETALLE_GD_1[[#This Row],[DEVOLUCIÓN]]</f>
        <v>1</v>
      </c>
      <c r="AD93" s="38" t="str">
        <f>+_xlfn.XLOOKUP(DETALLE_GD_1[[#This Row],[CODIGO]],PRODUCTOS[CODIGO],PRODUCTOS[DESC CORTA],"",0)</f>
        <v>GRAPA T50</v>
      </c>
      <c r="AE93"/>
      <c r="AH93"/>
    </row>
    <row r="94" spans="1:34" x14ac:dyDescent="0.25">
      <c r="A94" s="1">
        <v>45938</v>
      </c>
      <c r="B94" s="1">
        <v>45938</v>
      </c>
      <c r="C94" s="81" t="s">
        <v>15</v>
      </c>
      <c r="D94" s="38">
        <v>10</v>
      </c>
      <c r="E94" s="81" t="s">
        <v>16</v>
      </c>
      <c r="F94">
        <v>410045</v>
      </c>
      <c r="G94" s="81" t="s">
        <v>110</v>
      </c>
      <c r="H94" s="81" t="s">
        <v>31</v>
      </c>
      <c r="I94" s="3">
        <v>20</v>
      </c>
      <c r="J94" s="3"/>
      <c r="K94" s="26">
        <v>20</v>
      </c>
      <c r="L94" s="2">
        <v>368</v>
      </c>
      <c r="M94" s="2">
        <v>7360</v>
      </c>
      <c r="N94" s="2">
        <v>7360</v>
      </c>
      <c r="O94" s="2">
        <v>368.00139999999999</v>
      </c>
      <c r="P94" s="2">
        <v>1.4E-3</v>
      </c>
      <c r="Q94" s="2">
        <v>2.7199999999999998E-2</v>
      </c>
      <c r="R94" s="4">
        <v>3.6983558871065354E-6</v>
      </c>
      <c r="T94">
        <v>294980</v>
      </c>
      <c r="U94" s="2"/>
      <c r="V94">
        <v>5284</v>
      </c>
      <c r="W94" s="2">
        <v>6579000000</v>
      </c>
      <c r="X94" s="6">
        <v>7360.0272199999981</v>
      </c>
      <c r="Y94" s="38">
        <v>10010</v>
      </c>
      <c r="Z94" s="86">
        <f>+((DETALLE_GD_1[[#This Row],[VALOR X UN (GD)]]-DETALLE_GD_1[[#This Row],[VALOR PPTO]])/DETALLE_GD_1[[#This Row],[VALOR PPTO]])</f>
        <v>-3.8043333530514605E-6</v>
      </c>
      <c r="AA94" s="2">
        <f>+DETALLE_GD_1[[#This Row],[VALOR PPTO]]*DETALLE_GD_1[[#This Row],[CANTIDAD RECIBIDA]]</f>
        <v>7360.0280000000002</v>
      </c>
      <c r="AB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" s="3">
        <f>+DETALLE_GD_1[[#This Row],[CANTIDAD SOLICITADA]]-DETALLE_GD_1[[#This Row],[DEVOLUCIÓN]]</f>
        <v>20</v>
      </c>
      <c r="AD94" s="38" t="str">
        <f>+_xlfn.XLOOKUP(DETALLE_GD_1[[#This Row],[CODIGO]],PRODUCTOS[CODIGO],PRODUCTOS[DESC CORTA],"",0)</f>
        <v>CONECTOR DENTADO</v>
      </c>
      <c r="AE94"/>
      <c r="AH94"/>
    </row>
    <row r="95" spans="1:34" x14ac:dyDescent="0.25">
      <c r="A95" s="1">
        <v>45938</v>
      </c>
      <c r="B95" s="1">
        <v>45938</v>
      </c>
      <c r="C95" s="81" t="s">
        <v>15</v>
      </c>
      <c r="D95" s="38">
        <v>10</v>
      </c>
      <c r="E95" s="81" t="s">
        <v>16</v>
      </c>
      <c r="F95">
        <v>2302098</v>
      </c>
      <c r="G95" s="81" t="s">
        <v>24</v>
      </c>
      <c r="H95" s="81" t="s">
        <v>25</v>
      </c>
      <c r="I95" s="3">
        <v>1</v>
      </c>
      <c r="J95" s="3"/>
      <c r="K95" s="26">
        <v>1</v>
      </c>
      <c r="L95" s="2">
        <v>21213</v>
      </c>
      <c r="M95" s="2">
        <v>21213</v>
      </c>
      <c r="N95" s="2">
        <v>21213</v>
      </c>
      <c r="O95" s="2">
        <v>21213</v>
      </c>
      <c r="P95" s="2">
        <v>0</v>
      </c>
      <c r="Q95" s="2">
        <v>0</v>
      </c>
      <c r="R95" s="4">
        <v>-1.7149761029050001E-16</v>
      </c>
      <c r="T95">
        <v>294980</v>
      </c>
      <c r="U95" s="2"/>
      <c r="V95">
        <v>5284</v>
      </c>
      <c r="W95" s="2">
        <v>6579000000</v>
      </c>
      <c r="X95" s="6">
        <v>21212.999999999996</v>
      </c>
      <c r="Y95" s="38">
        <v>10010</v>
      </c>
      <c r="Z95" s="86">
        <f>+((DETALLE_GD_1[[#This Row],[VALOR X UN (GD)]]-DETALLE_GD_1[[#This Row],[VALOR PPTO]])/DETALLE_GD_1[[#This Row],[VALOR PPTO]])</f>
        <v>0</v>
      </c>
      <c r="AA95" s="2">
        <f>+DETALLE_GD_1[[#This Row],[VALOR PPTO]]*DETALLE_GD_1[[#This Row],[CANTIDAD RECIBIDA]]</f>
        <v>21213</v>
      </c>
      <c r="AB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" s="3">
        <f>+DETALLE_GD_1[[#This Row],[CANTIDAD SOLICITADA]]-DETALLE_GD_1[[#This Row],[DEVOLUCIÓN]]</f>
        <v>1</v>
      </c>
      <c r="AD95" s="38" t="str">
        <f>+_xlfn.XLOOKUP(DETALLE_GD_1[[#This Row],[CODIGO]],PRODUCTOS[CODIGO],PRODUCTOS[DESC CORTA],"",0)</f>
        <v>COLA FRIA</v>
      </c>
      <c r="AE95"/>
      <c r="AH95"/>
    </row>
    <row r="96" spans="1:34" x14ac:dyDescent="0.25">
      <c r="A96" s="1">
        <v>45938</v>
      </c>
      <c r="B96" s="1">
        <v>45938</v>
      </c>
      <c r="C96" s="81" t="s">
        <v>15</v>
      </c>
      <c r="D96" s="38">
        <v>10</v>
      </c>
      <c r="E96" s="81" t="s">
        <v>16</v>
      </c>
      <c r="F96">
        <v>408071</v>
      </c>
      <c r="G96" s="81" t="s">
        <v>111</v>
      </c>
      <c r="H96" s="81" t="s">
        <v>36</v>
      </c>
      <c r="I96" s="3">
        <v>1</v>
      </c>
      <c r="J96" s="3"/>
      <c r="K96" s="26">
        <v>1</v>
      </c>
      <c r="L96" s="2">
        <v>23224</v>
      </c>
      <c r="M96" s="2">
        <v>23224</v>
      </c>
      <c r="N96" s="2">
        <v>23224</v>
      </c>
      <c r="O96" s="2">
        <v>23200.297900000001</v>
      </c>
      <c r="P96" s="2">
        <v>-23.702100000000002</v>
      </c>
      <c r="Q96" s="2">
        <v>-23.702100000000002</v>
      </c>
      <c r="R96" s="4">
        <v>-1.0216303312478017E-3</v>
      </c>
      <c r="T96">
        <v>294980</v>
      </c>
      <c r="U96" s="2"/>
      <c r="V96">
        <v>5284</v>
      </c>
      <c r="W96" s="2">
        <v>6579000000</v>
      </c>
      <c r="X96" s="6">
        <v>23200.297871999981</v>
      </c>
      <c r="Y96" s="38">
        <v>10010</v>
      </c>
      <c r="Z96" s="86">
        <f>+((DETALLE_GD_1[[#This Row],[VALOR X UN (GD)]]-DETALLE_GD_1[[#This Row],[VALOR PPTO]])/DETALLE_GD_1[[#This Row],[VALOR PPTO]])</f>
        <v>1.0216291231328804E-3</v>
      </c>
      <c r="AA96" s="2">
        <f>+DETALLE_GD_1[[#This Row],[VALOR PPTO]]*DETALLE_GD_1[[#This Row],[CANTIDAD RECIBIDA]]</f>
        <v>23200.297900000001</v>
      </c>
      <c r="AB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" s="3">
        <f>+DETALLE_GD_1[[#This Row],[CANTIDAD SOLICITADA]]-DETALLE_GD_1[[#This Row],[DEVOLUCIÓN]]</f>
        <v>1</v>
      </c>
      <c r="AD96" s="38" t="str">
        <f>+_xlfn.XLOOKUP(DETALLE_GD_1[[#This Row],[CODIGO]],PRODUCTOS[CODIGO],PRODUCTOS[DESC CORTA],"",0)</f>
        <v>CLAVO HELICOIDAL</v>
      </c>
      <c r="AE96"/>
      <c r="AH96"/>
    </row>
    <row r="97" spans="1:34" x14ac:dyDescent="0.25">
      <c r="A97" s="1">
        <v>45938</v>
      </c>
      <c r="B97" s="1">
        <v>45938</v>
      </c>
      <c r="C97" s="81" t="s">
        <v>15</v>
      </c>
      <c r="D97" s="38">
        <v>10</v>
      </c>
      <c r="E97" s="81" t="s">
        <v>16</v>
      </c>
      <c r="F97">
        <v>5309018</v>
      </c>
      <c r="G97" s="81" t="s">
        <v>112</v>
      </c>
      <c r="H97" s="81" t="s">
        <v>113</v>
      </c>
      <c r="I97" s="3">
        <v>100</v>
      </c>
      <c r="J97" s="3"/>
      <c r="K97" s="26">
        <v>100</v>
      </c>
      <c r="L97" s="2">
        <v>700</v>
      </c>
      <c r="M97" s="2">
        <v>70000</v>
      </c>
      <c r="N97" s="2">
        <v>70000</v>
      </c>
      <c r="O97" s="2">
        <v>699.99919999999997</v>
      </c>
      <c r="P97" s="2">
        <v>-8.0000000000000004E-4</v>
      </c>
      <c r="Q97" s="2">
        <v>-7.6799999999999993E-2</v>
      </c>
      <c r="R97" s="4">
        <v>-1.0971440602079328E-6</v>
      </c>
      <c r="T97">
        <v>294980</v>
      </c>
      <c r="U97" s="2"/>
      <c r="V97">
        <v>5284</v>
      </c>
      <c r="W97" s="2">
        <v>6579000000</v>
      </c>
      <c r="X97" s="6">
        <v>69999.923200000048</v>
      </c>
      <c r="Y97" s="38">
        <v>10010</v>
      </c>
      <c r="Z97" s="86">
        <f>+((DETALLE_GD_1[[#This Row],[VALOR X UN (GD)]]-DETALLE_GD_1[[#This Row],[VALOR PPTO]])/DETALLE_GD_1[[#This Row],[VALOR PPTO]])</f>
        <v>1.1428584490190236E-6</v>
      </c>
      <c r="AA97" s="2">
        <f>+DETALLE_GD_1[[#This Row],[VALOR PPTO]]*DETALLE_GD_1[[#This Row],[CANTIDAD RECIBIDA]]</f>
        <v>69999.92</v>
      </c>
      <c r="AB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" s="3">
        <f>+DETALLE_GD_1[[#This Row],[CANTIDAD SOLICITADA]]-DETALLE_GD_1[[#This Row],[DEVOLUCIÓN]]</f>
        <v>100</v>
      </c>
      <c r="AD97" s="38">
        <f>+_xlfn.XLOOKUP(DETALLE_GD_1[[#This Row],[CODIGO]],PRODUCTOS[CODIGO],PRODUCTOS[DESC CORTA],"",0)</f>
        <v>0</v>
      </c>
      <c r="AE97"/>
      <c r="AH97"/>
    </row>
    <row r="98" spans="1:34" x14ac:dyDescent="0.25">
      <c r="A98" s="1">
        <v>45944</v>
      </c>
      <c r="B98" s="1">
        <v>45944</v>
      </c>
      <c r="C98" s="81" t="s">
        <v>114</v>
      </c>
      <c r="D98" s="38">
        <v>10</v>
      </c>
      <c r="E98" s="81" t="s">
        <v>380</v>
      </c>
      <c r="F98">
        <v>408071</v>
      </c>
      <c r="G98" s="81" t="s">
        <v>111</v>
      </c>
      <c r="H98" s="81" t="s">
        <v>36</v>
      </c>
      <c r="I98" s="3">
        <v>8</v>
      </c>
      <c r="J98" s="3"/>
      <c r="K98" s="26">
        <v>8</v>
      </c>
      <c r="L98" s="2">
        <v>23224.375</v>
      </c>
      <c r="M98" s="2">
        <v>185795</v>
      </c>
      <c r="N98" s="2">
        <v>185795</v>
      </c>
      <c r="O98" s="2">
        <v>23200.297900000001</v>
      </c>
      <c r="P98" s="2">
        <v>-24.077100000000002</v>
      </c>
      <c r="Q98" s="2">
        <v>-192.61699999999999</v>
      </c>
      <c r="R98" s="4">
        <v>-1.0377939168219582E-3</v>
      </c>
      <c r="T98">
        <v>50236654</v>
      </c>
      <c r="U98" s="2">
        <v>4959999</v>
      </c>
      <c r="V98">
        <v>5284</v>
      </c>
      <c r="W98" s="2">
        <v>6579000000</v>
      </c>
      <c r="X98" s="6">
        <v>185602.38297599985</v>
      </c>
      <c r="Y98" s="38">
        <v>10010</v>
      </c>
      <c r="Z98" s="86">
        <f>+((DETALLE_GD_1[[#This Row],[VALOR X UN (GD)]]-DETALLE_GD_1[[#This Row],[VALOR PPTO]])/DETALLE_GD_1[[#This Row],[VALOR PPTO]])</f>
        <v>1.0377927086875297E-3</v>
      </c>
      <c r="AA98" s="2">
        <f>+DETALLE_GD_1[[#This Row],[VALOR PPTO]]*DETALLE_GD_1[[#This Row],[CANTIDAD RECIBIDA]]</f>
        <v>185602.38320000001</v>
      </c>
      <c r="AB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" s="3">
        <f>+DETALLE_GD_1[[#This Row],[CANTIDAD SOLICITADA]]-DETALLE_GD_1[[#This Row],[DEVOLUCIÓN]]</f>
        <v>8</v>
      </c>
      <c r="AD98" s="38" t="str">
        <f>+_xlfn.XLOOKUP(DETALLE_GD_1[[#This Row],[CODIGO]],PRODUCTOS[CODIGO],PRODUCTOS[DESC CORTA],"",0)</f>
        <v>CLAVO HELICOIDAL</v>
      </c>
      <c r="AE98"/>
      <c r="AH98"/>
    </row>
    <row r="99" spans="1:34" x14ac:dyDescent="0.25">
      <c r="A99" s="1">
        <v>45944</v>
      </c>
      <c r="B99" s="1">
        <v>45944</v>
      </c>
      <c r="C99" s="81" t="s">
        <v>114</v>
      </c>
      <c r="D99" s="38">
        <v>10</v>
      </c>
      <c r="E99" s="81" t="s">
        <v>380</v>
      </c>
      <c r="F99">
        <v>302028</v>
      </c>
      <c r="G99" s="81" t="s">
        <v>246</v>
      </c>
      <c r="H99" s="81" t="s">
        <v>20</v>
      </c>
      <c r="I99" s="3">
        <v>409</v>
      </c>
      <c r="J99" s="3"/>
      <c r="K99" s="26">
        <v>409</v>
      </c>
      <c r="L99" s="2">
        <v>4435.6039000000001</v>
      </c>
      <c r="M99" s="2">
        <v>1814162</v>
      </c>
      <c r="N99" s="2">
        <v>1814162</v>
      </c>
      <c r="O99" s="2">
        <v>5123.8024999999998</v>
      </c>
      <c r="P99" s="2">
        <v>688.19860000000006</v>
      </c>
      <c r="Q99" s="2">
        <v>281473.23349999997</v>
      </c>
      <c r="R99" s="4">
        <v>0.1343140395034903</v>
      </c>
      <c r="T99">
        <v>50236654</v>
      </c>
      <c r="U99" s="2"/>
      <c r="V99">
        <v>5284</v>
      </c>
      <c r="W99" s="2">
        <v>6579000000</v>
      </c>
      <c r="X99" s="6">
        <v>2095635.2335430009</v>
      </c>
      <c r="Y99" s="38">
        <v>10010</v>
      </c>
      <c r="Z99" s="86">
        <f>+((DETALLE_GD_1[[#This Row],[VALOR X UN (GD)]]-DETALLE_GD_1[[#This Row],[VALOR PPTO]])/DETALLE_GD_1[[#This Row],[VALOR PPTO]])</f>
        <v>-0.13431403727993024</v>
      </c>
      <c r="AA99" s="2">
        <f>+DETALLE_GD_1[[#This Row],[VALOR PPTO]]*DETALLE_GD_1[[#This Row],[CANTIDAD RECIBIDA]]</f>
        <v>2095635.2224999999</v>
      </c>
      <c r="AB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9" s="3">
        <f>+DETALLE_GD_1[[#This Row],[CANTIDAD SOLICITADA]]-DETALLE_GD_1[[#This Row],[DEVOLUCIÓN]]</f>
        <v>409</v>
      </c>
      <c r="AD99" s="38" t="str">
        <f>+_xlfn.XLOOKUP(DETALLE_GD_1[[#This Row],[CODIGO]],PRODUCTOS[CODIGO],PRODUCTOS[DESC CORTA],"",0)</f>
        <v>PINO 2X4X320</v>
      </c>
      <c r="AE99"/>
      <c r="AH99"/>
    </row>
    <row r="100" spans="1:34" x14ac:dyDescent="0.25">
      <c r="A100" s="1">
        <v>45944</v>
      </c>
      <c r="B100" s="1">
        <v>45944</v>
      </c>
      <c r="C100" s="81" t="s">
        <v>114</v>
      </c>
      <c r="D100" s="38">
        <v>10</v>
      </c>
      <c r="E100" s="81" t="s">
        <v>380</v>
      </c>
      <c r="F100">
        <v>302046</v>
      </c>
      <c r="G100" s="81" t="s">
        <v>115</v>
      </c>
      <c r="H100" s="81" t="s">
        <v>20</v>
      </c>
      <c r="I100" s="3">
        <v>67</v>
      </c>
      <c r="J100" s="3"/>
      <c r="K100" s="26">
        <v>67</v>
      </c>
      <c r="L100" s="2">
        <v>9831.4627</v>
      </c>
      <c r="M100" s="2">
        <v>658708</v>
      </c>
      <c r="N100" s="2">
        <v>658708</v>
      </c>
      <c r="O100" s="2">
        <v>10156.5985</v>
      </c>
      <c r="P100" s="2">
        <v>325.13580000000002</v>
      </c>
      <c r="Q100" s="2">
        <v>21784.097300000001</v>
      </c>
      <c r="R100" s="4">
        <v>3.201227079019054E-2</v>
      </c>
      <c r="T100">
        <v>50236654</v>
      </c>
      <c r="U100" s="2"/>
      <c r="V100">
        <v>5284</v>
      </c>
      <c r="W100" s="2">
        <v>6579000000</v>
      </c>
      <c r="X100" s="6">
        <v>680492.09728900006</v>
      </c>
      <c r="Y100" s="38">
        <v>10010</v>
      </c>
      <c r="Z100" s="86">
        <f>+((DETALLE_GD_1[[#This Row],[VALOR X UN (GD)]]-DETALLE_GD_1[[#This Row],[VALOR PPTO]])/DETALLE_GD_1[[#This Row],[VALOR PPTO]])</f>
        <v>-3.2012272612725608E-2</v>
      </c>
      <c r="AA100" s="2">
        <f>+DETALLE_GD_1[[#This Row],[VALOR PPTO]]*DETALLE_GD_1[[#This Row],[CANTIDAD RECIBIDA]]</f>
        <v>680492.09950000001</v>
      </c>
      <c r="AB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0" s="3">
        <f>+DETALLE_GD_1[[#This Row],[CANTIDAD SOLICITADA]]-DETALLE_GD_1[[#This Row],[DEVOLUCIÓN]]</f>
        <v>67</v>
      </c>
      <c r="AD100" s="38" t="str">
        <f>+_xlfn.XLOOKUP(DETALLE_GD_1[[#This Row],[CODIGO]],PRODUCTOS[CODIGO],PRODUCTOS[DESC CORTA],"",0)</f>
        <v>PINO 2X6X400</v>
      </c>
      <c r="AE100"/>
      <c r="AH100"/>
    </row>
    <row r="101" spans="1:34" x14ac:dyDescent="0.25">
      <c r="A101" s="1">
        <v>45944</v>
      </c>
      <c r="B101" s="1">
        <v>45944</v>
      </c>
      <c r="C101" s="81" t="s">
        <v>114</v>
      </c>
      <c r="D101" s="38">
        <v>10</v>
      </c>
      <c r="E101" s="81" t="s">
        <v>380</v>
      </c>
      <c r="F101">
        <v>302039</v>
      </c>
      <c r="G101" s="81" t="s">
        <v>84</v>
      </c>
      <c r="H101" s="81" t="s">
        <v>20</v>
      </c>
      <c r="I101" s="3">
        <v>47</v>
      </c>
      <c r="J101" s="3"/>
      <c r="K101" s="26">
        <v>47</v>
      </c>
      <c r="L101" s="2">
        <v>10135.9362</v>
      </c>
      <c r="M101" s="2">
        <v>476389</v>
      </c>
      <c r="N101" s="2">
        <v>476389</v>
      </c>
      <c r="O101" s="2">
        <v>9825.5480000000007</v>
      </c>
      <c r="P101" s="2">
        <v>-310.38819999999998</v>
      </c>
      <c r="Q101" s="2">
        <v>-14588.2461</v>
      </c>
      <c r="R101" s="4">
        <v>-3.1589913926706389E-2</v>
      </c>
      <c r="T101">
        <v>50236654</v>
      </c>
      <c r="U101" s="2"/>
      <c r="V101">
        <v>5284</v>
      </c>
      <c r="W101" s="2">
        <v>6579000000</v>
      </c>
      <c r="X101" s="6">
        <v>461800.75393200002</v>
      </c>
      <c r="Y101" s="38">
        <v>10010</v>
      </c>
      <c r="Z101" s="86">
        <f>+((DETALLE_GD_1[[#This Row],[VALOR X UN (GD)]]-DETALLE_GD_1[[#This Row],[VALOR PPTO]])/DETALLE_GD_1[[#This Row],[VALOR PPTO]])</f>
        <v>3.1589912338731582E-2</v>
      </c>
      <c r="AA101" s="2">
        <f>+DETALLE_GD_1[[#This Row],[VALOR PPTO]]*DETALLE_GD_1[[#This Row],[CANTIDAD RECIBIDA]]</f>
        <v>461800.75600000005</v>
      </c>
      <c r="AB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" s="3">
        <f>+DETALLE_GD_1[[#This Row],[CANTIDAD SOLICITADA]]-DETALLE_GD_1[[#This Row],[DEVOLUCIÓN]]</f>
        <v>47</v>
      </c>
      <c r="AD101" s="38" t="str">
        <f>+_xlfn.XLOOKUP(DETALLE_GD_1[[#This Row],[CODIGO]],PRODUCTOS[CODIGO],PRODUCTOS[DESC CORTA],"",0)</f>
        <v>PINO 2X6X400</v>
      </c>
      <c r="AE101"/>
      <c r="AH101"/>
    </row>
    <row r="102" spans="1:34" x14ac:dyDescent="0.25">
      <c r="A102" s="1">
        <v>45944</v>
      </c>
      <c r="B102" s="1">
        <v>45944</v>
      </c>
      <c r="C102" s="81" t="s">
        <v>114</v>
      </c>
      <c r="D102" s="38">
        <v>10</v>
      </c>
      <c r="E102" s="81" t="s">
        <v>380</v>
      </c>
      <c r="F102">
        <v>304101</v>
      </c>
      <c r="G102" s="81" t="s">
        <v>17</v>
      </c>
      <c r="H102" s="81" t="s">
        <v>18</v>
      </c>
      <c r="I102" s="3">
        <v>61</v>
      </c>
      <c r="J102" s="3"/>
      <c r="K102" s="26">
        <v>61</v>
      </c>
      <c r="L102" s="2">
        <v>10686.3115</v>
      </c>
      <c r="M102" s="2">
        <v>651865</v>
      </c>
      <c r="N102" s="2">
        <v>651865</v>
      </c>
      <c r="O102" s="2">
        <v>9657.5879999999997</v>
      </c>
      <c r="P102" s="2">
        <v>-1028.7235000000001</v>
      </c>
      <c r="Q102" s="2">
        <v>-62752.135000000002</v>
      </c>
      <c r="R102" s="4">
        <v>-0.10651971597212652</v>
      </c>
      <c r="T102">
        <v>50236654</v>
      </c>
      <c r="U102" s="2"/>
      <c r="V102">
        <v>5284</v>
      </c>
      <c r="W102" s="2">
        <v>6579000000</v>
      </c>
      <c r="X102" s="6">
        <v>589112.86495000031</v>
      </c>
      <c r="Y102" s="38">
        <v>10010</v>
      </c>
      <c r="Z102" s="86">
        <f>+((DETALLE_GD_1[[#This Row],[VALOR X UN (GD)]]-DETALLE_GD_1[[#This Row],[VALOR PPTO]])/DETALLE_GD_1[[#This Row],[VALOR PPTO]])</f>
        <v>0.10651971278957025</v>
      </c>
      <c r="AA102" s="2">
        <f>+DETALLE_GD_1[[#This Row],[VALOR PPTO]]*DETALLE_GD_1[[#This Row],[CANTIDAD RECIBIDA]]</f>
        <v>589112.86800000002</v>
      </c>
      <c r="AB1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2" s="3">
        <f>+DETALLE_GD_1[[#This Row],[CANTIDAD SOLICITADA]]-DETALLE_GD_1[[#This Row],[DEVOLUCIÓN]]</f>
        <v>61</v>
      </c>
      <c r="AD102" s="38" t="str">
        <f>+_xlfn.XLOOKUP(DETALLE_GD_1[[#This Row],[CODIGO]],PRODUCTOS[CODIGO],PRODUCTOS[DESC CORTA],"",0)</f>
        <v>OSB 9.5</v>
      </c>
      <c r="AE102"/>
      <c r="AH102"/>
    </row>
    <row r="103" spans="1:34" x14ac:dyDescent="0.25">
      <c r="A103" s="1">
        <v>45944</v>
      </c>
      <c r="B103" s="1">
        <v>45944</v>
      </c>
      <c r="C103" s="81" t="s">
        <v>114</v>
      </c>
      <c r="D103" s="38">
        <v>10</v>
      </c>
      <c r="E103" s="81" t="s">
        <v>380</v>
      </c>
      <c r="F103">
        <v>304007</v>
      </c>
      <c r="G103" s="81" t="s">
        <v>80</v>
      </c>
      <c r="H103" s="81" t="s">
        <v>18</v>
      </c>
      <c r="I103" s="3">
        <v>30</v>
      </c>
      <c r="J103" s="3"/>
      <c r="K103" s="26">
        <v>30</v>
      </c>
      <c r="L103" s="2">
        <v>13290</v>
      </c>
      <c r="M103" s="2">
        <v>398700</v>
      </c>
      <c r="N103" s="2">
        <v>398700</v>
      </c>
      <c r="O103" s="2">
        <v>11444.352999999999</v>
      </c>
      <c r="P103" s="2">
        <v>-1845.6469999999999</v>
      </c>
      <c r="Q103" s="2">
        <v>-55369.409299999999</v>
      </c>
      <c r="R103" s="4">
        <v>-0.1612714125868045</v>
      </c>
      <c r="T103">
        <v>50236654</v>
      </c>
      <c r="U103" s="2"/>
      <c r="V103">
        <v>5284</v>
      </c>
      <c r="W103" s="2">
        <v>6579000000</v>
      </c>
      <c r="X103" s="6">
        <v>343330.59065999987</v>
      </c>
      <c r="Y103" s="38">
        <v>10010</v>
      </c>
      <c r="Z103" s="86">
        <f>+((DETALLE_GD_1[[#This Row],[VALOR X UN (GD)]]-DETALLE_GD_1[[#This Row],[VALOR PPTO]])/DETALLE_GD_1[[#This Row],[VALOR PPTO]])</f>
        <v>0.16127141481916898</v>
      </c>
      <c r="AA103" s="2">
        <f>+DETALLE_GD_1[[#This Row],[VALOR PPTO]]*DETALLE_GD_1[[#This Row],[CANTIDAD RECIBIDA]]</f>
        <v>343330.58999999997</v>
      </c>
      <c r="AB1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" s="3">
        <f>+DETALLE_GD_1[[#This Row],[CANTIDAD SOLICITADA]]-DETALLE_GD_1[[#This Row],[DEVOLUCIÓN]]</f>
        <v>30</v>
      </c>
      <c r="AD103" s="38" t="str">
        <f>+_xlfn.XLOOKUP(DETALLE_GD_1[[#This Row],[CODIGO]],PRODUCTOS[CODIGO],PRODUCTOS[DESC CORTA],"",0)</f>
        <v>OSB 11MM</v>
      </c>
      <c r="AE103"/>
      <c r="AH103"/>
    </row>
    <row r="104" spans="1:34" x14ac:dyDescent="0.25">
      <c r="A104" s="1">
        <v>45944</v>
      </c>
      <c r="B104" s="1">
        <v>45944</v>
      </c>
      <c r="C104" s="81" t="s">
        <v>114</v>
      </c>
      <c r="D104" s="38">
        <v>10</v>
      </c>
      <c r="E104" s="81" t="s">
        <v>380</v>
      </c>
      <c r="F104">
        <v>701040</v>
      </c>
      <c r="G104" s="81" t="s">
        <v>19</v>
      </c>
      <c r="H104" s="81" t="s">
        <v>18</v>
      </c>
      <c r="I104" s="3">
        <v>86</v>
      </c>
      <c r="J104" s="3"/>
      <c r="K104" s="26">
        <v>86</v>
      </c>
      <c r="L104" s="2">
        <v>4224.0465000000004</v>
      </c>
      <c r="M104" s="2">
        <v>363268</v>
      </c>
      <c r="N104" s="2">
        <v>363268</v>
      </c>
      <c r="O104" s="2">
        <v>7835.7259999999997</v>
      </c>
      <c r="P104" s="2">
        <v>3611.6794</v>
      </c>
      <c r="Q104" s="2">
        <v>310604.43199999997</v>
      </c>
      <c r="R104" s="4">
        <v>0.46092467546397442</v>
      </c>
      <c r="T104">
        <v>50236654</v>
      </c>
      <c r="U104" s="2"/>
      <c r="V104">
        <v>5284</v>
      </c>
      <c r="W104" s="2">
        <v>6579000000</v>
      </c>
      <c r="X104" s="6">
        <v>673872.43204399978</v>
      </c>
      <c r="Y104" s="38">
        <v>10010</v>
      </c>
      <c r="Z104" s="86">
        <f>+((DETALLE_GD_1[[#This Row],[VALOR X UN (GD)]]-DETALLE_GD_1[[#This Row],[VALOR PPTO]])/DETALLE_GD_1[[#This Row],[VALOR PPTO]])</f>
        <v>-0.46092468011260213</v>
      </c>
      <c r="AA104" s="2">
        <f>+DETALLE_GD_1[[#This Row],[VALOR PPTO]]*DETALLE_GD_1[[#This Row],[CANTIDAD RECIBIDA]]</f>
        <v>673872.43599999999</v>
      </c>
      <c r="AB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" s="3">
        <f>+DETALLE_GD_1[[#This Row],[CANTIDAD SOLICITADA]]-DETALLE_GD_1[[#This Row],[DEVOLUCIÓN]]</f>
        <v>86</v>
      </c>
      <c r="AD104" s="38" t="str">
        <f>+_xlfn.XLOOKUP(DETALLE_GD_1[[#This Row],[CODIGO]],PRODUCTOS[CODIGO],PRODUCTOS[DESC CORTA],"",0)</f>
        <v>VOLCANITA RF</v>
      </c>
      <c r="AE104"/>
      <c r="AH104"/>
    </row>
    <row r="105" spans="1:34" x14ac:dyDescent="0.25">
      <c r="A105" s="1">
        <v>45944</v>
      </c>
      <c r="B105" s="1">
        <v>45944</v>
      </c>
      <c r="C105" s="81" t="s">
        <v>114</v>
      </c>
      <c r="D105" s="38">
        <v>10</v>
      </c>
      <c r="E105" s="81" t="s">
        <v>380</v>
      </c>
      <c r="F105">
        <v>701022</v>
      </c>
      <c r="G105" s="81" t="s">
        <v>76</v>
      </c>
      <c r="H105" s="81" t="s">
        <v>18</v>
      </c>
      <c r="I105" s="3">
        <v>16</v>
      </c>
      <c r="J105" s="3"/>
      <c r="K105" s="26">
        <v>16</v>
      </c>
      <c r="L105" s="2">
        <v>11071.5625</v>
      </c>
      <c r="M105" s="2">
        <v>177145</v>
      </c>
      <c r="N105" s="2">
        <v>177145</v>
      </c>
      <c r="O105" s="2">
        <v>11163.5985</v>
      </c>
      <c r="P105" s="2">
        <v>92.036000000000001</v>
      </c>
      <c r="Q105" s="2">
        <v>1472.5762</v>
      </c>
      <c r="R105" s="4">
        <v>8.2442959514852539E-3</v>
      </c>
      <c r="T105">
        <v>50236654</v>
      </c>
      <c r="U105" s="2"/>
      <c r="V105">
        <v>5284</v>
      </c>
      <c r="W105" s="2">
        <v>6579000000</v>
      </c>
      <c r="X105" s="6">
        <v>178617.57616</v>
      </c>
      <c r="Y105" s="38">
        <v>10010</v>
      </c>
      <c r="Z105" s="86">
        <f>+((DETALLE_GD_1[[#This Row],[VALOR X UN (GD)]]-DETALLE_GD_1[[#This Row],[VALOR PPTO]])/DETALLE_GD_1[[#This Row],[VALOR PPTO]])</f>
        <v>-8.2442950631017465E-3</v>
      </c>
      <c r="AA105" s="2">
        <f>+DETALLE_GD_1[[#This Row],[VALOR PPTO]]*DETALLE_GD_1[[#This Row],[CANTIDAD RECIBIDA]]</f>
        <v>178617.576</v>
      </c>
      <c r="AB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" s="3">
        <f>+DETALLE_GD_1[[#This Row],[CANTIDAD SOLICITADA]]-DETALLE_GD_1[[#This Row],[DEVOLUCIÓN]]</f>
        <v>16</v>
      </c>
      <c r="AD105" s="38" t="str">
        <f>+_xlfn.XLOOKUP(DETALLE_GD_1[[#This Row],[CODIGO]],PRODUCTOS[CODIGO],PRODUCTOS[DESC CORTA],"",0)</f>
        <v>VOLCANITA RF</v>
      </c>
      <c r="AE105"/>
      <c r="AH105"/>
    </row>
    <row r="106" spans="1:34" x14ac:dyDescent="0.25">
      <c r="A106" s="1">
        <v>45944</v>
      </c>
      <c r="B106" s="1">
        <v>45944</v>
      </c>
      <c r="C106" s="81" t="s">
        <v>114</v>
      </c>
      <c r="D106" s="38">
        <v>10</v>
      </c>
      <c r="E106" s="81" t="s">
        <v>380</v>
      </c>
      <c r="F106">
        <v>1901505</v>
      </c>
      <c r="G106" s="81" t="s">
        <v>27</v>
      </c>
      <c r="H106" s="81" t="s">
        <v>28</v>
      </c>
      <c r="I106" s="3">
        <v>91</v>
      </c>
      <c r="J106" s="3"/>
      <c r="K106" s="26">
        <v>91</v>
      </c>
      <c r="L106" s="2">
        <v>1895</v>
      </c>
      <c r="M106" s="2">
        <v>172445</v>
      </c>
      <c r="N106" s="2">
        <v>172445</v>
      </c>
      <c r="O106" s="2">
        <v>1895</v>
      </c>
      <c r="P106" s="2">
        <v>0</v>
      </c>
      <c r="Q106" s="2">
        <v>0</v>
      </c>
      <c r="R106" s="4">
        <v>0</v>
      </c>
      <c r="T106">
        <v>50236654</v>
      </c>
      <c r="U106" s="2"/>
      <c r="V106">
        <v>5284</v>
      </c>
      <c r="W106" s="2">
        <v>6579000000</v>
      </c>
      <c r="X106" s="6">
        <v>172445</v>
      </c>
      <c r="Y106" s="38">
        <v>10010</v>
      </c>
      <c r="Z106" s="86">
        <f>+((DETALLE_GD_1[[#This Row],[VALOR X UN (GD)]]-DETALLE_GD_1[[#This Row],[VALOR PPTO]])/DETALLE_GD_1[[#This Row],[VALOR PPTO]])</f>
        <v>0</v>
      </c>
      <c r="AA106" s="2">
        <f>+DETALLE_GD_1[[#This Row],[VALOR PPTO]]*DETALLE_GD_1[[#This Row],[CANTIDAD RECIBIDA]]</f>
        <v>172445</v>
      </c>
      <c r="AB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" s="3">
        <f>+DETALLE_GD_1[[#This Row],[CANTIDAD SOLICITADA]]-DETALLE_GD_1[[#This Row],[DEVOLUCIÓN]]</f>
        <v>91</v>
      </c>
      <c r="AD106" s="38" t="str">
        <f>+_xlfn.XLOOKUP(DETALLE_GD_1[[#This Row],[CODIGO]],PRODUCTOS[CODIGO],PRODUCTOS[DESC CORTA],"",0)</f>
        <v>POLIETILENO</v>
      </c>
      <c r="AE106"/>
      <c r="AH106"/>
    </row>
    <row r="107" spans="1:34" x14ac:dyDescent="0.25">
      <c r="A107" s="1">
        <v>45944</v>
      </c>
      <c r="B107" s="1">
        <v>45944</v>
      </c>
      <c r="C107" s="81" t="s">
        <v>114</v>
      </c>
      <c r="D107" s="38">
        <v>10</v>
      </c>
      <c r="E107" s="81" t="s">
        <v>380</v>
      </c>
      <c r="F107">
        <v>407170</v>
      </c>
      <c r="G107" s="81" t="s">
        <v>107</v>
      </c>
      <c r="H107" s="81" t="s">
        <v>31</v>
      </c>
      <c r="I107" s="3">
        <v>304</v>
      </c>
      <c r="J107" s="3"/>
      <c r="K107" s="26">
        <v>304</v>
      </c>
      <c r="L107" s="2">
        <v>5.7270000000000003</v>
      </c>
      <c r="M107" s="2">
        <v>1741</v>
      </c>
      <c r="N107" s="2">
        <v>1741</v>
      </c>
      <c r="O107" s="2">
        <v>4.8802000000000003</v>
      </c>
      <c r="P107" s="2">
        <v>-0.8468</v>
      </c>
      <c r="Q107" s="2">
        <v>-257.41430000000003</v>
      </c>
      <c r="R107" s="4">
        <v>-0.17350823902272475</v>
      </c>
      <c r="T107">
        <v>50236654</v>
      </c>
      <c r="U107" s="2"/>
      <c r="V107">
        <v>5284</v>
      </c>
      <c r="W107" s="2">
        <v>6579000000</v>
      </c>
      <c r="X107" s="6">
        <v>1483.5856640000002</v>
      </c>
      <c r="Y107" s="38">
        <v>10010</v>
      </c>
      <c r="Z107" s="86">
        <f>+((DETALLE_GD_1[[#This Row],[VALOR X UN (GD)]]-DETALLE_GD_1[[#This Row],[VALOR PPTO]])/DETALLE_GD_1[[#This Row],[VALOR PPTO]])</f>
        <v>0.17351747879185278</v>
      </c>
      <c r="AA107" s="2">
        <f>+DETALLE_GD_1[[#This Row],[VALOR PPTO]]*DETALLE_GD_1[[#This Row],[CANTIDAD RECIBIDA]]</f>
        <v>1483.5808000000002</v>
      </c>
      <c r="AB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" s="3">
        <f>+DETALLE_GD_1[[#This Row],[CANTIDAD SOLICITADA]]-DETALLE_GD_1[[#This Row],[DEVOLUCIÓN]]</f>
        <v>304</v>
      </c>
      <c r="AD107" s="38" t="str">
        <f>+_xlfn.XLOOKUP(DETALLE_GD_1[[#This Row],[CODIGO]],PRODUCTOS[CODIGO],PRODUCTOS[DESC CORTA],"",0)</f>
        <v>TORNILLO CRS 6X2 1/4</v>
      </c>
      <c r="AE107"/>
      <c r="AH107"/>
    </row>
    <row r="108" spans="1:34" x14ac:dyDescent="0.25">
      <c r="A108" s="1">
        <v>45944</v>
      </c>
      <c r="B108" s="1">
        <v>45944</v>
      </c>
      <c r="C108" s="81" t="s">
        <v>114</v>
      </c>
      <c r="D108" s="38">
        <v>10</v>
      </c>
      <c r="E108" s="81" t="s">
        <v>380</v>
      </c>
      <c r="F108">
        <v>407423</v>
      </c>
      <c r="G108" s="81" t="s">
        <v>106</v>
      </c>
      <c r="H108" s="81" t="s">
        <v>31</v>
      </c>
      <c r="I108" s="3">
        <v>1578</v>
      </c>
      <c r="J108" s="3"/>
      <c r="K108" s="26">
        <v>1578</v>
      </c>
      <c r="L108" s="2">
        <v>3.2128999999999999</v>
      </c>
      <c r="M108" s="2">
        <v>5070</v>
      </c>
      <c r="N108" s="2">
        <v>5070</v>
      </c>
      <c r="O108" s="2">
        <v>106.6405</v>
      </c>
      <c r="P108" s="2">
        <v>103.4276</v>
      </c>
      <c r="Q108" s="2">
        <v>163208.7121</v>
      </c>
      <c r="R108" s="4">
        <v>0.96987141192243664</v>
      </c>
      <c r="T108">
        <v>50236654</v>
      </c>
      <c r="U108" s="2"/>
      <c r="V108">
        <v>5284</v>
      </c>
      <c r="W108" s="2">
        <v>6579000000</v>
      </c>
      <c r="X108" s="6">
        <v>168278.7121304108</v>
      </c>
      <c r="Y108" s="38">
        <v>10010</v>
      </c>
      <c r="Z108" s="86">
        <f>+((DETALLE_GD_1[[#This Row],[VALOR X UN (GD)]]-DETALLE_GD_1[[#This Row],[VALOR PPTO]])/DETALLE_GD_1[[#This Row],[VALOR PPTO]])</f>
        <v>-0.96987167164445021</v>
      </c>
      <c r="AA108" s="2">
        <f>+DETALLE_GD_1[[#This Row],[VALOR PPTO]]*DETALLE_GD_1[[#This Row],[CANTIDAD RECIBIDA]]</f>
        <v>168278.709</v>
      </c>
      <c r="AB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" s="3">
        <f>+DETALLE_GD_1[[#This Row],[CANTIDAD SOLICITADA]]-DETALLE_GD_1[[#This Row],[DEVOLUCIÓN]]</f>
        <v>1578</v>
      </c>
      <c r="AD108" s="38" t="str">
        <f>+_xlfn.XLOOKUP(DETALLE_GD_1[[#This Row],[CODIGO]],PRODUCTOS[CODIGO],PRODUCTOS[DESC CORTA],"",0)</f>
        <v>TORNILLO CRS 6X1 5/8</v>
      </c>
      <c r="AE108"/>
      <c r="AH108"/>
    </row>
    <row r="109" spans="1:34" x14ac:dyDescent="0.25">
      <c r="A109" s="1">
        <v>45944</v>
      </c>
      <c r="B109" s="1">
        <v>45944</v>
      </c>
      <c r="C109" s="81" t="s">
        <v>114</v>
      </c>
      <c r="D109" s="38">
        <v>10</v>
      </c>
      <c r="E109" s="81" t="s">
        <v>380</v>
      </c>
      <c r="F109">
        <v>701015</v>
      </c>
      <c r="G109" s="81" t="s">
        <v>254</v>
      </c>
      <c r="H109" s="81" t="s">
        <v>18</v>
      </c>
      <c r="I109" s="3">
        <v>6</v>
      </c>
      <c r="J109" s="3"/>
      <c r="K109" s="26">
        <v>6</v>
      </c>
      <c r="L109" s="2">
        <v>9118.5</v>
      </c>
      <c r="M109" s="2">
        <v>54711</v>
      </c>
      <c r="N109" s="2">
        <v>54711</v>
      </c>
      <c r="O109" s="2">
        <v>9151.2975000000006</v>
      </c>
      <c r="P109" s="2">
        <v>32.797499999999999</v>
      </c>
      <c r="Q109" s="2">
        <v>196.78479999999999</v>
      </c>
      <c r="R109" s="4">
        <v>3.5839145339429655E-3</v>
      </c>
      <c r="T109">
        <v>50236654</v>
      </c>
      <c r="U109" s="2"/>
      <c r="V109">
        <v>5284</v>
      </c>
      <c r="W109" s="2">
        <v>6579000000</v>
      </c>
      <c r="X109" s="6">
        <v>54907.784807999997</v>
      </c>
      <c r="Y109" s="38">
        <v>10010</v>
      </c>
      <c r="Z109" s="86">
        <f>+((DETALLE_GD_1[[#This Row],[VALOR X UN (GD)]]-DETALLE_GD_1[[#This Row],[VALOR PPTO]])/DETALLE_GD_1[[#This Row],[VALOR PPTO]])</f>
        <v>-3.5839180181827311E-3</v>
      </c>
      <c r="AA109" s="2">
        <f>+DETALLE_GD_1[[#This Row],[VALOR PPTO]]*DETALLE_GD_1[[#This Row],[CANTIDAD RECIBIDA]]</f>
        <v>54907.785000000003</v>
      </c>
      <c r="AB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" s="3">
        <f>+DETALLE_GD_1[[#This Row],[CANTIDAD SOLICITADA]]-DETALLE_GD_1[[#This Row],[DEVOLUCIÓN]]</f>
        <v>6</v>
      </c>
      <c r="AD109" s="38" t="str">
        <f>+_xlfn.XLOOKUP(DETALLE_GD_1[[#This Row],[CODIGO]],PRODUCTOS[CODIGO],PRODUCTOS[DESC CORTA],"",0)</f>
        <v>VOLCANITA RH</v>
      </c>
      <c r="AE109"/>
      <c r="AH109"/>
    </row>
    <row r="110" spans="1:34" x14ac:dyDescent="0.25">
      <c r="A110" s="1">
        <v>45986</v>
      </c>
      <c r="B110" s="1">
        <v>45986</v>
      </c>
      <c r="C110" s="81" t="s">
        <v>15</v>
      </c>
      <c r="D110" s="38">
        <v>11</v>
      </c>
      <c r="E110" s="81" t="s">
        <v>16</v>
      </c>
      <c r="F110">
        <v>704092</v>
      </c>
      <c r="G110" s="81" t="s">
        <v>116</v>
      </c>
      <c r="H110" s="81" t="s">
        <v>31</v>
      </c>
      <c r="I110" s="3">
        <v>50</v>
      </c>
      <c r="J110" s="3"/>
      <c r="K110" s="26">
        <v>50</v>
      </c>
      <c r="L110" s="2">
        <v>273.48</v>
      </c>
      <c r="M110" s="2">
        <v>13674</v>
      </c>
      <c r="N110" s="2">
        <v>13674</v>
      </c>
      <c r="O110" s="2">
        <v>273.47430000000003</v>
      </c>
      <c r="P110" s="2">
        <v>-5.7000000000000002E-3</v>
      </c>
      <c r="Q110" s="2">
        <v>-0.28649999999999998</v>
      </c>
      <c r="R110" s="4">
        <v>-2.0948954280348871E-5</v>
      </c>
      <c r="T110">
        <v>299352</v>
      </c>
      <c r="U110" s="2">
        <v>105172</v>
      </c>
      <c r="V110">
        <v>5332</v>
      </c>
      <c r="W110" s="2">
        <v>6579000000</v>
      </c>
      <c r="X110" s="6">
        <v>13673.71355</v>
      </c>
      <c r="Y110" s="38">
        <v>10010</v>
      </c>
      <c r="Z110" s="86">
        <f>+((DETALLE_GD_1[[#This Row],[VALOR X UN (GD)]]-DETALLE_GD_1[[#This Row],[VALOR PPTO]])/DETALLE_GD_1[[#This Row],[VALOR PPTO]])</f>
        <v>2.0842909187409083E-5</v>
      </c>
      <c r="AA110" s="2">
        <f>+DETALLE_GD_1[[#This Row],[VALOR PPTO]]*DETALLE_GD_1[[#This Row],[CANTIDAD RECIBIDA]]</f>
        <v>13673.715000000002</v>
      </c>
      <c r="AB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" s="3">
        <f>+DETALLE_GD_1[[#This Row],[CANTIDAD SOLICITADA]]-DETALLE_GD_1[[#This Row],[DEVOLUCIÓN]]</f>
        <v>50</v>
      </c>
      <c r="AD110" s="38" t="str">
        <f>+_xlfn.XLOOKUP(DETALLE_GD_1[[#This Row],[CODIGO]],PRODUCTOS[CODIGO],PRODUCTOS[DESC CORTA],"",0)</f>
        <v>ESQUINERO GUARDAPOLVO</v>
      </c>
      <c r="AE110"/>
      <c r="AH110"/>
    </row>
    <row r="111" spans="1:34" x14ac:dyDescent="0.25">
      <c r="A111" s="1">
        <v>45986</v>
      </c>
      <c r="B111" s="1">
        <v>45986</v>
      </c>
      <c r="C111" s="81" t="s">
        <v>15</v>
      </c>
      <c r="D111" s="38">
        <v>11</v>
      </c>
      <c r="E111" s="81" t="s">
        <v>16</v>
      </c>
      <c r="F111">
        <v>1101946</v>
      </c>
      <c r="G111" s="81" t="s">
        <v>117</v>
      </c>
      <c r="H111" s="81" t="s">
        <v>90</v>
      </c>
      <c r="I111" s="3">
        <v>1</v>
      </c>
      <c r="J111" s="3"/>
      <c r="K111" s="26">
        <v>1</v>
      </c>
      <c r="L111" s="2">
        <v>52060</v>
      </c>
      <c r="M111" s="2">
        <v>52060</v>
      </c>
      <c r="N111" s="2">
        <v>52060</v>
      </c>
      <c r="O111" s="2">
        <v>52385.051299999999</v>
      </c>
      <c r="P111" s="2">
        <v>325.05130000000003</v>
      </c>
      <c r="Q111" s="2">
        <v>325.05130000000003</v>
      </c>
      <c r="R111" s="4">
        <v>6.2050389194081221E-3</v>
      </c>
      <c r="T111">
        <v>299352</v>
      </c>
      <c r="U111" s="2"/>
      <c r="V111">
        <v>5332</v>
      </c>
      <c r="W111" s="2">
        <v>6579000000</v>
      </c>
      <c r="X111" s="6">
        <v>52385.051282</v>
      </c>
      <c r="Y111" s="38">
        <v>10010</v>
      </c>
      <c r="Z111" s="86">
        <f>+((DETALLE_GD_1[[#This Row],[VALOR X UN (GD)]]-DETALLE_GD_1[[#This Row],[VALOR PPTO]])/DETALLE_GD_1[[#This Row],[VALOR PPTO]])</f>
        <v>-6.205039260885465E-3</v>
      </c>
      <c r="AA111" s="2">
        <f>+DETALLE_GD_1[[#This Row],[VALOR PPTO]]*DETALLE_GD_1[[#This Row],[CANTIDAD RECIBIDA]]</f>
        <v>52385.051299999999</v>
      </c>
      <c r="AB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" s="3">
        <f>+DETALLE_GD_1[[#This Row],[CANTIDAD SOLICITADA]]-DETALLE_GD_1[[#This Row],[DEVOLUCIÓN]]</f>
        <v>1</v>
      </c>
      <c r="AD111" s="38" t="str">
        <f>+_xlfn.XLOOKUP(DETALLE_GD_1[[#This Row],[CODIGO]],PRODUCTOS[CODIGO],PRODUCTOS[DESC CORTA],"",0)</f>
        <v>PUERTA INTERIOR IZQ</v>
      </c>
      <c r="AE111"/>
      <c r="AH111"/>
    </row>
    <row r="112" spans="1:34" x14ac:dyDescent="0.25">
      <c r="A112" s="1">
        <v>45986</v>
      </c>
      <c r="B112" s="1">
        <v>45986</v>
      </c>
      <c r="C112" s="81" t="s">
        <v>15</v>
      </c>
      <c r="D112" s="38">
        <v>11</v>
      </c>
      <c r="E112" s="81" t="s">
        <v>16</v>
      </c>
      <c r="F112">
        <v>1401065</v>
      </c>
      <c r="G112" s="81" t="s">
        <v>118</v>
      </c>
      <c r="H112" s="81" t="s">
        <v>31</v>
      </c>
      <c r="I112" s="3">
        <v>3</v>
      </c>
      <c r="J112" s="3"/>
      <c r="K112" s="26">
        <v>3</v>
      </c>
      <c r="L112" s="2">
        <v>13146</v>
      </c>
      <c r="M112" s="2">
        <v>39438</v>
      </c>
      <c r="N112" s="2">
        <v>39438</v>
      </c>
      <c r="O112" s="2">
        <v>13116.498600000001</v>
      </c>
      <c r="P112" s="2">
        <v>-29.5014</v>
      </c>
      <c r="Q112" s="2">
        <v>-88.504199999999997</v>
      </c>
      <c r="R112" s="4">
        <v>-2.2491820327916012E-3</v>
      </c>
      <c r="T112">
        <v>299352</v>
      </c>
      <c r="U112" s="2"/>
      <c r="V112">
        <v>5332</v>
      </c>
      <c r="W112" s="2">
        <v>6579000000</v>
      </c>
      <c r="X112" s="6">
        <v>39349.495820999997</v>
      </c>
      <c r="Y112" s="38">
        <v>10010</v>
      </c>
      <c r="Z112" s="86">
        <f>+((DETALLE_GD_1[[#This Row],[VALOR X UN (GD)]]-DETALLE_GD_1[[#This Row],[VALOR PPTO]])/DETALLE_GD_1[[#This Row],[VALOR PPTO]])</f>
        <v>2.2491825676708562E-3</v>
      </c>
      <c r="AA112" s="2">
        <f>+DETALLE_GD_1[[#This Row],[VALOR PPTO]]*DETALLE_GD_1[[#This Row],[CANTIDAD RECIBIDA]]</f>
        <v>39349.495800000004</v>
      </c>
      <c r="AB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" s="3">
        <f>+DETALLE_GD_1[[#This Row],[CANTIDAD SOLICITADA]]-DETALLE_GD_1[[#This Row],[DEVOLUCIÓN]]</f>
        <v>3</v>
      </c>
      <c r="AD112" s="38" t="str">
        <f>+_xlfn.XLOOKUP(DETALLE_GD_1[[#This Row],[CODIGO]],PRODUCTOS[CODIGO],PRODUCTOS[DESC CORTA],"",0)</f>
        <v>CERRADURA LLAVE</v>
      </c>
      <c r="AE112"/>
      <c r="AH112"/>
    </row>
    <row r="113" spans="1:34" x14ac:dyDescent="0.25">
      <c r="A113" s="1">
        <v>45986</v>
      </c>
      <c r="B113" s="1">
        <v>45986</v>
      </c>
      <c r="C113" s="81" t="s">
        <v>15</v>
      </c>
      <c r="D113" s="38">
        <v>11</v>
      </c>
      <c r="E113" s="81" t="s">
        <v>16</v>
      </c>
      <c r="F113">
        <v>1105121</v>
      </c>
      <c r="G113" s="81" t="s">
        <v>119</v>
      </c>
      <c r="H113" s="81" t="s">
        <v>90</v>
      </c>
      <c r="I113" s="3">
        <v>1</v>
      </c>
      <c r="J113" s="3"/>
      <c r="K113" s="26">
        <v>1</v>
      </c>
      <c r="L113" s="2">
        <v>96540</v>
      </c>
      <c r="M113" s="2">
        <v>96540</v>
      </c>
      <c r="N113" s="2">
        <v>96540</v>
      </c>
      <c r="O113" s="2">
        <v>96540.363599999997</v>
      </c>
      <c r="P113" s="2">
        <v>0.36359999999999998</v>
      </c>
      <c r="Q113" s="2">
        <v>0.36359999999999998</v>
      </c>
      <c r="R113" s="4">
        <v>3.7666731955315015E-6</v>
      </c>
      <c r="T113">
        <v>299276</v>
      </c>
      <c r="U113" s="2">
        <v>231290</v>
      </c>
      <c r="V113">
        <v>5332</v>
      </c>
      <c r="W113" s="2">
        <v>6579000000</v>
      </c>
      <c r="X113" s="6">
        <v>96540.363635999995</v>
      </c>
      <c r="Y113" s="38">
        <v>10010</v>
      </c>
      <c r="Z113" s="86">
        <f>+((DETALLE_GD_1[[#This Row],[VALOR X UN (GD)]]-DETALLE_GD_1[[#This Row],[VALOR PPTO]])/DETALLE_GD_1[[#This Row],[VALOR PPTO]])</f>
        <v>-3.7663002959411884E-6</v>
      </c>
      <c r="AA113" s="2">
        <f>+DETALLE_GD_1[[#This Row],[VALOR PPTO]]*DETALLE_GD_1[[#This Row],[CANTIDAD RECIBIDA]]</f>
        <v>96540.363599999997</v>
      </c>
      <c r="AB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" s="3">
        <f>+DETALLE_GD_1[[#This Row],[CANTIDAD SOLICITADA]]-DETALLE_GD_1[[#This Row],[DEVOLUCIÓN]]</f>
        <v>1</v>
      </c>
      <c r="AD113" s="38" t="str">
        <f>+_xlfn.XLOOKUP(DETALLE_GD_1[[#This Row],[CODIGO]],PRODUCTOS[CODIGO],PRODUCTOS[DESC CORTA],"",0)</f>
        <v>PUERTA ACCESO DERECHA</v>
      </c>
      <c r="AE113"/>
      <c r="AH113"/>
    </row>
    <row r="114" spans="1:34" x14ac:dyDescent="0.25">
      <c r="A114" s="1">
        <v>45986</v>
      </c>
      <c r="B114" s="1">
        <v>45986</v>
      </c>
      <c r="C114" s="81" t="s">
        <v>15</v>
      </c>
      <c r="D114" s="38">
        <v>11</v>
      </c>
      <c r="E114" s="81" t="s">
        <v>16</v>
      </c>
      <c r="F114">
        <v>1105122</v>
      </c>
      <c r="G114" s="81" t="s">
        <v>120</v>
      </c>
      <c r="H114" s="81" t="s">
        <v>90</v>
      </c>
      <c r="I114" s="3">
        <v>1</v>
      </c>
      <c r="J114" s="3"/>
      <c r="K114" s="26">
        <v>1</v>
      </c>
      <c r="L114" s="2">
        <v>134750</v>
      </c>
      <c r="M114" s="2">
        <v>134750</v>
      </c>
      <c r="N114" s="2">
        <v>134750</v>
      </c>
      <c r="O114" s="2">
        <v>134750</v>
      </c>
      <c r="P114" s="2">
        <v>0</v>
      </c>
      <c r="Q114" s="2">
        <v>0</v>
      </c>
      <c r="R114" s="4">
        <v>0</v>
      </c>
      <c r="T114">
        <v>299276</v>
      </c>
      <c r="U114" s="2"/>
      <c r="V114">
        <v>5332</v>
      </c>
      <c r="W114" s="2">
        <v>6579000000</v>
      </c>
      <c r="X114" s="6">
        <v>134750</v>
      </c>
      <c r="Y114" s="38">
        <v>10010</v>
      </c>
      <c r="Z114" s="86">
        <f>+((DETALLE_GD_1[[#This Row],[VALOR X UN (GD)]]-DETALLE_GD_1[[#This Row],[VALOR PPTO]])/DETALLE_GD_1[[#This Row],[VALOR PPTO]])</f>
        <v>0</v>
      </c>
      <c r="AA114" s="2">
        <f>+DETALLE_GD_1[[#This Row],[VALOR PPTO]]*DETALLE_GD_1[[#This Row],[CANTIDAD RECIBIDA]]</f>
        <v>134750</v>
      </c>
      <c r="AB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" s="3">
        <f>+DETALLE_GD_1[[#This Row],[CANTIDAD SOLICITADA]]-DETALLE_GD_1[[#This Row],[DEVOLUCIÓN]]</f>
        <v>1</v>
      </c>
      <c r="AD114" s="38" t="str">
        <f>+_xlfn.XLOOKUP(DETALLE_GD_1[[#This Row],[CODIGO]],PRODUCTOS[CODIGO],PRODUCTOS[DESC CORTA],"",0)</f>
        <v>PUERTA LOGIA DERECHA</v>
      </c>
      <c r="AE114"/>
      <c r="AH114"/>
    </row>
    <row r="115" spans="1:34" x14ac:dyDescent="0.25">
      <c r="A115" s="1">
        <v>45986</v>
      </c>
      <c r="B115" s="1">
        <v>45986</v>
      </c>
      <c r="C115" s="81" t="s">
        <v>15</v>
      </c>
      <c r="D115" s="38">
        <v>11</v>
      </c>
      <c r="E115" s="81" t="s">
        <v>121</v>
      </c>
      <c r="F115">
        <v>1801700</v>
      </c>
      <c r="G115" s="81" t="s">
        <v>122</v>
      </c>
      <c r="H115" s="81" t="s">
        <v>31</v>
      </c>
      <c r="I115" s="3">
        <v>3</v>
      </c>
      <c r="J115" s="3"/>
      <c r="K115" s="26">
        <v>3</v>
      </c>
      <c r="L115" s="2">
        <v>15550.6667</v>
      </c>
      <c r="M115" s="2">
        <v>46652</v>
      </c>
      <c r="N115" s="2">
        <v>46652</v>
      </c>
      <c r="O115" s="2">
        <v>13379.8595</v>
      </c>
      <c r="P115" s="2">
        <v>-2170.8072000000002</v>
      </c>
      <c r="Q115" s="2">
        <v>-6512.4215000000004</v>
      </c>
      <c r="R115" s="4">
        <v>-0.16224439143159078</v>
      </c>
      <c r="T115">
        <v>299273</v>
      </c>
      <c r="U115" s="2">
        <v>46652</v>
      </c>
      <c r="V115">
        <v>5332</v>
      </c>
      <c r="W115" s="2">
        <v>6579000000</v>
      </c>
      <c r="X115" s="6">
        <v>40139.578512</v>
      </c>
      <c r="Y115" s="38">
        <v>10010</v>
      </c>
      <c r="Z115" s="86">
        <f>+((DETALLE_GD_1[[#This Row],[VALOR X UN (GD)]]-DETALLE_GD_1[[#This Row],[VALOR PPTO]])/DETALLE_GD_1[[#This Row],[VALOR PPTO]])</f>
        <v>0.16224439427035831</v>
      </c>
      <c r="AA115" s="2">
        <f>+DETALLE_GD_1[[#This Row],[VALOR PPTO]]*DETALLE_GD_1[[#This Row],[CANTIDAD RECIBIDA]]</f>
        <v>40139.578500000003</v>
      </c>
      <c r="AB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" s="3">
        <f>+DETALLE_GD_1[[#This Row],[CANTIDAD SOLICITADA]]-DETALLE_GD_1[[#This Row],[DEVOLUCIÓN]]</f>
        <v>3</v>
      </c>
      <c r="AD115" s="38" t="str">
        <f>+_xlfn.XLOOKUP(DETALLE_GD_1[[#This Row],[CODIGO]],PRODUCTOS[CODIGO],PRODUCTOS[DESC CORTA],"",0)</f>
        <v>MARCO PUERTA</v>
      </c>
      <c r="AE115"/>
      <c r="AH115"/>
    </row>
    <row r="116" spans="1:34" x14ac:dyDescent="0.25">
      <c r="A116" s="1">
        <v>45985</v>
      </c>
      <c r="B116" s="1">
        <v>45985</v>
      </c>
      <c r="C116" s="81" t="s">
        <v>123</v>
      </c>
      <c r="D116" s="38">
        <v>11</v>
      </c>
      <c r="E116" s="81" t="s">
        <v>124</v>
      </c>
      <c r="F116">
        <v>1901229</v>
      </c>
      <c r="G116" s="81" t="s">
        <v>125</v>
      </c>
      <c r="H116" s="81" t="s">
        <v>28</v>
      </c>
      <c r="I116" s="3">
        <v>47</v>
      </c>
      <c r="J116" s="3"/>
      <c r="K116" s="26">
        <v>47</v>
      </c>
      <c r="L116" s="2">
        <v>1898.7872</v>
      </c>
      <c r="M116" s="2">
        <v>89243</v>
      </c>
      <c r="N116" s="2">
        <v>89243</v>
      </c>
      <c r="O116" s="2">
        <v>1896.2317</v>
      </c>
      <c r="P116" s="2">
        <v>-2.5554999999999999</v>
      </c>
      <c r="Q116" s="2">
        <v>-120.1084</v>
      </c>
      <c r="R116" s="4">
        <v>-1.3476712749234208E-3</v>
      </c>
      <c r="T116">
        <v>299237</v>
      </c>
      <c r="U116" s="2">
        <v>2091919</v>
      </c>
      <c r="V116">
        <v>5332</v>
      </c>
      <c r="W116" s="2">
        <v>6579000000</v>
      </c>
      <c r="X116" s="6">
        <v>89122.891639000023</v>
      </c>
      <c r="Y116" s="38">
        <v>10010</v>
      </c>
      <c r="Z116" s="86">
        <f>+((DETALLE_GD_1[[#This Row],[VALOR X UN (GD)]]-DETALLE_GD_1[[#This Row],[VALOR PPTO]])/DETALLE_GD_1[[#This Row],[VALOR PPTO]])</f>
        <v>1.3476728608639642E-3</v>
      </c>
      <c r="AA116" s="2">
        <f>+DETALLE_GD_1[[#This Row],[VALOR PPTO]]*DETALLE_GD_1[[#This Row],[CANTIDAD RECIBIDA]]</f>
        <v>89122.889900000009</v>
      </c>
      <c r="AB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" s="3">
        <f>+DETALLE_GD_1[[#This Row],[CANTIDAD SOLICITADA]]-DETALLE_GD_1[[#This Row],[DEVOLUCIÓN]]</f>
        <v>47</v>
      </c>
      <c r="AD116" s="38" t="str">
        <f>+_xlfn.XLOOKUP(DETALLE_GD_1[[#This Row],[CODIGO]],PRODUCTOS[CODIGO],PRODUCTOS[DESC CORTA],"",0)</f>
        <v>POLIETILENO</v>
      </c>
      <c r="AE116"/>
      <c r="AH116"/>
    </row>
    <row r="117" spans="1:34" x14ac:dyDescent="0.25">
      <c r="A117" s="1">
        <v>45985</v>
      </c>
      <c r="B117" s="1">
        <v>45985</v>
      </c>
      <c r="C117" s="81" t="s">
        <v>123</v>
      </c>
      <c r="D117" s="38">
        <v>11</v>
      </c>
      <c r="E117" s="81" t="s">
        <v>124</v>
      </c>
      <c r="F117">
        <v>304014</v>
      </c>
      <c r="G117" s="81" t="s">
        <v>23</v>
      </c>
      <c r="H117" s="81" t="s">
        <v>18</v>
      </c>
      <c r="I117" s="3">
        <v>42</v>
      </c>
      <c r="J117" s="3"/>
      <c r="K117" s="26">
        <v>42</v>
      </c>
      <c r="L117" s="2">
        <v>20836.857100000001</v>
      </c>
      <c r="M117" s="2">
        <v>875148</v>
      </c>
      <c r="N117" s="2">
        <v>875148</v>
      </c>
      <c r="O117" s="2">
        <v>20894.5723</v>
      </c>
      <c r="P117" s="2">
        <v>57.7151</v>
      </c>
      <c r="Q117" s="2">
        <v>2424.0360000000001</v>
      </c>
      <c r="R117" s="4">
        <v>2.762207397960962E-3</v>
      </c>
      <c r="T117">
        <v>299237</v>
      </c>
      <c r="U117" s="2"/>
      <c r="V117">
        <v>5332</v>
      </c>
      <c r="W117" s="2">
        <v>6579000000</v>
      </c>
      <c r="X117" s="6">
        <v>877572.03596999997</v>
      </c>
      <c r="Y117" s="38">
        <v>10010</v>
      </c>
      <c r="Z117" s="86">
        <f>+((DETALLE_GD_1[[#This Row],[VALOR X UN (GD)]]-DETALLE_GD_1[[#This Row],[VALOR PPTO]])/DETALLE_GD_1[[#This Row],[VALOR PPTO]])</f>
        <v>-2.7622101649813972E-3</v>
      </c>
      <c r="AA117" s="2">
        <f>+DETALLE_GD_1[[#This Row],[VALOR PPTO]]*DETALLE_GD_1[[#This Row],[CANTIDAD RECIBIDA]]</f>
        <v>877572.03659999999</v>
      </c>
      <c r="AB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" s="3">
        <f>+DETALLE_GD_1[[#This Row],[CANTIDAD SOLICITADA]]-DETALLE_GD_1[[#This Row],[DEVOLUCIÓN]]</f>
        <v>42</v>
      </c>
      <c r="AD117" s="38">
        <f>+_xlfn.XLOOKUP(DETALLE_GD_1[[#This Row],[CODIGO]],PRODUCTOS[CODIGO],PRODUCTOS[DESC CORTA],"",0)</f>
        <v>0</v>
      </c>
      <c r="AE117"/>
      <c r="AH117"/>
    </row>
    <row r="118" spans="1:34" x14ac:dyDescent="0.25">
      <c r="A118" s="1">
        <v>45985</v>
      </c>
      <c r="B118" s="1">
        <v>45985</v>
      </c>
      <c r="C118" s="81" t="s">
        <v>123</v>
      </c>
      <c r="D118" s="38">
        <v>11</v>
      </c>
      <c r="E118" s="81" t="s">
        <v>124</v>
      </c>
      <c r="F118">
        <v>302048</v>
      </c>
      <c r="G118" s="81" t="s">
        <v>126</v>
      </c>
      <c r="H118" s="81" t="s">
        <v>20</v>
      </c>
      <c r="I118" s="3">
        <v>45</v>
      </c>
      <c r="J118" s="3"/>
      <c r="K118" s="26">
        <v>45</v>
      </c>
      <c r="L118" s="2">
        <v>13459.7111</v>
      </c>
      <c r="M118" s="2">
        <v>605687</v>
      </c>
      <c r="N118" s="2">
        <v>605687</v>
      </c>
      <c r="O118" s="2">
        <v>13710.695</v>
      </c>
      <c r="P118" s="2">
        <v>250.9838</v>
      </c>
      <c r="Q118" s="2">
        <v>11294.2732</v>
      </c>
      <c r="R118" s="4">
        <v>1.8305698624527043E-2</v>
      </c>
      <c r="T118">
        <v>299237</v>
      </c>
      <c r="U118" s="2"/>
      <c r="V118">
        <v>5332</v>
      </c>
      <c r="W118" s="2">
        <v>6579000000</v>
      </c>
      <c r="X118" s="6">
        <v>616981.27324499993</v>
      </c>
      <c r="Y118" s="38">
        <v>10010</v>
      </c>
      <c r="Z118" s="86">
        <f>+((DETALLE_GD_1[[#This Row],[VALOR X UN (GD)]]-DETALLE_GD_1[[#This Row],[VALOR PPTO]])/DETALLE_GD_1[[#This Row],[VALOR PPTO]])</f>
        <v>-1.8305702227348744E-2</v>
      </c>
      <c r="AA118" s="2">
        <f>+DETALLE_GD_1[[#This Row],[VALOR PPTO]]*DETALLE_GD_1[[#This Row],[CANTIDAD RECIBIDA]]</f>
        <v>616981.27500000002</v>
      </c>
      <c r="AB1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8" s="3">
        <f>+DETALLE_GD_1[[#This Row],[CANTIDAD SOLICITADA]]-DETALLE_GD_1[[#This Row],[DEVOLUCIÓN]]</f>
        <v>45</v>
      </c>
      <c r="AD118" s="38" t="str">
        <f>+_xlfn.XLOOKUP(DETALLE_GD_1[[#This Row],[CODIGO]],PRODUCTOS[CODIGO],PRODUCTOS[DESC CORTA],"",0)</f>
        <v>PINO 2X8X4</v>
      </c>
      <c r="AE118"/>
      <c r="AH118"/>
    </row>
    <row r="119" spans="1:34" x14ac:dyDescent="0.25">
      <c r="A119" s="1">
        <v>45985</v>
      </c>
      <c r="B119" s="1">
        <v>45985</v>
      </c>
      <c r="C119" s="81" t="s">
        <v>123</v>
      </c>
      <c r="D119" s="38">
        <v>11</v>
      </c>
      <c r="E119" s="81" t="s">
        <v>124</v>
      </c>
      <c r="F119">
        <v>302044</v>
      </c>
      <c r="G119" s="81" t="s">
        <v>247</v>
      </c>
      <c r="H119" s="81" t="s">
        <v>20</v>
      </c>
      <c r="I119" s="3">
        <v>20</v>
      </c>
      <c r="J119" s="3"/>
      <c r="K119" s="26">
        <v>20</v>
      </c>
      <c r="L119" s="2">
        <v>13934.4</v>
      </c>
      <c r="M119" s="2">
        <v>278688</v>
      </c>
      <c r="N119" s="2">
        <v>278688</v>
      </c>
      <c r="O119" s="2">
        <v>13725.9625</v>
      </c>
      <c r="P119" s="2">
        <v>-208.4375</v>
      </c>
      <c r="Q119" s="2">
        <v>-4168.7493000000004</v>
      </c>
      <c r="R119" s="4">
        <v>-1.5185635650956191E-2</v>
      </c>
      <c r="T119">
        <v>299237</v>
      </c>
      <c r="U119" s="2"/>
      <c r="V119">
        <v>5332</v>
      </c>
      <c r="W119" s="2">
        <v>6579000000</v>
      </c>
      <c r="X119" s="6">
        <v>274519.25068</v>
      </c>
      <c r="Y119" s="38">
        <v>10010</v>
      </c>
      <c r="Z119" s="86">
        <f>+((DETALLE_GD_1[[#This Row],[VALOR X UN (GD)]]-DETALLE_GD_1[[#This Row],[VALOR PPTO]])/DETALLE_GD_1[[#This Row],[VALOR PPTO]])</f>
        <v>1.5185638165629551E-2</v>
      </c>
      <c r="AA119" s="2">
        <f>+DETALLE_GD_1[[#This Row],[VALOR PPTO]]*DETALLE_GD_1[[#This Row],[CANTIDAD RECIBIDA]]</f>
        <v>274519.25</v>
      </c>
      <c r="AB1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9" s="3">
        <f>+DETALLE_GD_1[[#This Row],[CANTIDAD SOLICITADA]]-DETALLE_GD_1[[#This Row],[DEVOLUCIÓN]]</f>
        <v>20</v>
      </c>
      <c r="AD119" s="38" t="str">
        <f>+_xlfn.XLOOKUP(DETALLE_GD_1[[#This Row],[CODIGO]],PRODUCTOS[CODIGO],PRODUCTOS[DESC CORTA],"",0)</f>
        <v>PINO 2X8X4</v>
      </c>
      <c r="AE119"/>
      <c r="AH119"/>
    </row>
    <row r="120" spans="1:34" x14ac:dyDescent="0.25">
      <c r="A120" s="1">
        <v>45985</v>
      </c>
      <c r="B120" s="1">
        <v>45985</v>
      </c>
      <c r="C120" s="81" t="s">
        <v>123</v>
      </c>
      <c r="D120" s="38">
        <v>11</v>
      </c>
      <c r="E120" s="81" t="s">
        <v>124</v>
      </c>
      <c r="F120">
        <v>307256</v>
      </c>
      <c r="G120" s="81" t="s">
        <v>127</v>
      </c>
      <c r="H120" s="81" t="s">
        <v>20</v>
      </c>
      <c r="I120" s="3">
        <v>10</v>
      </c>
      <c r="J120" s="3"/>
      <c r="K120" s="26">
        <v>10</v>
      </c>
      <c r="L120" s="2">
        <v>1897</v>
      </c>
      <c r="M120" s="2">
        <v>18970</v>
      </c>
      <c r="N120" s="2">
        <v>18970</v>
      </c>
      <c r="O120" s="2">
        <v>1896.9574</v>
      </c>
      <c r="P120" s="2">
        <v>-4.2599999999999999E-2</v>
      </c>
      <c r="Q120" s="2">
        <v>-0.42549999999999999</v>
      </c>
      <c r="R120" s="4">
        <v>-2.2432237511334152E-5</v>
      </c>
      <c r="T120">
        <v>299237</v>
      </c>
      <c r="U120" s="2"/>
      <c r="V120">
        <v>5332</v>
      </c>
      <c r="W120" s="2">
        <v>6579000000</v>
      </c>
      <c r="X120" s="6">
        <v>18969.57447</v>
      </c>
      <c r="Y120" s="38">
        <v>10010</v>
      </c>
      <c r="Z120" s="86">
        <f>+((DETALLE_GD_1[[#This Row],[VALOR X UN (GD)]]-DETALLE_GD_1[[#This Row],[VALOR PPTO]])/DETALLE_GD_1[[#This Row],[VALOR PPTO]])</f>
        <v>2.245701458556375E-5</v>
      </c>
      <c r="AA120" s="2">
        <f>+DETALLE_GD_1[[#This Row],[VALOR PPTO]]*DETALLE_GD_1[[#This Row],[CANTIDAD RECIBIDA]]</f>
        <v>18969.574000000001</v>
      </c>
      <c r="AB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" s="3">
        <f>+DETALLE_GD_1[[#This Row],[CANTIDAD SOLICITADA]]-DETALLE_GD_1[[#This Row],[DEVOLUCIÓN]]</f>
        <v>10</v>
      </c>
      <c r="AD120" s="38" t="str">
        <f>+_xlfn.XLOOKUP(DETALLE_GD_1[[#This Row],[CODIGO]],PRODUCTOS[CODIGO],PRODUCTOS[DESC CORTA],"",0)</f>
        <v>PINO 1X4X320</v>
      </c>
      <c r="AE120"/>
      <c r="AH120"/>
    </row>
    <row r="121" spans="1:34" x14ac:dyDescent="0.25">
      <c r="A121" s="1">
        <v>45985</v>
      </c>
      <c r="B121" s="1">
        <v>45985</v>
      </c>
      <c r="C121" s="81" t="s">
        <v>123</v>
      </c>
      <c r="D121" s="38">
        <v>11</v>
      </c>
      <c r="E121" s="81" t="s">
        <v>124</v>
      </c>
      <c r="F121" t="s">
        <v>21</v>
      </c>
      <c r="G121" s="81" t="s">
        <v>22</v>
      </c>
      <c r="H121" s="81" t="s">
        <v>20</v>
      </c>
      <c r="I121" s="3">
        <v>14</v>
      </c>
      <c r="J121" s="3"/>
      <c r="K121" s="26">
        <v>14</v>
      </c>
      <c r="L121" s="2">
        <v>16013.071400000001</v>
      </c>
      <c r="M121" s="2">
        <v>224183</v>
      </c>
      <c r="N121" s="2">
        <v>224183</v>
      </c>
      <c r="O121" s="2">
        <v>15359.702799999999</v>
      </c>
      <c r="P121" s="2">
        <v>-653.36860000000001</v>
      </c>
      <c r="Q121" s="2">
        <v>-9147.1610000000001</v>
      </c>
      <c r="R121" s="4">
        <v>-4.2537844170363361E-2</v>
      </c>
      <c r="T121">
        <v>299237</v>
      </c>
      <c r="U121" s="2"/>
      <c r="V121">
        <v>5332</v>
      </c>
      <c r="W121" s="2">
        <v>6579000000</v>
      </c>
      <c r="X121" s="6">
        <v>215035.83899000005</v>
      </c>
      <c r="Y121" s="38">
        <v>10010</v>
      </c>
      <c r="Z121" s="86">
        <f>+((DETALLE_GD_1[[#This Row],[VALOR X UN (GD)]]-DETALLE_GD_1[[#This Row],[VALOR PPTO]])/DETALLE_GD_1[[#This Row],[VALOR PPTO]])</f>
        <v>4.2537841292085522E-2</v>
      </c>
      <c r="AA121" s="2">
        <f>+DETALLE_GD_1[[#This Row],[VALOR PPTO]]*DETALLE_GD_1[[#This Row],[CANTIDAD RECIBIDA]]</f>
        <v>215035.83919999999</v>
      </c>
      <c r="AB1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1" s="3">
        <f>+DETALLE_GD_1[[#This Row],[CANTIDAD SOLICITADA]]-DETALLE_GD_1[[#This Row],[DEVOLUCIÓN]]</f>
        <v>14</v>
      </c>
      <c r="AD121" s="38" t="str">
        <f>+_xlfn.XLOOKUP(DETALLE_GD_1[[#This Row],[CODIGO]],PRODUCTOS[CODIGO],PRODUCTOS[DESC CORTA],"",0)</f>
        <v>PINO 3X8X320</v>
      </c>
      <c r="AE121"/>
      <c r="AH121"/>
    </row>
    <row r="122" spans="1:34" x14ac:dyDescent="0.25">
      <c r="A122" s="1">
        <v>45985</v>
      </c>
      <c r="B122" s="1">
        <v>45985</v>
      </c>
      <c r="C122" s="81" t="s">
        <v>15</v>
      </c>
      <c r="D122" s="38">
        <v>11</v>
      </c>
      <c r="E122" s="81" t="s">
        <v>16</v>
      </c>
      <c r="F122">
        <v>408013</v>
      </c>
      <c r="G122" s="81" t="s">
        <v>128</v>
      </c>
      <c r="H122" s="81" t="s">
        <v>36</v>
      </c>
      <c r="I122" s="3">
        <v>1</v>
      </c>
      <c r="J122" s="3"/>
      <c r="K122" s="26">
        <v>1</v>
      </c>
      <c r="L122" s="2">
        <v>2698</v>
      </c>
      <c r="M122" s="2">
        <v>2698</v>
      </c>
      <c r="N122" s="2">
        <v>2698</v>
      </c>
      <c r="O122" s="2">
        <v>2520.4767999999999</v>
      </c>
      <c r="P122" s="2">
        <v>-177.5232</v>
      </c>
      <c r="Q122" s="2">
        <v>-177.5232</v>
      </c>
      <c r="R122" s="4">
        <v>-7.0432396524597235E-2</v>
      </c>
      <c r="T122">
        <v>299130</v>
      </c>
      <c r="U122" s="2">
        <v>153166</v>
      </c>
      <c r="V122">
        <v>5332</v>
      </c>
      <c r="W122" s="2">
        <v>6579000000</v>
      </c>
      <c r="X122" s="6">
        <v>2520.47678</v>
      </c>
      <c r="Y122" s="38">
        <v>10010</v>
      </c>
      <c r="Z122" s="86">
        <f>+((DETALLE_GD_1[[#This Row],[VALOR X UN (GD)]]-DETALLE_GD_1[[#This Row],[VALOR PPTO]])/DETALLE_GD_1[[#This Row],[VALOR PPTO]])</f>
        <v>7.0432388030709142E-2</v>
      </c>
      <c r="AA122" s="2">
        <f>+DETALLE_GD_1[[#This Row],[VALOR PPTO]]*DETALLE_GD_1[[#This Row],[CANTIDAD RECIBIDA]]</f>
        <v>2520.4767999999999</v>
      </c>
      <c r="AB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" s="3">
        <f>+DETALLE_GD_1[[#This Row],[CANTIDAD SOLICITADA]]-DETALLE_GD_1[[#This Row],[DEVOLUCIÓN]]</f>
        <v>1</v>
      </c>
      <c r="AD122" s="38" t="str">
        <f>+_xlfn.XLOOKUP(DETALLE_GD_1[[#This Row],[CODIGO]],PRODUCTOS[CODIGO],PRODUCTOS[DESC CORTA],"",0)</f>
        <v>PUNTA PUNTILLERA</v>
      </c>
      <c r="AE122"/>
      <c r="AH122"/>
    </row>
    <row r="123" spans="1:34" x14ac:dyDescent="0.25">
      <c r="A123" s="1">
        <v>45985</v>
      </c>
      <c r="B123" s="1">
        <v>45985</v>
      </c>
      <c r="C123" s="81" t="s">
        <v>15</v>
      </c>
      <c r="D123" s="38">
        <v>11</v>
      </c>
      <c r="E123" s="81" t="s">
        <v>16</v>
      </c>
      <c r="F123">
        <v>601047</v>
      </c>
      <c r="G123" s="81" t="s">
        <v>129</v>
      </c>
      <c r="H123" s="81" t="s">
        <v>25</v>
      </c>
      <c r="I123" s="3">
        <v>1</v>
      </c>
      <c r="J123" s="3"/>
      <c r="K123" s="26">
        <v>1</v>
      </c>
      <c r="L123" s="2">
        <v>49239</v>
      </c>
      <c r="M123" s="2">
        <v>49239</v>
      </c>
      <c r="N123" s="2">
        <v>49239</v>
      </c>
      <c r="O123" s="2">
        <v>50286.86</v>
      </c>
      <c r="P123" s="2">
        <v>1047.8599999999999</v>
      </c>
      <c r="Q123" s="2">
        <v>1047.8599999999999</v>
      </c>
      <c r="R123" s="4">
        <v>2.0837650233082768E-2</v>
      </c>
      <c r="T123">
        <v>299130</v>
      </c>
      <c r="U123" s="2"/>
      <c r="V123">
        <v>5332</v>
      </c>
      <c r="W123" s="2">
        <v>6579000000</v>
      </c>
      <c r="X123" s="6">
        <v>50286.86</v>
      </c>
      <c r="Y123" s="38">
        <v>10010</v>
      </c>
      <c r="Z123" s="86">
        <f>+((DETALLE_GD_1[[#This Row],[VALOR X UN (GD)]]-DETALLE_GD_1[[#This Row],[VALOR PPTO]])/DETALLE_GD_1[[#This Row],[VALOR PPTO]])</f>
        <v>-2.0837650233082768E-2</v>
      </c>
      <c r="AA123" s="2">
        <f>+DETALLE_GD_1[[#This Row],[VALOR PPTO]]*DETALLE_GD_1[[#This Row],[CANTIDAD RECIBIDA]]</f>
        <v>50286.86</v>
      </c>
      <c r="AB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" s="3">
        <f>+DETALLE_GD_1[[#This Row],[CANTIDAD SOLICITADA]]-DETALLE_GD_1[[#This Row],[DEVOLUCIÓN]]</f>
        <v>1</v>
      </c>
      <c r="AD123" s="38" t="str">
        <f>+_xlfn.XLOOKUP(DETALLE_GD_1[[#This Row],[CODIGO]],PRODUCTOS[CODIGO],PRODUCTOS[DESC CORTA],"",0)</f>
        <v>ESMALTE AL AGUA</v>
      </c>
      <c r="AE123"/>
      <c r="AH123"/>
    </row>
    <row r="124" spans="1:34" x14ac:dyDescent="0.25">
      <c r="A124" s="1">
        <v>45985</v>
      </c>
      <c r="B124" s="1">
        <v>45985</v>
      </c>
      <c r="C124" s="81" t="s">
        <v>15</v>
      </c>
      <c r="D124" s="38">
        <v>11</v>
      </c>
      <c r="E124" s="81" t="s">
        <v>16</v>
      </c>
      <c r="F124">
        <v>704091</v>
      </c>
      <c r="G124" s="81" t="s">
        <v>130</v>
      </c>
      <c r="H124" s="81" t="s">
        <v>31</v>
      </c>
      <c r="I124" s="3">
        <v>100</v>
      </c>
      <c r="J124" s="3"/>
      <c r="K124" s="26">
        <v>100</v>
      </c>
      <c r="L124" s="2">
        <v>175.16</v>
      </c>
      <c r="M124" s="2">
        <v>17516</v>
      </c>
      <c r="N124" s="2">
        <v>17516</v>
      </c>
      <c r="O124" s="2">
        <v>175.1551</v>
      </c>
      <c r="P124" s="2">
        <v>-4.8999999999999998E-3</v>
      </c>
      <c r="Q124" s="2">
        <v>-0.4914</v>
      </c>
      <c r="R124" s="4">
        <v>-2.805513737685703E-5</v>
      </c>
      <c r="T124">
        <v>299130</v>
      </c>
      <c r="U124" s="2"/>
      <c r="V124">
        <v>5332</v>
      </c>
      <c r="W124" s="2">
        <v>6579000000</v>
      </c>
      <c r="X124" s="6">
        <v>17515.508600000001</v>
      </c>
      <c r="Y124" s="38">
        <v>10010</v>
      </c>
      <c r="Z124" s="86">
        <f>+((DETALLE_GD_1[[#This Row],[VALOR X UN (GD)]]-DETALLE_GD_1[[#This Row],[VALOR PPTO]])/DETALLE_GD_1[[#This Row],[VALOR PPTO]])</f>
        <v>2.7975205974545605E-5</v>
      </c>
      <c r="AA124" s="2">
        <f>+DETALLE_GD_1[[#This Row],[VALOR PPTO]]*DETALLE_GD_1[[#This Row],[CANTIDAD RECIBIDA]]</f>
        <v>17515.510000000002</v>
      </c>
      <c r="AB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" s="3">
        <f>+DETALLE_GD_1[[#This Row],[CANTIDAD SOLICITADA]]-DETALLE_GD_1[[#This Row],[DEVOLUCIÓN]]</f>
        <v>100</v>
      </c>
      <c r="AD124" s="38" t="str">
        <f>+_xlfn.XLOOKUP(DETALLE_GD_1[[#This Row],[CODIGO]],PRODUCTOS[CODIGO],PRODUCTOS[DESC CORTA],"",0)</f>
        <v>ESQUINERO INTERIOR</v>
      </c>
      <c r="AE124"/>
      <c r="AH124"/>
    </row>
    <row r="125" spans="1:34" x14ac:dyDescent="0.25">
      <c r="A125" s="1">
        <v>45985</v>
      </c>
      <c r="B125" s="1">
        <v>45985</v>
      </c>
      <c r="C125" s="81" t="s">
        <v>15</v>
      </c>
      <c r="D125" s="38">
        <v>11</v>
      </c>
      <c r="E125" s="81" t="s">
        <v>16</v>
      </c>
      <c r="F125">
        <v>704107</v>
      </c>
      <c r="G125" s="81" t="s">
        <v>131</v>
      </c>
      <c r="H125" s="81" t="s">
        <v>31</v>
      </c>
      <c r="I125" s="3">
        <v>100</v>
      </c>
      <c r="J125" s="3"/>
      <c r="K125" s="26">
        <v>100</v>
      </c>
      <c r="L125" s="2">
        <v>236.85</v>
      </c>
      <c r="M125" s="2">
        <v>23685</v>
      </c>
      <c r="N125" s="2">
        <v>23685</v>
      </c>
      <c r="O125" s="2">
        <v>236.85499999999999</v>
      </c>
      <c r="P125" s="2">
        <v>5.0000000000000001E-3</v>
      </c>
      <c r="Q125" s="2">
        <v>0.50180000000000002</v>
      </c>
      <c r="R125" s="4">
        <v>2.1185956043400569E-5</v>
      </c>
      <c r="T125">
        <v>299130</v>
      </c>
      <c r="U125" s="2"/>
      <c r="V125">
        <v>5332</v>
      </c>
      <c r="W125" s="2">
        <v>6579000000</v>
      </c>
      <c r="X125" s="6">
        <v>23685.501799999998</v>
      </c>
      <c r="Y125" s="38">
        <v>10010</v>
      </c>
      <c r="Z125" s="86">
        <f>+((DETALLE_GD_1[[#This Row],[VALOR X UN (GD)]]-DETALLE_GD_1[[#This Row],[VALOR PPTO]])/DETALLE_GD_1[[#This Row],[VALOR PPTO]])</f>
        <v>-2.110996179094996E-5</v>
      </c>
      <c r="AA125" s="2">
        <f>+DETALLE_GD_1[[#This Row],[VALOR PPTO]]*DETALLE_GD_1[[#This Row],[CANTIDAD RECIBIDA]]</f>
        <v>23685.5</v>
      </c>
      <c r="AB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" s="3">
        <f>+DETALLE_GD_1[[#This Row],[CANTIDAD SOLICITADA]]-DETALLE_GD_1[[#This Row],[DEVOLUCIÓN]]</f>
        <v>100</v>
      </c>
      <c r="AD125" s="38" t="str">
        <f>+_xlfn.XLOOKUP(DETALLE_GD_1[[#This Row],[CODIGO]],PRODUCTOS[CODIGO],PRODUCTOS[DESC CORTA],"",0)</f>
        <v>ESQUINERO EXTERIOR</v>
      </c>
      <c r="AE125"/>
      <c r="AH125"/>
    </row>
    <row r="126" spans="1:34" x14ac:dyDescent="0.25">
      <c r="A126" s="1">
        <v>45985</v>
      </c>
      <c r="B126" s="1">
        <v>45985</v>
      </c>
      <c r="C126" s="81" t="s">
        <v>15</v>
      </c>
      <c r="D126" s="38">
        <v>11</v>
      </c>
      <c r="E126" s="81" t="s">
        <v>16</v>
      </c>
      <c r="F126">
        <v>2304003</v>
      </c>
      <c r="G126" s="81" t="s">
        <v>132</v>
      </c>
      <c r="H126" s="81" t="s">
        <v>31</v>
      </c>
      <c r="I126" s="3">
        <v>3</v>
      </c>
      <c r="J126" s="3"/>
      <c r="K126" s="26">
        <v>3</v>
      </c>
      <c r="L126" s="2">
        <v>1313</v>
      </c>
      <c r="M126" s="2">
        <v>3939</v>
      </c>
      <c r="N126" s="2">
        <v>3939</v>
      </c>
      <c r="O126" s="2">
        <v>1297.1352999999999</v>
      </c>
      <c r="P126" s="2">
        <v>-15.864699999999999</v>
      </c>
      <c r="Q126" s="2">
        <v>-47.594200000000001</v>
      </c>
      <c r="R126" s="4">
        <v>-1.2230596503512514E-2</v>
      </c>
      <c r="T126">
        <v>299130</v>
      </c>
      <c r="U126" s="2"/>
      <c r="V126">
        <v>5332</v>
      </c>
      <c r="W126" s="2">
        <v>6579000000</v>
      </c>
      <c r="X126" s="6">
        <v>3891.4057859999998</v>
      </c>
      <c r="Y126" s="38">
        <v>10010</v>
      </c>
      <c r="Z126" s="86">
        <f>+((DETALLE_GD_1[[#This Row],[VALOR X UN (GD)]]-DETALLE_GD_1[[#This Row],[VALOR PPTO]])/DETALLE_GD_1[[#This Row],[VALOR PPTO]])</f>
        <v>1.2230566849888432E-2</v>
      </c>
      <c r="AA126" s="2">
        <f>+DETALLE_GD_1[[#This Row],[VALOR PPTO]]*DETALLE_GD_1[[#This Row],[CANTIDAD RECIBIDA]]</f>
        <v>3891.4058999999997</v>
      </c>
      <c r="AB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" s="3">
        <f>+DETALLE_GD_1[[#This Row],[CANTIDAD SOLICITADA]]-DETALLE_GD_1[[#This Row],[DEVOLUCIÓN]]</f>
        <v>3</v>
      </c>
      <c r="AD126" s="38" t="str">
        <f>+_xlfn.XLOOKUP(DETALLE_GD_1[[#This Row],[CODIGO]],PRODUCTOS[CODIGO],PRODUCTOS[DESC CORTA],"",0)</f>
        <v>SELLO FUNGICIDA</v>
      </c>
      <c r="AE126"/>
      <c r="AH126"/>
    </row>
    <row r="127" spans="1:34" x14ac:dyDescent="0.25">
      <c r="A127" s="1">
        <v>45985</v>
      </c>
      <c r="B127" s="1">
        <v>45985</v>
      </c>
      <c r="C127" s="81" t="s">
        <v>15</v>
      </c>
      <c r="D127" s="38">
        <v>11</v>
      </c>
      <c r="E127" s="81" t="s">
        <v>16</v>
      </c>
      <c r="F127">
        <v>617016</v>
      </c>
      <c r="G127" s="81" t="s">
        <v>133</v>
      </c>
      <c r="H127" s="81" t="s">
        <v>31</v>
      </c>
      <c r="I127" s="3">
        <v>2</v>
      </c>
      <c r="J127" s="3"/>
      <c r="K127" s="26">
        <v>2</v>
      </c>
      <c r="L127" s="2">
        <v>2857.5</v>
      </c>
      <c r="M127" s="2">
        <v>5715</v>
      </c>
      <c r="N127" s="2">
        <v>5715</v>
      </c>
      <c r="O127" s="2">
        <v>2857.5133000000001</v>
      </c>
      <c r="P127" s="2">
        <v>1.3299999999999999E-2</v>
      </c>
      <c r="Q127" s="2">
        <v>2.6499999999999999E-2</v>
      </c>
      <c r="R127" s="4">
        <v>4.6452977561602401E-6</v>
      </c>
      <c r="T127">
        <v>299130</v>
      </c>
      <c r="U127" s="2"/>
      <c r="V127">
        <v>5332</v>
      </c>
      <c r="W127" s="2">
        <v>6579000000</v>
      </c>
      <c r="X127" s="6">
        <v>5715.0265479999998</v>
      </c>
      <c r="Y127" s="38">
        <v>10010</v>
      </c>
      <c r="Z127" s="86">
        <f>+((DETALLE_GD_1[[#This Row],[VALOR X UN (GD)]]-DETALLE_GD_1[[#This Row],[VALOR PPTO]])/DETALLE_GD_1[[#This Row],[VALOR PPTO]])</f>
        <v>-4.6543965342425642E-6</v>
      </c>
      <c r="AA127" s="2">
        <f>+DETALLE_GD_1[[#This Row],[VALOR PPTO]]*DETALLE_GD_1[[#This Row],[CANTIDAD RECIBIDA]]</f>
        <v>5715.0266000000001</v>
      </c>
      <c r="AB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" s="3">
        <f>+DETALLE_GD_1[[#This Row],[CANTIDAD SOLICITADA]]-DETALLE_GD_1[[#This Row],[DEVOLUCIÓN]]</f>
        <v>2</v>
      </c>
      <c r="AD127" s="38" t="str">
        <f>+_xlfn.XLOOKUP(DETALLE_GD_1[[#This Row],[CODIGO]],PRODUCTOS[CODIGO],PRODUCTOS[DESC CORTA],"",0)</f>
        <v>RODILLO CHIPORRO</v>
      </c>
      <c r="AE127"/>
      <c r="AH127"/>
    </row>
    <row r="128" spans="1:34" x14ac:dyDescent="0.25">
      <c r="A128" s="1">
        <v>45985</v>
      </c>
      <c r="B128" s="1">
        <v>45985</v>
      </c>
      <c r="C128" s="81" t="s">
        <v>15</v>
      </c>
      <c r="D128" s="38">
        <v>11</v>
      </c>
      <c r="E128" s="81" t="s">
        <v>16</v>
      </c>
      <c r="F128">
        <v>617057</v>
      </c>
      <c r="G128" s="81" t="s">
        <v>134</v>
      </c>
      <c r="H128" s="81" t="s">
        <v>31</v>
      </c>
      <c r="I128" s="3">
        <v>2</v>
      </c>
      <c r="J128" s="3"/>
      <c r="K128" s="26">
        <v>2</v>
      </c>
      <c r="L128" s="2">
        <v>2087</v>
      </c>
      <c r="M128" s="2">
        <v>4174</v>
      </c>
      <c r="N128" s="2">
        <v>4174</v>
      </c>
      <c r="O128" s="2">
        <v>2042.1197</v>
      </c>
      <c r="P128" s="2">
        <v>-44.880299999999998</v>
      </c>
      <c r="Q128" s="2">
        <v>-89.760599999999997</v>
      </c>
      <c r="R128" s="4">
        <v>-2.1977308121622935E-2</v>
      </c>
      <c r="T128">
        <v>299130</v>
      </c>
      <c r="U128" s="2"/>
      <c r="V128">
        <v>5332</v>
      </c>
      <c r="W128" s="2">
        <v>6579000000</v>
      </c>
      <c r="X128" s="6">
        <v>4084.2394119999999</v>
      </c>
      <c r="Y128" s="38">
        <v>10010</v>
      </c>
      <c r="Z128" s="86">
        <f>+((DETALLE_GD_1[[#This Row],[VALOR X UN (GD)]]-DETALLE_GD_1[[#This Row],[VALOR PPTO]])/DETALLE_GD_1[[#This Row],[VALOR PPTO]])</f>
        <v>2.1977311124318537E-2</v>
      </c>
      <c r="AA128" s="2">
        <f>+DETALLE_GD_1[[#This Row],[VALOR PPTO]]*DETALLE_GD_1[[#This Row],[CANTIDAD RECIBIDA]]</f>
        <v>4084.2393999999999</v>
      </c>
      <c r="AB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" s="3">
        <f>+DETALLE_GD_1[[#This Row],[CANTIDAD SOLICITADA]]-DETALLE_GD_1[[#This Row],[DEVOLUCIÓN]]</f>
        <v>2</v>
      </c>
      <c r="AD128" s="38" t="str">
        <f>+_xlfn.XLOOKUP(DETALLE_GD_1[[#This Row],[CODIGO]],PRODUCTOS[CODIGO],PRODUCTOS[DESC CORTA],"",0)</f>
        <v>BROCHA 5/8 X4</v>
      </c>
      <c r="AE128"/>
      <c r="AH128"/>
    </row>
    <row r="129" spans="1:34" x14ac:dyDescent="0.25">
      <c r="A129" s="1">
        <v>45985</v>
      </c>
      <c r="B129" s="1">
        <v>45985</v>
      </c>
      <c r="C129" s="81" t="s">
        <v>15</v>
      </c>
      <c r="D129" s="38">
        <v>11</v>
      </c>
      <c r="E129" s="81" t="s">
        <v>16</v>
      </c>
      <c r="F129">
        <v>2302119</v>
      </c>
      <c r="G129" s="81" t="s">
        <v>74</v>
      </c>
      <c r="H129" s="81" t="s">
        <v>31</v>
      </c>
      <c r="I129" s="3">
        <v>12</v>
      </c>
      <c r="J129" s="3"/>
      <c r="K129" s="26">
        <v>12</v>
      </c>
      <c r="L129" s="2">
        <v>3850</v>
      </c>
      <c r="M129" s="2">
        <v>46200</v>
      </c>
      <c r="N129" s="2">
        <v>46200</v>
      </c>
      <c r="O129" s="2">
        <v>3671</v>
      </c>
      <c r="P129" s="2">
        <v>-179</v>
      </c>
      <c r="Q129" s="2">
        <v>-2148</v>
      </c>
      <c r="R129" s="4">
        <v>-4.8760555706891855E-2</v>
      </c>
      <c r="T129">
        <v>299130</v>
      </c>
      <c r="U129" s="2"/>
      <c r="V129">
        <v>5332</v>
      </c>
      <c r="W129" s="2">
        <v>6579000000</v>
      </c>
      <c r="X129" s="6">
        <v>44052</v>
      </c>
      <c r="Y129" s="38">
        <v>10010</v>
      </c>
      <c r="Z129" s="86">
        <f>+((DETALLE_GD_1[[#This Row],[VALOR X UN (GD)]]-DETALLE_GD_1[[#This Row],[VALOR PPTO]])/DETALLE_GD_1[[#This Row],[VALOR PPTO]])</f>
        <v>4.8760555706891855E-2</v>
      </c>
      <c r="AA129" s="2">
        <f>+DETALLE_GD_1[[#This Row],[VALOR PPTO]]*DETALLE_GD_1[[#This Row],[CANTIDAD RECIBIDA]]</f>
        <v>44052</v>
      </c>
      <c r="AB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" s="3">
        <f>+DETALLE_GD_1[[#This Row],[CANTIDAD SOLICITADA]]-DETALLE_GD_1[[#This Row],[DEVOLUCIÓN]]</f>
        <v>12</v>
      </c>
      <c r="AD129" s="38" t="str">
        <f>+_xlfn.XLOOKUP(DETALLE_GD_1[[#This Row],[CODIGO]],PRODUCTOS[CODIGO],PRODUCTOS[DESC CORTA],"",0)</f>
        <v>SELLO</v>
      </c>
      <c r="AE129"/>
      <c r="AH129"/>
    </row>
    <row r="130" spans="1:34" x14ac:dyDescent="0.25">
      <c r="A130" s="1">
        <v>45981</v>
      </c>
      <c r="B130" s="1">
        <v>45981</v>
      </c>
      <c r="C130" s="81" t="s">
        <v>15</v>
      </c>
      <c r="D130" s="38">
        <v>11</v>
      </c>
      <c r="E130" s="81" t="s">
        <v>16</v>
      </c>
      <c r="F130">
        <v>609008</v>
      </c>
      <c r="G130" s="81" t="s">
        <v>57</v>
      </c>
      <c r="H130" s="81" t="s">
        <v>58</v>
      </c>
      <c r="I130" s="3">
        <v>3</v>
      </c>
      <c r="J130" s="3"/>
      <c r="K130" s="26">
        <v>3</v>
      </c>
      <c r="L130" s="2">
        <v>2297.3332999999998</v>
      </c>
      <c r="M130" s="2">
        <v>6892</v>
      </c>
      <c r="N130" s="2">
        <v>6892</v>
      </c>
      <c r="O130" s="2">
        <v>2130.7573000000002</v>
      </c>
      <c r="P130" s="2">
        <v>-166.57599999999999</v>
      </c>
      <c r="Q130" s="2">
        <v>-499.72809999999998</v>
      </c>
      <c r="R130" s="4">
        <v>-7.8176910411882405E-2</v>
      </c>
      <c r="T130">
        <v>299040</v>
      </c>
      <c r="U130" s="2">
        <v>22568</v>
      </c>
      <c r="V130">
        <v>5332</v>
      </c>
      <c r="W130" s="2">
        <v>6579000000</v>
      </c>
      <c r="X130" s="6">
        <v>6392.2719299999999</v>
      </c>
      <c r="Y130" s="38">
        <v>10010</v>
      </c>
      <c r="Z130" s="86">
        <f>+((DETALLE_GD_1[[#This Row],[VALOR X UN (GD)]]-DETALLE_GD_1[[#This Row],[VALOR PPTO]])/DETALLE_GD_1[[#This Row],[VALOR PPTO]])</f>
        <v>7.8176899828056229E-2</v>
      </c>
      <c r="AA130" s="2">
        <f>+DETALLE_GD_1[[#This Row],[VALOR PPTO]]*DETALLE_GD_1[[#This Row],[CANTIDAD RECIBIDA]]</f>
        <v>6392.2719000000006</v>
      </c>
      <c r="AB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" s="3">
        <f>+DETALLE_GD_1[[#This Row],[CANTIDAD SOLICITADA]]-DETALLE_GD_1[[#This Row],[DEVOLUCIÓN]]</f>
        <v>3</v>
      </c>
      <c r="AD130" s="38" t="str">
        <f>+_xlfn.XLOOKUP(DETALLE_GD_1[[#This Row],[CODIGO]],PRODUCTOS[CODIGO],PRODUCTOS[DESC CORTA],"",0)</f>
        <v>DUCO</v>
      </c>
      <c r="AE130"/>
      <c r="AH130"/>
    </row>
    <row r="131" spans="1:34" x14ac:dyDescent="0.25">
      <c r="A131" s="1">
        <v>45981</v>
      </c>
      <c r="B131" s="1">
        <v>45981</v>
      </c>
      <c r="C131" s="81" t="s">
        <v>15</v>
      </c>
      <c r="D131" s="38">
        <v>11</v>
      </c>
      <c r="E131" s="81" t="s">
        <v>16</v>
      </c>
      <c r="F131">
        <v>617016</v>
      </c>
      <c r="G131" s="81" t="s">
        <v>133</v>
      </c>
      <c r="H131" s="81" t="s">
        <v>31</v>
      </c>
      <c r="I131" s="3">
        <v>3</v>
      </c>
      <c r="J131" s="3"/>
      <c r="K131" s="26">
        <v>3</v>
      </c>
      <c r="L131" s="2">
        <v>2857.6667000000002</v>
      </c>
      <c r="M131" s="2">
        <v>8573</v>
      </c>
      <c r="N131" s="2">
        <v>8573</v>
      </c>
      <c r="O131" s="2">
        <v>2857.5133000000001</v>
      </c>
      <c r="P131" s="2">
        <v>-0.15340000000000001</v>
      </c>
      <c r="Q131" s="2">
        <v>-0.4602</v>
      </c>
      <c r="R131" s="4">
        <v>-5.3680473879963083E-5</v>
      </c>
      <c r="T131">
        <v>299040</v>
      </c>
      <c r="U131" s="2"/>
      <c r="V131">
        <v>5332</v>
      </c>
      <c r="W131" s="2">
        <v>6579000000</v>
      </c>
      <c r="X131" s="6">
        <v>8572.5398219999988</v>
      </c>
      <c r="Y131" s="38">
        <v>10010</v>
      </c>
      <c r="Z131" s="86">
        <f>+((DETALLE_GD_1[[#This Row],[VALOR X UN (GD)]]-DETALLE_GD_1[[#This Row],[VALOR PPTO]])/DETALLE_GD_1[[#This Row],[VALOR PPTO]])</f>
        <v>5.3683039725535823E-5</v>
      </c>
      <c r="AA131" s="2">
        <f>+DETALLE_GD_1[[#This Row],[VALOR PPTO]]*DETALLE_GD_1[[#This Row],[CANTIDAD RECIBIDA]]</f>
        <v>8572.5398999999998</v>
      </c>
      <c r="AB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1" s="3">
        <f>+DETALLE_GD_1[[#This Row],[CANTIDAD SOLICITADA]]-DETALLE_GD_1[[#This Row],[DEVOLUCIÓN]]</f>
        <v>3</v>
      </c>
      <c r="AD131" s="38" t="str">
        <f>+_xlfn.XLOOKUP(DETALLE_GD_1[[#This Row],[CODIGO]],PRODUCTOS[CODIGO],PRODUCTOS[DESC CORTA],"",0)</f>
        <v>RODILLO CHIPORRO</v>
      </c>
      <c r="AE131"/>
      <c r="AH131"/>
    </row>
    <row r="132" spans="1:34" x14ac:dyDescent="0.25">
      <c r="A132" s="1">
        <v>45981</v>
      </c>
      <c r="B132" s="1">
        <v>45981</v>
      </c>
      <c r="C132" s="81" t="s">
        <v>15</v>
      </c>
      <c r="D132" s="38">
        <v>11</v>
      </c>
      <c r="E132" s="81" t="s">
        <v>16</v>
      </c>
      <c r="F132">
        <v>617056</v>
      </c>
      <c r="G132" s="81" t="s">
        <v>135</v>
      </c>
      <c r="H132" s="81" t="s">
        <v>31</v>
      </c>
      <c r="I132" s="3">
        <v>2</v>
      </c>
      <c r="J132" s="3"/>
      <c r="K132" s="26">
        <v>2</v>
      </c>
      <c r="L132" s="2">
        <v>1464.5</v>
      </c>
      <c r="M132" s="2">
        <v>2929</v>
      </c>
      <c r="N132" s="2">
        <v>2929</v>
      </c>
      <c r="O132" s="2">
        <v>1320.5</v>
      </c>
      <c r="P132" s="2">
        <v>-144</v>
      </c>
      <c r="Q132" s="2">
        <v>-288</v>
      </c>
      <c r="R132" s="4">
        <v>-0.1090496024233245</v>
      </c>
      <c r="T132">
        <v>299040</v>
      </c>
      <c r="U132" s="2"/>
      <c r="V132">
        <v>5332</v>
      </c>
      <c r="W132" s="2">
        <v>6579000000</v>
      </c>
      <c r="X132" s="6">
        <v>2641</v>
      </c>
      <c r="Y132" s="38">
        <v>10010</v>
      </c>
      <c r="Z132" s="86">
        <f>+((DETALLE_GD_1[[#This Row],[VALOR X UN (GD)]]-DETALLE_GD_1[[#This Row],[VALOR PPTO]])/DETALLE_GD_1[[#This Row],[VALOR PPTO]])</f>
        <v>0.1090496024233245</v>
      </c>
      <c r="AA132" s="2">
        <f>+DETALLE_GD_1[[#This Row],[VALOR PPTO]]*DETALLE_GD_1[[#This Row],[CANTIDAD RECIBIDA]]</f>
        <v>2641</v>
      </c>
      <c r="AB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" s="3">
        <f>+DETALLE_GD_1[[#This Row],[CANTIDAD SOLICITADA]]-DETALLE_GD_1[[#This Row],[DEVOLUCIÓN]]</f>
        <v>2</v>
      </c>
      <c r="AD132" s="38" t="str">
        <f>+_xlfn.XLOOKUP(DETALLE_GD_1[[#This Row],[CODIGO]],PRODUCTOS[CODIGO],PRODUCTOS[DESC CORTA],"",0)</f>
        <v>BROCHA 5/8 X3</v>
      </c>
      <c r="AE132"/>
      <c r="AH132"/>
    </row>
    <row r="133" spans="1:34" x14ac:dyDescent="0.25">
      <c r="A133" s="1">
        <v>45981</v>
      </c>
      <c r="B133" s="1">
        <v>45981</v>
      </c>
      <c r="C133" s="81" t="s">
        <v>15</v>
      </c>
      <c r="D133" s="38">
        <v>11</v>
      </c>
      <c r="E133" s="81" t="s">
        <v>16</v>
      </c>
      <c r="F133">
        <v>617057</v>
      </c>
      <c r="G133" s="81" t="s">
        <v>134</v>
      </c>
      <c r="H133" s="81" t="s">
        <v>31</v>
      </c>
      <c r="I133" s="3">
        <v>2</v>
      </c>
      <c r="J133" s="3"/>
      <c r="K133" s="26">
        <v>2</v>
      </c>
      <c r="L133" s="2">
        <v>2087</v>
      </c>
      <c r="M133" s="2">
        <v>4174</v>
      </c>
      <c r="N133" s="2">
        <v>4174</v>
      </c>
      <c r="O133" s="2">
        <v>2042.1197</v>
      </c>
      <c r="P133" s="2">
        <v>-44.880299999999998</v>
      </c>
      <c r="Q133" s="2">
        <v>-89.760599999999997</v>
      </c>
      <c r="R133" s="4">
        <v>-2.1977308121622935E-2</v>
      </c>
      <c r="T133">
        <v>299040</v>
      </c>
      <c r="U133" s="2"/>
      <c r="V133">
        <v>5332</v>
      </c>
      <c r="W133" s="2">
        <v>6579000000</v>
      </c>
      <c r="X133" s="6">
        <v>4084.2394119999999</v>
      </c>
      <c r="Y133" s="38">
        <v>10010</v>
      </c>
      <c r="Z133" s="86">
        <f>+((DETALLE_GD_1[[#This Row],[VALOR X UN (GD)]]-DETALLE_GD_1[[#This Row],[VALOR PPTO]])/DETALLE_GD_1[[#This Row],[VALOR PPTO]])</f>
        <v>2.1977311124318537E-2</v>
      </c>
      <c r="AA133" s="2">
        <f>+DETALLE_GD_1[[#This Row],[VALOR PPTO]]*DETALLE_GD_1[[#This Row],[CANTIDAD RECIBIDA]]</f>
        <v>4084.2393999999999</v>
      </c>
      <c r="AB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" s="3">
        <f>+DETALLE_GD_1[[#This Row],[CANTIDAD SOLICITADA]]-DETALLE_GD_1[[#This Row],[DEVOLUCIÓN]]</f>
        <v>2</v>
      </c>
      <c r="AD133" s="38" t="str">
        <f>+_xlfn.XLOOKUP(DETALLE_GD_1[[#This Row],[CODIGO]],PRODUCTOS[CODIGO],PRODUCTOS[DESC CORTA],"",0)</f>
        <v>BROCHA 5/8 X4</v>
      </c>
      <c r="AE133"/>
      <c r="AH133"/>
    </row>
    <row r="134" spans="1:34" x14ac:dyDescent="0.25">
      <c r="A134" s="1">
        <v>45981</v>
      </c>
      <c r="B134" s="1">
        <v>45981</v>
      </c>
      <c r="C134" s="81" t="s">
        <v>15</v>
      </c>
      <c r="D134" s="38">
        <v>11</v>
      </c>
      <c r="E134" s="81" t="s">
        <v>16</v>
      </c>
      <c r="F134">
        <v>701084</v>
      </c>
      <c r="G134" s="81" t="s">
        <v>38</v>
      </c>
      <c r="H134" s="81" t="s">
        <v>18</v>
      </c>
      <c r="I134" s="3">
        <v>1</v>
      </c>
      <c r="J134" s="3"/>
      <c r="K134" s="26">
        <v>1</v>
      </c>
      <c r="L134" s="2">
        <v>38182</v>
      </c>
      <c r="M134" s="2">
        <v>38182</v>
      </c>
      <c r="N134" s="2">
        <v>38182</v>
      </c>
      <c r="O134" s="2">
        <v>38182.916700000002</v>
      </c>
      <c r="P134" s="2">
        <v>0.91669999999999996</v>
      </c>
      <c r="Q134" s="2">
        <v>0.91669999999999996</v>
      </c>
      <c r="R134" s="4">
        <v>2.4007254552922275E-5</v>
      </c>
      <c r="T134">
        <v>299045</v>
      </c>
      <c r="U134" s="2">
        <v>38182</v>
      </c>
      <c r="V134">
        <v>5332</v>
      </c>
      <c r="W134" s="2">
        <v>6579000000</v>
      </c>
      <c r="X134" s="6">
        <v>38182.916666999998</v>
      </c>
      <c r="Y134" s="38">
        <v>10010</v>
      </c>
      <c r="Z134" s="86">
        <f>+((DETALLE_GD_1[[#This Row],[VALOR X UN (GD)]]-DETALLE_GD_1[[#This Row],[VALOR PPTO]])/DETALLE_GD_1[[#This Row],[VALOR PPTO]])</f>
        <v>-2.4008118793124654E-5</v>
      </c>
      <c r="AA134" s="2">
        <f>+DETALLE_GD_1[[#This Row],[VALOR PPTO]]*DETALLE_GD_1[[#This Row],[CANTIDAD RECIBIDA]]</f>
        <v>38182.916700000002</v>
      </c>
      <c r="AB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" s="3">
        <f>+DETALLE_GD_1[[#This Row],[CANTIDAD SOLICITADA]]-DETALLE_GD_1[[#This Row],[DEVOLUCIÓN]]</f>
        <v>1</v>
      </c>
      <c r="AD134" s="38" t="str">
        <f>+_xlfn.XLOOKUP(DETALLE_GD_1[[#This Row],[CODIGO]],PRODUCTOS[CODIGO],PRODUCTOS[DESC CORTA],"",0)</f>
        <v>FIBROCEMENTO BALCON</v>
      </c>
      <c r="AE134"/>
      <c r="AH134"/>
    </row>
    <row r="135" spans="1:34" x14ac:dyDescent="0.25">
      <c r="A135" s="1">
        <v>45981</v>
      </c>
      <c r="B135" s="1">
        <v>45981</v>
      </c>
      <c r="C135" s="81" t="s">
        <v>15</v>
      </c>
      <c r="D135" s="38">
        <v>11</v>
      </c>
      <c r="E135" s="81" t="s">
        <v>16</v>
      </c>
      <c r="F135">
        <v>701183</v>
      </c>
      <c r="G135" s="81" t="s">
        <v>136</v>
      </c>
      <c r="H135" s="81" t="s">
        <v>137</v>
      </c>
      <c r="I135" s="3">
        <v>6</v>
      </c>
      <c r="J135" s="3"/>
      <c r="K135" s="26">
        <v>6</v>
      </c>
      <c r="L135" s="2">
        <v>993.66669999999999</v>
      </c>
      <c r="M135" s="2">
        <v>5962</v>
      </c>
      <c r="N135" s="2">
        <v>5962</v>
      </c>
      <c r="O135" s="2">
        <v>996.5</v>
      </c>
      <c r="P135" s="2">
        <v>2.8332999999999999</v>
      </c>
      <c r="Q135" s="2">
        <v>17</v>
      </c>
      <c r="R135" s="4">
        <v>2.8432848302392083E-3</v>
      </c>
      <c r="T135">
        <v>298950</v>
      </c>
      <c r="U135" s="2">
        <v>231565</v>
      </c>
      <c r="V135">
        <v>5332</v>
      </c>
      <c r="W135" s="2">
        <v>6579000000</v>
      </c>
      <c r="X135" s="6">
        <v>5979</v>
      </c>
      <c r="Y135" s="38">
        <v>10010</v>
      </c>
      <c r="Z135" s="86">
        <f>+((DETALLE_GD_1[[#This Row],[VALOR X UN (GD)]]-DETALLE_GD_1[[#This Row],[VALOR PPTO]])/DETALLE_GD_1[[#This Row],[VALOR PPTO]])</f>
        <v>-2.8432513798294112E-3</v>
      </c>
      <c r="AA135" s="2">
        <f>+DETALLE_GD_1[[#This Row],[VALOR PPTO]]*DETALLE_GD_1[[#This Row],[CANTIDAD RECIBIDA]]</f>
        <v>5979</v>
      </c>
      <c r="AB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" s="3">
        <f>+DETALLE_GD_1[[#This Row],[CANTIDAD SOLICITADA]]-DETALLE_GD_1[[#This Row],[DEVOLUCIÓN]]</f>
        <v>6</v>
      </c>
      <c r="AD135" s="38" t="str">
        <f>+_xlfn.XLOOKUP(DETALLE_GD_1[[#This Row],[CODIGO]],PRODUCTOS[CODIGO],PRODUCTOS[DESC CORTA],"",0)</f>
        <v>MOLDURA PVC INTERIOR</v>
      </c>
      <c r="AE135"/>
      <c r="AH135"/>
    </row>
    <row r="136" spans="1:34" x14ac:dyDescent="0.25">
      <c r="A136" s="1">
        <v>45981</v>
      </c>
      <c r="B136" s="1">
        <v>45981</v>
      </c>
      <c r="C136" s="81" t="s">
        <v>15</v>
      </c>
      <c r="D136" s="38">
        <v>11</v>
      </c>
      <c r="E136" s="81" t="s">
        <v>16</v>
      </c>
      <c r="F136" t="s">
        <v>138</v>
      </c>
      <c r="G136" s="81" t="s">
        <v>139</v>
      </c>
      <c r="H136" s="81" t="s">
        <v>140</v>
      </c>
      <c r="I136" s="3">
        <v>1</v>
      </c>
      <c r="J136" s="3"/>
      <c r="K136" s="26">
        <v>1</v>
      </c>
      <c r="L136" s="2">
        <v>229</v>
      </c>
      <c r="M136" s="2">
        <v>229</v>
      </c>
      <c r="N136" s="2">
        <v>229</v>
      </c>
      <c r="O136" s="2">
        <v>265.85820000000001</v>
      </c>
      <c r="P136" s="2">
        <v>36.858199999999997</v>
      </c>
      <c r="Q136" s="2">
        <v>36.858199999999997</v>
      </c>
      <c r="R136" s="4">
        <v>0.13863845731938129</v>
      </c>
      <c r="T136">
        <v>298950</v>
      </c>
      <c r="U136" s="2"/>
      <c r="V136">
        <v>5332</v>
      </c>
      <c r="W136" s="2">
        <v>6579000000</v>
      </c>
      <c r="X136" s="6">
        <v>265.85816599999998</v>
      </c>
      <c r="Y136" s="38">
        <v>10010</v>
      </c>
      <c r="Z136" s="86">
        <f>+((DETALLE_GD_1[[#This Row],[VALOR X UN (GD)]]-DETALLE_GD_1[[#This Row],[VALOR PPTO]])/DETALLE_GD_1[[#This Row],[VALOR PPTO]])</f>
        <v>-0.13863856747694828</v>
      </c>
      <c r="AA136" s="2">
        <f>+DETALLE_GD_1[[#This Row],[VALOR PPTO]]*DETALLE_GD_1[[#This Row],[CANTIDAD RECIBIDA]]</f>
        <v>265.85820000000001</v>
      </c>
      <c r="AB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" s="3">
        <f>+DETALLE_GD_1[[#This Row],[CANTIDAD SOLICITADA]]-DETALLE_GD_1[[#This Row],[DEVOLUCIÓN]]</f>
        <v>1</v>
      </c>
      <c r="AD136" s="38" t="str">
        <f>+_xlfn.XLOOKUP(DETALLE_GD_1[[#This Row],[CODIGO]],PRODUCTOS[CODIGO],PRODUCTOS[DESC CORTA],"",0)</f>
        <v>MONOFILAMENTO</v>
      </c>
      <c r="AE136"/>
      <c r="AH136"/>
    </row>
    <row r="137" spans="1:34" x14ac:dyDescent="0.25">
      <c r="A137" s="1">
        <v>45981</v>
      </c>
      <c r="B137" s="1">
        <v>45981</v>
      </c>
      <c r="C137" s="81" t="s">
        <v>15</v>
      </c>
      <c r="D137" s="38">
        <v>11</v>
      </c>
      <c r="E137" s="81" t="s">
        <v>16</v>
      </c>
      <c r="F137">
        <v>1802517</v>
      </c>
      <c r="G137" s="81" t="s">
        <v>141</v>
      </c>
      <c r="H137" s="81" t="s">
        <v>31</v>
      </c>
      <c r="I137" s="3">
        <v>1</v>
      </c>
      <c r="J137" s="3"/>
      <c r="K137" s="26">
        <v>1</v>
      </c>
      <c r="L137" s="2">
        <v>2312</v>
      </c>
      <c r="M137" s="2">
        <v>2312</v>
      </c>
      <c r="N137" s="2">
        <v>2312</v>
      </c>
      <c r="O137" s="2">
        <v>2312</v>
      </c>
      <c r="P137" s="2">
        <v>0</v>
      </c>
      <c r="Q137" s="2">
        <v>0</v>
      </c>
      <c r="R137" s="4">
        <v>0</v>
      </c>
      <c r="T137">
        <v>298950</v>
      </c>
      <c r="U137" s="2"/>
      <c r="V137">
        <v>5332</v>
      </c>
      <c r="W137" s="2">
        <v>6579000000</v>
      </c>
      <c r="X137" s="6">
        <v>2312</v>
      </c>
      <c r="Y137" s="38">
        <v>10010</v>
      </c>
      <c r="Z137" s="86">
        <f>+((DETALLE_GD_1[[#This Row],[VALOR X UN (GD)]]-DETALLE_GD_1[[#This Row],[VALOR PPTO]])/DETALLE_GD_1[[#This Row],[VALOR PPTO]])</f>
        <v>0</v>
      </c>
      <c r="AA137" s="2">
        <f>+DETALLE_GD_1[[#This Row],[VALOR PPTO]]*DETALLE_GD_1[[#This Row],[CANTIDAD RECIBIDA]]</f>
        <v>2312</v>
      </c>
      <c r="AB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" s="3">
        <f>+DETALLE_GD_1[[#This Row],[CANTIDAD SOLICITADA]]-DETALLE_GD_1[[#This Row],[DEVOLUCIÓN]]</f>
        <v>1</v>
      </c>
      <c r="AD137" s="38" t="str">
        <f>+_xlfn.XLOOKUP(DETALLE_GD_1[[#This Row],[CODIGO]],PRODUCTOS[CODIGO],PRODUCTOS[DESC CORTA],"",0)</f>
        <v>CELOSIA ALUMINIO 25X25</v>
      </c>
      <c r="AE137"/>
      <c r="AH137"/>
    </row>
    <row r="138" spans="1:34" x14ac:dyDescent="0.25">
      <c r="A138" s="1">
        <v>45981</v>
      </c>
      <c r="B138" s="1">
        <v>45981</v>
      </c>
      <c r="C138" s="81" t="s">
        <v>15</v>
      </c>
      <c r="D138" s="38">
        <v>11</v>
      </c>
      <c r="E138" s="81" t="s">
        <v>16</v>
      </c>
      <c r="F138">
        <v>2505058</v>
      </c>
      <c r="G138" s="81" t="s">
        <v>142</v>
      </c>
      <c r="H138" s="81" t="s">
        <v>31</v>
      </c>
      <c r="I138" s="3">
        <v>4</v>
      </c>
      <c r="J138" s="3"/>
      <c r="K138" s="26">
        <v>4</v>
      </c>
      <c r="L138" s="2">
        <v>17870.25</v>
      </c>
      <c r="M138" s="2">
        <v>71481</v>
      </c>
      <c r="N138" s="2">
        <v>71481</v>
      </c>
      <c r="O138" s="2">
        <v>17870.144100000001</v>
      </c>
      <c r="P138" s="2">
        <v>-0.10589999999999999</v>
      </c>
      <c r="Q138" s="2">
        <v>-0.42370000000000002</v>
      </c>
      <c r="R138" s="4">
        <v>-5.9278761041589273E-6</v>
      </c>
      <c r="T138">
        <v>298950</v>
      </c>
      <c r="U138" s="2"/>
      <c r="V138">
        <v>5332</v>
      </c>
      <c r="W138" s="2">
        <v>6579000000</v>
      </c>
      <c r="X138" s="6">
        <v>71480.576272000006</v>
      </c>
      <c r="Y138" s="38">
        <v>10010</v>
      </c>
      <c r="Z138" s="86">
        <f>+((DETALLE_GD_1[[#This Row],[VALOR X UN (GD)]]-DETALLE_GD_1[[#This Row],[VALOR PPTO]])/DETALLE_GD_1[[#This Row],[VALOR PPTO]])</f>
        <v>5.9260853972999244E-6</v>
      </c>
      <c r="AA138" s="2">
        <f>+DETALLE_GD_1[[#This Row],[VALOR PPTO]]*DETALLE_GD_1[[#This Row],[CANTIDAD RECIBIDA]]</f>
        <v>71480.576400000005</v>
      </c>
      <c r="AB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" s="3">
        <f>+DETALLE_GD_1[[#This Row],[CANTIDAD SOLICITADA]]-DETALLE_GD_1[[#This Row],[DEVOLUCIÓN]]</f>
        <v>4</v>
      </c>
      <c r="AD138" s="38" t="str">
        <f>+_xlfn.XLOOKUP(DETALLE_GD_1[[#This Row],[CODIGO]],PRODUCTOS[CODIGO],PRODUCTOS[DESC CORTA],"",0)</f>
        <v>VENTILACIÓN PASIVA</v>
      </c>
      <c r="AE138"/>
      <c r="AH138"/>
    </row>
    <row r="139" spans="1:34" x14ac:dyDescent="0.25">
      <c r="A139" s="1">
        <v>45981</v>
      </c>
      <c r="B139" s="1">
        <v>45981</v>
      </c>
      <c r="C139" s="81" t="s">
        <v>15</v>
      </c>
      <c r="D139" s="38">
        <v>11</v>
      </c>
      <c r="E139" s="81" t="s">
        <v>16</v>
      </c>
      <c r="F139">
        <v>2505059</v>
      </c>
      <c r="G139" s="81" t="s">
        <v>143</v>
      </c>
      <c r="H139" s="81" t="s">
        <v>31</v>
      </c>
      <c r="I139" s="3">
        <v>2</v>
      </c>
      <c r="J139" s="3"/>
      <c r="K139" s="26">
        <v>2</v>
      </c>
      <c r="L139" s="2">
        <v>75790.5</v>
      </c>
      <c r="M139" s="2">
        <v>151581</v>
      </c>
      <c r="N139" s="2">
        <v>151581</v>
      </c>
      <c r="O139" s="2">
        <v>75790.3125</v>
      </c>
      <c r="P139" s="2">
        <v>-0.1875</v>
      </c>
      <c r="Q139" s="2">
        <v>-0.375</v>
      </c>
      <c r="R139" s="4">
        <v>-2.4739309525871135E-6</v>
      </c>
      <c r="T139">
        <v>298950</v>
      </c>
      <c r="U139" s="2"/>
      <c r="V139">
        <v>5332</v>
      </c>
      <c r="W139" s="2">
        <v>6579000000</v>
      </c>
      <c r="X139" s="6">
        <v>151580.625</v>
      </c>
      <c r="Y139" s="38">
        <v>10010</v>
      </c>
      <c r="Z139" s="86">
        <f>+((DETALLE_GD_1[[#This Row],[VALOR X UN (GD)]]-DETALLE_GD_1[[#This Row],[VALOR PPTO]])/DETALLE_GD_1[[#This Row],[VALOR PPTO]])</f>
        <v>2.4739309525871135E-6</v>
      </c>
      <c r="AA139" s="2">
        <f>+DETALLE_GD_1[[#This Row],[VALOR PPTO]]*DETALLE_GD_1[[#This Row],[CANTIDAD RECIBIDA]]</f>
        <v>151580.625</v>
      </c>
      <c r="AB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" s="3">
        <f>+DETALLE_GD_1[[#This Row],[CANTIDAD SOLICITADA]]-DETALLE_GD_1[[#This Row],[DEVOLUCIÓN]]</f>
        <v>2</v>
      </c>
      <c r="AD139" s="38" t="str">
        <f>+_xlfn.XLOOKUP(DETALLE_GD_1[[#This Row],[CODIGO]],PRODUCTOS[CODIGO],PRODUCTOS[DESC CORTA],"",0)</f>
        <v>EXTRACTOR</v>
      </c>
      <c r="AE139"/>
      <c r="AH139"/>
    </row>
    <row r="140" spans="1:34" x14ac:dyDescent="0.25">
      <c r="A140" s="1">
        <v>45966</v>
      </c>
      <c r="B140" s="1">
        <v>45966</v>
      </c>
      <c r="C140" s="81" t="s">
        <v>15</v>
      </c>
      <c r="D140" s="38">
        <v>11</v>
      </c>
      <c r="E140" s="81" t="s">
        <v>16</v>
      </c>
      <c r="F140">
        <v>408042</v>
      </c>
      <c r="G140" s="81" t="s">
        <v>144</v>
      </c>
      <c r="H140" s="81" t="s">
        <v>36</v>
      </c>
      <c r="I140" s="3">
        <v>4</v>
      </c>
      <c r="J140" s="3"/>
      <c r="K140" s="26">
        <v>4</v>
      </c>
      <c r="L140" s="2">
        <v>35000</v>
      </c>
      <c r="M140" s="2">
        <v>140000</v>
      </c>
      <c r="N140" s="2">
        <v>140000</v>
      </c>
      <c r="O140" s="2">
        <v>35000</v>
      </c>
      <c r="P140" s="2">
        <v>0</v>
      </c>
      <c r="Q140" s="2">
        <v>0</v>
      </c>
      <c r="R140" s="4">
        <v>8.3153801304950006E-16</v>
      </c>
      <c r="T140">
        <v>297518</v>
      </c>
      <c r="U140" s="2">
        <v>140000</v>
      </c>
      <c r="V140">
        <v>5332</v>
      </c>
      <c r="W140" s="2">
        <v>6579000000</v>
      </c>
      <c r="X140" s="6">
        <v>140000.00000000012</v>
      </c>
      <c r="Y140" s="38">
        <v>10010</v>
      </c>
      <c r="Z140" s="86">
        <f>+((DETALLE_GD_1[[#This Row],[VALOR X UN (GD)]]-DETALLE_GD_1[[#This Row],[VALOR PPTO]])/DETALLE_GD_1[[#This Row],[VALOR PPTO]])</f>
        <v>0</v>
      </c>
      <c r="AA140" s="2">
        <f>+DETALLE_GD_1[[#This Row],[VALOR PPTO]]*DETALLE_GD_1[[#This Row],[CANTIDAD RECIBIDA]]</f>
        <v>140000</v>
      </c>
      <c r="AB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" s="3">
        <f>+DETALLE_GD_1[[#This Row],[CANTIDAD SOLICITADA]]-DETALLE_GD_1[[#This Row],[DEVOLUCIÓN]]</f>
        <v>4</v>
      </c>
      <c r="AD140" s="38" t="str">
        <f>+_xlfn.XLOOKUP(DETALLE_GD_1[[#This Row],[CODIGO]],PRODUCTOS[CODIGO],PRODUCTOS[DESC CORTA],"",0)</f>
        <v>CLAVO HELICOIDAL PROFIX</v>
      </c>
      <c r="AE140"/>
      <c r="AH140"/>
    </row>
    <row r="141" spans="1:34" x14ac:dyDescent="0.25">
      <c r="A141" s="1">
        <v>45979</v>
      </c>
      <c r="B141" s="1">
        <v>45979</v>
      </c>
      <c r="C141" s="81" t="s">
        <v>75</v>
      </c>
      <c r="D141" s="38">
        <v>11</v>
      </c>
      <c r="E141" s="81" t="s">
        <v>145</v>
      </c>
      <c r="F141">
        <v>410045</v>
      </c>
      <c r="G141" s="81" t="s">
        <v>110</v>
      </c>
      <c r="H141" s="81" t="s">
        <v>31</v>
      </c>
      <c r="I141" s="3">
        <v>17</v>
      </c>
      <c r="J141" s="3"/>
      <c r="K141" s="26">
        <v>17</v>
      </c>
      <c r="L141" s="2">
        <v>368</v>
      </c>
      <c r="M141" s="2">
        <v>6256</v>
      </c>
      <c r="N141" s="2">
        <v>6256</v>
      </c>
      <c r="O141" s="2">
        <v>368.00139999999999</v>
      </c>
      <c r="P141" s="2">
        <v>1.4E-3</v>
      </c>
      <c r="Q141" s="2">
        <v>2.3099999999999999E-2</v>
      </c>
      <c r="R141" s="4">
        <v>3.6983558871065354E-6</v>
      </c>
      <c r="T141">
        <v>298782</v>
      </c>
      <c r="U141" s="2">
        <v>3437276</v>
      </c>
      <c r="V141">
        <v>5332</v>
      </c>
      <c r="W141" s="2">
        <v>6579000000</v>
      </c>
      <c r="X141" s="6">
        <v>6256.0231369999983</v>
      </c>
      <c r="Y141" s="38">
        <v>10010</v>
      </c>
      <c r="Z141" s="86">
        <f>+((DETALLE_GD_1[[#This Row],[VALOR X UN (GD)]]-DETALLE_GD_1[[#This Row],[VALOR PPTO]])/DETALLE_GD_1[[#This Row],[VALOR PPTO]])</f>
        <v>-3.8043333530514605E-6</v>
      </c>
      <c r="AA141" s="2">
        <f>+DETALLE_GD_1[[#This Row],[VALOR PPTO]]*DETALLE_GD_1[[#This Row],[CANTIDAD RECIBIDA]]</f>
        <v>6256.0237999999999</v>
      </c>
      <c r="AB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" s="3">
        <f>+DETALLE_GD_1[[#This Row],[CANTIDAD SOLICITADA]]-DETALLE_GD_1[[#This Row],[DEVOLUCIÓN]]</f>
        <v>17</v>
      </c>
      <c r="AD141" s="38" t="str">
        <f>+_xlfn.XLOOKUP(DETALLE_GD_1[[#This Row],[CODIGO]],PRODUCTOS[CODIGO],PRODUCTOS[DESC CORTA],"",0)</f>
        <v>CONECTOR DENTADO</v>
      </c>
      <c r="AE141"/>
      <c r="AH141"/>
    </row>
    <row r="142" spans="1:34" x14ac:dyDescent="0.25">
      <c r="A142" s="1">
        <v>45979</v>
      </c>
      <c r="B142" s="1">
        <v>45979</v>
      </c>
      <c r="C142" s="81" t="s">
        <v>75</v>
      </c>
      <c r="D142" s="38">
        <v>11</v>
      </c>
      <c r="E142" s="81" t="s">
        <v>145</v>
      </c>
      <c r="F142">
        <v>302028</v>
      </c>
      <c r="G142" s="81" t="s">
        <v>246</v>
      </c>
      <c r="H142" s="81" t="s">
        <v>20</v>
      </c>
      <c r="I142" s="3">
        <v>165</v>
      </c>
      <c r="J142" s="3"/>
      <c r="K142" s="26">
        <v>165</v>
      </c>
      <c r="L142" s="2">
        <v>4608.8666999999996</v>
      </c>
      <c r="M142" s="2">
        <v>760463</v>
      </c>
      <c r="N142" s="2">
        <v>760463</v>
      </c>
      <c r="O142" s="2">
        <v>5123.8024999999998</v>
      </c>
      <c r="P142" s="2">
        <v>514.93589999999995</v>
      </c>
      <c r="Q142" s="2">
        <v>84964.417000000001</v>
      </c>
      <c r="R142" s="4">
        <v>0.10049877168760268</v>
      </c>
      <c r="T142">
        <v>298782</v>
      </c>
      <c r="U142" s="2"/>
      <c r="V142">
        <v>5332</v>
      </c>
      <c r="W142" s="2">
        <v>6579000000</v>
      </c>
      <c r="X142" s="6">
        <v>845427.41695500037</v>
      </c>
      <c r="Y142" s="38">
        <v>10010</v>
      </c>
      <c r="Z142" s="86">
        <f>+((DETALLE_GD_1[[#This Row],[VALOR X UN (GD)]]-DETALLE_GD_1[[#This Row],[VALOR PPTO]])/DETALLE_GD_1[[#This Row],[VALOR PPTO]])</f>
        <v>-0.10049876044207406</v>
      </c>
      <c r="AA142" s="2">
        <f>+DETALLE_GD_1[[#This Row],[VALOR PPTO]]*DETALLE_GD_1[[#This Row],[CANTIDAD RECIBIDA]]</f>
        <v>845427.41249999998</v>
      </c>
      <c r="AB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2" s="3">
        <f>+DETALLE_GD_1[[#This Row],[CANTIDAD SOLICITADA]]-DETALLE_GD_1[[#This Row],[DEVOLUCIÓN]]</f>
        <v>165</v>
      </c>
      <c r="AD142" s="38" t="str">
        <f>+_xlfn.XLOOKUP(DETALLE_GD_1[[#This Row],[CODIGO]],PRODUCTOS[CODIGO],PRODUCTOS[DESC CORTA],"",0)</f>
        <v>PINO 2X4X320</v>
      </c>
      <c r="AE142"/>
      <c r="AH142"/>
    </row>
    <row r="143" spans="1:34" x14ac:dyDescent="0.25">
      <c r="A143" s="1">
        <v>45979</v>
      </c>
      <c r="B143" s="1">
        <v>45979</v>
      </c>
      <c r="C143" s="81" t="s">
        <v>75</v>
      </c>
      <c r="D143" s="38">
        <v>11</v>
      </c>
      <c r="E143" s="81" t="s">
        <v>145</v>
      </c>
      <c r="F143">
        <v>302046</v>
      </c>
      <c r="G143" s="81" t="s">
        <v>115</v>
      </c>
      <c r="H143" s="81" t="s">
        <v>20</v>
      </c>
      <c r="I143" s="3">
        <v>30</v>
      </c>
      <c r="J143" s="3"/>
      <c r="K143" s="26">
        <v>30</v>
      </c>
      <c r="L143" s="2">
        <v>9959.1332999999995</v>
      </c>
      <c r="M143" s="2">
        <v>298774</v>
      </c>
      <c r="N143" s="2">
        <v>298774</v>
      </c>
      <c r="O143" s="2">
        <v>10156.5985</v>
      </c>
      <c r="P143" s="2">
        <v>197.46510000000001</v>
      </c>
      <c r="Q143" s="2">
        <v>5923.9539999999997</v>
      </c>
      <c r="R143" s="4">
        <v>1.9442053784862731E-2</v>
      </c>
      <c r="T143">
        <v>298782</v>
      </c>
      <c r="U143" s="2"/>
      <c r="V143">
        <v>5332</v>
      </c>
      <c r="W143" s="2">
        <v>6579000000</v>
      </c>
      <c r="X143" s="6">
        <v>304697.95401000004</v>
      </c>
      <c r="Y143" s="38">
        <v>10010</v>
      </c>
      <c r="Z143" s="86">
        <f>+((DETALLE_GD_1[[#This Row],[VALOR X UN (GD)]]-DETALLE_GD_1[[#This Row],[VALOR PPTO]])/DETALLE_GD_1[[#This Row],[VALOR PPTO]])</f>
        <v>-1.9442060252751012E-2</v>
      </c>
      <c r="AA143" s="2">
        <f>+DETALLE_GD_1[[#This Row],[VALOR PPTO]]*DETALLE_GD_1[[#This Row],[CANTIDAD RECIBIDA]]</f>
        <v>304697.95500000002</v>
      </c>
      <c r="AB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3" s="3">
        <f>+DETALLE_GD_1[[#This Row],[CANTIDAD SOLICITADA]]-DETALLE_GD_1[[#This Row],[DEVOLUCIÓN]]</f>
        <v>30</v>
      </c>
      <c r="AD143" s="38" t="str">
        <f>+_xlfn.XLOOKUP(DETALLE_GD_1[[#This Row],[CODIGO]],PRODUCTOS[CODIGO],PRODUCTOS[DESC CORTA],"",0)</f>
        <v>PINO 2X6X400</v>
      </c>
      <c r="AE143"/>
      <c r="AH143"/>
    </row>
    <row r="144" spans="1:34" x14ac:dyDescent="0.25">
      <c r="A144" s="1">
        <v>45979</v>
      </c>
      <c r="B144" s="1">
        <v>45979</v>
      </c>
      <c r="C144" s="81" t="s">
        <v>75</v>
      </c>
      <c r="D144" s="38">
        <v>11</v>
      </c>
      <c r="E144" s="81" t="s">
        <v>145</v>
      </c>
      <c r="F144">
        <v>304101</v>
      </c>
      <c r="G144" s="81" t="s">
        <v>17</v>
      </c>
      <c r="H144" s="81" t="s">
        <v>18</v>
      </c>
      <c r="I144" s="3">
        <v>20</v>
      </c>
      <c r="J144" s="3"/>
      <c r="K144" s="26">
        <v>20</v>
      </c>
      <c r="L144" s="2">
        <v>9840.5</v>
      </c>
      <c r="M144" s="2">
        <v>196810</v>
      </c>
      <c r="N144" s="2">
        <v>196810</v>
      </c>
      <c r="O144" s="2">
        <v>9657.5879999999997</v>
      </c>
      <c r="P144" s="2">
        <v>-182.91200000000001</v>
      </c>
      <c r="Q144" s="2">
        <v>-3658.241</v>
      </c>
      <c r="R144" s="4">
        <v>-1.8939723971138703E-2</v>
      </c>
      <c r="T144">
        <v>298782</v>
      </c>
      <c r="U144" s="2"/>
      <c r="V144">
        <v>5332</v>
      </c>
      <c r="W144" s="2">
        <v>6579000000</v>
      </c>
      <c r="X144" s="6">
        <v>193151.75900000008</v>
      </c>
      <c r="Y144" s="38">
        <v>10010</v>
      </c>
      <c r="Z144" s="86">
        <f>+((DETALLE_GD_1[[#This Row],[VALOR X UN (GD)]]-DETALLE_GD_1[[#This Row],[VALOR PPTO]])/DETALLE_GD_1[[#This Row],[VALOR PPTO]])</f>
        <v>1.8939718695806889E-2</v>
      </c>
      <c r="AA144" s="2">
        <f>+DETALLE_GD_1[[#This Row],[VALOR PPTO]]*DETALLE_GD_1[[#This Row],[CANTIDAD RECIBIDA]]</f>
        <v>193151.76</v>
      </c>
      <c r="AB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4" s="3">
        <f>+DETALLE_GD_1[[#This Row],[CANTIDAD SOLICITADA]]-DETALLE_GD_1[[#This Row],[DEVOLUCIÓN]]</f>
        <v>20</v>
      </c>
      <c r="AD144" s="38" t="str">
        <f>+_xlfn.XLOOKUP(DETALLE_GD_1[[#This Row],[CODIGO]],PRODUCTOS[CODIGO],PRODUCTOS[DESC CORTA],"",0)</f>
        <v>OSB 9.5</v>
      </c>
      <c r="AE144"/>
      <c r="AH144"/>
    </row>
    <row r="145" spans="1:34" x14ac:dyDescent="0.25">
      <c r="A145" s="1">
        <v>45979</v>
      </c>
      <c r="B145" s="1">
        <v>45979</v>
      </c>
      <c r="C145" s="81" t="s">
        <v>75</v>
      </c>
      <c r="D145" s="38">
        <v>11</v>
      </c>
      <c r="E145" s="81" t="s">
        <v>145</v>
      </c>
      <c r="F145">
        <v>304007</v>
      </c>
      <c r="G145" s="81" t="s">
        <v>80</v>
      </c>
      <c r="H145" s="81" t="s">
        <v>18</v>
      </c>
      <c r="I145" s="3">
        <v>15</v>
      </c>
      <c r="J145" s="3"/>
      <c r="K145" s="26">
        <v>15</v>
      </c>
      <c r="L145" s="2">
        <v>13290</v>
      </c>
      <c r="M145" s="2">
        <v>199350</v>
      </c>
      <c r="N145" s="2">
        <v>199350</v>
      </c>
      <c r="O145" s="2">
        <v>11444.352999999999</v>
      </c>
      <c r="P145" s="2">
        <v>-1845.6469999999999</v>
      </c>
      <c r="Q145" s="2">
        <v>-27684.704699999998</v>
      </c>
      <c r="R145" s="4">
        <v>-0.1612714125868045</v>
      </c>
      <c r="T145">
        <v>298782</v>
      </c>
      <c r="U145" s="2"/>
      <c r="V145">
        <v>5332</v>
      </c>
      <c r="W145" s="2">
        <v>6579000000</v>
      </c>
      <c r="X145" s="6">
        <v>171665.29532999994</v>
      </c>
      <c r="Y145" s="38">
        <v>10010</v>
      </c>
      <c r="Z145" s="86">
        <f>+((DETALLE_GD_1[[#This Row],[VALOR X UN (GD)]]-DETALLE_GD_1[[#This Row],[VALOR PPTO]])/DETALLE_GD_1[[#This Row],[VALOR PPTO]])</f>
        <v>0.16127141481916898</v>
      </c>
      <c r="AA145" s="2">
        <f>+DETALLE_GD_1[[#This Row],[VALOR PPTO]]*DETALLE_GD_1[[#This Row],[CANTIDAD RECIBIDA]]</f>
        <v>171665.29499999998</v>
      </c>
      <c r="AB1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5" s="3">
        <f>+DETALLE_GD_1[[#This Row],[CANTIDAD SOLICITADA]]-DETALLE_GD_1[[#This Row],[DEVOLUCIÓN]]</f>
        <v>15</v>
      </c>
      <c r="AD145" s="38" t="str">
        <f>+_xlfn.XLOOKUP(DETALLE_GD_1[[#This Row],[CODIGO]],PRODUCTOS[CODIGO],PRODUCTOS[DESC CORTA],"",0)</f>
        <v>OSB 11MM</v>
      </c>
      <c r="AE145"/>
      <c r="AH145"/>
    </row>
    <row r="146" spans="1:34" x14ac:dyDescent="0.25">
      <c r="A146" s="1">
        <v>45979</v>
      </c>
      <c r="B146" s="1">
        <v>45979</v>
      </c>
      <c r="C146" s="81" t="s">
        <v>75</v>
      </c>
      <c r="D146" s="38">
        <v>11</v>
      </c>
      <c r="E146" s="81" t="s">
        <v>145</v>
      </c>
      <c r="F146">
        <v>304002</v>
      </c>
      <c r="G146" s="81" t="s">
        <v>37</v>
      </c>
      <c r="H146" s="81" t="s">
        <v>18</v>
      </c>
      <c r="I146" s="3">
        <v>40</v>
      </c>
      <c r="J146" s="3"/>
      <c r="K146" s="26">
        <v>40</v>
      </c>
      <c r="L146" s="2">
        <v>21814.95</v>
      </c>
      <c r="M146" s="2">
        <v>872598</v>
      </c>
      <c r="N146" s="2">
        <v>872598</v>
      </c>
      <c r="O146" s="2">
        <v>21246.5072</v>
      </c>
      <c r="P146" s="2">
        <v>-568.44280000000003</v>
      </c>
      <c r="Q146" s="2">
        <v>-22737.713899999999</v>
      </c>
      <c r="R146" s="4">
        <v>-2.6754649265713984E-2</v>
      </c>
      <c r="T146">
        <v>298782</v>
      </c>
      <c r="U146" s="2"/>
      <c r="V146">
        <v>5332</v>
      </c>
      <c r="W146" s="2">
        <v>6579000000</v>
      </c>
      <c r="X146" s="6">
        <v>849860.28611999995</v>
      </c>
      <c r="Y146" s="38">
        <v>10010</v>
      </c>
      <c r="Z146" s="86">
        <f>+((DETALLE_GD_1[[#This Row],[VALOR X UN (GD)]]-DETALLE_GD_1[[#This Row],[VALOR PPTO]])/DETALLE_GD_1[[#This Row],[VALOR PPTO]])</f>
        <v>2.6754646994401072E-2</v>
      </c>
      <c r="AA146" s="2">
        <f>+DETALLE_GD_1[[#This Row],[VALOR PPTO]]*DETALLE_GD_1[[#This Row],[CANTIDAD RECIBIDA]]</f>
        <v>849860.28799999994</v>
      </c>
      <c r="AB1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6" s="3">
        <f>+DETALLE_GD_1[[#This Row],[CANTIDAD SOLICITADA]]-DETALLE_GD_1[[#This Row],[DEVOLUCIÓN]]</f>
        <v>40</v>
      </c>
      <c r="AD146" s="38" t="str">
        <f>+_xlfn.XLOOKUP(DETALLE_GD_1[[#This Row],[CODIGO]],PRODUCTOS[CODIGO],PRODUCTOS[DESC CORTA],"",0)</f>
        <v>SMARTPANEL</v>
      </c>
      <c r="AE146"/>
      <c r="AH146"/>
    </row>
    <row r="147" spans="1:34" x14ac:dyDescent="0.25">
      <c r="A147" s="1">
        <v>45979</v>
      </c>
      <c r="B147" s="1">
        <v>45979</v>
      </c>
      <c r="C147" s="81" t="s">
        <v>75</v>
      </c>
      <c r="D147" s="38">
        <v>11</v>
      </c>
      <c r="E147" s="81" t="s">
        <v>145</v>
      </c>
      <c r="F147">
        <v>701040</v>
      </c>
      <c r="G147" s="81" t="s">
        <v>19</v>
      </c>
      <c r="H147" s="81" t="s">
        <v>18</v>
      </c>
      <c r="I147" s="3">
        <v>40</v>
      </c>
      <c r="J147" s="3"/>
      <c r="K147" s="26">
        <v>40</v>
      </c>
      <c r="L147" s="2">
        <v>7744.5749999999998</v>
      </c>
      <c r="M147" s="2">
        <v>309783</v>
      </c>
      <c r="N147" s="2">
        <v>309783</v>
      </c>
      <c r="O147" s="2">
        <v>7835.7259999999997</v>
      </c>
      <c r="P147" s="2">
        <v>91.150999999999996</v>
      </c>
      <c r="Q147" s="2">
        <v>3646.0382</v>
      </c>
      <c r="R147" s="4">
        <v>1.1632738885344373E-2</v>
      </c>
      <c r="T147">
        <v>298782</v>
      </c>
      <c r="U147" s="2"/>
      <c r="V147">
        <v>5332</v>
      </c>
      <c r="W147" s="2">
        <v>6579000000</v>
      </c>
      <c r="X147" s="6">
        <v>313429.03815999988</v>
      </c>
      <c r="Y147" s="38">
        <v>10010</v>
      </c>
      <c r="Z147" s="86">
        <f>+((DETALLE_GD_1[[#This Row],[VALOR X UN (GD)]]-DETALLE_GD_1[[#This Row],[VALOR PPTO]])/DETALLE_GD_1[[#This Row],[VALOR PPTO]])</f>
        <v>-1.1632744687601358E-2</v>
      </c>
      <c r="AA147" s="2">
        <f>+DETALLE_GD_1[[#This Row],[VALOR PPTO]]*DETALLE_GD_1[[#This Row],[CANTIDAD RECIBIDA]]</f>
        <v>313429.03999999998</v>
      </c>
      <c r="AB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" s="3">
        <f>+DETALLE_GD_1[[#This Row],[CANTIDAD SOLICITADA]]-DETALLE_GD_1[[#This Row],[DEVOLUCIÓN]]</f>
        <v>40</v>
      </c>
      <c r="AD147" s="38" t="str">
        <f>+_xlfn.XLOOKUP(DETALLE_GD_1[[#This Row],[CODIGO]],PRODUCTOS[CODIGO],PRODUCTOS[DESC CORTA],"",0)</f>
        <v>VOLCANITA RF</v>
      </c>
      <c r="AE147"/>
      <c r="AH147"/>
    </row>
    <row r="148" spans="1:34" x14ac:dyDescent="0.25">
      <c r="A148" s="1">
        <v>45979</v>
      </c>
      <c r="B148" s="1">
        <v>45979</v>
      </c>
      <c r="C148" s="81" t="s">
        <v>75</v>
      </c>
      <c r="D148" s="38">
        <v>11</v>
      </c>
      <c r="E148" s="81" t="s">
        <v>145</v>
      </c>
      <c r="F148">
        <v>1901505</v>
      </c>
      <c r="G148" s="81" t="s">
        <v>27</v>
      </c>
      <c r="H148" s="81" t="s">
        <v>28</v>
      </c>
      <c r="I148" s="3">
        <v>47</v>
      </c>
      <c r="J148" s="3"/>
      <c r="K148" s="26">
        <v>47</v>
      </c>
      <c r="L148" s="2">
        <v>1895</v>
      </c>
      <c r="M148" s="2">
        <v>89065</v>
      </c>
      <c r="N148" s="2">
        <v>89065</v>
      </c>
      <c r="O148" s="2">
        <v>1895</v>
      </c>
      <c r="P148" s="2">
        <v>0</v>
      </c>
      <c r="Q148" s="2">
        <v>0</v>
      </c>
      <c r="R148" s="4">
        <v>0</v>
      </c>
      <c r="T148">
        <v>298782</v>
      </c>
      <c r="U148" s="2"/>
      <c r="V148">
        <v>5332</v>
      </c>
      <c r="W148" s="2">
        <v>6579000000</v>
      </c>
      <c r="X148" s="6">
        <v>89065</v>
      </c>
      <c r="Y148" s="38">
        <v>10010</v>
      </c>
      <c r="Z148" s="86">
        <f>+((DETALLE_GD_1[[#This Row],[VALOR X UN (GD)]]-DETALLE_GD_1[[#This Row],[VALOR PPTO]])/DETALLE_GD_1[[#This Row],[VALOR PPTO]])</f>
        <v>0</v>
      </c>
      <c r="AA148" s="2">
        <f>+DETALLE_GD_1[[#This Row],[VALOR PPTO]]*DETALLE_GD_1[[#This Row],[CANTIDAD RECIBIDA]]</f>
        <v>89065</v>
      </c>
      <c r="AB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" s="3">
        <f>+DETALLE_GD_1[[#This Row],[CANTIDAD SOLICITADA]]-DETALLE_GD_1[[#This Row],[DEVOLUCIÓN]]</f>
        <v>47</v>
      </c>
      <c r="AD148" s="38" t="str">
        <f>+_xlfn.XLOOKUP(DETALLE_GD_1[[#This Row],[CODIGO]],PRODUCTOS[CODIGO],PRODUCTOS[DESC CORTA],"",0)</f>
        <v>POLIETILENO</v>
      </c>
      <c r="AE148"/>
      <c r="AH148"/>
    </row>
    <row r="149" spans="1:34" x14ac:dyDescent="0.25">
      <c r="A149" s="1">
        <v>45979</v>
      </c>
      <c r="B149" s="1">
        <v>45979</v>
      </c>
      <c r="C149" s="81" t="s">
        <v>75</v>
      </c>
      <c r="D149" s="38">
        <v>11</v>
      </c>
      <c r="E149" s="81" t="s">
        <v>145</v>
      </c>
      <c r="F149">
        <v>407170</v>
      </c>
      <c r="G149" s="81" t="s">
        <v>107</v>
      </c>
      <c r="H149" s="81" t="s">
        <v>31</v>
      </c>
      <c r="I149" s="3">
        <v>300</v>
      </c>
      <c r="J149" s="3"/>
      <c r="K149" s="26">
        <v>300</v>
      </c>
      <c r="L149" s="2">
        <v>5.7267000000000001</v>
      </c>
      <c r="M149" s="2">
        <v>1718</v>
      </c>
      <c r="N149" s="2">
        <v>1718</v>
      </c>
      <c r="O149" s="2">
        <v>4.8802000000000003</v>
      </c>
      <c r="P149" s="2">
        <v>-0.84650000000000003</v>
      </c>
      <c r="Q149" s="2">
        <v>-253.93520000000001</v>
      </c>
      <c r="R149" s="4">
        <v>-0.17344532837617549</v>
      </c>
      <c r="T149">
        <v>298782</v>
      </c>
      <c r="U149" s="2"/>
      <c r="V149">
        <v>5332</v>
      </c>
      <c r="W149" s="2">
        <v>6579000000</v>
      </c>
      <c r="X149" s="6">
        <v>1464.0648000000003</v>
      </c>
      <c r="Y149" s="38">
        <v>10010</v>
      </c>
      <c r="Z149" s="86">
        <f>+((DETALLE_GD_1[[#This Row],[VALOR X UN (GD)]]-DETALLE_GD_1[[#This Row],[VALOR PPTO]])/DETALLE_GD_1[[#This Row],[VALOR PPTO]])</f>
        <v>0.17345600590139743</v>
      </c>
      <c r="AA149" s="2">
        <f>+DETALLE_GD_1[[#This Row],[VALOR PPTO]]*DETALLE_GD_1[[#This Row],[CANTIDAD RECIBIDA]]</f>
        <v>1464.0600000000002</v>
      </c>
      <c r="AB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" s="3">
        <f>+DETALLE_GD_1[[#This Row],[CANTIDAD SOLICITADA]]-DETALLE_GD_1[[#This Row],[DEVOLUCIÓN]]</f>
        <v>300</v>
      </c>
      <c r="AD149" s="38" t="str">
        <f>+_xlfn.XLOOKUP(DETALLE_GD_1[[#This Row],[CODIGO]],PRODUCTOS[CODIGO],PRODUCTOS[DESC CORTA],"",0)</f>
        <v>TORNILLO CRS 6X2 1/4</v>
      </c>
      <c r="AE149"/>
      <c r="AH149"/>
    </row>
    <row r="150" spans="1:34" x14ac:dyDescent="0.25">
      <c r="A150" s="1">
        <v>45979</v>
      </c>
      <c r="B150" s="1">
        <v>45979</v>
      </c>
      <c r="C150" s="81" t="s">
        <v>75</v>
      </c>
      <c r="D150" s="38">
        <v>11</v>
      </c>
      <c r="E150" s="81" t="s">
        <v>145</v>
      </c>
      <c r="F150">
        <v>407423</v>
      </c>
      <c r="G150" s="81" t="s">
        <v>106</v>
      </c>
      <c r="H150" s="81" t="s">
        <v>31</v>
      </c>
      <c r="I150" s="3">
        <v>630</v>
      </c>
      <c r="J150" s="3"/>
      <c r="K150" s="26">
        <v>630</v>
      </c>
      <c r="L150" s="2">
        <v>3.2698</v>
      </c>
      <c r="M150" s="2">
        <v>2060</v>
      </c>
      <c r="N150" s="2">
        <v>2060</v>
      </c>
      <c r="O150" s="2">
        <v>106.6405</v>
      </c>
      <c r="P150" s="2">
        <v>103.3707</v>
      </c>
      <c r="Q150" s="2">
        <v>65123.516199999998</v>
      </c>
      <c r="R150" s="4">
        <v>0.96933771682415293</v>
      </c>
      <c r="T150">
        <v>298782</v>
      </c>
      <c r="U150" s="2"/>
      <c r="V150">
        <v>5332</v>
      </c>
      <c r="W150" s="2">
        <v>6579000000</v>
      </c>
      <c r="X150" s="6">
        <v>67183.516249783774</v>
      </c>
      <c r="Y150" s="38">
        <v>10010</v>
      </c>
      <c r="Z150" s="86">
        <f>+((DETALLE_GD_1[[#This Row],[VALOR X UN (GD)]]-DETALLE_GD_1[[#This Row],[VALOR PPTO]])/DETALLE_GD_1[[#This Row],[VALOR PPTO]])</f>
        <v>-0.96933810325345438</v>
      </c>
      <c r="AA150" s="2">
        <f>+DETALLE_GD_1[[#This Row],[VALOR PPTO]]*DETALLE_GD_1[[#This Row],[CANTIDAD RECIBIDA]]</f>
        <v>67183.514999999999</v>
      </c>
      <c r="AB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" s="3">
        <f>+DETALLE_GD_1[[#This Row],[CANTIDAD SOLICITADA]]-DETALLE_GD_1[[#This Row],[DEVOLUCIÓN]]</f>
        <v>630</v>
      </c>
      <c r="AD150" s="38" t="str">
        <f>+_xlfn.XLOOKUP(DETALLE_GD_1[[#This Row],[CODIGO]],PRODUCTOS[CODIGO],PRODUCTOS[DESC CORTA],"",0)</f>
        <v>TORNILLO CRS 6X1 5/8</v>
      </c>
      <c r="AE150"/>
      <c r="AH150"/>
    </row>
    <row r="151" spans="1:34" x14ac:dyDescent="0.25">
      <c r="A151" s="1">
        <v>45979</v>
      </c>
      <c r="B151" s="1">
        <v>45979</v>
      </c>
      <c r="C151" s="81" t="s">
        <v>75</v>
      </c>
      <c r="D151" s="38">
        <v>11</v>
      </c>
      <c r="E151" s="81" t="s">
        <v>145</v>
      </c>
      <c r="F151">
        <v>304014</v>
      </c>
      <c r="G151" s="81" t="s">
        <v>23</v>
      </c>
      <c r="H151" s="81" t="s">
        <v>18</v>
      </c>
      <c r="I151" s="3">
        <v>27</v>
      </c>
      <c r="J151" s="3"/>
      <c r="K151" s="26">
        <v>27</v>
      </c>
      <c r="L151" s="2">
        <v>20836.851900000001</v>
      </c>
      <c r="M151" s="2">
        <v>562595</v>
      </c>
      <c r="N151" s="2">
        <v>562595</v>
      </c>
      <c r="O151" s="2">
        <v>20894.5723</v>
      </c>
      <c r="P151" s="2">
        <v>57.720399999999998</v>
      </c>
      <c r="Q151" s="2">
        <v>1558.4517000000001</v>
      </c>
      <c r="R151" s="4">
        <v>2.7624606218709211E-3</v>
      </c>
      <c r="T151">
        <v>298782</v>
      </c>
      <c r="U151" s="2"/>
      <c r="V151">
        <v>5332</v>
      </c>
      <c r="W151" s="2">
        <v>6579000000</v>
      </c>
      <c r="X151" s="6">
        <v>564153.45169499994</v>
      </c>
      <c r="Y151" s="38">
        <v>10010</v>
      </c>
      <c r="Z151" s="86">
        <f>+((DETALLE_GD_1[[#This Row],[VALOR X UN (GD)]]-DETALLE_GD_1[[#This Row],[VALOR PPTO]])/DETALLE_GD_1[[#This Row],[VALOR PPTO]])</f>
        <v>-2.7624590334399111E-3</v>
      </c>
      <c r="AA151" s="2">
        <f>+DETALLE_GD_1[[#This Row],[VALOR PPTO]]*DETALLE_GD_1[[#This Row],[CANTIDAD RECIBIDA]]</f>
        <v>564153.45209999999</v>
      </c>
      <c r="AB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" s="3">
        <f>+DETALLE_GD_1[[#This Row],[CANTIDAD SOLICITADA]]-DETALLE_GD_1[[#This Row],[DEVOLUCIÓN]]</f>
        <v>27</v>
      </c>
      <c r="AD151" s="38">
        <f>+_xlfn.XLOOKUP(DETALLE_GD_1[[#This Row],[CODIGO]],PRODUCTOS[CODIGO],PRODUCTOS[DESC CORTA],"",0)</f>
        <v>0</v>
      </c>
      <c r="AE151"/>
      <c r="AH151"/>
    </row>
    <row r="152" spans="1:34" x14ac:dyDescent="0.25">
      <c r="A152" s="1">
        <v>45979</v>
      </c>
      <c r="B152" s="1">
        <v>45979</v>
      </c>
      <c r="C152" s="81" t="s">
        <v>75</v>
      </c>
      <c r="D152" s="38">
        <v>11</v>
      </c>
      <c r="E152" s="81" t="s">
        <v>145</v>
      </c>
      <c r="F152">
        <v>1901008</v>
      </c>
      <c r="G152" s="81" t="s">
        <v>278</v>
      </c>
      <c r="H152" s="81" t="s">
        <v>26</v>
      </c>
      <c r="I152" s="3">
        <v>67</v>
      </c>
      <c r="J152" s="3"/>
      <c r="K152" s="26">
        <v>67</v>
      </c>
      <c r="L152" s="2">
        <v>2056.7761</v>
      </c>
      <c r="M152" s="2">
        <v>137804</v>
      </c>
      <c r="N152" s="2">
        <v>137804</v>
      </c>
      <c r="O152" s="2">
        <v>2112.7957999999999</v>
      </c>
      <c r="P152" s="2">
        <v>56.0197</v>
      </c>
      <c r="Q152" s="2">
        <v>3753.3172</v>
      </c>
      <c r="R152" s="4">
        <v>2.6514469668019489E-2</v>
      </c>
      <c r="T152">
        <v>298782</v>
      </c>
      <c r="U152" s="2"/>
      <c r="V152">
        <v>5332</v>
      </c>
      <c r="W152" s="2">
        <v>6579000000</v>
      </c>
      <c r="X152" s="6">
        <v>141557.317193</v>
      </c>
      <c r="Y152" s="38">
        <v>10010</v>
      </c>
      <c r="Z152" s="86">
        <f>+((DETALLE_GD_1[[#This Row],[VALOR X UN (GD)]]-DETALLE_GD_1[[#This Row],[VALOR PPTO]])/DETALLE_GD_1[[#This Row],[VALOR PPTO]])</f>
        <v>-2.651448852747617E-2</v>
      </c>
      <c r="AA152" s="2">
        <f>+DETALLE_GD_1[[#This Row],[VALOR PPTO]]*DETALLE_GD_1[[#This Row],[CANTIDAD RECIBIDA]]</f>
        <v>141557.3186</v>
      </c>
      <c r="AB1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2" s="3">
        <f>+DETALLE_GD_1[[#This Row],[CANTIDAD SOLICITADA]]-DETALLE_GD_1[[#This Row],[DEVOLUCIÓN]]</f>
        <v>67</v>
      </c>
      <c r="AD152" s="38" t="str">
        <f>+_xlfn.XLOOKUP(DETALLE_GD_1[[#This Row],[CODIGO]],PRODUCTOS[CODIGO],PRODUCTOS[DESC CORTA],"",0)</f>
        <v>AISLAN GLASS 90MM</v>
      </c>
      <c r="AE152"/>
      <c r="AH152"/>
    </row>
    <row r="153" spans="1:34" x14ac:dyDescent="0.25">
      <c r="A153" s="1">
        <v>45979</v>
      </c>
      <c r="B153" s="1">
        <v>45979</v>
      </c>
      <c r="C153" s="81" t="s">
        <v>146</v>
      </c>
      <c r="D153" s="38">
        <v>11</v>
      </c>
      <c r="E153" s="81" t="s">
        <v>147</v>
      </c>
      <c r="F153">
        <v>302019</v>
      </c>
      <c r="G153" s="81" t="s">
        <v>78</v>
      </c>
      <c r="H153" s="81" t="s">
        <v>20</v>
      </c>
      <c r="I153" s="3">
        <v>6</v>
      </c>
      <c r="J153" s="3"/>
      <c r="K153" s="26">
        <v>6</v>
      </c>
      <c r="L153" s="2">
        <v>1660.5</v>
      </c>
      <c r="M153" s="2">
        <v>9963</v>
      </c>
      <c r="N153" s="2">
        <v>9963</v>
      </c>
      <c r="O153" s="2">
        <v>1660.3430000000001</v>
      </c>
      <c r="P153" s="2">
        <v>-0.157</v>
      </c>
      <c r="Q153" s="2">
        <v>-0.94230000000000003</v>
      </c>
      <c r="R153" s="4">
        <v>-9.4586482643053187E-5</v>
      </c>
      <c r="T153">
        <v>298763</v>
      </c>
      <c r="U153" s="2">
        <v>9963</v>
      </c>
      <c r="V153">
        <v>5332</v>
      </c>
      <c r="W153" s="2">
        <v>6579000000</v>
      </c>
      <c r="X153" s="6">
        <v>9962.0577240000002</v>
      </c>
      <c r="Y153" s="38">
        <v>10010</v>
      </c>
      <c r="Z153" s="86">
        <f>+((DETALLE_GD_1[[#This Row],[VALOR X UN (GD)]]-DETALLE_GD_1[[#This Row],[VALOR PPTO]])/DETALLE_GD_1[[#This Row],[VALOR PPTO]])</f>
        <v>9.4558774903694853E-5</v>
      </c>
      <c r="AA153" s="2">
        <f>+DETALLE_GD_1[[#This Row],[VALOR PPTO]]*DETALLE_GD_1[[#This Row],[CANTIDAD RECIBIDA]]</f>
        <v>9962.0580000000009</v>
      </c>
      <c r="AB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" s="3">
        <f>+DETALLE_GD_1[[#This Row],[CANTIDAD SOLICITADA]]-DETALLE_GD_1[[#This Row],[DEVOLUCIÓN]]</f>
        <v>6</v>
      </c>
      <c r="AD153" s="38" t="str">
        <f>+_xlfn.XLOOKUP(DETALLE_GD_1[[#This Row],[CODIGO]],PRODUCTOS[CODIGO],PRODUCTOS[DESC CORTA],"",0)</f>
        <v>PINO 1X4X320</v>
      </c>
      <c r="AE153"/>
      <c r="AH153"/>
    </row>
    <row r="154" spans="1:34" x14ac:dyDescent="0.25">
      <c r="A154" s="1">
        <v>45979</v>
      </c>
      <c r="B154" s="1">
        <v>45979</v>
      </c>
      <c r="C154" s="81" t="s">
        <v>15</v>
      </c>
      <c r="D154" s="38">
        <v>11</v>
      </c>
      <c r="E154" s="81" t="s">
        <v>16</v>
      </c>
      <c r="F154">
        <v>307256</v>
      </c>
      <c r="G154" s="81" t="s">
        <v>127</v>
      </c>
      <c r="H154" s="81" t="s">
        <v>20</v>
      </c>
      <c r="I154" s="3">
        <v>10</v>
      </c>
      <c r="J154" s="3"/>
      <c r="K154" s="26">
        <v>10</v>
      </c>
      <c r="L154" s="2">
        <v>1897</v>
      </c>
      <c r="M154" s="2">
        <v>18970</v>
      </c>
      <c r="N154" s="2">
        <v>18970</v>
      </c>
      <c r="O154" s="2">
        <v>1896.9574</v>
      </c>
      <c r="P154" s="2">
        <v>-4.2599999999999999E-2</v>
      </c>
      <c r="Q154" s="2">
        <v>-0.42549999999999999</v>
      </c>
      <c r="R154" s="4">
        <v>-2.2432237511334152E-5</v>
      </c>
      <c r="T154">
        <v>298759</v>
      </c>
      <c r="U154" s="2">
        <v>18970</v>
      </c>
      <c r="V154">
        <v>5332</v>
      </c>
      <c r="W154" s="2">
        <v>6579000000</v>
      </c>
      <c r="X154" s="6">
        <v>18969.57447</v>
      </c>
      <c r="Y154" s="38">
        <v>10010</v>
      </c>
      <c r="Z154" s="86">
        <f>+((DETALLE_GD_1[[#This Row],[VALOR X UN (GD)]]-DETALLE_GD_1[[#This Row],[VALOR PPTO]])/DETALLE_GD_1[[#This Row],[VALOR PPTO]])</f>
        <v>2.245701458556375E-5</v>
      </c>
      <c r="AA154" s="2">
        <f>+DETALLE_GD_1[[#This Row],[VALOR PPTO]]*DETALLE_GD_1[[#This Row],[CANTIDAD RECIBIDA]]</f>
        <v>18969.574000000001</v>
      </c>
      <c r="AB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" s="3">
        <f>+DETALLE_GD_1[[#This Row],[CANTIDAD SOLICITADA]]-DETALLE_GD_1[[#This Row],[DEVOLUCIÓN]]</f>
        <v>10</v>
      </c>
      <c r="AD154" s="38" t="str">
        <f>+_xlfn.XLOOKUP(DETALLE_GD_1[[#This Row],[CODIGO]],PRODUCTOS[CODIGO],PRODUCTOS[DESC CORTA],"",0)</f>
        <v>PINO 1X4X320</v>
      </c>
      <c r="AE154"/>
      <c r="AH154"/>
    </row>
    <row r="155" spans="1:34" x14ac:dyDescent="0.25">
      <c r="A155" s="1">
        <v>45975</v>
      </c>
      <c r="B155" s="1">
        <v>45975</v>
      </c>
      <c r="C155" s="81" t="s">
        <v>375</v>
      </c>
      <c r="D155" s="38">
        <v>11</v>
      </c>
      <c r="E155" s="81" t="s">
        <v>148</v>
      </c>
      <c r="F155">
        <v>1003500</v>
      </c>
      <c r="G155" s="81" t="s">
        <v>149</v>
      </c>
      <c r="H155" s="81" t="s">
        <v>137</v>
      </c>
      <c r="I155" s="3">
        <v>20</v>
      </c>
      <c r="J155" s="3"/>
      <c r="K155" s="26">
        <v>20</v>
      </c>
      <c r="L155" s="2">
        <v>5092.1000000000004</v>
      </c>
      <c r="M155" s="2">
        <v>101842</v>
      </c>
      <c r="N155" s="2">
        <v>101842</v>
      </c>
      <c r="O155" s="2">
        <v>5092.1000000000004</v>
      </c>
      <c r="P155" s="2">
        <v>0</v>
      </c>
      <c r="Q155" s="2">
        <v>0</v>
      </c>
      <c r="R155" s="4">
        <v>1.7860896325150001E-16</v>
      </c>
      <c r="T155">
        <v>298501</v>
      </c>
      <c r="U155" s="2">
        <v>101842</v>
      </c>
      <c r="V155">
        <v>5332</v>
      </c>
      <c r="W155" s="2">
        <v>6579000000</v>
      </c>
      <c r="X155" s="6">
        <v>101842.00000000004</v>
      </c>
      <c r="Y155" s="38">
        <v>10010</v>
      </c>
      <c r="Z155" s="86">
        <f>+((DETALLE_GD_1[[#This Row],[VALOR X UN (GD)]]-DETALLE_GD_1[[#This Row],[VALOR PPTO]])/DETALLE_GD_1[[#This Row],[VALOR PPTO]])</f>
        <v>0</v>
      </c>
      <c r="AA155" s="2">
        <f>+DETALLE_GD_1[[#This Row],[VALOR PPTO]]*DETALLE_GD_1[[#This Row],[CANTIDAD RECIBIDA]]</f>
        <v>101842</v>
      </c>
      <c r="AB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" s="3">
        <f>+DETALLE_GD_1[[#This Row],[CANTIDAD SOLICITADA]]-DETALLE_GD_1[[#This Row],[DEVOLUCIÓN]]</f>
        <v>20</v>
      </c>
      <c r="AD155" s="38" t="str">
        <f>+_xlfn.XLOOKUP(DETALLE_GD_1[[#This Row],[CODIGO]],PRODUCTOS[CODIGO],PRODUCTOS[DESC CORTA],"",0)</f>
        <v>FORRO DE INICIO</v>
      </c>
      <c r="AE155"/>
      <c r="AH155"/>
    </row>
    <row r="156" spans="1:34" x14ac:dyDescent="0.25">
      <c r="A156" s="1">
        <v>45974</v>
      </c>
      <c r="B156" s="1">
        <v>45974</v>
      </c>
      <c r="C156" s="81" t="s">
        <v>15</v>
      </c>
      <c r="D156" s="38">
        <v>11</v>
      </c>
      <c r="E156" s="81" t="s">
        <v>16</v>
      </c>
      <c r="F156" t="s">
        <v>87</v>
      </c>
      <c r="G156" s="81" t="s">
        <v>88</v>
      </c>
      <c r="H156" s="81" t="s">
        <v>20</v>
      </c>
      <c r="I156" s="3">
        <v>1</v>
      </c>
      <c r="J156" s="3"/>
      <c r="K156" s="26">
        <v>1</v>
      </c>
      <c r="L156" s="2">
        <v>17998</v>
      </c>
      <c r="M156" s="2">
        <v>17998</v>
      </c>
      <c r="N156" s="2">
        <v>17998</v>
      </c>
      <c r="O156" s="2">
        <v>17998</v>
      </c>
      <c r="P156" s="2">
        <v>0</v>
      </c>
      <c r="Q156" s="2">
        <v>0</v>
      </c>
      <c r="R156" s="4">
        <v>0</v>
      </c>
      <c r="T156">
        <v>298385</v>
      </c>
      <c r="U156" s="2">
        <v>17998</v>
      </c>
      <c r="V156">
        <v>5332</v>
      </c>
      <c r="W156" s="2">
        <v>6579000000</v>
      </c>
      <c r="X156" s="6">
        <v>17998</v>
      </c>
      <c r="Y156" s="38">
        <v>10010</v>
      </c>
      <c r="Z156" s="86">
        <f>+((DETALLE_GD_1[[#This Row],[VALOR X UN (GD)]]-DETALLE_GD_1[[#This Row],[VALOR PPTO]])/DETALLE_GD_1[[#This Row],[VALOR PPTO]])</f>
        <v>0</v>
      </c>
      <c r="AA156" s="2">
        <f>+DETALLE_GD_1[[#This Row],[VALOR PPTO]]*DETALLE_GD_1[[#This Row],[CANTIDAD RECIBIDA]]</f>
        <v>17998</v>
      </c>
      <c r="AB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" s="3">
        <f>+DETALLE_GD_1[[#This Row],[CANTIDAD SOLICITADA]]-DETALLE_GD_1[[#This Row],[DEVOLUCIÓN]]</f>
        <v>1</v>
      </c>
      <c r="AD156" s="38" t="str">
        <f>+_xlfn.XLOOKUP(DETALLE_GD_1[[#This Row],[CODIGO]],PRODUCTOS[CODIGO],PRODUCTOS[DESC CORTA],"",0)</f>
        <v>PINO 2X10X12</v>
      </c>
      <c r="AE156"/>
      <c r="AH156"/>
    </row>
    <row r="157" spans="1:34" x14ac:dyDescent="0.25">
      <c r="A157" s="1">
        <v>45973</v>
      </c>
      <c r="B157" s="1">
        <v>45973</v>
      </c>
      <c r="C157" s="81" t="s">
        <v>15</v>
      </c>
      <c r="D157" s="38">
        <v>11</v>
      </c>
      <c r="E157" s="81" t="s">
        <v>151</v>
      </c>
      <c r="F157">
        <v>409027</v>
      </c>
      <c r="G157" s="81" t="s">
        <v>152</v>
      </c>
      <c r="H157" s="81" t="s">
        <v>137</v>
      </c>
      <c r="I157" s="3">
        <v>11</v>
      </c>
      <c r="J157" s="3"/>
      <c r="K157" s="26">
        <v>11</v>
      </c>
      <c r="L157" s="2">
        <v>6315.4544999999998</v>
      </c>
      <c r="M157" s="2">
        <v>69470</v>
      </c>
      <c r="N157" s="2">
        <v>69470</v>
      </c>
      <c r="O157" s="2">
        <v>6469.1027999999997</v>
      </c>
      <c r="P157" s="2">
        <v>153.64830000000001</v>
      </c>
      <c r="Q157" s="2">
        <v>1690.1313</v>
      </c>
      <c r="R157" s="4">
        <v>2.3751098904959959E-2</v>
      </c>
      <c r="T157">
        <v>298272</v>
      </c>
      <c r="U157" s="2">
        <v>69470</v>
      </c>
      <c r="V157">
        <v>5332</v>
      </c>
      <c r="W157" s="2">
        <v>6579000000</v>
      </c>
      <c r="X157" s="6">
        <v>71160.131317000007</v>
      </c>
      <c r="Y157" s="38">
        <v>10010</v>
      </c>
      <c r="Z157" s="86">
        <f>+((DETALLE_GD_1[[#This Row],[VALOR X UN (GD)]]-DETALLE_GD_1[[#This Row],[VALOR PPTO]])/DETALLE_GD_1[[#This Row],[VALOR PPTO]])</f>
        <v>-2.3751098838620997E-2</v>
      </c>
      <c r="AA157" s="2">
        <f>+DETALLE_GD_1[[#This Row],[VALOR PPTO]]*DETALLE_GD_1[[#This Row],[CANTIDAD RECIBIDA]]</f>
        <v>71160.130799999999</v>
      </c>
      <c r="AB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" s="3">
        <f>+DETALLE_GD_1[[#This Row],[CANTIDAD SOLICITADA]]-DETALLE_GD_1[[#This Row],[DEVOLUCIÓN]]</f>
        <v>11</v>
      </c>
      <c r="AD157" s="38" t="str">
        <f>+_xlfn.XLOOKUP(DETALLE_GD_1[[#This Row],[CODIGO]],PRODUCTOS[CODIGO],PRODUCTOS[DESC CORTA],"",0)</f>
        <v>MOLDURA ALUMINIO NATURAL</v>
      </c>
      <c r="AE157"/>
      <c r="AH157"/>
    </row>
    <row r="158" spans="1:34" x14ac:dyDescent="0.25">
      <c r="A158" s="1">
        <v>45973</v>
      </c>
      <c r="B158" s="1">
        <v>45973</v>
      </c>
      <c r="C158" s="81" t="s">
        <v>15</v>
      </c>
      <c r="D158" s="38">
        <v>11</v>
      </c>
      <c r="E158" s="81" t="s">
        <v>151</v>
      </c>
      <c r="F158" t="s">
        <v>153</v>
      </c>
      <c r="G158" s="81" t="s">
        <v>154</v>
      </c>
      <c r="H158" s="81" t="s">
        <v>26</v>
      </c>
      <c r="I158" s="3">
        <v>102</v>
      </c>
      <c r="J158" s="3"/>
      <c r="K158" s="26">
        <v>102</v>
      </c>
      <c r="L158" s="2">
        <v>5800.2941000000001</v>
      </c>
      <c r="M158" s="2">
        <v>591630</v>
      </c>
      <c r="N158" s="2">
        <v>591630</v>
      </c>
      <c r="O158" s="2">
        <v>5771.9988999999996</v>
      </c>
      <c r="P158" s="2">
        <v>-28.295200000000001</v>
      </c>
      <c r="Q158" s="2">
        <v>-2886.1079</v>
      </c>
      <c r="R158" s="4">
        <v>-4.9021449815536688E-3</v>
      </c>
      <c r="T158">
        <v>298260</v>
      </c>
      <c r="U158" s="2">
        <v>1683728</v>
      </c>
      <c r="V158">
        <v>5332</v>
      </c>
      <c r="W158" s="2">
        <v>6579000000</v>
      </c>
      <c r="X158" s="6">
        <v>588743.89208400005</v>
      </c>
      <c r="Y158" s="38">
        <v>10010</v>
      </c>
      <c r="Z158" s="86">
        <f>+((DETALLE_GD_1[[#This Row],[VALOR X UN (GD)]]-DETALLE_GD_1[[#This Row],[VALOR PPTO]])/DETALLE_GD_1[[#This Row],[VALOR PPTO]])</f>
        <v>4.9021492363764104E-3</v>
      </c>
      <c r="AA158" s="2">
        <f>+DETALLE_GD_1[[#This Row],[VALOR PPTO]]*DETALLE_GD_1[[#This Row],[CANTIDAD RECIBIDA]]</f>
        <v>588743.88779999991</v>
      </c>
      <c r="AB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" s="3">
        <f>+DETALLE_GD_1[[#This Row],[CANTIDAD SOLICITADA]]-DETALLE_GD_1[[#This Row],[DEVOLUCIÓN]]</f>
        <v>102</v>
      </c>
      <c r="AD158" s="38">
        <f>+_xlfn.XLOOKUP(DETALLE_GD_1[[#This Row],[CODIGO]],PRODUCTOS[CODIGO],PRODUCTOS[DESC CORTA],"",0)</f>
        <v>0</v>
      </c>
      <c r="AE158"/>
      <c r="AH158"/>
    </row>
    <row r="159" spans="1:34" x14ac:dyDescent="0.25">
      <c r="A159" s="1">
        <v>45973</v>
      </c>
      <c r="B159" s="1">
        <v>45973</v>
      </c>
      <c r="C159" s="81" t="s">
        <v>15</v>
      </c>
      <c r="D159" s="38">
        <v>11</v>
      </c>
      <c r="E159" s="81" t="s">
        <v>151</v>
      </c>
      <c r="F159">
        <v>1902003</v>
      </c>
      <c r="G159" s="81" t="s">
        <v>155</v>
      </c>
      <c r="H159" s="81" t="s">
        <v>47</v>
      </c>
      <c r="I159" s="3">
        <v>1</v>
      </c>
      <c r="J159" s="3"/>
      <c r="K159" s="26">
        <v>1</v>
      </c>
      <c r="L159" s="2">
        <v>150594</v>
      </c>
      <c r="M159" s="2">
        <v>150594</v>
      </c>
      <c r="N159" s="2">
        <v>150594</v>
      </c>
      <c r="O159" s="2">
        <v>150703.9755</v>
      </c>
      <c r="P159" s="2">
        <v>109.9755</v>
      </c>
      <c r="Q159" s="2">
        <v>109.9755</v>
      </c>
      <c r="R159" s="4">
        <v>7.2974491657751685E-4</v>
      </c>
      <c r="T159">
        <v>298260</v>
      </c>
      <c r="U159" s="2"/>
      <c r="V159">
        <v>5332</v>
      </c>
      <c r="W159" s="2">
        <v>6579000000</v>
      </c>
      <c r="X159" s="6">
        <v>150703.97545999996</v>
      </c>
      <c r="Y159" s="38">
        <v>10010</v>
      </c>
      <c r="Z159" s="86">
        <f>+((DETALLE_GD_1[[#This Row],[VALOR X UN (GD)]]-DETALLE_GD_1[[#This Row],[VALOR PPTO]])/DETALLE_GD_1[[#This Row],[VALOR PPTO]])</f>
        <v>-7.2974518180511086E-4</v>
      </c>
      <c r="AA159" s="2">
        <f>+DETALLE_GD_1[[#This Row],[VALOR PPTO]]*DETALLE_GD_1[[#This Row],[CANTIDAD RECIBIDA]]</f>
        <v>150703.9755</v>
      </c>
      <c r="AB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" s="3">
        <f>+DETALLE_GD_1[[#This Row],[CANTIDAD SOLICITADA]]-DETALLE_GD_1[[#This Row],[DEVOLUCIÓN]]</f>
        <v>1</v>
      </c>
      <c r="AD159" s="38">
        <f>+_xlfn.XLOOKUP(DETALLE_GD_1[[#This Row],[CODIGO]],PRODUCTOS[CODIGO],PRODUCTOS[DESC CORTA],"",0)</f>
        <v>0</v>
      </c>
      <c r="AE159"/>
      <c r="AH159"/>
    </row>
    <row r="160" spans="1:34" x14ac:dyDescent="0.25">
      <c r="A160" s="1">
        <v>45973</v>
      </c>
      <c r="B160" s="1">
        <v>45973</v>
      </c>
      <c r="C160" s="81" t="s">
        <v>15</v>
      </c>
      <c r="D160" s="38">
        <v>11</v>
      </c>
      <c r="E160" s="81" t="s">
        <v>151</v>
      </c>
      <c r="F160">
        <v>1901038</v>
      </c>
      <c r="G160" s="81" t="s">
        <v>39</v>
      </c>
      <c r="H160" s="81" t="s">
        <v>26</v>
      </c>
      <c r="I160" s="3">
        <v>21</v>
      </c>
      <c r="J160" s="3"/>
      <c r="K160" s="26">
        <v>21</v>
      </c>
      <c r="L160" s="2">
        <v>4311.3810000000003</v>
      </c>
      <c r="M160" s="2">
        <v>90539</v>
      </c>
      <c r="N160" s="2">
        <v>90539</v>
      </c>
      <c r="O160" s="2">
        <v>4197.4179000000004</v>
      </c>
      <c r="P160" s="2">
        <v>-113.9631</v>
      </c>
      <c r="Q160" s="2">
        <v>-2393.2246</v>
      </c>
      <c r="R160" s="4">
        <v>-2.7150758102908984E-2</v>
      </c>
      <c r="T160">
        <v>298260</v>
      </c>
      <c r="U160" s="2"/>
      <c r="V160">
        <v>5332</v>
      </c>
      <c r="W160" s="2">
        <v>6579000000</v>
      </c>
      <c r="X160" s="6">
        <v>88145.775375000027</v>
      </c>
      <c r="Y160" s="38">
        <v>10010</v>
      </c>
      <c r="Z160" s="86">
        <f>+((DETALLE_GD_1[[#This Row],[VALOR X UN (GD)]]-DETALLE_GD_1[[#This Row],[VALOR PPTO]])/DETALLE_GD_1[[#This Row],[VALOR PPTO]])</f>
        <v>2.7150763329998648E-2</v>
      </c>
      <c r="AA160" s="2">
        <f>+DETALLE_GD_1[[#This Row],[VALOR PPTO]]*DETALLE_GD_1[[#This Row],[CANTIDAD RECIBIDA]]</f>
        <v>88145.775900000008</v>
      </c>
      <c r="AB1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0" s="3">
        <f>+DETALLE_GD_1[[#This Row],[CANTIDAD SOLICITADA]]-DETALLE_GD_1[[#This Row],[DEVOLUCIÓN]]</f>
        <v>21</v>
      </c>
      <c r="AD160" s="38" t="str">
        <f>+_xlfn.XLOOKUP(DETALLE_GD_1[[#This Row],[CODIGO]],PRODUCTOS[CODIGO],PRODUCTOS[DESC CORTA],"",0)</f>
        <v>AISLAN ROCA 90MM</v>
      </c>
      <c r="AE160"/>
      <c r="AH160"/>
    </row>
    <row r="161" spans="1:34" x14ac:dyDescent="0.25">
      <c r="A161" s="1">
        <v>45973</v>
      </c>
      <c r="B161" s="1">
        <v>45973</v>
      </c>
      <c r="C161" s="81" t="s">
        <v>15</v>
      </c>
      <c r="D161" s="38">
        <v>11</v>
      </c>
      <c r="E161" s="81" t="s">
        <v>151</v>
      </c>
      <c r="F161">
        <v>304002</v>
      </c>
      <c r="G161" s="81" t="s">
        <v>37</v>
      </c>
      <c r="H161" s="81" t="s">
        <v>18</v>
      </c>
      <c r="I161" s="3">
        <v>35</v>
      </c>
      <c r="J161" s="3"/>
      <c r="K161" s="26">
        <v>35</v>
      </c>
      <c r="L161" s="2">
        <v>21814.942899999998</v>
      </c>
      <c r="M161" s="2">
        <v>763523</v>
      </c>
      <c r="N161" s="2">
        <v>763523</v>
      </c>
      <c r="O161" s="2">
        <v>21246.5072</v>
      </c>
      <c r="P161" s="2">
        <v>-568.4357</v>
      </c>
      <c r="Q161" s="2">
        <v>-19895.249599999999</v>
      </c>
      <c r="R161" s="4">
        <v>-2.675431307600095E-2</v>
      </c>
      <c r="T161">
        <v>298260</v>
      </c>
      <c r="U161" s="2"/>
      <c r="V161">
        <v>5332</v>
      </c>
      <c r="W161" s="2">
        <v>6579000000</v>
      </c>
      <c r="X161" s="6">
        <v>743627.75035500003</v>
      </c>
      <c r="Y161" s="38">
        <v>10010</v>
      </c>
      <c r="Z161" s="86">
        <f>+((DETALLE_GD_1[[#This Row],[VALOR X UN (GD)]]-DETALLE_GD_1[[#This Row],[VALOR PPTO]])/DETALLE_GD_1[[#This Row],[VALOR PPTO]])</f>
        <v>2.6754312821826928E-2</v>
      </c>
      <c r="AA161" s="2">
        <f>+DETALLE_GD_1[[#This Row],[VALOR PPTO]]*DETALLE_GD_1[[#This Row],[CANTIDAD RECIBIDA]]</f>
        <v>743627.75199999998</v>
      </c>
      <c r="AB1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1" s="3">
        <f>+DETALLE_GD_1[[#This Row],[CANTIDAD SOLICITADA]]-DETALLE_GD_1[[#This Row],[DEVOLUCIÓN]]</f>
        <v>35</v>
      </c>
      <c r="AD161" s="38" t="str">
        <f>+_xlfn.XLOOKUP(DETALLE_GD_1[[#This Row],[CODIGO]],PRODUCTOS[CODIGO],PRODUCTOS[DESC CORTA],"",0)</f>
        <v>SMARTPANEL</v>
      </c>
      <c r="AE161"/>
      <c r="AH161"/>
    </row>
    <row r="162" spans="1:34" x14ac:dyDescent="0.25">
      <c r="A162" s="1">
        <v>45973</v>
      </c>
      <c r="B162" s="1">
        <v>45973</v>
      </c>
      <c r="C162" s="81" t="s">
        <v>15</v>
      </c>
      <c r="D162" s="38">
        <v>11</v>
      </c>
      <c r="E162" s="81" t="s">
        <v>151</v>
      </c>
      <c r="F162">
        <v>2302017</v>
      </c>
      <c r="G162" s="81" t="s">
        <v>156</v>
      </c>
      <c r="H162" s="81" t="s">
        <v>25</v>
      </c>
      <c r="I162" s="3">
        <v>1</v>
      </c>
      <c r="J162" s="3"/>
      <c r="K162" s="26">
        <v>1</v>
      </c>
      <c r="L162" s="2">
        <v>81127</v>
      </c>
      <c r="M162" s="2">
        <v>81127</v>
      </c>
      <c r="N162" s="2">
        <v>81127</v>
      </c>
      <c r="O162" s="2">
        <v>81197.881599999993</v>
      </c>
      <c r="P162" s="2">
        <v>70.881600000000006</v>
      </c>
      <c r="Q162" s="2">
        <v>70.881600000000006</v>
      </c>
      <c r="R162" s="4">
        <v>8.7294862404773484E-4</v>
      </c>
      <c r="T162">
        <v>298260</v>
      </c>
      <c r="U162" s="2"/>
      <c r="V162">
        <v>5332</v>
      </c>
      <c r="W162" s="2">
        <v>6579000000</v>
      </c>
      <c r="X162" s="6">
        <v>81197.881578999979</v>
      </c>
      <c r="Y162" s="38">
        <v>10010</v>
      </c>
      <c r="Z162" s="86">
        <f>+((DETALLE_GD_1[[#This Row],[VALOR X UN (GD)]]-DETALLE_GD_1[[#This Row],[VALOR PPTO]])/DETALLE_GD_1[[#This Row],[VALOR PPTO]])</f>
        <v>-8.7294888244958044E-4</v>
      </c>
      <c r="AA162" s="2">
        <f>+DETALLE_GD_1[[#This Row],[VALOR PPTO]]*DETALLE_GD_1[[#This Row],[CANTIDAD RECIBIDA]]</f>
        <v>81197.881599999993</v>
      </c>
      <c r="AB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" s="3">
        <f>+DETALLE_GD_1[[#This Row],[CANTIDAD SOLICITADA]]-DETALLE_GD_1[[#This Row],[DEVOLUCIÓN]]</f>
        <v>1</v>
      </c>
      <c r="AD162" s="38">
        <f>+_xlfn.XLOOKUP(DETALLE_GD_1[[#This Row],[CODIGO]],PRODUCTOS[CODIGO],PRODUCTOS[DESC CORTA],"",0)</f>
        <v>0</v>
      </c>
      <c r="AE162"/>
      <c r="AH162"/>
    </row>
    <row r="163" spans="1:34" x14ac:dyDescent="0.25">
      <c r="A163" s="1">
        <v>45973</v>
      </c>
      <c r="B163" s="1">
        <v>45973</v>
      </c>
      <c r="C163" s="81" t="s">
        <v>15</v>
      </c>
      <c r="D163" s="38">
        <v>11</v>
      </c>
      <c r="E163" s="81" t="s">
        <v>151</v>
      </c>
      <c r="F163">
        <v>409027</v>
      </c>
      <c r="G163" s="81" t="s">
        <v>152</v>
      </c>
      <c r="H163" s="81" t="s">
        <v>137</v>
      </c>
      <c r="I163" s="3">
        <v>1</v>
      </c>
      <c r="J163" s="3"/>
      <c r="K163" s="26">
        <v>1</v>
      </c>
      <c r="L163" s="2">
        <v>6315</v>
      </c>
      <c r="M163" s="2">
        <v>6315</v>
      </c>
      <c r="N163" s="2">
        <v>6315</v>
      </c>
      <c r="O163" s="2">
        <v>6469.1027999999997</v>
      </c>
      <c r="P163" s="2">
        <v>154.1028</v>
      </c>
      <c r="Q163" s="2">
        <v>154.1028</v>
      </c>
      <c r="R163" s="4">
        <v>2.3821362968663298E-2</v>
      </c>
      <c r="T163">
        <v>298260</v>
      </c>
      <c r="U163" s="2"/>
      <c r="V163">
        <v>5332</v>
      </c>
      <c r="W163" s="2">
        <v>6579000000</v>
      </c>
      <c r="X163" s="6">
        <v>6469.1028470000001</v>
      </c>
      <c r="Y163" s="38">
        <v>10010</v>
      </c>
      <c r="Z163" s="86">
        <f>+((DETALLE_GD_1[[#This Row],[VALOR X UN (GD)]]-DETALLE_GD_1[[#This Row],[VALOR PPTO]])/DETALLE_GD_1[[#This Row],[VALOR PPTO]])</f>
        <v>-2.3821355876428439E-2</v>
      </c>
      <c r="AA163" s="2">
        <f>+DETALLE_GD_1[[#This Row],[VALOR PPTO]]*DETALLE_GD_1[[#This Row],[CANTIDAD RECIBIDA]]</f>
        <v>6469.1027999999997</v>
      </c>
      <c r="AB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" s="3">
        <f>+DETALLE_GD_1[[#This Row],[CANTIDAD SOLICITADA]]-DETALLE_GD_1[[#This Row],[DEVOLUCIÓN]]</f>
        <v>1</v>
      </c>
      <c r="AD163" s="38" t="str">
        <f>+_xlfn.XLOOKUP(DETALLE_GD_1[[#This Row],[CODIGO]],PRODUCTOS[CODIGO],PRODUCTOS[DESC CORTA],"",0)</f>
        <v>MOLDURA ALUMINIO NATURAL</v>
      </c>
      <c r="AE163"/>
      <c r="AH163"/>
    </row>
    <row r="164" spans="1:34" x14ac:dyDescent="0.25">
      <c r="A164" s="1">
        <v>45971</v>
      </c>
      <c r="B164" s="1">
        <v>45971</v>
      </c>
      <c r="C164" s="81" t="s">
        <v>75</v>
      </c>
      <c r="D164" s="38">
        <v>11</v>
      </c>
      <c r="E164" s="81" t="s">
        <v>124</v>
      </c>
      <c r="F164">
        <v>2302098</v>
      </c>
      <c r="G164" s="81" t="s">
        <v>24</v>
      </c>
      <c r="H164" s="81" t="s">
        <v>25</v>
      </c>
      <c r="I164" s="3">
        <v>1</v>
      </c>
      <c r="J164" s="3"/>
      <c r="K164" s="26">
        <v>1</v>
      </c>
      <c r="L164" s="2">
        <v>21213</v>
      </c>
      <c r="M164" s="2">
        <v>21213</v>
      </c>
      <c r="N164" s="2">
        <v>21213</v>
      </c>
      <c r="O164" s="2">
        <v>21213</v>
      </c>
      <c r="P164" s="2">
        <v>0</v>
      </c>
      <c r="Q164" s="2">
        <v>0</v>
      </c>
      <c r="R164" s="4">
        <v>-1.7149761029050001E-16</v>
      </c>
      <c r="T164">
        <v>297982</v>
      </c>
      <c r="U164" s="2">
        <v>3075589</v>
      </c>
      <c r="V164">
        <v>5332</v>
      </c>
      <c r="W164" s="2">
        <v>6579000000</v>
      </c>
      <c r="X164" s="6">
        <v>21212.999999999996</v>
      </c>
      <c r="Y164" s="38">
        <v>10010</v>
      </c>
      <c r="Z164" s="86">
        <f>+((DETALLE_GD_1[[#This Row],[VALOR X UN (GD)]]-DETALLE_GD_1[[#This Row],[VALOR PPTO]])/DETALLE_GD_1[[#This Row],[VALOR PPTO]])</f>
        <v>0</v>
      </c>
      <c r="AA164" s="2">
        <f>+DETALLE_GD_1[[#This Row],[VALOR PPTO]]*DETALLE_GD_1[[#This Row],[CANTIDAD RECIBIDA]]</f>
        <v>21213</v>
      </c>
      <c r="AB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" s="3">
        <f>+DETALLE_GD_1[[#This Row],[CANTIDAD SOLICITADA]]-DETALLE_GD_1[[#This Row],[DEVOLUCIÓN]]</f>
        <v>1</v>
      </c>
      <c r="AD164" s="38" t="str">
        <f>+_xlfn.XLOOKUP(DETALLE_GD_1[[#This Row],[CODIGO]],PRODUCTOS[CODIGO],PRODUCTOS[DESC CORTA],"",0)</f>
        <v>COLA FRIA</v>
      </c>
      <c r="AE164"/>
      <c r="AH164"/>
    </row>
    <row r="165" spans="1:34" x14ac:dyDescent="0.25">
      <c r="A165" s="1">
        <v>45971</v>
      </c>
      <c r="B165" s="1">
        <v>45971</v>
      </c>
      <c r="C165" s="81" t="s">
        <v>75</v>
      </c>
      <c r="D165" s="38">
        <v>11</v>
      </c>
      <c r="E165" s="81" t="s">
        <v>124</v>
      </c>
      <c r="F165">
        <v>302044</v>
      </c>
      <c r="G165" s="81" t="s">
        <v>247</v>
      </c>
      <c r="H165" s="81" t="s">
        <v>20</v>
      </c>
      <c r="I165" s="3">
        <v>75</v>
      </c>
      <c r="J165" s="3"/>
      <c r="K165" s="26">
        <v>75</v>
      </c>
      <c r="L165" s="2">
        <v>13934.4</v>
      </c>
      <c r="M165" s="2">
        <v>1045080</v>
      </c>
      <c r="N165" s="2">
        <v>1045080</v>
      </c>
      <c r="O165" s="2">
        <v>13725.9625</v>
      </c>
      <c r="P165" s="2">
        <v>-208.4375</v>
      </c>
      <c r="Q165" s="2">
        <v>-15632.8099</v>
      </c>
      <c r="R165" s="4">
        <v>-1.5185635650956191E-2</v>
      </c>
      <c r="T165">
        <v>297982</v>
      </c>
      <c r="U165" s="2"/>
      <c r="V165">
        <v>5332</v>
      </c>
      <c r="W165" s="2">
        <v>6579000000</v>
      </c>
      <c r="X165" s="6">
        <v>1029447.19005</v>
      </c>
      <c r="Y165" s="38">
        <v>10010</v>
      </c>
      <c r="Z165" s="86">
        <f>+((DETALLE_GD_1[[#This Row],[VALOR X UN (GD)]]-DETALLE_GD_1[[#This Row],[VALOR PPTO]])/DETALLE_GD_1[[#This Row],[VALOR PPTO]])</f>
        <v>1.5185638165629551E-2</v>
      </c>
      <c r="AA165" s="2">
        <f>+DETALLE_GD_1[[#This Row],[VALOR PPTO]]*DETALLE_GD_1[[#This Row],[CANTIDAD RECIBIDA]]</f>
        <v>1029447.1875</v>
      </c>
      <c r="AB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5" s="3">
        <f>+DETALLE_GD_1[[#This Row],[CANTIDAD SOLICITADA]]-DETALLE_GD_1[[#This Row],[DEVOLUCIÓN]]</f>
        <v>75</v>
      </c>
      <c r="AD165" s="38" t="str">
        <f>+_xlfn.XLOOKUP(DETALLE_GD_1[[#This Row],[CODIGO]],PRODUCTOS[CODIGO],PRODUCTOS[DESC CORTA],"",0)</f>
        <v>PINO 2X8X4</v>
      </c>
      <c r="AE165"/>
      <c r="AH165"/>
    </row>
    <row r="166" spans="1:34" x14ac:dyDescent="0.25">
      <c r="A166" s="1">
        <v>45971</v>
      </c>
      <c r="B166" s="1">
        <v>45971</v>
      </c>
      <c r="C166" s="81" t="s">
        <v>75</v>
      </c>
      <c r="D166" s="38">
        <v>11</v>
      </c>
      <c r="E166" s="81" t="s">
        <v>124</v>
      </c>
      <c r="F166" t="s">
        <v>21</v>
      </c>
      <c r="G166" s="81" t="s">
        <v>22</v>
      </c>
      <c r="H166" s="81" t="s">
        <v>20</v>
      </c>
      <c r="I166" s="3">
        <v>20</v>
      </c>
      <c r="J166" s="3"/>
      <c r="K166" s="26">
        <v>20</v>
      </c>
      <c r="L166" s="2">
        <v>15742.7</v>
      </c>
      <c r="M166" s="2">
        <v>314854</v>
      </c>
      <c r="N166" s="2">
        <v>314854</v>
      </c>
      <c r="O166" s="2">
        <v>15359.702799999999</v>
      </c>
      <c r="P166" s="2">
        <v>-382.99720000000002</v>
      </c>
      <c r="Q166" s="2">
        <v>-7659.9443000000001</v>
      </c>
      <c r="R166" s="4">
        <v>-2.4935197012667817E-2</v>
      </c>
      <c r="T166">
        <v>297982</v>
      </c>
      <c r="U166" s="2"/>
      <c r="V166">
        <v>5332</v>
      </c>
      <c r="W166" s="2">
        <v>6579000000</v>
      </c>
      <c r="X166" s="6">
        <v>307194.05570000008</v>
      </c>
      <c r="Y166" s="38">
        <v>10010</v>
      </c>
      <c r="Z166" s="86">
        <f>+((DETALLE_GD_1[[#This Row],[VALOR X UN (GD)]]-DETALLE_GD_1[[#This Row],[VALOR PPTO]])/DETALLE_GD_1[[#This Row],[VALOR PPTO]])</f>
        <v>2.4935196011735439E-2</v>
      </c>
      <c r="AA166" s="2">
        <f>+DETALLE_GD_1[[#This Row],[VALOR PPTO]]*DETALLE_GD_1[[#This Row],[CANTIDAD RECIBIDA]]</f>
        <v>307194.05599999998</v>
      </c>
      <c r="AB1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6" s="3">
        <f>+DETALLE_GD_1[[#This Row],[CANTIDAD SOLICITADA]]-DETALLE_GD_1[[#This Row],[DEVOLUCIÓN]]</f>
        <v>20</v>
      </c>
      <c r="AD166" s="38" t="str">
        <f>+_xlfn.XLOOKUP(DETALLE_GD_1[[#This Row],[CODIGO]],PRODUCTOS[CODIGO],PRODUCTOS[DESC CORTA],"",0)</f>
        <v>PINO 3X8X320</v>
      </c>
      <c r="AE166"/>
      <c r="AH166"/>
    </row>
    <row r="167" spans="1:34" x14ac:dyDescent="0.25">
      <c r="A167" s="1">
        <v>45971</v>
      </c>
      <c r="B167" s="1">
        <v>45971</v>
      </c>
      <c r="C167" s="81" t="s">
        <v>75</v>
      </c>
      <c r="D167" s="38">
        <v>11</v>
      </c>
      <c r="E167" s="81" t="s">
        <v>124</v>
      </c>
      <c r="F167">
        <v>304101</v>
      </c>
      <c r="G167" s="81" t="s">
        <v>17</v>
      </c>
      <c r="H167" s="81" t="s">
        <v>18</v>
      </c>
      <c r="I167" s="3">
        <v>30</v>
      </c>
      <c r="J167" s="3"/>
      <c r="K167" s="26">
        <v>30</v>
      </c>
      <c r="L167" s="2">
        <v>9937.2000000000007</v>
      </c>
      <c r="M167" s="2">
        <v>298116</v>
      </c>
      <c r="N167" s="2">
        <v>298116</v>
      </c>
      <c r="O167" s="2">
        <v>9657.5879999999997</v>
      </c>
      <c r="P167" s="2">
        <v>-279.61200000000002</v>
      </c>
      <c r="Q167" s="2">
        <v>-8388.3615000000009</v>
      </c>
      <c r="R167" s="4">
        <v>-2.8952576093287968E-2</v>
      </c>
      <c r="T167">
        <v>297982</v>
      </c>
      <c r="U167" s="2"/>
      <c r="V167">
        <v>5332</v>
      </c>
      <c r="W167" s="2">
        <v>6579000000</v>
      </c>
      <c r="X167" s="6">
        <v>289727.63850000012</v>
      </c>
      <c r="Y167" s="38">
        <v>10010</v>
      </c>
      <c r="Z167" s="86">
        <f>+((DETALLE_GD_1[[#This Row],[VALOR X UN (GD)]]-DETALLE_GD_1[[#This Row],[VALOR PPTO]])/DETALLE_GD_1[[#This Row],[VALOR PPTO]])</f>
        <v>2.8952570766116861E-2</v>
      </c>
      <c r="AA167" s="2">
        <f>+DETALLE_GD_1[[#This Row],[VALOR PPTO]]*DETALLE_GD_1[[#This Row],[CANTIDAD RECIBIDA]]</f>
        <v>289727.64</v>
      </c>
      <c r="AB1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7" s="3">
        <f>+DETALLE_GD_1[[#This Row],[CANTIDAD SOLICITADA]]-DETALLE_GD_1[[#This Row],[DEVOLUCIÓN]]</f>
        <v>30</v>
      </c>
      <c r="AD167" s="38" t="str">
        <f>+_xlfn.XLOOKUP(DETALLE_GD_1[[#This Row],[CODIGO]],PRODUCTOS[CODIGO],PRODUCTOS[DESC CORTA],"",0)</f>
        <v>OSB 9.5</v>
      </c>
      <c r="AE167"/>
      <c r="AH167"/>
    </row>
    <row r="168" spans="1:34" x14ac:dyDescent="0.25">
      <c r="A168" s="1">
        <v>45971</v>
      </c>
      <c r="B168" s="1">
        <v>45971</v>
      </c>
      <c r="C168" s="81" t="s">
        <v>75</v>
      </c>
      <c r="D168" s="38">
        <v>11</v>
      </c>
      <c r="E168" s="81" t="s">
        <v>124</v>
      </c>
      <c r="F168">
        <v>1901505</v>
      </c>
      <c r="G168" s="81" t="s">
        <v>27</v>
      </c>
      <c r="H168" s="81" t="s">
        <v>28</v>
      </c>
      <c r="I168" s="3">
        <v>20</v>
      </c>
      <c r="J168" s="3"/>
      <c r="K168" s="26">
        <v>20</v>
      </c>
      <c r="L168" s="2">
        <v>1895</v>
      </c>
      <c r="M168" s="2">
        <v>37900</v>
      </c>
      <c r="N168" s="2">
        <v>37900</v>
      </c>
      <c r="O168" s="2">
        <v>1895</v>
      </c>
      <c r="P168" s="2">
        <v>0</v>
      </c>
      <c r="Q168" s="2">
        <v>0</v>
      </c>
      <c r="R168" s="4">
        <v>0</v>
      </c>
      <c r="T168">
        <v>297982</v>
      </c>
      <c r="U168" s="2"/>
      <c r="V168">
        <v>5332</v>
      </c>
      <c r="W168" s="2">
        <v>6579000000</v>
      </c>
      <c r="X168" s="6">
        <v>37900</v>
      </c>
      <c r="Y168" s="38">
        <v>10010</v>
      </c>
      <c r="Z168" s="86">
        <f>+((DETALLE_GD_1[[#This Row],[VALOR X UN (GD)]]-DETALLE_GD_1[[#This Row],[VALOR PPTO]])/DETALLE_GD_1[[#This Row],[VALOR PPTO]])</f>
        <v>0</v>
      </c>
      <c r="AA168" s="2">
        <f>+DETALLE_GD_1[[#This Row],[VALOR PPTO]]*DETALLE_GD_1[[#This Row],[CANTIDAD RECIBIDA]]</f>
        <v>37900</v>
      </c>
      <c r="AB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" s="3">
        <f>+DETALLE_GD_1[[#This Row],[CANTIDAD SOLICITADA]]-DETALLE_GD_1[[#This Row],[DEVOLUCIÓN]]</f>
        <v>20</v>
      </c>
      <c r="AD168" s="38" t="str">
        <f>+_xlfn.XLOOKUP(DETALLE_GD_1[[#This Row],[CODIGO]],PRODUCTOS[CODIGO],PRODUCTOS[DESC CORTA],"",0)</f>
        <v>POLIETILENO</v>
      </c>
      <c r="AE168"/>
      <c r="AH168"/>
    </row>
    <row r="169" spans="1:34" x14ac:dyDescent="0.25">
      <c r="A169" s="1">
        <v>45971</v>
      </c>
      <c r="B169" s="1">
        <v>45971</v>
      </c>
      <c r="C169" s="81" t="s">
        <v>75</v>
      </c>
      <c r="D169" s="38">
        <v>11</v>
      </c>
      <c r="E169" s="81" t="s">
        <v>124</v>
      </c>
      <c r="F169">
        <v>304014</v>
      </c>
      <c r="G169" s="81" t="s">
        <v>23</v>
      </c>
      <c r="H169" s="81" t="s">
        <v>18</v>
      </c>
      <c r="I169" s="3">
        <v>65</v>
      </c>
      <c r="J169" s="3"/>
      <c r="K169" s="26">
        <v>65</v>
      </c>
      <c r="L169" s="2">
        <v>20898.861499999999</v>
      </c>
      <c r="M169" s="2">
        <v>1358426</v>
      </c>
      <c r="N169" s="2">
        <v>1358426</v>
      </c>
      <c r="O169" s="2">
        <v>20894.5723</v>
      </c>
      <c r="P169" s="2">
        <v>-4.2892999999999999</v>
      </c>
      <c r="Q169" s="2">
        <v>-278.80149999999998</v>
      </c>
      <c r="R169" s="4">
        <v>-2.0528074961446692E-4</v>
      </c>
      <c r="T169">
        <v>297982</v>
      </c>
      <c r="U169" s="2"/>
      <c r="V169">
        <v>5332</v>
      </c>
      <c r="W169" s="2">
        <v>6579000000</v>
      </c>
      <c r="X169" s="6">
        <v>1358147.1985249999</v>
      </c>
      <c r="Y169" s="38">
        <v>10010</v>
      </c>
      <c r="Z169" s="86">
        <f>+((DETALLE_GD_1[[#This Row],[VALOR X UN (GD)]]-DETALLE_GD_1[[#This Row],[VALOR PPTO]])/DETALLE_GD_1[[#This Row],[VALOR PPTO]])</f>
        <v>2.0527819083424143E-4</v>
      </c>
      <c r="AA169" s="2">
        <f>+DETALLE_GD_1[[#This Row],[VALOR PPTO]]*DETALLE_GD_1[[#This Row],[CANTIDAD RECIBIDA]]</f>
        <v>1358147.1995000001</v>
      </c>
      <c r="AB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" s="3">
        <f>+DETALLE_GD_1[[#This Row],[CANTIDAD SOLICITADA]]-DETALLE_GD_1[[#This Row],[DEVOLUCIÓN]]</f>
        <v>65</v>
      </c>
      <c r="AD169" s="38">
        <f>+_xlfn.XLOOKUP(DETALLE_GD_1[[#This Row],[CODIGO]],PRODUCTOS[CODIGO],PRODUCTOS[DESC CORTA],"",0)</f>
        <v>0</v>
      </c>
      <c r="AE169"/>
      <c r="AH169"/>
    </row>
    <row r="170" spans="1:34" x14ac:dyDescent="0.25">
      <c r="A170" s="1">
        <v>45985</v>
      </c>
      <c r="B170" s="1">
        <v>45985</v>
      </c>
      <c r="C170" s="81" t="s">
        <v>15</v>
      </c>
      <c r="D170" s="38">
        <v>11</v>
      </c>
      <c r="E170" s="81" t="s">
        <v>16</v>
      </c>
      <c r="F170">
        <v>705028</v>
      </c>
      <c r="G170" s="81" t="s">
        <v>72</v>
      </c>
      <c r="H170" s="81" t="s">
        <v>18</v>
      </c>
      <c r="I170" s="3">
        <v>3</v>
      </c>
      <c r="J170" s="3"/>
      <c r="K170" s="26">
        <v>3</v>
      </c>
      <c r="L170" s="2">
        <v>22927</v>
      </c>
      <c r="M170" s="2">
        <v>68781</v>
      </c>
      <c r="N170" s="2">
        <v>68781</v>
      </c>
      <c r="O170" s="2">
        <v>22927.086200000002</v>
      </c>
      <c r="P170" s="2">
        <v>8.6199999999999999E-2</v>
      </c>
      <c r="Q170" s="2">
        <v>0.2586</v>
      </c>
      <c r="R170" s="4">
        <v>3.7600504146909681E-6</v>
      </c>
      <c r="T170">
        <v>299186</v>
      </c>
      <c r="U170" s="2">
        <v>68781</v>
      </c>
      <c r="V170">
        <v>5332</v>
      </c>
      <c r="W170" s="2">
        <v>6579000000</v>
      </c>
      <c r="X170" s="6">
        <v>68781.258621000001</v>
      </c>
      <c r="Y170" s="38">
        <v>10010</v>
      </c>
      <c r="Z170" s="86">
        <f>+((DETALLE_GD_1[[#This Row],[VALOR X UN (GD)]]-DETALLE_GD_1[[#This Row],[VALOR PPTO]])/DETALLE_GD_1[[#This Row],[VALOR PPTO]])</f>
        <v>-3.7597451001668997E-6</v>
      </c>
      <c r="AA170" s="2">
        <f>+DETALLE_GD_1[[#This Row],[VALOR PPTO]]*DETALLE_GD_1[[#This Row],[CANTIDAD RECIBIDA]]</f>
        <v>68781.258600000001</v>
      </c>
      <c r="AB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0" s="3">
        <f>+DETALLE_GD_1[[#This Row],[CANTIDAD SOLICITADA]]-DETALLE_GD_1[[#This Row],[DEVOLUCIÓN]]</f>
        <v>3</v>
      </c>
      <c r="AD170" s="38" t="str">
        <f>+_xlfn.XLOOKUP(DETALLE_GD_1[[#This Row],[CODIGO]],PRODUCTOS[CODIGO],PRODUCTOS[DESC CORTA],"",0)</f>
        <v>SIMPLISIMA</v>
      </c>
      <c r="AE170"/>
      <c r="AH170"/>
    </row>
    <row r="171" spans="1:34" x14ac:dyDescent="0.25">
      <c r="A171" s="1">
        <v>45980</v>
      </c>
      <c r="B171" s="1">
        <v>45980</v>
      </c>
      <c r="C171" s="81" t="s">
        <v>15</v>
      </c>
      <c r="D171" s="38">
        <v>11</v>
      </c>
      <c r="E171" s="81" t="s">
        <v>157</v>
      </c>
      <c r="F171">
        <v>307263</v>
      </c>
      <c r="G171" s="81" t="s">
        <v>158</v>
      </c>
      <c r="H171" s="81" t="s">
        <v>18</v>
      </c>
      <c r="I171" s="3">
        <v>7</v>
      </c>
      <c r="J171" s="3"/>
      <c r="K171" s="26">
        <v>7</v>
      </c>
      <c r="L171" s="2">
        <v>9514.1429000000007</v>
      </c>
      <c r="M171" s="2">
        <v>66599</v>
      </c>
      <c r="N171" s="2">
        <v>66599</v>
      </c>
      <c r="O171" s="2">
        <v>9514.2178999999996</v>
      </c>
      <c r="P171" s="2">
        <v>7.51E-2</v>
      </c>
      <c r="Q171" s="2">
        <v>0.52559999999999996</v>
      </c>
      <c r="R171" s="4">
        <v>7.8925937523716152E-6</v>
      </c>
      <c r="T171">
        <v>298806</v>
      </c>
      <c r="U171" s="2">
        <v>66599</v>
      </c>
      <c r="V171">
        <v>5332</v>
      </c>
      <c r="W171" s="2">
        <v>6579000000</v>
      </c>
      <c r="X171" s="6">
        <v>66599.525643000001</v>
      </c>
      <c r="Y171" s="38">
        <v>10010</v>
      </c>
      <c r="Z171" s="86">
        <f>+((DETALLE_GD_1[[#This Row],[VALOR X UN (GD)]]-DETALLE_GD_1[[#This Row],[VALOR PPTO]])/DETALLE_GD_1[[#This Row],[VALOR PPTO]])</f>
        <v>-7.8829390694224701E-6</v>
      </c>
      <c r="AA171" s="2">
        <f>+DETALLE_GD_1[[#This Row],[VALOR PPTO]]*DETALLE_GD_1[[#This Row],[CANTIDAD RECIBIDA]]</f>
        <v>66599.525299999994</v>
      </c>
      <c r="AB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" s="3">
        <f>+DETALLE_GD_1[[#This Row],[CANTIDAD SOLICITADA]]-DETALLE_GD_1[[#This Row],[DEVOLUCIÓN]]</f>
        <v>7</v>
      </c>
      <c r="AD171" s="38">
        <f>+_xlfn.XLOOKUP(DETALLE_GD_1[[#This Row],[CODIGO]],PRODUCTOS[CODIGO],PRODUCTOS[DESC CORTA],"",0)</f>
        <v>0</v>
      </c>
      <c r="AE171"/>
      <c r="AH171"/>
    </row>
    <row r="172" spans="1:34" x14ac:dyDescent="0.25">
      <c r="A172" s="1">
        <v>45972</v>
      </c>
      <c r="B172" s="1">
        <v>45972</v>
      </c>
      <c r="C172" s="81" t="s">
        <v>15</v>
      </c>
      <c r="D172" s="38">
        <v>11</v>
      </c>
      <c r="E172" s="81" t="s">
        <v>16</v>
      </c>
      <c r="F172">
        <v>410045</v>
      </c>
      <c r="G172" s="81" t="s">
        <v>110</v>
      </c>
      <c r="H172" s="81" t="s">
        <v>31</v>
      </c>
      <c r="I172" s="3">
        <v>50</v>
      </c>
      <c r="J172" s="3"/>
      <c r="K172" s="26">
        <v>50</v>
      </c>
      <c r="L172" s="2">
        <v>368</v>
      </c>
      <c r="M172" s="2">
        <v>18400</v>
      </c>
      <c r="N172" s="2">
        <v>18400</v>
      </c>
      <c r="O172" s="2">
        <v>368.00139999999999</v>
      </c>
      <c r="P172" s="2">
        <v>1.4E-3</v>
      </c>
      <c r="Q172" s="2">
        <v>6.8000000000000005E-2</v>
      </c>
      <c r="R172" s="4">
        <v>3.6983558871065354E-6</v>
      </c>
      <c r="T172">
        <v>298041</v>
      </c>
      <c r="U172" s="2">
        <v>2356379</v>
      </c>
      <c r="V172">
        <v>5332</v>
      </c>
      <c r="W172" s="2">
        <v>6579000000</v>
      </c>
      <c r="X172" s="6">
        <v>18400.068049999991</v>
      </c>
      <c r="Y172" s="38">
        <v>10010</v>
      </c>
      <c r="Z172" s="86">
        <f>+((DETALLE_GD_1[[#This Row],[VALOR X UN (GD)]]-DETALLE_GD_1[[#This Row],[VALOR PPTO]])/DETALLE_GD_1[[#This Row],[VALOR PPTO]])</f>
        <v>-3.8043333530514605E-6</v>
      </c>
      <c r="AA172" s="2">
        <f>+DETALLE_GD_1[[#This Row],[VALOR PPTO]]*DETALLE_GD_1[[#This Row],[CANTIDAD RECIBIDA]]</f>
        <v>18400.07</v>
      </c>
      <c r="AB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" s="3">
        <f>+DETALLE_GD_1[[#This Row],[CANTIDAD SOLICITADA]]-DETALLE_GD_1[[#This Row],[DEVOLUCIÓN]]</f>
        <v>50</v>
      </c>
      <c r="AD172" s="38" t="str">
        <f>+_xlfn.XLOOKUP(DETALLE_GD_1[[#This Row],[CODIGO]],PRODUCTOS[CODIGO],PRODUCTOS[DESC CORTA],"",0)</f>
        <v>CONECTOR DENTADO</v>
      </c>
      <c r="AE172"/>
      <c r="AH172"/>
    </row>
    <row r="173" spans="1:34" x14ac:dyDescent="0.25">
      <c r="A173" s="1">
        <v>45972</v>
      </c>
      <c r="B173" s="1">
        <v>45972</v>
      </c>
      <c r="C173" s="81" t="s">
        <v>15</v>
      </c>
      <c r="D173" s="38">
        <v>11</v>
      </c>
      <c r="E173" s="81" t="s">
        <v>16</v>
      </c>
      <c r="F173">
        <v>302028</v>
      </c>
      <c r="G173" s="81" t="s">
        <v>246</v>
      </c>
      <c r="H173" s="81" t="s">
        <v>20</v>
      </c>
      <c r="I173" s="3">
        <v>350</v>
      </c>
      <c r="J173" s="3"/>
      <c r="K173" s="26">
        <v>350</v>
      </c>
      <c r="L173" s="2">
        <v>4764.2857000000004</v>
      </c>
      <c r="M173" s="2">
        <v>1667500</v>
      </c>
      <c r="N173" s="2">
        <v>1667500</v>
      </c>
      <c r="O173" s="2">
        <v>5123.8024999999998</v>
      </c>
      <c r="P173" s="2">
        <v>359.51679999999999</v>
      </c>
      <c r="Q173" s="2">
        <v>125830.8845</v>
      </c>
      <c r="R173" s="4">
        <v>7.0166016512112711E-2</v>
      </c>
      <c r="T173">
        <v>298041</v>
      </c>
      <c r="U173" s="2"/>
      <c r="V173">
        <v>5332</v>
      </c>
      <c r="W173" s="2">
        <v>6579000000</v>
      </c>
      <c r="X173" s="6">
        <v>1793330.8844500005</v>
      </c>
      <c r="Y173" s="38">
        <v>10010</v>
      </c>
      <c r="Z173" s="86">
        <f>+((DETALLE_GD_1[[#This Row],[VALOR X UN (GD)]]-DETALLE_GD_1[[#This Row],[VALOR PPTO]])/DETALLE_GD_1[[#This Row],[VALOR PPTO]])</f>
        <v>-7.0166014400437848E-2</v>
      </c>
      <c r="AA173" s="2">
        <f>+DETALLE_GD_1[[#This Row],[VALOR PPTO]]*DETALLE_GD_1[[#This Row],[CANTIDAD RECIBIDA]]</f>
        <v>1793330.875</v>
      </c>
      <c r="AB1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3" s="3">
        <f>+DETALLE_GD_1[[#This Row],[CANTIDAD SOLICITADA]]-DETALLE_GD_1[[#This Row],[DEVOLUCIÓN]]</f>
        <v>350</v>
      </c>
      <c r="AD173" s="38" t="str">
        <f>+_xlfn.XLOOKUP(DETALLE_GD_1[[#This Row],[CODIGO]],PRODUCTOS[CODIGO],PRODUCTOS[DESC CORTA],"",0)</f>
        <v>PINO 2X4X320</v>
      </c>
      <c r="AE173"/>
      <c r="AH173"/>
    </row>
    <row r="174" spans="1:34" x14ac:dyDescent="0.25">
      <c r="A174" s="1">
        <v>45972</v>
      </c>
      <c r="B174" s="1">
        <v>45972</v>
      </c>
      <c r="C174" s="81" t="s">
        <v>15</v>
      </c>
      <c r="D174" s="38">
        <v>11</v>
      </c>
      <c r="E174" s="81" t="s">
        <v>16</v>
      </c>
      <c r="F174">
        <v>302046</v>
      </c>
      <c r="G174" s="81" t="s">
        <v>115</v>
      </c>
      <c r="H174" s="81" t="s">
        <v>20</v>
      </c>
      <c r="I174" s="3">
        <v>52</v>
      </c>
      <c r="J174" s="3"/>
      <c r="K174" s="26">
        <v>52</v>
      </c>
      <c r="L174" s="2">
        <v>10160.6538</v>
      </c>
      <c r="M174" s="2">
        <v>528354</v>
      </c>
      <c r="N174" s="2">
        <v>528354</v>
      </c>
      <c r="O174" s="2">
        <v>10156.5985</v>
      </c>
      <c r="P174" s="2">
        <v>-4.0553999999999997</v>
      </c>
      <c r="Q174" s="2">
        <v>-210.87970000000001</v>
      </c>
      <c r="R174" s="4">
        <v>-3.9928517081979015E-4</v>
      </c>
      <c r="T174">
        <v>298041</v>
      </c>
      <c r="U174" s="2"/>
      <c r="V174">
        <v>5332</v>
      </c>
      <c r="W174" s="2">
        <v>6579000000</v>
      </c>
      <c r="X174" s="6">
        <v>528143.12028400006</v>
      </c>
      <c r="Y174" s="38">
        <v>10010</v>
      </c>
      <c r="Z174" s="86">
        <f>+((DETALLE_GD_1[[#This Row],[VALOR X UN (GD)]]-DETALLE_GD_1[[#This Row],[VALOR PPTO]])/DETALLE_GD_1[[#This Row],[VALOR PPTO]])</f>
        <v>3.9927737618061679E-4</v>
      </c>
      <c r="AA174" s="2">
        <f>+DETALLE_GD_1[[#This Row],[VALOR PPTO]]*DETALLE_GD_1[[#This Row],[CANTIDAD RECIBIDA]]</f>
        <v>528143.12199999997</v>
      </c>
      <c r="AB1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4" s="3">
        <f>+DETALLE_GD_1[[#This Row],[CANTIDAD SOLICITADA]]-DETALLE_GD_1[[#This Row],[DEVOLUCIÓN]]</f>
        <v>52</v>
      </c>
      <c r="AD174" s="38" t="str">
        <f>+_xlfn.XLOOKUP(DETALLE_GD_1[[#This Row],[CODIGO]],PRODUCTOS[CODIGO],PRODUCTOS[DESC CORTA],"",0)</f>
        <v>PINO 2X6X400</v>
      </c>
      <c r="AE174"/>
      <c r="AH174"/>
    </row>
    <row r="175" spans="1:34" x14ac:dyDescent="0.25">
      <c r="A175" s="1">
        <v>45972</v>
      </c>
      <c r="B175" s="1">
        <v>45972</v>
      </c>
      <c r="C175" s="81" t="s">
        <v>15</v>
      </c>
      <c r="D175" s="38">
        <v>11</v>
      </c>
      <c r="E175" s="81" t="s">
        <v>16</v>
      </c>
      <c r="F175">
        <v>1901505</v>
      </c>
      <c r="G175" s="81" t="s">
        <v>27</v>
      </c>
      <c r="H175" s="81" t="s">
        <v>28</v>
      </c>
      <c r="I175" s="3">
        <v>75</v>
      </c>
      <c r="J175" s="3"/>
      <c r="K175" s="26">
        <v>75</v>
      </c>
      <c r="L175" s="2">
        <v>1895</v>
      </c>
      <c r="M175" s="2">
        <v>142125</v>
      </c>
      <c r="N175" s="2">
        <v>142125</v>
      </c>
      <c r="O175" s="2">
        <v>1895</v>
      </c>
      <c r="P175" s="2">
        <v>0</v>
      </c>
      <c r="Q175" s="2">
        <v>0</v>
      </c>
      <c r="R175" s="4">
        <v>0</v>
      </c>
      <c r="T175">
        <v>298041</v>
      </c>
      <c r="U175" s="2"/>
      <c r="V175">
        <v>5332</v>
      </c>
      <c r="W175" s="2">
        <v>6579000000</v>
      </c>
      <c r="X175" s="6">
        <v>142125</v>
      </c>
      <c r="Y175" s="38">
        <v>10010</v>
      </c>
      <c r="Z175" s="86">
        <f>+((DETALLE_GD_1[[#This Row],[VALOR X UN (GD)]]-DETALLE_GD_1[[#This Row],[VALOR PPTO]])/DETALLE_GD_1[[#This Row],[VALOR PPTO]])</f>
        <v>0</v>
      </c>
      <c r="AA175" s="2">
        <f>+DETALLE_GD_1[[#This Row],[VALOR PPTO]]*DETALLE_GD_1[[#This Row],[CANTIDAD RECIBIDA]]</f>
        <v>142125</v>
      </c>
      <c r="AB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5" s="3">
        <f>+DETALLE_GD_1[[#This Row],[CANTIDAD SOLICITADA]]-DETALLE_GD_1[[#This Row],[DEVOLUCIÓN]]</f>
        <v>75</v>
      </c>
      <c r="AD175" s="38" t="str">
        <f>+_xlfn.XLOOKUP(DETALLE_GD_1[[#This Row],[CODIGO]],PRODUCTOS[CODIGO],PRODUCTOS[DESC CORTA],"",0)</f>
        <v>POLIETILENO</v>
      </c>
      <c r="AE175"/>
      <c r="AH175"/>
    </row>
    <row r="176" spans="1:34" x14ac:dyDescent="0.25">
      <c r="A176" s="1">
        <v>45979</v>
      </c>
      <c r="B176" s="1">
        <v>45979</v>
      </c>
      <c r="C176" s="81" t="s">
        <v>15</v>
      </c>
      <c r="D176" s="38">
        <v>11</v>
      </c>
      <c r="E176" s="81" t="s">
        <v>16</v>
      </c>
      <c r="F176">
        <v>307256</v>
      </c>
      <c r="G176" s="81" t="s">
        <v>127</v>
      </c>
      <c r="H176" s="81" t="s">
        <v>20</v>
      </c>
      <c r="I176" s="3">
        <v>230</v>
      </c>
      <c r="J176" s="3"/>
      <c r="K176" s="26">
        <v>230</v>
      </c>
      <c r="L176" s="2">
        <v>1896.9609</v>
      </c>
      <c r="M176" s="2">
        <v>436301</v>
      </c>
      <c r="N176" s="2">
        <v>436301</v>
      </c>
      <c r="O176" s="2">
        <v>1896.9574</v>
      </c>
      <c r="P176" s="2">
        <v>-3.3999999999999998E-3</v>
      </c>
      <c r="Q176" s="2">
        <v>-0.78720000000000001</v>
      </c>
      <c r="R176" s="4">
        <v>-1.8042393216142228E-6</v>
      </c>
      <c r="T176">
        <v>298785</v>
      </c>
      <c r="U176" s="2">
        <v>436301</v>
      </c>
      <c r="V176">
        <v>5332</v>
      </c>
      <c r="W176" s="2">
        <v>6579000000</v>
      </c>
      <c r="X176" s="6">
        <v>436300.21281</v>
      </c>
      <c r="Y176" s="38">
        <v>10010</v>
      </c>
      <c r="Z176" s="86">
        <f>+((DETALLE_GD_1[[#This Row],[VALOR X UN (GD)]]-DETALLE_GD_1[[#This Row],[VALOR PPTO]])/DETALLE_GD_1[[#This Row],[VALOR PPTO]])</f>
        <v>1.8450598838070496E-6</v>
      </c>
      <c r="AA176" s="2">
        <f>+DETALLE_GD_1[[#This Row],[VALOR PPTO]]*DETALLE_GD_1[[#This Row],[CANTIDAD RECIBIDA]]</f>
        <v>436300.20199999999</v>
      </c>
      <c r="AB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6" s="3">
        <f>+DETALLE_GD_1[[#This Row],[CANTIDAD SOLICITADA]]-DETALLE_GD_1[[#This Row],[DEVOLUCIÓN]]</f>
        <v>230</v>
      </c>
      <c r="AD176" s="38" t="str">
        <f>+_xlfn.XLOOKUP(DETALLE_GD_1[[#This Row],[CODIGO]],PRODUCTOS[CODIGO],PRODUCTOS[DESC CORTA],"",0)</f>
        <v>PINO 1X4X320</v>
      </c>
      <c r="AE176"/>
      <c r="AH176"/>
    </row>
    <row r="177" spans="1:34" x14ac:dyDescent="0.25">
      <c r="A177" s="1">
        <v>46056</v>
      </c>
      <c r="B177" s="1">
        <v>46052</v>
      </c>
      <c r="C177" s="81" t="s">
        <v>15</v>
      </c>
      <c r="D177" s="38">
        <v>1</v>
      </c>
      <c r="E177" s="81" t="s">
        <v>16</v>
      </c>
      <c r="F177">
        <v>302044</v>
      </c>
      <c r="G177" s="81" t="s">
        <v>247</v>
      </c>
      <c r="H177" s="81" t="s">
        <v>20</v>
      </c>
      <c r="I177" s="3">
        <v>60</v>
      </c>
      <c r="J177" s="3"/>
      <c r="K177" s="26">
        <v>60</v>
      </c>
      <c r="L177" s="2">
        <v>13973.5833</v>
      </c>
      <c r="M177" s="2">
        <v>838415</v>
      </c>
      <c r="N177" s="2">
        <v>838415</v>
      </c>
      <c r="O177" s="2">
        <v>13725.9625</v>
      </c>
      <c r="P177" s="2">
        <v>-247.6208</v>
      </c>
      <c r="Q177" s="2">
        <v>-14857.248</v>
      </c>
      <c r="R177" s="4">
        <v>-1.8040323126335415E-2</v>
      </c>
      <c r="T177">
        <v>305186</v>
      </c>
      <c r="U177" s="2">
        <v>4812765</v>
      </c>
      <c r="V177">
        <v>5614</v>
      </c>
      <c r="W177" s="2">
        <v>6579000000</v>
      </c>
      <c r="X177" s="6">
        <v>823557.75204000005</v>
      </c>
      <c r="Y177" s="38">
        <v>10010</v>
      </c>
      <c r="Z177" s="86">
        <f>+((DETALLE_GD_1[[#This Row],[VALOR X UN (GD)]]-DETALLE_GD_1[[#This Row],[VALOR PPTO]])/DETALLE_GD_1[[#This Row],[VALOR PPTO]])</f>
        <v>1.8040323219592112E-2</v>
      </c>
      <c r="AA177" s="2">
        <f>+DETALLE_GD_1[[#This Row],[VALOR PPTO]]*DETALLE_GD_1[[#This Row],[CANTIDAD RECIBIDA]]</f>
        <v>823557.75</v>
      </c>
      <c r="AB1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7" s="3">
        <f>+DETALLE_GD_1[[#This Row],[CANTIDAD SOLICITADA]]-DETALLE_GD_1[[#This Row],[DEVOLUCIÓN]]</f>
        <v>60</v>
      </c>
      <c r="AD177" s="38" t="str">
        <f>+_xlfn.XLOOKUP(DETALLE_GD_1[[#This Row],[CODIGO]],PRODUCTOS[CODIGO],PRODUCTOS[DESC CORTA],"",0)</f>
        <v>PINO 2X8X4</v>
      </c>
      <c r="AE177"/>
      <c r="AH177"/>
    </row>
    <row r="178" spans="1:34" x14ac:dyDescent="0.25">
      <c r="A178" s="1">
        <v>46056</v>
      </c>
      <c r="B178" s="1">
        <v>46052</v>
      </c>
      <c r="C178" s="81" t="s">
        <v>15</v>
      </c>
      <c r="D178" s="38">
        <v>1</v>
      </c>
      <c r="E178" s="81" t="s">
        <v>16</v>
      </c>
      <c r="F178" t="s">
        <v>21</v>
      </c>
      <c r="G178" s="81" t="s">
        <v>22</v>
      </c>
      <c r="H178" s="81" t="s">
        <v>20</v>
      </c>
      <c r="I178" s="3">
        <v>60</v>
      </c>
      <c r="J178" s="3"/>
      <c r="K178" s="26">
        <v>60</v>
      </c>
      <c r="L178" s="2">
        <v>16070.716700000001</v>
      </c>
      <c r="M178" s="2">
        <v>964243</v>
      </c>
      <c r="N178" s="2">
        <v>964243</v>
      </c>
      <c r="O178" s="2">
        <v>15359.702799999999</v>
      </c>
      <c r="P178" s="2">
        <v>-711.01390000000004</v>
      </c>
      <c r="Q178" s="2">
        <v>-42660.832900000001</v>
      </c>
      <c r="R178" s="4">
        <v>-4.6290861979505674E-2</v>
      </c>
      <c r="T178">
        <v>305186</v>
      </c>
      <c r="U178" s="2"/>
      <c r="V178">
        <v>5614</v>
      </c>
      <c r="W178" s="2">
        <v>6579000000</v>
      </c>
      <c r="X178" s="6">
        <v>921582.1671000002</v>
      </c>
      <c r="Y178" s="38">
        <v>10010</v>
      </c>
      <c r="Z178" s="86">
        <f>+((DETALLE_GD_1[[#This Row],[VALOR X UN (GD)]]-DETALLE_GD_1[[#This Row],[VALOR PPTO]])/DETALLE_GD_1[[#This Row],[VALOR PPTO]])</f>
        <v>4.6290863127898658E-2</v>
      </c>
      <c r="AA178" s="2">
        <f>+DETALLE_GD_1[[#This Row],[VALOR PPTO]]*DETALLE_GD_1[[#This Row],[CANTIDAD RECIBIDA]]</f>
        <v>921582.16799999995</v>
      </c>
      <c r="AB1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8" s="3">
        <f>+DETALLE_GD_1[[#This Row],[CANTIDAD SOLICITADA]]-DETALLE_GD_1[[#This Row],[DEVOLUCIÓN]]</f>
        <v>60</v>
      </c>
      <c r="AD178" s="38" t="str">
        <f>+_xlfn.XLOOKUP(DETALLE_GD_1[[#This Row],[CODIGO]],PRODUCTOS[CODIGO],PRODUCTOS[DESC CORTA],"",0)</f>
        <v>PINO 3X8X320</v>
      </c>
      <c r="AE178"/>
      <c r="AH178"/>
    </row>
    <row r="179" spans="1:34" x14ac:dyDescent="0.25">
      <c r="A179" s="1">
        <v>46056</v>
      </c>
      <c r="B179" s="1">
        <v>46052</v>
      </c>
      <c r="C179" s="81" t="s">
        <v>15</v>
      </c>
      <c r="D179" s="38">
        <v>1</v>
      </c>
      <c r="E179" s="81" t="s">
        <v>16</v>
      </c>
      <c r="F179">
        <v>410126</v>
      </c>
      <c r="G179" s="81" t="s">
        <v>159</v>
      </c>
      <c r="H179" s="81" t="s">
        <v>31</v>
      </c>
      <c r="I179" s="3">
        <v>30</v>
      </c>
      <c r="J179" s="3"/>
      <c r="K179" s="26">
        <v>30</v>
      </c>
      <c r="L179" s="2">
        <v>983.63329999999996</v>
      </c>
      <c r="M179" s="2">
        <v>29509</v>
      </c>
      <c r="N179" s="2">
        <v>29509</v>
      </c>
      <c r="O179" s="2">
        <v>983.61890000000005</v>
      </c>
      <c r="P179" s="2">
        <v>-1.4500000000000001E-2</v>
      </c>
      <c r="Q179" s="2">
        <v>-0.43359999999999999</v>
      </c>
      <c r="R179" s="4">
        <v>-1.4693021466334061E-5</v>
      </c>
      <c r="T179">
        <v>305186</v>
      </c>
      <c r="U179" s="2"/>
      <c r="V179">
        <v>5614</v>
      </c>
      <c r="W179" s="2">
        <v>6579000000</v>
      </c>
      <c r="X179" s="6">
        <v>29508.566430000003</v>
      </c>
      <c r="Y179" s="38">
        <v>10010</v>
      </c>
      <c r="Z179" s="86">
        <f>+((DETALLE_GD_1[[#This Row],[VALOR X UN (GD)]]-DETALLE_GD_1[[#This Row],[VALOR PPTO]])/DETALLE_GD_1[[#This Row],[VALOR PPTO]])</f>
        <v>1.4639816294613286E-5</v>
      </c>
      <c r="AA179" s="2">
        <f>+DETALLE_GD_1[[#This Row],[VALOR PPTO]]*DETALLE_GD_1[[#This Row],[CANTIDAD RECIBIDA]]</f>
        <v>29508.567000000003</v>
      </c>
      <c r="AB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" s="3">
        <f>+DETALLE_GD_1[[#This Row],[CANTIDAD SOLICITADA]]-DETALLE_GD_1[[#This Row],[DEVOLUCIÓN]]</f>
        <v>30</v>
      </c>
      <c r="AD179" s="38">
        <f>+_xlfn.XLOOKUP(DETALLE_GD_1[[#This Row],[CODIGO]],PRODUCTOS[CODIGO],PRODUCTOS[DESC CORTA],"",0)</f>
        <v>0</v>
      </c>
      <c r="AE179"/>
      <c r="AH179"/>
    </row>
    <row r="180" spans="1:34" x14ac:dyDescent="0.25">
      <c r="A180" s="1">
        <v>46056</v>
      </c>
      <c r="B180" s="1">
        <v>46052</v>
      </c>
      <c r="C180" s="81" t="s">
        <v>15</v>
      </c>
      <c r="D180" s="38">
        <v>1</v>
      </c>
      <c r="E180" s="81" t="s">
        <v>16</v>
      </c>
      <c r="F180">
        <v>302028</v>
      </c>
      <c r="G180" s="81" t="s">
        <v>246</v>
      </c>
      <c r="H180" s="81" t="s">
        <v>20</v>
      </c>
      <c r="I180" s="3">
        <v>216</v>
      </c>
      <c r="J180" s="3"/>
      <c r="K180" s="26">
        <v>216</v>
      </c>
      <c r="L180" s="2">
        <v>5409.8194000000003</v>
      </c>
      <c r="M180" s="2">
        <v>1168521</v>
      </c>
      <c r="N180" s="2">
        <v>1168521</v>
      </c>
      <c r="O180" s="2">
        <v>5123.8024999999998</v>
      </c>
      <c r="P180" s="2">
        <v>-286.01690000000002</v>
      </c>
      <c r="Q180" s="2">
        <v>-61779.654199999997</v>
      </c>
      <c r="R180" s="4">
        <v>-5.5821221824469157E-2</v>
      </c>
      <c r="T180">
        <v>305186</v>
      </c>
      <c r="U180" s="2"/>
      <c r="V180">
        <v>5614</v>
      </c>
      <c r="W180" s="2">
        <v>6579000000</v>
      </c>
      <c r="X180" s="6">
        <v>1106741.3458320005</v>
      </c>
      <c r="Y180" s="38">
        <v>10010</v>
      </c>
      <c r="Z180" s="86">
        <f>+((DETALLE_GD_1[[#This Row],[VALOR X UN (GD)]]-DETALLE_GD_1[[#This Row],[VALOR PPTO]])/DETALLE_GD_1[[#This Row],[VALOR PPTO]])</f>
        <v>5.5821218714031333E-2</v>
      </c>
      <c r="AA180" s="2">
        <f>+DETALLE_GD_1[[#This Row],[VALOR PPTO]]*DETALLE_GD_1[[#This Row],[CANTIDAD RECIBIDA]]</f>
        <v>1106741.3399999999</v>
      </c>
      <c r="AB1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0" s="3">
        <f>+DETALLE_GD_1[[#This Row],[CANTIDAD SOLICITADA]]-DETALLE_GD_1[[#This Row],[DEVOLUCIÓN]]</f>
        <v>216</v>
      </c>
      <c r="AD180" s="38" t="str">
        <f>+_xlfn.XLOOKUP(DETALLE_GD_1[[#This Row],[CODIGO]],PRODUCTOS[CODIGO],PRODUCTOS[DESC CORTA],"",0)</f>
        <v>PINO 2X4X320</v>
      </c>
      <c r="AE180"/>
      <c r="AH180"/>
    </row>
    <row r="181" spans="1:34" x14ac:dyDescent="0.25">
      <c r="A181" s="1">
        <v>46056</v>
      </c>
      <c r="B181" s="1">
        <v>46052</v>
      </c>
      <c r="C181" s="81" t="s">
        <v>15</v>
      </c>
      <c r="D181" s="38">
        <v>1</v>
      </c>
      <c r="E181" s="81" t="s">
        <v>16</v>
      </c>
      <c r="F181">
        <v>302046</v>
      </c>
      <c r="G181" s="81" t="s">
        <v>115</v>
      </c>
      <c r="H181" s="81" t="s">
        <v>20</v>
      </c>
      <c r="I181" s="3">
        <v>144</v>
      </c>
      <c r="J181" s="3"/>
      <c r="K181" s="26">
        <v>144</v>
      </c>
      <c r="L181" s="2">
        <v>10271.7014</v>
      </c>
      <c r="M181" s="2">
        <v>1479125</v>
      </c>
      <c r="N181" s="2">
        <v>1479125</v>
      </c>
      <c r="O181" s="2">
        <v>10156.5985</v>
      </c>
      <c r="P181" s="2">
        <v>-115.10290000000001</v>
      </c>
      <c r="Q181" s="2">
        <v>-16574.820800000001</v>
      </c>
      <c r="R181" s="4">
        <v>-1.1332821934712706E-2</v>
      </c>
      <c r="T181">
        <v>305186</v>
      </c>
      <c r="U181" s="2"/>
      <c r="V181">
        <v>5614</v>
      </c>
      <c r="W181" s="2">
        <v>6579000000</v>
      </c>
      <c r="X181" s="6">
        <v>1462550.1792480005</v>
      </c>
      <c r="Y181" s="38">
        <v>10010</v>
      </c>
      <c r="Z181" s="86">
        <f>+((DETALLE_GD_1[[#This Row],[VALOR X UN (GD)]]-DETALLE_GD_1[[#This Row],[VALOR PPTO]])/DETALLE_GD_1[[#This Row],[VALOR PPTO]])</f>
        <v>1.133281974275146E-2</v>
      </c>
      <c r="AA181" s="2">
        <f>+DETALLE_GD_1[[#This Row],[VALOR PPTO]]*DETALLE_GD_1[[#This Row],[CANTIDAD RECIBIDA]]</f>
        <v>1462550.1839999999</v>
      </c>
      <c r="AB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1" s="3">
        <f>+DETALLE_GD_1[[#This Row],[CANTIDAD SOLICITADA]]-DETALLE_GD_1[[#This Row],[DEVOLUCIÓN]]</f>
        <v>144</v>
      </c>
      <c r="AD181" s="38" t="str">
        <f>+_xlfn.XLOOKUP(DETALLE_GD_1[[#This Row],[CODIGO]],PRODUCTOS[CODIGO],PRODUCTOS[DESC CORTA],"",0)</f>
        <v>PINO 2X6X400</v>
      </c>
      <c r="AE181"/>
      <c r="AH181"/>
    </row>
    <row r="182" spans="1:34" x14ac:dyDescent="0.25">
      <c r="A182" s="1">
        <v>46056</v>
      </c>
      <c r="B182" s="1">
        <v>46052</v>
      </c>
      <c r="C182" s="81" t="s">
        <v>15</v>
      </c>
      <c r="D182" s="38">
        <v>1</v>
      </c>
      <c r="E182" s="81" t="s">
        <v>16</v>
      </c>
      <c r="F182">
        <v>408071</v>
      </c>
      <c r="G182" s="81" t="s">
        <v>111</v>
      </c>
      <c r="H182" s="81" t="s">
        <v>36</v>
      </c>
      <c r="I182" s="3">
        <v>1</v>
      </c>
      <c r="J182" s="3"/>
      <c r="K182" s="26">
        <v>1</v>
      </c>
      <c r="L182" s="2">
        <v>23200</v>
      </c>
      <c r="M182" s="2">
        <v>23200</v>
      </c>
      <c r="N182" s="2">
        <v>23200</v>
      </c>
      <c r="O182" s="2">
        <v>23200.297900000001</v>
      </c>
      <c r="P182" s="2">
        <v>0.2979</v>
      </c>
      <c r="Q182" s="2">
        <v>0.2979</v>
      </c>
      <c r="R182" s="4">
        <v>1.2839145498234941E-5</v>
      </c>
      <c r="T182">
        <v>305186</v>
      </c>
      <c r="U182" s="2"/>
      <c r="V182">
        <v>5614</v>
      </c>
      <c r="W182" s="2">
        <v>6579000000</v>
      </c>
      <c r="X182" s="6">
        <v>23200.297871999981</v>
      </c>
      <c r="Y182" s="38">
        <v>10010</v>
      </c>
      <c r="Z182" s="86">
        <f>+((DETALLE_GD_1[[#This Row],[VALOR X UN (GD)]]-DETALLE_GD_1[[#This Row],[VALOR PPTO]])/DETALLE_GD_1[[#This Row],[VALOR PPTO]])</f>
        <v>-1.2840352364673349E-5</v>
      </c>
      <c r="AA182" s="2">
        <f>+DETALLE_GD_1[[#This Row],[VALOR PPTO]]*DETALLE_GD_1[[#This Row],[CANTIDAD RECIBIDA]]</f>
        <v>23200.297900000001</v>
      </c>
      <c r="AB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" s="3">
        <f>+DETALLE_GD_1[[#This Row],[CANTIDAD SOLICITADA]]-DETALLE_GD_1[[#This Row],[DEVOLUCIÓN]]</f>
        <v>1</v>
      </c>
      <c r="AD182" s="38" t="str">
        <f>+_xlfn.XLOOKUP(DETALLE_GD_1[[#This Row],[CODIGO]],PRODUCTOS[CODIGO],PRODUCTOS[DESC CORTA],"",0)</f>
        <v>CLAVO HELICOIDAL</v>
      </c>
      <c r="AE182"/>
      <c r="AH182"/>
    </row>
    <row r="183" spans="1:34" x14ac:dyDescent="0.25">
      <c r="A183" s="1">
        <v>46056</v>
      </c>
      <c r="B183" s="1">
        <v>46052</v>
      </c>
      <c r="C183" s="81" t="s">
        <v>15</v>
      </c>
      <c r="D183" s="38">
        <v>1</v>
      </c>
      <c r="E183" s="81" t="s">
        <v>16</v>
      </c>
      <c r="F183">
        <v>701040</v>
      </c>
      <c r="G183" s="81" t="s">
        <v>19</v>
      </c>
      <c r="H183" s="81" t="s">
        <v>18</v>
      </c>
      <c r="I183" s="3">
        <v>40</v>
      </c>
      <c r="J183" s="3"/>
      <c r="K183" s="26">
        <v>40</v>
      </c>
      <c r="L183" s="2">
        <v>7743.8</v>
      </c>
      <c r="M183" s="2">
        <v>309752</v>
      </c>
      <c r="N183" s="2">
        <v>309752</v>
      </c>
      <c r="O183" s="2">
        <v>7835.7259999999997</v>
      </c>
      <c r="P183" s="2">
        <v>91.926000000000002</v>
      </c>
      <c r="Q183" s="2">
        <v>3677.0382</v>
      </c>
      <c r="R183" s="4">
        <v>1.1731644845627992E-2</v>
      </c>
      <c r="T183">
        <v>305186</v>
      </c>
      <c r="U183" s="2"/>
      <c r="V183">
        <v>5614</v>
      </c>
      <c r="W183" s="2">
        <v>6579000000</v>
      </c>
      <c r="X183" s="6">
        <v>313429.03815999988</v>
      </c>
      <c r="Y183" s="38">
        <v>10010</v>
      </c>
      <c r="Z183" s="86">
        <f>+((DETALLE_GD_1[[#This Row],[VALOR X UN (GD)]]-DETALLE_GD_1[[#This Row],[VALOR PPTO]])/DETALLE_GD_1[[#This Row],[VALOR PPTO]])</f>
        <v>-1.1731650647304344E-2</v>
      </c>
      <c r="AA183" s="2">
        <f>+DETALLE_GD_1[[#This Row],[VALOR PPTO]]*DETALLE_GD_1[[#This Row],[CANTIDAD RECIBIDA]]</f>
        <v>313429.03999999998</v>
      </c>
      <c r="AB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" s="3">
        <f>+DETALLE_GD_1[[#This Row],[CANTIDAD SOLICITADA]]-DETALLE_GD_1[[#This Row],[DEVOLUCIÓN]]</f>
        <v>40</v>
      </c>
      <c r="AD183" s="38" t="str">
        <f>+_xlfn.XLOOKUP(DETALLE_GD_1[[#This Row],[CODIGO]],PRODUCTOS[CODIGO],PRODUCTOS[DESC CORTA],"",0)</f>
        <v>VOLCANITA RF</v>
      </c>
      <c r="AE183"/>
      <c r="AH183"/>
    </row>
    <row r="184" spans="1:34" x14ac:dyDescent="0.25">
      <c r="A184" s="1">
        <v>46056</v>
      </c>
      <c r="B184" s="1">
        <v>46052</v>
      </c>
      <c r="C184" s="81" t="s">
        <v>15</v>
      </c>
      <c r="D184" s="38">
        <v>1</v>
      </c>
      <c r="E184" s="81" t="s">
        <v>160</v>
      </c>
      <c r="F184">
        <v>304014</v>
      </c>
      <c r="G184" s="81" t="s">
        <v>23</v>
      </c>
      <c r="H184" s="81" t="s">
        <v>18</v>
      </c>
      <c r="I184" s="3">
        <v>65</v>
      </c>
      <c r="J184" s="3"/>
      <c r="K184" s="26">
        <v>65</v>
      </c>
      <c r="L184" s="2">
        <v>20851.230800000001</v>
      </c>
      <c r="M184" s="2">
        <v>1355330</v>
      </c>
      <c r="N184" s="2">
        <v>1355330</v>
      </c>
      <c r="O184" s="2">
        <v>20894.5723</v>
      </c>
      <c r="P184" s="2">
        <v>43.341500000000003</v>
      </c>
      <c r="Q184" s="2">
        <v>2817.1985</v>
      </c>
      <c r="R184" s="4">
        <v>2.0742954284038301E-3</v>
      </c>
      <c r="T184">
        <v>305184</v>
      </c>
      <c r="U184" s="2">
        <v>1355330</v>
      </c>
      <c r="V184">
        <v>5614</v>
      </c>
      <c r="W184" s="2">
        <v>6579000000</v>
      </c>
      <c r="X184" s="6">
        <v>1358147.1985249999</v>
      </c>
      <c r="Y184" s="38">
        <v>10010</v>
      </c>
      <c r="Z184" s="86">
        <f>+((DETALLE_GD_1[[#This Row],[VALOR X UN (GD)]]-DETALLE_GD_1[[#This Row],[VALOR PPTO]])/DETALLE_GD_1[[#This Row],[VALOR PPTO]])</f>
        <v>-2.0742946722100953E-3</v>
      </c>
      <c r="AA184" s="2">
        <f>+DETALLE_GD_1[[#This Row],[VALOR PPTO]]*DETALLE_GD_1[[#This Row],[CANTIDAD RECIBIDA]]</f>
        <v>1358147.1995000001</v>
      </c>
      <c r="AB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" s="3">
        <f>+DETALLE_GD_1[[#This Row],[CANTIDAD SOLICITADA]]-DETALLE_GD_1[[#This Row],[DEVOLUCIÓN]]</f>
        <v>65</v>
      </c>
      <c r="AD184" s="38">
        <f>+_xlfn.XLOOKUP(DETALLE_GD_1[[#This Row],[CODIGO]],PRODUCTOS[CODIGO],PRODUCTOS[DESC CORTA],"",0)</f>
        <v>0</v>
      </c>
      <c r="AE184"/>
      <c r="AH184"/>
    </row>
    <row r="185" spans="1:34" x14ac:dyDescent="0.25">
      <c r="A185" s="1">
        <v>46056</v>
      </c>
      <c r="B185" s="1">
        <v>46050</v>
      </c>
      <c r="C185" s="81" t="s">
        <v>15</v>
      </c>
      <c r="D185" s="38">
        <v>1</v>
      </c>
      <c r="E185" s="81" t="s">
        <v>16</v>
      </c>
      <c r="F185">
        <v>2505058</v>
      </c>
      <c r="G185" s="81" t="s">
        <v>142</v>
      </c>
      <c r="H185" s="81" t="s">
        <v>31</v>
      </c>
      <c r="I185" s="3">
        <v>4</v>
      </c>
      <c r="J185" s="3"/>
      <c r="K185" s="26">
        <v>4</v>
      </c>
      <c r="L185" s="2">
        <v>17870.25</v>
      </c>
      <c r="M185" s="2">
        <v>71481</v>
      </c>
      <c r="N185" s="2">
        <v>71481</v>
      </c>
      <c r="O185" s="2">
        <v>17870.144100000001</v>
      </c>
      <c r="P185" s="2">
        <v>-0.10589999999999999</v>
      </c>
      <c r="Q185" s="2">
        <v>-0.42370000000000002</v>
      </c>
      <c r="R185" s="4">
        <v>-5.9278761041589273E-6</v>
      </c>
      <c r="T185">
        <v>305177</v>
      </c>
      <c r="U185" s="2">
        <v>78895</v>
      </c>
      <c r="V185">
        <v>5614</v>
      </c>
      <c r="W185" s="2">
        <v>6579000000</v>
      </c>
      <c r="X185" s="6">
        <v>71480.576272000006</v>
      </c>
      <c r="Y185" s="38">
        <v>10010</v>
      </c>
      <c r="Z185" s="86">
        <f>+((DETALLE_GD_1[[#This Row],[VALOR X UN (GD)]]-DETALLE_GD_1[[#This Row],[VALOR PPTO]])/DETALLE_GD_1[[#This Row],[VALOR PPTO]])</f>
        <v>5.9260853972999244E-6</v>
      </c>
      <c r="AA185" s="2">
        <f>+DETALLE_GD_1[[#This Row],[VALOR PPTO]]*DETALLE_GD_1[[#This Row],[CANTIDAD RECIBIDA]]</f>
        <v>71480.576400000005</v>
      </c>
      <c r="AB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" s="3">
        <f>+DETALLE_GD_1[[#This Row],[CANTIDAD SOLICITADA]]-DETALLE_GD_1[[#This Row],[DEVOLUCIÓN]]</f>
        <v>4</v>
      </c>
      <c r="AD185" s="38" t="str">
        <f>+_xlfn.XLOOKUP(DETALLE_GD_1[[#This Row],[CODIGO]],PRODUCTOS[CODIGO],PRODUCTOS[DESC CORTA],"",0)</f>
        <v>VENTILACIÓN PASIVA</v>
      </c>
      <c r="AE185"/>
      <c r="AH185"/>
    </row>
    <row r="186" spans="1:34" x14ac:dyDescent="0.25">
      <c r="A186" s="1">
        <v>46056</v>
      </c>
      <c r="B186" s="1">
        <v>46050</v>
      </c>
      <c r="C186" s="81" t="s">
        <v>15</v>
      </c>
      <c r="D186" s="38">
        <v>1</v>
      </c>
      <c r="E186" s="81" t="s">
        <v>16</v>
      </c>
      <c r="F186">
        <v>1802659</v>
      </c>
      <c r="G186" s="81" t="s">
        <v>161</v>
      </c>
      <c r="H186" s="81" t="s">
        <v>31</v>
      </c>
      <c r="I186" s="3">
        <v>1</v>
      </c>
      <c r="J186" s="3"/>
      <c r="K186" s="26">
        <v>1</v>
      </c>
      <c r="L186" s="2">
        <v>2929</v>
      </c>
      <c r="M186" s="2">
        <v>2929</v>
      </c>
      <c r="N186" s="2">
        <v>2929</v>
      </c>
      <c r="O186" s="2">
        <v>2929.4632000000001</v>
      </c>
      <c r="P186" s="2">
        <v>0.4632</v>
      </c>
      <c r="Q186" s="2">
        <v>0.4632</v>
      </c>
      <c r="R186" s="4">
        <v>1.5810337082929147E-4</v>
      </c>
      <c r="T186">
        <v>305177</v>
      </c>
      <c r="U186" s="2"/>
      <c r="V186">
        <v>5614</v>
      </c>
      <c r="W186" s="2">
        <v>6579000000</v>
      </c>
      <c r="X186" s="6">
        <v>2929.463158</v>
      </c>
      <c r="Y186" s="38">
        <v>10010</v>
      </c>
      <c r="Z186" s="86">
        <f>+((DETALLE_GD_1[[#This Row],[VALOR X UN (GD)]]-DETALLE_GD_1[[#This Row],[VALOR PPTO]])/DETALLE_GD_1[[#This Row],[VALOR PPTO]])</f>
        <v>-1.581177056602529E-4</v>
      </c>
      <c r="AA186" s="2">
        <f>+DETALLE_GD_1[[#This Row],[VALOR PPTO]]*DETALLE_GD_1[[#This Row],[CANTIDAD RECIBIDA]]</f>
        <v>2929.4632000000001</v>
      </c>
      <c r="AB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" s="3">
        <f>+DETALLE_GD_1[[#This Row],[CANTIDAD SOLICITADA]]-DETALLE_GD_1[[#This Row],[DEVOLUCIÓN]]</f>
        <v>1</v>
      </c>
      <c r="AD186" s="38">
        <f>+_xlfn.XLOOKUP(DETALLE_GD_1[[#This Row],[CODIGO]],PRODUCTOS[CODIGO],PRODUCTOS[DESC CORTA],"",0)</f>
        <v>0</v>
      </c>
      <c r="AE186"/>
      <c r="AH186"/>
    </row>
    <row r="187" spans="1:34" x14ac:dyDescent="0.25">
      <c r="A187" s="1">
        <v>46056</v>
      </c>
      <c r="B187" s="1">
        <v>46050</v>
      </c>
      <c r="C187" s="81" t="s">
        <v>15</v>
      </c>
      <c r="D187" s="38">
        <v>1</v>
      </c>
      <c r="E187" s="81" t="s">
        <v>16</v>
      </c>
      <c r="F187">
        <v>1802515</v>
      </c>
      <c r="G187" s="81" t="s">
        <v>162</v>
      </c>
      <c r="H187" s="81" t="s">
        <v>31</v>
      </c>
      <c r="I187" s="3">
        <v>1</v>
      </c>
      <c r="J187" s="3"/>
      <c r="K187" s="26">
        <v>1</v>
      </c>
      <c r="L187" s="2">
        <v>2827</v>
      </c>
      <c r="M187" s="2">
        <v>2827</v>
      </c>
      <c r="N187" s="2">
        <v>2827</v>
      </c>
      <c r="O187" s="2">
        <v>2827.2510000000002</v>
      </c>
      <c r="P187" s="2">
        <v>0.251</v>
      </c>
      <c r="Q187" s="2">
        <v>0.251</v>
      </c>
      <c r="R187" s="4">
        <v>8.8795086080183989E-5</v>
      </c>
      <c r="T187">
        <v>305177</v>
      </c>
      <c r="U187" s="2"/>
      <c r="V187">
        <v>5614</v>
      </c>
      <c r="W187" s="2">
        <v>6579000000</v>
      </c>
      <c r="X187" s="6">
        <v>2827.2510459999999</v>
      </c>
      <c r="Y187" s="38">
        <v>10010</v>
      </c>
      <c r="Z187" s="86">
        <f>+((DETALLE_GD_1[[#This Row],[VALOR X UN (GD)]]-DETALLE_GD_1[[#This Row],[VALOR PPTO]])/DETALLE_GD_1[[#This Row],[VALOR PPTO]])</f>
        <v>-8.8778817303523358E-5</v>
      </c>
      <c r="AA187" s="2">
        <f>+DETALLE_GD_1[[#This Row],[VALOR PPTO]]*DETALLE_GD_1[[#This Row],[CANTIDAD RECIBIDA]]</f>
        <v>2827.2510000000002</v>
      </c>
      <c r="AB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" s="3">
        <f>+DETALLE_GD_1[[#This Row],[CANTIDAD SOLICITADA]]-DETALLE_GD_1[[#This Row],[DEVOLUCIÓN]]</f>
        <v>1</v>
      </c>
      <c r="AD187" s="38">
        <f>+_xlfn.XLOOKUP(DETALLE_GD_1[[#This Row],[CODIGO]],PRODUCTOS[CODIGO],PRODUCTOS[DESC CORTA],"",0)</f>
        <v>0</v>
      </c>
      <c r="AE187"/>
      <c r="AH187"/>
    </row>
    <row r="188" spans="1:34" x14ac:dyDescent="0.25">
      <c r="A188" s="1">
        <v>46056</v>
      </c>
      <c r="B188" s="1">
        <v>46050</v>
      </c>
      <c r="C188" s="81" t="s">
        <v>15</v>
      </c>
      <c r="D188" s="38">
        <v>1</v>
      </c>
      <c r="E188" s="81" t="s">
        <v>16</v>
      </c>
      <c r="F188">
        <v>407423</v>
      </c>
      <c r="G188" s="81" t="s">
        <v>106</v>
      </c>
      <c r="H188" s="81" t="s">
        <v>31</v>
      </c>
      <c r="I188" s="3">
        <v>500</v>
      </c>
      <c r="J188" s="3"/>
      <c r="K188" s="26">
        <v>500</v>
      </c>
      <c r="L188" s="2">
        <v>3.3159999999999998</v>
      </c>
      <c r="M188" s="2">
        <v>1658</v>
      </c>
      <c r="N188" s="2">
        <v>1658</v>
      </c>
      <c r="O188" s="2">
        <v>106.6405</v>
      </c>
      <c r="P188" s="2">
        <v>103.3245</v>
      </c>
      <c r="Q188" s="2">
        <v>51662.250999999997</v>
      </c>
      <c r="R188" s="4">
        <v>0.96890487255485491</v>
      </c>
      <c r="T188">
        <v>305177</v>
      </c>
      <c r="U188" s="2"/>
      <c r="V188">
        <v>5614</v>
      </c>
      <c r="W188" s="2">
        <v>6579000000</v>
      </c>
      <c r="X188" s="6">
        <v>53320.250991891888</v>
      </c>
      <c r="Y188" s="38">
        <v>10010</v>
      </c>
      <c r="Z188" s="86">
        <f>+((DETALLE_GD_1[[#This Row],[VALOR X UN (GD)]]-DETALLE_GD_1[[#This Row],[VALOR PPTO]])/DETALLE_GD_1[[#This Row],[VALOR PPTO]])</f>
        <v>-0.96890487197640673</v>
      </c>
      <c r="AA188" s="2">
        <f>+DETALLE_GD_1[[#This Row],[VALOR PPTO]]*DETALLE_GD_1[[#This Row],[CANTIDAD RECIBIDA]]</f>
        <v>53320.25</v>
      </c>
      <c r="AB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" s="3">
        <f>+DETALLE_GD_1[[#This Row],[CANTIDAD SOLICITADA]]-DETALLE_GD_1[[#This Row],[DEVOLUCIÓN]]</f>
        <v>500</v>
      </c>
      <c r="AD188" s="38" t="str">
        <f>+_xlfn.XLOOKUP(DETALLE_GD_1[[#This Row],[CODIGO]],PRODUCTOS[CODIGO],PRODUCTOS[DESC CORTA],"",0)</f>
        <v>TORNILLO CRS 6X1 5/8</v>
      </c>
      <c r="AE188"/>
      <c r="AH188"/>
    </row>
    <row r="189" spans="1:34" x14ac:dyDescent="0.25">
      <c r="A189" s="1">
        <v>46056</v>
      </c>
      <c r="B189" s="1">
        <v>46049</v>
      </c>
      <c r="C189" s="81" t="s">
        <v>15</v>
      </c>
      <c r="D189" s="38">
        <v>1</v>
      </c>
      <c r="E189" s="81" t="s">
        <v>16</v>
      </c>
      <c r="F189">
        <v>407307</v>
      </c>
      <c r="G189" s="81" t="s">
        <v>163</v>
      </c>
      <c r="H189" s="81" t="s">
        <v>31</v>
      </c>
      <c r="I189" s="3">
        <v>30</v>
      </c>
      <c r="J189" s="3"/>
      <c r="K189" s="26">
        <v>30</v>
      </c>
      <c r="L189" s="2">
        <v>80.2333</v>
      </c>
      <c r="M189" s="2">
        <v>2407</v>
      </c>
      <c r="N189" s="2">
        <v>2407</v>
      </c>
      <c r="O189" s="2">
        <v>69.472800000000007</v>
      </c>
      <c r="P189" s="2">
        <v>-10.7606</v>
      </c>
      <c r="Q189" s="2">
        <v>-322.8168</v>
      </c>
      <c r="R189" s="4">
        <v>-0.1548888515441241</v>
      </c>
      <c r="T189">
        <v>305176</v>
      </c>
      <c r="U189" s="2">
        <v>2792</v>
      </c>
      <c r="V189">
        <v>5614</v>
      </c>
      <c r="W189" s="2">
        <v>6579000000</v>
      </c>
      <c r="X189" s="6">
        <v>2084.18325</v>
      </c>
      <c r="Y189" s="38">
        <v>10010</v>
      </c>
      <c r="Z189" s="86">
        <f>+((DETALLE_GD_1[[#This Row],[VALOR X UN (GD)]]-DETALLE_GD_1[[#This Row],[VALOR PPTO]])/DETALLE_GD_1[[#This Row],[VALOR PPTO]])</f>
        <v>0.15488795614974482</v>
      </c>
      <c r="AA189" s="2">
        <f>+DETALLE_GD_1[[#This Row],[VALOR PPTO]]*DETALLE_GD_1[[#This Row],[CANTIDAD RECIBIDA]]</f>
        <v>2084.1840000000002</v>
      </c>
      <c r="AB1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" s="3">
        <f>+DETALLE_GD_1[[#This Row],[CANTIDAD SOLICITADA]]-DETALLE_GD_1[[#This Row],[DEVOLUCIÓN]]</f>
        <v>30</v>
      </c>
      <c r="AD189" s="38">
        <f>+_xlfn.XLOOKUP(DETALLE_GD_1[[#This Row],[CODIGO]],PRODUCTOS[CODIGO],PRODUCTOS[DESC CORTA],"",0)</f>
        <v>0</v>
      </c>
      <c r="AE189"/>
      <c r="AH189"/>
    </row>
    <row r="190" spans="1:34" x14ac:dyDescent="0.25">
      <c r="A190" s="1">
        <v>46056</v>
      </c>
      <c r="B190" s="1">
        <v>46049</v>
      </c>
      <c r="C190" s="81" t="s">
        <v>15</v>
      </c>
      <c r="D190" s="38">
        <v>1</v>
      </c>
      <c r="E190" s="81" t="s">
        <v>16</v>
      </c>
      <c r="F190">
        <v>407010</v>
      </c>
      <c r="G190" s="81" t="s">
        <v>164</v>
      </c>
      <c r="H190" s="81" t="s">
        <v>31</v>
      </c>
      <c r="I190" s="3">
        <v>30</v>
      </c>
      <c r="J190" s="3"/>
      <c r="K190" s="26">
        <v>30</v>
      </c>
      <c r="L190" s="2">
        <v>12.833299999999999</v>
      </c>
      <c r="M190" s="2">
        <v>385</v>
      </c>
      <c r="N190" s="2">
        <v>385</v>
      </c>
      <c r="O190" s="2">
        <v>11.501300000000001</v>
      </c>
      <c r="P190" s="2">
        <v>-1.3321000000000001</v>
      </c>
      <c r="Q190" s="2">
        <v>-39.962200000000003</v>
      </c>
      <c r="R190" s="4">
        <v>-0.115819773949405</v>
      </c>
      <c r="T190">
        <v>305176</v>
      </c>
      <c r="U190" s="2"/>
      <c r="V190">
        <v>5614</v>
      </c>
      <c r="W190" s="2">
        <v>6579000000</v>
      </c>
      <c r="X190" s="6">
        <v>345.0378</v>
      </c>
      <c r="Y190" s="38">
        <v>10010</v>
      </c>
      <c r="Z190" s="86">
        <f>+((DETALLE_GD_1[[#This Row],[VALOR X UN (GD)]]-DETALLE_GD_1[[#This Row],[VALOR PPTO]])/DETALLE_GD_1[[#This Row],[VALOR PPTO]])</f>
        <v>0.11581299505273307</v>
      </c>
      <c r="AA190" s="2">
        <f>+DETALLE_GD_1[[#This Row],[VALOR PPTO]]*DETALLE_GD_1[[#This Row],[CANTIDAD RECIBIDA]]</f>
        <v>345.03899999999999</v>
      </c>
      <c r="AB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" s="3">
        <f>+DETALLE_GD_1[[#This Row],[CANTIDAD SOLICITADA]]-DETALLE_GD_1[[#This Row],[DEVOLUCIÓN]]</f>
        <v>30</v>
      </c>
      <c r="AD190" s="38">
        <f>+_xlfn.XLOOKUP(DETALLE_GD_1[[#This Row],[CODIGO]],PRODUCTOS[CODIGO],PRODUCTOS[DESC CORTA],"",0)</f>
        <v>0</v>
      </c>
      <c r="AE190"/>
      <c r="AH190"/>
    </row>
    <row r="191" spans="1:34" x14ac:dyDescent="0.25">
      <c r="A191" s="1">
        <v>46056</v>
      </c>
      <c r="B191" s="1">
        <v>46049</v>
      </c>
      <c r="C191" s="81" t="s">
        <v>15</v>
      </c>
      <c r="D191" s="38">
        <v>1</v>
      </c>
      <c r="E191" s="81" t="s">
        <v>16</v>
      </c>
      <c r="F191">
        <v>407307</v>
      </c>
      <c r="G191" s="81" t="s">
        <v>163</v>
      </c>
      <c r="H191" s="81" t="s">
        <v>31</v>
      </c>
      <c r="I191" s="3">
        <v>12</v>
      </c>
      <c r="J191" s="3"/>
      <c r="K191" s="26">
        <v>12</v>
      </c>
      <c r="L191" s="2">
        <v>80.25</v>
      </c>
      <c r="M191" s="2">
        <v>963</v>
      </c>
      <c r="N191" s="2">
        <v>963</v>
      </c>
      <c r="O191" s="2">
        <v>69.472800000000007</v>
      </c>
      <c r="P191" s="2">
        <v>-10.777200000000001</v>
      </c>
      <c r="Q191" s="2">
        <v>-129.32669999999999</v>
      </c>
      <c r="R191" s="4">
        <v>-0.15512875367365131</v>
      </c>
      <c r="T191">
        <v>305175</v>
      </c>
      <c r="U191" s="2">
        <v>1117</v>
      </c>
      <c r="V191">
        <v>5614</v>
      </c>
      <c r="W191" s="2">
        <v>6579000000</v>
      </c>
      <c r="X191" s="6">
        <v>833.67330000000004</v>
      </c>
      <c r="Y191" s="38">
        <v>10010</v>
      </c>
      <c r="Z191" s="86">
        <f>+((DETALLE_GD_1[[#This Row],[VALOR X UN (GD)]]-DETALLE_GD_1[[#This Row],[VALOR PPTO]])/DETALLE_GD_1[[#This Row],[VALOR PPTO]])</f>
        <v>0.15512833799702894</v>
      </c>
      <c r="AA191" s="2">
        <f>+DETALLE_GD_1[[#This Row],[VALOR PPTO]]*DETALLE_GD_1[[#This Row],[CANTIDAD RECIBIDA]]</f>
        <v>833.67360000000008</v>
      </c>
      <c r="AB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" s="3">
        <f>+DETALLE_GD_1[[#This Row],[CANTIDAD SOLICITADA]]-DETALLE_GD_1[[#This Row],[DEVOLUCIÓN]]</f>
        <v>12</v>
      </c>
      <c r="AD191" s="38">
        <f>+_xlfn.XLOOKUP(DETALLE_GD_1[[#This Row],[CODIGO]],PRODUCTOS[CODIGO],PRODUCTOS[DESC CORTA],"",0)</f>
        <v>0</v>
      </c>
      <c r="AE191"/>
      <c r="AH191"/>
    </row>
    <row r="192" spans="1:34" x14ac:dyDescent="0.25">
      <c r="A192" s="1">
        <v>46056</v>
      </c>
      <c r="B192" s="1">
        <v>46049</v>
      </c>
      <c r="C192" s="81" t="s">
        <v>15</v>
      </c>
      <c r="D192" s="38">
        <v>1</v>
      </c>
      <c r="E192" s="81" t="s">
        <v>16</v>
      </c>
      <c r="F192">
        <v>407010</v>
      </c>
      <c r="G192" s="81" t="s">
        <v>164</v>
      </c>
      <c r="H192" s="81" t="s">
        <v>31</v>
      </c>
      <c r="I192" s="3">
        <v>12</v>
      </c>
      <c r="J192" s="3"/>
      <c r="K192" s="26">
        <v>12</v>
      </c>
      <c r="L192" s="2">
        <v>12.833299999999999</v>
      </c>
      <c r="M192" s="2">
        <v>154</v>
      </c>
      <c r="N192" s="2">
        <v>154</v>
      </c>
      <c r="O192" s="2">
        <v>11.501300000000001</v>
      </c>
      <c r="P192" s="2">
        <v>-1.3321000000000001</v>
      </c>
      <c r="Q192" s="2">
        <v>-15.9849</v>
      </c>
      <c r="R192" s="4">
        <v>-0.115819773949405</v>
      </c>
      <c r="T192">
        <v>305175</v>
      </c>
      <c r="U192" s="2"/>
      <c r="V192">
        <v>5614</v>
      </c>
      <c r="W192" s="2">
        <v>6579000000</v>
      </c>
      <c r="X192" s="6">
        <v>138.01512</v>
      </c>
      <c r="Y192" s="38">
        <v>10010</v>
      </c>
      <c r="Z192" s="86">
        <f>+((DETALLE_GD_1[[#This Row],[VALOR X UN (GD)]]-DETALLE_GD_1[[#This Row],[VALOR PPTO]])/DETALLE_GD_1[[#This Row],[VALOR PPTO]])</f>
        <v>0.11581299505273307</v>
      </c>
      <c r="AA192" s="2">
        <f>+DETALLE_GD_1[[#This Row],[VALOR PPTO]]*DETALLE_GD_1[[#This Row],[CANTIDAD RECIBIDA]]</f>
        <v>138.01560000000001</v>
      </c>
      <c r="AB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" s="3">
        <f>+DETALLE_GD_1[[#This Row],[CANTIDAD SOLICITADA]]-DETALLE_GD_1[[#This Row],[DEVOLUCIÓN]]</f>
        <v>12</v>
      </c>
      <c r="AD192" s="38">
        <f>+_xlfn.XLOOKUP(DETALLE_GD_1[[#This Row],[CODIGO]],PRODUCTOS[CODIGO],PRODUCTOS[DESC CORTA],"",0)</f>
        <v>0</v>
      </c>
      <c r="AE192"/>
      <c r="AH192"/>
    </row>
    <row r="193" spans="1:34" x14ac:dyDescent="0.25">
      <c r="A193" s="1">
        <v>46056</v>
      </c>
      <c r="B193" s="1">
        <v>46048</v>
      </c>
      <c r="C193" s="81" t="s">
        <v>15</v>
      </c>
      <c r="D193" s="38">
        <v>1</v>
      </c>
      <c r="E193" s="81" t="s">
        <v>16</v>
      </c>
      <c r="F193">
        <v>407117</v>
      </c>
      <c r="G193" s="81" t="s">
        <v>32</v>
      </c>
      <c r="H193" s="81" t="s">
        <v>31</v>
      </c>
      <c r="I193" s="3">
        <v>40</v>
      </c>
      <c r="J193" s="3"/>
      <c r="K193" s="26">
        <v>40</v>
      </c>
      <c r="L193" s="2">
        <v>585.07500000000005</v>
      </c>
      <c r="M193" s="2">
        <v>23403</v>
      </c>
      <c r="N193" s="2">
        <v>23403</v>
      </c>
      <c r="O193" s="2">
        <v>585.07209999999998</v>
      </c>
      <c r="P193" s="2">
        <v>-2.8999999999999998E-3</v>
      </c>
      <c r="Q193" s="2">
        <v>-0.1179</v>
      </c>
      <c r="R193" s="4">
        <v>-5.0369864445787697E-6</v>
      </c>
      <c r="T193">
        <v>305173</v>
      </c>
      <c r="U193" s="2">
        <v>210798</v>
      </c>
      <c r="V193">
        <v>5614</v>
      </c>
      <c r="W193" s="2">
        <v>6579000000</v>
      </c>
      <c r="X193" s="6">
        <v>23402.882119999998</v>
      </c>
      <c r="Y193" s="38">
        <v>10010</v>
      </c>
      <c r="Z193" s="86">
        <f>+((DETALLE_GD_1[[#This Row],[VALOR X UN (GD)]]-DETALLE_GD_1[[#This Row],[VALOR PPTO]])/DETALLE_GD_1[[#This Row],[VALOR PPTO]])</f>
        <v>4.9566540603591396E-6</v>
      </c>
      <c r="AA193" s="2">
        <f>+DETALLE_GD_1[[#This Row],[VALOR PPTO]]*DETALLE_GD_1[[#This Row],[CANTIDAD RECIBIDA]]</f>
        <v>23402.883999999998</v>
      </c>
      <c r="AB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" s="3">
        <f>+DETALLE_GD_1[[#This Row],[CANTIDAD SOLICITADA]]-DETALLE_GD_1[[#This Row],[DEVOLUCIÓN]]</f>
        <v>40</v>
      </c>
      <c r="AD193" s="38">
        <f>+_xlfn.XLOOKUP(DETALLE_GD_1[[#This Row],[CODIGO]],PRODUCTOS[CODIGO],PRODUCTOS[DESC CORTA],"",0)</f>
        <v>0</v>
      </c>
      <c r="AE193"/>
      <c r="AH193"/>
    </row>
    <row r="194" spans="1:34" x14ac:dyDescent="0.25">
      <c r="A194" s="1">
        <v>46056</v>
      </c>
      <c r="B194" s="1">
        <v>46048</v>
      </c>
      <c r="C194" s="81" t="s">
        <v>15</v>
      </c>
      <c r="D194" s="38">
        <v>1</v>
      </c>
      <c r="E194" s="81" t="s">
        <v>16</v>
      </c>
      <c r="F194">
        <v>412302</v>
      </c>
      <c r="G194" s="81" t="s">
        <v>165</v>
      </c>
      <c r="H194" s="81" t="s">
        <v>31</v>
      </c>
      <c r="I194" s="3">
        <v>34</v>
      </c>
      <c r="J194" s="3"/>
      <c r="K194" s="26">
        <v>34</v>
      </c>
      <c r="L194" s="2">
        <v>4742.4705999999996</v>
      </c>
      <c r="M194" s="2">
        <v>161244</v>
      </c>
      <c r="N194" s="2">
        <v>161244</v>
      </c>
      <c r="O194" s="2">
        <v>4742.4587000000001</v>
      </c>
      <c r="P194" s="2">
        <v>-1.1900000000000001E-2</v>
      </c>
      <c r="Q194" s="2">
        <v>-0.40529999999999999</v>
      </c>
      <c r="R194" s="4">
        <v>-2.5137246586385612E-6</v>
      </c>
      <c r="T194">
        <v>305173</v>
      </c>
      <c r="U194" s="2"/>
      <c r="V194">
        <v>5614</v>
      </c>
      <c r="W194" s="2">
        <v>6579000000</v>
      </c>
      <c r="X194" s="6">
        <v>161243.59467799999</v>
      </c>
      <c r="Y194" s="38">
        <v>10010</v>
      </c>
      <c r="Z194" s="86">
        <f>+((DETALLE_GD_1[[#This Row],[VALOR X UN (GD)]]-DETALLE_GD_1[[#This Row],[VALOR PPTO]])/DETALLE_GD_1[[#This Row],[VALOR PPTO]])</f>
        <v>2.5092469438930414E-6</v>
      </c>
      <c r="AA194" s="2">
        <f>+DETALLE_GD_1[[#This Row],[VALOR PPTO]]*DETALLE_GD_1[[#This Row],[CANTIDAD RECIBIDA]]</f>
        <v>161243.59580000001</v>
      </c>
      <c r="AB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" s="3">
        <f>+DETALLE_GD_1[[#This Row],[CANTIDAD SOLICITADA]]-DETALLE_GD_1[[#This Row],[DEVOLUCIÓN]]</f>
        <v>34</v>
      </c>
      <c r="AD194" s="38">
        <f>+_xlfn.XLOOKUP(DETALLE_GD_1[[#This Row],[CODIGO]],PRODUCTOS[CODIGO],PRODUCTOS[DESC CORTA],"",0)</f>
        <v>0</v>
      </c>
      <c r="AE194"/>
      <c r="AH194"/>
    </row>
    <row r="195" spans="1:34" x14ac:dyDescent="0.25">
      <c r="A195" s="1">
        <v>46056</v>
      </c>
      <c r="B195" s="1">
        <v>46048</v>
      </c>
      <c r="C195" s="81" t="s">
        <v>15</v>
      </c>
      <c r="D195" s="38">
        <v>1</v>
      </c>
      <c r="E195" s="81" t="s">
        <v>16</v>
      </c>
      <c r="F195">
        <v>407011</v>
      </c>
      <c r="G195" s="81" t="s">
        <v>30</v>
      </c>
      <c r="H195" s="81" t="s">
        <v>31</v>
      </c>
      <c r="I195" s="3">
        <v>48</v>
      </c>
      <c r="J195" s="3"/>
      <c r="K195" s="26">
        <v>48</v>
      </c>
      <c r="L195" s="2">
        <v>473.16669999999999</v>
      </c>
      <c r="M195" s="2">
        <v>22712</v>
      </c>
      <c r="N195" s="2">
        <v>22712</v>
      </c>
      <c r="O195" s="2">
        <v>473.17520000000002</v>
      </c>
      <c r="P195" s="2">
        <v>8.6E-3</v>
      </c>
      <c r="Q195" s="2">
        <v>0.41149999999999998</v>
      </c>
      <c r="R195" s="4">
        <v>1.8118727711178221E-5</v>
      </c>
      <c r="T195">
        <v>305173</v>
      </c>
      <c r="U195" s="2"/>
      <c r="V195">
        <v>5614</v>
      </c>
      <c r="W195" s="2">
        <v>6579000000</v>
      </c>
      <c r="X195" s="6">
        <v>22712.411519999991</v>
      </c>
      <c r="Y195" s="38">
        <v>10010</v>
      </c>
      <c r="Z195" s="86">
        <f>+((DETALLE_GD_1[[#This Row],[VALOR X UN (GD)]]-DETALLE_GD_1[[#This Row],[VALOR PPTO]])/DETALLE_GD_1[[#This Row],[VALOR PPTO]])</f>
        <v>-1.7963747888787017E-5</v>
      </c>
      <c r="AA195" s="2">
        <f>+DETALLE_GD_1[[#This Row],[VALOR PPTO]]*DETALLE_GD_1[[#This Row],[CANTIDAD RECIBIDA]]</f>
        <v>22712.409599999999</v>
      </c>
      <c r="AB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5" s="3">
        <f>+DETALLE_GD_1[[#This Row],[CANTIDAD SOLICITADA]]-DETALLE_GD_1[[#This Row],[DEVOLUCIÓN]]</f>
        <v>48</v>
      </c>
      <c r="AD195" s="38" t="str">
        <f>+_xlfn.XLOOKUP(DETALLE_GD_1[[#This Row],[CODIGO]],PRODUCTOS[CODIGO],PRODUCTOS[DESC CORTA],"",0)</f>
        <v>TORNILLO SIMPSON 6"</v>
      </c>
      <c r="AE195"/>
      <c r="AH195"/>
    </row>
    <row r="196" spans="1:34" x14ac:dyDescent="0.25">
      <c r="A196" s="1">
        <v>46056</v>
      </c>
      <c r="B196" s="1">
        <v>46048</v>
      </c>
      <c r="C196" s="81" t="s">
        <v>15</v>
      </c>
      <c r="D196" s="38">
        <v>1</v>
      </c>
      <c r="E196" s="81" t="s">
        <v>16</v>
      </c>
      <c r="F196">
        <v>407185</v>
      </c>
      <c r="G196" s="81" t="s">
        <v>43</v>
      </c>
      <c r="H196" s="81" t="s">
        <v>31</v>
      </c>
      <c r="I196" s="3">
        <v>500</v>
      </c>
      <c r="J196" s="3"/>
      <c r="K196" s="26">
        <v>500</v>
      </c>
      <c r="L196" s="2">
        <v>6.8780000000000001</v>
      </c>
      <c r="M196" s="2">
        <v>3439</v>
      </c>
      <c r="N196" s="2">
        <v>3439</v>
      </c>
      <c r="O196" s="2">
        <v>6.8783000000000003</v>
      </c>
      <c r="P196" s="2">
        <v>2.9999999999999997E-4</v>
      </c>
      <c r="Q196" s="2">
        <v>0.16</v>
      </c>
      <c r="R196" s="4">
        <v>4.6522988171576785E-5</v>
      </c>
      <c r="T196">
        <v>305173</v>
      </c>
      <c r="U196" s="2"/>
      <c r="V196">
        <v>5614</v>
      </c>
      <c r="W196" s="2">
        <v>6579000000</v>
      </c>
      <c r="X196" s="6">
        <v>3439.1600000000003</v>
      </c>
      <c r="Y196" s="38">
        <v>10010</v>
      </c>
      <c r="Z196" s="86">
        <f>+((DETALLE_GD_1[[#This Row],[VALOR X UN (GD)]]-DETALLE_GD_1[[#This Row],[VALOR PPTO]])/DETALLE_GD_1[[#This Row],[VALOR PPTO]])</f>
        <v>-4.3615428230840323E-5</v>
      </c>
      <c r="AA196" s="2">
        <f>+DETALLE_GD_1[[#This Row],[VALOR PPTO]]*DETALLE_GD_1[[#This Row],[CANTIDAD RECIBIDA]]</f>
        <v>3439.15</v>
      </c>
      <c r="AB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" s="3">
        <f>+DETALLE_GD_1[[#This Row],[CANTIDAD SOLICITADA]]-DETALLE_GD_1[[#This Row],[DEVOLUCIÓN]]</f>
        <v>500</v>
      </c>
      <c r="AD196" s="38">
        <f>+_xlfn.XLOOKUP(DETALLE_GD_1[[#This Row],[CODIGO]],PRODUCTOS[CODIGO],PRODUCTOS[DESC CORTA],"",0)</f>
        <v>0</v>
      </c>
      <c r="AE196"/>
      <c r="AH196"/>
    </row>
    <row r="197" spans="1:34" x14ac:dyDescent="0.25">
      <c r="A197" s="1">
        <v>46056</v>
      </c>
      <c r="B197" s="1">
        <v>46045</v>
      </c>
      <c r="C197" s="81" t="s">
        <v>15</v>
      </c>
      <c r="D197" s="38">
        <v>1</v>
      </c>
      <c r="E197" s="81" t="s">
        <v>16</v>
      </c>
      <c r="F197">
        <v>410126</v>
      </c>
      <c r="G197" s="81" t="s">
        <v>159</v>
      </c>
      <c r="H197" s="81" t="s">
        <v>31</v>
      </c>
      <c r="I197" s="3">
        <v>20</v>
      </c>
      <c r="J197" s="3"/>
      <c r="K197" s="26">
        <v>20</v>
      </c>
      <c r="L197" s="2">
        <v>983.6</v>
      </c>
      <c r="M197" s="2">
        <v>19672</v>
      </c>
      <c r="N197" s="2">
        <v>19672</v>
      </c>
      <c r="O197" s="2">
        <v>983.61890000000005</v>
      </c>
      <c r="P197" s="2">
        <v>1.89E-2</v>
      </c>
      <c r="Q197" s="2">
        <v>0.37759999999999999</v>
      </c>
      <c r="R197" s="4">
        <v>1.9195442833389985E-5</v>
      </c>
      <c r="T197">
        <v>305172</v>
      </c>
      <c r="U197" s="2">
        <v>19672</v>
      </c>
      <c r="V197">
        <v>5614</v>
      </c>
      <c r="W197" s="2">
        <v>6579000000</v>
      </c>
      <c r="X197" s="6">
        <v>19672.377620000003</v>
      </c>
      <c r="Y197" s="38">
        <v>10010</v>
      </c>
      <c r="Z197" s="86">
        <f>+((DETALLE_GD_1[[#This Row],[VALOR X UN (GD)]]-DETALLE_GD_1[[#This Row],[VALOR PPTO]])/DETALLE_GD_1[[#This Row],[VALOR PPTO]])</f>
        <v>-1.9214758886831637E-5</v>
      </c>
      <c r="AA197" s="2">
        <f>+DETALLE_GD_1[[#This Row],[VALOR PPTO]]*DETALLE_GD_1[[#This Row],[CANTIDAD RECIBIDA]]</f>
        <v>19672.378000000001</v>
      </c>
      <c r="AB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" s="3">
        <f>+DETALLE_GD_1[[#This Row],[CANTIDAD SOLICITADA]]-DETALLE_GD_1[[#This Row],[DEVOLUCIÓN]]</f>
        <v>20</v>
      </c>
      <c r="AD197" s="38">
        <f>+_xlfn.XLOOKUP(DETALLE_GD_1[[#This Row],[CODIGO]],PRODUCTOS[CODIGO],PRODUCTOS[DESC CORTA],"",0)</f>
        <v>0</v>
      </c>
      <c r="AE197"/>
      <c r="AH197"/>
    </row>
    <row r="198" spans="1:34" x14ac:dyDescent="0.25">
      <c r="A198" s="1">
        <v>46056</v>
      </c>
      <c r="B198" s="1">
        <v>46045</v>
      </c>
      <c r="C198" s="81" t="s">
        <v>15</v>
      </c>
      <c r="D198" s="38">
        <v>1</v>
      </c>
      <c r="E198" s="81" t="s">
        <v>16</v>
      </c>
      <c r="F198">
        <v>5309018</v>
      </c>
      <c r="G198" s="81" t="s">
        <v>112</v>
      </c>
      <c r="H198" s="81" t="s">
        <v>113</v>
      </c>
      <c r="I198" s="3">
        <v>100</v>
      </c>
      <c r="J198" s="3"/>
      <c r="K198" s="26">
        <v>100</v>
      </c>
      <c r="L198" s="2">
        <v>700</v>
      </c>
      <c r="M198" s="2">
        <v>70000</v>
      </c>
      <c r="N198" s="2">
        <v>70000</v>
      </c>
      <c r="O198" s="2">
        <v>699.99919999999997</v>
      </c>
      <c r="P198" s="2">
        <v>-8.0000000000000004E-4</v>
      </c>
      <c r="Q198" s="2">
        <v>-7.6799999999999993E-2</v>
      </c>
      <c r="R198" s="4">
        <v>-1.0971440602079328E-6</v>
      </c>
      <c r="T198">
        <v>305171</v>
      </c>
      <c r="U198" s="2">
        <v>70000</v>
      </c>
      <c r="V198">
        <v>5614</v>
      </c>
      <c r="W198" s="2">
        <v>6579000000</v>
      </c>
      <c r="X198" s="6">
        <v>69999.923200000048</v>
      </c>
      <c r="Y198" s="38">
        <v>10010</v>
      </c>
      <c r="Z198" s="86">
        <f>+((DETALLE_GD_1[[#This Row],[VALOR X UN (GD)]]-DETALLE_GD_1[[#This Row],[VALOR PPTO]])/DETALLE_GD_1[[#This Row],[VALOR PPTO]])</f>
        <v>1.1428584490190236E-6</v>
      </c>
      <c r="AA198" s="2">
        <f>+DETALLE_GD_1[[#This Row],[VALOR PPTO]]*DETALLE_GD_1[[#This Row],[CANTIDAD RECIBIDA]]</f>
        <v>69999.92</v>
      </c>
      <c r="AB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8" s="3">
        <f>+DETALLE_GD_1[[#This Row],[CANTIDAD SOLICITADA]]-DETALLE_GD_1[[#This Row],[DEVOLUCIÓN]]</f>
        <v>100</v>
      </c>
      <c r="AD198" s="38">
        <f>+_xlfn.XLOOKUP(DETALLE_GD_1[[#This Row],[CODIGO]],PRODUCTOS[CODIGO],PRODUCTOS[DESC CORTA],"",0)</f>
        <v>0</v>
      </c>
      <c r="AE198"/>
      <c r="AH198"/>
    </row>
    <row r="199" spans="1:34" x14ac:dyDescent="0.25">
      <c r="A199" s="1">
        <v>46056</v>
      </c>
      <c r="B199" s="1">
        <v>46045</v>
      </c>
      <c r="C199" s="81" t="s">
        <v>15</v>
      </c>
      <c r="D199" s="38">
        <v>1</v>
      </c>
      <c r="E199" s="81" t="s">
        <v>16</v>
      </c>
      <c r="F199">
        <v>307256</v>
      </c>
      <c r="G199" s="81" t="s">
        <v>127</v>
      </c>
      <c r="H199" s="81" t="s">
        <v>20</v>
      </c>
      <c r="I199" s="3">
        <v>5</v>
      </c>
      <c r="J199" s="3"/>
      <c r="K199" s="26">
        <v>5</v>
      </c>
      <c r="L199" s="2">
        <v>1897</v>
      </c>
      <c r="M199" s="2">
        <v>9485</v>
      </c>
      <c r="N199" s="2">
        <v>9485</v>
      </c>
      <c r="O199" s="2">
        <v>1896.9574</v>
      </c>
      <c r="P199" s="2">
        <v>-4.2599999999999999E-2</v>
      </c>
      <c r="Q199" s="2">
        <v>-0.21279999999999999</v>
      </c>
      <c r="R199" s="4">
        <v>-2.2432237511334152E-5</v>
      </c>
      <c r="T199">
        <v>305170</v>
      </c>
      <c r="U199" s="2">
        <v>9485</v>
      </c>
      <c r="V199">
        <v>5614</v>
      </c>
      <c r="W199" s="2">
        <v>6579000000</v>
      </c>
      <c r="X199" s="6">
        <v>9484.7872349999998</v>
      </c>
      <c r="Y199" s="38">
        <v>10010</v>
      </c>
      <c r="Z199" s="86">
        <f>+((DETALLE_GD_1[[#This Row],[VALOR X UN (GD)]]-DETALLE_GD_1[[#This Row],[VALOR PPTO]])/DETALLE_GD_1[[#This Row],[VALOR PPTO]])</f>
        <v>2.245701458556375E-5</v>
      </c>
      <c r="AA199" s="2">
        <f>+DETALLE_GD_1[[#This Row],[VALOR PPTO]]*DETALLE_GD_1[[#This Row],[CANTIDAD RECIBIDA]]</f>
        <v>9484.7870000000003</v>
      </c>
      <c r="AB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" s="3">
        <f>+DETALLE_GD_1[[#This Row],[CANTIDAD SOLICITADA]]-DETALLE_GD_1[[#This Row],[DEVOLUCIÓN]]</f>
        <v>5</v>
      </c>
      <c r="AD199" s="38" t="str">
        <f>+_xlfn.XLOOKUP(DETALLE_GD_1[[#This Row],[CODIGO]],PRODUCTOS[CODIGO],PRODUCTOS[DESC CORTA],"",0)</f>
        <v>PINO 1X4X320</v>
      </c>
      <c r="AE199"/>
      <c r="AH199"/>
    </row>
    <row r="200" spans="1:34" x14ac:dyDescent="0.25">
      <c r="A200" s="1">
        <v>46056</v>
      </c>
      <c r="B200" s="1">
        <v>46044</v>
      </c>
      <c r="C200" s="81" t="s">
        <v>15</v>
      </c>
      <c r="D200" s="38">
        <v>1</v>
      </c>
      <c r="E200" s="81" t="s">
        <v>16</v>
      </c>
      <c r="F200">
        <v>1801230</v>
      </c>
      <c r="G200" s="81" t="s">
        <v>51</v>
      </c>
      <c r="H200" s="81" t="s">
        <v>31</v>
      </c>
      <c r="I200" s="3">
        <v>1</v>
      </c>
      <c r="J200" s="3"/>
      <c r="K200" s="26">
        <v>1</v>
      </c>
      <c r="L200" s="2">
        <v>9310</v>
      </c>
      <c r="M200" s="2">
        <v>9310</v>
      </c>
      <c r="N200" s="2">
        <v>9310</v>
      </c>
      <c r="O200" s="2">
        <v>9309.8462</v>
      </c>
      <c r="P200" s="2">
        <v>-0.15379999999999999</v>
      </c>
      <c r="Q200" s="2">
        <v>-0.15379999999999999</v>
      </c>
      <c r="R200" s="4">
        <v>-1.652508510391957E-5</v>
      </c>
      <c r="T200">
        <v>305169</v>
      </c>
      <c r="U200" s="2">
        <v>40067</v>
      </c>
      <c r="V200">
        <v>5614</v>
      </c>
      <c r="W200" s="2">
        <v>6579000000</v>
      </c>
      <c r="X200" s="6">
        <v>9309.8461540000008</v>
      </c>
      <c r="Y200" s="38">
        <v>10010</v>
      </c>
      <c r="Z200" s="86">
        <f>+((DETALLE_GD_1[[#This Row],[VALOR X UN (GD)]]-DETALLE_GD_1[[#This Row],[VALOR PPTO]])/DETALLE_GD_1[[#This Row],[VALOR PPTO]])</f>
        <v>1.6520144016992092E-5</v>
      </c>
      <c r="AA200" s="2">
        <f>+DETALLE_GD_1[[#This Row],[VALOR PPTO]]*DETALLE_GD_1[[#This Row],[CANTIDAD RECIBIDA]]</f>
        <v>9309.8462</v>
      </c>
      <c r="AB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" s="3">
        <f>+DETALLE_GD_1[[#This Row],[CANTIDAD SOLICITADA]]-DETALLE_GD_1[[#This Row],[DEVOLUCIÓN]]</f>
        <v>1</v>
      </c>
      <c r="AD200" s="38" t="str">
        <f>+_xlfn.XLOOKUP(DETALLE_GD_1[[#This Row],[CODIGO]],PRODUCTOS[CODIGO],PRODUCTOS[DESC CORTA],"",0)</f>
        <v>SOPORTE TINA</v>
      </c>
      <c r="AE200"/>
      <c r="AH200"/>
    </row>
    <row r="201" spans="1:34" x14ac:dyDescent="0.25">
      <c r="A201" s="1">
        <v>46056</v>
      </c>
      <c r="B201" s="1">
        <v>46044</v>
      </c>
      <c r="C201" s="81" t="s">
        <v>15</v>
      </c>
      <c r="D201" s="38">
        <v>1</v>
      </c>
      <c r="E201" s="81" t="s">
        <v>16</v>
      </c>
      <c r="F201">
        <v>1801020</v>
      </c>
      <c r="G201" s="81" t="s">
        <v>53</v>
      </c>
      <c r="H201" s="81" t="s">
        <v>31</v>
      </c>
      <c r="I201" s="3">
        <v>1</v>
      </c>
      <c r="J201" s="3"/>
      <c r="K201" s="26">
        <v>1</v>
      </c>
      <c r="L201" s="2">
        <v>30757</v>
      </c>
      <c r="M201" s="2">
        <v>30757</v>
      </c>
      <c r="N201" s="2">
        <v>30757</v>
      </c>
      <c r="O201" s="2">
        <v>30757</v>
      </c>
      <c r="P201" s="2">
        <v>0</v>
      </c>
      <c r="Q201" s="2">
        <v>0</v>
      </c>
      <c r="R201" s="4">
        <v>0</v>
      </c>
      <c r="T201">
        <v>305169</v>
      </c>
      <c r="U201" s="2"/>
      <c r="V201">
        <v>5614</v>
      </c>
      <c r="W201" s="2">
        <v>6579000000</v>
      </c>
      <c r="X201" s="6">
        <v>30757</v>
      </c>
      <c r="Y201" s="38">
        <v>10010</v>
      </c>
      <c r="Z201" s="86">
        <f>+((DETALLE_GD_1[[#This Row],[VALOR X UN (GD)]]-DETALLE_GD_1[[#This Row],[VALOR PPTO]])/DETALLE_GD_1[[#This Row],[VALOR PPTO]])</f>
        <v>0</v>
      </c>
      <c r="AA201" s="2">
        <f>+DETALLE_GD_1[[#This Row],[VALOR PPTO]]*DETALLE_GD_1[[#This Row],[CANTIDAD RECIBIDA]]</f>
        <v>30757</v>
      </c>
      <c r="AB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1" s="3">
        <f>+DETALLE_GD_1[[#This Row],[CANTIDAD SOLICITADA]]-DETALLE_GD_1[[#This Row],[DEVOLUCIÓN]]</f>
        <v>1</v>
      </c>
      <c r="AD201" s="38" t="str">
        <f>+_xlfn.XLOOKUP(DETALLE_GD_1[[#This Row],[CODIGO]],PRODUCTOS[CODIGO],PRODUCTOS[DESC CORTA],"",0)</f>
        <v>TINA</v>
      </c>
      <c r="AE201"/>
      <c r="AH201"/>
    </row>
    <row r="202" spans="1:34" x14ac:dyDescent="0.25">
      <c r="A202" s="1">
        <v>46056</v>
      </c>
      <c r="B202" s="1">
        <v>46042</v>
      </c>
      <c r="C202" s="81" t="s">
        <v>15</v>
      </c>
      <c r="D202" s="38">
        <v>1</v>
      </c>
      <c r="E202" s="81" t="s">
        <v>16</v>
      </c>
      <c r="F202">
        <v>302028</v>
      </c>
      <c r="G202" s="81" t="s">
        <v>246</v>
      </c>
      <c r="H202" s="81" t="s">
        <v>20</v>
      </c>
      <c r="I202" s="3">
        <v>98</v>
      </c>
      <c r="J202" s="3"/>
      <c r="K202" s="26">
        <v>98</v>
      </c>
      <c r="L202" s="2">
        <v>5410.5816000000004</v>
      </c>
      <c r="M202" s="2">
        <v>530237</v>
      </c>
      <c r="N202" s="2">
        <v>530237</v>
      </c>
      <c r="O202" s="2">
        <v>5123.8024999999998</v>
      </c>
      <c r="P202" s="2">
        <v>-286.77910000000003</v>
      </c>
      <c r="Q202" s="2">
        <v>-28104.3524</v>
      </c>
      <c r="R202" s="4">
        <v>-5.5969976231884447E-2</v>
      </c>
      <c r="T202">
        <v>305165</v>
      </c>
      <c r="U202" s="2">
        <v>770142</v>
      </c>
      <c r="V202">
        <v>5614</v>
      </c>
      <c r="W202" s="2">
        <v>6579000000</v>
      </c>
      <c r="X202" s="6">
        <v>502132.64764600014</v>
      </c>
      <c r="Y202" s="38">
        <v>10010</v>
      </c>
      <c r="Z202" s="86">
        <f>+((DETALLE_GD_1[[#This Row],[VALOR X UN (GD)]]-DETALLE_GD_1[[#This Row],[VALOR PPTO]])/DETALLE_GD_1[[#This Row],[VALOR PPTO]])</f>
        <v>5.5969975423525921E-2</v>
      </c>
      <c r="AA202" s="2">
        <f>+DETALLE_GD_1[[#This Row],[VALOR PPTO]]*DETALLE_GD_1[[#This Row],[CANTIDAD RECIBIDA]]</f>
        <v>502132.64499999996</v>
      </c>
      <c r="AB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2" s="3">
        <f>+DETALLE_GD_1[[#This Row],[CANTIDAD SOLICITADA]]-DETALLE_GD_1[[#This Row],[DEVOLUCIÓN]]</f>
        <v>98</v>
      </c>
      <c r="AD202" s="38" t="str">
        <f>+_xlfn.XLOOKUP(DETALLE_GD_1[[#This Row],[CODIGO]],PRODUCTOS[CODIGO],PRODUCTOS[DESC CORTA],"",0)</f>
        <v>PINO 2X4X320</v>
      </c>
      <c r="AE202"/>
      <c r="AH202"/>
    </row>
    <row r="203" spans="1:34" x14ac:dyDescent="0.25">
      <c r="A203" s="1">
        <v>46056</v>
      </c>
      <c r="B203" s="1">
        <v>46042</v>
      </c>
      <c r="C203" s="81" t="s">
        <v>15</v>
      </c>
      <c r="D203" s="38">
        <v>1</v>
      </c>
      <c r="E203" s="81" t="s">
        <v>16</v>
      </c>
      <c r="F203">
        <v>407423</v>
      </c>
      <c r="G203" s="81" t="s">
        <v>106</v>
      </c>
      <c r="H203" s="81" t="s">
        <v>31</v>
      </c>
      <c r="I203" s="3">
        <v>1000</v>
      </c>
      <c r="J203" s="3"/>
      <c r="K203" s="26">
        <v>1000</v>
      </c>
      <c r="L203" s="2">
        <v>3.3170000000000002</v>
      </c>
      <c r="M203" s="2">
        <v>3317</v>
      </c>
      <c r="N203" s="2">
        <v>3317</v>
      </c>
      <c r="O203" s="2">
        <v>106.6405</v>
      </c>
      <c r="P203" s="2">
        <v>103.3235</v>
      </c>
      <c r="Q203" s="2">
        <v>103323.50199999999</v>
      </c>
      <c r="R203" s="4">
        <v>0.96889549525466045</v>
      </c>
      <c r="T203">
        <v>305165</v>
      </c>
      <c r="U203" s="2"/>
      <c r="V203">
        <v>5614</v>
      </c>
      <c r="W203" s="2">
        <v>6579000000</v>
      </c>
      <c r="X203" s="6">
        <v>106640.50198378378</v>
      </c>
      <c r="Y203" s="38">
        <v>10010</v>
      </c>
      <c r="Z203" s="86">
        <f>+((DETALLE_GD_1[[#This Row],[VALOR X UN (GD)]]-DETALLE_GD_1[[#This Row],[VALOR PPTO]])/DETALLE_GD_1[[#This Row],[VALOR PPTO]])</f>
        <v>-0.96889549467603764</v>
      </c>
      <c r="AA203" s="2">
        <f>+DETALLE_GD_1[[#This Row],[VALOR PPTO]]*DETALLE_GD_1[[#This Row],[CANTIDAD RECIBIDA]]</f>
        <v>106640.5</v>
      </c>
      <c r="AB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" s="3">
        <f>+DETALLE_GD_1[[#This Row],[CANTIDAD SOLICITADA]]-DETALLE_GD_1[[#This Row],[DEVOLUCIÓN]]</f>
        <v>1000</v>
      </c>
      <c r="AD203" s="38" t="str">
        <f>+_xlfn.XLOOKUP(DETALLE_GD_1[[#This Row],[CODIGO]],PRODUCTOS[CODIGO],PRODUCTOS[DESC CORTA],"",0)</f>
        <v>TORNILLO CRS 6X1 5/8</v>
      </c>
      <c r="AE203"/>
      <c r="AH203"/>
    </row>
    <row r="204" spans="1:34" x14ac:dyDescent="0.25">
      <c r="A204" s="1">
        <v>46056</v>
      </c>
      <c r="B204" s="1">
        <v>46042</v>
      </c>
      <c r="C204" s="81" t="s">
        <v>15</v>
      </c>
      <c r="D204" s="38">
        <v>1</v>
      </c>
      <c r="E204" s="81" t="s">
        <v>16</v>
      </c>
      <c r="F204">
        <v>407011</v>
      </c>
      <c r="G204" s="81" t="s">
        <v>30</v>
      </c>
      <c r="H204" s="81" t="s">
        <v>31</v>
      </c>
      <c r="I204" s="3">
        <v>500</v>
      </c>
      <c r="J204" s="3"/>
      <c r="K204" s="26">
        <v>500</v>
      </c>
      <c r="L204" s="2">
        <v>473.17599999999999</v>
      </c>
      <c r="M204" s="2">
        <v>236588</v>
      </c>
      <c r="N204" s="2">
        <v>236588</v>
      </c>
      <c r="O204" s="2">
        <v>473.17520000000002</v>
      </c>
      <c r="P204" s="2">
        <v>-8.0000000000000004E-4</v>
      </c>
      <c r="Q204" s="2">
        <v>-0.38</v>
      </c>
      <c r="R204" s="4">
        <v>-1.6061702638343971E-6</v>
      </c>
      <c r="T204">
        <v>305165</v>
      </c>
      <c r="U204" s="2"/>
      <c r="V204">
        <v>5614</v>
      </c>
      <c r="W204" s="2">
        <v>6579000000</v>
      </c>
      <c r="X204" s="6">
        <v>236587.61999999997</v>
      </c>
      <c r="Y204" s="38">
        <v>10010</v>
      </c>
      <c r="Z204" s="86">
        <f>+((DETALLE_GD_1[[#This Row],[VALOR X UN (GD)]]-DETALLE_GD_1[[#This Row],[VALOR PPTO]])/DETALLE_GD_1[[#This Row],[VALOR PPTO]])</f>
        <v>1.6907056835812905E-6</v>
      </c>
      <c r="AA204" s="2">
        <f>+DETALLE_GD_1[[#This Row],[VALOR PPTO]]*DETALLE_GD_1[[#This Row],[CANTIDAD RECIBIDA]]</f>
        <v>236587.6</v>
      </c>
      <c r="AB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4" s="3">
        <f>+DETALLE_GD_1[[#This Row],[CANTIDAD SOLICITADA]]-DETALLE_GD_1[[#This Row],[DEVOLUCIÓN]]</f>
        <v>500</v>
      </c>
      <c r="AD204" s="38" t="str">
        <f>+_xlfn.XLOOKUP(DETALLE_GD_1[[#This Row],[CODIGO]],PRODUCTOS[CODIGO],PRODUCTOS[DESC CORTA],"",0)</f>
        <v>TORNILLO SIMPSON 6"</v>
      </c>
      <c r="AE204"/>
      <c r="AH204"/>
    </row>
    <row r="205" spans="1:34" x14ac:dyDescent="0.25">
      <c r="A205" s="1">
        <v>46056</v>
      </c>
      <c r="B205" s="1">
        <v>46041</v>
      </c>
      <c r="C205" s="81" t="s">
        <v>15</v>
      </c>
      <c r="D205" s="38">
        <v>1</v>
      </c>
      <c r="E205" s="81" t="s">
        <v>16</v>
      </c>
      <c r="F205">
        <v>302028</v>
      </c>
      <c r="G205" s="81" t="s">
        <v>246</v>
      </c>
      <c r="H205" s="81" t="s">
        <v>20</v>
      </c>
      <c r="I205" s="3">
        <v>120</v>
      </c>
      <c r="J205" s="3"/>
      <c r="K205" s="26">
        <v>120</v>
      </c>
      <c r="L205" s="2">
        <v>5412.0333000000001</v>
      </c>
      <c r="M205" s="2">
        <v>649444</v>
      </c>
      <c r="N205" s="2">
        <v>649444</v>
      </c>
      <c r="O205" s="2">
        <v>5123.8024999999998</v>
      </c>
      <c r="P205" s="2">
        <v>-288.23079999999999</v>
      </c>
      <c r="Q205" s="2">
        <v>-34587.696799999998</v>
      </c>
      <c r="R205" s="4">
        <v>-5.6253301100987578E-2</v>
      </c>
      <c r="T205">
        <v>305164</v>
      </c>
      <c r="U205" s="2">
        <v>2143215</v>
      </c>
      <c r="V205">
        <v>5614</v>
      </c>
      <c r="W205" s="2">
        <v>6579000000</v>
      </c>
      <c r="X205" s="6">
        <v>614856.30324000015</v>
      </c>
      <c r="Y205" s="38">
        <v>10010</v>
      </c>
      <c r="Z205" s="86">
        <f>+((DETALLE_GD_1[[#This Row],[VALOR X UN (GD)]]-DETALLE_GD_1[[#This Row],[VALOR PPTO]])/DETALLE_GD_1[[#This Row],[VALOR PPTO]])</f>
        <v>5.6253300161354831E-2</v>
      </c>
      <c r="AA205" s="2">
        <f>+DETALLE_GD_1[[#This Row],[VALOR PPTO]]*DETALLE_GD_1[[#This Row],[CANTIDAD RECIBIDA]]</f>
        <v>614856.29999999993</v>
      </c>
      <c r="AB2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5" s="3">
        <f>+DETALLE_GD_1[[#This Row],[CANTIDAD SOLICITADA]]-DETALLE_GD_1[[#This Row],[DEVOLUCIÓN]]</f>
        <v>120</v>
      </c>
      <c r="AD205" s="38" t="str">
        <f>+_xlfn.XLOOKUP(DETALLE_GD_1[[#This Row],[CODIGO]],PRODUCTOS[CODIGO],PRODUCTOS[DESC CORTA],"",0)</f>
        <v>PINO 2X4X320</v>
      </c>
      <c r="AE205"/>
      <c r="AH205"/>
    </row>
    <row r="206" spans="1:34" x14ac:dyDescent="0.25">
      <c r="A206" s="1">
        <v>46056</v>
      </c>
      <c r="B206" s="1">
        <v>46041</v>
      </c>
      <c r="C206" s="81" t="s">
        <v>15</v>
      </c>
      <c r="D206" s="38">
        <v>1</v>
      </c>
      <c r="E206" s="81" t="s">
        <v>16</v>
      </c>
      <c r="F206">
        <v>302046</v>
      </c>
      <c r="G206" s="81" t="s">
        <v>115</v>
      </c>
      <c r="H206" s="81" t="s">
        <v>20</v>
      </c>
      <c r="I206" s="3">
        <v>144</v>
      </c>
      <c r="J206" s="3"/>
      <c r="K206" s="26">
        <v>144</v>
      </c>
      <c r="L206" s="2">
        <v>10373.4097</v>
      </c>
      <c r="M206" s="2">
        <v>1493771</v>
      </c>
      <c r="N206" s="2">
        <v>1493771</v>
      </c>
      <c r="O206" s="2">
        <v>10156.5985</v>
      </c>
      <c r="P206" s="2">
        <v>-216.81129999999999</v>
      </c>
      <c r="Q206" s="2">
        <v>-31220.820800000001</v>
      </c>
      <c r="R206" s="4">
        <v>-2.1346837322226201E-2</v>
      </c>
      <c r="T206">
        <v>305164</v>
      </c>
      <c r="U206" s="2"/>
      <c r="V206">
        <v>5614</v>
      </c>
      <c r="W206" s="2">
        <v>6579000000</v>
      </c>
      <c r="X206" s="6">
        <v>1462550.1792480005</v>
      </c>
      <c r="Y206" s="38">
        <v>10010</v>
      </c>
      <c r="Z206" s="86">
        <f>+((DETALLE_GD_1[[#This Row],[VALOR X UN (GD)]]-DETALLE_GD_1[[#This Row],[VALOR PPTO]])/DETALLE_GD_1[[#This Row],[VALOR PPTO]])</f>
        <v>2.1346831815789519E-2</v>
      </c>
      <c r="AA206" s="2">
        <f>+DETALLE_GD_1[[#This Row],[VALOR PPTO]]*DETALLE_GD_1[[#This Row],[CANTIDAD RECIBIDA]]</f>
        <v>1462550.1839999999</v>
      </c>
      <c r="AB2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6" s="3">
        <f>+DETALLE_GD_1[[#This Row],[CANTIDAD SOLICITADA]]-DETALLE_GD_1[[#This Row],[DEVOLUCIÓN]]</f>
        <v>144</v>
      </c>
      <c r="AD206" s="38" t="str">
        <f>+_xlfn.XLOOKUP(DETALLE_GD_1[[#This Row],[CODIGO]],PRODUCTOS[CODIGO],PRODUCTOS[DESC CORTA],"",0)</f>
        <v>PINO 2X6X400</v>
      </c>
      <c r="AE206"/>
      <c r="AH206"/>
    </row>
    <row r="207" spans="1:34" x14ac:dyDescent="0.25">
      <c r="A207" s="1">
        <v>46056</v>
      </c>
      <c r="B207" s="1">
        <v>46036</v>
      </c>
      <c r="C207" s="81" t="s">
        <v>15</v>
      </c>
      <c r="D207" s="38">
        <v>1</v>
      </c>
      <c r="E207" s="81" t="s">
        <v>16</v>
      </c>
      <c r="F207">
        <v>302028</v>
      </c>
      <c r="G207" s="81" t="s">
        <v>246</v>
      </c>
      <c r="H207" s="81" t="s">
        <v>20</v>
      </c>
      <c r="I207" s="3">
        <v>250</v>
      </c>
      <c r="J207" s="3"/>
      <c r="K207" s="26">
        <v>250</v>
      </c>
      <c r="L207" s="2">
        <v>5413.8320000000003</v>
      </c>
      <c r="M207" s="2">
        <v>1353458</v>
      </c>
      <c r="N207" s="2">
        <v>1353458</v>
      </c>
      <c r="O207" s="2">
        <v>5123.8024999999998</v>
      </c>
      <c r="P207" s="2">
        <v>-290.02949999999998</v>
      </c>
      <c r="Q207" s="2">
        <v>-72507.368199999997</v>
      </c>
      <c r="R207" s="4">
        <v>-5.6604342472544825E-2</v>
      </c>
      <c r="T207">
        <v>305162</v>
      </c>
      <c r="U207" s="2">
        <v>1353458</v>
      </c>
      <c r="V207">
        <v>5614</v>
      </c>
      <c r="W207" s="2">
        <v>6579000000</v>
      </c>
      <c r="X207" s="6">
        <v>1280950.6317500004</v>
      </c>
      <c r="Y207" s="38">
        <v>10010</v>
      </c>
      <c r="Z207" s="86">
        <f>+((DETALLE_GD_1[[#This Row],[VALOR X UN (GD)]]-DETALLE_GD_1[[#This Row],[VALOR PPTO]])/DETALLE_GD_1[[#This Row],[VALOR PPTO]])</f>
        <v>5.6604348040347099E-2</v>
      </c>
      <c r="AA207" s="2">
        <f>+DETALLE_GD_1[[#This Row],[VALOR PPTO]]*DETALLE_GD_1[[#This Row],[CANTIDAD RECIBIDA]]</f>
        <v>1280950.625</v>
      </c>
      <c r="AB2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7" s="3">
        <f>+DETALLE_GD_1[[#This Row],[CANTIDAD SOLICITADA]]-DETALLE_GD_1[[#This Row],[DEVOLUCIÓN]]</f>
        <v>250</v>
      </c>
      <c r="AD207" s="38" t="str">
        <f>+_xlfn.XLOOKUP(DETALLE_GD_1[[#This Row],[CODIGO]],PRODUCTOS[CODIGO],PRODUCTOS[DESC CORTA],"",0)</f>
        <v>PINO 2X4X320</v>
      </c>
      <c r="AE207"/>
      <c r="AH207"/>
    </row>
    <row r="208" spans="1:34" x14ac:dyDescent="0.25">
      <c r="A208" s="1">
        <v>46056</v>
      </c>
      <c r="B208" s="1">
        <v>46035</v>
      </c>
      <c r="C208" s="81" t="s">
        <v>15</v>
      </c>
      <c r="D208" s="38">
        <v>1</v>
      </c>
      <c r="E208" s="81" t="s">
        <v>16</v>
      </c>
      <c r="F208">
        <v>407423</v>
      </c>
      <c r="G208" s="81" t="s">
        <v>106</v>
      </c>
      <c r="H208" s="81" t="s">
        <v>31</v>
      </c>
      <c r="I208" s="3">
        <v>1000</v>
      </c>
      <c r="J208" s="3"/>
      <c r="K208" s="26">
        <v>1000</v>
      </c>
      <c r="L208" s="2">
        <v>3.3170000000000002</v>
      </c>
      <c r="M208" s="2">
        <v>3317</v>
      </c>
      <c r="N208" s="2">
        <v>3317</v>
      </c>
      <c r="O208" s="2">
        <v>106.6405</v>
      </c>
      <c r="P208" s="2">
        <v>103.3235</v>
      </c>
      <c r="Q208" s="2">
        <v>103323.50199999999</v>
      </c>
      <c r="R208" s="4">
        <v>0.96889549525466045</v>
      </c>
      <c r="T208">
        <v>305161</v>
      </c>
      <c r="U208" s="2">
        <v>26517</v>
      </c>
      <c r="V208">
        <v>5614</v>
      </c>
      <c r="W208" s="2">
        <v>6579000000</v>
      </c>
      <c r="X208" s="6">
        <v>106640.50198378378</v>
      </c>
      <c r="Y208" s="38">
        <v>10010</v>
      </c>
      <c r="Z208" s="86">
        <f>+((DETALLE_GD_1[[#This Row],[VALOR X UN (GD)]]-DETALLE_GD_1[[#This Row],[VALOR PPTO]])/DETALLE_GD_1[[#This Row],[VALOR PPTO]])</f>
        <v>-0.96889549467603764</v>
      </c>
      <c r="AA208" s="2">
        <f>+DETALLE_GD_1[[#This Row],[VALOR PPTO]]*DETALLE_GD_1[[#This Row],[CANTIDAD RECIBIDA]]</f>
        <v>106640.5</v>
      </c>
      <c r="AB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" s="3">
        <f>+DETALLE_GD_1[[#This Row],[CANTIDAD SOLICITADA]]-DETALLE_GD_1[[#This Row],[DEVOLUCIÓN]]</f>
        <v>1000</v>
      </c>
      <c r="AD208" s="38" t="str">
        <f>+_xlfn.XLOOKUP(DETALLE_GD_1[[#This Row],[CODIGO]],PRODUCTOS[CODIGO],PRODUCTOS[DESC CORTA],"",0)</f>
        <v>TORNILLO CRS 6X1 5/8</v>
      </c>
      <c r="AE208"/>
      <c r="AH208"/>
    </row>
    <row r="209" spans="1:34" x14ac:dyDescent="0.25">
      <c r="A209" s="1">
        <v>46056</v>
      </c>
      <c r="B209" s="1">
        <v>46035</v>
      </c>
      <c r="C209" s="81" t="s">
        <v>15</v>
      </c>
      <c r="D209" s="38">
        <v>1</v>
      </c>
      <c r="E209" s="81" t="s">
        <v>16</v>
      </c>
      <c r="F209">
        <v>408071</v>
      </c>
      <c r="G209" s="81" t="s">
        <v>111</v>
      </c>
      <c r="H209" s="81" t="s">
        <v>36</v>
      </c>
      <c r="I209" s="3">
        <v>1</v>
      </c>
      <c r="J209" s="3"/>
      <c r="K209" s="26">
        <v>1</v>
      </c>
      <c r="L209" s="2">
        <v>23200</v>
      </c>
      <c r="M209" s="2">
        <v>23200</v>
      </c>
      <c r="N209" s="2">
        <v>23200</v>
      </c>
      <c r="O209" s="2">
        <v>23200.297900000001</v>
      </c>
      <c r="P209" s="2">
        <v>0.2979</v>
      </c>
      <c r="Q209" s="2">
        <v>0.2979</v>
      </c>
      <c r="R209" s="4">
        <v>1.2839145498234941E-5</v>
      </c>
      <c r="T209">
        <v>305161</v>
      </c>
      <c r="U209" s="2"/>
      <c r="V209">
        <v>5614</v>
      </c>
      <c r="W209" s="2">
        <v>6579000000</v>
      </c>
      <c r="X209" s="6">
        <v>23200.297871999981</v>
      </c>
      <c r="Y209" s="38">
        <v>10010</v>
      </c>
      <c r="Z209" s="86">
        <f>+((DETALLE_GD_1[[#This Row],[VALOR X UN (GD)]]-DETALLE_GD_1[[#This Row],[VALOR PPTO]])/DETALLE_GD_1[[#This Row],[VALOR PPTO]])</f>
        <v>-1.2840352364673349E-5</v>
      </c>
      <c r="AA209" s="2">
        <f>+DETALLE_GD_1[[#This Row],[VALOR PPTO]]*DETALLE_GD_1[[#This Row],[CANTIDAD RECIBIDA]]</f>
        <v>23200.297900000001</v>
      </c>
      <c r="AB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" s="3">
        <f>+DETALLE_GD_1[[#This Row],[CANTIDAD SOLICITADA]]-DETALLE_GD_1[[#This Row],[DEVOLUCIÓN]]</f>
        <v>1</v>
      </c>
      <c r="AD209" s="38" t="str">
        <f>+_xlfn.XLOOKUP(DETALLE_GD_1[[#This Row],[CODIGO]],PRODUCTOS[CODIGO],PRODUCTOS[DESC CORTA],"",0)</f>
        <v>CLAVO HELICOIDAL</v>
      </c>
      <c r="AE209"/>
      <c r="AH209"/>
    </row>
    <row r="210" spans="1:34" x14ac:dyDescent="0.25">
      <c r="A210" s="1">
        <v>46056</v>
      </c>
      <c r="B210" s="1">
        <v>46035</v>
      </c>
      <c r="C210" s="81" t="s">
        <v>15</v>
      </c>
      <c r="D210" s="38">
        <v>1</v>
      </c>
      <c r="E210" s="81" t="s">
        <v>16</v>
      </c>
      <c r="F210">
        <v>407011</v>
      </c>
      <c r="G210" s="81" t="s">
        <v>30</v>
      </c>
      <c r="H210" s="81" t="s">
        <v>31</v>
      </c>
      <c r="I210" s="3">
        <v>500</v>
      </c>
      <c r="J210" s="3"/>
      <c r="K210" s="26">
        <v>500</v>
      </c>
      <c r="L210" s="2">
        <v>473.17599999999999</v>
      </c>
      <c r="M210" s="2">
        <v>236588</v>
      </c>
      <c r="N210" s="2">
        <v>236588</v>
      </c>
      <c r="O210" s="2">
        <v>473.17520000000002</v>
      </c>
      <c r="P210" s="2">
        <v>-8.0000000000000004E-4</v>
      </c>
      <c r="Q210" s="2">
        <v>-0.38</v>
      </c>
      <c r="R210" s="4">
        <v>-1.6061702638343971E-6</v>
      </c>
      <c r="T210">
        <v>305160</v>
      </c>
      <c r="U210" s="2">
        <v>236588</v>
      </c>
      <c r="V210">
        <v>5614</v>
      </c>
      <c r="W210" s="2">
        <v>6579000000</v>
      </c>
      <c r="X210" s="6">
        <v>236587.61999999997</v>
      </c>
      <c r="Y210" s="38">
        <v>10010</v>
      </c>
      <c r="Z210" s="86">
        <f>+((DETALLE_GD_1[[#This Row],[VALOR X UN (GD)]]-DETALLE_GD_1[[#This Row],[VALOR PPTO]])/DETALLE_GD_1[[#This Row],[VALOR PPTO]])</f>
        <v>1.6907056835812905E-6</v>
      </c>
      <c r="AA210" s="2">
        <f>+DETALLE_GD_1[[#This Row],[VALOR PPTO]]*DETALLE_GD_1[[#This Row],[CANTIDAD RECIBIDA]]</f>
        <v>236587.6</v>
      </c>
      <c r="AB2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0" s="3">
        <f>+DETALLE_GD_1[[#This Row],[CANTIDAD SOLICITADA]]-DETALLE_GD_1[[#This Row],[DEVOLUCIÓN]]</f>
        <v>500</v>
      </c>
      <c r="AD210" s="38" t="str">
        <f>+_xlfn.XLOOKUP(DETALLE_GD_1[[#This Row],[CODIGO]],PRODUCTOS[CODIGO],PRODUCTOS[DESC CORTA],"",0)</f>
        <v>TORNILLO SIMPSON 6"</v>
      </c>
      <c r="AE210"/>
      <c r="AH210"/>
    </row>
    <row r="211" spans="1:34" x14ac:dyDescent="0.25">
      <c r="A211" s="1">
        <v>46056</v>
      </c>
      <c r="B211" s="1">
        <v>46034</v>
      </c>
      <c r="C211" s="81" t="s">
        <v>15</v>
      </c>
      <c r="D211" s="38">
        <v>1</v>
      </c>
      <c r="E211" s="81" t="s">
        <v>16</v>
      </c>
      <c r="F211" t="s">
        <v>166</v>
      </c>
      <c r="G211" s="81" t="s">
        <v>167</v>
      </c>
      <c r="H211" s="81" t="s">
        <v>26</v>
      </c>
      <c r="I211" s="3">
        <v>40</v>
      </c>
      <c r="J211" s="3"/>
      <c r="K211" s="26">
        <v>40</v>
      </c>
      <c r="L211" s="2">
        <v>19818</v>
      </c>
      <c r="M211" s="2">
        <v>792720</v>
      </c>
      <c r="N211" s="2">
        <v>792720</v>
      </c>
      <c r="O211" s="2">
        <v>11882.3879</v>
      </c>
      <c r="P211" s="2">
        <v>-7935.6121000000003</v>
      </c>
      <c r="Q211" s="2">
        <v>-317424.48330000002</v>
      </c>
      <c r="R211" s="4">
        <v>-0.66784657582560558</v>
      </c>
      <c r="T211">
        <v>305159</v>
      </c>
      <c r="U211" s="2">
        <v>792720</v>
      </c>
      <c r="V211">
        <v>5614</v>
      </c>
      <c r="W211" s="2">
        <v>6579000000</v>
      </c>
      <c r="X211" s="6">
        <v>475295.51668</v>
      </c>
      <c r="Y211" s="38">
        <v>10010</v>
      </c>
      <c r="Z211" s="86">
        <f>+((DETALLE_GD_1[[#This Row],[VALOR X UN (GD)]]-DETALLE_GD_1[[#This Row],[VALOR PPTO]])/DETALLE_GD_1[[#This Row],[VALOR PPTO]])</f>
        <v>0.66784657821177518</v>
      </c>
      <c r="AA211" s="2">
        <f>+DETALLE_GD_1[[#This Row],[VALOR PPTO]]*DETALLE_GD_1[[#This Row],[CANTIDAD RECIBIDA]]</f>
        <v>475295.516</v>
      </c>
      <c r="AB2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1" s="3">
        <f>+DETALLE_GD_1[[#This Row],[CANTIDAD SOLICITADA]]-DETALLE_GD_1[[#This Row],[DEVOLUCIÓN]]</f>
        <v>40</v>
      </c>
      <c r="AD211" s="38" t="str">
        <f>+_xlfn.XLOOKUP(DETALLE_GD_1[[#This Row],[CODIGO]],PRODUCTOS[CODIGO],PRODUCTOS[DESC CORTA],"",0)</f>
        <v>PISO TARKET</v>
      </c>
      <c r="AE211"/>
      <c r="AH211"/>
    </row>
    <row r="212" spans="1:34" x14ac:dyDescent="0.25">
      <c r="A212" s="1">
        <v>46055</v>
      </c>
      <c r="B212" s="1">
        <v>46055</v>
      </c>
      <c r="C212" s="81" t="s">
        <v>168</v>
      </c>
      <c r="D212" s="38">
        <v>2</v>
      </c>
      <c r="E212" s="81" t="s">
        <v>124</v>
      </c>
      <c r="F212">
        <v>407423</v>
      </c>
      <c r="G212" s="81" t="s">
        <v>106</v>
      </c>
      <c r="H212" s="81" t="s">
        <v>31</v>
      </c>
      <c r="I212" s="3">
        <v>350</v>
      </c>
      <c r="J212" s="3"/>
      <c r="K212" s="26">
        <v>350</v>
      </c>
      <c r="L212" s="2">
        <v>3.3170999999999999</v>
      </c>
      <c r="M212" s="2">
        <v>1161</v>
      </c>
      <c r="N212" s="2">
        <v>1161</v>
      </c>
      <c r="O212" s="2">
        <v>106.6405</v>
      </c>
      <c r="P212" s="2">
        <v>103.32340000000001</v>
      </c>
      <c r="Q212" s="2">
        <v>36163.1757</v>
      </c>
      <c r="R212" s="4">
        <v>0.96889415564034687</v>
      </c>
      <c r="T212">
        <v>305191</v>
      </c>
      <c r="U212" s="2">
        <v>4647066</v>
      </c>
      <c r="V212">
        <v>5614</v>
      </c>
      <c r="W212" s="2">
        <v>6579000000</v>
      </c>
      <c r="X212" s="6">
        <v>37324.175694324324</v>
      </c>
      <c r="Y212" s="38">
        <v>10010</v>
      </c>
      <c r="Z212" s="86">
        <f>+((DETALLE_GD_1[[#This Row],[VALOR X UN (GD)]]-DETALLE_GD_1[[#This Row],[VALOR PPTO]])/DETALLE_GD_1[[#This Row],[VALOR PPTO]])</f>
        <v>-0.9688945569460008</v>
      </c>
      <c r="AA212" s="2">
        <f>+DETALLE_GD_1[[#This Row],[VALOR PPTO]]*DETALLE_GD_1[[#This Row],[CANTIDAD RECIBIDA]]</f>
        <v>37324.175000000003</v>
      </c>
      <c r="AB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" s="3">
        <f>+DETALLE_GD_1[[#This Row],[CANTIDAD SOLICITADA]]-DETALLE_GD_1[[#This Row],[DEVOLUCIÓN]]</f>
        <v>350</v>
      </c>
      <c r="AD212" s="38" t="str">
        <f>+_xlfn.XLOOKUP(DETALLE_GD_1[[#This Row],[CODIGO]],PRODUCTOS[CODIGO],PRODUCTOS[DESC CORTA],"",0)</f>
        <v>TORNILLO CRS 6X1 5/8</v>
      </c>
      <c r="AE212"/>
      <c r="AH212"/>
    </row>
    <row r="213" spans="1:34" x14ac:dyDescent="0.25">
      <c r="A213" s="1">
        <v>46055</v>
      </c>
      <c r="B213" s="1">
        <v>46055</v>
      </c>
      <c r="C213" s="81" t="s">
        <v>381</v>
      </c>
      <c r="D213" s="38">
        <v>2</v>
      </c>
      <c r="E213" s="81" t="s">
        <v>124</v>
      </c>
      <c r="F213">
        <v>617057</v>
      </c>
      <c r="G213" s="81" t="s">
        <v>134</v>
      </c>
      <c r="H213" s="81" t="s">
        <v>31</v>
      </c>
      <c r="I213" s="3">
        <v>1</v>
      </c>
      <c r="J213" s="3"/>
      <c r="K213" s="26">
        <v>1</v>
      </c>
      <c r="L213" s="2">
        <v>2042</v>
      </c>
      <c r="M213" s="2">
        <v>2042</v>
      </c>
      <c r="N213" s="2">
        <v>2042</v>
      </c>
      <c r="O213" s="2">
        <v>2042.1197</v>
      </c>
      <c r="P213" s="2">
        <v>0.1197</v>
      </c>
      <c r="Q213" s="2">
        <v>0.1197</v>
      </c>
      <c r="R213" s="4">
        <v>5.8618502944876345E-5</v>
      </c>
      <c r="T213">
        <v>305191</v>
      </c>
      <c r="U213" s="2"/>
      <c r="V213">
        <v>5614</v>
      </c>
      <c r="W213" s="2">
        <v>6579000000</v>
      </c>
      <c r="X213" s="6">
        <v>2042.119706</v>
      </c>
      <c r="Y213" s="38">
        <v>10010</v>
      </c>
      <c r="Z213" s="86">
        <f>+((DETALLE_GD_1[[#This Row],[VALOR X UN (GD)]]-DETALLE_GD_1[[#This Row],[VALOR PPTO]])/DETALLE_GD_1[[#This Row],[VALOR PPTO]])</f>
        <v>-5.8615564993553597E-5</v>
      </c>
      <c r="AA213" s="2">
        <f>+DETALLE_GD_1[[#This Row],[VALOR PPTO]]*DETALLE_GD_1[[#This Row],[CANTIDAD RECIBIDA]]</f>
        <v>2042.1197</v>
      </c>
      <c r="AB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" s="3">
        <f>+DETALLE_GD_1[[#This Row],[CANTIDAD SOLICITADA]]-DETALLE_GD_1[[#This Row],[DEVOLUCIÓN]]</f>
        <v>1</v>
      </c>
      <c r="AD213" s="38" t="str">
        <f>+_xlfn.XLOOKUP(DETALLE_GD_1[[#This Row],[CODIGO]],PRODUCTOS[CODIGO],PRODUCTOS[DESC CORTA],"",0)</f>
        <v>BROCHA 5/8 X4</v>
      </c>
      <c r="AE213"/>
      <c r="AH213"/>
    </row>
    <row r="214" spans="1:34" x14ac:dyDescent="0.25">
      <c r="A214" s="1">
        <v>46055</v>
      </c>
      <c r="B214" s="1">
        <v>46055</v>
      </c>
      <c r="C214" s="81" t="s">
        <v>169</v>
      </c>
      <c r="D214" s="38">
        <v>2</v>
      </c>
      <c r="E214" s="81" t="s">
        <v>124</v>
      </c>
      <c r="F214">
        <v>2302098</v>
      </c>
      <c r="G214" s="81" t="s">
        <v>24</v>
      </c>
      <c r="H214" s="81" t="s">
        <v>25</v>
      </c>
      <c r="I214" s="3">
        <v>1</v>
      </c>
      <c r="J214" s="3"/>
      <c r="K214" s="26">
        <v>1</v>
      </c>
      <c r="L214" s="2">
        <v>21213</v>
      </c>
      <c r="M214" s="2">
        <v>21213</v>
      </c>
      <c r="N214" s="2">
        <v>21213</v>
      </c>
      <c r="O214" s="2">
        <v>21213</v>
      </c>
      <c r="P214" s="2">
        <v>0</v>
      </c>
      <c r="Q214" s="2">
        <v>0</v>
      </c>
      <c r="R214" s="4">
        <v>-1.7149761029050001E-16</v>
      </c>
      <c r="T214">
        <v>305191</v>
      </c>
      <c r="U214" s="2"/>
      <c r="V214">
        <v>5614</v>
      </c>
      <c r="W214" s="2">
        <v>6579000000</v>
      </c>
      <c r="X214" s="6">
        <v>21212.999999999996</v>
      </c>
      <c r="Y214" s="38">
        <v>10010</v>
      </c>
      <c r="Z214" s="86">
        <f>+((DETALLE_GD_1[[#This Row],[VALOR X UN (GD)]]-DETALLE_GD_1[[#This Row],[VALOR PPTO]])/DETALLE_GD_1[[#This Row],[VALOR PPTO]])</f>
        <v>0</v>
      </c>
      <c r="AA214" s="2">
        <f>+DETALLE_GD_1[[#This Row],[VALOR PPTO]]*DETALLE_GD_1[[#This Row],[CANTIDAD RECIBIDA]]</f>
        <v>21213</v>
      </c>
      <c r="AB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" s="3">
        <f>+DETALLE_GD_1[[#This Row],[CANTIDAD SOLICITADA]]-DETALLE_GD_1[[#This Row],[DEVOLUCIÓN]]</f>
        <v>1</v>
      </c>
      <c r="AD214" s="38" t="str">
        <f>+_xlfn.XLOOKUP(DETALLE_GD_1[[#This Row],[CODIGO]],PRODUCTOS[CODIGO],PRODUCTOS[DESC CORTA],"",0)</f>
        <v>COLA FRIA</v>
      </c>
      <c r="AE214"/>
      <c r="AH214"/>
    </row>
    <row r="215" spans="1:34" x14ac:dyDescent="0.25">
      <c r="A215" s="1">
        <v>46055</v>
      </c>
      <c r="B215" s="1">
        <v>46055</v>
      </c>
      <c r="C215" s="81" t="s">
        <v>168</v>
      </c>
      <c r="D215" s="38">
        <v>2</v>
      </c>
      <c r="E215" s="81" t="s">
        <v>124</v>
      </c>
      <c r="F215">
        <v>5309018</v>
      </c>
      <c r="G215" s="81" t="s">
        <v>112</v>
      </c>
      <c r="H215" s="81" t="s">
        <v>113</v>
      </c>
      <c r="I215" s="3">
        <v>100</v>
      </c>
      <c r="J215" s="3"/>
      <c r="K215" s="26">
        <v>100</v>
      </c>
      <c r="L215" s="2">
        <v>700</v>
      </c>
      <c r="M215" s="2">
        <v>70000</v>
      </c>
      <c r="N215" s="2">
        <v>70000</v>
      </c>
      <c r="O215" s="2">
        <v>699.99919999999997</v>
      </c>
      <c r="P215" s="2">
        <v>-8.0000000000000004E-4</v>
      </c>
      <c r="Q215" s="2">
        <v>-7.6799999999999993E-2</v>
      </c>
      <c r="R215" s="4">
        <v>-1.0971440602079328E-6</v>
      </c>
      <c r="T215">
        <v>305191</v>
      </c>
      <c r="U215" s="2"/>
      <c r="V215">
        <v>5614</v>
      </c>
      <c r="W215" s="2">
        <v>6579000000</v>
      </c>
      <c r="X215" s="6">
        <v>69999.923200000048</v>
      </c>
      <c r="Y215" s="38">
        <v>10010</v>
      </c>
      <c r="Z215" s="86">
        <f>+((DETALLE_GD_1[[#This Row],[VALOR X UN (GD)]]-DETALLE_GD_1[[#This Row],[VALOR PPTO]])/DETALLE_GD_1[[#This Row],[VALOR PPTO]])</f>
        <v>1.1428584490190236E-6</v>
      </c>
      <c r="AA215" s="2">
        <f>+DETALLE_GD_1[[#This Row],[VALOR PPTO]]*DETALLE_GD_1[[#This Row],[CANTIDAD RECIBIDA]]</f>
        <v>69999.92</v>
      </c>
      <c r="AB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5" s="3">
        <f>+DETALLE_GD_1[[#This Row],[CANTIDAD SOLICITADA]]-DETALLE_GD_1[[#This Row],[DEVOLUCIÓN]]</f>
        <v>100</v>
      </c>
      <c r="AD215" s="38">
        <f>+_xlfn.XLOOKUP(DETALLE_GD_1[[#This Row],[CODIGO]],PRODUCTOS[CODIGO],PRODUCTOS[DESC CORTA],"",0)</f>
        <v>0</v>
      </c>
      <c r="AE215"/>
      <c r="AH215"/>
    </row>
    <row r="216" spans="1:34" x14ac:dyDescent="0.25">
      <c r="A216" s="1">
        <v>46055</v>
      </c>
      <c r="B216" s="1">
        <v>46055</v>
      </c>
      <c r="C216" s="81" t="s">
        <v>168</v>
      </c>
      <c r="D216" s="38">
        <v>2</v>
      </c>
      <c r="E216" s="81" t="s">
        <v>124</v>
      </c>
      <c r="F216">
        <v>1902003</v>
      </c>
      <c r="G216" s="81" t="s">
        <v>155</v>
      </c>
      <c r="H216" s="81" t="s">
        <v>47</v>
      </c>
      <c r="I216" s="3">
        <v>2</v>
      </c>
      <c r="J216" s="3"/>
      <c r="K216" s="26">
        <v>2</v>
      </c>
      <c r="L216" s="2">
        <v>150634.5</v>
      </c>
      <c r="M216" s="2">
        <v>301269</v>
      </c>
      <c r="N216" s="2">
        <v>301269</v>
      </c>
      <c r="O216" s="2">
        <v>150703.9755</v>
      </c>
      <c r="P216" s="2">
        <v>69.475499999999997</v>
      </c>
      <c r="Q216" s="2">
        <v>138.95089999999999</v>
      </c>
      <c r="R216" s="4">
        <v>4.6100615320793632E-4</v>
      </c>
      <c r="T216">
        <v>305191</v>
      </c>
      <c r="U216" s="2"/>
      <c r="V216">
        <v>5614</v>
      </c>
      <c r="W216" s="2">
        <v>6579000000</v>
      </c>
      <c r="X216" s="6">
        <v>301407.95091999992</v>
      </c>
      <c r="Y216" s="38">
        <v>10010</v>
      </c>
      <c r="Z216" s="86">
        <f>+((DETALLE_GD_1[[#This Row],[VALOR X UN (GD)]]-DETALLE_GD_1[[#This Row],[VALOR PPTO]])/DETALLE_GD_1[[#This Row],[VALOR PPTO]])</f>
        <v>-4.6100641850685929E-4</v>
      </c>
      <c r="AA216" s="2">
        <f>+DETALLE_GD_1[[#This Row],[VALOR PPTO]]*DETALLE_GD_1[[#This Row],[CANTIDAD RECIBIDA]]</f>
        <v>301407.951</v>
      </c>
      <c r="AB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6" s="3">
        <f>+DETALLE_GD_1[[#This Row],[CANTIDAD SOLICITADA]]-DETALLE_GD_1[[#This Row],[DEVOLUCIÓN]]</f>
        <v>2</v>
      </c>
      <c r="AD216" s="38">
        <f>+_xlfn.XLOOKUP(DETALLE_GD_1[[#This Row],[CODIGO]],PRODUCTOS[CODIGO],PRODUCTOS[DESC CORTA],"",0)</f>
        <v>0</v>
      </c>
      <c r="AE216"/>
      <c r="AH216"/>
    </row>
    <row r="217" spans="1:34" x14ac:dyDescent="0.25">
      <c r="A217" s="1">
        <v>46055</v>
      </c>
      <c r="B217" s="1">
        <v>46055</v>
      </c>
      <c r="C217" s="81" t="s">
        <v>168</v>
      </c>
      <c r="D217" s="38">
        <v>2</v>
      </c>
      <c r="E217" s="81" t="s">
        <v>124</v>
      </c>
      <c r="F217">
        <v>701040</v>
      </c>
      <c r="G217" s="81" t="s">
        <v>19</v>
      </c>
      <c r="H217" s="81" t="s">
        <v>18</v>
      </c>
      <c r="I217" s="3">
        <v>40</v>
      </c>
      <c r="J217" s="3"/>
      <c r="K217" s="26">
        <v>40</v>
      </c>
      <c r="L217" s="2">
        <v>7743.8</v>
      </c>
      <c r="M217" s="2">
        <v>309752</v>
      </c>
      <c r="N217" s="2">
        <v>309752</v>
      </c>
      <c r="O217" s="2">
        <v>7835.7259999999997</v>
      </c>
      <c r="P217" s="2">
        <v>91.926000000000002</v>
      </c>
      <c r="Q217" s="2">
        <v>3677.0382</v>
      </c>
      <c r="R217" s="4">
        <v>1.1731644845627992E-2</v>
      </c>
      <c r="T217">
        <v>305191</v>
      </c>
      <c r="U217" s="2"/>
      <c r="V217">
        <v>5614</v>
      </c>
      <c r="W217" s="2">
        <v>6579000000</v>
      </c>
      <c r="X217" s="6">
        <v>313429.03815999988</v>
      </c>
      <c r="Y217" s="38">
        <v>10010</v>
      </c>
      <c r="Z217" s="86">
        <f>+((DETALLE_GD_1[[#This Row],[VALOR X UN (GD)]]-DETALLE_GD_1[[#This Row],[VALOR PPTO]])/DETALLE_GD_1[[#This Row],[VALOR PPTO]])</f>
        <v>-1.1731650647304344E-2</v>
      </c>
      <c r="AA217" s="2">
        <f>+DETALLE_GD_1[[#This Row],[VALOR PPTO]]*DETALLE_GD_1[[#This Row],[CANTIDAD RECIBIDA]]</f>
        <v>313429.03999999998</v>
      </c>
      <c r="AB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7" s="3">
        <f>+DETALLE_GD_1[[#This Row],[CANTIDAD SOLICITADA]]-DETALLE_GD_1[[#This Row],[DEVOLUCIÓN]]</f>
        <v>40</v>
      </c>
      <c r="AD217" s="38" t="str">
        <f>+_xlfn.XLOOKUP(DETALLE_GD_1[[#This Row],[CODIGO]],PRODUCTOS[CODIGO],PRODUCTOS[DESC CORTA],"",0)</f>
        <v>VOLCANITA RF</v>
      </c>
      <c r="AE217"/>
      <c r="AH217"/>
    </row>
    <row r="218" spans="1:34" x14ac:dyDescent="0.25">
      <c r="A218" s="1">
        <v>46055</v>
      </c>
      <c r="B218" s="1">
        <v>46055</v>
      </c>
      <c r="C218" s="81" t="s">
        <v>168</v>
      </c>
      <c r="D218" s="38">
        <v>2</v>
      </c>
      <c r="E218" s="81" t="s">
        <v>124</v>
      </c>
      <c r="F218">
        <v>1901008</v>
      </c>
      <c r="G218" s="81" t="s">
        <v>278</v>
      </c>
      <c r="H218" s="81" t="s">
        <v>26</v>
      </c>
      <c r="I218" s="3">
        <v>13</v>
      </c>
      <c r="J218" s="3"/>
      <c r="K218" s="26">
        <v>13</v>
      </c>
      <c r="L218" s="2">
        <v>2161.6923000000002</v>
      </c>
      <c r="M218" s="2">
        <v>28102</v>
      </c>
      <c r="N218" s="2">
        <v>28102</v>
      </c>
      <c r="O218" s="2">
        <v>2112.7957999999999</v>
      </c>
      <c r="P218" s="2">
        <v>-48.896500000000003</v>
      </c>
      <c r="Q218" s="2">
        <v>-635.6549</v>
      </c>
      <c r="R218" s="4">
        <v>-2.3143045427443359E-2</v>
      </c>
      <c r="T218">
        <v>305191</v>
      </c>
      <c r="U218" s="2"/>
      <c r="V218">
        <v>5614</v>
      </c>
      <c r="W218" s="2">
        <v>6579000000</v>
      </c>
      <c r="X218" s="6">
        <v>27466.345127000001</v>
      </c>
      <c r="Y218" s="38">
        <v>10010</v>
      </c>
      <c r="Z218" s="86">
        <f>+((DETALLE_GD_1[[#This Row],[VALOR X UN (GD)]]-DETALLE_GD_1[[#This Row],[VALOR PPTO]])/DETALLE_GD_1[[#This Row],[VALOR PPTO]])</f>
        <v>2.3143031617158787E-2</v>
      </c>
      <c r="AA218" s="2">
        <f>+DETALLE_GD_1[[#This Row],[VALOR PPTO]]*DETALLE_GD_1[[#This Row],[CANTIDAD RECIBIDA]]</f>
        <v>27466.345399999998</v>
      </c>
      <c r="AB2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8" s="3">
        <f>+DETALLE_GD_1[[#This Row],[CANTIDAD SOLICITADA]]-DETALLE_GD_1[[#This Row],[DEVOLUCIÓN]]</f>
        <v>13</v>
      </c>
      <c r="AD218" s="38" t="str">
        <f>+_xlfn.XLOOKUP(DETALLE_GD_1[[#This Row],[CODIGO]],PRODUCTOS[CODIGO],PRODUCTOS[DESC CORTA],"",0)</f>
        <v>AISLAN GLASS 90MM</v>
      </c>
      <c r="AE218"/>
      <c r="AH218"/>
    </row>
    <row r="219" spans="1:34" x14ac:dyDescent="0.25">
      <c r="A219" s="1">
        <v>46055</v>
      </c>
      <c r="B219" s="1">
        <v>46055</v>
      </c>
      <c r="C219" s="81" t="s">
        <v>168</v>
      </c>
      <c r="D219" s="38">
        <v>2</v>
      </c>
      <c r="E219" s="81" t="s">
        <v>124</v>
      </c>
      <c r="F219">
        <v>304101</v>
      </c>
      <c r="G219" s="81" t="s">
        <v>17</v>
      </c>
      <c r="H219" s="81" t="s">
        <v>18</v>
      </c>
      <c r="I219" s="3">
        <v>168</v>
      </c>
      <c r="J219" s="3"/>
      <c r="K219" s="26">
        <v>168</v>
      </c>
      <c r="L219" s="2">
        <v>9774.3155000000006</v>
      </c>
      <c r="M219" s="2">
        <v>1642085</v>
      </c>
      <c r="N219" s="2">
        <v>1642085</v>
      </c>
      <c r="O219" s="2">
        <v>9657.5879999999997</v>
      </c>
      <c r="P219" s="2">
        <v>-116.72750000000001</v>
      </c>
      <c r="Q219" s="2">
        <v>-19610.224399999999</v>
      </c>
      <c r="R219" s="4">
        <v>-1.2086612805889315E-2</v>
      </c>
      <c r="T219">
        <v>305191</v>
      </c>
      <c r="U219" s="2"/>
      <c r="V219">
        <v>5614</v>
      </c>
      <c r="W219" s="2">
        <v>6579000000</v>
      </c>
      <c r="X219" s="6">
        <v>1622474.7756000008</v>
      </c>
      <c r="Y219" s="38">
        <v>10010</v>
      </c>
      <c r="Z219" s="86">
        <f>+((DETALLE_GD_1[[#This Row],[VALOR X UN (GD)]]-DETALLE_GD_1[[#This Row],[VALOR PPTO]])/DETALLE_GD_1[[#This Row],[VALOR PPTO]])</f>
        <v>1.2086610031407518E-2</v>
      </c>
      <c r="AA219" s="2">
        <f>+DETALLE_GD_1[[#This Row],[VALOR PPTO]]*DETALLE_GD_1[[#This Row],[CANTIDAD RECIBIDA]]</f>
        <v>1622474.784</v>
      </c>
      <c r="AB2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9" s="3">
        <f>+DETALLE_GD_1[[#This Row],[CANTIDAD SOLICITADA]]-DETALLE_GD_1[[#This Row],[DEVOLUCIÓN]]</f>
        <v>168</v>
      </c>
      <c r="AD219" s="38" t="str">
        <f>+_xlfn.XLOOKUP(DETALLE_GD_1[[#This Row],[CODIGO]],PRODUCTOS[CODIGO],PRODUCTOS[DESC CORTA],"",0)</f>
        <v>OSB 9.5</v>
      </c>
      <c r="AE219"/>
      <c r="AH219"/>
    </row>
    <row r="220" spans="1:34" x14ac:dyDescent="0.25">
      <c r="A220" s="1">
        <v>46055</v>
      </c>
      <c r="B220" s="1">
        <v>46055</v>
      </c>
      <c r="C220" s="81" t="s">
        <v>168</v>
      </c>
      <c r="D220" s="38">
        <v>2</v>
      </c>
      <c r="E220" s="81" t="s">
        <v>124</v>
      </c>
      <c r="F220">
        <v>307256</v>
      </c>
      <c r="G220" s="81" t="s">
        <v>127</v>
      </c>
      <c r="H220" s="81" t="s">
        <v>20</v>
      </c>
      <c r="I220" s="3">
        <v>235</v>
      </c>
      <c r="J220" s="3"/>
      <c r="K220" s="26">
        <v>235</v>
      </c>
      <c r="L220" s="2">
        <v>1896.9574</v>
      </c>
      <c r="M220" s="2">
        <v>445785</v>
      </c>
      <c r="N220" s="2">
        <v>445785</v>
      </c>
      <c r="O220" s="2">
        <v>1896.9574</v>
      </c>
      <c r="P220" s="2">
        <v>0</v>
      </c>
      <c r="Q220" s="2">
        <v>0</v>
      </c>
      <c r="R220" s="4">
        <v>1.0094550877456015E-10</v>
      </c>
      <c r="T220">
        <v>305191</v>
      </c>
      <c r="U220" s="2"/>
      <c r="V220">
        <v>5614</v>
      </c>
      <c r="W220" s="2">
        <v>6579000000</v>
      </c>
      <c r="X220" s="6">
        <v>445785.00004499999</v>
      </c>
      <c r="Y220" s="38">
        <v>10010</v>
      </c>
      <c r="Z220" s="86">
        <f>+((DETALLE_GD_1[[#This Row],[VALOR X UN (GD)]]-DETALLE_GD_1[[#This Row],[VALOR PPTO]])/DETALLE_GD_1[[#This Row],[VALOR PPTO]])</f>
        <v>0</v>
      </c>
      <c r="AA220" s="2">
        <f>+DETALLE_GD_1[[#This Row],[VALOR PPTO]]*DETALLE_GD_1[[#This Row],[CANTIDAD RECIBIDA]]</f>
        <v>445784.989</v>
      </c>
      <c r="AB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0" s="3">
        <f>+DETALLE_GD_1[[#This Row],[CANTIDAD SOLICITADA]]-DETALLE_GD_1[[#This Row],[DEVOLUCIÓN]]</f>
        <v>235</v>
      </c>
      <c r="AD220" s="38" t="str">
        <f>+_xlfn.XLOOKUP(DETALLE_GD_1[[#This Row],[CODIGO]],PRODUCTOS[CODIGO],PRODUCTOS[DESC CORTA],"",0)</f>
        <v>PINO 1X4X320</v>
      </c>
      <c r="AE220"/>
      <c r="AH220"/>
    </row>
    <row r="221" spans="1:34" x14ac:dyDescent="0.25">
      <c r="A221" s="1">
        <v>46055</v>
      </c>
      <c r="B221" s="1">
        <v>46055</v>
      </c>
      <c r="C221" s="81" t="s">
        <v>168</v>
      </c>
      <c r="D221" s="38">
        <v>2</v>
      </c>
      <c r="E221" s="81" t="s">
        <v>124</v>
      </c>
      <c r="F221" t="s">
        <v>21</v>
      </c>
      <c r="G221" s="81" t="s">
        <v>22</v>
      </c>
      <c r="H221" s="81" t="s">
        <v>20</v>
      </c>
      <c r="I221" s="3">
        <v>60</v>
      </c>
      <c r="J221" s="3"/>
      <c r="K221" s="26">
        <v>60</v>
      </c>
      <c r="L221" s="2">
        <v>16070.716700000001</v>
      </c>
      <c r="M221" s="2">
        <v>964243</v>
      </c>
      <c r="N221" s="2">
        <v>964243</v>
      </c>
      <c r="O221" s="2">
        <v>15359.702799999999</v>
      </c>
      <c r="P221" s="2">
        <v>-711.01390000000004</v>
      </c>
      <c r="Q221" s="2">
        <v>-42660.832900000001</v>
      </c>
      <c r="R221" s="4">
        <v>-4.6290861979505674E-2</v>
      </c>
      <c r="T221">
        <v>305191</v>
      </c>
      <c r="U221" s="2"/>
      <c r="V221">
        <v>5614</v>
      </c>
      <c r="W221" s="2">
        <v>6579000000</v>
      </c>
      <c r="X221" s="6">
        <v>921582.1671000002</v>
      </c>
      <c r="Y221" s="38">
        <v>10010</v>
      </c>
      <c r="Z221" s="86">
        <f>+((DETALLE_GD_1[[#This Row],[VALOR X UN (GD)]]-DETALLE_GD_1[[#This Row],[VALOR PPTO]])/DETALLE_GD_1[[#This Row],[VALOR PPTO]])</f>
        <v>4.6290863127898658E-2</v>
      </c>
      <c r="AA221" s="2">
        <f>+DETALLE_GD_1[[#This Row],[VALOR PPTO]]*DETALLE_GD_1[[#This Row],[CANTIDAD RECIBIDA]]</f>
        <v>921582.16799999995</v>
      </c>
      <c r="AB2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1" s="3">
        <f>+DETALLE_GD_1[[#This Row],[CANTIDAD SOLICITADA]]-DETALLE_GD_1[[#This Row],[DEVOLUCIÓN]]</f>
        <v>60</v>
      </c>
      <c r="AD221" s="38" t="str">
        <f>+_xlfn.XLOOKUP(DETALLE_GD_1[[#This Row],[CODIGO]],PRODUCTOS[CODIGO],PRODUCTOS[DESC CORTA],"",0)</f>
        <v>PINO 3X8X320</v>
      </c>
      <c r="AE221"/>
      <c r="AH221"/>
    </row>
    <row r="222" spans="1:34" x14ac:dyDescent="0.25">
      <c r="A222" s="1">
        <v>46055</v>
      </c>
      <c r="B222" s="1">
        <v>46055</v>
      </c>
      <c r="C222" s="81" t="s">
        <v>168</v>
      </c>
      <c r="D222" s="38">
        <v>2</v>
      </c>
      <c r="E222" s="81" t="s">
        <v>124</v>
      </c>
      <c r="F222">
        <v>408071</v>
      </c>
      <c r="G222" s="81" t="s">
        <v>111</v>
      </c>
      <c r="H222" s="81" t="s">
        <v>36</v>
      </c>
      <c r="I222" s="3">
        <v>1</v>
      </c>
      <c r="J222" s="3"/>
      <c r="K222" s="26">
        <v>1</v>
      </c>
      <c r="L222" s="2">
        <v>23000</v>
      </c>
      <c r="M222" s="2">
        <v>23000</v>
      </c>
      <c r="N222" s="2">
        <v>23000</v>
      </c>
      <c r="O222" s="2">
        <v>23200.297900000001</v>
      </c>
      <c r="P222" s="2">
        <v>200.2979</v>
      </c>
      <c r="Q222" s="2">
        <v>200.2979</v>
      </c>
      <c r="R222" s="4">
        <v>8.6334181183818706E-3</v>
      </c>
      <c r="T222">
        <v>305191</v>
      </c>
      <c r="U222" s="2"/>
      <c r="V222">
        <v>5614</v>
      </c>
      <c r="W222" s="2">
        <v>6579000000</v>
      </c>
      <c r="X222" s="6">
        <v>23200.297871999981</v>
      </c>
      <c r="Y222" s="38">
        <v>10010</v>
      </c>
      <c r="Z222" s="86">
        <f>+((DETALLE_GD_1[[#This Row],[VALOR X UN (GD)]]-DETALLE_GD_1[[#This Row],[VALOR PPTO]])/DETALLE_GD_1[[#This Row],[VALOR PPTO]])</f>
        <v>-8.6334193148442876E-3</v>
      </c>
      <c r="AA222" s="2">
        <f>+DETALLE_GD_1[[#This Row],[VALOR PPTO]]*DETALLE_GD_1[[#This Row],[CANTIDAD RECIBIDA]]</f>
        <v>23200.297900000001</v>
      </c>
      <c r="AB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2" s="3">
        <f>+DETALLE_GD_1[[#This Row],[CANTIDAD SOLICITADA]]-DETALLE_GD_1[[#This Row],[DEVOLUCIÓN]]</f>
        <v>1</v>
      </c>
      <c r="AD222" s="38" t="str">
        <f>+_xlfn.XLOOKUP(DETALLE_GD_1[[#This Row],[CODIGO]],PRODUCTOS[CODIGO],PRODUCTOS[DESC CORTA],"",0)</f>
        <v>CLAVO HELICOIDAL</v>
      </c>
      <c r="AE222"/>
      <c r="AH222"/>
    </row>
    <row r="223" spans="1:34" x14ac:dyDescent="0.25">
      <c r="A223" s="1">
        <v>46055</v>
      </c>
      <c r="B223" s="1">
        <v>46055</v>
      </c>
      <c r="C223" s="81" t="s">
        <v>168</v>
      </c>
      <c r="D223" s="38">
        <v>2</v>
      </c>
      <c r="E223" s="81" t="s">
        <v>124</v>
      </c>
      <c r="F223">
        <v>302044</v>
      </c>
      <c r="G223" s="81" t="s">
        <v>247</v>
      </c>
      <c r="H223" s="81" t="s">
        <v>20</v>
      </c>
      <c r="I223" s="3">
        <v>60</v>
      </c>
      <c r="J223" s="3"/>
      <c r="K223" s="26">
        <v>60</v>
      </c>
      <c r="L223" s="2">
        <v>13973.566699999999</v>
      </c>
      <c r="M223" s="2">
        <v>838414</v>
      </c>
      <c r="N223" s="2">
        <v>838414</v>
      </c>
      <c r="O223" s="2">
        <v>13725.9625</v>
      </c>
      <c r="P223" s="2">
        <v>-247.60409999999999</v>
      </c>
      <c r="Q223" s="2">
        <v>-14856.248</v>
      </c>
      <c r="R223" s="4">
        <v>-1.8039108882407159E-2</v>
      </c>
      <c r="T223">
        <v>305191</v>
      </c>
      <c r="U223" s="2"/>
      <c r="V223">
        <v>5614</v>
      </c>
      <c r="W223" s="2">
        <v>6579000000</v>
      </c>
      <c r="X223" s="6">
        <v>823557.75204000005</v>
      </c>
      <c r="Y223" s="38">
        <v>10010</v>
      </c>
      <c r="Z223" s="86">
        <f>+((DETALLE_GD_1[[#This Row],[VALOR X UN (GD)]]-DETALLE_GD_1[[#This Row],[VALOR PPTO]])/DETALLE_GD_1[[#This Row],[VALOR PPTO]])</f>
        <v>1.8039113832636493E-2</v>
      </c>
      <c r="AA223" s="2">
        <f>+DETALLE_GD_1[[#This Row],[VALOR PPTO]]*DETALLE_GD_1[[#This Row],[CANTIDAD RECIBIDA]]</f>
        <v>823557.75</v>
      </c>
      <c r="AB2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3" s="3">
        <f>+DETALLE_GD_1[[#This Row],[CANTIDAD SOLICITADA]]-DETALLE_GD_1[[#This Row],[DEVOLUCIÓN]]</f>
        <v>60</v>
      </c>
      <c r="AD223" s="38" t="str">
        <f>+_xlfn.XLOOKUP(DETALLE_GD_1[[#This Row],[CODIGO]],PRODUCTOS[CODIGO],PRODUCTOS[DESC CORTA],"",0)</f>
        <v>PINO 2X8X4</v>
      </c>
      <c r="AE223"/>
      <c r="AH223"/>
    </row>
    <row r="224" spans="1:34" x14ac:dyDescent="0.25">
      <c r="A224" s="1">
        <v>46058</v>
      </c>
      <c r="B224" s="1">
        <v>46058</v>
      </c>
      <c r="C224" s="81" t="s">
        <v>169</v>
      </c>
      <c r="D224" s="38">
        <v>2</v>
      </c>
      <c r="E224" s="81" t="s">
        <v>170</v>
      </c>
      <c r="F224">
        <v>304014</v>
      </c>
      <c r="G224" s="81" t="s">
        <v>23</v>
      </c>
      <c r="H224" s="81" t="s">
        <v>18</v>
      </c>
      <c r="I224" s="3">
        <v>65</v>
      </c>
      <c r="J224" s="3"/>
      <c r="K224" s="26">
        <v>65</v>
      </c>
      <c r="L224" s="2">
        <v>20807.046200000001</v>
      </c>
      <c r="M224" s="2">
        <v>1352458</v>
      </c>
      <c r="N224" s="2">
        <v>1352458</v>
      </c>
      <c r="O224" s="2">
        <v>20894.5723</v>
      </c>
      <c r="P224" s="2">
        <v>87.5261</v>
      </c>
      <c r="Q224" s="2">
        <v>5689.1985000000004</v>
      </c>
      <c r="R224" s="4">
        <v>4.1889410302348865E-3</v>
      </c>
      <c r="T224">
        <v>305452</v>
      </c>
      <c r="U224" s="2">
        <v>1442688</v>
      </c>
      <c r="V224">
        <v>5614</v>
      </c>
      <c r="W224" s="2">
        <v>6579000000</v>
      </c>
      <c r="X224" s="6">
        <v>1358147.1985249999</v>
      </c>
      <c r="Y224" s="38">
        <v>10010</v>
      </c>
      <c r="Z224" s="86">
        <f>+((DETALLE_GD_1[[#This Row],[VALOR X UN (GD)]]-DETALLE_GD_1[[#This Row],[VALOR PPTO]])/DETALLE_GD_1[[#This Row],[VALOR PPTO]])</f>
        <v>-4.1889395362258329E-3</v>
      </c>
      <c r="AA224" s="2">
        <f>+DETALLE_GD_1[[#This Row],[VALOR PPTO]]*DETALLE_GD_1[[#This Row],[CANTIDAD RECIBIDA]]</f>
        <v>1358147.1995000001</v>
      </c>
      <c r="AB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4" s="3">
        <f>+DETALLE_GD_1[[#This Row],[CANTIDAD SOLICITADA]]-DETALLE_GD_1[[#This Row],[DEVOLUCIÓN]]</f>
        <v>65</v>
      </c>
      <c r="AD224" s="38">
        <f>+_xlfn.XLOOKUP(DETALLE_GD_1[[#This Row],[CODIGO]],PRODUCTOS[CODIGO],PRODUCTOS[DESC CORTA],"",0)</f>
        <v>0</v>
      </c>
      <c r="AE224"/>
      <c r="AH224"/>
    </row>
    <row r="225" spans="1:34" x14ac:dyDescent="0.25">
      <c r="A225" s="1">
        <v>46058</v>
      </c>
      <c r="B225" s="1">
        <v>46058</v>
      </c>
      <c r="C225" s="81" t="s">
        <v>382</v>
      </c>
      <c r="D225" s="38">
        <v>2</v>
      </c>
      <c r="E225" s="81" t="s">
        <v>171</v>
      </c>
      <c r="F225">
        <v>407427</v>
      </c>
      <c r="G225" s="81" t="s">
        <v>172</v>
      </c>
      <c r="H225" s="81" t="s">
        <v>36</v>
      </c>
      <c r="I225" s="3">
        <v>4</v>
      </c>
      <c r="J225" s="3"/>
      <c r="K225" s="26">
        <v>4</v>
      </c>
      <c r="L225" s="2">
        <v>22557.5</v>
      </c>
      <c r="M225" s="2">
        <v>90230</v>
      </c>
      <c r="N225" s="2">
        <v>90230</v>
      </c>
      <c r="O225" s="2">
        <v>22557.5455</v>
      </c>
      <c r="P225" s="2">
        <v>4.5499999999999999E-2</v>
      </c>
      <c r="Q225" s="2">
        <v>0.18179999999999999</v>
      </c>
      <c r="R225" s="4">
        <v>2.0150685317323429E-6</v>
      </c>
      <c r="T225">
        <v>305452</v>
      </c>
      <c r="U225" s="2"/>
      <c r="V225">
        <v>5614</v>
      </c>
      <c r="W225" s="2">
        <v>6579000000</v>
      </c>
      <c r="X225" s="6">
        <v>90230.181819999998</v>
      </c>
      <c r="Y225" s="38">
        <v>10010</v>
      </c>
      <c r="Z225" s="86">
        <f>+((DETALLE_GD_1[[#This Row],[VALOR X UN (GD)]]-DETALLE_GD_1[[#This Row],[VALOR PPTO]])/DETALLE_GD_1[[#This Row],[VALOR PPTO]])</f>
        <v>-2.0170634256362076E-6</v>
      </c>
      <c r="AA225" s="2">
        <f>+DETALLE_GD_1[[#This Row],[VALOR PPTO]]*DETALLE_GD_1[[#This Row],[CANTIDAD RECIBIDA]]</f>
        <v>90230.182000000001</v>
      </c>
      <c r="AB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5" s="3">
        <f>+DETALLE_GD_1[[#This Row],[CANTIDAD SOLICITADA]]-DETALLE_GD_1[[#This Row],[DEVOLUCIÓN]]</f>
        <v>4</v>
      </c>
      <c r="AD225" s="38">
        <f>+_xlfn.XLOOKUP(DETALLE_GD_1[[#This Row],[CODIGO]],PRODUCTOS[CODIGO],PRODUCTOS[DESC CORTA],"",0)</f>
        <v>0</v>
      </c>
      <c r="AE225"/>
      <c r="AH225"/>
    </row>
    <row r="226" spans="1:34" x14ac:dyDescent="0.25">
      <c r="A226" s="1">
        <v>46058</v>
      </c>
      <c r="B226" s="1">
        <v>46058</v>
      </c>
      <c r="C226" s="81" t="s">
        <v>114</v>
      </c>
      <c r="D226" s="38">
        <v>2</v>
      </c>
      <c r="E226" s="81" t="s">
        <v>173</v>
      </c>
      <c r="F226">
        <v>304002</v>
      </c>
      <c r="G226" s="81" t="s">
        <v>37</v>
      </c>
      <c r="H226" s="81" t="s">
        <v>18</v>
      </c>
      <c r="I226" s="3">
        <v>10</v>
      </c>
      <c r="J226" s="3"/>
      <c r="K226" s="26">
        <v>10</v>
      </c>
      <c r="L226" s="2">
        <v>21246.5</v>
      </c>
      <c r="M226" s="2">
        <v>212465</v>
      </c>
      <c r="N226" s="2">
        <v>212465</v>
      </c>
      <c r="O226" s="2">
        <v>21246.5072</v>
      </c>
      <c r="P226" s="2">
        <v>7.1999999999999998E-3</v>
      </c>
      <c r="Q226" s="2">
        <v>7.1499999999999994E-2</v>
      </c>
      <c r="R226" s="4">
        <v>3.3666710253973922E-7</v>
      </c>
      <c r="T226">
        <v>305429</v>
      </c>
      <c r="U226" s="2">
        <v>424930</v>
      </c>
      <c r="V226">
        <v>5614</v>
      </c>
      <c r="W226" s="2">
        <v>6579000000</v>
      </c>
      <c r="X226" s="6">
        <v>212465.07152999999</v>
      </c>
      <c r="Y226" s="38">
        <v>10010</v>
      </c>
      <c r="Z226" s="86">
        <f>+((DETALLE_GD_1[[#This Row],[VALOR X UN (GD)]]-DETALLE_GD_1[[#This Row],[VALOR PPTO]])/DETALLE_GD_1[[#This Row],[VALOR PPTO]])</f>
        <v>-3.3887922999464314E-7</v>
      </c>
      <c r="AA226" s="2">
        <f>+DETALLE_GD_1[[#This Row],[VALOR PPTO]]*DETALLE_GD_1[[#This Row],[CANTIDAD RECIBIDA]]</f>
        <v>212465.07199999999</v>
      </c>
      <c r="AB2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6" s="3">
        <f>+DETALLE_GD_1[[#This Row],[CANTIDAD SOLICITADA]]-DETALLE_GD_1[[#This Row],[DEVOLUCIÓN]]</f>
        <v>10</v>
      </c>
      <c r="AD226" s="38" t="str">
        <f>+_xlfn.XLOOKUP(DETALLE_GD_1[[#This Row],[CODIGO]],PRODUCTOS[CODIGO],PRODUCTOS[DESC CORTA],"",0)</f>
        <v>SMARTPANEL</v>
      </c>
      <c r="AE226"/>
      <c r="AH226"/>
    </row>
    <row r="227" spans="1:34" x14ac:dyDescent="0.25">
      <c r="A227" s="1">
        <v>46058</v>
      </c>
      <c r="B227" s="1">
        <v>46058</v>
      </c>
      <c r="C227" s="81" t="s">
        <v>150</v>
      </c>
      <c r="D227" s="38">
        <v>2</v>
      </c>
      <c r="E227" s="81" t="s">
        <v>173</v>
      </c>
      <c r="F227">
        <v>304002</v>
      </c>
      <c r="G227" s="81" t="s">
        <v>37</v>
      </c>
      <c r="H227" s="81" t="s">
        <v>18</v>
      </c>
      <c r="I227" s="3">
        <v>10</v>
      </c>
      <c r="J227" s="3"/>
      <c r="K227" s="26">
        <v>10</v>
      </c>
      <c r="L227" s="2">
        <v>21246.5</v>
      </c>
      <c r="M227" s="2">
        <v>212465</v>
      </c>
      <c r="N227" s="2">
        <v>212465</v>
      </c>
      <c r="O227" s="2">
        <v>21246.5072</v>
      </c>
      <c r="P227" s="2">
        <v>7.1999999999999998E-3</v>
      </c>
      <c r="Q227" s="2">
        <v>7.1499999999999994E-2</v>
      </c>
      <c r="R227" s="4">
        <v>3.3666710253973922E-7</v>
      </c>
      <c r="T227">
        <v>305429</v>
      </c>
      <c r="U227" s="2"/>
      <c r="V227">
        <v>5614</v>
      </c>
      <c r="W227" s="2">
        <v>6579000000</v>
      </c>
      <c r="X227" s="6">
        <v>212465.07152999999</v>
      </c>
      <c r="Y227" s="38">
        <v>10010</v>
      </c>
      <c r="Z227" s="86">
        <f>+((DETALLE_GD_1[[#This Row],[VALOR X UN (GD)]]-DETALLE_GD_1[[#This Row],[VALOR PPTO]])/DETALLE_GD_1[[#This Row],[VALOR PPTO]])</f>
        <v>-3.3887922999464314E-7</v>
      </c>
      <c r="AA227" s="2">
        <f>+DETALLE_GD_1[[#This Row],[VALOR PPTO]]*DETALLE_GD_1[[#This Row],[CANTIDAD RECIBIDA]]</f>
        <v>212465.07199999999</v>
      </c>
      <c r="AB2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7" s="3">
        <f>+DETALLE_GD_1[[#This Row],[CANTIDAD SOLICITADA]]-DETALLE_GD_1[[#This Row],[DEVOLUCIÓN]]</f>
        <v>10</v>
      </c>
      <c r="AD227" s="38" t="str">
        <f>+_xlfn.XLOOKUP(DETALLE_GD_1[[#This Row],[CODIGO]],PRODUCTOS[CODIGO],PRODUCTOS[DESC CORTA],"",0)</f>
        <v>SMARTPANEL</v>
      </c>
      <c r="AE227"/>
      <c r="AH227"/>
    </row>
    <row r="228" spans="1:34" x14ac:dyDescent="0.25">
      <c r="A228" s="1">
        <v>46058</v>
      </c>
      <c r="B228" s="1">
        <v>46058</v>
      </c>
      <c r="C228" s="81" t="s">
        <v>174</v>
      </c>
      <c r="D228" s="38">
        <v>2</v>
      </c>
      <c r="E228" s="81" t="s">
        <v>175</v>
      </c>
      <c r="F228">
        <v>407427</v>
      </c>
      <c r="G228" s="81" t="s">
        <v>172</v>
      </c>
      <c r="H228" s="81" t="s">
        <v>36</v>
      </c>
      <c r="I228" s="3">
        <v>1</v>
      </c>
      <c r="J228" s="3"/>
      <c r="K228" s="26">
        <v>1</v>
      </c>
      <c r="L228" s="2">
        <v>22558</v>
      </c>
      <c r="M228" s="2">
        <v>22558</v>
      </c>
      <c r="N228" s="2">
        <v>22558</v>
      </c>
      <c r="O228" s="2">
        <v>22557.5455</v>
      </c>
      <c r="P228" s="2">
        <v>-0.45450000000000002</v>
      </c>
      <c r="Q228" s="2">
        <v>-0.45450000000000002</v>
      </c>
      <c r="R228" s="4">
        <v>-2.0150463662249002E-5</v>
      </c>
      <c r="T228">
        <v>305424</v>
      </c>
      <c r="U228" s="2">
        <v>1249926</v>
      </c>
      <c r="V228">
        <v>5614</v>
      </c>
      <c r="W228" s="2">
        <v>6579000000</v>
      </c>
      <c r="X228" s="6">
        <v>22557.545454999999</v>
      </c>
      <c r="Y228" s="38">
        <v>10010</v>
      </c>
      <c r="Z228" s="86">
        <f>+((DETALLE_GD_1[[#This Row],[VALOR X UN (GD)]]-DETALLE_GD_1[[#This Row],[VALOR PPTO]])/DETALLE_GD_1[[#This Row],[VALOR PPTO]])</f>
        <v>2.014846872412716E-5</v>
      </c>
      <c r="AA228" s="2">
        <f>+DETALLE_GD_1[[#This Row],[VALOR PPTO]]*DETALLE_GD_1[[#This Row],[CANTIDAD RECIBIDA]]</f>
        <v>22557.5455</v>
      </c>
      <c r="AB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8" s="3">
        <f>+DETALLE_GD_1[[#This Row],[CANTIDAD SOLICITADA]]-DETALLE_GD_1[[#This Row],[DEVOLUCIÓN]]</f>
        <v>1</v>
      </c>
      <c r="AD228" s="38">
        <f>+_xlfn.XLOOKUP(DETALLE_GD_1[[#This Row],[CODIGO]],PRODUCTOS[CODIGO],PRODUCTOS[DESC CORTA],"",0)</f>
        <v>0</v>
      </c>
      <c r="AE228"/>
      <c r="AH228"/>
    </row>
    <row r="229" spans="1:34" x14ac:dyDescent="0.25">
      <c r="A229" s="1">
        <v>46058</v>
      </c>
      <c r="B229" s="1">
        <v>46058</v>
      </c>
      <c r="C229" s="81" t="s">
        <v>174</v>
      </c>
      <c r="D229" s="38">
        <v>2</v>
      </c>
      <c r="E229" s="81" t="s">
        <v>175</v>
      </c>
      <c r="F229">
        <v>407011</v>
      </c>
      <c r="G229" s="81" t="s">
        <v>30</v>
      </c>
      <c r="H229" s="81" t="s">
        <v>31</v>
      </c>
      <c r="I229" s="3">
        <v>2000</v>
      </c>
      <c r="J229" s="3"/>
      <c r="K229" s="26">
        <v>2000</v>
      </c>
      <c r="L229" s="2">
        <v>473.1755</v>
      </c>
      <c r="M229" s="2">
        <v>946351</v>
      </c>
      <c r="N229" s="2">
        <v>946351</v>
      </c>
      <c r="O229" s="2">
        <v>473.17520000000002</v>
      </c>
      <c r="P229" s="2">
        <v>-2.9999999999999997E-4</v>
      </c>
      <c r="Q229" s="2">
        <v>-0.52</v>
      </c>
      <c r="R229" s="4">
        <v>-5.4947930090874488E-7</v>
      </c>
      <c r="T229">
        <v>305424</v>
      </c>
      <c r="U229" s="2"/>
      <c r="V229">
        <v>5614</v>
      </c>
      <c r="W229" s="2">
        <v>6579000000</v>
      </c>
      <c r="X229" s="6">
        <v>946350.47999999986</v>
      </c>
      <c r="Y229" s="38">
        <v>10010</v>
      </c>
      <c r="Z229" s="86">
        <f>+((DETALLE_GD_1[[#This Row],[VALOR X UN (GD)]]-DETALLE_GD_1[[#This Row],[VALOR PPTO]])/DETALLE_GD_1[[#This Row],[VALOR PPTO]])</f>
        <v>6.3401463132796736E-7</v>
      </c>
      <c r="AA229" s="2">
        <f>+DETALLE_GD_1[[#This Row],[VALOR PPTO]]*DETALLE_GD_1[[#This Row],[CANTIDAD RECIBIDA]]</f>
        <v>946350.4</v>
      </c>
      <c r="AB2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9" s="3">
        <f>+DETALLE_GD_1[[#This Row],[CANTIDAD SOLICITADA]]-DETALLE_GD_1[[#This Row],[DEVOLUCIÓN]]</f>
        <v>2000</v>
      </c>
      <c r="AD229" s="38" t="str">
        <f>+_xlfn.XLOOKUP(DETALLE_GD_1[[#This Row],[CODIGO]],PRODUCTOS[CODIGO],PRODUCTOS[DESC CORTA],"",0)</f>
        <v>TORNILLO SIMPSON 6"</v>
      </c>
      <c r="AE229"/>
      <c r="AH229"/>
    </row>
    <row r="230" spans="1:34" x14ac:dyDescent="0.25">
      <c r="A230" s="1">
        <v>46058</v>
      </c>
      <c r="B230" s="1">
        <v>46058</v>
      </c>
      <c r="C230" s="81" t="s">
        <v>174</v>
      </c>
      <c r="D230" s="38">
        <v>2</v>
      </c>
      <c r="E230" s="81" t="s">
        <v>175</v>
      </c>
      <c r="F230">
        <v>1901008</v>
      </c>
      <c r="G230" s="81" t="s">
        <v>278</v>
      </c>
      <c r="H230" s="81" t="s">
        <v>26</v>
      </c>
      <c r="I230" s="3">
        <v>135</v>
      </c>
      <c r="J230" s="3"/>
      <c r="K230" s="26">
        <v>135</v>
      </c>
      <c r="L230" s="2">
        <v>2081.6073999999999</v>
      </c>
      <c r="M230" s="2">
        <v>281017</v>
      </c>
      <c r="N230" s="2">
        <v>281017</v>
      </c>
      <c r="O230" s="2">
        <v>2112.7957999999999</v>
      </c>
      <c r="P230" s="2">
        <v>31.188400000000001</v>
      </c>
      <c r="Q230" s="2">
        <v>4210.4301999999998</v>
      </c>
      <c r="R230" s="4">
        <v>1.4761659362721034E-2</v>
      </c>
      <c r="T230">
        <v>305424</v>
      </c>
      <c r="U230" s="2"/>
      <c r="V230">
        <v>5614</v>
      </c>
      <c r="W230" s="2">
        <v>6579000000</v>
      </c>
      <c r="X230" s="6">
        <v>285227.43016500003</v>
      </c>
      <c r="Y230" s="38">
        <v>10010</v>
      </c>
      <c r="Z230" s="86">
        <f>+((DETALLE_GD_1[[#This Row],[VALOR X UN (GD)]]-DETALLE_GD_1[[#This Row],[VALOR PPTO]])/DETALLE_GD_1[[#This Row],[VALOR PPTO]])</f>
        <v>-1.4761672661409117E-2</v>
      </c>
      <c r="AA230" s="2">
        <f>+DETALLE_GD_1[[#This Row],[VALOR PPTO]]*DETALLE_GD_1[[#This Row],[CANTIDAD RECIBIDA]]</f>
        <v>285227.43299999996</v>
      </c>
      <c r="AB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30" s="3">
        <f>+DETALLE_GD_1[[#This Row],[CANTIDAD SOLICITADA]]-DETALLE_GD_1[[#This Row],[DEVOLUCIÓN]]</f>
        <v>135</v>
      </c>
      <c r="AD230" s="38" t="str">
        <f>+_xlfn.XLOOKUP(DETALLE_GD_1[[#This Row],[CODIGO]],PRODUCTOS[CODIGO],PRODUCTOS[DESC CORTA],"",0)</f>
        <v>AISLAN GLASS 90MM</v>
      </c>
      <c r="AE230"/>
      <c r="AH230"/>
    </row>
    <row r="231" spans="1:34" x14ac:dyDescent="0.25">
      <c r="A231" s="1">
        <v>46056</v>
      </c>
      <c r="B231" s="1">
        <v>46056</v>
      </c>
      <c r="C231" s="81" t="s">
        <v>176</v>
      </c>
      <c r="D231" s="38">
        <v>2</v>
      </c>
      <c r="E231" s="81" t="s">
        <v>177</v>
      </c>
      <c r="F231">
        <v>302249</v>
      </c>
      <c r="G231" s="81" t="s">
        <v>178</v>
      </c>
      <c r="H231" s="81" t="s">
        <v>20</v>
      </c>
      <c r="I231" s="3">
        <v>264</v>
      </c>
      <c r="J231" s="3"/>
      <c r="K231" s="26">
        <v>264</v>
      </c>
      <c r="L231" s="2">
        <v>2320</v>
      </c>
      <c r="M231" s="2">
        <v>612480</v>
      </c>
      <c r="N231" s="2">
        <v>612480</v>
      </c>
      <c r="O231" s="2">
        <v>2226.3090999999999</v>
      </c>
      <c r="P231" s="2">
        <v>-93.690899999999999</v>
      </c>
      <c r="Q231" s="2">
        <v>-24734.384900000001</v>
      </c>
      <c r="R231" s="4">
        <v>-4.2083486960545063E-2</v>
      </c>
      <c r="T231">
        <v>305227</v>
      </c>
      <c r="U231" s="2">
        <v>6739879</v>
      </c>
      <c r="V231">
        <v>5614</v>
      </c>
      <c r="W231" s="2">
        <v>6579000000</v>
      </c>
      <c r="X231" s="6">
        <v>587745.61507199996</v>
      </c>
      <c r="Y231" s="38">
        <v>10010</v>
      </c>
      <c r="Z231" s="86">
        <f>+((DETALLE_GD_1[[#This Row],[VALOR X UN (GD)]]-DETALLE_GD_1[[#This Row],[VALOR PPTO]])/DETALLE_GD_1[[#This Row],[VALOR PPTO]])</f>
        <v>4.2083509428228118E-2</v>
      </c>
      <c r="AA231" s="2">
        <f>+DETALLE_GD_1[[#This Row],[VALOR PPTO]]*DETALLE_GD_1[[#This Row],[CANTIDAD RECIBIDA]]</f>
        <v>587745.60239999997</v>
      </c>
      <c r="AB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1" s="3">
        <f>+DETALLE_GD_1[[#This Row],[CANTIDAD SOLICITADA]]-DETALLE_GD_1[[#This Row],[DEVOLUCIÓN]]</f>
        <v>264</v>
      </c>
      <c r="AD231" s="38">
        <f>+_xlfn.XLOOKUP(DETALLE_GD_1[[#This Row],[CODIGO]],PRODUCTOS[CODIGO],PRODUCTOS[DESC CORTA],"",0)</f>
        <v>0</v>
      </c>
      <c r="AE231"/>
      <c r="AH231"/>
    </row>
    <row r="232" spans="1:34" x14ac:dyDescent="0.25">
      <c r="A232" s="1">
        <v>46056</v>
      </c>
      <c r="B232" s="1">
        <v>46056</v>
      </c>
      <c r="C232" s="81" t="s">
        <v>169</v>
      </c>
      <c r="D232" s="38">
        <v>2</v>
      </c>
      <c r="E232" s="81" t="s">
        <v>383</v>
      </c>
      <c r="F232">
        <v>407423</v>
      </c>
      <c r="G232" s="81" t="s">
        <v>106</v>
      </c>
      <c r="H232" s="81" t="s">
        <v>31</v>
      </c>
      <c r="I232" s="3">
        <v>4000</v>
      </c>
      <c r="J232" s="3"/>
      <c r="K232" s="26">
        <v>4000</v>
      </c>
      <c r="L232" s="2">
        <v>3.3167</v>
      </c>
      <c r="M232" s="2">
        <v>13267</v>
      </c>
      <c r="N232" s="2">
        <v>13267</v>
      </c>
      <c r="O232" s="2">
        <v>106.6405</v>
      </c>
      <c r="P232" s="2">
        <v>103.32380000000001</v>
      </c>
      <c r="Q232" s="2">
        <v>413295.00790000003</v>
      </c>
      <c r="R232" s="4">
        <v>0.96889783957970921</v>
      </c>
      <c r="T232">
        <v>305227</v>
      </c>
      <c r="U232" s="2"/>
      <c r="V232">
        <v>5614</v>
      </c>
      <c r="W232" s="2">
        <v>6579000000</v>
      </c>
      <c r="X232" s="6">
        <v>426562.0079351351</v>
      </c>
      <c r="Y232" s="38">
        <v>10010</v>
      </c>
      <c r="Z232" s="86">
        <f>+((DETALLE_GD_1[[#This Row],[VALOR X UN (GD)]]-DETALLE_GD_1[[#This Row],[VALOR PPTO]])/DETALLE_GD_1[[#This Row],[VALOR PPTO]])</f>
        <v>-0.96889830786614839</v>
      </c>
      <c r="AA232" s="2">
        <f>+DETALLE_GD_1[[#This Row],[VALOR PPTO]]*DETALLE_GD_1[[#This Row],[CANTIDAD RECIBIDA]]</f>
        <v>426562</v>
      </c>
      <c r="AB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2" s="3">
        <f>+DETALLE_GD_1[[#This Row],[CANTIDAD SOLICITADA]]-DETALLE_GD_1[[#This Row],[DEVOLUCIÓN]]</f>
        <v>4000</v>
      </c>
      <c r="AD232" s="38" t="str">
        <f>+_xlfn.XLOOKUP(DETALLE_GD_1[[#This Row],[CODIGO]],PRODUCTOS[CODIGO],PRODUCTOS[DESC CORTA],"",0)</f>
        <v>TORNILLO CRS 6X1 5/8</v>
      </c>
      <c r="AE232"/>
      <c r="AH232"/>
    </row>
    <row r="233" spans="1:34" x14ac:dyDescent="0.25">
      <c r="A233" s="1">
        <v>46056</v>
      </c>
      <c r="B233" s="1">
        <v>46056</v>
      </c>
      <c r="C233" s="81" t="s">
        <v>169</v>
      </c>
      <c r="D233" s="38">
        <v>2</v>
      </c>
      <c r="E233" s="81" t="s">
        <v>177</v>
      </c>
      <c r="F233">
        <v>408071</v>
      </c>
      <c r="G233" s="81" t="s">
        <v>111</v>
      </c>
      <c r="H233" s="81" t="s">
        <v>36</v>
      </c>
      <c r="I233" s="3">
        <v>2</v>
      </c>
      <c r="J233" s="3"/>
      <c r="K233" s="26">
        <v>2</v>
      </c>
      <c r="L233" s="2">
        <v>23200.5</v>
      </c>
      <c r="M233" s="2">
        <v>46401</v>
      </c>
      <c r="N233" s="2">
        <v>46401</v>
      </c>
      <c r="O233" s="2">
        <v>23200.297900000001</v>
      </c>
      <c r="P233" s="2">
        <v>-0.2021</v>
      </c>
      <c r="Q233" s="2">
        <v>-0.40429999999999999</v>
      </c>
      <c r="R233" s="4">
        <v>-8.7123019339741494E-6</v>
      </c>
      <c r="T233">
        <v>305227</v>
      </c>
      <c r="U233" s="2"/>
      <c r="V233">
        <v>5614</v>
      </c>
      <c r="W233" s="2">
        <v>6579000000</v>
      </c>
      <c r="X233" s="6">
        <v>46400.595743999962</v>
      </c>
      <c r="Y233" s="38">
        <v>10010</v>
      </c>
      <c r="Z233" s="86">
        <f>+((DETALLE_GD_1[[#This Row],[VALOR X UN (GD)]]-DETALLE_GD_1[[#This Row],[VALOR PPTO]])/DETALLE_GD_1[[#This Row],[VALOR PPTO]])</f>
        <v>8.7110950415256869E-6</v>
      </c>
      <c r="AA233" s="2">
        <f>+DETALLE_GD_1[[#This Row],[VALOR PPTO]]*DETALLE_GD_1[[#This Row],[CANTIDAD RECIBIDA]]</f>
        <v>46400.595800000003</v>
      </c>
      <c r="AB2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3" s="3">
        <f>+DETALLE_GD_1[[#This Row],[CANTIDAD SOLICITADA]]-DETALLE_GD_1[[#This Row],[DEVOLUCIÓN]]</f>
        <v>2</v>
      </c>
      <c r="AD233" s="38" t="str">
        <f>+_xlfn.XLOOKUP(DETALLE_GD_1[[#This Row],[CODIGO]],PRODUCTOS[CODIGO],PRODUCTOS[DESC CORTA],"",0)</f>
        <v>CLAVO HELICOIDAL</v>
      </c>
      <c r="AE233"/>
      <c r="AH233"/>
    </row>
    <row r="234" spans="1:34" x14ac:dyDescent="0.25">
      <c r="A234" s="1">
        <v>46056</v>
      </c>
      <c r="B234" s="1">
        <v>46056</v>
      </c>
      <c r="C234" s="81" t="s">
        <v>169</v>
      </c>
      <c r="D234" s="38">
        <v>2</v>
      </c>
      <c r="E234" s="81" t="s">
        <v>177</v>
      </c>
      <c r="F234">
        <v>408042</v>
      </c>
      <c r="G234" s="81" t="s">
        <v>144</v>
      </c>
      <c r="H234" s="81" t="s">
        <v>36</v>
      </c>
      <c r="I234" s="3">
        <v>2</v>
      </c>
      <c r="J234" s="3"/>
      <c r="K234" s="26">
        <v>2</v>
      </c>
      <c r="L234" s="2">
        <v>35000</v>
      </c>
      <c r="M234" s="2">
        <v>70000</v>
      </c>
      <c r="N234" s="2">
        <v>70000</v>
      </c>
      <c r="O234" s="2">
        <v>35000</v>
      </c>
      <c r="P234" s="2">
        <v>0</v>
      </c>
      <c r="Q234" s="2">
        <v>0</v>
      </c>
      <c r="R234" s="4">
        <v>8.3153801304950006E-16</v>
      </c>
      <c r="T234">
        <v>305227</v>
      </c>
      <c r="U234" s="2"/>
      <c r="V234">
        <v>5614</v>
      </c>
      <c r="W234" s="2">
        <v>6579000000</v>
      </c>
      <c r="X234" s="6">
        <v>70000.000000000058</v>
      </c>
      <c r="Y234" s="38">
        <v>10010</v>
      </c>
      <c r="Z234" s="86">
        <f>+((DETALLE_GD_1[[#This Row],[VALOR X UN (GD)]]-DETALLE_GD_1[[#This Row],[VALOR PPTO]])/DETALLE_GD_1[[#This Row],[VALOR PPTO]])</f>
        <v>0</v>
      </c>
      <c r="AA234" s="2">
        <f>+DETALLE_GD_1[[#This Row],[VALOR PPTO]]*DETALLE_GD_1[[#This Row],[CANTIDAD RECIBIDA]]</f>
        <v>70000</v>
      </c>
      <c r="AB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4" s="3">
        <f>+DETALLE_GD_1[[#This Row],[CANTIDAD SOLICITADA]]-DETALLE_GD_1[[#This Row],[DEVOLUCIÓN]]</f>
        <v>2</v>
      </c>
      <c r="AD234" s="38" t="str">
        <f>+_xlfn.XLOOKUP(DETALLE_GD_1[[#This Row],[CODIGO]],PRODUCTOS[CODIGO],PRODUCTOS[DESC CORTA],"",0)</f>
        <v>CLAVO HELICOIDAL PROFIX</v>
      </c>
      <c r="AE234"/>
      <c r="AH234"/>
    </row>
    <row r="235" spans="1:34" x14ac:dyDescent="0.25">
      <c r="A235" s="1">
        <v>46056</v>
      </c>
      <c r="B235" s="1">
        <v>46056</v>
      </c>
      <c r="C235" s="81" t="s">
        <v>176</v>
      </c>
      <c r="D235" s="38">
        <v>2</v>
      </c>
      <c r="E235" s="81" t="s">
        <v>177</v>
      </c>
      <c r="F235">
        <v>302048</v>
      </c>
      <c r="G235" s="81" t="s">
        <v>126</v>
      </c>
      <c r="H235" s="81" t="s">
        <v>20</v>
      </c>
      <c r="I235" s="3">
        <v>177</v>
      </c>
      <c r="J235" s="3"/>
      <c r="K235" s="26">
        <v>177</v>
      </c>
      <c r="L235" s="2">
        <v>15565.8192</v>
      </c>
      <c r="M235" s="2">
        <v>2755150</v>
      </c>
      <c r="N235" s="2">
        <v>2755150</v>
      </c>
      <c r="O235" s="2">
        <v>13710.695</v>
      </c>
      <c r="P235" s="2">
        <v>-1855.1242</v>
      </c>
      <c r="Q235" s="2">
        <v>-328356.99190000002</v>
      </c>
      <c r="R235" s="4">
        <v>-0.13530490272859544</v>
      </c>
      <c r="T235">
        <v>305227</v>
      </c>
      <c r="U235" s="2"/>
      <c r="V235">
        <v>5614</v>
      </c>
      <c r="W235" s="2">
        <v>6579000000</v>
      </c>
      <c r="X235" s="6">
        <v>2426793.008097</v>
      </c>
      <c r="Y235" s="38">
        <v>10010</v>
      </c>
      <c r="Z235" s="86">
        <f>+((DETALLE_GD_1[[#This Row],[VALOR X UN (GD)]]-DETALLE_GD_1[[#This Row],[VALOR PPTO]])/DETALLE_GD_1[[#This Row],[VALOR PPTO]])</f>
        <v>0.13530489883992025</v>
      </c>
      <c r="AA235" s="2">
        <f>+DETALLE_GD_1[[#This Row],[VALOR PPTO]]*DETALLE_GD_1[[#This Row],[CANTIDAD RECIBIDA]]</f>
        <v>2426793.0150000001</v>
      </c>
      <c r="AB2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35" s="3">
        <f>+DETALLE_GD_1[[#This Row],[CANTIDAD SOLICITADA]]-DETALLE_GD_1[[#This Row],[DEVOLUCIÓN]]</f>
        <v>177</v>
      </c>
      <c r="AD235" s="38" t="str">
        <f>+_xlfn.XLOOKUP(DETALLE_GD_1[[#This Row],[CODIGO]],PRODUCTOS[CODIGO],PRODUCTOS[DESC CORTA],"",0)</f>
        <v>PINO 2X8X4</v>
      </c>
      <c r="AE235"/>
      <c r="AH235"/>
    </row>
    <row r="236" spans="1:34" x14ac:dyDescent="0.25">
      <c r="A236" s="1">
        <v>46056</v>
      </c>
      <c r="B236" s="1">
        <v>46056</v>
      </c>
      <c r="C236" s="81" t="s">
        <v>176</v>
      </c>
      <c r="D236" s="38">
        <v>2</v>
      </c>
      <c r="E236" s="81" t="s">
        <v>177</v>
      </c>
      <c r="F236">
        <v>302044</v>
      </c>
      <c r="G236" s="81" t="s">
        <v>247</v>
      </c>
      <c r="H236" s="81" t="s">
        <v>20</v>
      </c>
      <c r="I236" s="3">
        <v>66</v>
      </c>
      <c r="J236" s="3"/>
      <c r="K236" s="26">
        <v>66</v>
      </c>
      <c r="L236" s="2">
        <v>13973.575800000001</v>
      </c>
      <c r="M236" s="2">
        <v>922256</v>
      </c>
      <c r="N236" s="2">
        <v>922256</v>
      </c>
      <c r="O236" s="2">
        <v>13725.9625</v>
      </c>
      <c r="P236" s="2">
        <v>-247.61320000000001</v>
      </c>
      <c r="Q236" s="2">
        <v>-16342.4728</v>
      </c>
      <c r="R236" s="4">
        <v>-1.8039771197277097E-2</v>
      </c>
      <c r="T236">
        <v>305227</v>
      </c>
      <c r="U236" s="2"/>
      <c r="V236">
        <v>5614</v>
      </c>
      <c r="W236" s="2">
        <v>6579000000</v>
      </c>
      <c r="X236" s="6">
        <v>905913.527244</v>
      </c>
      <c r="Y236" s="38">
        <v>10010</v>
      </c>
      <c r="Z236" s="86">
        <f>+((DETALLE_GD_1[[#This Row],[VALOR X UN (GD)]]-DETALLE_GD_1[[#This Row],[VALOR PPTO]])/DETALLE_GD_1[[#This Row],[VALOR PPTO]])</f>
        <v>1.8039776809823056E-2</v>
      </c>
      <c r="AA236" s="2">
        <f>+DETALLE_GD_1[[#This Row],[VALOR PPTO]]*DETALLE_GD_1[[#This Row],[CANTIDAD RECIBIDA]]</f>
        <v>905913.52500000002</v>
      </c>
      <c r="AB2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36" s="3">
        <f>+DETALLE_GD_1[[#This Row],[CANTIDAD SOLICITADA]]-DETALLE_GD_1[[#This Row],[DEVOLUCIÓN]]</f>
        <v>66</v>
      </c>
      <c r="AD236" s="38" t="str">
        <f>+_xlfn.XLOOKUP(DETALLE_GD_1[[#This Row],[CODIGO]],PRODUCTOS[CODIGO],PRODUCTOS[DESC CORTA],"",0)</f>
        <v>PINO 2X8X4</v>
      </c>
      <c r="AE236"/>
      <c r="AH236"/>
    </row>
    <row r="237" spans="1:34" x14ac:dyDescent="0.25">
      <c r="A237" s="1">
        <v>46056</v>
      </c>
      <c r="B237" s="1">
        <v>46056</v>
      </c>
      <c r="C237" s="81" t="s">
        <v>169</v>
      </c>
      <c r="D237" s="38">
        <v>2</v>
      </c>
      <c r="E237" s="81" t="s">
        <v>177</v>
      </c>
      <c r="F237" t="s">
        <v>82</v>
      </c>
      <c r="G237" s="81" t="s">
        <v>83</v>
      </c>
      <c r="H237" s="81" t="s">
        <v>36</v>
      </c>
      <c r="I237" s="3">
        <v>2</v>
      </c>
      <c r="J237" s="3"/>
      <c r="K237" s="26">
        <v>2</v>
      </c>
      <c r="L237" s="2">
        <v>36952</v>
      </c>
      <c r="M237" s="2">
        <v>73904</v>
      </c>
      <c r="N237" s="2">
        <v>73904</v>
      </c>
      <c r="O237" s="2">
        <v>36939.818200000002</v>
      </c>
      <c r="P237" s="2">
        <v>-12.181800000000001</v>
      </c>
      <c r="Q237" s="2">
        <v>-24.363600000000002</v>
      </c>
      <c r="R237" s="4">
        <v>-3.2977471464512494E-4</v>
      </c>
      <c r="T237">
        <v>305227</v>
      </c>
      <c r="U237" s="2"/>
      <c r="V237">
        <v>5614</v>
      </c>
      <c r="W237" s="2">
        <v>6579000000</v>
      </c>
      <c r="X237" s="6">
        <v>73879.636363999962</v>
      </c>
      <c r="Y237" s="38">
        <v>10010</v>
      </c>
      <c r="Z237" s="86">
        <f>+((DETALLE_GD_1[[#This Row],[VALOR X UN (GD)]]-DETALLE_GD_1[[#This Row],[VALOR PPTO]])/DETALLE_GD_1[[#This Row],[VALOR PPTO]])</f>
        <v>3.2977422720500759E-4</v>
      </c>
      <c r="AA237" s="2">
        <f>+DETALLE_GD_1[[#This Row],[VALOR PPTO]]*DETALLE_GD_1[[#This Row],[CANTIDAD RECIBIDA]]</f>
        <v>73879.636400000003</v>
      </c>
      <c r="AB2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37" s="3">
        <f>+DETALLE_GD_1[[#This Row],[CANTIDAD SOLICITADA]]-DETALLE_GD_1[[#This Row],[DEVOLUCIÓN]]</f>
        <v>2</v>
      </c>
      <c r="AD237" s="38" t="str">
        <f>+_xlfn.XLOOKUP(DETALLE_GD_1[[#This Row],[CODIGO]],PRODUCTOS[CODIGO],PRODUCTOS[DESC CORTA],"",0)</f>
        <v>CLAVO R20</v>
      </c>
      <c r="AE237"/>
      <c r="AH237"/>
    </row>
    <row r="238" spans="1:34" x14ac:dyDescent="0.25">
      <c r="A238" s="1">
        <v>46056</v>
      </c>
      <c r="B238" s="1">
        <v>46056</v>
      </c>
      <c r="C238" s="81" t="s">
        <v>176</v>
      </c>
      <c r="D238" s="38">
        <v>2</v>
      </c>
      <c r="E238" s="81" t="s">
        <v>177</v>
      </c>
      <c r="F238">
        <v>1901008</v>
      </c>
      <c r="G238" s="81" t="s">
        <v>278</v>
      </c>
      <c r="H238" s="81" t="s">
        <v>26</v>
      </c>
      <c r="I238" s="3">
        <v>189</v>
      </c>
      <c r="J238" s="3"/>
      <c r="K238" s="26">
        <v>189</v>
      </c>
      <c r="L238" s="2">
        <v>2081.6032</v>
      </c>
      <c r="M238" s="2">
        <v>393423</v>
      </c>
      <c r="N238" s="2">
        <v>393423</v>
      </c>
      <c r="O238" s="2">
        <v>2112.7957999999999</v>
      </c>
      <c r="P238" s="2">
        <v>31.192599999999999</v>
      </c>
      <c r="Q238" s="2">
        <v>5895.4022000000004</v>
      </c>
      <c r="R238" s="4">
        <v>1.4763662776526956E-2</v>
      </c>
      <c r="T238">
        <v>305227</v>
      </c>
      <c r="U238" s="2"/>
      <c r="V238">
        <v>5614</v>
      </c>
      <c r="W238" s="2">
        <v>6579000000</v>
      </c>
      <c r="X238" s="6">
        <v>399318.40223100001</v>
      </c>
      <c r="Y238" s="38">
        <v>10010</v>
      </c>
      <c r="Z238" s="86">
        <f>+((DETALLE_GD_1[[#This Row],[VALOR X UN (GD)]]-DETALLE_GD_1[[#This Row],[VALOR PPTO]])/DETALLE_GD_1[[#This Row],[VALOR PPTO]])</f>
        <v>-1.4763660548738245E-2</v>
      </c>
      <c r="AA238" s="2">
        <f>+DETALLE_GD_1[[#This Row],[VALOR PPTO]]*DETALLE_GD_1[[#This Row],[CANTIDAD RECIBIDA]]</f>
        <v>399318.40619999997</v>
      </c>
      <c r="AB2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38" s="3">
        <f>+DETALLE_GD_1[[#This Row],[CANTIDAD SOLICITADA]]-DETALLE_GD_1[[#This Row],[DEVOLUCIÓN]]</f>
        <v>189</v>
      </c>
      <c r="AD238" s="38" t="str">
        <f>+_xlfn.XLOOKUP(DETALLE_GD_1[[#This Row],[CODIGO]],PRODUCTOS[CODIGO],PRODUCTOS[DESC CORTA],"",0)</f>
        <v>AISLAN GLASS 90MM</v>
      </c>
      <c r="AE238"/>
      <c r="AH238"/>
    </row>
    <row r="239" spans="1:34" x14ac:dyDescent="0.25">
      <c r="A239" s="1">
        <v>46056</v>
      </c>
      <c r="B239" s="1">
        <v>46056</v>
      </c>
      <c r="C239" s="81" t="s">
        <v>169</v>
      </c>
      <c r="D239" s="38">
        <v>2</v>
      </c>
      <c r="E239" s="81" t="s">
        <v>177</v>
      </c>
      <c r="F239" t="s">
        <v>34</v>
      </c>
      <c r="G239" s="81" t="s">
        <v>35</v>
      </c>
      <c r="H239" s="81" t="s">
        <v>36</v>
      </c>
      <c r="I239" s="3">
        <v>2</v>
      </c>
      <c r="J239" s="3"/>
      <c r="K239" s="26">
        <v>2</v>
      </c>
      <c r="L239" s="2">
        <v>233358</v>
      </c>
      <c r="M239" s="2">
        <v>466716</v>
      </c>
      <c r="N239" s="2">
        <v>466716</v>
      </c>
      <c r="O239" s="2">
        <v>233358.08790000001</v>
      </c>
      <c r="P239" s="2">
        <v>8.7900000000000006E-2</v>
      </c>
      <c r="Q239" s="2">
        <v>0.17580000000000001</v>
      </c>
      <c r="R239" s="4">
        <v>3.7672574700427221E-7</v>
      </c>
      <c r="T239">
        <v>305227</v>
      </c>
      <c r="U239" s="2"/>
      <c r="V239">
        <v>5614</v>
      </c>
      <c r="W239" s="2">
        <v>6579000000</v>
      </c>
      <c r="X239" s="6">
        <v>466716.17582399998</v>
      </c>
      <c r="Y239" s="38">
        <v>10010</v>
      </c>
      <c r="Z239" s="86">
        <f>+((DETALLE_GD_1[[#This Row],[VALOR X UN (GD)]]-DETALLE_GD_1[[#This Row],[VALOR PPTO]])/DETALLE_GD_1[[#This Row],[VALOR PPTO]])</f>
        <v>-3.766743240150547E-7</v>
      </c>
      <c r="AA239" s="2">
        <f>+DETALLE_GD_1[[#This Row],[VALOR PPTO]]*DETALLE_GD_1[[#This Row],[CANTIDAD RECIBIDA]]</f>
        <v>466716.17580000003</v>
      </c>
      <c r="AB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9" s="3">
        <f>+DETALLE_GD_1[[#This Row],[CANTIDAD SOLICITADA]]-DETALLE_GD_1[[#This Row],[DEVOLUCIÓN]]</f>
        <v>2</v>
      </c>
      <c r="AD239" s="38" t="str">
        <f>+_xlfn.XLOOKUP(DETALLE_GD_1[[#This Row],[CODIGO]],PRODUCTOS[CODIGO],PRODUCTOS[DESC CORTA],"",0)</f>
        <v>CLAVO TORNILLO</v>
      </c>
      <c r="AE239"/>
      <c r="AH239"/>
    </row>
    <row r="240" spans="1:34" x14ac:dyDescent="0.25">
      <c r="A240" s="1">
        <v>46056</v>
      </c>
      <c r="B240" s="1">
        <v>46056</v>
      </c>
      <c r="C240" s="81" t="s">
        <v>169</v>
      </c>
      <c r="D240" s="38">
        <v>2</v>
      </c>
      <c r="E240" s="81" t="s">
        <v>169</v>
      </c>
      <c r="F240">
        <v>407185</v>
      </c>
      <c r="G240" s="81" t="s">
        <v>43</v>
      </c>
      <c r="H240" s="81" t="s">
        <v>31</v>
      </c>
      <c r="I240" s="3">
        <v>4500</v>
      </c>
      <c r="J240" s="3"/>
      <c r="K240" s="26">
        <v>4500</v>
      </c>
      <c r="L240" s="2">
        <v>6.8781999999999996</v>
      </c>
      <c r="M240" s="2">
        <v>30952</v>
      </c>
      <c r="N240" s="2">
        <v>30952</v>
      </c>
      <c r="O240" s="2">
        <v>6.8783000000000003</v>
      </c>
      <c r="P240" s="2">
        <v>1E-4</v>
      </c>
      <c r="Q240" s="2">
        <v>0.44</v>
      </c>
      <c r="R240" s="4">
        <v>1.4215357496949594E-5</v>
      </c>
      <c r="T240">
        <v>305227</v>
      </c>
      <c r="U240" s="2"/>
      <c r="V240">
        <v>5614</v>
      </c>
      <c r="W240" s="2">
        <v>6579000000</v>
      </c>
      <c r="X240" s="6">
        <v>30952.44</v>
      </c>
      <c r="Y240" s="38">
        <v>10010</v>
      </c>
      <c r="Z240" s="86">
        <f>+((DETALLE_GD_1[[#This Row],[VALOR X UN (GD)]]-DETALLE_GD_1[[#This Row],[VALOR PPTO]])/DETALLE_GD_1[[#This Row],[VALOR PPTO]])</f>
        <v>-1.453847607703286E-5</v>
      </c>
      <c r="AA240" s="2">
        <f>+DETALLE_GD_1[[#This Row],[VALOR PPTO]]*DETALLE_GD_1[[#This Row],[CANTIDAD RECIBIDA]]</f>
        <v>30952.350000000002</v>
      </c>
      <c r="AB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0" s="3">
        <f>+DETALLE_GD_1[[#This Row],[CANTIDAD SOLICITADA]]-DETALLE_GD_1[[#This Row],[DEVOLUCIÓN]]</f>
        <v>4500</v>
      </c>
      <c r="AD240" s="38">
        <f>+_xlfn.XLOOKUP(DETALLE_GD_1[[#This Row],[CODIGO]],PRODUCTOS[CODIGO],PRODUCTOS[DESC CORTA],"",0)</f>
        <v>0</v>
      </c>
      <c r="AE240"/>
      <c r="AH240"/>
    </row>
    <row r="241" spans="1:34" x14ac:dyDescent="0.25">
      <c r="A241" s="1">
        <v>46056</v>
      </c>
      <c r="B241" s="1">
        <v>46056</v>
      </c>
      <c r="C241" s="81" t="s">
        <v>176</v>
      </c>
      <c r="D241" s="38">
        <v>2</v>
      </c>
      <c r="E241" s="81" t="s">
        <v>177</v>
      </c>
      <c r="F241">
        <v>304014</v>
      </c>
      <c r="G241" s="81" t="s">
        <v>23</v>
      </c>
      <c r="H241" s="81" t="s">
        <v>18</v>
      </c>
      <c r="I241" s="3">
        <v>65</v>
      </c>
      <c r="J241" s="3"/>
      <c r="K241" s="26">
        <v>65</v>
      </c>
      <c r="L241" s="2">
        <v>20851.230800000001</v>
      </c>
      <c r="M241" s="2">
        <v>1355330</v>
      </c>
      <c r="N241" s="2">
        <v>1355330</v>
      </c>
      <c r="O241" s="2">
        <v>20894.5723</v>
      </c>
      <c r="P241" s="2">
        <v>43.341500000000003</v>
      </c>
      <c r="Q241" s="2">
        <v>2817.1985</v>
      </c>
      <c r="R241" s="4">
        <v>2.0742954284038301E-3</v>
      </c>
      <c r="T241">
        <v>305227</v>
      </c>
      <c r="U241" s="2"/>
      <c r="V241">
        <v>5614</v>
      </c>
      <c r="W241" s="2">
        <v>6579000000</v>
      </c>
      <c r="X241" s="6">
        <v>1358147.1985249999</v>
      </c>
      <c r="Y241" s="38">
        <v>10010</v>
      </c>
      <c r="Z241" s="86">
        <f>+((DETALLE_GD_1[[#This Row],[VALOR X UN (GD)]]-DETALLE_GD_1[[#This Row],[VALOR PPTO]])/DETALLE_GD_1[[#This Row],[VALOR PPTO]])</f>
        <v>-2.0742946722100953E-3</v>
      </c>
      <c r="AA241" s="2">
        <f>+DETALLE_GD_1[[#This Row],[VALOR PPTO]]*DETALLE_GD_1[[#This Row],[CANTIDAD RECIBIDA]]</f>
        <v>1358147.1995000001</v>
      </c>
      <c r="AB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1" s="3">
        <f>+DETALLE_GD_1[[#This Row],[CANTIDAD SOLICITADA]]-DETALLE_GD_1[[#This Row],[DEVOLUCIÓN]]</f>
        <v>65</v>
      </c>
      <c r="AD241" s="38">
        <f>+_xlfn.XLOOKUP(DETALLE_GD_1[[#This Row],[CODIGO]],PRODUCTOS[CODIGO],PRODUCTOS[DESC CORTA],"",0)</f>
        <v>0</v>
      </c>
      <c r="AE241"/>
      <c r="AH241"/>
    </row>
    <row r="242" spans="1:34" x14ac:dyDescent="0.25">
      <c r="A242" s="1">
        <v>46056</v>
      </c>
      <c r="B242" s="1">
        <v>46051</v>
      </c>
      <c r="C242" s="81" t="s">
        <v>15</v>
      </c>
      <c r="D242" s="38">
        <v>1</v>
      </c>
      <c r="E242" s="81" t="s">
        <v>379</v>
      </c>
      <c r="F242">
        <v>617057</v>
      </c>
      <c r="G242" s="81" t="s">
        <v>134</v>
      </c>
      <c r="H242" s="81" t="s">
        <v>31</v>
      </c>
      <c r="I242" s="3">
        <v>1</v>
      </c>
      <c r="J242" s="3"/>
      <c r="K242" s="26">
        <v>1</v>
      </c>
      <c r="L242" s="2">
        <v>2042</v>
      </c>
      <c r="M242" s="2">
        <v>2042</v>
      </c>
      <c r="N242" s="2">
        <v>2042</v>
      </c>
      <c r="O242" s="2">
        <v>2042.1197</v>
      </c>
      <c r="P242" s="2">
        <v>0.1197</v>
      </c>
      <c r="Q242" s="2">
        <v>0.1197</v>
      </c>
      <c r="R242" s="4">
        <v>5.8618502944876345E-5</v>
      </c>
      <c r="T242">
        <v>305179</v>
      </c>
      <c r="U242" s="2">
        <v>1010182</v>
      </c>
      <c r="V242">
        <v>5614</v>
      </c>
      <c r="W242" s="2">
        <v>6579000000</v>
      </c>
      <c r="X242" s="6">
        <v>2042.119706</v>
      </c>
      <c r="Y242" s="38">
        <v>10010</v>
      </c>
      <c r="Z242" s="86">
        <f>+((DETALLE_GD_1[[#This Row],[VALOR X UN (GD)]]-DETALLE_GD_1[[#This Row],[VALOR PPTO]])/DETALLE_GD_1[[#This Row],[VALOR PPTO]])</f>
        <v>-5.8615564993553597E-5</v>
      </c>
      <c r="AA242" s="2">
        <f>+DETALLE_GD_1[[#This Row],[VALOR PPTO]]*DETALLE_GD_1[[#This Row],[CANTIDAD RECIBIDA]]</f>
        <v>2042.1197</v>
      </c>
      <c r="AB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2" s="3">
        <f>+DETALLE_GD_1[[#This Row],[CANTIDAD SOLICITADA]]-DETALLE_GD_1[[#This Row],[DEVOLUCIÓN]]</f>
        <v>1</v>
      </c>
      <c r="AD242" s="38" t="str">
        <f>+_xlfn.XLOOKUP(DETALLE_GD_1[[#This Row],[CODIGO]],PRODUCTOS[CODIGO],PRODUCTOS[DESC CORTA],"",0)</f>
        <v>BROCHA 5/8 X4</v>
      </c>
      <c r="AE242"/>
      <c r="AH242"/>
    </row>
    <row r="243" spans="1:34" x14ac:dyDescent="0.25">
      <c r="A243" s="1">
        <v>46056</v>
      </c>
      <c r="B243" s="1">
        <v>46051</v>
      </c>
      <c r="C243" s="81" t="s">
        <v>15</v>
      </c>
      <c r="D243" s="38">
        <v>1</v>
      </c>
      <c r="E243" s="81" t="s">
        <v>379</v>
      </c>
      <c r="F243" t="s">
        <v>179</v>
      </c>
      <c r="G243" s="81" t="s">
        <v>180</v>
      </c>
      <c r="H243" s="81" t="s">
        <v>36</v>
      </c>
      <c r="I243" s="3">
        <v>1</v>
      </c>
      <c r="J243" s="3"/>
      <c r="K243" s="26">
        <v>1</v>
      </c>
      <c r="L243" s="2">
        <v>55858</v>
      </c>
      <c r="M243" s="2">
        <v>55858</v>
      </c>
      <c r="N243" s="2">
        <v>55858</v>
      </c>
      <c r="O243" s="2">
        <v>55858.301899999999</v>
      </c>
      <c r="P243" s="2">
        <v>0.3019</v>
      </c>
      <c r="Q243" s="2">
        <v>0.3019</v>
      </c>
      <c r="R243" s="4">
        <v>5.4045144552528166E-6</v>
      </c>
      <c r="T243">
        <v>305179</v>
      </c>
      <c r="U243" s="2"/>
      <c r="V243">
        <v>5614</v>
      </c>
      <c r="W243" s="2">
        <v>6579000000</v>
      </c>
      <c r="X243" s="6">
        <v>55858.301886999994</v>
      </c>
      <c r="Y243" s="38">
        <v>10010</v>
      </c>
      <c r="Z243" s="86">
        <f>+((DETALLE_GD_1[[#This Row],[VALOR X UN (GD)]]-DETALLE_GD_1[[#This Row],[VALOR PPTO]])/DETALLE_GD_1[[#This Row],[VALOR PPTO]])</f>
        <v>-5.4047471858174779E-6</v>
      </c>
      <c r="AA243" s="2">
        <f>+DETALLE_GD_1[[#This Row],[VALOR PPTO]]*DETALLE_GD_1[[#This Row],[CANTIDAD RECIBIDA]]</f>
        <v>55858.301899999999</v>
      </c>
      <c r="AB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3" s="3">
        <f>+DETALLE_GD_1[[#This Row],[CANTIDAD SOLICITADA]]-DETALLE_GD_1[[#This Row],[DEVOLUCIÓN]]</f>
        <v>1</v>
      </c>
      <c r="AD243" s="38">
        <f>+_xlfn.XLOOKUP(DETALLE_GD_1[[#This Row],[CODIGO]],PRODUCTOS[CODIGO],PRODUCTOS[DESC CORTA],"",0)</f>
        <v>0</v>
      </c>
      <c r="AE243"/>
      <c r="AH243"/>
    </row>
    <row r="244" spans="1:34" x14ac:dyDescent="0.25">
      <c r="A244" s="1">
        <v>46056</v>
      </c>
      <c r="B244" s="1">
        <v>46051</v>
      </c>
      <c r="C244" s="81" t="s">
        <v>15</v>
      </c>
      <c r="D244" s="38">
        <v>1</v>
      </c>
      <c r="E244" s="81" t="s">
        <v>379</v>
      </c>
      <c r="F244">
        <v>1902003</v>
      </c>
      <c r="G244" s="81" t="s">
        <v>155</v>
      </c>
      <c r="H244" s="81" t="s">
        <v>47</v>
      </c>
      <c r="I244" s="3">
        <v>1</v>
      </c>
      <c r="J244" s="3"/>
      <c r="K244" s="26">
        <v>1</v>
      </c>
      <c r="L244" s="2">
        <v>150634</v>
      </c>
      <c r="M244" s="2">
        <v>150634</v>
      </c>
      <c r="N244" s="2">
        <v>150634</v>
      </c>
      <c r="O244" s="2">
        <v>150703.9755</v>
      </c>
      <c r="P244" s="2">
        <v>69.975499999999997</v>
      </c>
      <c r="Q244" s="2">
        <v>69.975499999999997</v>
      </c>
      <c r="R244" s="4">
        <v>4.6432391571867194E-4</v>
      </c>
      <c r="T244">
        <v>305179</v>
      </c>
      <c r="U244" s="2"/>
      <c r="V244">
        <v>5614</v>
      </c>
      <c r="W244" s="2">
        <v>6579000000</v>
      </c>
      <c r="X244" s="6">
        <v>150703.97545999996</v>
      </c>
      <c r="Y244" s="38">
        <v>10010</v>
      </c>
      <c r="Z244" s="86">
        <f>+((DETALLE_GD_1[[#This Row],[VALOR X UN (GD)]]-DETALLE_GD_1[[#This Row],[VALOR PPTO]])/DETALLE_GD_1[[#This Row],[VALOR PPTO]])</f>
        <v>-4.6432418101671421E-4</v>
      </c>
      <c r="AA244" s="2">
        <f>+DETALLE_GD_1[[#This Row],[VALOR PPTO]]*DETALLE_GD_1[[#This Row],[CANTIDAD RECIBIDA]]</f>
        <v>150703.9755</v>
      </c>
      <c r="AB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4" s="3">
        <f>+DETALLE_GD_1[[#This Row],[CANTIDAD SOLICITADA]]-DETALLE_GD_1[[#This Row],[DEVOLUCIÓN]]</f>
        <v>1</v>
      </c>
      <c r="AD244" s="38">
        <f>+_xlfn.XLOOKUP(DETALLE_GD_1[[#This Row],[CODIGO]],PRODUCTOS[CODIGO],PRODUCTOS[DESC CORTA],"",0)</f>
        <v>0</v>
      </c>
      <c r="AE244"/>
      <c r="AH244"/>
    </row>
    <row r="245" spans="1:34" x14ac:dyDescent="0.25">
      <c r="A245" s="1">
        <v>46056</v>
      </c>
      <c r="B245" s="1">
        <v>46051</v>
      </c>
      <c r="C245" s="81" t="s">
        <v>15</v>
      </c>
      <c r="D245" s="38">
        <v>1</v>
      </c>
      <c r="E245" s="81" t="s">
        <v>379</v>
      </c>
      <c r="F245">
        <v>1901008</v>
      </c>
      <c r="G245" s="81" t="s">
        <v>278</v>
      </c>
      <c r="H245" s="81" t="s">
        <v>26</v>
      </c>
      <c r="I245" s="3">
        <v>67</v>
      </c>
      <c r="J245" s="3"/>
      <c r="K245" s="26">
        <v>67</v>
      </c>
      <c r="L245" s="2">
        <v>2097.1343000000002</v>
      </c>
      <c r="M245" s="2">
        <v>140508</v>
      </c>
      <c r="N245" s="2">
        <v>140508</v>
      </c>
      <c r="O245" s="2">
        <v>2112.7957999999999</v>
      </c>
      <c r="P245" s="2">
        <v>15.6615</v>
      </c>
      <c r="Q245" s="2">
        <v>1049.3172</v>
      </c>
      <c r="R245" s="4">
        <v>7.4126665707385953E-3</v>
      </c>
      <c r="T245">
        <v>305179</v>
      </c>
      <c r="U245" s="2"/>
      <c r="V245">
        <v>5614</v>
      </c>
      <c r="W245" s="2">
        <v>6579000000</v>
      </c>
      <c r="X245" s="6">
        <v>141557.317193</v>
      </c>
      <c r="Y245" s="38">
        <v>10010</v>
      </c>
      <c r="Z245" s="86">
        <f>+((DETALLE_GD_1[[#This Row],[VALOR X UN (GD)]]-DETALLE_GD_1[[#This Row],[VALOR PPTO]])/DETALLE_GD_1[[#This Row],[VALOR PPTO]])</f>
        <v>-7.412689858622261E-3</v>
      </c>
      <c r="AA245" s="2">
        <f>+DETALLE_GD_1[[#This Row],[VALOR PPTO]]*DETALLE_GD_1[[#This Row],[CANTIDAD RECIBIDA]]</f>
        <v>141557.3186</v>
      </c>
      <c r="AB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45" s="3">
        <f>+DETALLE_GD_1[[#This Row],[CANTIDAD SOLICITADA]]-DETALLE_GD_1[[#This Row],[DEVOLUCIÓN]]</f>
        <v>67</v>
      </c>
      <c r="AD245" s="38" t="str">
        <f>+_xlfn.XLOOKUP(DETALLE_GD_1[[#This Row],[CODIGO]],PRODUCTOS[CODIGO],PRODUCTOS[DESC CORTA],"",0)</f>
        <v>AISLAN GLASS 90MM</v>
      </c>
      <c r="AE245"/>
      <c r="AH245"/>
    </row>
    <row r="246" spans="1:34" x14ac:dyDescent="0.25">
      <c r="A246" s="1">
        <v>46056</v>
      </c>
      <c r="B246" s="1">
        <v>46051</v>
      </c>
      <c r="C246" s="81" t="s">
        <v>15</v>
      </c>
      <c r="D246" s="38">
        <v>1</v>
      </c>
      <c r="E246" s="81" t="s">
        <v>379</v>
      </c>
      <c r="F246">
        <v>407010</v>
      </c>
      <c r="G246" s="81" t="s">
        <v>164</v>
      </c>
      <c r="H246" s="81" t="s">
        <v>31</v>
      </c>
      <c r="I246" s="3">
        <v>40</v>
      </c>
      <c r="J246" s="3"/>
      <c r="K246" s="26">
        <v>40</v>
      </c>
      <c r="L246" s="2">
        <v>12.824999999999999</v>
      </c>
      <c r="M246" s="2">
        <v>513</v>
      </c>
      <c r="N246" s="2">
        <v>513</v>
      </c>
      <c r="O246" s="2">
        <v>11.501300000000001</v>
      </c>
      <c r="P246" s="2">
        <v>-1.3237000000000001</v>
      </c>
      <c r="Q246" s="2">
        <v>-52.949599999999997</v>
      </c>
      <c r="R246" s="4">
        <v>-0.11509521565463252</v>
      </c>
      <c r="T246">
        <v>305179</v>
      </c>
      <c r="U246" s="2"/>
      <c r="V246">
        <v>5614</v>
      </c>
      <c r="W246" s="2">
        <v>6579000000</v>
      </c>
      <c r="X246" s="6">
        <v>460.05040000000002</v>
      </c>
      <c r="Y246" s="38">
        <v>10010</v>
      </c>
      <c r="Z246" s="86">
        <f>+((DETALLE_GD_1[[#This Row],[VALOR X UN (GD)]]-DETALLE_GD_1[[#This Row],[VALOR PPTO]])/DETALLE_GD_1[[#This Row],[VALOR PPTO]])</f>
        <v>0.11509133750097804</v>
      </c>
      <c r="AA246" s="2">
        <f>+DETALLE_GD_1[[#This Row],[VALOR PPTO]]*DETALLE_GD_1[[#This Row],[CANTIDAD RECIBIDA]]</f>
        <v>460.05200000000002</v>
      </c>
      <c r="AB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6" s="3">
        <f>+DETALLE_GD_1[[#This Row],[CANTIDAD SOLICITADA]]-DETALLE_GD_1[[#This Row],[DEVOLUCIÓN]]</f>
        <v>40</v>
      </c>
      <c r="AD246" s="38">
        <f>+_xlfn.XLOOKUP(DETALLE_GD_1[[#This Row],[CODIGO]],PRODUCTOS[CODIGO],PRODUCTOS[DESC CORTA],"",0)</f>
        <v>0</v>
      </c>
      <c r="AE246"/>
      <c r="AH246"/>
    </row>
    <row r="247" spans="1:34" x14ac:dyDescent="0.25">
      <c r="A247" s="1">
        <v>46056</v>
      </c>
      <c r="B247" s="1">
        <v>46051</v>
      </c>
      <c r="C247" s="81" t="s">
        <v>15</v>
      </c>
      <c r="D247" s="38">
        <v>1</v>
      </c>
      <c r="E247" s="81" t="s">
        <v>379</v>
      </c>
      <c r="F247">
        <v>407307</v>
      </c>
      <c r="G247" s="81" t="s">
        <v>163</v>
      </c>
      <c r="H247" s="81" t="s">
        <v>31</v>
      </c>
      <c r="I247" s="3">
        <v>40</v>
      </c>
      <c r="J247" s="3"/>
      <c r="K247" s="26">
        <v>40</v>
      </c>
      <c r="L247" s="2">
        <v>80.224999999999994</v>
      </c>
      <c r="M247" s="2">
        <v>3209</v>
      </c>
      <c r="N247" s="2">
        <v>3209</v>
      </c>
      <c r="O247" s="2">
        <v>69.472800000000007</v>
      </c>
      <c r="P247" s="2">
        <v>-10.7522</v>
      </c>
      <c r="Q247" s="2">
        <v>-430.089</v>
      </c>
      <c r="R247" s="4">
        <v>-0.15476890047936037</v>
      </c>
      <c r="T247">
        <v>305179</v>
      </c>
      <c r="U247" s="2"/>
      <c r="V247">
        <v>5614</v>
      </c>
      <c r="W247" s="2">
        <v>6579000000</v>
      </c>
      <c r="X247" s="6">
        <v>2778.9110000000001</v>
      </c>
      <c r="Y247" s="38">
        <v>10010</v>
      </c>
      <c r="Z247" s="86">
        <f>+((DETALLE_GD_1[[#This Row],[VALOR X UN (GD)]]-DETALLE_GD_1[[#This Row],[VALOR PPTO]])/DETALLE_GD_1[[#This Row],[VALOR PPTO]])</f>
        <v>0.15476848493223228</v>
      </c>
      <c r="AA247" s="2">
        <f>+DETALLE_GD_1[[#This Row],[VALOR PPTO]]*DETALLE_GD_1[[#This Row],[CANTIDAD RECIBIDA]]</f>
        <v>2778.9120000000003</v>
      </c>
      <c r="AB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7" s="3">
        <f>+DETALLE_GD_1[[#This Row],[CANTIDAD SOLICITADA]]-DETALLE_GD_1[[#This Row],[DEVOLUCIÓN]]</f>
        <v>40</v>
      </c>
      <c r="AD247" s="38">
        <f>+_xlfn.XLOOKUP(DETALLE_GD_1[[#This Row],[CODIGO]],PRODUCTOS[CODIGO],PRODUCTOS[DESC CORTA],"",0)</f>
        <v>0</v>
      </c>
      <c r="AE247"/>
      <c r="AH247"/>
    </row>
    <row r="248" spans="1:34" x14ac:dyDescent="0.25">
      <c r="A248" s="1">
        <v>46056</v>
      </c>
      <c r="B248" s="1">
        <v>46051</v>
      </c>
      <c r="C248" s="81" t="s">
        <v>15</v>
      </c>
      <c r="D248" s="38">
        <v>1</v>
      </c>
      <c r="E248" s="81" t="s">
        <v>379</v>
      </c>
      <c r="F248">
        <v>701040</v>
      </c>
      <c r="G248" s="81" t="s">
        <v>19</v>
      </c>
      <c r="H248" s="81" t="s">
        <v>18</v>
      </c>
      <c r="I248" s="3">
        <v>14</v>
      </c>
      <c r="J248" s="3"/>
      <c r="K248" s="26">
        <v>14</v>
      </c>
      <c r="L248" s="2">
        <v>7743.7857000000004</v>
      </c>
      <c r="M248" s="2">
        <v>108413</v>
      </c>
      <c r="N248" s="2">
        <v>108413</v>
      </c>
      <c r="O248" s="2">
        <v>7835.7259999999997</v>
      </c>
      <c r="P248" s="2">
        <v>91.940200000000004</v>
      </c>
      <c r="Q248" s="2">
        <v>1287.1633999999999</v>
      </c>
      <c r="R248" s="4">
        <v>1.1733467996969598E-2</v>
      </c>
      <c r="T248">
        <v>305179</v>
      </c>
      <c r="U248" s="2"/>
      <c r="V248">
        <v>5614</v>
      </c>
      <c r="W248" s="2">
        <v>6579000000</v>
      </c>
      <c r="X248" s="6">
        <v>109700.16335599998</v>
      </c>
      <c r="Y248" s="38">
        <v>10010</v>
      </c>
      <c r="Z248" s="86">
        <f>+((DETALLE_GD_1[[#This Row],[VALOR X UN (GD)]]-DETALLE_GD_1[[#This Row],[VALOR PPTO]])/DETALLE_GD_1[[#This Row],[VALOR PPTO]])</f>
        <v>-1.1733475621786584E-2</v>
      </c>
      <c r="AA248" s="2">
        <f>+DETALLE_GD_1[[#This Row],[VALOR PPTO]]*DETALLE_GD_1[[#This Row],[CANTIDAD RECIBIDA]]</f>
        <v>109700.16399999999</v>
      </c>
      <c r="AB2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8" s="3">
        <f>+DETALLE_GD_1[[#This Row],[CANTIDAD SOLICITADA]]-DETALLE_GD_1[[#This Row],[DEVOLUCIÓN]]</f>
        <v>14</v>
      </c>
      <c r="AD248" s="38" t="str">
        <f>+_xlfn.XLOOKUP(DETALLE_GD_1[[#This Row],[CODIGO]],PRODUCTOS[CODIGO],PRODUCTOS[DESC CORTA],"",0)</f>
        <v>VOLCANITA RF</v>
      </c>
      <c r="AE248"/>
      <c r="AH248"/>
    </row>
    <row r="249" spans="1:34" x14ac:dyDescent="0.25">
      <c r="A249" s="1">
        <v>46056</v>
      </c>
      <c r="B249" s="1">
        <v>46051</v>
      </c>
      <c r="C249" s="81" t="s">
        <v>15</v>
      </c>
      <c r="D249" s="38">
        <v>1</v>
      </c>
      <c r="E249" s="81" t="s">
        <v>379</v>
      </c>
      <c r="F249" t="s">
        <v>82</v>
      </c>
      <c r="G249" s="81" t="s">
        <v>83</v>
      </c>
      <c r="H249" s="81" t="s">
        <v>36</v>
      </c>
      <c r="I249" s="3">
        <v>2</v>
      </c>
      <c r="J249" s="3"/>
      <c r="K249" s="26">
        <v>2</v>
      </c>
      <c r="L249" s="2">
        <v>36952</v>
      </c>
      <c r="M249" s="2">
        <v>73904</v>
      </c>
      <c r="N249" s="2">
        <v>73904</v>
      </c>
      <c r="O249" s="2">
        <v>36939.818200000002</v>
      </c>
      <c r="P249" s="2">
        <v>-12.181800000000001</v>
      </c>
      <c r="Q249" s="2">
        <v>-24.363600000000002</v>
      </c>
      <c r="R249" s="4">
        <v>-3.2977471464512494E-4</v>
      </c>
      <c r="T249">
        <v>305179</v>
      </c>
      <c r="U249" s="2"/>
      <c r="V249">
        <v>5614</v>
      </c>
      <c r="W249" s="2">
        <v>6579000000</v>
      </c>
      <c r="X249" s="6">
        <v>73879.636363999962</v>
      </c>
      <c r="Y249" s="38">
        <v>10010</v>
      </c>
      <c r="Z249" s="86">
        <f>+((DETALLE_GD_1[[#This Row],[VALOR X UN (GD)]]-DETALLE_GD_1[[#This Row],[VALOR PPTO]])/DETALLE_GD_1[[#This Row],[VALOR PPTO]])</f>
        <v>3.2977422720500759E-4</v>
      </c>
      <c r="AA249" s="2">
        <f>+DETALLE_GD_1[[#This Row],[VALOR PPTO]]*DETALLE_GD_1[[#This Row],[CANTIDAD RECIBIDA]]</f>
        <v>73879.636400000003</v>
      </c>
      <c r="AB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49" s="3">
        <f>+DETALLE_GD_1[[#This Row],[CANTIDAD SOLICITADA]]-DETALLE_GD_1[[#This Row],[DEVOLUCIÓN]]</f>
        <v>2</v>
      </c>
      <c r="AD249" s="38" t="str">
        <f>+_xlfn.XLOOKUP(DETALLE_GD_1[[#This Row],[CODIGO]],PRODUCTOS[CODIGO],PRODUCTOS[DESC CORTA],"",0)</f>
        <v>CLAVO R20</v>
      </c>
      <c r="AE249"/>
      <c r="AH249"/>
    </row>
    <row r="250" spans="1:34" x14ac:dyDescent="0.25">
      <c r="A250" s="1">
        <v>46056</v>
      </c>
      <c r="B250" s="1">
        <v>46051</v>
      </c>
      <c r="C250" s="81" t="s">
        <v>15</v>
      </c>
      <c r="D250" s="38">
        <v>1</v>
      </c>
      <c r="E250" s="81" t="s">
        <v>379</v>
      </c>
      <c r="F250">
        <v>302044</v>
      </c>
      <c r="G250" s="81" t="s">
        <v>247</v>
      </c>
      <c r="H250" s="81" t="s">
        <v>20</v>
      </c>
      <c r="I250" s="3">
        <v>34</v>
      </c>
      <c r="J250" s="3"/>
      <c r="K250" s="26">
        <v>34</v>
      </c>
      <c r="L250" s="2">
        <v>13973.558800000001</v>
      </c>
      <c r="M250" s="2">
        <v>475101</v>
      </c>
      <c r="N250" s="2">
        <v>475101</v>
      </c>
      <c r="O250" s="2">
        <v>13725.9625</v>
      </c>
      <c r="P250" s="2">
        <v>-247.59630000000001</v>
      </c>
      <c r="Q250" s="2">
        <v>-8418.2738000000008</v>
      </c>
      <c r="R250" s="4">
        <v>-1.8038537473499736E-2</v>
      </c>
      <c r="T250">
        <v>305179</v>
      </c>
      <c r="U250" s="2"/>
      <c r="V250">
        <v>5614</v>
      </c>
      <c r="W250" s="2">
        <v>6579000000</v>
      </c>
      <c r="X250" s="6">
        <v>466682.72615599999</v>
      </c>
      <c r="Y250" s="38">
        <v>10010</v>
      </c>
      <c r="Z250" s="86">
        <f>+((DETALLE_GD_1[[#This Row],[VALOR X UN (GD)]]-DETALLE_GD_1[[#This Row],[VALOR PPTO]])/DETALLE_GD_1[[#This Row],[VALOR PPTO]])</f>
        <v>1.8038538281013157E-2</v>
      </c>
      <c r="AA250" s="2">
        <f>+DETALLE_GD_1[[#This Row],[VALOR PPTO]]*DETALLE_GD_1[[#This Row],[CANTIDAD RECIBIDA]]</f>
        <v>466682.72499999998</v>
      </c>
      <c r="AB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50" s="3">
        <f>+DETALLE_GD_1[[#This Row],[CANTIDAD SOLICITADA]]-DETALLE_GD_1[[#This Row],[DEVOLUCIÓN]]</f>
        <v>34</v>
      </c>
      <c r="AD250" s="38" t="str">
        <f>+_xlfn.XLOOKUP(DETALLE_GD_1[[#This Row],[CODIGO]],PRODUCTOS[CODIGO],PRODUCTOS[DESC CORTA],"",0)</f>
        <v>PINO 2X8X4</v>
      </c>
      <c r="AE250"/>
      <c r="AH250"/>
    </row>
    <row r="251" spans="1:34" x14ac:dyDescent="0.25">
      <c r="A251" s="1">
        <v>46057</v>
      </c>
      <c r="B251" s="1">
        <v>45992</v>
      </c>
      <c r="C251" s="81" t="s">
        <v>15</v>
      </c>
      <c r="D251" s="38">
        <v>12</v>
      </c>
      <c r="E251" s="81" t="s">
        <v>379</v>
      </c>
      <c r="F251">
        <v>404184</v>
      </c>
      <c r="G251" s="81" t="s">
        <v>66</v>
      </c>
      <c r="H251" s="81" t="s">
        <v>31</v>
      </c>
      <c r="I251" s="3">
        <v>2</v>
      </c>
      <c r="J251" s="3"/>
      <c r="K251" s="26">
        <v>2</v>
      </c>
      <c r="L251" s="2">
        <v>1756</v>
      </c>
      <c r="M251" s="2">
        <v>3512</v>
      </c>
      <c r="N251" s="2">
        <v>3512</v>
      </c>
      <c r="O251" s="2">
        <v>1754.8757000000001</v>
      </c>
      <c r="P251" s="2">
        <v>-1.1243000000000001</v>
      </c>
      <c r="Q251" s="2">
        <v>-2.2484999999999999</v>
      </c>
      <c r="R251" s="4">
        <v>-6.4065448062197456E-4</v>
      </c>
      <c r="T251">
        <v>305333</v>
      </c>
      <c r="U251" s="2">
        <v>5732</v>
      </c>
      <c r="V251">
        <v>5655</v>
      </c>
      <c r="W251" s="2">
        <v>6579000000</v>
      </c>
      <c r="X251" s="6">
        <v>3509.7514620000002</v>
      </c>
      <c r="Y251" s="38">
        <v>10010</v>
      </c>
      <c r="Z251" s="86">
        <f>+((DETALLE_GD_1[[#This Row],[VALOR X UN (GD)]]-DETALLE_GD_1[[#This Row],[VALOR PPTO]])/DETALLE_GD_1[[#This Row],[VALOR PPTO]])</f>
        <v>6.4067215700801391E-4</v>
      </c>
      <c r="AA251" s="2">
        <f>+DETALLE_GD_1[[#This Row],[VALOR PPTO]]*DETALLE_GD_1[[#This Row],[CANTIDAD RECIBIDA]]</f>
        <v>3509.7514000000001</v>
      </c>
      <c r="AB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1" s="3">
        <f>+DETALLE_GD_1[[#This Row],[CANTIDAD SOLICITADA]]-DETALLE_GD_1[[#This Row],[DEVOLUCIÓN]]</f>
        <v>2</v>
      </c>
      <c r="AD251" s="38" t="str">
        <f>+_xlfn.XLOOKUP(DETALLE_GD_1[[#This Row],[CODIGO]],PRODUCTOS[CODIGO],PRODUCTOS[DESC CORTA],"",0)</f>
        <v>ANGULO BLANCO</v>
      </c>
      <c r="AE251"/>
      <c r="AH251"/>
    </row>
    <row r="252" spans="1:34" x14ac:dyDescent="0.25">
      <c r="A252" s="1">
        <v>46057</v>
      </c>
      <c r="B252" s="1">
        <v>45992</v>
      </c>
      <c r="C252" s="81" t="s">
        <v>15</v>
      </c>
      <c r="D252" s="38">
        <v>12</v>
      </c>
      <c r="E252" s="81" t="s">
        <v>379</v>
      </c>
      <c r="F252">
        <v>404252</v>
      </c>
      <c r="G252" s="81" t="s">
        <v>181</v>
      </c>
      <c r="H252" s="81" t="s">
        <v>31</v>
      </c>
      <c r="I252" s="3">
        <v>2</v>
      </c>
      <c r="J252" s="3"/>
      <c r="K252" s="26">
        <v>2</v>
      </c>
      <c r="L252" s="2">
        <v>1110</v>
      </c>
      <c r="M252" s="2">
        <v>2220</v>
      </c>
      <c r="N252" s="2">
        <v>2220</v>
      </c>
      <c r="O252" s="2">
        <v>1110.0438999999999</v>
      </c>
      <c r="P252" s="2">
        <v>4.3900000000000002E-2</v>
      </c>
      <c r="Q252" s="2">
        <v>8.7800000000000003E-2</v>
      </c>
      <c r="R252" s="4">
        <v>3.9526365532559117E-5</v>
      </c>
      <c r="T252">
        <v>305333</v>
      </c>
      <c r="U252" s="2"/>
      <c r="V252">
        <v>5655</v>
      </c>
      <c r="W252" s="2">
        <v>6579000000</v>
      </c>
      <c r="X252" s="6">
        <v>2220.0877519999999</v>
      </c>
      <c r="Y252" s="38">
        <v>10010</v>
      </c>
      <c r="Z252" s="86">
        <f>+((DETALLE_GD_1[[#This Row],[VALOR X UN (GD)]]-DETALLE_GD_1[[#This Row],[VALOR PPTO]])/DETALLE_GD_1[[#This Row],[VALOR PPTO]])</f>
        <v>-3.9547985444444259E-5</v>
      </c>
      <c r="AA252" s="2">
        <f>+DETALLE_GD_1[[#This Row],[VALOR PPTO]]*DETALLE_GD_1[[#This Row],[CANTIDAD RECIBIDA]]</f>
        <v>2220.0877999999998</v>
      </c>
      <c r="AB2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2" s="3">
        <f>+DETALLE_GD_1[[#This Row],[CANTIDAD SOLICITADA]]-DETALLE_GD_1[[#This Row],[DEVOLUCIÓN]]</f>
        <v>2</v>
      </c>
      <c r="AD252" s="38">
        <f>+_xlfn.XLOOKUP(DETALLE_GD_1[[#This Row],[CODIGO]],PRODUCTOS[CODIGO],PRODUCTOS[DESC CORTA],"",0)</f>
        <v>0</v>
      </c>
      <c r="AE252"/>
      <c r="AH252"/>
    </row>
    <row r="253" spans="1:34" x14ac:dyDescent="0.25">
      <c r="A253" s="1">
        <v>46057</v>
      </c>
      <c r="B253" s="1">
        <v>45992</v>
      </c>
      <c r="C253" s="81" t="s">
        <v>15</v>
      </c>
      <c r="D253" s="38">
        <v>12</v>
      </c>
      <c r="E253" s="81" t="s">
        <v>379</v>
      </c>
      <c r="F253">
        <v>617057</v>
      </c>
      <c r="G253" s="81" t="s">
        <v>134</v>
      </c>
      <c r="H253" s="81" t="s">
        <v>31</v>
      </c>
      <c r="I253" s="3">
        <v>1</v>
      </c>
      <c r="J253" s="3"/>
      <c r="K253" s="26">
        <v>1</v>
      </c>
      <c r="L253" s="2">
        <v>2042</v>
      </c>
      <c r="M253" s="2">
        <v>2042</v>
      </c>
      <c r="N253" s="2">
        <v>2042</v>
      </c>
      <c r="O253" s="2">
        <v>2042.1197</v>
      </c>
      <c r="P253" s="2">
        <v>0.1197</v>
      </c>
      <c r="Q253" s="2">
        <v>0.1197</v>
      </c>
      <c r="R253" s="4">
        <v>5.8618502944876345E-5</v>
      </c>
      <c r="T253">
        <v>305336</v>
      </c>
      <c r="U253" s="2">
        <v>4900</v>
      </c>
      <c r="V253">
        <v>5655</v>
      </c>
      <c r="W253" s="2">
        <v>6579000000</v>
      </c>
      <c r="X253" s="6">
        <v>2042.119706</v>
      </c>
      <c r="Y253" s="38">
        <v>10010</v>
      </c>
      <c r="Z253" s="86">
        <f>+((DETALLE_GD_1[[#This Row],[VALOR X UN (GD)]]-DETALLE_GD_1[[#This Row],[VALOR PPTO]])/DETALLE_GD_1[[#This Row],[VALOR PPTO]])</f>
        <v>-5.8615564993553597E-5</v>
      </c>
      <c r="AA253" s="2">
        <f>+DETALLE_GD_1[[#This Row],[VALOR PPTO]]*DETALLE_GD_1[[#This Row],[CANTIDAD RECIBIDA]]</f>
        <v>2042.1197</v>
      </c>
      <c r="AB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3" s="3">
        <f>+DETALLE_GD_1[[#This Row],[CANTIDAD SOLICITADA]]-DETALLE_GD_1[[#This Row],[DEVOLUCIÓN]]</f>
        <v>1</v>
      </c>
      <c r="AD253" s="38" t="str">
        <f>+_xlfn.XLOOKUP(DETALLE_GD_1[[#This Row],[CODIGO]],PRODUCTOS[CODIGO],PRODUCTOS[DESC CORTA],"",0)</f>
        <v>BROCHA 5/8 X4</v>
      </c>
      <c r="AE253"/>
      <c r="AH253"/>
    </row>
    <row r="254" spans="1:34" x14ac:dyDescent="0.25">
      <c r="A254" s="1">
        <v>46057</v>
      </c>
      <c r="B254" s="1">
        <v>45992</v>
      </c>
      <c r="C254" s="81" t="s">
        <v>15</v>
      </c>
      <c r="D254" s="38">
        <v>12</v>
      </c>
      <c r="E254" s="81" t="s">
        <v>379</v>
      </c>
      <c r="F254">
        <v>617016</v>
      </c>
      <c r="G254" s="81" t="s">
        <v>133</v>
      </c>
      <c r="H254" s="81" t="s">
        <v>31</v>
      </c>
      <c r="I254" s="3">
        <v>1</v>
      </c>
      <c r="J254" s="3"/>
      <c r="K254" s="26">
        <v>1</v>
      </c>
      <c r="L254" s="2">
        <v>2858</v>
      </c>
      <c r="M254" s="2">
        <v>2858</v>
      </c>
      <c r="N254" s="2">
        <v>2858</v>
      </c>
      <c r="O254" s="2">
        <v>2857.5133000000001</v>
      </c>
      <c r="P254" s="2">
        <v>-0.48670000000000002</v>
      </c>
      <c r="Q254" s="2">
        <v>-0.48670000000000002</v>
      </c>
      <c r="R254" s="4">
        <v>-1.7033201715236886E-4</v>
      </c>
      <c r="T254">
        <v>305336</v>
      </c>
      <c r="U254" s="2"/>
      <c r="V254">
        <v>5655</v>
      </c>
      <c r="W254" s="2">
        <v>6579000000</v>
      </c>
      <c r="X254" s="6">
        <v>2857.5132739999999</v>
      </c>
      <c r="Y254" s="38">
        <v>10010</v>
      </c>
      <c r="Z254" s="86">
        <f>+((DETALLE_GD_1[[#This Row],[VALOR X UN (GD)]]-DETALLE_GD_1[[#This Row],[VALOR PPTO]])/DETALLE_GD_1[[#This Row],[VALOR PPTO]])</f>
        <v>1.7032291678219938E-4</v>
      </c>
      <c r="AA254" s="2">
        <f>+DETALLE_GD_1[[#This Row],[VALOR PPTO]]*DETALLE_GD_1[[#This Row],[CANTIDAD RECIBIDA]]</f>
        <v>2857.5133000000001</v>
      </c>
      <c r="AB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4" s="3">
        <f>+DETALLE_GD_1[[#This Row],[CANTIDAD SOLICITADA]]-DETALLE_GD_1[[#This Row],[DEVOLUCIÓN]]</f>
        <v>1</v>
      </c>
      <c r="AD254" s="38" t="str">
        <f>+_xlfn.XLOOKUP(DETALLE_GD_1[[#This Row],[CODIGO]],PRODUCTOS[CODIGO],PRODUCTOS[DESC CORTA],"",0)</f>
        <v>RODILLO CHIPORRO</v>
      </c>
      <c r="AE254"/>
      <c r="AH254"/>
    </row>
    <row r="255" spans="1:34" x14ac:dyDescent="0.25">
      <c r="A255" s="1">
        <v>46057</v>
      </c>
      <c r="B255" s="1">
        <v>45993</v>
      </c>
      <c r="C255" s="81" t="s">
        <v>15</v>
      </c>
      <c r="D255" s="38">
        <v>12</v>
      </c>
      <c r="E255" s="81" t="s">
        <v>379</v>
      </c>
      <c r="F255" t="s">
        <v>82</v>
      </c>
      <c r="G255" s="81" t="s">
        <v>83</v>
      </c>
      <c r="H255" s="81" t="s">
        <v>36</v>
      </c>
      <c r="I255" s="3">
        <v>1</v>
      </c>
      <c r="J255" s="3"/>
      <c r="K255" s="26">
        <v>1</v>
      </c>
      <c r="L255" s="2">
        <v>36940</v>
      </c>
      <c r="M255" s="2">
        <v>36940</v>
      </c>
      <c r="N255" s="2">
        <v>36940</v>
      </c>
      <c r="O255" s="2">
        <v>36939.818200000002</v>
      </c>
      <c r="P255" s="2">
        <v>-0.18179999999999999</v>
      </c>
      <c r="Q255" s="2">
        <v>-0.18179999999999999</v>
      </c>
      <c r="R255" s="4">
        <v>-4.9220058181131147E-6</v>
      </c>
      <c r="T255">
        <v>305338</v>
      </c>
      <c r="U255" s="2">
        <v>36940</v>
      </c>
      <c r="V255">
        <v>5655</v>
      </c>
      <c r="W255" s="2">
        <v>6579000000</v>
      </c>
      <c r="X255" s="6">
        <v>36939.818181999981</v>
      </c>
      <c r="Y255" s="38">
        <v>10010</v>
      </c>
      <c r="Z255" s="86">
        <f>+((DETALLE_GD_1[[#This Row],[VALOR X UN (GD)]]-DETALLE_GD_1[[#This Row],[VALOR PPTO]])/DETALLE_GD_1[[#This Row],[VALOR PPTO]])</f>
        <v>4.92151853628979E-6</v>
      </c>
      <c r="AA255" s="2">
        <f>+DETALLE_GD_1[[#This Row],[VALOR PPTO]]*DETALLE_GD_1[[#This Row],[CANTIDAD RECIBIDA]]</f>
        <v>36939.818200000002</v>
      </c>
      <c r="AB2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55" s="3">
        <f>+DETALLE_GD_1[[#This Row],[CANTIDAD SOLICITADA]]-DETALLE_GD_1[[#This Row],[DEVOLUCIÓN]]</f>
        <v>1</v>
      </c>
      <c r="AD255" s="38" t="str">
        <f>+_xlfn.XLOOKUP(DETALLE_GD_1[[#This Row],[CODIGO]],PRODUCTOS[CODIGO],PRODUCTOS[DESC CORTA],"",0)</f>
        <v>CLAVO R20</v>
      </c>
      <c r="AE255"/>
      <c r="AH255"/>
    </row>
    <row r="256" spans="1:34" x14ac:dyDescent="0.25">
      <c r="A256" s="1">
        <v>46057</v>
      </c>
      <c r="B256" s="1">
        <v>45993</v>
      </c>
      <c r="C256" s="81" t="s">
        <v>15</v>
      </c>
      <c r="D256" s="38">
        <v>12</v>
      </c>
      <c r="E256" s="81" t="s">
        <v>379</v>
      </c>
      <c r="F256">
        <v>1610023</v>
      </c>
      <c r="G256" s="81" t="s">
        <v>351</v>
      </c>
      <c r="H256" s="81" t="s">
        <v>28</v>
      </c>
      <c r="I256" s="3">
        <v>2</v>
      </c>
      <c r="J256" s="3"/>
      <c r="K256" s="26">
        <v>2</v>
      </c>
      <c r="L256" s="2">
        <v>2054.5</v>
      </c>
      <c r="M256" s="2">
        <v>4109</v>
      </c>
      <c r="N256" s="2">
        <v>4109</v>
      </c>
      <c r="O256" s="2">
        <v>2109.0585000000001</v>
      </c>
      <c r="P256" s="2">
        <v>54.558500000000002</v>
      </c>
      <c r="Q256" s="2">
        <v>109.11709999999999</v>
      </c>
      <c r="R256" s="4">
        <v>2.5868671216808841E-2</v>
      </c>
      <c r="T256">
        <v>305339</v>
      </c>
      <c r="U256" s="2">
        <v>5950</v>
      </c>
      <c r="V256">
        <v>5655</v>
      </c>
      <c r="W256" s="2">
        <v>6579000000</v>
      </c>
      <c r="X256" s="6">
        <v>4218.1170840000004</v>
      </c>
      <c r="Y256" s="38">
        <v>10010</v>
      </c>
      <c r="Z256" s="86">
        <f>+((DETALLE_GD_1[[#This Row],[VALOR X UN (GD)]]-DETALLE_GD_1[[#This Row],[VALOR PPTO]])/DETALLE_GD_1[[#This Row],[VALOR PPTO]])</f>
        <v>-2.5868651817860952E-2</v>
      </c>
      <c r="AA256" s="2">
        <f>+DETALLE_GD_1[[#This Row],[VALOR PPTO]]*DETALLE_GD_1[[#This Row],[CANTIDAD RECIBIDA]]</f>
        <v>4218.1170000000002</v>
      </c>
      <c r="AB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6" s="3">
        <f>+DETALLE_GD_1[[#This Row],[CANTIDAD SOLICITADA]]-DETALLE_GD_1[[#This Row],[DEVOLUCIÓN]]</f>
        <v>2</v>
      </c>
      <c r="AD256" s="38" t="str">
        <f>+_xlfn.XLOOKUP(DETALLE_GD_1[[#This Row],[CODIGO]],PRODUCTOS[CODIGO],PRODUCTOS[DESC CORTA],"",0)</f>
        <v>TRAPOS DE ASEO</v>
      </c>
      <c r="AE256"/>
      <c r="AH256"/>
    </row>
    <row r="257" spans="1:34" x14ac:dyDescent="0.25">
      <c r="A257" s="1">
        <v>46057</v>
      </c>
      <c r="B257" s="1">
        <v>45993</v>
      </c>
      <c r="C257" s="81" t="s">
        <v>15</v>
      </c>
      <c r="D257" s="38">
        <v>12</v>
      </c>
      <c r="E257" s="81" t="s">
        <v>379</v>
      </c>
      <c r="F257">
        <v>617055</v>
      </c>
      <c r="G257" s="81" t="s">
        <v>182</v>
      </c>
      <c r="H257" s="81" t="s">
        <v>31</v>
      </c>
      <c r="I257" s="3">
        <v>2</v>
      </c>
      <c r="J257" s="3"/>
      <c r="K257" s="26">
        <v>2</v>
      </c>
      <c r="L257" s="2">
        <v>920.5</v>
      </c>
      <c r="M257" s="2">
        <v>1841</v>
      </c>
      <c r="N257" s="2">
        <v>1841</v>
      </c>
      <c r="O257" s="2">
        <v>920.35379999999998</v>
      </c>
      <c r="P257" s="2">
        <v>-0.1462</v>
      </c>
      <c r="Q257" s="2">
        <v>-0.29239999999999999</v>
      </c>
      <c r="R257" s="4">
        <v>-1.5887260205646252E-4</v>
      </c>
      <c r="T257">
        <v>305339</v>
      </c>
      <c r="U257" s="2"/>
      <c r="V257">
        <v>5655</v>
      </c>
      <c r="W257" s="2">
        <v>6579000000</v>
      </c>
      <c r="X257" s="6">
        <v>1840.7075620000001</v>
      </c>
      <c r="Y257" s="38">
        <v>10010</v>
      </c>
      <c r="Z257" s="86">
        <f>+((DETALLE_GD_1[[#This Row],[VALOR X UN (GD)]]-DETALLE_GD_1[[#This Row],[VALOR PPTO]])/DETALLE_GD_1[[#This Row],[VALOR PPTO]])</f>
        <v>1.5885195454185298E-4</v>
      </c>
      <c r="AA257" s="2">
        <f>+DETALLE_GD_1[[#This Row],[VALOR PPTO]]*DETALLE_GD_1[[#This Row],[CANTIDAD RECIBIDA]]</f>
        <v>1840.7076</v>
      </c>
      <c r="AB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7" s="3">
        <f>+DETALLE_GD_1[[#This Row],[CANTIDAD SOLICITADA]]-DETALLE_GD_1[[#This Row],[DEVOLUCIÓN]]</f>
        <v>2</v>
      </c>
      <c r="AD257" s="38">
        <f>+_xlfn.XLOOKUP(DETALLE_GD_1[[#This Row],[CODIGO]],PRODUCTOS[CODIGO],PRODUCTOS[DESC CORTA],"",0)</f>
        <v>0</v>
      </c>
      <c r="AE257"/>
      <c r="AH257"/>
    </row>
    <row r="258" spans="1:34" x14ac:dyDescent="0.25">
      <c r="A258" s="1">
        <v>46057</v>
      </c>
      <c r="B258" s="1">
        <v>45993</v>
      </c>
      <c r="C258" s="81" t="s">
        <v>15</v>
      </c>
      <c r="D258" s="38">
        <v>12</v>
      </c>
      <c r="E258" s="81" t="s">
        <v>379</v>
      </c>
      <c r="F258" t="s">
        <v>94</v>
      </c>
      <c r="G258" s="81" t="s">
        <v>95</v>
      </c>
      <c r="H258" s="81" t="s">
        <v>31</v>
      </c>
      <c r="I258" s="3">
        <v>2</v>
      </c>
      <c r="J258" s="3"/>
      <c r="K258" s="26">
        <v>2</v>
      </c>
      <c r="L258" s="2">
        <v>3021.5</v>
      </c>
      <c r="M258" s="2">
        <v>6043</v>
      </c>
      <c r="N258" s="2">
        <v>6043</v>
      </c>
      <c r="O258" s="2">
        <v>3021.2829000000002</v>
      </c>
      <c r="P258" s="2">
        <v>-0.21709999999999999</v>
      </c>
      <c r="Q258" s="2">
        <v>-0.43430000000000002</v>
      </c>
      <c r="R258" s="4">
        <v>-7.1867153594689249E-5</v>
      </c>
      <c r="T258">
        <v>305340</v>
      </c>
      <c r="U258" s="2">
        <v>12840</v>
      </c>
      <c r="V258">
        <v>5655</v>
      </c>
      <c r="W258" s="2">
        <v>6579000000</v>
      </c>
      <c r="X258" s="6">
        <v>6042.5657380000011</v>
      </c>
      <c r="Y258" s="38">
        <v>10010</v>
      </c>
      <c r="Z258" s="86">
        <f>+((DETALLE_GD_1[[#This Row],[VALOR X UN (GD)]]-DETALLE_GD_1[[#This Row],[VALOR PPTO]])/DETALLE_GD_1[[#This Row],[VALOR PPTO]])</f>
        <v>7.1856892315461671E-5</v>
      </c>
      <c r="AA258" s="2">
        <f>+DETALLE_GD_1[[#This Row],[VALOR PPTO]]*DETALLE_GD_1[[#This Row],[CANTIDAD RECIBIDA]]</f>
        <v>6042.5658000000003</v>
      </c>
      <c r="AB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8" s="3">
        <f>+DETALLE_GD_1[[#This Row],[CANTIDAD SOLICITADA]]-DETALLE_GD_1[[#This Row],[DEVOLUCIÓN]]</f>
        <v>2</v>
      </c>
      <c r="AD258" s="38" t="str">
        <f>+_xlfn.XLOOKUP(DETALLE_GD_1[[#This Row],[CODIGO]],PRODUCTOS[CODIGO],PRODUCTOS[DESC CORTA],"",0)</f>
        <v>TOPE DE PUERTA</v>
      </c>
      <c r="AE258"/>
      <c r="AH258"/>
    </row>
    <row r="259" spans="1:34" x14ac:dyDescent="0.25">
      <c r="A259" s="1">
        <v>46057</v>
      </c>
      <c r="B259" s="1">
        <v>45993</v>
      </c>
      <c r="C259" s="81" t="s">
        <v>15</v>
      </c>
      <c r="D259" s="38">
        <v>12</v>
      </c>
      <c r="E259" s="81" t="s">
        <v>379</v>
      </c>
      <c r="F259" t="s">
        <v>183</v>
      </c>
      <c r="G259" s="81" t="s">
        <v>184</v>
      </c>
      <c r="H259" s="81" t="s">
        <v>185</v>
      </c>
      <c r="I259" s="3">
        <v>1</v>
      </c>
      <c r="J259" s="3"/>
      <c r="K259" s="26">
        <v>1</v>
      </c>
      <c r="L259" s="2">
        <v>6797</v>
      </c>
      <c r="M259" s="2">
        <v>6797</v>
      </c>
      <c r="N259" s="2">
        <v>6797</v>
      </c>
      <c r="O259" s="2">
        <v>6798.3406999999997</v>
      </c>
      <c r="P259" s="2">
        <v>1.3407</v>
      </c>
      <c r="Q259" s="2">
        <v>1.3407</v>
      </c>
      <c r="R259" s="4">
        <v>1.9721179867255589E-4</v>
      </c>
      <c r="T259">
        <v>305340</v>
      </c>
      <c r="U259" s="2"/>
      <c r="V259">
        <v>5655</v>
      </c>
      <c r="W259" s="2">
        <v>6579000000</v>
      </c>
      <c r="X259" s="6">
        <v>6798.3407129999996</v>
      </c>
      <c r="Y259" s="38">
        <v>10010</v>
      </c>
      <c r="Z259" s="86">
        <f>+((DETALLE_GD_1[[#This Row],[VALOR X UN (GD)]]-DETALLE_GD_1[[#This Row],[VALOR PPTO]])/DETALLE_GD_1[[#This Row],[VALOR PPTO]])</f>
        <v>-1.9720988681837357E-4</v>
      </c>
      <c r="AA259" s="2">
        <f>+DETALLE_GD_1[[#This Row],[VALOR PPTO]]*DETALLE_GD_1[[#This Row],[CANTIDAD RECIBIDA]]</f>
        <v>6798.3406999999997</v>
      </c>
      <c r="AB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9" s="3">
        <f>+DETALLE_GD_1[[#This Row],[CANTIDAD SOLICITADA]]-DETALLE_GD_1[[#This Row],[DEVOLUCIÓN]]</f>
        <v>1</v>
      </c>
      <c r="AD259" s="38">
        <f>+_xlfn.XLOOKUP(DETALLE_GD_1[[#This Row],[CODIGO]],PRODUCTOS[CODIGO],PRODUCTOS[DESC CORTA],"",0)</f>
        <v>0</v>
      </c>
      <c r="AE259"/>
      <c r="AH259"/>
    </row>
    <row r="260" spans="1:34" x14ac:dyDescent="0.25">
      <c r="A260" s="1">
        <v>46057</v>
      </c>
      <c r="B260" s="1">
        <v>45987</v>
      </c>
      <c r="C260" s="81" t="s">
        <v>15</v>
      </c>
      <c r="D260" s="38">
        <v>11</v>
      </c>
      <c r="E260" s="81" t="s">
        <v>379</v>
      </c>
      <c r="F260">
        <v>304007</v>
      </c>
      <c r="G260" s="81" t="s">
        <v>80</v>
      </c>
      <c r="H260" s="81" t="s">
        <v>18</v>
      </c>
      <c r="I260" s="3">
        <v>57</v>
      </c>
      <c r="J260" s="3"/>
      <c r="K260" s="26">
        <v>57</v>
      </c>
      <c r="L260" s="2">
        <v>11444.350899999999</v>
      </c>
      <c r="M260" s="2">
        <v>652328</v>
      </c>
      <c r="N260" s="2">
        <v>652328</v>
      </c>
      <c r="O260" s="2">
        <v>11444.352999999999</v>
      </c>
      <c r="P260" s="2">
        <v>2.0999999999999999E-3</v>
      </c>
      <c r="Q260" s="2">
        <v>0.12230000000000001</v>
      </c>
      <c r="R260" s="4">
        <v>1.8741181862876885E-7</v>
      </c>
      <c r="T260">
        <v>305305</v>
      </c>
      <c r="U260" s="2">
        <v>652328</v>
      </c>
      <c r="V260">
        <v>5655</v>
      </c>
      <c r="W260" s="2">
        <v>6579000000</v>
      </c>
      <c r="X260" s="6">
        <v>652328.12225399981</v>
      </c>
      <c r="Y260" s="38">
        <v>10010</v>
      </c>
      <c r="Z260" s="86">
        <f>+((DETALLE_GD_1[[#This Row],[VALOR X UN (GD)]]-DETALLE_GD_1[[#This Row],[VALOR PPTO]])/DETALLE_GD_1[[#This Row],[VALOR PPTO]])</f>
        <v>-1.8349661179624838E-7</v>
      </c>
      <c r="AA260" s="2">
        <f>+DETALLE_GD_1[[#This Row],[VALOR PPTO]]*DETALLE_GD_1[[#This Row],[CANTIDAD RECIBIDA]]</f>
        <v>652328.12099999993</v>
      </c>
      <c r="AB2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60" s="3">
        <f>+DETALLE_GD_1[[#This Row],[CANTIDAD SOLICITADA]]-DETALLE_GD_1[[#This Row],[DEVOLUCIÓN]]</f>
        <v>57</v>
      </c>
      <c r="AD260" s="38" t="str">
        <f>+_xlfn.XLOOKUP(DETALLE_GD_1[[#This Row],[CODIGO]],PRODUCTOS[CODIGO],PRODUCTOS[DESC CORTA],"",0)</f>
        <v>OSB 11MM</v>
      </c>
      <c r="AE260"/>
      <c r="AH260"/>
    </row>
    <row r="261" spans="1:34" x14ac:dyDescent="0.25">
      <c r="A261" s="1">
        <v>46057</v>
      </c>
      <c r="B261" s="1">
        <v>45987</v>
      </c>
      <c r="C261" s="81" t="s">
        <v>15</v>
      </c>
      <c r="D261" s="38">
        <v>11</v>
      </c>
      <c r="E261" s="81" t="s">
        <v>379</v>
      </c>
      <c r="F261">
        <v>307032</v>
      </c>
      <c r="G261" s="81" t="s">
        <v>186</v>
      </c>
      <c r="H261" s="81" t="s">
        <v>137</v>
      </c>
      <c r="I261" s="3">
        <v>60</v>
      </c>
      <c r="J261" s="3"/>
      <c r="K261" s="26">
        <v>60</v>
      </c>
      <c r="L261" s="2">
        <v>2378.3332999999998</v>
      </c>
      <c r="M261" s="2">
        <v>142700</v>
      </c>
      <c r="N261" s="2">
        <v>142700</v>
      </c>
      <c r="O261" s="2">
        <v>2378.375</v>
      </c>
      <c r="P261" s="2">
        <v>4.1700000000000001E-2</v>
      </c>
      <c r="Q261" s="2">
        <v>2.5024999999999999</v>
      </c>
      <c r="R261" s="4">
        <v>1.75362026372265E-5</v>
      </c>
      <c r="T261">
        <v>305311</v>
      </c>
      <c r="U261" s="2">
        <v>142700</v>
      </c>
      <c r="V261">
        <v>5655</v>
      </c>
      <c r="W261" s="2">
        <v>6579000000</v>
      </c>
      <c r="X261" s="6">
        <v>142702.50245999999</v>
      </c>
      <c r="Y261" s="38">
        <v>10010</v>
      </c>
      <c r="Z261" s="86">
        <f>+((DETALLE_GD_1[[#This Row],[VALOR X UN (GD)]]-DETALLE_GD_1[[#This Row],[VALOR PPTO]])/DETALLE_GD_1[[#This Row],[VALOR PPTO]])</f>
        <v>-1.7532979450346983E-5</v>
      </c>
      <c r="AA261" s="2">
        <f>+DETALLE_GD_1[[#This Row],[VALOR PPTO]]*DETALLE_GD_1[[#This Row],[CANTIDAD RECIBIDA]]</f>
        <v>142702.5</v>
      </c>
      <c r="AB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1" s="3">
        <f>+DETALLE_GD_1[[#This Row],[CANTIDAD SOLICITADA]]-DETALLE_GD_1[[#This Row],[DEVOLUCIÓN]]</f>
        <v>60</v>
      </c>
      <c r="AD261" s="38">
        <f>+_xlfn.XLOOKUP(DETALLE_GD_1[[#This Row],[CODIGO]],PRODUCTOS[CODIGO],PRODUCTOS[DESC CORTA],"",0)</f>
        <v>0</v>
      </c>
      <c r="AE261"/>
      <c r="AH261"/>
    </row>
    <row r="262" spans="1:34" x14ac:dyDescent="0.25">
      <c r="A262" s="1">
        <v>46057</v>
      </c>
      <c r="B262" s="1">
        <v>45987</v>
      </c>
      <c r="C262" s="81" t="s">
        <v>15</v>
      </c>
      <c r="D262" s="38">
        <v>11</v>
      </c>
      <c r="E262" s="81" t="s">
        <v>379</v>
      </c>
      <c r="F262">
        <v>704095</v>
      </c>
      <c r="G262" s="81" t="s">
        <v>187</v>
      </c>
      <c r="H262" s="81" t="s">
        <v>31</v>
      </c>
      <c r="I262" s="3">
        <v>30</v>
      </c>
      <c r="J262" s="3"/>
      <c r="K262" s="26">
        <v>30</v>
      </c>
      <c r="L262" s="2">
        <v>250</v>
      </c>
      <c r="M262" s="2">
        <v>7500</v>
      </c>
      <c r="N262" s="2">
        <v>7500</v>
      </c>
      <c r="O262" s="2">
        <v>250.00120000000001</v>
      </c>
      <c r="P262" s="2">
        <v>1.1999999999999999E-3</v>
      </c>
      <c r="Q262" s="2">
        <v>3.56E-2</v>
      </c>
      <c r="R262" s="4">
        <v>4.7519774186564645E-6</v>
      </c>
      <c r="T262">
        <v>305314</v>
      </c>
      <c r="U262" s="2">
        <v>58587</v>
      </c>
      <c r="V262">
        <v>5655</v>
      </c>
      <c r="W262" s="2">
        <v>6579000000</v>
      </c>
      <c r="X262" s="6">
        <v>7500.0356400000001</v>
      </c>
      <c r="Y262" s="38">
        <v>10010</v>
      </c>
      <c r="Z262" s="86">
        <f>+((DETALLE_GD_1[[#This Row],[VALOR X UN (GD)]]-DETALLE_GD_1[[#This Row],[VALOR PPTO]])/DETALLE_GD_1[[#This Row],[VALOR PPTO]])</f>
        <v>-4.799976960156248E-6</v>
      </c>
      <c r="AA262" s="2">
        <f>+DETALLE_GD_1[[#This Row],[VALOR PPTO]]*DETALLE_GD_1[[#This Row],[CANTIDAD RECIBIDA]]</f>
        <v>7500.0360000000001</v>
      </c>
      <c r="AB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2" s="3">
        <f>+DETALLE_GD_1[[#This Row],[CANTIDAD SOLICITADA]]-DETALLE_GD_1[[#This Row],[DEVOLUCIÓN]]</f>
        <v>30</v>
      </c>
      <c r="AD262" s="38">
        <f>+_xlfn.XLOOKUP(DETALLE_GD_1[[#This Row],[CODIGO]],PRODUCTOS[CODIGO],PRODUCTOS[DESC CORTA],"",0)</f>
        <v>0</v>
      </c>
      <c r="AE262"/>
      <c r="AH262"/>
    </row>
    <row r="263" spans="1:34" x14ac:dyDescent="0.25">
      <c r="A263" s="1">
        <v>46057</v>
      </c>
      <c r="B263" s="1">
        <v>45987</v>
      </c>
      <c r="C263" s="81" t="s">
        <v>15</v>
      </c>
      <c r="D263" s="38">
        <v>11</v>
      </c>
      <c r="E263" s="81" t="s">
        <v>379</v>
      </c>
      <c r="F263">
        <v>601047</v>
      </c>
      <c r="G263" s="81" t="s">
        <v>129</v>
      </c>
      <c r="H263" s="81" t="s">
        <v>25</v>
      </c>
      <c r="I263" s="3">
        <v>1</v>
      </c>
      <c r="J263" s="3"/>
      <c r="K263" s="26">
        <v>1</v>
      </c>
      <c r="L263" s="2">
        <v>50187</v>
      </c>
      <c r="M263" s="2">
        <v>50187</v>
      </c>
      <c r="N263" s="2">
        <v>50187</v>
      </c>
      <c r="O263" s="2">
        <v>50286.86</v>
      </c>
      <c r="P263" s="2">
        <v>99.86</v>
      </c>
      <c r="Q263" s="2">
        <v>99.86</v>
      </c>
      <c r="R263" s="4">
        <v>1.9858070279194324E-3</v>
      </c>
      <c r="T263">
        <v>305314</v>
      </c>
      <c r="U263" s="2"/>
      <c r="V263">
        <v>5655</v>
      </c>
      <c r="W263" s="2">
        <v>6579000000</v>
      </c>
      <c r="X263" s="6">
        <v>50286.86</v>
      </c>
      <c r="Y263" s="38">
        <v>10010</v>
      </c>
      <c r="Z263" s="86">
        <f>+((DETALLE_GD_1[[#This Row],[VALOR X UN (GD)]]-DETALLE_GD_1[[#This Row],[VALOR PPTO]])/DETALLE_GD_1[[#This Row],[VALOR PPTO]])</f>
        <v>-1.9858070279194324E-3</v>
      </c>
      <c r="AA263" s="2">
        <f>+DETALLE_GD_1[[#This Row],[VALOR PPTO]]*DETALLE_GD_1[[#This Row],[CANTIDAD RECIBIDA]]</f>
        <v>50286.86</v>
      </c>
      <c r="AB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3" s="3">
        <f>+DETALLE_GD_1[[#This Row],[CANTIDAD SOLICITADA]]-DETALLE_GD_1[[#This Row],[DEVOLUCIÓN]]</f>
        <v>1</v>
      </c>
      <c r="AD263" s="38" t="str">
        <f>+_xlfn.XLOOKUP(DETALLE_GD_1[[#This Row],[CODIGO]],PRODUCTOS[CODIGO],PRODUCTOS[DESC CORTA],"",0)</f>
        <v>ESMALTE AL AGUA</v>
      </c>
      <c r="AE263"/>
      <c r="AH263"/>
    </row>
    <row r="264" spans="1:34" x14ac:dyDescent="0.25">
      <c r="A264" s="1">
        <v>46057</v>
      </c>
      <c r="B264" s="1">
        <v>45987</v>
      </c>
      <c r="C264" s="81" t="s">
        <v>15</v>
      </c>
      <c r="D264" s="38">
        <v>11</v>
      </c>
      <c r="E264" s="81" t="s">
        <v>379</v>
      </c>
      <c r="F264">
        <v>617007</v>
      </c>
      <c r="G264" s="81" t="s">
        <v>188</v>
      </c>
      <c r="H264" s="81" t="s">
        <v>31</v>
      </c>
      <c r="I264" s="3">
        <v>9</v>
      </c>
      <c r="J264" s="3"/>
      <c r="K264" s="26">
        <v>9</v>
      </c>
      <c r="L264" s="2">
        <v>100</v>
      </c>
      <c r="M264" s="2">
        <v>900</v>
      </c>
      <c r="N264" s="2">
        <v>900</v>
      </c>
      <c r="O264" s="2">
        <v>99.963800000000006</v>
      </c>
      <c r="P264" s="2">
        <v>-3.6200000000000003E-2</v>
      </c>
      <c r="Q264" s="2">
        <v>-0.3256</v>
      </c>
      <c r="R264" s="4">
        <v>-3.6192093937669894E-4</v>
      </c>
      <c r="T264">
        <v>305314</v>
      </c>
      <c r="U264" s="2"/>
      <c r="V264">
        <v>5655</v>
      </c>
      <c r="W264" s="2">
        <v>6579000000</v>
      </c>
      <c r="X264" s="6">
        <v>899.67438900000002</v>
      </c>
      <c r="Y264" s="38">
        <v>10010</v>
      </c>
      <c r="Z264" s="86">
        <f>+((DETALLE_GD_1[[#This Row],[VALOR X UN (GD)]]-DETALLE_GD_1[[#This Row],[VALOR PPTO]])/DETALLE_GD_1[[#This Row],[VALOR PPTO]])</f>
        <v>3.6213109145504462E-4</v>
      </c>
      <c r="AA264" s="2">
        <f>+DETALLE_GD_1[[#This Row],[VALOR PPTO]]*DETALLE_GD_1[[#This Row],[CANTIDAD RECIBIDA]]</f>
        <v>899.67420000000004</v>
      </c>
      <c r="AB2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4" s="3">
        <f>+DETALLE_GD_1[[#This Row],[CANTIDAD SOLICITADA]]-DETALLE_GD_1[[#This Row],[DEVOLUCIÓN]]</f>
        <v>9</v>
      </c>
      <c r="AD264" s="38">
        <f>+_xlfn.XLOOKUP(DETALLE_GD_1[[#This Row],[CODIGO]],PRODUCTOS[CODIGO],PRODUCTOS[DESC CORTA],"",0)</f>
        <v>0</v>
      </c>
      <c r="AE264"/>
      <c r="AH264"/>
    </row>
    <row r="265" spans="1:34" x14ac:dyDescent="0.25">
      <c r="A265" s="1">
        <v>46057</v>
      </c>
      <c r="B265" s="1">
        <v>45988</v>
      </c>
      <c r="C265" s="81" t="s">
        <v>15</v>
      </c>
      <c r="D265" s="38">
        <v>11</v>
      </c>
      <c r="E265" s="81" t="s">
        <v>379</v>
      </c>
      <c r="F265">
        <v>1405025</v>
      </c>
      <c r="G265" s="81" t="s">
        <v>189</v>
      </c>
      <c r="H265" s="81" t="s">
        <v>31</v>
      </c>
      <c r="I265" s="3">
        <v>1</v>
      </c>
      <c r="J265" s="3"/>
      <c r="K265" s="26">
        <v>1</v>
      </c>
      <c r="L265" s="2">
        <v>6758</v>
      </c>
      <c r="M265" s="2">
        <v>6758</v>
      </c>
      <c r="N265" s="2">
        <v>6758</v>
      </c>
      <c r="O265" s="2">
        <v>6758.5333000000001</v>
      </c>
      <c r="P265" s="2">
        <v>0.5333</v>
      </c>
      <c r="Q265" s="2">
        <v>0.5333</v>
      </c>
      <c r="R265" s="4">
        <v>7.891253526799935E-5</v>
      </c>
      <c r="T265">
        <v>305315</v>
      </c>
      <c r="U265" s="2">
        <v>6758</v>
      </c>
      <c r="V265">
        <v>5655</v>
      </c>
      <c r="W265" s="2">
        <v>6579000000</v>
      </c>
      <c r="X265" s="6">
        <v>6758.5333330000003</v>
      </c>
      <c r="Y265" s="38">
        <v>10010</v>
      </c>
      <c r="Z265" s="86">
        <f>+((DETALLE_GD_1[[#This Row],[VALOR X UN (GD)]]-DETALLE_GD_1[[#This Row],[VALOR PPTO]])/DETALLE_GD_1[[#This Row],[VALOR PPTO]])</f>
        <v>-7.8907652937073463E-5</v>
      </c>
      <c r="AA265" s="2">
        <f>+DETALLE_GD_1[[#This Row],[VALOR PPTO]]*DETALLE_GD_1[[#This Row],[CANTIDAD RECIBIDA]]</f>
        <v>6758.5333000000001</v>
      </c>
      <c r="AB2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5" s="3">
        <f>+DETALLE_GD_1[[#This Row],[CANTIDAD SOLICITADA]]-DETALLE_GD_1[[#This Row],[DEVOLUCIÓN]]</f>
        <v>1</v>
      </c>
      <c r="AD265" s="38">
        <f>+_xlfn.XLOOKUP(DETALLE_GD_1[[#This Row],[CODIGO]],PRODUCTOS[CODIGO],PRODUCTOS[DESC CORTA],"",0)</f>
        <v>0</v>
      </c>
      <c r="AE265"/>
      <c r="AH265"/>
    </row>
    <row r="266" spans="1:34" x14ac:dyDescent="0.25">
      <c r="A266" s="1">
        <v>46057</v>
      </c>
      <c r="B266" s="1">
        <v>45988</v>
      </c>
      <c r="C266" s="81" t="s">
        <v>15</v>
      </c>
      <c r="D266" s="38">
        <v>11</v>
      </c>
      <c r="E266" s="81" t="s">
        <v>379</v>
      </c>
      <c r="F266">
        <v>1801229</v>
      </c>
      <c r="G266" s="81" t="s">
        <v>259</v>
      </c>
      <c r="H266" s="81" t="s">
        <v>31</v>
      </c>
      <c r="I266" s="3">
        <v>1</v>
      </c>
      <c r="J266" s="3"/>
      <c r="K266" s="26">
        <v>1</v>
      </c>
      <c r="L266" s="2">
        <v>3684</v>
      </c>
      <c r="M266" s="2">
        <v>3684</v>
      </c>
      <c r="N266" s="2">
        <v>3684</v>
      </c>
      <c r="O266" s="2">
        <v>4675.5185000000001</v>
      </c>
      <c r="P266" s="2">
        <v>991.51850000000002</v>
      </c>
      <c r="Q266" s="2">
        <v>991.51850000000002</v>
      </c>
      <c r="R266" s="4">
        <v>0.2120660018713959</v>
      </c>
      <c r="T266">
        <v>305322</v>
      </c>
      <c r="U266" s="2">
        <v>72577</v>
      </c>
      <c r="V266">
        <v>5655</v>
      </c>
      <c r="W266" s="2">
        <v>6579000000</v>
      </c>
      <c r="X266" s="6">
        <v>4675.5185190000002</v>
      </c>
      <c r="Y266" s="38">
        <v>10010</v>
      </c>
      <c r="Z266" s="86">
        <f>+((DETALLE_GD_1[[#This Row],[VALOR X UN (GD)]]-DETALLE_GD_1[[#This Row],[VALOR PPTO]])/DETALLE_GD_1[[#This Row],[VALOR PPTO]])</f>
        <v>-0.21206599866945242</v>
      </c>
      <c r="AA266" s="2">
        <f>+DETALLE_GD_1[[#This Row],[VALOR PPTO]]*DETALLE_GD_1[[#This Row],[CANTIDAD RECIBIDA]]</f>
        <v>4675.5185000000001</v>
      </c>
      <c r="AB2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6" s="3">
        <f>+DETALLE_GD_1[[#This Row],[CANTIDAD SOLICITADA]]-DETALLE_GD_1[[#This Row],[DEVOLUCIÓN]]</f>
        <v>1</v>
      </c>
      <c r="AD266" s="38" t="str">
        <f>+_xlfn.XLOOKUP(DETALLE_GD_1[[#This Row],[CODIGO]],PRODUCTOS[CODIGO],PRODUCTOS[DESC CORTA],"",0)</f>
        <v>KIT DESAGUE TINA</v>
      </c>
      <c r="AE266"/>
      <c r="AH266"/>
    </row>
    <row r="267" spans="1:34" x14ac:dyDescent="0.25">
      <c r="A267" s="1">
        <v>46057</v>
      </c>
      <c r="B267" s="1">
        <v>45988</v>
      </c>
      <c r="C267" s="81" t="s">
        <v>15</v>
      </c>
      <c r="D267" s="38">
        <v>11</v>
      </c>
      <c r="E267" s="81" t="s">
        <v>379</v>
      </c>
      <c r="F267">
        <v>1801233</v>
      </c>
      <c r="G267" s="81" t="s">
        <v>190</v>
      </c>
      <c r="H267" s="81" t="s">
        <v>31</v>
      </c>
      <c r="I267" s="3">
        <v>1</v>
      </c>
      <c r="J267" s="3"/>
      <c r="K267" s="26">
        <v>1</v>
      </c>
      <c r="L267" s="2">
        <v>7404</v>
      </c>
      <c r="M267" s="2">
        <v>7404</v>
      </c>
      <c r="N267" s="2">
        <v>7404</v>
      </c>
      <c r="O267" s="2">
        <v>7404.4101000000001</v>
      </c>
      <c r="P267" s="2">
        <v>0.41010000000000002</v>
      </c>
      <c r="Q267" s="2">
        <v>0.41010000000000002</v>
      </c>
      <c r="R267" s="4">
        <v>5.5382129840481465E-5</v>
      </c>
      <c r="T267">
        <v>305322</v>
      </c>
      <c r="U267" s="2"/>
      <c r="V267">
        <v>5655</v>
      </c>
      <c r="W267" s="2">
        <v>6579000000</v>
      </c>
      <c r="X267" s="6">
        <v>7404.4100719999997</v>
      </c>
      <c r="Y267" s="38">
        <v>10010</v>
      </c>
      <c r="Z267" s="86">
        <f>+((DETALLE_GD_1[[#This Row],[VALOR X UN (GD)]]-DETALLE_GD_1[[#This Row],[VALOR PPTO]])/DETALLE_GD_1[[#This Row],[VALOR PPTO]])</f>
        <v>-5.538591116124926E-5</v>
      </c>
      <c r="AA267" s="2">
        <f>+DETALLE_GD_1[[#This Row],[VALOR PPTO]]*DETALLE_GD_1[[#This Row],[CANTIDAD RECIBIDA]]</f>
        <v>7404.4101000000001</v>
      </c>
      <c r="AB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7" s="3">
        <f>+DETALLE_GD_1[[#This Row],[CANTIDAD SOLICITADA]]-DETALLE_GD_1[[#This Row],[DEVOLUCIÓN]]</f>
        <v>1</v>
      </c>
      <c r="AD267" s="38">
        <f>+_xlfn.XLOOKUP(DETALLE_GD_1[[#This Row],[CODIGO]],PRODUCTOS[CODIGO],PRODUCTOS[DESC CORTA],"",0)</f>
        <v>0</v>
      </c>
      <c r="AE267"/>
      <c r="AH267"/>
    </row>
    <row r="268" spans="1:34" x14ac:dyDescent="0.25">
      <c r="A268" s="1">
        <v>46057</v>
      </c>
      <c r="B268" s="1">
        <v>45988</v>
      </c>
      <c r="C268" s="81" t="s">
        <v>15</v>
      </c>
      <c r="D268" s="38">
        <v>11</v>
      </c>
      <c r="E268" s="81" t="s">
        <v>379</v>
      </c>
      <c r="F268">
        <v>1801232</v>
      </c>
      <c r="G268" s="81" t="s">
        <v>191</v>
      </c>
      <c r="H268" s="81" t="s">
        <v>31</v>
      </c>
      <c r="I268" s="3">
        <v>1</v>
      </c>
      <c r="J268" s="3"/>
      <c r="K268" s="26">
        <v>1</v>
      </c>
      <c r="L268" s="2">
        <v>6876</v>
      </c>
      <c r="M268" s="2">
        <v>6876</v>
      </c>
      <c r="N268" s="2">
        <v>6876</v>
      </c>
      <c r="O268" s="2">
        <v>6876.3333000000002</v>
      </c>
      <c r="P268" s="2">
        <v>0.33329999999999999</v>
      </c>
      <c r="Q268" s="2">
        <v>0.33329999999999999</v>
      </c>
      <c r="R268" s="4">
        <v>4.8475398712842479E-5</v>
      </c>
      <c r="T268">
        <v>305322</v>
      </c>
      <c r="U268" s="2"/>
      <c r="V268">
        <v>5655</v>
      </c>
      <c r="W268" s="2">
        <v>6579000000</v>
      </c>
      <c r="X268" s="6">
        <v>6876.3333329999996</v>
      </c>
      <c r="Y268" s="38">
        <v>10010</v>
      </c>
      <c r="Z268" s="86">
        <f>+((DETALLE_GD_1[[#This Row],[VALOR X UN (GD)]]-DETALLE_GD_1[[#This Row],[VALOR PPTO]])/DETALLE_GD_1[[#This Row],[VALOR PPTO]])</f>
        <v>-4.8470599876279376E-5</v>
      </c>
      <c r="AA268" s="2">
        <f>+DETALLE_GD_1[[#This Row],[VALOR PPTO]]*DETALLE_GD_1[[#This Row],[CANTIDAD RECIBIDA]]</f>
        <v>6876.3333000000002</v>
      </c>
      <c r="AB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8" s="3">
        <f>+DETALLE_GD_1[[#This Row],[CANTIDAD SOLICITADA]]-DETALLE_GD_1[[#This Row],[DEVOLUCIÓN]]</f>
        <v>1</v>
      </c>
      <c r="AD268" s="38">
        <f>+_xlfn.XLOOKUP(DETALLE_GD_1[[#This Row],[CODIGO]],PRODUCTOS[CODIGO],PRODUCTOS[DESC CORTA],"",0)</f>
        <v>0</v>
      </c>
      <c r="AE268"/>
      <c r="AH268"/>
    </row>
    <row r="269" spans="1:34" x14ac:dyDescent="0.25">
      <c r="A269" s="1">
        <v>46057</v>
      </c>
      <c r="B269" s="1">
        <v>45988</v>
      </c>
      <c r="C269" s="81" t="s">
        <v>15</v>
      </c>
      <c r="D269" s="38">
        <v>11</v>
      </c>
      <c r="E269" s="81" t="s">
        <v>379</v>
      </c>
      <c r="F269">
        <v>1206002</v>
      </c>
      <c r="G269" s="81" t="s">
        <v>192</v>
      </c>
      <c r="H269" s="81" t="s">
        <v>31</v>
      </c>
      <c r="I269" s="3">
        <v>1</v>
      </c>
      <c r="J269" s="3"/>
      <c r="K269" s="26">
        <v>1</v>
      </c>
      <c r="L269" s="2">
        <v>15784</v>
      </c>
      <c r="M269" s="2">
        <v>15784</v>
      </c>
      <c r="N269" s="2">
        <v>15784</v>
      </c>
      <c r="O269" s="2">
        <v>15783.483899999999</v>
      </c>
      <c r="P269" s="2">
        <v>-0.5161</v>
      </c>
      <c r="Q269" s="2">
        <v>-0.5161</v>
      </c>
      <c r="R269" s="4">
        <v>-3.2700575121426315E-5</v>
      </c>
      <c r="T269">
        <v>305322</v>
      </c>
      <c r="U269" s="2"/>
      <c r="V269">
        <v>5655</v>
      </c>
      <c r="W269" s="2">
        <v>6579000000</v>
      </c>
      <c r="X269" s="6">
        <v>15783.483871</v>
      </c>
      <c r="Y269" s="38">
        <v>10010</v>
      </c>
      <c r="Z269" s="86">
        <f>+((DETALLE_GD_1[[#This Row],[VALOR X UN (GD)]]-DETALLE_GD_1[[#This Row],[VALOR PPTO]])/DETALLE_GD_1[[#This Row],[VALOR PPTO]])</f>
        <v>3.2698737697621587E-5</v>
      </c>
      <c r="AA269" s="2">
        <f>+DETALLE_GD_1[[#This Row],[VALOR PPTO]]*DETALLE_GD_1[[#This Row],[CANTIDAD RECIBIDA]]</f>
        <v>15783.483899999999</v>
      </c>
      <c r="AB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9" s="3">
        <f>+DETALLE_GD_1[[#This Row],[CANTIDAD SOLICITADA]]-DETALLE_GD_1[[#This Row],[DEVOLUCIÓN]]</f>
        <v>1</v>
      </c>
      <c r="AD269" s="38">
        <f>+_xlfn.XLOOKUP(DETALLE_GD_1[[#This Row],[CODIGO]],PRODUCTOS[CODIGO],PRODUCTOS[DESC CORTA],"",0)</f>
        <v>0</v>
      </c>
      <c r="AE269"/>
      <c r="AH269"/>
    </row>
    <row r="270" spans="1:34" x14ac:dyDescent="0.25">
      <c r="A270" s="1">
        <v>46057</v>
      </c>
      <c r="B270" s="1">
        <v>45988</v>
      </c>
      <c r="C270" s="81" t="s">
        <v>15</v>
      </c>
      <c r="D270" s="38">
        <v>11</v>
      </c>
      <c r="E270" s="81" t="s">
        <v>379</v>
      </c>
      <c r="F270">
        <v>1801231</v>
      </c>
      <c r="G270" s="81" t="s">
        <v>193</v>
      </c>
      <c r="H270" s="81" t="s">
        <v>31</v>
      </c>
      <c r="I270" s="3">
        <v>1</v>
      </c>
      <c r="J270" s="3"/>
      <c r="K270" s="26">
        <v>1</v>
      </c>
      <c r="L270" s="2">
        <v>5709</v>
      </c>
      <c r="M270" s="2">
        <v>5709</v>
      </c>
      <c r="N270" s="2">
        <v>5709</v>
      </c>
      <c r="O270" s="2">
        <v>5708.8</v>
      </c>
      <c r="P270" s="2">
        <v>-0.2</v>
      </c>
      <c r="Q270" s="2">
        <v>-0.2</v>
      </c>
      <c r="R270" s="4">
        <v>-3.5033632286963653E-5</v>
      </c>
      <c r="T270">
        <v>305322</v>
      </c>
      <c r="U270" s="2"/>
      <c r="V270">
        <v>5655</v>
      </c>
      <c r="W270" s="2">
        <v>6579000000</v>
      </c>
      <c r="X270" s="6">
        <v>5708.8</v>
      </c>
      <c r="Y270" s="38">
        <v>10010</v>
      </c>
      <c r="Z270" s="86">
        <f>+((DETALLE_GD_1[[#This Row],[VALOR X UN (GD)]]-DETALLE_GD_1[[#This Row],[VALOR PPTO]])/DETALLE_GD_1[[#This Row],[VALOR PPTO]])</f>
        <v>3.5033632286963653E-5</v>
      </c>
      <c r="AA270" s="2">
        <f>+DETALLE_GD_1[[#This Row],[VALOR PPTO]]*DETALLE_GD_1[[#This Row],[CANTIDAD RECIBIDA]]</f>
        <v>5708.8</v>
      </c>
      <c r="AB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0" s="3">
        <f>+DETALLE_GD_1[[#This Row],[CANTIDAD SOLICITADA]]-DETALLE_GD_1[[#This Row],[DEVOLUCIÓN]]</f>
        <v>1</v>
      </c>
      <c r="AD270" s="38">
        <f>+_xlfn.XLOOKUP(DETALLE_GD_1[[#This Row],[CODIGO]],PRODUCTOS[CODIGO],PRODUCTOS[DESC CORTA],"",0)</f>
        <v>0</v>
      </c>
      <c r="AE270"/>
      <c r="AH270"/>
    </row>
    <row r="271" spans="1:34" x14ac:dyDescent="0.25">
      <c r="A271" s="1">
        <v>46057</v>
      </c>
      <c r="B271" s="1">
        <v>45988</v>
      </c>
      <c r="C271" s="81" t="s">
        <v>15</v>
      </c>
      <c r="D271" s="38">
        <v>11</v>
      </c>
      <c r="E271" s="81" t="s">
        <v>379</v>
      </c>
      <c r="F271">
        <v>1808006</v>
      </c>
      <c r="G271" s="81" t="s">
        <v>194</v>
      </c>
      <c r="H271" s="81" t="s">
        <v>31</v>
      </c>
      <c r="I271" s="3">
        <v>1</v>
      </c>
      <c r="J271" s="3"/>
      <c r="K271" s="26">
        <v>1</v>
      </c>
      <c r="L271" s="2">
        <v>2907</v>
      </c>
      <c r="M271" s="2">
        <v>2907</v>
      </c>
      <c r="N271" s="2">
        <v>2907</v>
      </c>
      <c r="O271" s="2">
        <v>2906.6711</v>
      </c>
      <c r="P271" s="2">
        <v>-0.32890000000000003</v>
      </c>
      <c r="Q271" s="2">
        <v>-0.32890000000000003</v>
      </c>
      <c r="R271" s="4">
        <v>-1.1315487344013068E-4</v>
      </c>
      <c r="T271">
        <v>305322</v>
      </c>
      <c r="U271" s="2"/>
      <c r="V271">
        <v>5655</v>
      </c>
      <c r="W271" s="2">
        <v>6579000000</v>
      </c>
      <c r="X271" s="6">
        <v>2906.671096</v>
      </c>
      <c r="Y271" s="38">
        <v>10010</v>
      </c>
      <c r="Z271" s="86">
        <f>+((DETALLE_GD_1[[#This Row],[VALOR X UN (GD)]]-DETALLE_GD_1[[#This Row],[VALOR PPTO]])/DETALLE_GD_1[[#This Row],[VALOR PPTO]])</f>
        <v>1.1315349713972661E-4</v>
      </c>
      <c r="AA271" s="2">
        <f>+DETALLE_GD_1[[#This Row],[VALOR PPTO]]*DETALLE_GD_1[[#This Row],[CANTIDAD RECIBIDA]]</f>
        <v>2906.6711</v>
      </c>
      <c r="AB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1" s="3">
        <f>+DETALLE_GD_1[[#This Row],[CANTIDAD SOLICITADA]]-DETALLE_GD_1[[#This Row],[DEVOLUCIÓN]]</f>
        <v>1</v>
      </c>
      <c r="AD271" s="38">
        <f>+_xlfn.XLOOKUP(DETALLE_GD_1[[#This Row],[CODIGO]],PRODUCTOS[CODIGO],PRODUCTOS[DESC CORTA],"",0)</f>
        <v>0</v>
      </c>
      <c r="AE271"/>
      <c r="AH271"/>
    </row>
    <row r="272" spans="1:34" x14ac:dyDescent="0.25">
      <c r="A272" s="1">
        <v>46057</v>
      </c>
      <c r="B272" s="1">
        <v>45988</v>
      </c>
      <c r="C272" s="81" t="s">
        <v>15</v>
      </c>
      <c r="D272" s="38">
        <v>11</v>
      </c>
      <c r="E272" s="81" t="s">
        <v>379</v>
      </c>
      <c r="F272">
        <v>1808003</v>
      </c>
      <c r="G272" s="81" t="s">
        <v>195</v>
      </c>
      <c r="H272" s="81" t="s">
        <v>31</v>
      </c>
      <c r="I272" s="3">
        <v>2</v>
      </c>
      <c r="J272" s="3"/>
      <c r="K272" s="26">
        <v>2</v>
      </c>
      <c r="L272" s="2">
        <v>169</v>
      </c>
      <c r="M272" s="2">
        <v>338</v>
      </c>
      <c r="N272" s="2">
        <v>338</v>
      </c>
      <c r="O272" s="2">
        <v>167.7449</v>
      </c>
      <c r="P272" s="2">
        <v>-1.2551000000000001</v>
      </c>
      <c r="Q272" s="2">
        <v>-2.5103</v>
      </c>
      <c r="R272" s="4">
        <v>-7.4824469433213726E-3</v>
      </c>
      <c r="T272">
        <v>305322</v>
      </c>
      <c r="U272" s="2"/>
      <c r="V272">
        <v>5655</v>
      </c>
      <c r="W272" s="2">
        <v>6579000000</v>
      </c>
      <c r="X272" s="6">
        <v>335.48971600000004</v>
      </c>
      <c r="Y272" s="38">
        <v>10010</v>
      </c>
      <c r="Z272" s="86">
        <f>+((DETALLE_GD_1[[#This Row],[VALOR X UN (GD)]]-DETALLE_GD_1[[#This Row],[VALOR PPTO]])/DETALLE_GD_1[[#This Row],[VALOR PPTO]])</f>
        <v>7.4821946896746119E-3</v>
      </c>
      <c r="AA272" s="2">
        <f>+DETALLE_GD_1[[#This Row],[VALOR PPTO]]*DETALLE_GD_1[[#This Row],[CANTIDAD RECIBIDA]]</f>
        <v>335.4898</v>
      </c>
      <c r="AB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2" s="3">
        <f>+DETALLE_GD_1[[#This Row],[CANTIDAD SOLICITADA]]-DETALLE_GD_1[[#This Row],[DEVOLUCIÓN]]</f>
        <v>2</v>
      </c>
      <c r="AD272" s="38">
        <f>+_xlfn.XLOOKUP(DETALLE_GD_1[[#This Row],[CODIGO]],PRODUCTOS[CODIGO],PRODUCTOS[DESC CORTA],"",0)</f>
        <v>0</v>
      </c>
      <c r="AE272"/>
      <c r="AH272"/>
    </row>
    <row r="273" spans="1:34" x14ac:dyDescent="0.25">
      <c r="A273" s="1">
        <v>46057</v>
      </c>
      <c r="B273" s="1">
        <v>45988</v>
      </c>
      <c r="C273" s="81" t="s">
        <v>15</v>
      </c>
      <c r="D273" s="38">
        <v>11</v>
      </c>
      <c r="E273" s="81" t="s">
        <v>379</v>
      </c>
      <c r="F273">
        <v>1206002</v>
      </c>
      <c r="G273" s="81" t="s">
        <v>192</v>
      </c>
      <c r="H273" s="81" t="s">
        <v>31</v>
      </c>
      <c r="I273" s="3">
        <v>1</v>
      </c>
      <c r="J273" s="3"/>
      <c r="K273" s="26">
        <v>1</v>
      </c>
      <c r="L273" s="2">
        <v>15784</v>
      </c>
      <c r="M273" s="2">
        <v>15784</v>
      </c>
      <c r="N273" s="2">
        <v>15784</v>
      </c>
      <c r="O273" s="2">
        <v>15783.483899999999</v>
      </c>
      <c r="P273" s="2">
        <v>-0.5161</v>
      </c>
      <c r="Q273" s="2">
        <v>-0.5161</v>
      </c>
      <c r="R273" s="4">
        <v>-3.2700575121426315E-5</v>
      </c>
      <c r="T273">
        <v>305322</v>
      </c>
      <c r="U273" s="2"/>
      <c r="V273">
        <v>5655</v>
      </c>
      <c r="W273" s="2">
        <v>6579000000</v>
      </c>
      <c r="X273" s="6">
        <v>15783.483871</v>
      </c>
      <c r="Y273" s="38">
        <v>10010</v>
      </c>
      <c r="Z273" s="86">
        <f>+((DETALLE_GD_1[[#This Row],[VALOR X UN (GD)]]-DETALLE_GD_1[[#This Row],[VALOR PPTO]])/DETALLE_GD_1[[#This Row],[VALOR PPTO]])</f>
        <v>3.2698737697621587E-5</v>
      </c>
      <c r="AA273" s="2">
        <f>+DETALLE_GD_1[[#This Row],[VALOR PPTO]]*DETALLE_GD_1[[#This Row],[CANTIDAD RECIBIDA]]</f>
        <v>15783.483899999999</v>
      </c>
      <c r="AB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3" s="3">
        <f>+DETALLE_GD_1[[#This Row],[CANTIDAD SOLICITADA]]-DETALLE_GD_1[[#This Row],[DEVOLUCIÓN]]</f>
        <v>1</v>
      </c>
      <c r="AD273" s="38">
        <f>+_xlfn.XLOOKUP(DETALLE_GD_1[[#This Row],[CODIGO]],PRODUCTOS[CODIGO],PRODUCTOS[DESC CORTA],"",0)</f>
        <v>0</v>
      </c>
      <c r="AE273"/>
      <c r="AH273"/>
    </row>
    <row r="274" spans="1:34" x14ac:dyDescent="0.25">
      <c r="A274" s="1">
        <v>46057</v>
      </c>
      <c r="B274" s="1">
        <v>45988</v>
      </c>
      <c r="C274" s="81" t="s">
        <v>15</v>
      </c>
      <c r="D274" s="38">
        <v>11</v>
      </c>
      <c r="E274" s="81" t="s">
        <v>379</v>
      </c>
      <c r="F274">
        <v>1802176</v>
      </c>
      <c r="G274" s="81" t="s">
        <v>196</v>
      </c>
      <c r="H274" s="81" t="s">
        <v>31</v>
      </c>
      <c r="I274" s="3">
        <v>1</v>
      </c>
      <c r="J274" s="3"/>
      <c r="K274" s="26">
        <v>1</v>
      </c>
      <c r="L274" s="2">
        <v>2199</v>
      </c>
      <c r="M274" s="2">
        <v>2199</v>
      </c>
      <c r="N274" s="2">
        <v>2199</v>
      </c>
      <c r="O274" s="2">
        <v>2199</v>
      </c>
      <c r="P274" s="2">
        <v>0</v>
      </c>
      <c r="Q274" s="2">
        <v>0</v>
      </c>
      <c r="R274" s="4">
        <v>0</v>
      </c>
      <c r="T274">
        <v>305322</v>
      </c>
      <c r="U274" s="2"/>
      <c r="V274">
        <v>5655</v>
      </c>
      <c r="W274" s="2">
        <v>6579000000</v>
      </c>
      <c r="X274" s="6">
        <v>2199</v>
      </c>
      <c r="Y274" s="38">
        <v>10010</v>
      </c>
      <c r="Z274" s="86">
        <f>+((DETALLE_GD_1[[#This Row],[VALOR X UN (GD)]]-DETALLE_GD_1[[#This Row],[VALOR PPTO]])/DETALLE_GD_1[[#This Row],[VALOR PPTO]])</f>
        <v>0</v>
      </c>
      <c r="AA274" s="2">
        <f>+DETALLE_GD_1[[#This Row],[VALOR PPTO]]*DETALLE_GD_1[[#This Row],[CANTIDAD RECIBIDA]]</f>
        <v>2199</v>
      </c>
      <c r="AB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4" s="3">
        <f>+DETALLE_GD_1[[#This Row],[CANTIDAD SOLICITADA]]-DETALLE_GD_1[[#This Row],[DEVOLUCIÓN]]</f>
        <v>1</v>
      </c>
      <c r="AD274" s="38">
        <f>+_xlfn.XLOOKUP(DETALLE_GD_1[[#This Row],[CODIGO]],PRODUCTOS[CODIGO],PRODUCTOS[DESC CORTA],"",0)</f>
        <v>0</v>
      </c>
      <c r="AE274"/>
      <c r="AH274"/>
    </row>
    <row r="275" spans="1:34" x14ac:dyDescent="0.25">
      <c r="A275" s="1">
        <v>46057</v>
      </c>
      <c r="B275" s="1">
        <v>45988</v>
      </c>
      <c r="C275" s="81" t="s">
        <v>15</v>
      </c>
      <c r="D275" s="38">
        <v>11</v>
      </c>
      <c r="E275" s="81" t="s">
        <v>379</v>
      </c>
      <c r="F275">
        <v>307032</v>
      </c>
      <c r="G275" s="81" t="s">
        <v>186</v>
      </c>
      <c r="H275" s="81" t="s">
        <v>137</v>
      </c>
      <c r="I275" s="3">
        <v>5</v>
      </c>
      <c r="J275" s="3"/>
      <c r="K275" s="26">
        <v>5</v>
      </c>
      <c r="L275" s="2">
        <v>2378.4</v>
      </c>
      <c r="M275" s="2">
        <v>11892</v>
      </c>
      <c r="N275" s="2">
        <v>11892</v>
      </c>
      <c r="O275" s="2">
        <v>2378.375</v>
      </c>
      <c r="P275" s="2">
        <v>-2.5000000000000001E-2</v>
      </c>
      <c r="Q275" s="2">
        <v>-0.12479999999999999</v>
      </c>
      <c r="R275" s="4">
        <v>-1.049413972567338E-5</v>
      </c>
      <c r="T275">
        <v>305322</v>
      </c>
      <c r="U275" s="2"/>
      <c r="V275">
        <v>5655</v>
      </c>
      <c r="W275" s="2">
        <v>6579000000</v>
      </c>
      <c r="X275" s="6">
        <v>11891.875204999998</v>
      </c>
      <c r="Y275" s="38">
        <v>10010</v>
      </c>
      <c r="Z275" s="86">
        <f>+((DETALLE_GD_1[[#This Row],[VALOR X UN (GD)]]-DETALLE_GD_1[[#This Row],[VALOR PPTO]])/DETALLE_GD_1[[#This Row],[VALOR PPTO]])</f>
        <v>1.0511378567337341E-5</v>
      </c>
      <c r="AA275" s="2">
        <f>+DETALLE_GD_1[[#This Row],[VALOR PPTO]]*DETALLE_GD_1[[#This Row],[CANTIDAD RECIBIDA]]</f>
        <v>11891.875</v>
      </c>
      <c r="AB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5" s="3">
        <f>+DETALLE_GD_1[[#This Row],[CANTIDAD SOLICITADA]]-DETALLE_GD_1[[#This Row],[DEVOLUCIÓN]]</f>
        <v>5</v>
      </c>
      <c r="AD275" s="38">
        <f>+_xlfn.XLOOKUP(DETALLE_GD_1[[#This Row],[CODIGO]],PRODUCTOS[CODIGO],PRODUCTOS[DESC CORTA],"",0)</f>
        <v>0</v>
      </c>
      <c r="AE275"/>
      <c r="AH275"/>
    </row>
    <row r="276" spans="1:34" x14ac:dyDescent="0.25">
      <c r="A276" s="1">
        <v>46057</v>
      </c>
      <c r="B276" s="1">
        <v>46057</v>
      </c>
      <c r="C276" s="81" t="s">
        <v>75</v>
      </c>
      <c r="D276" s="38">
        <v>2</v>
      </c>
      <c r="E276" s="81" t="s">
        <v>379</v>
      </c>
      <c r="F276">
        <v>701043</v>
      </c>
      <c r="G276" s="81" t="s">
        <v>197</v>
      </c>
      <c r="H276" s="81" t="s">
        <v>18</v>
      </c>
      <c r="I276" s="3">
        <v>6</v>
      </c>
      <c r="J276" s="3"/>
      <c r="K276" s="26">
        <v>6</v>
      </c>
      <c r="L276" s="2">
        <v>22146.5</v>
      </c>
      <c r="M276" s="2">
        <v>132879</v>
      </c>
      <c r="N276" s="2">
        <v>132879</v>
      </c>
      <c r="O276" s="2">
        <v>22146.362799999999</v>
      </c>
      <c r="P276" s="2">
        <v>-0.13719999999999999</v>
      </c>
      <c r="Q276" s="2">
        <v>-0.82340000000000002</v>
      </c>
      <c r="R276" s="4">
        <v>-6.1964125401709252E-6</v>
      </c>
      <c r="T276">
        <v>305324</v>
      </c>
      <c r="U276" s="2">
        <v>138243</v>
      </c>
      <c r="V276">
        <v>5655</v>
      </c>
      <c r="W276" s="2">
        <v>6579000000</v>
      </c>
      <c r="X276" s="6">
        <v>132878.17663200002</v>
      </c>
      <c r="Y276" s="38">
        <v>10010</v>
      </c>
      <c r="Z276" s="86">
        <f>+((DETALLE_GD_1[[#This Row],[VALOR X UN (GD)]]-DETALLE_GD_1[[#This Row],[VALOR PPTO]])/DETALLE_GD_1[[#This Row],[VALOR PPTO]])</f>
        <v>6.195148216438967E-6</v>
      </c>
      <c r="AA276" s="2">
        <f>+DETALLE_GD_1[[#This Row],[VALOR PPTO]]*DETALLE_GD_1[[#This Row],[CANTIDAD RECIBIDA]]</f>
        <v>132878.17679999999</v>
      </c>
      <c r="AB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76" s="3">
        <f>+DETALLE_GD_1[[#This Row],[CANTIDAD SOLICITADA]]-DETALLE_GD_1[[#This Row],[DEVOLUCIÓN]]</f>
        <v>6</v>
      </c>
      <c r="AD276" s="38" t="str">
        <f>+_xlfn.XLOOKUP(DETALLE_GD_1[[#This Row],[CODIGO]],PRODUCTOS[CODIGO],PRODUCTOS[DESC CORTA],"",0)</f>
        <v>VOLCANITA EMPAPELADA CIELO</v>
      </c>
      <c r="AE276"/>
      <c r="AH276"/>
    </row>
    <row r="277" spans="1:34" x14ac:dyDescent="0.25">
      <c r="A277" s="1">
        <v>46057</v>
      </c>
      <c r="B277" s="1">
        <v>46057</v>
      </c>
      <c r="C277" s="81" t="s">
        <v>123</v>
      </c>
      <c r="D277" s="38">
        <v>2</v>
      </c>
      <c r="E277" s="81" t="s">
        <v>379</v>
      </c>
      <c r="F277">
        <v>407170</v>
      </c>
      <c r="G277" s="81" t="s">
        <v>107</v>
      </c>
      <c r="H277" s="81" t="s">
        <v>31</v>
      </c>
      <c r="I277" s="3">
        <v>100</v>
      </c>
      <c r="J277" s="3"/>
      <c r="K277" s="26">
        <v>100</v>
      </c>
      <c r="L277" s="2">
        <v>5.73</v>
      </c>
      <c r="M277" s="2">
        <v>573</v>
      </c>
      <c r="N277" s="2">
        <v>573</v>
      </c>
      <c r="O277" s="2">
        <v>4.8802000000000003</v>
      </c>
      <c r="P277" s="2">
        <v>-0.8498</v>
      </c>
      <c r="Q277" s="2">
        <v>-84.978399999999993</v>
      </c>
      <c r="R277" s="4">
        <v>-0.17412835825299525</v>
      </c>
      <c r="T277">
        <v>305324</v>
      </c>
      <c r="U277" s="2"/>
      <c r="V277">
        <v>5655</v>
      </c>
      <c r="W277" s="2">
        <v>6579000000</v>
      </c>
      <c r="X277" s="6">
        <v>488.02160000000009</v>
      </c>
      <c r="Y277" s="38">
        <v>10010</v>
      </c>
      <c r="Z277" s="86">
        <f>+((DETALLE_GD_1[[#This Row],[VALOR X UN (GD)]]-DETALLE_GD_1[[#This Row],[VALOR PPTO]])/DETALLE_GD_1[[#This Row],[VALOR PPTO]])</f>
        <v>0.17413220769640589</v>
      </c>
      <c r="AA277" s="2">
        <f>+DETALLE_GD_1[[#This Row],[VALOR PPTO]]*DETALLE_GD_1[[#This Row],[CANTIDAD RECIBIDA]]</f>
        <v>488.02000000000004</v>
      </c>
      <c r="AB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7" s="3">
        <f>+DETALLE_GD_1[[#This Row],[CANTIDAD SOLICITADA]]-DETALLE_GD_1[[#This Row],[DEVOLUCIÓN]]</f>
        <v>100</v>
      </c>
      <c r="AD277" s="38" t="str">
        <f>+_xlfn.XLOOKUP(DETALLE_GD_1[[#This Row],[CODIGO]],PRODUCTOS[CODIGO],PRODUCTOS[DESC CORTA],"",0)</f>
        <v>TORNILLO CRS 6X2 1/4</v>
      </c>
      <c r="AE277"/>
      <c r="AH277"/>
    </row>
    <row r="278" spans="1:34" x14ac:dyDescent="0.25">
      <c r="A278" s="1">
        <v>46057</v>
      </c>
      <c r="B278" s="1">
        <v>46057</v>
      </c>
      <c r="C278" s="81" t="s">
        <v>198</v>
      </c>
      <c r="D278" s="38">
        <v>2</v>
      </c>
      <c r="E278" s="81" t="s">
        <v>379</v>
      </c>
      <c r="F278">
        <v>1405006</v>
      </c>
      <c r="G278" s="81" t="s">
        <v>199</v>
      </c>
      <c r="H278" s="81" t="s">
        <v>31</v>
      </c>
      <c r="I278" s="3">
        <v>50</v>
      </c>
      <c r="J278" s="3"/>
      <c r="K278" s="26">
        <v>50</v>
      </c>
      <c r="L278" s="2">
        <v>35.4</v>
      </c>
      <c r="M278" s="2">
        <v>1770</v>
      </c>
      <c r="N278" s="2">
        <v>1770</v>
      </c>
      <c r="O278" s="2">
        <v>35.197499999999998</v>
      </c>
      <c r="P278" s="2">
        <v>-0.20250000000000001</v>
      </c>
      <c r="Q278" s="2">
        <v>-10.127000000000001</v>
      </c>
      <c r="R278" s="4">
        <v>-5.7543925044588988E-3</v>
      </c>
      <c r="T278">
        <v>305324</v>
      </c>
      <c r="U278" s="2"/>
      <c r="V278">
        <v>5655</v>
      </c>
      <c r="W278" s="2">
        <v>6579000000</v>
      </c>
      <c r="X278" s="6">
        <v>1759.8730000000005</v>
      </c>
      <c r="Y278" s="38">
        <v>10010</v>
      </c>
      <c r="Z278" s="86">
        <f>+((DETALLE_GD_1[[#This Row],[VALOR X UN (GD)]]-DETALLE_GD_1[[#This Row],[VALOR PPTO]])/DETALLE_GD_1[[#This Row],[VALOR PPTO]])</f>
        <v>5.7532495205625568E-3</v>
      </c>
      <c r="AA278" s="2">
        <f>+DETALLE_GD_1[[#This Row],[VALOR PPTO]]*DETALLE_GD_1[[#This Row],[CANTIDAD RECIBIDA]]</f>
        <v>1759.875</v>
      </c>
      <c r="AB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8" s="3">
        <f>+DETALLE_GD_1[[#This Row],[CANTIDAD SOLICITADA]]-DETALLE_GD_1[[#This Row],[DEVOLUCIÓN]]</f>
        <v>50</v>
      </c>
      <c r="AD278" s="38">
        <f>+_xlfn.XLOOKUP(DETALLE_GD_1[[#This Row],[CODIGO]],PRODUCTOS[CODIGO],PRODUCTOS[DESC CORTA],"",0)</f>
        <v>0</v>
      </c>
      <c r="AE278"/>
      <c r="AH278"/>
    </row>
    <row r="279" spans="1:34" x14ac:dyDescent="0.25">
      <c r="A279" s="1">
        <v>46057</v>
      </c>
      <c r="B279" s="1">
        <v>46057</v>
      </c>
      <c r="C279" s="81" t="s">
        <v>200</v>
      </c>
      <c r="D279" s="38">
        <v>2</v>
      </c>
      <c r="E279" s="81" t="s">
        <v>379</v>
      </c>
      <c r="F279" t="s">
        <v>94</v>
      </c>
      <c r="G279" s="81" t="s">
        <v>95</v>
      </c>
      <c r="H279" s="81" t="s">
        <v>31</v>
      </c>
      <c r="I279" s="3">
        <v>1</v>
      </c>
      <c r="J279" s="3"/>
      <c r="K279" s="26">
        <v>1</v>
      </c>
      <c r="L279" s="2">
        <v>3021</v>
      </c>
      <c r="M279" s="2">
        <v>3021</v>
      </c>
      <c r="N279" s="2">
        <v>3021</v>
      </c>
      <c r="O279" s="2">
        <v>3021.2829000000002</v>
      </c>
      <c r="P279" s="2">
        <v>0.28289999999999998</v>
      </c>
      <c r="Q279" s="2">
        <v>0.28289999999999998</v>
      </c>
      <c r="R279" s="4">
        <v>9.3625460529685186E-5</v>
      </c>
      <c r="T279">
        <v>305324</v>
      </c>
      <c r="U279" s="2"/>
      <c r="V279">
        <v>5655</v>
      </c>
      <c r="W279" s="2">
        <v>6579000000</v>
      </c>
      <c r="X279" s="6">
        <v>3021.2828690000006</v>
      </c>
      <c r="Y279" s="38">
        <v>10010</v>
      </c>
      <c r="Z279" s="86">
        <f>+((DETALLE_GD_1[[#This Row],[VALOR X UN (GD)]]-DETALLE_GD_1[[#This Row],[VALOR PPTO]])/DETALLE_GD_1[[#This Row],[VALOR PPTO]])</f>
        <v>-9.3635720110868878E-5</v>
      </c>
      <c r="AA279" s="2">
        <f>+DETALLE_GD_1[[#This Row],[VALOR PPTO]]*DETALLE_GD_1[[#This Row],[CANTIDAD RECIBIDA]]</f>
        <v>3021.2829000000002</v>
      </c>
      <c r="AB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9" s="3">
        <f>+DETALLE_GD_1[[#This Row],[CANTIDAD SOLICITADA]]-DETALLE_GD_1[[#This Row],[DEVOLUCIÓN]]</f>
        <v>1</v>
      </c>
      <c r="AD279" s="38" t="str">
        <f>+_xlfn.XLOOKUP(DETALLE_GD_1[[#This Row],[CODIGO]],PRODUCTOS[CODIGO],PRODUCTOS[DESC CORTA],"",0)</f>
        <v>TOPE DE PUERTA</v>
      </c>
      <c r="AE279"/>
      <c r="AH279"/>
    </row>
    <row r="280" spans="1:34" x14ac:dyDescent="0.25">
      <c r="A280" s="1">
        <v>46057</v>
      </c>
      <c r="B280" s="1">
        <v>45989</v>
      </c>
      <c r="C280" s="81" t="s">
        <v>15</v>
      </c>
      <c r="D280" s="38">
        <v>11</v>
      </c>
      <c r="E280" s="81" t="s">
        <v>379</v>
      </c>
      <c r="F280">
        <v>307030</v>
      </c>
      <c r="G280" s="81" t="s">
        <v>64</v>
      </c>
      <c r="H280" s="81" t="s">
        <v>31</v>
      </c>
      <c r="I280" s="3">
        <v>10</v>
      </c>
      <c r="J280" s="3"/>
      <c r="K280" s="26">
        <v>10</v>
      </c>
      <c r="L280" s="2">
        <v>2730</v>
      </c>
      <c r="M280" s="2">
        <v>27300</v>
      </c>
      <c r="N280" s="2">
        <v>27300</v>
      </c>
      <c r="O280" s="2">
        <v>2729.9989</v>
      </c>
      <c r="P280" s="2">
        <v>-1.1000000000000001E-3</v>
      </c>
      <c r="Q280" s="2">
        <v>-1.14E-2</v>
      </c>
      <c r="R280" s="4">
        <v>-4.190477945900508E-7</v>
      </c>
      <c r="T280">
        <v>305327</v>
      </c>
      <c r="U280" s="2">
        <v>27300</v>
      </c>
      <c r="V280">
        <v>5655</v>
      </c>
      <c r="W280" s="2">
        <v>6579000000</v>
      </c>
      <c r="X280" s="6">
        <v>27299.988560000002</v>
      </c>
      <c r="Y280" s="38">
        <v>10010</v>
      </c>
      <c r="Z280" s="86">
        <f>+((DETALLE_GD_1[[#This Row],[VALOR X UN (GD)]]-DETALLE_GD_1[[#This Row],[VALOR PPTO]])/DETALLE_GD_1[[#This Row],[VALOR PPTO]])</f>
        <v>4.0293056526552117E-7</v>
      </c>
      <c r="AA280" s="2">
        <f>+DETALLE_GD_1[[#This Row],[VALOR PPTO]]*DETALLE_GD_1[[#This Row],[CANTIDAD RECIBIDA]]</f>
        <v>27299.989000000001</v>
      </c>
      <c r="AB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0" s="3">
        <f>+DETALLE_GD_1[[#This Row],[CANTIDAD SOLICITADA]]-DETALLE_GD_1[[#This Row],[DEVOLUCIÓN]]</f>
        <v>10</v>
      </c>
      <c r="AD280" s="38" t="str">
        <f>+_xlfn.XLOOKUP(DETALLE_GD_1[[#This Row],[CODIGO]],PRODUCTOS[CODIGO],PRODUCTOS[DESC CORTA],"",0)</f>
        <v>GUARDAPOLVO BLANCO</v>
      </c>
      <c r="AE280"/>
      <c r="AH280"/>
    </row>
    <row r="281" spans="1:34" x14ac:dyDescent="0.25">
      <c r="A281" s="1">
        <v>46062</v>
      </c>
      <c r="B281" s="1">
        <v>46062</v>
      </c>
      <c r="C281" s="81" t="s">
        <v>201</v>
      </c>
      <c r="D281" s="38">
        <v>2</v>
      </c>
      <c r="E281" s="81" t="s">
        <v>202</v>
      </c>
      <c r="F281">
        <v>602255</v>
      </c>
      <c r="G281" s="81" t="s">
        <v>203</v>
      </c>
      <c r="H281" s="81" t="s">
        <v>25</v>
      </c>
      <c r="I281" s="3">
        <v>1</v>
      </c>
      <c r="J281" s="3"/>
      <c r="K281" s="26">
        <v>1</v>
      </c>
      <c r="L281" s="2">
        <v>47890</v>
      </c>
      <c r="M281" s="2">
        <v>47890</v>
      </c>
      <c r="N281" s="2">
        <v>47890</v>
      </c>
      <c r="O281" s="2">
        <v>47889.5</v>
      </c>
      <c r="P281" s="2">
        <v>-0.5</v>
      </c>
      <c r="Q281" s="2">
        <v>-0.5</v>
      </c>
      <c r="R281" s="4">
        <v>-1.0440702032804683E-5</v>
      </c>
      <c r="T281">
        <v>305654</v>
      </c>
      <c r="U281" s="2">
        <v>47890</v>
      </c>
      <c r="V281">
        <v>5655</v>
      </c>
      <c r="W281" s="2">
        <v>6579000000</v>
      </c>
      <c r="X281" s="6">
        <v>47889.5</v>
      </c>
      <c r="Y281" s="38">
        <v>10010</v>
      </c>
      <c r="Z281" s="86">
        <f>+((DETALLE_GD_1[[#This Row],[VALOR X UN (GD)]]-DETALLE_GD_1[[#This Row],[VALOR PPTO]])/DETALLE_GD_1[[#This Row],[VALOR PPTO]])</f>
        <v>1.0440702032804685E-5</v>
      </c>
      <c r="AA281" s="2">
        <f>+DETALLE_GD_1[[#This Row],[VALOR PPTO]]*DETALLE_GD_1[[#This Row],[CANTIDAD RECIBIDA]]</f>
        <v>47889.5</v>
      </c>
      <c r="AB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1" s="3">
        <f>+DETALLE_GD_1[[#This Row],[CANTIDAD SOLICITADA]]-DETALLE_GD_1[[#This Row],[DEVOLUCIÓN]]</f>
        <v>1</v>
      </c>
      <c r="AD281" s="38">
        <f>+_xlfn.XLOOKUP(DETALLE_GD_1[[#This Row],[CODIGO]],PRODUCTOS[CODIGO],PRODUCTOS[DESC CORTA],"",0)</f>
        <v>0</v>
      </c>
      <c r="AE281"/>
      <c r="AH281"/>
    </row>
    <row r="282" spans="1:34" x14ac:dyDescent="0.25">
      <c r="A282" s="1">
        <v>46063</v>
      </c>
      <c r="B282" s="1">
        <v>46063</v>
      </c>
      <c r="C282" s="81" t="s">
        <v>15</v>
      </c>
      <c r="D282" s="38">
        <v>2</v>
      </c>
      <c r="E282" s="81" t="s">
        <v>379</v>
      </c>
      <c r="F282">
        <v>302046</v>
      </c>
      <c r="G282" s="81" t="s">
        <v>115</v>
      </c>
      <c r="H282" s="81" t="s">
        <v>20</v>
      </c>
      <c r="I282" s="3">
        <v>504</v>
      </c>
      <c r="J282" s="3"/>
      <c r="K282" s="26">
        <v>504</v>
      </c>
      <c r="L282" s="2">
        <v>10905.4226</v>
      </c>
      <c r="M282" s="2">
        <v>5496333</v>
      </c>
      <c r="N282" s="2">
        <v>5496333</v>
      </c>
      <c r="O282" s="2">
        <v>10156.5985</v>
      </c>
      <c r="P282" s="2">
        <v>-748.82420000000002</v>
      </c>
      <c r="Q282" s="2">
        <v>-377407.3726</v>
      </c>
      <c r="R282" s="4">
        <v>-7.372784840127683E-2</v>
      </c>
      <c r="T282">
        <v>305911</v>
      </c>
      <c r="U282" s="2">
        <v>5496333</v>
      </c>
      <c r="V282">
        <v>5655</v>
      </c>
      <c r="W282" s="2">
        <v>6579000000</v>
      </c>
      <c r="X282" s="6">
        <v>5118925.6273680013</v>
      </c>
      <c r="Y282" s="38">
        <v>10010</v>
      </c>
      <c r="Z282" s="86">
        <f>+((DETALLE_GD_1[[#This Row],[VALOR X UN (GD)]]-DETALLE_GD_1[[#This Row],[VALOR PPTO]])/DETALLE_GD_1[[#This Row],[VALOR PPTO]])</f>
        <v>7.3727843037213664E-2</v>
      </c>
      <c r="AA282" s="2">
        <f>+DETALLE_GD_1[[#This Row],[VALOR PPTO]]*DETALLE_GD_1[[#This Row],[CANTIDAD RECIBIDA]]</f>
        <v>5118925.6440000003</v>
      </c>
      <c r="AB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82" s="3">
        <f>+DETALLE_GD_1[[#This Row],[CANTIDAD SOLICITADA]]-DETALLE_GD_1[[#This Row],[DEVOLUCIÓN]]</f>
        <v>504</v>
      </c>
      <c r="AD282" s="38" t="str">
        <f>+_xlfn.XLOOKUP(DETALLE_GD_1[[#This Row],[CODIGO]],PRODUCTOS[CODIGO],PRODUCTOS[DESC CORTA],"",0)</f>
        <v>PINO 2X6X400</v>
      </c>
      <c r="AE282"/>
      <c r="AH282"/>
    </row>
    <row r="283" spans="1:34" x14ac:dyDescent="0.25">
      <c r="A283" s="1">
        <v>46063</v>
      </c>
      <c r="B283" s="1">
        <v>46063</v>
      </c>
      <c r="C283" s="81" t="s">
        <v>169</v>
      </c>
      <c r="D283" s="38">
        <v>2</v>
      </c>
      <c r="E283" s="81" t="s">
        <v>384</v>
      </c>
      <c r="F283">
        <v>701096</v>
      </c>
      <c r="G283" s="81" t="s">
        <v>204</v>
      </c>
      <c r="H283" s="81" t="s">
        <v>18</v>
      </c>
      <c r="I283" s="3">
        <v>70</v>
      </c>
      <c r="J283" s="3"/>
      <c r="K283" s="26">
        <v>70</v>
      </c>
      <c r="L283" s="2">
        <v>15890.9429</v>
      </c>
      <c r="M283" s="2">
        <v>1112366</v>
      </c>
      <c r="N283" s="2">
        <v>1112366</v>
      </c>
      <c r="O283" s="2">
        <v>16019.885700000001</v>
      </c>
      <c r="P283" s="2">
        <v>128.94280000000001</v>
      </c>
      <c r="Q283" s="2">
        <v>9025.9979999999996</v>
      </c>
      <c r="R283" s="4">
        <v>8.0489230942439732E-3</v>
      </c>
      <c r="T283">
        <v>305808</v>
      </c>
      <c r="U283" s="2">
        <v>1112366</v>
      </c>
      <c r="V283">
        <v>5655</v>
      </c>
      <c r="W283" s="2">
        <v>6579000000</v>
      </c>
      <c r="X283" s="6">
        <v>1121391.9979500002</v>
      </c>
      <c r="Y283" s="38">
        <v>10010</v>
      </c>
      <c r="Z283" s="86">
        <f>+((DETALLE_GD_1[[#This Row],[VALOR X UN (GD)]]-DETALLE_GD_1[[#This Row],[VALOR PPTO]])/DETALLE_GD_1[[#This Row],[VALOR PPTO]])</f>
        <v>-8.048921347797177E-3</v>
      </c>
      <c r="AA283" s="2">
        <f>+DETALLE_GD_1[[#This Row],[VALOR PPTO]]*DETALLE_GD_1[[#This Row],[CANTIDAD RECIBIDA]]</f>
        <v>1121391.9990000001</v>
      </c>
      <c r="AB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83" s="3">
        <f>+DETALLE_GD_1[[#This Row],[CANTIDAD SOLICITADA]]-DETALLE_GD_1[[#This Row],[DEVOLUCIÓN]]</f>
        <v>70</v>
      </c>
      <c r="AD283" s="38" t="str">
        <f>+_xlfn.XLOOKUP(DETALLE_GD_1[[#This Row],[CODIGO]],PRODUCTOS[CODIGO],PRODUCTOS[DESC CORTA],"",0)</f>
        <v>VOCANITA EMPAPELADA MURO</v>
      </c>
      <c r="AE283"/>
      <c r="AH283"/>
    </row>
    <row r="284" spans="1:34" x14ac:dyDescent="0.25">
      <c r="A284" s="1">
        <v>46064</v>
      </c>
      <c r="B284" s="1">
        <v>46064</v>
      </c>
      <c r="C284" s="81" t="s">
        <v>169</v>
      </c>
      <c r="D284" s="38">
        <v>2</v>
      </c>
      <c r="E284" s="81" t="s">
        <v>384</v>
      </c>
      <c r="F284">
        <v>1901008</v>
      </c>
      <c r="G284" s="81" t="s">
        <v>278</v>
      </c>
      <c r="H284" s="81" t="s">
        <v>26</v>
      </c>
      <c r="I284" s="3">
        <v>162</v>
      </c>
      <c r="J284" s="3"/>
      <c r="K284" s="26">
        <v>162</v>
      </c>
      <c r="L284" s="2">
        <v>2039.6420000000001</v>
      </c>
      <c r="M284" s="2">
        <v>330422</v>
      </c>
      <c r="N284" s="2">
        <v>330422</v>
      </c>
      <c r="O284" s="2">
        <v>2112.7957999999999</v>
      </c>
      <c r="P284" s="2">
        <v>73.153800000000004</v>
      </c>
      <c r="Q284" s="2">
        <v>11850.9162</v>
      </c>
      <c r="R284" s="4">
        <v>3.4624171639524089E-2</v>
      </c>
      <c r="T284">
        <v>305971</v>
      </c>
      <c r="U284" s="2">
        <v>340511</v>
      </c>
      <c r="V284">
        <v>5655</v>
      </c>
      <c r="W284" s="2">
        <v>6579000000</v>
      </c>
      <c r="X284" s="6">
        <v>342272.91619800002</v>
      </c>
      <c r="Y284" s="38">
        <v>10010</v>
      </c>
      <c r="Z284" s="86">
        <f>+((DETALLE_GD_1[[#This Row],[VALOR X UN (GD)]]-DETALLE_GD_1[[#This Row],[VALOR PPTO]])/DETALLE_GD_1[[#This Row],[VALOR PPTO]])</f>
        <v>-3.4624169548235481E-2</v>
      </c>
      <c r="AA284" s="2">
        <f>+DETALLE_GD_1[[#This Row],[VALOR PPTO]]*DETALLE_GD_1[[#This Row],[CANTIDAD RECIBIDA]]</f>
        <v>342272.91959999996</v>
      </c>
      <c r="AB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84" s="3">
        <f>+DETALLE_GD_1[[#This Row],[CANTIDAD SOLICITADA]]-DETALLE_GD_1[[#This Row],[DEVOLUCIÓN]]</f>
        <v>162</v>
      </c>
      <c r="AD284" s="38" t="str">
        <f>+_xlfn.XLOOKUP(DETALLE_GD_1[[#This Row],[CODIGO]],PRODUCTOS[CODIGO],PRODUCTOS[DESC CORTA],"",0)</f>
        <v>AISLAN GLASS 90MM</v>
      </c>
      <c r="AE284"/>
      <c r="AH284"/>
    </row>
    <row r="285" spans="1:34" x14ac:dyDescent="0.25">
      <c r="A285" s="1">
        <v>46064</v>
      </c>
      <c r="B285" s="1">
        <v>46064</v>
      </c>
      <c r="C285" s="81" t="s">
        <v>169</v>
      </c>
      <c r="D285" s="38">
        <v>2</v>
      </c>
      <c r="E285" s="81" t="s">
        <v>384</v>
      </c>
      <c r="F285">
        <v>407423</v>
      </c>
      <c r="G285" s="81" t="s">
        <v>106</v>
      </c>
      <c r="H285" s="81" t="s">
        <v>31</v>
      </c>
      <c r="I285" s="3">
        <v>3000</v>
      </c>
      <c r="J285" s="3"/>
      <c r="K285" s="26">
        <v>3000</v>
      </c>
      <c r="L285" s="2">
        <v>3.363</v>
      </c>
      <c r="M285" s="2">
        <v>10089</v>
      </c>
      <c r="N285" s="2">
        <v>10089</v>
      </c>
      <c r="O285" s="2">
        <v>106.6405</v>
      </c>
      <c r="P285" s="2">
        <v>103.2775</v>
      </c>
      <c r="Q285" s="2">
        <v>309832.50599999999</v>
      </c>
      <c r="R285" s="4">
        <v>0.96846413944571086</v>
      </c>
      <c r="T285">
        <v>305971</v>
      </c>
      <c r="U285" s="2"/>
      <c r="V285">
        <v>5655</v>
      </c>
      <c r="W285" s="2">
        <v>6579000000</v>
      </c>
      <c r="X285" s="6">
        <v>319921.50595135131</v>
      </c>
      <c r="Y285" s="38">
        <v>10010</v>
      </c>
      <c r="Z285" s="86">
        <f>+((DETALLE_GD_1[[#This Row],[VALOR X UN (GD)]]-DETALLE_GD_1[[#This Row],[VALOR PPTO]])/DETALLE_GD_1[[#This Row],[VALOR PPTO]])</f>
        <v>-0.96846413885906391</v>
      </c>
      <c r="AA285" s="2">
        <f>+DETALLE_GD_1[[#This Row],[VALOR PPTO]]*DETALLE_GD_1[[#This Row],[CANTIDAD RECIBIDA]]</f>
        <v>319921.5</v>
      </c>
      <c r="AB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5" s="3">
        <f>+DETALLE_GD_1[[#This Row],[CANTIDAD SOLICITADA]]-DETALLE_GD_1[[#This Row],[DEVOLUCIÓN]]</f>
        <v>3000</v>
      </c>
      <c r="AD285" s="38" t="str">
        <f>+_xlfn.XLOOKUP(DETALLE_GD_1[[#This Row],[CODIGO]],PRODUCTOS[CODIGO],PRODUCTOS[DESC CORTA],"",0)</f>
        <v>TORNILLO CRS 6X1 5/8</v>
      </c>
      <c r="AE285"/>
      <c r="AH285"/>
    </row>
    <row r="286" spans="1:34" x14ac:dyDescent="0.25">
      <c r="A286" s="1">
        <v>46064</v>
      </c>
      <c r="B286" s="1">
        <v>46063</v>
      </c>
      <c r="C286" s="81" t="s">
        <v>169</v>
      </c>
      <c r="D286" s="38">
        <v>2</v>
      </c>
      <c r="E286" s="81" t="s">
        <v>384</v>
      </c>
      <c r="F286">
        <v>408042</v>
      </c>
      <c r="G286" s="81" t="s">
        <v>144</v>
      </c>
      <c r="H286" s="81" t="s">
        <v>36</v>
      </c>
      <c r="I286" s="3">
        <v>1</v>
      </c>
      <c r="J286" s="3"/>
      <c r="K286" s="26">
        <v>1</v>
      </c>
      <c r="L286" s="2">
        <v>35000</v>
      </c>
      <c r="M286" s="2">
        <v>35000</v>
      </c>
      <c r="N286" s="2">
        <v>35000</v>
      </c>
      <c r="O286" s="2">
        <v>35000</v>
      </c>
      <c r="P286" s="2">
        <v>0</v>
      </c>
      <c r="Q286" s="2">
        <v>0</v>
      </c>
      <c r="R286" s="4">
        <v>8.3153801304950006E-16</v>
      </c>
      <c r="T286">
        <v>305895</v>
      </c>
      <c r="U286" s="2">
        <v>2086620</v>
      </c>
      <c r="V286">
        <v>5655</v>
      </c>
      <c r="W286" s="2">
        <v>6579000000</v>
      </c>
      <c r="X286" s="6">
        <v>35000.000000000029</v>
      </c>
      <c r="Y286" s="38">
        <v>10010</v>
      </c>
      <c r="Z286" s="86">
        <f>+((DETALLE_GD_1[[#This Row],[VALOR X UN (GD)]]-DETALLE_GD_1[[#This Row],[VALOR PPTO]])/DETALLE_GD_1[[#This Row],[VALOR PPTO]])</f>
        <v>0</v>
      </c>
      <c r="AA286" s="2">
        <f>+DETALLE_GD_1[[#This Row],[VALOR PPTO]]*DETALLE_GD_1[[#This Row],[CANTIDAD RECIBIDA]]</f>
        <v>35000</v>
      </c>
      <c r="AB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6" s="3">
        <f>+DETALLE_GD_1[[#This Row],[CANTIDAD SOLICITADA]]-DETALLE_GD_1[[#This Row],[DEVOLUCIÓN]]</f>
        <v>1</v>
      </c>
      <c r="AD286" s="38" t="str">
        <f>+_xlfn.XLOOKUP(DETALLE_GD_1[[#This Row],[CODIGO]],PRODUCTOS[CODIGO],PRODUCTOS[DESC CORTA],"",0)</f>
        <v>CLAVO HELICOIDAL PROFIX</v>
      </c>
      <c r="AE286"/>
      <c r="AH286"/>
    </row>
    <row r="287" spans="1:34" x14ac:dyDescent="0.25">
      <c r="A287" s="1">
        <v>46064</v>
      </c>
      <c r="B287" s="1">
        <v>46063</v>
      </c>
      <c r="C287" s="81" t="s">
        <v>169</v>
      </c>
      <c r="D287" s="38">
        <v>2</v>
      </c>
      <c r="E287" s="81" t="s">
        <v>384</v>
      </c>
      <c r="F287">
        <v>302010</v>
      </c>
      <c r="G287" s="81" t="s">
        <v>323</v>
      </c>
      <c r="H287" s="81" t="s">
        <v>20</v>
      </c>
      <c r="I287" s="3">
        <v>420</v>
      </c>
      <c r="J287" s="3">
        <v>420</v>
      </c>
      <c r="K287" s="26">
        <v>0</v>
      </c>
      <c r="L287" s="2">
        <v>6669.6929</v>
      </c>
      <c r="M287" s="2">
        <v>2801271</v>
      </c>
      <c r="N287" s="2">
        <v>0</v>
      </c>
      <c r="O287" s="2">
        <v>6585.1337000000003</v>
      </c>
      <c r="P287" s="2">
        <v>-84.559100000000001</v>
      </c>
      <c r="Q287" s="2">
        <v>0</v>
      </c>
      <c r="R287" s="4">
        <v>-1.2840910362233691E-2</v>
      </c>
      <c r="T287">
        <v>305895</v>
      </c>
      <c r="U287" s="2"/>
      <c r="V287">
        <v>5655</v>
      </c>
      <c r="W287" s="2">
        <v>6579000000</v>
      </c>
      <c r="X287" s="6">
        <v>0</v>
      </c>
      <c r="Y287" s="38">
        <v>10010</v>
      </c>
      <c r="Z287" s="86">
        <f>+((DETALLE_GD_1[[#This Row],[VALOR X UN (GD)]]-DETALLE_GD_1[[#This Row],[VALOR PPTO]])/DETALLE_GD_1[[#This Row],[VALOR PPTO]])</f>
        <v>1.2840923791721904E-2</v>
      </c>
      <c r="AA287" s="2">
        <f>+DETALLE_GD_1[[#This Row],[VALOR PPTO]]*DETALLE_GD_1[[#This Row],[CANTIDAD RECIBIDA]]</f>
        <v>0</v>
      </c>
      <c r="AB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87" s="3">
        <f>+DETALLE_GD_1[[#This Row],[CANTIDAD SOLICITADA]]-DETALLE_GD_1[[#This Row],[DEVOLUCIÓN]]</f>
        <v>0</v>
      </c>
      <c r="AD287" s="38" t="str">
        <f>+_xlfn.XLOOKUP(DETALLE_GD_1[[#This Row],[CODIGO]],PRODUCTOS[CODIGO],PRODUCTOS[DESC CORTA],"",0)</f>
        <v>PINO 2X6X320</v>
      </c>
      <c r="AE287"/>
      <c r="AH287"/>
    </row>
    <row r="288" spans="1:34" x14ac:dyDescent="0.25">
      <c r="A288" s="1">
        <v>46064</v>
      </c>
      <c r="B288" s="1">
        <v>46063</v>
      </c>
      <c r="C288" s="81" t="s">
        <v>169</v>
      </c>
      <c r="D288" s="38">
        <v>2</v>
      </c>
      <c r="E288" s="81" t="s">
        <v>384</v>
      </c>
      <c r="F288">
        <v>5309018</v>
      </c>
      <c r="G288" s="81" t="s">
        <v>112</v>
      </c>
      <c r="H288" s="81" t="s">
        <v>113</v>
      </c>
      <c r="I288" s="3">
        <v>200</v>
      </c>
      <c r="J288" s="3"/>
      <c r="K288" s="26">
        <v>200</v>
      </c>
      <c r="L288" s="2">
        <v>700</v>
      </c>
      <c r="M288" s="2">
        <v>140000</v>
      </c>
      <c r="N288" s="2">
        <v>140000</v>
      </c>
      <c r="O288" s="2">
        <v>699.99919999999997</v>
      </c>
      <c r="P288" s="2">
        <v>-8.0000000000000004E-4</v>
      </c>
      <c r="Q288" s="2">
        <v>-0.15359999999999999</v>
      </c>
      <c r="R288" s="4">
        <v>-1.0971440602079328E-6</v>
      </c>
      <c r="T288">
        <v>305895</v>
      </c>
      <c r="U288" s="2"/>
      <c r="V288">
        <v>5655</v>
      </c>
      <c r="W288" s="2">
        <v>6579000000</v>
      </c>
      <c r="X288" s="6">
        <v>139999.8464000001</v>
      </c>
      <c r="Y288" s="38">
        <v>10010</v>
      </c>
      <c r="Z288" s="86">
        <f>+((DETALLE_GD_1[[#This Row],[VALOR X UN (GD)]]-DETALLE_GD_1[[#This Row],[VALOR PPTO]])/DETALLE_GD_1[[#This Row],[VALOR PPTO]])</f>
        <v>1.1428584490190236E-6</v>
      </c>
      <c r="AA288" s="2">
        <f>+DETALLE_GD_1[[#This Row],[VALOR PPTO]]*DETALLE_GD_1[[#This Row],[CANTIDAD RECIBIDA]]</f>
        <v>139999.84</v>
      </c>
      <c r="AB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8" s="3">
        <f>+DETALLE_GD_1[[#This Row],[CANTIDAD SOLICITADA]]-DETALLE_GD_1[[#This Row],[DEVOLUCIÓN]]</f>
        <v>200</v>
      </c>
      <c r="AD288" s="38">
        <f>+_xlfn.XLOOKUP(DETALLE_GD_1[[#This Row],[CODIGO]],PRODUCTOS[CODIGO],PRODUCTOS[DESC CORTA],"",0)</f>
        <v>0</v>
      </c>
      <c r="AE288"/>
      <c r="AH288"/>
    </row>
    <row r="289" spans="1:34" x14ac:dyDescent="0.25">
      <c r="A289" s="1">
        <v>46064</v>
      </c>
      <c r="B289" s="1">
        <v>46063</v>
      </c>
      <c r="C289" s="81" t="s">
        <v>169</v>
      </c>
      <c r="D289" s="38">
        <v>2</v>
      </c>
      <c r="E289" s="81" t="s">
        <v>384</v>
      </c>
      <c r="F289">
        <v>407011</v>
      </c>
      <c r="G289" s="81" t="s">
        <v>30</v>
      </c>
      <c r="H289" s="81" t="s">
        <v>31</v>
      </c>
      <c r="I289" s="3">
        <v>500</v>
      </c>
      <c r="J289" s="3"/>
      <c r="K289" s="26">
        <v>500</v>
      </c>
      <c r="L289" s="2">
        <v>473.17599999999999</v>
      </c>
      <c r="M289" s="2">
        <v>236588</v>
      </c>
      <c r="N289" s="2">
        <v>236588</v>
      </c>
      <c r="O289" s="2">
        <v>473.17520000000002</v>
      </c>
      <c r="P289" s="2">
        <v>-8.0000000000000004E-4</v>
      </c>
      <c r="Q289" s="2">
        <v>-0.38</v>
      </c>
      <c r="R289" s="4">
        <v>-1.6061702638343971E-6</v>
      </c>
      <c r="T289">
        <v>305895</v>
      </c>
      <c r="U289" s="2"/>
      <c r="V289">
        <v>5655</v>
      </c>
      <c r="W289" s="2">
        <v>6579000000</v>
      </c>
      <c r="X289" s="6">
        <v>236587.61999999997</v>
      </c>
      <c r="Y289" s="38">
        <v>10010</v>
      </c>
      <c r="Z289" s="86">
        <f>+((DETALLE_GD_1[[#This Row],[VALOR X UN (GD)]]-DETALLE_GD_1[[#This Row],[VALOR PPTO]])/DETALLE_GD_1[[#This Row],[VALOR PPTO]])</f>
        <v>1.6907056835812905E-6</v>
      </c>
      <c r="AA289" s="2">
        <f>+DETALLE_GD_1[[#This Row],[VALOR PPTO]]*DETALLE_GD_1[[#This Row],[CANTIDAD RECIBIDA]]</f>
        <v>236587.6</v>
      </c>
      <c r="AB2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89" s="3">
        <f>+DETALLE_GD_1[[#This Row],[CANTIDAD SOLICITADA]]-DETALLE_GD_1[[#This Row],[DEVOLUCIÓN]]</f>
        <v>500</v>
      </c>
      <c r="AD289" s="38" t="str">
        <f>+_xlfn.XLOOKUP(DETALLE_GD_1[[#This Row],[CODIGO]],PRODUCTOS[CODIGO],PRODUCTOS[DESC CORTA],"",0)</f>
        <v>TORNILLO SIMPSON 6"</v>
      </c>
      <c r="AE289"/>
      <c r="AH289"/>
    </row>
    <row r="290" spans="1:34" x14ac:dyDescent="0.25">
      <c r="A290" s="1">
        <v>46064</v>
      </c>
      <c r="B290" s="1">
        <v>46063</v>
      </c>
      <c r="C290" s="81" t="s">
        <v>169</v>
      </c>
      <c r="D290" s="38">
        <v>2</v>
      </c>
      <c r="E290" s="81" t="s">
        <v>384</v>
      </c>
      <c r="F290">
        <v>407307</v>
      </c>
      <c r="G290" s="81" t="s">
        <v>163</v>
      </c>
      <c r="H290" s="81" t="s">
        <v>31</v>
      </c>
      <c r="I290" s="3">
        <v>300</v>
      </c>
      <c r="J290" s="3"/>
      <c r="K290" s="26">
        <v>300</v>
      </c>
      <c r="L290" s="2">
        <v>80.223299999999995</v>
      </c>
      <c r="M290" s="2">
        <v>24067</v>
      </c>
      <c r="N290" s="2">
        <v>24067</v>
      </c>
      <c r="O290" s="2">
        <v>69.472800000000007</v>
      </c>
      <c r="P290" s="2">
        <v>-10.7506</v>
      </c>
      <c r="Q290" s="2">
        <v>-3225.1675</v>
      </c>
      <c r="R290" s="4">
        <v>-0.15474491026640769</v>
      </c>
      <c r="T290">
        <v>305895</v>
      </c>
      <c r="U290" s="2"/>
      <c r="V290">
        <v>5655</v>
      </c>
      <c r="W290" s="2">
        <v>6579000000</v>
      </c>
      <c r="X290" s="6">
        <v>20841.8325</v>
      </c>
      <c r="Y290" s="38">
        <v>10010</v>
      </c>
      <c r="Z290" s="86">
        <f>+((DETALLE_GD_1[[#This Row],[VALOR X UN (GD)]]-DETALLE_GD_1[[#This Row],[VALOR PPTO]])/DETALLE_GD_1[[#This Row],[VALOR PPTO]])</f>
        <v>0.15474401492382611</v>
      </c>
      <c r="AA290" s="2">
        <f>+DETALLE_GD_1[[#This Row],[VALOR PPTO]]*DETALLE_GD_1[[#This Row],[CANTIDAD RECIBIDA]]</f>
        <v>20841.840000000004</v>
      </c>
      <c r="AB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0" s="3">
        <f>+DETALLE_GD_1[[#This Row],[CANTIDAD SOLICITADA]]-DETALLE_GD_1[[#This Row],[DEVOLUCIÓN]]</f>
        <v>300</v>
      </c>
      <c r="AD290" s="38">
        <f>+_xlfn.XLOOKUP(DETALLE_GD_1[[#This Row],[CODIGO]],PRODUCTOS[CODIGO],PRODUCTOS[DESC CORTA],"",0)</f>
        <v>0</v>
      </c>
      <c r="AE290"/>
      <c r="AH290"/>
    </row>
    <row r="291" spans="1:34" x14ac:dyDescent="0.25">
      <c r="A291" s="1">
        <v>46064</v>
      </c>
      <c r="B291" s="1">
        <v>46063</v>
      </c>
      <c r="C291" s="81" t="s">
        <v>169</v>
      </c>
      <c r="D291" s="38">
        <v>2</v>
      </c>
      <c r="E291" s="81" t="s">
        <v>384</v>
      </c>
      <c r="F291">
        <v>407010</v>
      </c>
      <c r="G291" s="81" t="s">
        <v>164</v>
      </c>
      <c r="H291" s="81" t="s">
        <v>31</v>
      </c>
      <c r="I291" s="3">
        <v>300</v>
      </c>
      <c r="J291" s="3"/>
      <c r="K291" s="26">
        <v>300</v>
      </c>
      <c r="L291" s="2">
        <v>12.83</v>
      </c>
      <c r="M291" s="2">
        <v>3849</v>
      </c>
      <c r="N291" s="2">
        <v>3849</v>
      </c>
      <c r="O291" s="2">
        <v>11.501300000000001</v>
      </c>
      <c r="P291" s="2">
        <v>-1.3287</v>
      </c>
      <c r="Q291" s="2">
        <v>-398.62200000000001</v>
      </c>
      <c r="R291" s="4">
        <v>-0.115529950631496</v>
      </c>
      <c r="T291">
        <v>305895</v>
      </c>
      <c r="U291" s="2"/>
      <c r="V291">
        <v>5655</v>
      </c>
      <c r="W291" s="2">
        <v>6579000000</v>
      </c>
      <c r="X291" s="6">
        <v>3450.3780000000002</v>
      </c>
      <c r="Y291" s="38">
        <v>10010</v>
      </c>
      <c r="Z291" s="86">
        <f>+((DETALLE_GD_1[[#This Row],[VALOR X UN (GD)]]-DETALLE_GD_1[[#This Row],[VALOR PPTO]])/DETALLE_GD_1[[#This Row],[VALOR PPTO]])</f>
        <v>0.11552607096589076</v>
      </c>
      <c r="AA291" s="2">
        <f>+DETALLE_GD_1[[#This Row],[VALOR PPTO]]*DETALLE_GD_1[[#This Row],[CANTIDAD RECIBIDA]]</f>
        <v>3450.3900000000003</v>
      </c>
      <c r="AB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1" s="3">
        <f>+DETALLE_GD_1[[#This Row],[CANTIDAD SOLICITADA]]-DETALLE_GD_1[[#This Row],[DEVOLUCIÓN]]</f>
        <v>300</v>
      </c>
      <c r="AD291" s="38">
        <f>+_xlfn.XLOOKUP(DETALLE_GD_1[[#This Row],[CODIGO]],PRODUCTOS[CODIGO],PRODUCTOS[DESC CORTA],"",0)</f>
        <v>0</v>
      </c>
      <c r="AE291"/>
      <c r="AH291"/>
    </row>
    <row r="292" spans="1:34" x14ac:dyDescent="0.25">
      <c r="A292" s="1">
        <v>46064</v>
      </c>
      <c r="B292" s="1">
        <v>46063</v>
      </c>
      <c r="C292" s="81" t="s">
        <v>169</v>
      </c>
      <c r="D292" s="38">
        <v>2</v>
      </c>
      <c r="E292" s="81" t="s">
        <v>384</v>
      </c>
      <c r="F292">
        <v>302044</v>
      </c>
      <c r="G292" s="81" t="s">
        <v>247</v>
      </c>
      <c r="H292" s="81" t="s">
        <v>20</v>
      </c>
      <c r="I292" s="3">
        <v>120</v>
      </c>
      <c r="J292" s="3"/>
      <c r="K292" s="26">
        <v>120</v>
      </c>
      <c r="L292" s="2">
        <v>13725.966700000001</v>
      </c>
      <c r="M292" s="2">
        <v>1647116</v>
      </c>
      <c r="N292" s="2">
        <v>1647116</v>
      </c>
      <c r="O292" s="2">
        <v>13725.9625</v>
      </c>
      <c r="P292" s="2">
        <v>-4.1000000000000003E-3</v>
      </c>
      <c r="Q292" s="2">
        <v>-0.49590000000000001</v>
      </c>
      <c r="R292" s="4">
        <v>-3.0108392447395923E-7</v>
      </c>
      <c r="T292">
        <v>305895</v>
      </c>
      <c r="U292" s="2"/>
      <c r="V292">
        <v>5655</v>
      </c>
      <c r="W292" s="2">
        <v>6579000000</v>
      </c>
      <c r="X292" s="6">
        <v>1647115.5040800001</v>
      </c>
      <c r="Y292" s="38">
        <v>10010</v>
      </c>
      <c r="Z292" s="86">
        <f>+((DETALLE_GD_1[[#This Row],[VALOR X UN (GD)]]-DETALLE_GD_1[[#This Row],[VALOR PPTO]])/DETALLE_GD_1[[#This Row],[VALOR PPTO]])</f>
        <v>3.059894707725925E-7</v>
      </c>
      <c r="AA292" s="2">
        <f>+DETALLE_GD_1[[#This Row],[VALOR PPTO]]*DETALLE_GD_1[[#This Row],[CANTIDAD RECIBIDA]]</f>
        <v>1647115.5</v>
      </c>
      <c r="AB2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92" s="3">
        <f>+DETALLE_GD_1[[#This Row],[CANTIDAD SOLICITADA]]-DETALLE_GD_1[[#This Row],[DEVOLUCIÓN]]</f>
        <v>120</v>
      </c>
      <c r="AD292" s="38" t="str">
        <f>+_xlfn.XLOOKUP(DETALLE_GD_1[[#This Row],[CODIGO]],PRODUCTOS[CODIGO],PRODUCTOS[DESC CORTA],"",0)</f>
        <v>PINO 2X8X4</v>
      </c>
      <c r="AE292"/>
      <c r="AH292"/>
    </row>
    <row r="293" spans="1:34" x14ac:dyDescent="0.25">
      <c r="A293" s="1">
        <v>46062</v>
      </c>
      <c r="B293" s="1">
        <v>46062</v>
      </c>
      <c r="C293" s="81" t="s">
        <v>381</v>
      </c>
      <c r="D293" s="38">
        <v>2</v>
      </c>
      <c r="E293" s="81" t="s">
        <v>205</v>
      </c>
      <c r="F293">
        <v>302010</v>
      </c>
      <c r="G293" s="81" t="s">
        <v>323</v>
      </c>
      <c r="H293" s="81" t="s">
        <v>20</v>
      </c>
      <c r="I293" s="3">
        <v>420</v>
      </c>
      <c r="J293" s="3"/>
      <c r="K293" s="26">
        <v>420</v>
      </c>
      <c r="L293" s="2">
        <v>6669.6929</v>
      </c>
      <c r="M293" s="2">
        <v>2801271</v>
      </c>
      <c r="N293" s="2">
        <v>2801271</v>
      </c>
      <c r="O293" s="2">
        <v>6585.1337000000003</v>
      </c>
      <c r="P293" s="2">
        <v>-84.559100000000001</v>
      </c>
      <c r="Q293" s="2">
        <v>-35514.827100000002</v>
      </c>
      <c r="R293" s="4">
        <v>-1.2840910362233691E-2</v>
      </c>
      <c r="T293">
        <v>305763</v>
      </c>
      <c r="U293" s="2">
        <v>7936278</v>
      </c>
      <c r="V293">
        <v>5655</v>
      </c>
      <c r="W293" s="2">
        <v>6579000000</v>
      </c>
      <c r="X293" s="6">
        <v>2765756.1728999964</v>
      </c>
      <c r="Y293" s="38">
        <v>10010</v>
      </c>
      <c r="Z293" s="86">
        <f>+((DETALLE_GD_1[[#This Row],[VALOR X UN (GD)]]-DETALLE_GD_1[[#This Row],[VALOR PPTO]])/DETALLE_GD_1[[#This Row],[VALOR PPTO]])</f>
        <v>1.2840923791721904E-2</v>
      </c>
      <c r="AA293" s="2">
        <f>+DETALLE_GD_1[[#This Row],[VALOR PPTO]]*DETALLE_GD_1[[#This Row],[CANTIDAD RECIBIDA]]</f>
        <v>2765756.1540000001</v>
      </c>
      <c r="AB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93" s="3">
        <f>+DETALLE_GD_1[[#This Row],[CANTIDAD SOLICITADA]]-DETALLE_GD_1[[#This Row],[DEVOLUCIÓN]]</f>
        <v>420</v>
      </c>
      <c r="AD293" s="38" t="str">
        <f>+_xlfn.XLOOKUP(DETALLE_GD_1[[#This Row],[CODIGO]],PRODUCTOS[CODIGO],PRODUCTOS[DESC CORTA],"",0)</f>
        <v>PINO 2X6X320</v>
      </c>
      <c r="AE293"/>
      <c r="AH293"/>
    </row>
    <row r="294" spans="1:34" x14ac:dyDescent="0.25">
      <c r="A294" s="1">
        <v>46062</v>
      </c>
      <c r="B294" s="1">
        <v>46062</v>
      </c>
      <c r="C294" s="81" t="s">
        <v>381</v>
      </c>
      <c r="D294" s="38">
        <v>2</v>
      </c>
      <c r="E294" s="81" t="s">
        <v>205</v>
      </c>
      <c r="F294">
        <v>302028</v>
      </c>
      <c r="G294" s="81" t="s">
        <v>246</v>
      </c>
      <c r="H294" s="81" t="s">
        <v>20</v>
      </c>
      <c r="I294" s="3">
        <v>648</v>
      </c>
      <c r="J294" s="3"/>
      <c r="K294" s="26">
        <v>648</v>
      </c>
      <c r="L294" s="2">
        <v>5258.1404000000002</v>
      </c>
      <c r="M294" s="2">
        <v>3407275</v>
      </c>
      <c r="N294" s="2">
        <v>3407275</v>
      </c>
      <c r="O294" s="2">
        <v>5123.8024999999998</v>
      </c>
      <c r="P294" s="2">
        <v>-134.33789999999999</v>
      </c>
      <c r="Q294" s="2">
        <v>-87050.962499999994</v>
      </c>
      <c r="R294" s="4">
        <v>-2.6218400180504097E-2</v>
      </c>
      <c r="T294">
        <v>305763</v>
      </c>
      <c r="U294" s="2"/>
      <c r="V294">
        <v>5655</v>
      </c>
      <c r="W294" s="2">
        <v>6579000000</v>
      </c>
      <c r="X294" s="6">
        <v>3320224.037496001</v>
      </c>
      <c r="Y294" s="38">
        <v>10010</v>
      </c>
      <c r="Z294" s="86">
        <f>+((DETALLE_GD_1[[#This Row],[VALOR X UN (GD)]]-DETALLE_GD_1[[#This Row],[VALOR PPTO]])/DETALLE_GD_1[[#This Row],[VALOR PPTO]])</f>
        <v>2.6218399323549347E-2</v>
      </c>
      <c r="AA294" s="2">
        <f>+DETALLE_GD_1[[#This Row],[VALOR PPTO]]*DETALLE_GD_1[[#This Row],[CANTIDAD RECIBIDA]]</f>
        <v>3320224.02</v>
      </c>
      <c r="AB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94" s="3">
        <f>+DETALLE_GD_1[[#This Row],[CANTIDAD SOLICITADA]]-DETALLE_GD_1[[#This Row],[DEVOLUCIÓN]]</f>
        <v>648</v>
      </c>
      <c r="AD294" s="38" t="str">
        <f>+_xlfn.XLOOKUP(DETALLE_GD_1[[#This Row],[CODIGO]],PRODUCTOS[CODIGO],PRODUCTOS[DESC CORTA],"",0)</f>
        <v>PINO 2X4X320</v>
      </c>
      <c r="AE294"/>
      <c r="AH294"/>
    </row>
    <row r="295" spans="1:34" x14ac:dyDescent="0.25">
      <c r="A295" s="1">
        <v>46062</v>
      </c>
      <c r="B295" s="1">
        <v>46062</v>
      </c>
      <c r="C295" s="81" t="s">
        <v>381</v>
      </c>
      <c r="D295" s="38">
        <v>2</v>
      </c>
      <c r="E295" s="81" t="s">
        <v>205</v>
      </c>
      <c r="F295" t="s">
        <v>206</v>
      </c>
      <c r="G295" s="81" t="s">
        <v>207</v>
      </c>
      <c r="H295" s="81" t="s">
        <v>36</v>
      </c>
      <c r="I295" s="3">
        <v>1</v>
      </c>
      <c r="J295" s="3"/>
      <c r="K295" s="26">
        <v>1</v>
      </c>
      <c r="L295" s="2">
        <v>41452</v>
      </c>
      <c r="M295" s="2">
        <v>41452</v>
      </c>
      <c r="N295" s="2">
        <v>41452</v>
      </c>
      <c r="O295" s="2">
        <v>41451.848700000002</v>
      </c>
      <c r="P295" s="2">
        <v>-0.15129999999999999</v>
      </c>
      <c r="Q295" s="2">
        <v>-0.15129999999999999</v>
      </c>
      <c r="R295" s="4">
        <v>-3.6490772933066615E-6</v>
      </c>
      <c r="T295">
        <v>305763</v>
      </c>
      <c r="U295" s="2"/>
      <c r="V295">
        <v>5655</v>
      </c>
      <c r="W295" s="2">
        <v>6579000000</v>
      </c>
      <c r="X295" s="6">
        <v>41451.848739000001</v>
      </c>
      <c r="Y295" s="38">
        <v>10010</v>
      </c>
      <c r="Z295" s="86">
        <f>+((DETALLE_GD_1[[#This Row],[VALOR X UN (GD)]]-DETALLE_GD_1[[#This Row],[VALOR PPTO]])/DETALLE_GD_1[[#This Row],[VALOR PPTO]])</f>
        <v>3.6500181473864699E-6</v>
      </c>
      <c r="AA295" s="2">
        <f>+DETALLE_GD_1[[#This Row],[VALOR PPTO]]*DETALLE_GD_1[[#This Row],[CANTIDAD RECIBIDA]]</f>
        <v>41451.848700000002</v>
      </c>
      <c r="AB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5" s="3">
        <f>+DETALLE_GD_1[[#This Row],[CANTIDAD SOLICITADA]]-DETALLE_GD_1[[#This Row],[DEVOLUCIÓN]]</f>
        <v>1</v>
      </c>
      <c r="AD295" s="38">
        <f>+_xlfn.XLOOKUP(DETALLE_GD_1[[#This Row],[CODIGO]],PRODUCTOS[CODIGO],PRODUCTOS[DESC CORTA],"",0)</f>
        <v>0</v>
      </c>
      <c r="AE295"/>
      <c r="AH295"/>
    </row>
    <row r="296" spans="1:34" x14ac:dyDescent="0.25">
      <c r="A296" s="1">
        <v>46062</v>
      </c>
      <c r="B296" s="1">
        <v>46062</v>
      </c>
      <c r="C296" s="81" t="s">
        <v>176</v>
      </c>
      <c r="D296" s="38">
        <v>2</v>
      </c>
      <c r="E296" s="81" t="s">
        <v>208</v>
      </c>
      <c r="F296">
        <v>304014</v>
      </c>
      <c r="G296" s="81" t="s">
        <v>23</v>
      </c>
      <c r="H296" s="81" t="s">
        <v>18</v>
      </c>
      <c r="I296" s="3">
        <v>65</v>
      </c>
      <c r="J296" s="3"/>
      <c r="K296" s="26">
        <v>65</v>
      </c>
      <c r="L296" s="2">
        <v>20807.046200000001</v>
      </c>
      <c r="M296" s="2">
        <v>1352458</v>
      </c>
      <c r="N296" s="2">
        <v>1352458</v>
      </c>
      <c r="O296" s="2">
        <v>20894.5723</v>
      </c>
      <c r="P296" s="2">
        <v>87.5261</v>
      </c>
      <c r="Q296" s="2">
        <v>5689.1985000000004</v>
      </c>
      <c r="R296" s="4">
        <v>4.1889410302348865E-3</v>
      </c>
      <c r="T296">
        <v>305763</v>
      </c>
      <c r="U296" s="2"/>
      <c r="V296">
        <v>5655</v>
      </c>
      <c r="W296" s="2">
        <v>6579000000</v>
      </c>
      <c r="X296" s="6">
        <v>1358147.1985249999</v>
      </c>
      <c r="Y296" s="38">
        <v>10010</v>
      </c>
      <c r="Z296" s="86">
        <f>+((DETALLE_GD_1[[#This Row],[VALOR X UN (GD)]]-DETALLE_GD_1[[#This Row],[VALOR PPTO]])/DETALLE_GD_1[[#This Row],[VALOR PPTO]])</f>
        <v>-4.1889395362258329E-3</v>
      </c>
      <c r="AA296" s="2">
        <f>+DETALLE_GD_1[[#This Row],[VALOR PPTO]]*DETALLE_GD_1[[#This Row],[CANTIDAD RECIBIDA]]</f>
        <v>1358147.1995000001</v>
      </c>
      <c r="AB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6" s="3">
        <f>+DETALLE_GD_1[[#This Row],[CANTIDAD SOLICITADA]]-DETALLE_GD_1[[#This Row],[DEVOLUCIÓN]]</f>
        <v>65</v>
      </c>
      <c r="AD296" s="38">
        <f>+_xlfn.XLOOKUP(DETALLE_GD_1[[#This Row],[CODIGO]],PRODUCTOS[CODIGO],PRODUCTOS[DESC CORTA],"",0)</f>
        <v>0</v>
      </c>
      <c r="AE296"/>
      <c r="AH296"/>
    </row>
    <row r="297" spans="1:34" x14ac:dyDescent="0.25">
      <c r="A297" s="1">
        <v>46062</v>
      </c>
      <c r="B297" s="1">
        <v>46062</v>
      </c>
      <c r="C297" s="81" t="s">
        <v>169</v>
      </c>
      <c r="D297" s="38">
        <v>2</v>
      </c>
      <c r="E297" s="81" t="s">
        <v>205</v>
      </c>
      <c r="F297">
        <v>1901008</v>
      </c>
      <c r="G297" s="81" t="s">
        <v>278</v>
      </c>
      <c r="H297" s="81" t="s">
        <v>26</v>
      </c>
      <c r="I297" s="3">
        <v>162</v>
      </c>
      <c r="J297" s="3"/>
      <c r="K297" s="26">
        <v>162</v>
      </c>
      <c r="L297" s="2">
        <v>2060.6296000000002</v>
      </c>
      <c r="M297" s="2">
        <v>333822</v>
      </c>
      <c r="N297" s="2">
        <v>333822</v>
      </c>
      <c r="O297" s="2">
        <v>2112.7957999999999</v>
      </c>
      <c r="P297" s="2">
        <v>52.1661</v>
      </c>
      <c r="Q297" s="2">
        <v>8450.9161999999997</v>
      </c>
      <c r="R297" s="4">
        <v>2.4690578185015615E-2</v>
      </c>
      <c r="T297">
        <v>305763</v>
      </c>
      <c r="U297" s="2"/>
      <c r="V297">
        <v>5655</v>
      </c>
      <c r="W297" s="2">
        <v>6579000000</v>
      </c>
      <c r="X297" s="6">
        <v>342272.91619800002</v>
      </c>
      <c r="Y297" s="38">
        <v>10010</v>
      </c>
      <c r="Z297" s="86">
        <f>+((DETALLE_GD_1[[#This Row],[VALOR X UN (GD)]]-DETALLE_GD_1[[#This Row],[VALOR PPTO]])/DETALLE_GD_1[[#This Row],[VALOR PPTO]])</f>
        <v>-2.469060190293812E-2</v>
      </c>
      <c r="AA297" s="2">
        <f>+DETALLE_GD_1[[#This Row],[VALOR PPTO]]*DETALLE_GD_1[[#This Row],[CANTIDAD RECIBIDA]]</f>
        <v>342272.91959999996</v>
      </c>
      <c r="AB2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97" s="3">
        <f>+DETALLE_GD_1[[#This Row],[CANTIDAD SOLICITADA]]-DETALLE_GD_1[[#This Row],[DEVOLUCIÓN]]</f>
        <v>162</v>
      </c>
      <c r="AD297" s="38" t="str">
        <f>+_xlfn.XLOOKUP(DETALLE_GD_1[[#This Row],[CODIGO]],PRODUCTOS[CODIGO],PRODUCTOS[DESC CORTA],"",0)</f>
        <v>AISLAN GLASS 90MM</v>
      </c>
      <c r="AE297"/>
      <c r="AH297"/>
    </row>
    <row r="298" spans="1:34" x14ac:dyDescent="0.25">
      <c r="A298" s="1">
        <v>46057</v>
      </c>
      <c r="B298" s="1">
        <v>45989</v>
      </c>
      <c r="C298" s="81" t="s">
        <v>15</v>
      </c>
      <c r="D298" s="38">
        <v>11</v>
      </c>
      <c r="E298" s="81" t="s">
        <v>379</v>
      </c>
      <c r="F298">
        <v>617057</v>
      </c>
      <c r="G298" s="81" t="s">
        <v>134</v>
      </c>
      <c r="H298" s="81" t="s">
        <v>31</v>
      </c>
      <c r="I298" s="3">
        <v>3</v>
      </c>
      <c r="J298" s="3"/>
      <c r="K298" s="26">
        <v>3</v>
      </c>
      <c r="L298" s="2">
        <v>2042</v>
      </c>
      <c r="M298" s="2">
        <v>6126</v>
      </c>
      <c r="N298" s="2">
        <v>6126</v>
      </c>
      <c r="O298" s="2">
        <v>2042.1197</v>
      </c>
      <c r="P298" s="2">
        <v>0.1197</v>
      </c>
      <c r="Q298" s="2">
        <v>0.35909999999999997</v>
      </c>
      <c r="R298" s="4">
        <v>5.8618502944876345E-5</v>
      </c>
      <c r="T298">
        <v>305325</v>
      </c>
      <c r="U298" s="2">
        <v>360896</v>
      </c>
      <c r="V298">
        <v>5655</v>
      </c>
      <c r="W298" s="2">
        <v>6579000000</v>
      </c>
      <c r="X298" s="6">
        <v>6126.3591180000003</v>
      </c>
      <c r="Y298" s="38">
        <v>10010</v>
      </c>
      <c r="Z298" s="86">
        <f>+((DETALLE_GD_1[[#This Row],[VALOR X UN (GD)]]-DETALLE_GD_1[[#This Row],[VALOR PPTO]])/DETALLE_GD_1[[#This Row],[VALOR PPTO]])</f>
        <v>-5.8615564993553597E-5</v>
      </c>
      <c r="AA298" s="2">
        <f>+DETALLE_GD_1[[#This Row],[VALOR PPTO]]*DETALLE_GD_1[[#This Row],[CANTIDAD RECIBIDA]]</f>
        <v>6126.3590999999997</v>
      </c>
      <c r="AB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8" s="3">
        <f>+DETALLE_GD_1[[#This Row],[CANTIDAD SOLICITADA]]-DETALLE_GD_1[[#This Row],[DEVOLUCIÓN]]</f>
        <v>3</v>
      </c>
      <c r="AD298" s="38" t="str">
        <f>+_xlfn.XLOOKUP(DETALLE_GD_1[[#This Row],[CODIGO]],PRODUCTOS[CODIGO],PRODUCTOS[DESC CORTA],"",0)</f>
        <v>BROCHA 5/8 X4</v>
      </c>
      <c r="AE298"/>
      <c r="AH298"/>
    </row>
    <row r="299" spans="1:34" x14ac:dyDescent="0.25">
      <c r="A299" s="1">
        <v>46057</v>
      </c>
      <c r="B299" s="1">
        <v>45989</v>
      </c>
      <c r="C299" s="81" t="s">
        <v>15</v>
      </c>
      <c r="D299" s="38">
        <v>11</v>
      </c>
      <c r="E299" s="81" t="s">
        <v>379</v>
      </c>
      <c r="F299">
        <v>304014</v>
      </c>
      <c r="G299" s="81" t="s">
        <v>23</v>
      </c>
      <c r="H299" s="81" t="s">
        <v>18</v>
      </c>
      <c r="I299" s="3">
        <v>10</v>
      </c>
      <c r="J299" s="3"/>
      <c r="K299" s="26">
        <v>10</v>
      </c>
      <c r="L299" s="2">
        <v>20851</v>
      </c>
      <c r="M299" s="2">
        <v>208510</v>
      </c>
      <c r="N299" s="2">
        <v>208510</v>
      </c>
      <c r="O299" s="2">
        <v>20894.5723</v>
      </c>
      <c r="P299" s="2">
        <v>43.572299999999998</v>
      </c>
      <c r="Q299" s="2">
        <v>435.72280000000001</v>
      </c>
      <c r="R299" s="4">
        <v>2.0853398866306767E-3</v>
      </c>
      <c r="T299">
        <v>305325</v>
      </c>
      <c r="U299" s="2"/>
      <c r="V299">
        <v>5655</v>
      </c>
      <c r="W299" s="2">
        <v>6579000000</v>
      </c>
      <c r="X299" s="6">
        <v>208945.72284999999</v>
      </c>
      <c r="Y299" s="38">
        <v>10010</v>
      </c>
      <c r="Z299" s="86">
        <f>+((DETALLE_GD_1[[#This Row],[VALOR X UN (GD)]]-DETALLE_GD_1[[#This Row],[VALOR PPTO]])/DETALLE_GD_1[[#This Row],[VALOR PPTO]])</f>
        <v>-2.0853406030234855E-3</v>
      </c>
      <c r="AA299" s="2">
        <f>+DETALLE_GD_1[[#This Row],[VALOR PPTO]]*DETALLE_GD_1[[#This Row],[CANTIDAD RECIBIDA]]</f>
        <v>208945.723</v>
      </c>
      <c r="AB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9" s="3">
        <f>+DETALLE_GD_1[[#This Row],[CANTIDAD SOLICITADA]]-DETALLE_GD_1[[#This Row],[DEVOLUCIÓN]]</f>
        <v>10</v>
      </c>
      <c r="AD299" s="38">
        <f>+_xlfn.XLOOKUP(DETALLE_GD_1[[#This Row],[CODIGO]],PRODUCTOS[CODIGO],PRODUCTOS[DESC CORTA],"",0)</f>
        <v>0</v>
      </c>
      <c r="AE299"/>
      <c r="AH299"/>
    </row>
    <row r="300" spans="1:34" x14ac:dyDescent="0.25">
      <c r="A300" s="1">
        <v>46057</v>
      </c>
      <c r="B300" s="1">
        <v>45989</v>
      </c>
      <c r="C300" s="81" t="s">
        <v>15</v>
      </c>
      <c r="D300" s="38">
        <v>11</v>
      </c>
      <c r="E300" s="81" t="s">
        <v>379</v>
      </c>
      <c r="F300">
        <v>701043</v>
      </c>
      <c r="G300" s="81" t="s">
        <v>197</v>
      </c>
      <c r="H300" s="81" t="s">
        <v>18</v>
      </c>
      <c r="I300" s="3">
        <v>3</v>
      </c>
      <c r="J300" s="3"/>
      <c r="K300" s="26">
        <v>3</v>
      </c>
      <c r="L300" s="2">
        <v>22146.333299999998</v>
      </c>
      <c r="M300" s="2">
        <v>66439</v>
      </c>
      <c r="N300" s="2">
        <v>66439</v>
      </c>
      <c r="O300" s="2">
        <v>22146.362799999999</v>
      </c>
      <c r="P300" s="2">
        <v>2.9399999999999999E-2</v>
      </c>
      <c r="Q300" s="2">
        <v>8.8300000000000003E-2</v>
      </c>
      <c r="R300" s="4">
        <v>1.3292777225479102E-6</v>
      </c>
      <c r="T300">
        <v>305325</v>
      </c>
      <c r="U300" s="2"/>
      <c r="V300">
        <v>5655</v>
      </c>
      <c r="W300" s="2">
        <v>6579000000</v>
      </c>
      <c r="X300" s="6">
        <v>66439.088316000008</v>
      </c>
      <c r="Y300" s="38">
        <v>10010</v>
      </c>
      <c r="Z300" s="86">
        <f>+((DETALLE_GD_1[[#This Row],[VALOR X UN (GD)]]-DETALLE_GD_1[[#This Row],[VALOR PPTO]])/DETALLE_GD_1[[#This Row],[VALOR PPTO]])</f>
        <v>-1.3320471748323826E-6</v>
      </c>
      <c r="AA300" s="2">
        <f>+DETALLE_GD_1[[#This Row],[VALOR PPTO]]*DETALLE_GD_1[[#This Row],[CANTIDAD RECIBIDA]]</f>
        <v>66439.088399999993</v>
      </c>
      <c r="AB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00" s="3">
        <f>+DETALLE_GD_1[[#This Row],[CANTIDAD SOLICITADA]]-DETALLE_GD_1[[#This Row],[DEVOLUCIÓN]]</f>
        <v>3</v>
      </c>
      <c r="AD300" s="38" t="str">
        <f>+_xlfn.XLOOKUP(DETALLE_GD_1[[#This Row],[CODIGO]],PRODUCTOS[CODIGO],PRODUCTOS[DESC CORTA],"",0)</f>
        <v>VOLCANITA EMPAPELADA CIELO</v>
      </c>
      <c r="AE300"/>
      <c r="AH300"/>
    </row>
    <row r="301" spans="1:34" x14ac:dyDescent="0.25">
      <c r="A301" s="1">
        <v>46057</v>
      </c>
      <c r="B301" s="1">
        <v>45989</v>
      </c>
      <c r="C301" s="81" t="s">
        <v>15</v>
      </c>
      <c r="D301" s="38">
        <v>11</v>
      </c>
      <c r="E301" s="81" t="s">
        <v>379</v>
      </c>
      <c r="F301">
        <v>704079</v>
      </c>
      <c r="G301" s="81" t="s">
        <v>209</v>
      </c>
      <c r="H301" s="81" t="s">
        <v>47</v>
      </c>
      <c r="I301" s="3">
        <v>2</v>
      </c>
      <c r="J301" s="3"/>
      <c r="K301" s="26">
        <v>2</v>
      </c>
      <c r="L301" s="2">
        <v>744.5</v>
      </c>
      <c r="M301" s="2">
        <v>1489</v>
      </c>
      <c r="N301" s="2">
        <v>1489</v>
      </c>
      <c r="O301" s="2">
        <v>755.70489999999995</v>
      </c>
      <c r="P301" s="2">
        <v>11.2049</v>
      </c>
      <c r="Q301" s="2">
        <v>22.409800000000001</v>
      </c>
      <c r="R301" s="4">
        <v>1.4827060492643472E-2</v>
      </c>
      <c r="T301">
        <v>305325</v>
      </c>
      <c r="U301" s="2"/>
      <c r="V301">
        <v>5655</v>
      </c>
      <c r="W301" s="2">
        <v>6579000000</v>
      </c>
      <c r="X301" s="6">
        <v>1511.409764</v>
      </c>
      <c r="Y301" s="38">
        <v>10010</v>
      </c>
      <c r="Z301" s="86">
        <f>+((DETALLE_GD_1[[#This Row],[VALOR X UN (GD)]]-DETALLE_GD_1[[#This Row],[VALOR PPTO]])/DETALLE_GD_1[[#This Row],[VALOR PPTO]])</f>
        <v>-1.4827083958301651E-2</v>
      </c>
      <c r="AA301" s="2">
        <f>+DETALLE_GD_1[[#This Row],[VALOR PPTO]]*DETALLE_GD_1[[#This Row],[CANTIDAD RECIBIDA]]</f>
        <v>1511.4097999999999</v>
      </c>
      <c r="AB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1" s="3">
        <f>+DETALLE_GD_1[[#This Row],[CANTIDAD SOLICITADA]]-DETALLE_GD_1[[#This Row],[DEVOLUCIÓN]]</f>
        <v>2</v>
      </c>
      <c r="AD301" s="38">
        <f>+_xlfn.XLOOKUP(DETALLE_GD_1[[#This Row],[CODIGO]],PRODUCTOS[CODIGO],PRODUCTOS[DESC CORTA],"",0)</f>
        <v>0</v>
      </c>
      <c r="AE301"/>
      <c r="AH301"/>
    </row>
    <row r="302" spans="1:34" x14ac:dyDescent="0.25">
      <c r="A302" s="1">
        <v>46057</v>
      </c>
      <c r="B302" s="1">
        <v>45989</v>
      </c>
      <c r="C302" s="81" t="s">
        <v>15</v>
      </c>
      <c r="D302" s="38">
        <v>11</v>
      </c>
      <c r="E302" s="81" t="s">
        <v>379</v>
      </c>
      <c r="F302">
        <v>609007</v>
      </c>
      <c r="G302" s="81" t="s">
        <v>210</v>
      </c>
      <c r="H302" s="81" t="s">
        <v>211</v>
      </c>
      <c r="I302" s="3">
        <v>1</v>
      </c>
      <c r="J302" s="3"/>
      <c r="K302" s="26">
        <v>1</v>
      </c>
      <c r="L302" s="2">
        <v>8165</v>
      </c>
      <c r="M302" s="2">
        <v>8165</v>
      </c>
      <c r="N302" s="2">
        <v>8165</v>
      </c>
      <c r="O302" s="2">
        <v>8164.9821000000002</v>
      </c>
      <c r="P302" s="2">
        <v>-1.7899999999999999E-2</v>
      </c>
      <c r="Q302" s="2">
        <v>-1.7899999999999999E-2</v>
      </c>
      <c r="R302" s="4">
        <v>-2.1870225417615723E-6</v>
      </c>
      <c r="T302">
        <v>305325</v>
      </c>
      <c r="U302" s="2"/>
      <c r="V302">
        <v>5655</v>
      </c>
      <c r="W302" s="2">
        <v>6579000000</v>
      </c>
      <c r="X302" s="6">
        <v>8164.9821430000002</v>
      </c>
      <c r="Y302" s="38">
        <v>10010</v>
      </c>
      <c r="Z302" s="86">
        <f>+((DETALLE_GD_1[[#This Row],[VALOR X UN (GD)]]-DETALLE_GD_1[[#This Row],[VALOR PPTO]])/DETALLE_GD_1[[#This Row],[VALOR PPTO]])</f>
        <v>2.1922889457194073E-6</v>
      </c>
      <c r="AA302" s="2">
        <f>+DETALLE_GD_1[[#This Row],[VALOR PPTO]]*DETALLE_GD_1[[#This Row],[CANTIDAD RECIBIDA]]</f>
        <v>8164.9821000000002</v>
      </c>
      <c r="AB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2" s="3">
        <f>+DETALLE_GD_1[[#This Row],[CANTIDAD SOLICITADA]]-DETALLE_GD_1[[#This Row],[DEVOLUCIÓN]]</f>
        <v>1</v>
      </c>
      <c r="AD302" s="38">
        <f>+_xlfn.XLOOKUP(DETALLE_GD_1[[#This Row],[CODIGO]],PRODUCTOS[CODIGO],PRODUCTOS[DESC CORTA],"",0)</f>
        <v>0</v>
      </c>
      <c r="AE302"/>
      <c r="AH302"/>
    </row>
    <row r="303" spans="1:34" x14ac:dyDescent="0.25">
      <c r="A303" s="1">
        <v>46057</v>
      </c>
      <c r="B303" s="1">
        <v>45989</v>
      </c>
      <c r="C303" s="81" t="s">
        <v>15</v>
      </c>
      <c r="D303" s="38">
        <v>11</v>
      </c>
      <c r="E303" s="81" t="s">
        <v>379</v>
      </c>
      <c r="F303">
        <v>2304002</v>
      </c>
      <c r="G303" s="81" t="s">
        <v>212</v>
      </c>
      <c r="H303" s="81" t="s">
        <v>31</v>
      </c>
      <c r="I303" s="3">
        <v>12</v>
      </c>
      <c r="J303" s="3"/>
      <c r="K303" s="26">
        <v>12</v>
      </c>
      <c r="L303" s="2">
        <v>1376.5</v>
      </c>
      <c r="M303" s="2">
        <v>16518</v>
      </c>
      <c r="N303" s="2">
        <v>16518</v>
      </c>
      <c r="O303" s="2">
        <v>1376.4717000000001</v>
      </c>
      <c r="P303" s="2">
        <v>-2.8299999999999999E-2</v>
      </c>
      <c r="Q303" s="2">
        <v>-0.33929999999999999</v>
      </c>
      <c r="R303" s="4">
        <v>-2.0542376212302997E-5</v>
      </c>
      <c r="T303">
        <v>305325</v>
      </c>
      <c r="U303" s="2"/>
      <c r="V303">
        <v>5655</v>
      </c>
      <c r="W303" s="2">
        <v>6579000000</v>
      </c>
      <c r="X303" s="6">
        <v>16517.660688</v>
      </c>
      <c r="Y303" s="38">
        <v>10010</v>
      </c>
      <c r="Z303" s="86">
        <f>+((DETALLE_GD_1[[#This Row],[VALOR X UN (GD)]]-DETALLE_GD_1[[#This Row],[VALOR PPTO]])/DETALLE_GD_1[[#This Row],[VALOR PPTO]])</f>
        <v>2.0559812453786519E-5</v>
      </c>
      <c r="AA303" s="2">
        <f>+DETALLE_GD_1[[#This Row],[VALOR PPTO]]*DETALLE_GD_1[[#This Row],[CANTIDAD RECIBIDA]]</f>
        <v>16517.660400000001</v>
      </c>
      <c r="AB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3" s="3">
        <f>+DETALLE_GD_1[[#This Row],[CANTIDAD SOLICITADA]]-DETALLE_GD_1[[#This Row],[DEVOLUCIÓN]]</f>
        <v>12</v>
      </c>
      <c r="AD303" s="38">
        <f>+_xlfn.XLOOKUP(DETALLE_GD_1[[#This Row],[CODIGO]],PRODUCTOS[CODIGO],PRODUCTOS[DESC CORTA],"",0)</f>
        <v>0</v>
      </c>
      <c r="AE303"/>
      <c r="AH303"/>
    </row>
    <row r="304" spans="1:34" x14ac:dyDescent="0.25">
      <c r="A304" s="1">
        <v>46057</v>
      </c>
      <c r="B304" s="1">
        <v>45989</v>
      </c>
      <c r="C304" s="81" t="s">
        <v>15</v>
      </c>
      <c r="D304" s="38">
        <v>11</v>
      </c>
      <c r="E304" s="81" t="s">
        <v>379</v>
      </c>
      <c r="F304">
        <v>307030</v>
      </c>
      <c r="G304" s="81" t="s">
        <v>64</v>
      </c>
      <c r="H304" s="81" t="s">
        <v>31</v>
      </c>
      <c r="I304" s="3">
        <v>10</v>
      </c>
      <c r="J304" s="3"/>
      <c r="K304" s="26">
        <v>10</v>
      </c>
      <c r="L304" s="2">
        <v>2730</v>
      </c>
      <c r="M304" s="2">
        <v>27300</v>
      </c>
      <c r="N304" s="2">
        <v>27300</v>
      </c>
      <c r="O304" s="2">
        <v>2729.9989</v>
      </c>
      <c r="P304" s="2">
        <v>-1.1000000000000001E-3</v>
      </c>
      <c r="Q304" s="2">
        <v>-1.14E-2</v>
      </c>
      <c r="R304" s="4">
        <v>-4.190477945900508E-7</v>
      </c>
      <c r="T304">
        <v>305325</v>
      </c>
      <c r="U304" s="2"/>
      <c r="V304">
        <v>5655</v>
      </c>
      <c r="W304" s="2">
        <v>6579000000</v>
      </c>
      <c r="X304" s="6">
        <v>27299.988560000002</v>
      </c>
      <c r="Y304" s="38">
        <v>10010</v>
      </c>
      <c r="Z304" s="86">
        <f>+((DETALLE_GD_1[[#This Row],[VALOR X UN (GD)]]-DETALLE_GD_1[[#This Row],[VALOR PPTO]])/DETALLE_GD_1[[#This Row],[VALOR PPTO]])</f>
        <v>4.0293056526552117E-7</v>
      </c>
      <c r="AA304" s="2">
        <f>+DETALLE_GD_1[[#This Row],[VALOR PPTO]]*DETALLE_GD_1[[#This Row],[CANTIDAD RECIBIDA]]</f>
        <v>27299.989000000001</v>
      </c>
      <c r="AB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4" s="3">
        <f>+DETALLE_GD_1[[#This Row],[CANTIDAD SOLICITADA]]-DETALLE_GD_1[[#This Row],[DEVOLUCIÓN]]</f>
        <v>10</v>
      </c>
      <c r="AD304" s="38" t="str">
        <f>+_xlfn.XLOOKUP(DETALLE_GD_1[[#This Row],[CODIGO]],PRODUCTOS[CODIGO],PRODUCTOS[DESC CORTA],"",0)</f>
        <v>GUARDAPOLVO BLANCO</v>
      </c>
      <c r="AE304"/>
      <c r="AH304"/>
    </row>
    <row r="305" spans="1:34" x14ac:dyDescent="0.25">
      <c r="A305" s="1">
        <v>46057</v>
      </c>
      <c r="B305" s="1">
        <v>45989</v>
      </c>
      <c r="C305" s="81" t="s">
        <v>15</v>
      </c>
      <c r="D305" s="38">
        <v>11</v>
      </c>
      <c r="E305" s="81" t="s">
        <v>379</v>
      </c>
      <c r="F305">
        <v>1405026</v>
      </c>
      <c r="G305" s="81" t="s">
        <v>91</v>
      </c>
      <c r="H305" s="81" t="s">
        <v>90</v>
      </c>
      <c r="I305" s="3">
        <v>1</v>
      </c>
      <c r="J305" s="3"/>
      <c r="K305" s="26">
        <v>1</v>
      </c>
      <c r="L305" s="2">
        <v>18849</v>
      </c>
      <c r="M305" s="2">
        <v>18849</v>
      </c>
      <c r="N305" s="2">
        <v>18849</v>
      </c>
      <c r="O305" s="2">
        <v>18880.599999999999</v>
      </c>
      <c r="P305" s="2">
        <v>31.6</v>
      </c>
      <c r="Q305" s="2">
        <v>31.6</v>
      </c>
      <c r="R305" s="4">
        <v>1.6736756247152393E-3</v>
      </c>
      <c r="T305">
        <v>305325</v>
      </c>
      <c r="U305" s="2"/>
      <c r="V305">
        <v>5655</v>
      </c>
      <c r="W305" s="2">
        <v>6579000000</v>
      </c>
      <c r="X305" s="6">
        <v>18880.599999999999</v>
      </c>
      <c r="Y305" s="38">
        <v>10010</v>
      </c>
      <c r="Z305" s="86">
        <f>+((DETALLE_GD_1[[#This Row],[VALOR X UN (GD)]]-DETALLE_GD_1[[#This Row],[VALOR PPTO]])/DETALLE_GD_1[[#This Row],[VALOR PPTO]])</f>
        <v>-1.6736756247152393E-3</v>
      </c>
      <c r="AA305" s="2">
        <f>+DETALLE_GD_1[[#This Row],[VALOR PPTO]]*DETALLE_GD_1[[#This Row],[CANTIDAD RECIBIDA]]</f>
        <v>18880.599999999999</v>
      </c>
      <c r="AB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5" s="3">
        <f>+DETALLE_GD_1[[#This Row],[CANTIDAD SOLICITADA]]-DETALLE_GD_1[[#This Row],[DEVOLUCIÓN]]</f>
        <v>1</v>
      </c>
      <c r="AD305" s="38" t="str">
        <f>+_xlfn.XLOOKUP(DETALLE_GD_1[[#This Row],[CODIGO]],PRODUCTOS[CODIGO],PRODUCTOS[DESC CORTA],"",0)</f>
        <v>CERRADURA ACCESO 1 MANILLA</v>
      </c>
      <c r="AE305"/>
      <c r="AH305"/>
    </row>
    <row r="306" spans="1:34" x14ac:dyDescent="0.25">
      <c r="A306" s="1">
        <v>46057</v>
      </c>
      <c r="B306" s="1">
        <v>45989</v>
      </c>
      <c r="C306" s="81" t="s">
        <v>15</v>
      </c>
      <c r="D306" s="38">
        <v>11</v>
      </c>
      <c r="E306" s="81" t="s">
        <v>379</v>
      </c>
      <c r="F306">
        <v>704095</v>
      </c>
      <c r="G306" s="81" t="s">
        <v>187</v>
      </c>
      <c r="H306" s="81" t="s">
        <v>31</v>
      </c>
      <c r="I306" s="3">
        <v>30</v>
      </c>
      <c r="J306" s="3"/>
      <c r="K306" s="26">
        <v>30</v>
      </c>
      <c r="L306" s="2">
        <v>250</v>
      </c>
      <c r="M306" s="2">
        <v>7500</v>
      </c>
      <c r="N306" s="2">
        <v>7500</v>
      </c>
      <c r="O306" s="2">
        <v>250.00120000000001</v>
      </c>
      <c r="P306" s="2">
        <v>1.1999999999999999E-3</v>
      </c>
      <c r="Q306" s="2">
        <v>3.56E-2</v>
      </c>
      <c r="R306" s="4">
        <v>4.7519774186564645E-6</v>
      </c>
      <c r="T306">
        <v>305325</v>
      </c>
      <c r="U306" s="2"/>
      <c r="V306">
        <v>5655</v>
      </c>
      <c r="W306" s="2">
        <v>6579000000</v>
      </c>
      <c r="X306" s="6">
        <v>7500.0356400000001</v>
      </c>
      <c r="Y306" s="38">
        <v>10010</v>
      </c>
      <c r="Z306" s="86">
        <f>+((DETALLE_GD_1[[#This Row],[VALOR X UN (GD)]]-DETALLE_GD_1[[#This Row],[VALOR PPTO]])/DETALLE_GD_1[[#This Row],[VALOR PPTO]])</f>
        <v>-4.799976960156248E-6</v>
      </c>
      <c r="AA306" s="2">
        <f>+DETALLE_GD_1[[#This Row],[VALOR PPTO]]*DETALLE_GD_1[[#This Row],[CANTIDAD RECIBIDA]]</f>
        <v>7500.0360000000001</v>
      </c>
      <c r="AB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6" s="3">
        <f>+DETALLE_GD_1[[#This Row],[CANTIDAD SOLICITADA]]-DETALLE_GD_1[[#This Row],[DEVOLUCIÓN]]</f>
        <v>30</v>
      </c>
      <c r="AD306" s="38">
        <f>+_xlfn.XLOOKUP(DETALLE_GD_1[[#This Row],[CODIGO]],PRODUCTOS[CODIGO],PRODUCTOS[DESC CORTA],"",0)</f>
        <v>0</v>
      </c>
      <c r="AE306"/>
      <c r="AH306"/>
    </row>
    <row r="307" spans="1:34" x14ac:dyDescent="0.25">
      <c r="A307" s="1">
        <v>46062</v>
      </c>
      <c r="B307" s="1">
        <v>46062</v>
      </c>
      <c r="C307" s="81" t="s">
        <v>201</v>
      </c>
      <c r="D307" s="38">
        <v>2</v>
      </c>
      <c r="E307" s="81" t="s">
        <v>202</v>
      </c>
      <c r="F307">
        <v>617016</v>
      </c>
      <c r="G307" s="81" t="s">
        <v>133</v>
      </c>
      <c r="H307" s="81" t="s">
        <v>31</v>
      </c>
      <c r="I307" s="3">
        <v>2</v>
      </c>
      <c r="J307" s="3"/>
      <c r="K307" s="26">
        <v>2</v>
      </c>
      <c r="L307" s="2">
        <v>2857.5</v>
      </c>
      <c r="M307" s="2">
        <v>5715</v>
      </c>
      <c r="N307" s="2">
        <v>5715</v>
      </c>
      <c r="O307" s="2">
        <v>2857.5133000000001</v>
      </c>
      <c r="P307" s="2">
        <v>1.3299999999999999E-2</v>
      </c>
      <c r="Q307" s="2">
        <v>2.6499999999999999E-2</v>
      </c>
      <c r="R307" s="4">
        <v>4.6452977561602401E-6</v>
      </c>
      <c r="T307">
        <v>305617</v>
      </c>
      <c r="U307" s="2">
        <v>11589</v>
      </c>
      <c r="V307">
        <v>5655</v>
      </c>
      <c r="W307" s="2">
        <v>6579000000</v>
      </c>
      <c r="X307" s="6">
        <v>5715.0265479999998</v>
      </c>
      <c r="Y307" s="38">
        <v>10010</v>
      </c>
      <c r="Z307" s="86">
        <f>+((DETALLE_GD_1[[#This Row],[VALOR X UN (GD)]]-DETALLE_GD_1[[#This Row],[VALOR PPTO]])/DETALLE_GD_1[[#This Row],[VALOR PPTO]])</f>
        <v>-4.6543965342425642E-6</v>
      </c>
      <c r="AA307" s="2">
        <f>+DETALLE_GD_1[[#This Row],[VALOR PPTO]]*DETALLE_GD_1[[#This Row],[CANTIDAD RECIBIDA]]</f>
        <v>5715.0266000000001</v>
      </c>
      <c r="AB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7" s="3">
        <f>+DETALLE_GD_1[[#This Row],[CANTIDAD SOLICITADA]]-DETALLE_GD_1[[#This Row],[DEVOLUCIÓN]]</f>
        <v>2</v>
      </c>
      <c r="AD307" s="38" t="str">
        <f>+_xlfn.XLOOKUP(DETALLE_GD_1[[#This Row],[CODIGO]],PRODUCTOS[CODIGO],PRODUCTOS[DESC CORTA],"",0)</f>
        <v>RODILLO CHIPORRO</v>
      </c>
      <c r="AE307"/>
      <c r="AH307"/>
    </row>
    <row r="308" spans="1:34" x14ac:dyDescent="0.25">
      <c r="A308" s="1">
        <v>46062</v>
      </c>
      <c r="B308" s="1">
        <v>46062</v>
      </c>
      <c r="C308" s="81" t="s">
        <v>201</v>
      </c>
      <c r="D308" s="38">
        <v>2</v>
      </c>
      <c r="E308" s="81" t="s">
        <v>202</v>
      </c>
      <c r="F308">
        <v>617057</v>
      </c>
      <c r="G308" s="81" t="s">
        <v>134</v>
      </c>
      <c r="H308" s="81" t="s">
        <v>31</v>
      </c>
      <c r="I308" s="3">
        <v>1</v>
      </c>
      <c r="J308" s="3"/>
      <c r="K308" s="26">
        <v>1</v>
      </c>
      <c r="L308" s="2">
        <v>2042</v>
      </c>
      <c r="M308" s="2">
        <v>2042</v>
      </c>
      <c r="N308" s="2">
        <v>2042</v>
      </c>
      <c r="O308" s="2">
        <v>2042.1197</v>
      </c>
      <c r="P308" s="2">
        <v>0.1197</v>
      </c>
      <c r="Q308" s="2">
        <v>0.1197</v>
      </c>
      <c r="R308" s="4">
        <v>5.8618502944876345E-5</v>
      </c>
      <c r="T308">
        <v>305617</v>
      </c>
      <c r="U308" s="2"/>
      <c r="V308">
        <v>5655</v>
      </c>
      <c r="W308" s="2">
        <v>6579000000</v>
      </c>
      <c r="X308" s="6">
        <v>2042.119706</v>
      </c>
      <c r="Y308" s="38">
        <v>10010</v>
      </c>
      <c r="Z308" s="86">
        <f>+((DETALLE_GD_1[[#This Row],[VALOR X UN (GD)]]-DETALLE_GD_1[[#This Row],[VALOR PPTO]])/DETALLE_GD_1[[#This Row],[VALOR PPTO]])</f>
        <v>-5.8615564993553597E-5</v>
      </c>
      <c r="AA308" s="2">
        <f>+DETALLE_GD_1[[#This Row],[VALOR PPTO]]*DETALLE_GD_1[[#This Row],[CANTIDAD RECIBIDA]]</f>
        <v>2042.1197</v>
      </c>
      <c r="AB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8" s="3">
        <f>+DETALLE_GD_1[[#This Row],[CANTIDAD SOLICITADA]]-DETALLE_GD_1[[#This Row],[DEVOLUCIÓN]]</f>
        <v>1</v>
      </c>
      <c r="AD308" s="38" t="str">
        <f>+_xlfn.XLOOKUP(DETALLE_GD_1[[#This Row],[CODIGO]],PRODUCTOS[CODIGO],PRODUCTOS[DESC CORTA],"",0)</f>
        <v>BROCHA 5/8 X4</v>
      </c>
      <c r="AE308"/>
      <c r="AH308"/>
    </row>
    <row r="309" spans="1:34" x14ac:dyDescent="0.25">
      <c r="A309" s="1">
        <v>46062</v>
      </c>
      <c r="B309" s="1">
        <v>46062</v>
      </c>
      <c r="C309" s="81" t="s">
        <v>201</v>
      </c>
      <c r="D309" s="38">
        <v>2</v>
      </c>
      <c r="E309" s="81" t="s">
        <v>202</v>
      </c>
      <c r="F309">
        <v>609008</v>
      </c>
      <c r="G309" s="81" t="s">
        <v>57</v>
      </c>
      <c r="H309" s="81" t="s">
        <v>58</v>
      </c>
      <c r="I309" s="3">
        <v>1</v>
      </c>
      <c r="J309" s="3"/>
      <c r="K309" s="26">
        <v>1</v>
      </c>
      <c r="L309" s="2">
        <v>2099</v>
      </c>
      <c r="M309" s="2">
        <v>2099</v>
      </c>
      <c r="N309" s="2">
        <v>2099</v>
      </c>
      <c r="O309" s="2">
        <v>2130.7573000000002</v>
      </c>
      <c r="P309" s="2">
        <v>31.757300000000001</v>
      </c>
      <c r="Q309" s="2">
        <v>31.757300000000001</v>
      </c>
      <c r="R309" s="4">
        <v>1.4904236090594457E-2</v>
      </c>
      <c r="T309">
        <v>305617</v>
      </c>
      <c r="U309" s="2"/>
      <c r="V309">
        <v>5655</v>
      </c>
      <c r="W309" s="2">
        <v>6579000000</v>
      </c>
      <c r="X309" s="6">
        <v>2130.75731</v>
      </c>
      <c r="Y309" s="38">
        <v>10010</v>
      </c>
      <c r="Z309" s="86">
        <f>+((DETALLE_GD_1[[#This Row],[VALOR X UN (GD)]]-DETALLE_GD_1[[#This Row],[VALOR PPTO]])/DETALLE_GD_1[[#This Row],[VALOR PPTO]])</f>
        <v>-1.4904231467375571E-2</v>
      </c>
      <c r="AA309" s="2">
        <f>+DETALLE_GD_1[[#This Row],[VALOR PPTO]]*DETALLE_GD_1[[#This Row],[CANTIDAD RECIBIDA]]</f>
        <v>2130.7573000000002</v>
      </c>
      <c r="AB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9" s="3">
        <f>+DETALLE_GD_1[[#This Row],[CANTIDAD SOLICITADA]]-DETALLE_GD_1[[#This Row],[DEVOLUCIÓN]]</f>
        <v>1</v>
      </c>
      <c r="AD309" s="38" t="str">
        <f>+_xlfn.XLOOKUP(DETALLE_GD_1[[#This Row],[CODIGO]],PRODUCTOS[CODIGO],PRODUCTOS[DESC CORTA],"",0)</f>
        <v>DUCO</v>
      </c>
      <c r="AE309"/>
      <c r="AH309"/>
    </row>
    <row r="310" spans="1:34" x14ac:dyDescent="0.25">
      <c r="A310" s="1">
        <v>46062</v>
      </c>
      <c r="B310" s="1">
        <v>46062</v>
      </c>
      <c r="C310" s="81" t="s">
        <v>201</v>
      </c>
      <c r="D310" s="38">
        <v>2</v>
      </c>
      <c r="E310" s="81" t="s">
        <v>202</v>
      </c>
      <c r="F310">
        <v>2304053</v>
      </c>
      <c r="G310" s="81" t="s">
        <v>213</v>
      </c>
      <c r="H310" s="81" t="s">
        <v>31</v>
      </c>
      <c r="I310" s="3">
        <v>2</v>
      </c>
      <c r="J310" s="3"/>
      <c r="K310" s="26">
        <v>2</v>
      </c>
      <c r="L310" s="2">
        <v>866.5</v>
      </c>
      <c r="M310" s="2">
        <v>1733</v>
      </c>
      <c r="N310" s="2">
        <v>1733</v>
      </c>
      <c r="O310" s="2">
        <v>862</v>
      </c>
      <c r="P310" s="2">
        <v>-4.5</v>
      </c>
      <c r="Q310" s="2">
        <v>-9</v>
      </c>
      <c r="R310" s="4">
        <v>-5.2204176334105399E-3</v>
      </c>
      <c r="T310">
        <v>305617</v>
      </c>
      <c r="U310" s="2"/>
      <c r="V310">
        <v>5655</v>
      </c>
      <c r="W310" s="2">
        <v>6579000000</v>
      </c>
      <c r="X310" s="6">
        <v>1724.0000000000002</v>
      </c>
      <c r="Y310" s="38">
        <v>10010</v>
      </c>
      <c r="Z310" s="86">
        <f>+((DETALLE_GD_1[[#This Row],[VALOR X UN (GD)]]-DETALLE_GD_1[[#This Row],[VALOR PPTO]])/DETALLE_GD_1[[#This Row],[VALOR PPTO]])</f>
        <v>5.2204176334106726E-3</v>
      </c>
      <c r="AA310" s="2">
        <f>+DETALLE_GD_1[[#This Row],[VALOR PPTO]]*DETALLE_GD_1[[#This Row],[CANTIDAD RECIBIDA]]</f>
        <v>1724</v>
      </c>
      <c r="AB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0" s="3">
        <f>+DETALLE_GD_1[[#This Row],[CANTIDAD SOLICITADA]]-DETALLE_GD_1[[#This Row],[DEVOLUCIÓN]]</f>
        <v>2</v>
      </c>
      <c r="AD310" s="38">
        <f>+_xlfn.XLOOKUP(DETALLE_GD_1[[#This Row],[CODIGO]],PRODUCTOS[CODIGO],PRODUCTOS[DESC CORTA],"",0)</f>
        <v>0</v>
      </c>
      <c r="AE310"/>
      <c r="AH310"/>
    </row>
    <row r="311" spans="1:34" x14ac:dyDescent="0.25">
      <c r="A311" s="1">
        <v>46062</v>
      </c>
      <c r="B311" s="1">
        <v>46062</v>
      </c>
      <c r="C311" s="81" t="s">
        <v>201</v>
      </c>
      <c r="D311" s="38">
        <v>2</v>
      </c>
      <c r="E311" s="81" t="s">
        <v>202</v>
      </c>
      <c r="F311">
        <v>602254</v>
      </c>
      <c r="G311" s="81" t="s">
        <v>214</v>
      </c>
      <c r="H311" s="81" t="s">
        <v>25</v>
      </c>
      <c r="I311" s="3">
        <v>1</v>
      </c>
      <c r="J311" s="3">
        <v>1</v>
      </c>
      <c r="K311" s="26">
        <v>0</v>
      </c>
      <c r="L311" s="2">
        <v>46060</v>
      </c>
      <c r="M311" s="2">
        <v>46060</v>
      </c>
      <c r="N311" s="2">
        <v>0</v>
      </c>
      <c r="O311" s="2">
        <v>46060</v>
      </c>
      <c r="P311" s="2">
        <v>0</v>
      </c>
      <c r="Q311" s="2">
        <v>0</v>
      </c>
      <c r="R311" s="4">
        <v>0</v>
      </c>
      <c r="T311">
        <v>305617</v>
      </c>
      <c r="U311" s="2"/>
      <c r="V311">
        <v>5655</v>
      </c>
      <c r="W311" s="2">
        <v>6579000000</v>
      </c>
      <c r="X311" s="6">
        <v>0</v>
      </c>
      <c r="Y311" s="38">
        <v>10010</v>
      </c>
      <c r="Z311" s="86">
        <f>+((DETALLE_GD_1[[#This Row],[VALOR X UN (GD)]]-DETALLE_GD_1[[#This Row],[VALOR PPTO]])/DETALLE_GD_1[[#This Row],[VALOR PPTO]])</f>
        <v>0</v>
      </c>
      <c r="AA311" s="2">
        <f>+DETALLE_GD_1[[#This Row],[VALOR PPTO]]*DETALLE_GD_1[[#This Row],[CANTIDAD RECIBIDA]]</f>
        <v>0</v>
      </c>
      <c r="AB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1" s="3">
        <f>+DETALLE_GD_1[[#This Row],[CANTIDAD SOLICITADA]]-DETALLE_GD_1[[#This Row],[DEVOLUCIÓN]]</f>
        <v>0</v>
      </c>
      <c r="AD311" s="38">
        <f>+_xlfn.XLOOKUP(DETALLE_GD_1[[#This Row],[CODIGO]],PRODUCTOS[CODIGO],PRODUCTOS[DESC CORTA],"",0)</f>
        <v>0</v>
      </c>
      <c r="AE311"/>
      <c r="AH311"/>
    </row>
    <row r="312" spans="1:34" x14ac:dyDescent="0.25">
      <c r="A312" s="1">
        <v>46066</v>
      </c>
      <c r="B312" s="1">
        <v>46066</v>
      </c>
      <c r="C312" s="81" t="s">
        <v>215</v>
      </c>
      <c r="D312" s="38">
        <v>2</v>
      </c>
      <c r="E312" s="81" t="s">
        <v>216</v>
      </c>
      <c r="F312">
        <v>302028</v>
      </c>
      <c r="G312" s="81" t="s">
        <v>246</v>
      </c>
      <c r="H312" s="81" t="s">
        <v>20</v>
      </c>
      <c r="I312" s="3">
        <v>1080</v>
      </c>
      <c r="J312" s="3"/>
      <c r="K312" s="26">
        <v>1080</v>
      </c>
      <c r="L312" s="2">
        <v>5258.1406999999999</v>
      </c>
      <c r="M312" s="2">
        <v>5678792</v>
      </c>
      <c r="N312" s="2">
        <v>5678792</v>
      </c>
      <c r="O312" s="2">
        <v>5123.8024999999998</v>
      </c>
      <c r="P312" s="2">
        <v>-134.3382</v>
      </c>
      <c r="Q312" s="2">
        <v>-145085.2708</v>
      </c>
      <c r="R312" s="4">
        <v>-2.6218460417402972E-2</v>
      </c>
      <c r="T312">
        <v>306195</v>
      </c>
      <c r="U312" s="2">
        <v>9954286</v>
      </c>
      <c r="V312">
        <v>5694</v>
      </c>
      <c r="W312" s="2">
        <v>6579000000</v>
      </c>
      <c r="X312" s="6">
        <v>5533706.7291600015</v>
      </c>
      <c r="Y312" s="38">
        <v>10010</v>
      </c>
      <c r="Z312" s="86">
        <f>+((DETALLE_GD_1[[#This Row],[VALOR X UN (GD)]]-DETALLE_GD_1[[#This Row],[VALOR PPTO]])/DETALLE_GD_1[[#This Row],[VALOR PPTO]])</f>
        <v>2.6218457873815423E-2</v>
      </c>
      <c r="AA312" s="2">
        <f>+DETALLE_GD_1[[#This Row],[VALOR PPTO]]*DETALLE_GD_1[[#This Row],[CANTIDAD RECIBIDA]]</f>
        <v>5533706.7000000002</v>
      </c>
      <c r="AB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12" s="3">
        <f>+DETALLE_GD_1[[#This Row],[CANTIDAD SOLICITADA]]-DETALLE_GD_1[[#This Row],[DEVOLUCIÓN]]</f>
        <v>1080</v>
      </c>
      <c r="AD312" s="38" t="str">
        <f>+_xlfn.XLOOKUP(DETALLE_GD_1[[#This Row],[CODIGO]],PRODUCTOS[CODIGO],PRODUCTOS[DESC CORTA],"",0)</f>
        <v>PINO 2X4X320</v>
      </c>
      <c r="AE312"/>
      <c r="AH312"/>
    </row>
    <row r="313" spans="1:34" x14ac:dyDescent="0.25">
      <c r="A313" s="1">
        <v>46066</v>
      </c>
      <c r="B313" s="1">
        <v>46066</v>
      </c>
      <c r="C313" s="81" t="s">
        <v>215</v>
      </c>
      <c r="D313" s="38">
        <v>2</v>
      </c>
      <c r="E313" s="81" t="s">
        <v>216</v>
      </c>
      <c r="F313">
        <v>701040</v>
      </c>
      <c r="G313" s="81" t="s">
        <v>19</v>
      </c>
      <c r="H313" s="81" t="s">
        <v>18</v>
      </c>
      <c r="I313" s="3">
        <v>80</v>
      </c>
      <c r="J313" s="3"/>
      <c r="K313" s="26">
        <v>80</v>
      </c>
      <c r="L313" s="2">
        <v>7744.4</v>
      </c>
      <c r="M313" s="2">
        <v>619552</v>
      </c>
      <c r="N313" s="2">
        <v>619552</v>
      </c>
      <c r="O313" s="2">
        <v>7835.7259999999997</v>
      </c>
      <c r="P313" s="2">
        <v>91.325999999999993</v>
      </c>
      <c r="Q313" s="2">
        <v>7306.0762999999997</v>
      </c>
      <c r="R313" s="4">
        <v>1.1655072489279418E-2</v>
      </c>
      <c r="T313">
        <v>306195</v>
      </c>
      <c r="U313" s="2"/>
      <c r="V313">
        <v>5694</v>
      </c>
      <c r="W313" s="2">
        <v>6579000000</v>
      </c>
      <c r="X313" s="6">
        <v>626858.07631999976</v>
      </c>
      <c r="Y313" s="38">
        <v>10010</v>
      </c>
      <c r="Z313" s="86">
        <f>+((DETALLE_GD_1[[#This Row],[VALOR X UN (GD)]]-DETALLE_GD_1[[#This Row],[VALOR PPTO]])/DETALLE_GD_1[[#This Row],[VALOR PPTO]])</f>
        <v>-1.1655078291405292E-2</v>
      </c>
      <c r="AA313" s="2">
        <f>+DETALLE_GD_1[[#This Row],[VALOR PPTO]]*DETALLE_GD_1[[#This Row],[CANTIDAD RECIBIDA]]</f>
        <v>626858.07999999996</v>
      </c>
      <c r="AB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3" s="3">
        <f>+DETALLE_GD_1[[#This Row],[CANTIDAD SOLICITADA]]-DETALLE_GD_1[[#This Row],[DEVOLUCIÓN]]</f>
        <v>80</v>
      </c>
      <c r="AD313" s="38" t="str">
        <f>+_xlfn.XLOOKUP(DETALLE_GD_1[[#This Row],[CODIGO]],PRODUCTOS[CODIGO],PRODUCTOS[DESC CORTA],"",0)</f>
        <v>VOLCANITA RF</v>
      </c>
      <c r="AE313"/>
      <c r="AH313"/>
    </row>
    <row r="314" spans="1:34" x14ac:dyDescent="0.25">
      <c r="A314" s="1">
        <v>46066</v>
      </c>
      <c r="B314" s="1">
        <v>46066</v>
      </c>
      <c r="C314" s="81" t="s">
        <v>169</v>
      </c>
      <c r="D314" s="38">
        <v>2</v>
      </c>
      <c r="E314" s="81" t="s">
        <v>169</v>
      </c>
      <c r="F314">
        <v>407185</v>
      </c>
      <c r="G314" s="81" t="s">
        <v>43</v>
      </c>
      <c r="H314" s="81" t="s">
        <v>31</v>
      </c>
      <c r="I314" s="3">
        <v>200</v>
      </c>
      <c r="J314" s="3"/>
      <c r="K314" s="26">
        <v>200</v>
      </c>
      <c r="L314" s="2">
        <v>6.88</v>
      </c>
      <c r="M314" s="2">
        <v>1376</v>
      </c>
      <c r="N314" s="2">
        <v>1376</v>
      </c>
      <c r="O314" s="2">
        <v>6.8783000000000003</v>
      </c>
      <c r="P314" s="2">
        <v>-1.6999999999999999E-3</v>
      </c>
      <c r="Q314" s="2">
        <v>-0.33600000000000002</v>
      </c>
      <c r="R314" s="4">
        <v>-2.4424568790045527E-4</v>
      </c>
      <c r="T314">
        <v>306195</v>
      </c>
      <c r="U314" s="2"/>
      <c r="V314">
        <v>5694</v>
      </c>
      <c r="W314" s="2">
        <v>6579000000</v>
      </c>
      <c r="X314" s="6">
        <v>1375.664</v>
      </c>
      <c r="Y314" s="38">
        <v>10010</v>
      </c>
      <c r="Z314" s="86">
        <f>+((DETALLE_GD_1[[#This Row],[VALOR X UN (GD)]]-DETALLE_GD_1[[#This Row],[VALOR PPTO]])/DETALLE_GD_1[[#This Row],[VALOR PPTO]])</f>
        <v>2.4715409330787995E-4</v>
      </c>
      <c r="AA314" s="2">
        <f>+DETALLE_GD_1[[#This Row],[VALOR PPTO]]*DETALLE_GD_1[[#This Row],[CANTIDAD RECIBIDA]]</f>
        <v>1375.66</v>
      </c>
      <c r="AB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4" s="3">
        <f>+DETALLE_GD_1[[#This Row],[CANTIDAD SOLICITADA]]-DETALLE_GD_1[[#This Row],[DEVOLUCIÓN]]</f>
        <v>200</v>
      </c>
      <c r="AD314" s="38">
        <f>+_xlfn.XLOOKUP(DETALLE_GD_1[[#This Row],[CODIGO]],PRODUCTOS[CODIGO],PRODUCTOS[DESC CORTA],"",0)</f>
        <v>0</v>
      </c>
      <c r="AE314"/>
      <c r="AH314"/>
    </row>
    <row r="315" spans="1:34" x14ac:dyDescent="0.25">
      <c r="A315" s="1">
        <v>46066</v>
      </c>
      <c r="B315" s="1">
        <v>46066</v>
      </c>
      <c r="C315" s="81" t="s">
        <v>215</v>
      </c>
      <c r="D315" s="38">
        <v>2</v>
      </c>
      <c r="E315" s="81" t="s">
        <v>216</v>
      </c>
      <c r="F315">
        <v>701015</v>
      </c>
      <c r="G315" s="81" t="s">
        <v>254</v>
      </c>
      <c r="H315" s="81" t="s">
        <v>18</v>
      </c>
      <c r="I315" s="3">
        <v>70</v>
      </c>
      <c r="J315" s="3"/>
      <c r="K315" s="26">
        <v>70</v>
      </c>
      <c r="L315" s="2">
        <v>9151.1286</v>
      </c>
      <c r="M315" s="2">
        <v>640579</v>
      </c>
      <c r="N315" s="2">
        <v>640579</v>
      </c>
      <c r="O315" s="2">
        <v>9151.2975000000006</v>
      </c>
      <c r="P315" s="2">
        <v>0.16889999999999999</v>
      </c>
      <c r="Q315" s="2">
        <v>11.822800000000001</v>
      </c>
      <c r="R315" s="4">
        <v>1.8456024626002928E-5</v>
      </c>
      <c r="T315">
        <v>306195</v>
      </c>
      <c r="U315" s="2"/>
      <c r="V315">
        <v>5694</v>
      </c>
      <c r="W315" s="2">
        <v>6579000000</v>
      </c>
      <c r="X315" s="6">
        <v>640590.82276000001</v>
      </c>
      <c r="Y315" s="38">
        <v>10010</v>
      </c>
      <c r="Z315" s="86">
        <f>+((DETALLE_GD_1[[#This Row],[VALOR X UN (GD)]]-DETALLE_GD_1[[#This Row],[VALOR PPTO]])/DETALLE_GD_1[[#This Row],[VALOR PPTO]])</f>
        <v>-1.8456399215584046E-5</v>
      </c>
      <c r="AA315" s="2">
        <f>+DETALLE_GD_1[[#This Row],[VALOR PPTO]]*DETALLE_GD_1[[#This Row],[CANTIDAD RECIBIDA]]</f>
        <v>640590.82500000007</v>
      </c>
      <c r="AB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5" s="3">
        <f>+DETALLE_GD_1[[#This Row],[CANTIDAD SOLICITADA]]-DETALLE_GD_1[[#This Row],[DEVOLUCIÓN]]</f>
        <v>70</v>
      </c>
      <c r="AD315" s="38" t="str">
        <f>+_xlfn.XLOOKUP(DETALLE_GD_1[[#This Row],[CODIGO]],PRODUCTOS[CODIGO],PRODUCTOS[DESC CORTA],"",0)</f>
        <v>VOLCANITA RH</v>
      </c>
      <c r="AE315"/>
      <c r="AH315"/>
    </row>
    <row r="316" spans="1:34" x14ac:dyDescent="0.25">
      <c r="A316" s="1">
        <v>46066</v>
      </c>
      <c r="B316" s="1">
        <v>46066</v>
      </c>
      <c r="C316" s="81" t="s">
        <v>215</v>
      </c>
      <c r="D316" s="38">
        <v>2</v>
      </c>
      <c r="E316" s="81" t="s">
        <v>216</v>
      </c>
      <c r="F316">
        <v>304014</v>
      </c>
      <c r="G316" s="81" t="s">
        <v>23</v>
      </c>
      <c r="H316" s="81" t="s">
        <v>18</v>
      </c>
      <c r="I316" s="3">
        <v>65</v>
      </c>
      <c r="J316" s="3"/>
      <c r="K316" s="26">
        <v>65</v>
      </c>
      <c r="L316" s="2">
        <v>20807.046200000001</v>
      </c>
      <c r="M316" s="2">
        <v>1352458</v>
      </c>
      <c r="N316" s="2">
        <v>1352458</v>
      </c>
      <c r="O316" s="2">
        <v>20894.5723</v>
      </c>
      <c r="P316" s="2">
        <v>87.5261</v>
      </c>
      <c r="Q316" s="2">
        <v>5689.1985000000004</v>
      </c>
      <c r="R316" s="4">
        <v>4.1889410302348865E-3</v>
      </c>
      <c r="T316">
        <v>306195</v>
      </c>
      <c r="U316" s="2"/>
      <c r="V316">
        <v>5694</v>
      </c>
      <c r="W316" s="2">
        <v>6579000000</v>
      </c>
      <c r="X316" s="6">
        <v>1358147.1985249999</v>
      </c>
      <c r="Y316" s="38">
        <v>10010</v>
      </c>
      <c r="Z316" s="86">
        <f>+((DETALLE_GD_1[[#This Row],[VALOR X UN (GD)]]-DETALLE_GD_1[[#This Row],[VALOR PPTO]])/DETALLE_GD_1[[#This Row],[VALOR PPTO]])</f>
        <v>-4.1889395362258329E-3</v>
      </c>
      <c r="AA316" s="2">
        <f>+DETALLE_GD_1[[#This Row],[VALOR PPTO]]*DETALLE_GD_1[[#This Row],[CANTIDAD RECIBIDA]]</f>
        <v>1358147.1995000001</v>
      </c>
      <c r="AB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6" s="3">
        <f>+DETALLE_GD_1[[#This Row],[CANTIDAD SOLICITADA]]-DETALLE_GD_1[[#This Row],[DEVOLUCIÓN]]</f>
        <v>65</v>
      </c>
      <c r="AD316" s="38">
        <f>+_xlfn.XLOOKUP(DETALLE_GD_1[[#This Row],[CODIGO]],PRODUCTOS[CODIGO],PRODUCTOS[DESC CORTA],"",0)</f>
        <v>0</v>
      </c>
      <c r="AE316"/>
      <c r="AH316"/>
    </row>
    <row r="317" spans="1:34" x14ac:dyDescent="0.25">
      <c r="A317" s="1">
        <v>46066</v>
      </c>
      <c r="B317" s="1">
        <v>46066</v>
      </c>
      <c r="C317" s="81" t="s">
        <v>215</v>
      </c>
      <c r="D317" s="38">
        <v>2</v>
      </c>
      <c r="E317" s="81" t="s">
        <v>216</v>
      </c>
      <c r="F317">
        <v>304002</v>
      </c>
      <c r="G317" s="81" t="s">
        <v>37</v>
      </c>
      <c r="H317" s="81" t="s">
        <v>18</v>
      </c>
      <c r="I317" s="3">
        <v>72</v>
      </c>
      <c r="J317" s="3"/>
      <c r="K317" s="26">
        <v>72</v>
      </c>
      <c r="L317" s="2">
        <v>21246.5</v>
      </c>
      <c r="M317" s="2">
        <v>1529748</v>
      </c>
      <c r="N317" s="2">
        <v>1529748</v>
      </c>
      <c r="O317" s="2">
        <v>21246.5072</v>
      </c>
      <c r="P317" s="2">
        <v>7.1999999999999998E-3</v>
      </c>
      <c r="Q317" s="2">
        <v>0.51500000000000001</v>
      </c>
      <c r="R317" s="4">
        <v>3.3666710253973922E-7</v>
      </c>
      <c r="T317">
        <v>306195</v>
      </c>
      <c r="U317" s="2"/>
      <c r="V317">
        <v>5694</v>
      </c>
      <c r="W317" s="2">
        <v>6579000000</v>
      </c>
      <c r="X317" s="6">
        <v>1529748.5150160005</v>
      </c>
      <c r="Y317" s="38">
        <v>10010</v>
      </c>
      <c r="Z317" s="86">
        <f>+((DETALLE_GD_1[[#This Row],[VALOR X UN (GD)]]-DETALLE_GD_1[[#This Row],[VALOR PPTO]])/DETALLE_GD_1[[#This Row],[VALOR PPTO]])</f>
        <v>-3.3887922999464314E-7</v>
      </c>
      <c r="AA317" s="2">
        <f>+DETALLE_GD_1[[#This Row],[VALOR PPTO]]*DETALLE_GD_1[[#This Row],[CANTIDAD RECIBIDA]]</f>
        <v>1529748.5183999999</v>
      </c>
      <c r="AB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17" s="3">
        <f>+DETALLE_GD_1[[#This Row],[CANTIDAD SOLICITADA]]-DETALLE_GD_1[[#This Row],[DEVOLUCIÓN]]</f>
        <v>72</v>
      </c>
      <c r="AD317" s="38" t="str">
        <f>+_xlfn.XLOOKUP(DETALLE_GD_1[[#This Row],[CODIGO]],PRODUCTOS[CODIGO],PRODUCTOS[DESC CORTA],"",0)</f>
        <v>SMARTPANEL</v>
      </c>
      <c r="AE317"/>
      <c r="AH317"/>
    </row>
    <row r="318" spans="1:34" x14ac:dyDescent="0.25">
      <c r="A318" s="1">
        <v>46066</v>
      </c>
      <c r="B318" s="1">
        <v>46066</v>
      </c>
      <c r="C318" s="81" t="s">
        <v>169</v>
      </c>
      <c r="D318" s="38">
        <v>2</v>
      </c>
      <c r="E318" s="81" t="s">
        <v>385</v>
      </c>
      <c r="F318">
        <v>602254</v>
      </c>
      <c r="G318" s="81" t="s">
        <v>214</v>
      </c>
      <c r="H318" s="81" t="s">
        <v>25</v>
      </c>
      <c r="I318" s="3">
        <v>1</v>
      </c>
      <c r="J318" s="3"/>
      <c r="K318" s="26">
        <v>1</v>
      </c>
      <c r="L318" s="2">
        <v>46060</v>
      </c>
      <c r="M318" s="2">
        <v>46060</v>
      </c>
      <c r="N318" s="2">
        <v>46060</v>
      </c>
      <c r="O318" s="2">
        <v>46060</v>
      </c>
      <c r="P318" s="2">
        <v>0</v>
      </c>
      <c r="Q318" s="2">
        <v>0</v>
      </c>
      <c r="R318" s="4">
        <v>0</v>
      </c>
      <c r="T318">
        <v>306195</v>
      </c>
      <c r="U318" s="2"/>
      <c r="V318">
        <v>5694</v>
      </c>
      <c r="W318" s="2">
        <v>6579000000</v>
      </c>
      <c r="X318" s="6">
        <v>46060</v>
      </c>
      <c r="Y318" s="38">
        <v>10010</v>
      </c>
      <c r="Z318" s="86">
        <f>+((DETALLE_GD_1[[#This Row],[VALOR X UN (GD)]]-DETALLE_GD_1[[#This Row],[VALOR PPTO]])/DETALLE_GD_1[[#This Row],[VALOR PPTO]])</f>
        <v>0</v>
      </c>
      <c r="AA318" s="2">
        <f>+DETALLE_GD_1[[#This Row],[VALOR PPTO]]*DETALLE_GD_1[[#This Row],[CANTIDAD RECIBIDA]]</f>
        <v>46060</v>
      </c>
      <c r="AB3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8" s="3">
        <f>+DETALLE_GD_1[[#This Row],[CANTIDAD SOLICITADA]]-DETALLE_GD_1[[#This Row],[DEVOLUCIÓN]]</f>
        <v>1</v>
      </c>
      <c r="AD318" s="38">
        <f>+_xlfn.XLOOKUP(DETALLE_GD_1[[#This Row],[CODIGO]],PRODUCTOS[CODIGO],PRODUCTOS[DESC CORTA],"",0)</f>
        <v>0</v>
      </c>
      <c r="AE318"/>
      <c r="AH318"/>
    </row>
    <row r="319" spans="1:34" x14ac:dyDescent="0.25">
      <c r="A319" s="1">
        <v>46066</v>
      </c>
      <c r="B319" s="1">
        <v>46066</v>
      </c>
      <c r="C319" s="81" t="s">
        <v>169</v>
      </c>
      <c r="D319" s="38">
        <v>2</v>
      </c>
      <c r="E319" s="81" t="s">
        <v>385</v>
      </c>
      <c r="F319">
        <v>412280</v>
      </c>
      <c r="G319" s="81" t="s">
        <v>40</v>
      </c>
      <c r="H319" s="81" t="s">
        <v>31</v>
      </c>
      <c r="I319" s="3">
        <v>2</v>
      </c>
      <c r="J319" s="3"/>
      <c r="K319" s="26">
        <v>2</v>
      </c>
      <c r="L319" s="2">
        <v>40003</v>
      </c>
      <c r="M319" s="2">
        <v>80006</v>
      </c>
      <c r="N319" s="2">
        <v>80006</v>
      </c>
      <c r="O319" s="2">
        <v>40002.920100000003</v>
      </c>
      <c r="P319" s="2">
        <v>-7.9899999999999999E-2</v>
      </c>
      <c r="Q319" s="2">
        <v>-0.1598</v>
      </c>
      <c r="R319" s="4">
        <v>-1.9975291757100736E-6</v>
      </c>
      <c r="T319">
        <v>306195</v>
      </c>
      <c r="U319" s="2"/>
      <c r="V319">
        <v>5694</v>
      </c>
      <c r="W319" s="2">
        <v>6579000000</v>
      </c>
      <c r="X319" s="6">
        <v>80005.840186000001</v>
      </c>
      <c r="Y319" s="38">
        <v>10010</v>
      </c>
      <c r="Z319" s="86">
        <f>+((DETALLE_GD_1[[#This Row],[VALOR X UN (GD)]]-DETALLE_GD_1[[#This Row],[VALOR PPTO]])/DETALLE_GD_1[[#This Row],[VALOR PPTO]])</f>
        <v>1.9973541880757971E-6</v>
      </c>
      <c r="AA319" s="2">
        <f>+DETALLE_GD_1[[#This Row],[VALOR PPTO]]*DETALLE_GD_1[[#This Row],[CANTIDAD RECIBIDA]]</f>
        <v>80005.840200000006</v>
      </c>
      <c r="AB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19" s="3">
        <f>+DETALLE_GD_1[[#This Row],[CANTIDAD SOLICITADA]]-DETALLE_GD_1[[#This Row],[DEVOLUCIÓN]]</f>
        <v>2</v>
      </c>
      <c r="AD319" s="38" t="str">
        <f>+_xlfn.XLOOKUP(DETALLE_GD_1[[#This Row],[CODIGO]],PRODUCTOS[CODIGO],PRODUCTOS[DESC CORTA],"",0)</f>
        <v>PB2</v>
      </c>
      <c r="AE319"/>
      <c r="AH319"/>
    </row>
    <row r="320" spans="1:34" x14ac:dyDescent="0.25">
      <c r="A320" s="1">
        <v>46066</v>
      </c>
      <c r="B320" s="1">
        <v>46066</v>
      </c>
      <c r="C320" s="81" t="s">
        <v>169</v>
      </c>
      <c r="D320" s="38">
        <v>2</v>
      </c>
      <c r="E320" s="81" t="s">
        <v>385</v>
      </c>
      <c r="F320">
        <v>617016</v>
      </c>
      <c r="G320" s="81" t="s">
        <v>133</v>
      </c>
      <c r="H320" s="81" t="s">
        <v>31</v>
      </c>
      <c r="I320" s="3">
        <v>2</v>
      </c>
      <c r="J320" s="3"/>
      <c r="K320" s="26">
        <v>2</v>
      </c>
      <c r="L320" s="2">
        <v>2857.5</v>
      </c>
      <c r="M320" s="2">
        <v>5715</v>
      </c>
      <c r="N320" s="2">
        <v>5715</v>
      </c>
      <c r="O320" s="2">
        <v>2857.5133000000001</v>
      </c>
      <c r="P320" s="2">
        <v>1.3299999999999999E-2</v>
      </c>
      <c r="Q320" s="2">
        <v>2.6499999999999999E-2</v>
      </c>
      <c r="R320" s="4">
        <v>4.6452977561602401E-6</v>
      </c>
      <c r="T320">
        <v>306195</v>
      </c>
      <c r="U320" s="2"/>
      <c r="V320">
        <v>5694</v>
      </c>
      <c r="W320" s="2">
        <v>6579000000</v>
      </c>
      <c r="X320" s="6">
        <v>5715.0265479999998</v>
      </c>
      <c r="Y320" s="38">
        <v>10010</v>
      </c>
      <c r="Z320" s="86">
        <f>+((DETALLE_GD_1[[#This Row],[VALOR X UN (GD)]]-DETALLE_GD_1[[#This Row],[VALOR PPTO]])/DETALLE_GD_1[[#This Row],[VALOR PPTO]])</f>
        <v>-4.6543965342425642E-6</v>
      </c>
      <c r="AA320" s="2">
        <f>+DETALLE_GD_1[[#This Row],[VALOR PPTO]]*DETALLE_GD_1[[#This Row],[CANTIDAD RECIBIDA]]</f>
        <v>5715.0266000000001</v>
      </c>
      <c r="AB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20" s="3">
        <f>+DETALLE_GD_1[[#This Row],[CANTIDAD SOLICITADA]]-DETALLE_GD_1[[#This Row],[DEVOLUCIÓN]]</f>
        <v>2</v>
      </c>
      <c r="AD320" s="38" t="str">
        <f>+_xlfn.XLOOKUP(DETALLE_GD_1[[#This Row],[CODIGO]],PRODUCTOS[CODIGO],PRODUCTOS[DESC CORTA],"",0)</f>
        <v>RODILLO CHIPORRO</v>
      </c>
      <c r="AE320"/>
      <c r="AH320"/>
    </row>
    <row r="321" spans="1:34" x14ac:dyDescent="0.25">
      <c r="A321" s="1">
        <v>46066</v>
      </c>
      <c r="B321" s="1">
        <v>46066</v>
      </c>
      <c r="C321" s="81" t="s">
        <v>217</v>
      </c>
      <c r="D321" s="38">
        <v>2</v>
      </c>
      <c r="E321" s="81" t="s">
        <v>218</v>
      </c>
      <c r="F321">
        <v>407011</v>
      </c>
      <c r="G321" s="81" t="s">
        <v>30</v>
      </c>
      <c r="H321" s="81" t="s">
        <v>31</v>
      </c>
      <c r="I321" s="3">
        <v>1000</v>
      </c>
      <c r="J321" s="3"/>
      <c r="K321" s="26">
        <v>1000</v>
      </c>
      <c r="L321" s="2">
        <v>473.17500000000001</v>
      </c>
      <c r="M321" s="2">
        <v>473175</v>
      </c>
      <c r="N321" s="2">
        <v>473175</v>
      </c>
      <c r="O321" s="2">
        <v>473.17520000000002</v>
      </c>
      <c r="P321" s="2">
        <v>2.0000000000000001E-4</v>
      </c>
      <c r="Q321" s="2">
        <v>0.24</v>
      </c>
      <c r="R321" s="4">
        <v>5.0721166201690746E-7</v>
      </c>
      <c r="T321">
        <v>306193</v>
      </c>
      <c r="U321" s="2">
        <v>473175</v>
      </c>
      <c r="V321">
        <v>5694</v>
      </c>
      <c r="W321" s="2">
        <v>6579000000</v>
      </c>
      <c r="X321" s="6">
        <v>473175.23999999993</v>
      </c>
      <c r="Y321" s="38">
        <v>10010</v>
      </c>
      <c r="Z321" s="86">
        <f>+((DETALLE_GD_1[[#This Row],[VALOR X UN (GD)]]-DETALLE_GD_1[[#This Row],[VALOR PPTO]])/DETALLE_GD_1[[#This Row],[VALOR PPTO]])</f>
        <v>-4.2267642092535555E-7</v>
      </c>
      <c r="AA321" s="2">
        <f>+DETALLE_GD_1[[#This Row],[VALOR PPTO]]*DETALLE_GD_1[[#This Row],[CANTIDAD RECIBIDA]]</f>
        <v>473175.2</v>
      </c>
      <c r="AB3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1" s="3">
        <f>+DETALLE_GD_1[[#This Row],[CANTIDAD SOLICITADA]]-DETALLE_GD_1[[#This Row],[DEVOLUCIÓN]]</f>
        <v>1000</v>
      </c>
      <c r="AD321" s="38" t="str">
        <f>+_xlfn.XLOOKUP(DETALLE_GD_1[[#This Row],[CODIGO]],PRODUCTOS[CODIGO],PRODUCTOS[DESC CORTA],"",0)</f>
        <v>TORNILLO SIMPSON 6"</v>
      </c>
      <c r="AE321"/>
      <c r="AH321"/>
    </row>
    <row r="322" spans="1:34" x14ac:dyDescent="0.25">
      <c r="A322" s="1">
        <v>46066</v>
      </c>
      <c r="B322" s="1">
        <v>46066</v>
      </c>
      <c r="C322" s="81" t="s">
        <v>219</v>
      </c>
      <c r="D322" s="38">
        <v>2</v>
      </c>
      <c r="E322" s="81" t="s">
        <v>384</v>
      </c>
      <c r="F322">
        <v>302046</v>
      </c>
      <c r="G322" s="81" t="s">
        <v>115</v>
      </c>
      <c r="H322" s="81" t="s">
        <v>20</v>
      </c>
      <c r="I322" s="3">
        <v>379</v>
      </c>
      <c r="J322" s="3"/>
      <c r="K322" s="26">
        <v>379</v>
      </c>
      <c r="L322" s="2">
        <v>10358.9604</v>
      </c>
      <c r="M322" s="2">
        <v>3926046</v>
      </c>
      <c r="N322" s="2">
        <v>3926046</v>
      </c>
      <c r="O322" s="2">
        <v>10156.5985</v>
      </c>
      <c r="P322" s="2">
        <v>-202.36199999999999</v>
      </c>
      <c r="Q322" s="2">
        <v>-76695.180999999997</v>
      </c>
      <c r="R322" s="4">
        <v>-1.992418582078297E-2</v>
      </c>
      <c r="T322">
        <v>306288</v>
      </c>
      <c r="U322" s="2">
        <v>22243525</v>
      </c>
      <c r="V322">
        <v>5694</v>
      </c>
      <c r="W322" s="2">
        <v>6579000000</v>
      </c>
      <c r="X322" s="6">
        <v>3849350.8189930008</v>
      </c>
      <c r="Y322" s="38">
        <v>10010</v>
      </c>
      <c r="Z322" s="86">
        <f>+((DETALLE_GD_1[[#This Row],[VALOR X UN (GD)]]-DETALLE_GD_1[[#This Row],[VALOR PPTO]])/DETALLE_GD_1[[#This Row],[VALOR PPTO]])</f>
        <v>1.9924180324741584E-2</v>
      </c>
      <c r="AA322" s="2">
        <f>+DETALLE_GD_1[[#This Row],[VALOR PPTO]]*DETALLE_GD_1[[#This Row],[CANTIDAD RECIBIDA]]</f>
        <v>3849350.8314999999</v>
      </c>
      <c r="AB3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2" s="3">
        <f>+DETALLE_GD_1[[#This Row],[CANTIDAD SOLICITADA]]-DETALLE_GD_1[[#This Row],[DEVOLUCIÓN]]</f>
        <v>379</v>
      </c>
      <c r="AD322" s="38" t="str">
        <f>+_xlfn.XLOOKUP(DETALLE_GD_1[[#This Row],[CODIGO]],PRODUCTOS[CODIGO],PRODUCTOS[DESC CORTA],"",0)</f>
        <v>PINO 2X6X400</v>
      </c>
      <c r="AE322"/>
      <c r="AH322"/>
    </row>
    <row r="323" spans="1:34" x14ac:dyDescent="0.25">
      <c r="A323" s="1">
        <v>46066</v>
      </c>
      <c r="B323" s="1">
        <v>46066</v>
      </c>
      <c r="C323" s="81" t="s">
        <v>176</v>
      </c>
      <c r="D323" s="38">
        <v>2</v>
      </c>
      <c r="E323" s="81" t="s">
        <v>384</v>
      </c>
      <c r="F323">
        <v>302044</v>
      </c>
      <c r="G323" s="81" t="s">
        <v>247</v>
      </c>
      <c r="H323" s="81" t="s">
        <v>20</v>
      </c>
      <c r="I323" s="3">
        <v>120</v>
      </c>
      <c r="J323" s="3"/>
      <c r="K323" s="26">
        <v>120</v>
      </c>
      <c r="L323" s="2">
        <v>13725.966700000001</v>
      </c>
      <c r="M323" s="2">
        <v>1647116</v>
      </c>
      <c r="N323" s="2">
        <v>1647116</v>
      </c>
      <c r="O323" s="2">
        <v>13725.9625</v>
      </c>
      <c r="P323" s="2">
        <v>-4.1000000000000003E-3</v>
      </c>
      <c r="Q323" s="2">
        <v>-0.49590000000000001</v>
      </c>
      <c r="R323" s="4">
        <v>-3.0108392447395923E-7</v>
      </c>
      <c r="T323">
        <v>306288</v>
      </c>
      <c r="U323" s="2"/>
      <c r="V323">
        <v>5694</v>
      </c>
      <c r="W323" s="2">
        <v>6579000000</v>
      </c>
      <c r="X323" s="6">
        <v>1647115.5040800001</v>
      </c>
      <c r="Y323" s="38">
        <v>10010</v>
      </c>
      <c r="Z323" s="86">
        <f>+((DETALLE_GD_1[[#This Row],[VALOR X UN (GD)]]-DETALLE_GD_1[[#This Row],[VALOR PPTO]])/DETALLE_GD_1[[#This Row],[VALOR PPTO]])</f>
        <v>3.059894707725925E-7</v>
      </c>
      <c r="AA323" s="2">
        <f>+DETALLE_GD_1[[#This Row],[VALOR PPTO]]*DETALLE_GD_1[[#This Row],[CANTIDAD RECIBIDA]]</f>
        <v>1647115.5</v>
      </c>
      <c r="AB3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3" s="3">
        <f>+DETALLE_GD_1[[#This Row],[CANTIDAD SOLICITADA]]-DETALLE_GD_1[[#This Row],[DEVOLUCIÓN]]</f>
        <v>120</v>
      </c>
      <c r="AD323" s="38" t="str">
        <f>+_xlfn.XLOOKUP(DETALLE_GD_1[[#This Row],[CODIGO]],PRODUCTOS[CODIGO],PRODUCTOS[DESC CORTA],"",0)</f>
        <v>PINO 2X8X4</v>
      </c>
      <c r="AE323"/>
      <c r="AH323"/>
    </row>
    <row r="324" spans="1:34" x14ac:dyDescent="0.25">
      <c r="A324" s="1">
        <v>46066</v>
      </c>
      <c r="B324" s="1">
        <v>46066</v>
      </c>
      <c r="C324" s="81" t="s">
        <v>176</v>
      </c>
      <c r="D324" s="38">
        <v>2</v>
      </c>
      <c r="E324" s="81" t="s">
        <v>384</v>
      </c>
      <c r="F324">
        <v>302028</v>
      </c>
      <c r="G324" s="81" t="s">
        <v>246</v>
      </c>
      <c r="H324" s="81" t="s">
        <v>20</v>
      </c>
      <c r="I324" s="3">
        <v>840</v>
      </c>
      <c r="J324" s="3"/>
      <c r="K324" s="26">
        <v>840</v>
      </c>
      <c r="L324" s="2">
        <v>5258.1405000000004</v>
      </c>
      <c r="M324" s="2">
        <v>4416838</v>
      </c>
      <c r="N324" s="2">
        <v>4416838</v>
      </c>
      <c r="O324" s="2">
        <v>5123.8024999999998</v>
      </c>
      <c r="P324" s="2">
        <v>-134.33789999999999</v>
      </c>
      <c r="Q324" s="2">
        <v>-112843.87729999999</v>
      </c>
      <c r="R324" s="4">
        <v>-2.6218408785775259E-2</v>
      </c>
      <c r="T324">
        <v>306288</v>
      </c>
      <c r="U324" s="2"/>
      <c r="V324">
        <v>5694</v>
      </c>
      <c r="W324" s="2">
        <v>6579000000</v>
      </c>
      <c r="X324" s="6">
        <v>4303994.122680001</v>
      </c>
      <c r="Y324" s="38">
        <v>10010</v>
      </c>
      <c r="Z324" s="86">
        <f>+((DETALLE_GD_1[[#This Row],[VALOR X UN (GD)]]-DETALLE_GD_1[[#This Row],[VALOR PPTO]])/DETALLE_GD_1[[#This Row],[VALOR PPTO]])</f>
        <v>2.6218418840304764E-2</v>
      </c>
      <c r="AA324" s="2">
        <f>+DETALLE_GD_1[[#This Row],[VALOR PPTO]]*DETALLE_GD_1[[#This Row],[CANTIDAD RECIBIDA]]</f>
        <v>4303994.0999999996</v>
      </c>
      <c r="AB3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4" s="3">
        <f>+DETALLE_GD_1[[#This Row],[CANTIDAD SOLICITADA]]-DETALLE_GD_1[[#This Row],[DEVOLUCIÓN]]</f>
        <v>840</v>
      </c>
      <c r="AD324" s="38" t="str">
        <f>+_xlfn.XLOOKUP(DETALLE_GD_1[[#This Row],[CODIGO]],PRODUCTOS[CODIGO],PRODUCTOS[DESC CORTA],"",0)</f>
        <v>PINO 2X4X320</v>
      </c>
      <c r="AE324"/>
      <c r="AH324"/>
    </row>
    <row r="325" spans="1:34" x14ac:dyDescent="0.25">
      <c r="A325" s="1">
        <v>46066</v>
      </c>
      <c r="B325" s="1">
        <v>46066</v>
      </c>
      <c r="C325" s="81" t="s">
        <v>176</v>
      </c>
      <c r="D325" s="38">
        <v>2</v>
      </c>
      <c r="E325" s="81" t="s">
        <v>384</v>
      </c>
      <c r="F325">
        <v>302010</v>
      </c>
      <c r="G325" s="81" t="s">
        <v>323</v>
      </c>
      <c r="H325" s="81" t="s">
        <v>20</v>
      </c>
      <c r="I325" s="3">
        <v>504</v>
      </c>
      <c r="J325" s="3"/>
      <c r="K325" s="26">
        <v>504</v>
      </c>
      <c r="L325" s="2">
        <v>6669.6925000000001</v>
      </c>
      <c r="M325" s="2">
        <v>3361525</v>
      </c>
      <c r="N325" s="2">
        <v>3361525</v>
      </c>
      <c r="O325" s="2">
        <v>6585.1337000000003</v>
      </c>
      <c r="P325" s="2">
        <v>-84.558700000000002</v>
      </c>
      <c r="Q325" s="2">
        <v>-42617.592499999999</v>
      </c>
      <c r="R325" s="4">
        <v>-1.2840850101438364E-2</v>
      </c>
      <c r="T325">
        <v>306288</v>
      </c>
      <c r="U325" s="2"/>
      <c r="V325">
        <v>5694</v>
      </c>
      <c r="W325" s="2">
        <v>6579000000</v>
      </c>
      <c r="X325" s="6">
        <v>3318907.4074799959</v>
      </c>
      <c r="Y325" s="38">
        <v>10010</v>
      </c>
      <c r="Z325" s="86">
        <f>+((DETALLE_GD_1[[#This Row],[VALOR X UN (GD)]]-DETALLE_GD_1[[#This Row],[VALOR PPTO]])/DETALLE_GD_1[[#This Row],[VALOR PPTO]])</f>
        <v>1.2840863048839812E-2</v>
      </c>
      <c r="AA325" s="2">
        <f>+DETALLE_GD_1[[#This Row],[VALOR PPTO]]*DETALLE_GD_1[[#This Row],[CANTIDAD RECIBIDA]]</f>
        <v>3318907.3848000001</v>
      </c>
      <c r="AB3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5" s="3">
        <f>+DETALLE_GD_1[[#This Row],[CANTIDAD SOLICITADA]]-DETALLE_GD_1[[#This Row],[DEVOLUCIÓN]]</f>
        <v>504</v>
      </c>
      <c r="AD325" s="38" t="str">
        <f>+_xlfn.XLOOKUP(DETALLE_GD_1[[#This Row],[CODIGO]],PRODUCTOS[CODIGO],PRODUCTOS[DESC CORTA],"",0)</f>
        <v>PINO 2X6X320</v>
      </c>
      <c r="AE325"/>
      <c r="AH325"/>
    </row>
    <row r="326" spans="1:34" x14ac:dyDescent="0.25">
      <c r="A326" s="1">
        <v>46066</v>
      </c>
      <c r="B326" s="1">
        <v>46066</v>
      </c>
      <c r="C326" s="81" t="s">
        <v>176</v>
      </c>
      <c r="D326" s="38">
        <v>2</v>
      </c>
      <c r="E326" s="81" t="s">
        <v>384</v>
      </c>
      <c r="F326" t="s">
        <v>21</v>
      </c>
      <c r="G326" s="81" t="s">
        <v>22</v>
      </c>
      <c r="H326" s="81" t="s">
        <v>20</v>
      </c>
      <c r="I326" s="3">
        <v>60</v>
      </c>
      <c r="J326" s="3"/>
      <c r="K326" s="26">
        <v>60</v>
      </c>
      <c r="L326" s="2">
        <v>15045.7667</v>
      </c>
      <c r="M326" s="2">
        <v>902746</v>
      </c>
      <c r="N326" s="2">
        <v>902746</v>
      </c>
      <c r="O326" s="2">
        <v>15359.702799999999</v>
      </c>
      <c r="P326" s="2">
        <v>313.93610000000001</v>
      </c>
      <c r="Q326" s="2">
        <v>18836.167099999999</v>
      </c>
      <c r="R326" s="4">
        <v>2.0438944862912378E-2</v>
      </c>
      <c r="T326">
        <v>306288</v>
      </c>
      <c r="U326" s="2"/>
      <c r="V326">
        <v>5694</v>
      </c>
      <c r="W326" s="2">
        <v>6579000000</v>
      </c>
      <c r="X326" s="6">
        <v>921582.1671000002</v>
      </c>
      <c r="Y326" s="38">
        <v>10010</v>
      </c>
      <c r="Z326" s="86">
        <f>+((DETALLE_GD_1[[#This Row],[VALOR X UN (GD)]]-DETALLE_GD_1[[#This Row],[VALOR PPTO]])/DETALLE_GD_1[[#This Row],[VALOR PPTO]])</f>
        <v>-2.0438943649352316E-2</v>
      </c>
      <c r="AA326" s="2">
        <f>+DETALLE_GD_1[[#This Row],[VALOR PPTO]]*DETALLE_GD_1[[#This Row],[CANTIDAD RECIBIDA]]</f>
        <v>921582.16799999995</v>
      </c>
      <c r="AB3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6" s="3">
        <f>+DETALLE_GD_1[[#This Row],[CANTIDAD SOLICITADA]]-DETALLE_GD_1[[#This Row],[DEVOLUCIÓN]]</f>
        <v>60</v>
      </c>
      <c r="AD326" s="38" t="str">
        <f>+_xlfn.XLOOKUP(DETALLE_GD_1[[#This Row],[CODIGO]],PRODUCTOS[CODIGO],PRODUCTOS[DESC CORTA],"",0)</f>
        <v>PINO 3X8X320</v>
      </c>
      <c r="AE326"/>
      <c r="AH326"/>
    </row>
    <row r="327" spans="1:34" x14ac:dyDescent="0.25">
      <c r="A327" s="1">
        <v>46066</v>
      </c>
      <c r="B327" s="1">
        <v>46066</v>
      </c>
      <c r="C327" s="81" t="s">
        <v>176</v>
      </c>
      <c r="D327" s="38">
        <v>2</v>
      </c>
      <c r="E327" s="81" t="s">
        <v>384</v>
      </c>
      <c r="F327">
        <v>304007</v>
      </c>
      <c r="G327" s="81" t="s">
        <v>80</v>
      </c>
      <c r="H327" s="81" t="s">
        <v>18</v>
      </c>
      <c r="I327" s="3">
        <v>135</v>
      </c>
      <c r="J327" s="3"/>
      <c r="K327" s="26">
        <v>135</v>
      </c>
      <c r="L327" s="2">
        <v>11444.355600000001</v>
      </c>
      <c r="M327" s="2">
        <v>1544988</v>
      </c>
      <c r="N327" s="2">
        <v>1544988</v>
      </c>
      <c r="O327" s="2">
        <v>11444.352999999999</v>
      </c>
      <c r="P327" s="2">
        <v>-2.5000000000000001E-3</v>
      </c>
      <c r="Q327" s="2">
        <v>-0.34200000000000003</v>
      </c>
      <c r="R327" s="4">
        <v>-2.2138040964642581E-7</v>
      </c>
      <c r="T327">
        <v>306288</v>
      </c>
      <c r="U327" s="2"/>
      <c r="V327">
        <v>5694</v>
      </c>
      <c r="W327" s="2">
        <v>6579000000</v>
      </c>
      <c r="X327" s="6">
        <v>1544987.6579699994</v>
      </c>
      <c r="Y327" s="38">
        <v>10010</v>
      </c>
      <c r="Z327" s="86">
        <f>+((DETALLE_GD_1[[#This Row],[VALOR X UN (GD)]]-DETALLE_GD_1[[#This Row],[VALOR PPTO]])/DETALLE_GD_1[[#This Row],[VALOR PPTO]])</f>
        <v>2.2718628144562506E-7</v>
      </c>
      <c r="AA327" s="2">
        <f>+DETALLE_GD_1[[#This Row],[VALOR PPTO]]*DETALLE_GD_1[[#This Row],[CANTIDAD RECIBIDA]]</f>
        <v>1544987.6549999998</v>
      </c>
      <c r="AB3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7" s="3">
        <f>+DETALLE_GD_1[[#This Row],[CANTIDAD SOLICITADA]]-DETALLE_GD_1[[#This Row],[DEVOLUCIÓN]]</f>
        <v>135</v>
      </c>
      <c r="AD327" s="38" t="str">
        <f>+_xlfn.XLOOKUP(DETALLE_GD_1[[#This Row],[CODIGO]],PRODUCTOS[CODIGO],PRODUCTOS[DESC CORTA],"",0)</f>
        <v>OSB 11MM</v>
      </c>
      <c r="AE327"/>
      <c r="AH327"/>
    </row>
    <row r="328" spans="1:34" x14ac:dyDescent="0.25">
      <c r="A328" s="1">
        <v>46066</v>
      </c>
      <c r="B328" s="1">
        <v>46066</v>
      </c>
      <c r="C328" s="81" t="s">
        <v>176</v>
      </c>
      <c r="D328" s="38">
        <v>2</v>
      </c>
      <c r="E328" s="81" t="s">
        <v>384</v>
      </c>
      <c r="F328">
        <v>304101</v>
      </c>
      <c r="G328" s="81" t="s">
        <v>17</v>
      </c>
      <c r="H328" s="81" t="s">
        <v>18</v>
      </c>
      <c r="I328" s="3">
        <v>168</v>
      </c>
      <c r="J328" s="3"/>
      <c r="K328" s="26">
        <v>168</v>
      </c>
      <c r="L328" s="2">
        <v>9703.3570999999993</v>
      </c>
      <c r="M328" s="2">
        <v>1630164</v>
      </c>
      <c r="N328" s="2">
        <v>1630164</v>
      </c>
      <c r="O328" s="2">
        <v>9657.5879999999997</v>
      </c>
      <c r="P328" s="2">
        <v>-45.769199999999998</v>
      </c>
      <c r="Q328" s="2">
        <v>-7689.2244000000001</v>
      </c>
      <c r="R328" s="4">
        <v>-4.7391950344224882E-3</v>
      </c>
      <c r="T328">
        <v>306288</v>
      </c>
      <c r="U328" s="2"/>
      <c r="V328">
        <v>5694</v>
      </c>
      <c r="W328" s="2">
        <v>6579000000</v>
      </c>
      <c r="X328" s="6">
        <v>1622474.7756000008</v>
      </c>
      <c r="Y328" s="38">
        <v>10010</v>
      </c>
      <c r="Z328" s="86">
        <f>+((DETALLE_GD_1[[#This Row],[VALOR X UN (GD)]]-DETALLE_GD_1[[#This Row],[VALOR PPTO]])/DETALLE_GD_1[[#This Row],[VALOR PPTO]])</f>
        <v>4.7391853949453559E-3</v>
      </c>
      <c r="AA328" s="2">
        <f>+DETALLE_GD_1[[#This Row],[VALOR PPTO]]*DETALLE_GD_1[[#This Row],[CANTIDAD RECIBIDA]]</f>
        <v>1622474.784</v>
      </c>
      <c r="AB3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8" s="3">
        <f>+DETALLE_GD_1[[#This Row],[CANTIDAD SOLICITADA]]-DETALLE_GD_1[[#This Row],[DEVOLUCIÓN]]</f>
        <v>168</v>
      </c>
      <c r="AD328" s="38" t="str">
        <f>+_xlfn.XLOOKUP(DETALLE_GD_1[[#This Row],[CODIGO]],PRODUCTOS[CODIGO],PRODUCTOS[DESC CORTA],"",0)</f>
        <v>OSB 9.5</v>
      </c>
      <c r="AE328"/>
      <c r="AH328"/>
    </row>
    <row r="329" spans="1:34" x14ac:dyDescent="0.25">
      <c r="A329" s="1">
        <v>46066</v>
      </c>
      <c r="B329" s="1">
        <v>46066</v>
      </c>
      <c r="C329" s="81" t="s">
        <v>176</v>
      </c>
      <c r="D329" s="38">
        <v>2</v>
      </c>
      <c r="E329" s="81" t="s">
        <v>384</v>
      </c>
      <c r="F329">
        <v>410046</v>
      </c>
      <c r="G329" s="81" t="s">
        <v>361</v>
      </c>
      <c r="H329" s="81" t="s">
        <v>31</v>
      </c>
      <c r="I329" s="3">
        <v>258</v>
      </c>
      <c r="J329" s="3"/>
      <c r="K329" s="26">
        <v>258</v>
      </c>
      <c r="L329" s="2">
        <v>746</v>
      </c>
      <c r="M329" s="2">
        <v>192468</v>
      </c>
      <c r="N329" s="2">
        <v>192468</v>
      </c>
      <c r="O329" s="2">
        <v>746</v>
      </c>
      <c r="P329" s="2">
        <v>0</v>
      </c>
      <c r="Q329" s="2">
        <v>0</v>
      </c>
      <c r="R329" s="4">
        <v>0</v>
      </c>
      <c r="T329">
        <v>306288</v>
      </c>
      <c r="U329" s="2"/>
      <c r="V329">
        <v>5694</v>
      </c>
      <c r="W329" s="2">
        <v>6579000000</v>
      </c>
      <c r="X329" s="6">
        <v>192468</v>
      </c>
      <c r="Y329" s="38">
        <v>10010</v>
      </c>
      <c r="Z329" s="86">
        <f>+((DETALLE_GD_1[[#This Row],[VALOR X UN (GD)]]-DETALLE_GD_1[[#This Row],[VALOR PPTO]])/DETALLE_GD_1[[#This Row],[VALOR PPTO]])</f>
        <v>0</v>
      </c>
      <c r="AA329" s="2">
        <f>+DETALLE_GD_1[[#This Row],[VALOR PPTO]]*DETALLE_GD_1[[#This Row],[CANTIDAD RECIBIDA]]</f>
        <v>192468</v>
      </c>
      <c r="AB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29" s="3">
        <f>+DETALLE_GD_1[[#This Row],[CANTIDAD SOLICITADA]]-DETALLE_GD_1[[#This Row],[DEVOLUCIÓN]]</f>
        <v>258</v>
      </c>
      <c r="AD329" s="38">
        <f>+_xlfn.XLOOKUP(DETALLE_GD_1[[#This Row],[CODIGO]],PRODUCTOS[CODIGO],PRODUCTOS[DESC CORTA],"",0)</f>
        <v>0</v>
      </c>
      <c r="AE329"/>
      <c r="AH329"/>
    </row>
    <row r="330" spans="1:34" x14ac:dyDescent="0.25">
      <c r="A330" s="1">
        <v>46066</v>
      </c>
      <c r="B330" s="1">
        <v>46066</v>
      </c>
      <c r="C330" s="81" t="s">
        <v>176</v>
      </c>
      <c r="D330" s="38">
        <v>2</v>
      </c>
      <c r="E330" s="81" t="s">
        <v>384</v>
      </c>
      <c r="F330">
        <v>410045</v>
      </c>
      <c r="G330" s="81" t="s">
        <v>110</v>
      </c>
      <c r="H330" s="81" t="s">
        <v>31</v>
      </c>
      <c r="I330" s="3">
        <v>478</v>
      </c>
      <c r="J330" s="3"/>
      <c r="K330" s="26">
        <v>478</v>
      </c>
      <c r="L330" s="2">
        <v>368.00209999999998</v>
      </c>
      <c r="M330" s="2">
        <v>175905</v>
      </c>
      <c r="N330" s="2">
        <v>175905</v>
      </c>
      <c r="O330" s="2">
        <v>368.00139999999999</v>
      </c>
      <c r="P330" s="2">
        <v>-6.9999999999999999E-4</v>
      </c>
      <c r="Q330" s="2">
        <v>-0.34939999999999999</v>
      </c>
      <c r="R330" s="4">
        <v>-1.9865421348551057E-6</v>
      </c>
      <c r="T330">
        <v>306288</v>
      </c>
      <c r="U330" s="2"/>
      <c r="V330">
        <v>5694</v>
      </c>
      <c r="W330" s="2">
        <v>6579000000</v>
      </c>
      <c r="X330" s="6">
        <v>175904.65055799996</v>
      </c>
      <c r="Y330" s="38">
        <v>10010</v>
      </c>
      <c r="Z330" s="86">
        <f>+((DETALLE_GD_1[[#This Row],[VALOR X UN (GD)]]-DETALLE_GD_1[[#This Row],[VALOR PPTO]])/DETALLE_GD_1[[#This Row],[VALOR PPTO]])</f>
        <v>1.9021666765257303E-6</v>
      </c>
      <c r="AA330" s="2">
        <f>+DETALLE_GD_1[[#This Row],[VALOR PPTO]]*DETALLE_GD_1[[#This Row],[CANTIDAD RECIBIDA]]</f>
        <v>175904.6692</v>
      </c>
      <c r="AB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0" s="3">
        <f>+DETALLE_GD_1[[#This Row],[CANTIDAD SOLICITADA]]-DETALLE_GD_1[[#This Row],[DEVOLUCIÓN]]</f>
        <v>478</v>
      </c>
      <c r="AD330" s="38" t="str">
        <f>+_xlfn.XLOOKUP(DETALLE_GD_1[[#This Row],[CODIGO]],PRODUCTOS[CODIGO],PRODUCTOS[DESC CORTA],"",0)</f>
        <v>CONECTOR DENTADO</v>
      </c>
      <c r="AE330"/>
      <c r="AH330"/>
    </row>
    <row r="331" spans="1:34" x14ac:dyDescent="0.25">
      <c r="A331" s="1">
        <v>46066</v>
      </c>
      <c r="B331" s="1">
        <v>46066</v>
      </c>
      <c r="C331" s="81" t="s">
        <v>169</v>
      </c>
      <c r="D331" s="38">
        <v>2</v>
      </c>
      <c r="E331" s="81" t="s">
        <v>384</v>
      </c>
      <c r="F331">
        <v>410126</v>
      </c>
      <c r="G331" s="81" t="s">
        <v>159</v>
      </c>
      <c r="H331" s="81" t="s">
        <v>31</v>
      </c>
      <c r="I331" s="3">
        <v>176</v>
      </c>
      <c r="J331" s="3"/>
      <c r="K331" s="26">
        <v>176</v>
      </c>
      <c r="L331" s="2">
        <v>983.61929999999995</v>
      </c>
      <c r="M331" s="2">
        <v>173117</v>
      </c>
      <c r="N331" s="2">
        <v>173117</v>
      </c>
      <c r="O331" s="2">
        <v>983.61890000000005</v>
      </c>
      <c r="P331" s="2">
        <v>-4.0000000000000002E-4</v>
      </c>
      <c r="Q331" s="2">
        <v>-7.6899999999999996E-2</v>
      </c>
      <c r="R331" s="4">
        <v>-4.4446261298320434E-7</v>
      </c>
      <c r="T331">
        <v>306288</v>
      </c>
      <c r="U331" s="2"/>
      <c r="V331">
        <v>5694</v>
      </c>
      <c r="W331" s="2">
        <v>6579000000</v>
      </c>
      <c r="X331" s="6">
        <v>173116.92305600003</v>
      </c>
      <c r="Y331" s="38">
        <v>10010</v>
      </c>
      <c r="Z331" s="86">
        <f>+((DETALLE_GD_1[[#This Row],[VALOR X UN (GD)]]-DETALLE_GD_1[[#This Row],[VALOR PPTO]])/DETALLE_GD_1[[#This Row],[VALOR PPTO]])</f>
        <v>4.0666156363973055E-7</v>
      </c>
      <c r="AA331" s="2">
        <f>+DETALLE_GD_1[[#This Row],[VALOR PPTO]]*DETALLE_GD_1[[#This Row],[CANTIDAD RECIBIDA]]</f>
        <v>173116.9264</v>
      </c>
      <c r="AB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1" s="3">
        <f>+DETALLE_GD_1[[#This Row],[CANTIDAD SOLICITADA]]-DETALLE_GD_1[[#This Row],[DEVOLUCIÓN]]</f>
        <v>176</v>
      </c>
      <c r="AD331" s="38">
        <f>+_xlfn.XLOOKUP(DETALLE_GD_1[[#This Row],[CODIGO]],PRODUCTOS[CODIGO],PRODUCTOS[DESC CORTA],"",0)</f>
        <v>0</v>
      </c>
      <c r="AE331"/>
      <c r="AH331"/>
    </row>
    <row r="332" spans="1:34" x14ac:dyDescent="0.25">
      <c r="A332" s="1">
        <v>46066</v>
      </c>
      <c r="B332" s="1">
        <v>46066</v>
      </c>
      <c r="C332" s="81" t="s">
        <v>169</v>
      </c>
      <c r="D332" s="38">
        <v>2</v>
      </c>
      <c r="E332" s="81" t="s">
        <v>384</v>
      </c>
      <c r="F332" t="s">
        <v>386</v>
      </c>
      <c r="G332" s="81" t="s">
        <v>83</v>
      </c>
      <c r="H332" s="81" t="s">
        <v>36</v>
      </c>
      <c r="I332" s="3">
        <v>4</v>
      </c>
      <c r="J332" s="3"/>
      <c r="K332" s="26">
        <v>4</v>
      </c>
      <c r="L332" s="2">
        <v>36939.75</v>
      </c>
      <c r="M332" s="2">
        <v>147759</v>
      </c>
      <c r="N332" s="2">
        <v>147759</v>
      </c>
      <c r="O332" s="2">
        <v>36939.818200000002</v>
      </c>
      <c r="P332" s="2">
        <v>6.8199999999999997E-2</v>
      </c>
      <c r="Q332" s="2">
        <v>0.2727</v>
      </c>
      <c r="R332" s="4">
        <v>1.8457589491162987E-6</v>
      </c>
      <c r="T332">
        <v>306288</v>
      </c>
      <c r="U332" s="2"/>
      <c r="V332">
        <v>5694</v>
      </c>
      <c r="W332" s="2">
        <v>6579000000</v>
      </c>
      <c r="X332" s="6">
        <v>147759.27272799995</v>
      </c>
      <c r="Y332" s="38">
        <v>10010</v>
      </c>
      <c r="Z332" s="86">
        <f>+((DETALLE_GD_1[[#This Row],[VALOR X UN (GD)]]-DETALLE_GD_1[[#This Row],[VALOR PPTO]])/DETALLE_GD_1[[#This Row],[VALOR PPTO]])</f>
        <v>-1.8462462276418306E-6</v>
      </c>
      <c r="AA332" s="2">
        <f>+DETALLE_GD_1[[#This Row],[VALOR PPTO]]*DETALLE_GD_1[[#This Row],[CANTIDAD RECIBIDA]]</f>
        <v>147759.27280000001</v>
      </c>
      <c r="AB3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32" s="3">
        <f>+DETALLE_GD_1[[#This Row],[CANTIDAD SOLICITADA]]-DETALLE_GD_1[[#This Row],[DEVOLUCIÓN]]</f>
        <v>4</v>
      </c>
      <c r="AD332" s="38" t="str">
        <f>+_xlfn.XLOOKUP(DETALLE_GD_1[[#This Row],[CODIGO]],PRODUCTOS[CODIGO],PRODUCTOS[DESC CORTA],"",0)</f>
        <v>CLAVO R20</v>
      </c>
      <c r="AE332"/>
      <c r="AH332"/>
    </row>
    <row r="333" spans="1:34" x14ac:dyDescent="0.25">
      <c r="A333" s="1">
        <v>46066</v>
      </c>
      <c r="B333" s="1">
        <v>46066</v>
      </c>
      <c r="C333" s="81" t="s">
        <v>169</v>
      </c>
      <c r="D333" s="38">
        <v>2</v>
      </c>
      <c r="E333" s="81" t="s">
        <v>384</v>
      </c>
      <c r="F333">
        <v>408071</v>
      </c>
      <c r="G333" s="81" t="s">
        <v>111</v>
      </c>
      <c r="H333" s="81" t="s">
        <v>36</v>
      </c>
      <c r="I333" s="3">
        <v>4</v>
      </c>
      <c r="J333" s="3"/>
      <c r="K333" s="26">
        <v>4</v>
      </c>
      <c r="L333" s="2">
        <v>23200.25</v>
      </c>
      <c r="M333" s="2">
        <v>92801</v>
      </c>
      <c r="N333" s="2">
        <v>92801</v>
      </c>
      <c r="O333" s="2">
        <v>23200.297900000001</v>
      </c>
      <c r="P333" s="2">
        <v>4.7899999999999998E-2</v>
      </c>
      <c r="Q333" s="2">
        <v>0.1915</v>
      </c>
      <c r="R333" s="4">
        <v>2.0634217821303957E-6</v>
      </c>
      <c r="T333">
        <v>306288</v>
      </c>
      <c r="U333" s="2"/>
      <c r="V333">
        <v>5694</v>
      </c>
      <c r="W333" s="2">
        <v>6579000000</v>
      </c>
      <c r="X333" s="6">
        <v>92801.191487999924</v>
      </c>
      <c r="Y333" s="38">
        <v>10010</v>
      </c>
      <c r="Z333" s="86">
        <f>+((DETALLE_GD_1[[#This Row],[VALOR X UN (GD)]]-DETALLE_GD_1[[#This Row],[VALOR PPTO]])/DETALLE_GD_1[[#This Row],[VALOR PPTO]])</f>
        <v>-2.0646286615738307E-6</v>
      </c>
      <c r="AA333" s="2">
        <f>+DETALLE_GD_1[[#This Row],[VALOR PPTO]]*DETALLE_GD_1[[#This Row],[CANTIDAD RECIBIDA]]</f>
        <v>92801.191600000006</v>
      </c>
      <c r="AB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3" s="3">
        <f>+DETALLE_GD_1[[#This Row],[CANTIDAD SOLICITADA]]-DETALLE_GD_1[[#This Row],[DEVOLUCIÓN]]</f>
        <v>4</v>
      </c>
      <c r="AD333" s="38" t="str">
        <f>+_xlfn.XLOOKUP(DETALLE_GD_1[[#This Row],[CODIGO]],PRODUCTOS[CODIGO],PRODUCTOS[DESC CORTA],"",0)</f>
        <v>CLAVO HELICOIDAL</v>
      </c>
      <c r="AE333"/>
      <c r="AH333"/>
    </row>
    <row r="334" spans="1:34" x14ac:dyDescent="0.25">
      <c r="A334" s="1">
        <v>46066</v>
      </c>
      <c r="B334" s="1">
        <v>46066</v>
      </c>
      <c r="C334" s="81" t="s">
        <v>169</v>
      </c>
      <c r="D334" s="38">
        <v>2</v>
      </c>
      <c r="E334" s="81" t="s">
        <v>169</v>
      </c>
      <c r="F334">
        <v>2302098</v>
      </c>
      <c r="G334" s="81" t="s">
        <v>24</v>
      </c>
      <c r="H334" s="81" t="s">
        <v>25</v>
      </c>
      <c r="I334" s="3">
        <v>2</v>
      </c>
      <c r="J334" s="3"/>
      <c r="K334" s="26">
        <v>2</v>
      </c>
      <c r="L334" s="2">
        <v>21213</v>
      </c>
      <c r="M334" s="2">
        <v>42426</v>
      </c>
      <c r="N334" s="2">
        <v>42426</v>
      </c>
      <c r="O334" s="2">
        <v>21213</v>
      </c>
      <c r="P334" s="2">
        <v>0</v>
      </c>
      <c r="Q334" s="2">
        <v>0</v>
      </c>
      <c r="R334" s="4">
        <v>-1.7149761029050001E-16</v>
      </c>
      <c r="T334">
        <v>306288</v>
      </c>
      <c r="U334" s="2"/>
      <c r="V334">
        <v>5694</v>
      </c>
      <c r="W334" s="2">
        <v>6579000000</v>
      </c>
      <c r="X334" s="6">
        <v>42425.999999999993</v>
      </c>
      <c r="Y334" s="38">
        <v>10010</v>
      </c>
      <c r="Z334" s="86">
        <f>+((DETALLE_GD_1[[#This Row],[VALOR X UN (GD)]]-DETALLE_GD_1[[#This Row],[VALOR PPTO]])/DETALLE_GD_1[[#This Row],[VALOR PPTO]])</f>
        <v>0</v>
      </c>
      <c r="AA334" s="2">
        <f>+DETALLE_GD_1[[#This Row],[VALOR PPTO]]*DETALLE_GD_1[[#This Row],[CANTIDAD RECIBIDA]]</f>
        <v>42426</v>
      </c>
      <c r="AB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4" s="3">
        <f>+DETALLE_GD_1[[#This Row],[CANTIDAD SOLICITADA]]-DETALLE_GD_1[[#This Row],[DEVOLUCIÓN]]</f>
        <v>2</v>
      </c>
      <c r="AD334" s="38" t="str">
        <f>+_xlfn.XLOOKUP(DETALLE_GD_1[[#This Row],[CODIGO]],PRODUCTOS[CODIGO],PRODUCTOS[DESC CORTA],"",0)</f>
        <v>COLA FRIA</v>
      </c>
      <c r="AE334"/>
      <c r="AH334"/>
    </row>
    <row r="335" spans="1:34" x14ac:dyDescent="0.25">
      <c r="A335" s="1">
        <v>46066</v>
      </c>
      <c r="B335" s="1">
        <v>46066</v>
      </c>
      <c r="C335" s="81" t="s">
        <v>176</v>
      </c>
      <c r="D335" s="38">
        <v>2</v>
      </c>
      <c r="E335" s="81" t="s">
        <v>384</v>
      </c>
      <c r="F335">
        <v>407423</v>
      </c>
      <c r="G335" s="81" t="s">
        <v>106</v>
      </c>
      <c r="H335" s="81" t="s">
        <v>31</v>
      </c>
      <c r="I335" s="3">
        <v>1000</v>
      </c>
      <c r="J335" s="3"/>
      <c r="K335" s="26">
        <v>1000</v>
      </c>
      <c r="L335" s="2">
        <v>3.363</v>
      </c>
      <c r="M335" s="2">
        <v>3363</v>
      </c>
      <c r="N335" s="2">
        <v>3363</v>
      </c>
      <c r="O335" s="2">
        <v>106.6405</v>
      </c>
      <c r="P335" s="2">
        <v>103.2775</v>
      </c>
      <c r="Q335" s="2">
        <v>103277.50199999999</v>
      </c>
      <c r="R335" s="4">
        <v>0.96846413944571086</v>
      </c>
      <c r="T335">
        <v>306288</v>
      </c>
      <c r="U335" s="2"/>
      <c r="V335">
        <v>5694</v>
      </c>
      <c r="W335" s="2">
        <v>6579000000</v>
      </c>
      <c r="X335" s="6">
        <v>106640.50198378378</v>
      </c>
      <c r="Y335" s="38">
        <v>10010</v>
      </c>
      <c r="Z335" s="86">
        <f>+((DETALLE_GD_1[[#This Row],[VALOR X UN (GD)]]-DETALLE_GD_1[[#This Row],[VALOR PPTO]])/DETALLE_GD_1[[#This Row],[VALOR PPTO]])</f>
        <v>-0.96846413885906391</v>
      </c>
      <c r="AA335" s="2">
        <f>+DETALLE_GD_1[[#This Row],[VALOR PPTO]]*DETALLE_GD_1[[#This Row],[CANTIDAD RECIBIDA]]</f>
        <v>106640.5</v>
      </c>
      <c r="AB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5" s="3">
        <f>+DETALLE_GD_1[[#This Row],[CANTIDAD SOLICITADA]]-DETALLE_GD_1[[#This Row],[DEVOLUCIÓN]]</f>
        <v>1000</v>
      </c>
      <c r="AD335" s="38" t="str">
        <f>+_xlfn.XLOOKUP(DETALLE_GD_1[[#This Row],[CODIGO]],PRODUCTOS[CODIGO],PRODUCTOS[DESC CORTA],"",0)</f>
        <v>TORNILLO CRS 6X1 5/8</v>
      </c>
      <c r="AE335"/>
      <c r="AH335"/>
    </row>
    <row r="336" spans="1:34" x14ac:dyDescent="0.25">
      <c r="A336" s="1">
        <v>46066</v>
      </c>
      <c r="B336" s="1">
        <v>46066</v>
      </c>
      <c r="C336" s="81" t="s">
        <v>169</v>
      </c>
      <c r="D336" s="38">
        <v>2</v>
      </c>
      <c r="E336" s="81" t="s">
        <v>384</v>
      </c>
      <c r="F336">
        <v>407185</v>
      </c>
      <c r="G336" s="81" t="s">
        <v>43</v>
      </c>
      <c r="H336" s="81" t="s">
        <v>31</v>
      </c>
      <c r="I336" s="3">
        <v>1000</v>
      </c>
      <c r="J336" s="3"/>
      <c r="K336" s="26">
        <v>1000</v>
      </c>
      <c r="L336" s="2">
        <v>6.8780000000000001</v>
      </c>
      <c r="M336" s="2">
        <v>6878</v>
      </c>
      <c r="N336" s="2">
        <v>6878</v>
      </c>
      <c r="O336" s="2">
        <v>6.8783000000000003</v>
      </c>
      <c r="P336" s="2">
        <v>2.9999999999999997E-4</v>
      </c>
      <c r="Q336" s="2">
        <v>0.32</v>
      </c>
      <c r="R336" s="4">
        <v>4.6522988171576785E-5</v>
      </c>
      <c r="T336">
        <v>306288</v>
      </c>
      <c r="U336" s="2"/>
      <c r="V336">
        <v>5694</v>
      </c>
      <c r="W336" s="2">
        <v>6579000000</v>
      </c>
      <c r="X336" s="6">
        <v>6878.3200000000006</v>
      </c>
      <c r="Y336" s="38">
        <v>10010</v>
      </c>
      <c r="Z336" s="86">
        <f>+((DETALLE_GD_1[[#This Row],[VALOR X UN (GD)]]-DETALLE_GD_1[[#This Row],[VALOR PPTO]])/DETALLE_GD_1[[#This Row],[VALOR PPTO]])</f>
        <v>-4.3615428230840323E-5</v>
      </c>
      <c r="AA336" s="2">
        <f>+DETALLE_GD_1[[#This Row],[VALOR PPTO]]*DETALLE_GD_1[[#This Row],[CANTIDAD RECIBIDA]]</f>
        <v>6878.3</v>
      </c>
      <c r="AB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6" s="3">
        <f>+DETALLE_GD_1[[#This Row],[CANTIDAD SOLICITADA]]-DETALLE_GD_1[[#This Row],[DEVOLUCIÓN]]</f>
        <v>1000</v>
      </c>
      <c r="AD336" s="38">
        <f>+_xlfn.XLOOKUP(DETALLE_GD_1[[#This Row],[CODIGO]],PRODUCTOS[CODIGO],PRODUCTOS[DESC CORTA],"",0)</f>
        <v>0</v>
      </c>
      <c r="AE336"/>
      <c r="AH336"/>
    </row>
    <row r="337" spans="1:34" x14ac:dyDescent="0.25">
      <c r="A337" s="1">
        <v>46066</v>
      </c>
      <c r="B337" s="1">
        <v>46066</v>
      </c>
      <c r="C337" s="81" t="s">
        <v>169</v>
      </c>
      <c r="D337" s="38">
        <v>2</v>
      </c>
      <c r="E337" s="81" t="s">
        <v>384</v>
      </c>
      <c r="F337">
        <v>1405006</v>
      </c>
      <c r="G337" s="81" t="s">
        <v>199</v>
      </c>
      <c r="H337" s="81" t="s">
        <v>31</v>
      </c>
      <c r="I337" s="3">
        <v>1000</v>
      </c>
      <c r="J337" s="3"/>
      <c r="K337" s="26">
        <v>1000</v>
      </c>
      <c r="L337" s="2">
        <v>35.404000000000003</v>
      </c>
      <c r="M337" s="2">
        <v>35404</v>
      </c>
      <c r="N337" s="2">
        <v>35404</v>
      </c>
      <c r="O337" s="2">
        <v>35.197499999999998</v>
      </c>
      <c r="P337" s="2">
        <v>-0.20649999999999999</v>
      </c>
      <c r="Q337" s="2">
        <v>-206.54</v>
      </c>
      <c r="R337" s="4">
        <v>-5.8680370685838352E-3</v>
      </c>
      <c r="T337">
        <v>306288</v>
      </c>
      <c r="U337" s="2"/>
      <c r="V337">
        <v>5694</v>
      </c>
      <c r="W337" s="2">
        <v>6579000000</v>
      </c>
      <c r="X337" s="6">
        <v>35197.460000000006</v>
      </c>
      <c r="Y337" s="38">
        <v>10010</v>
      </c>
      <c r="Z337" s="86">
        <f>+((DETALLE_GD_1[[#This Row],[VALOR X UN (GD)]]-DETALLE_GD_1[[#This Row],[VALOR PPTO]])/DETALLE_GD_1[[#This Row],[VALOR PPTO]])</f>
        <v>5.8668939555367701E-3</v>
      </c>
      <c r="AA337" s="2">
        <f>+DETALLE_GD_1[[#This Row],[VALOR PPTO]]*DETALLE_GD_1[[#This Row],[CANTIDAD RECIBIDA]]</f>
        <v>35197.5</v>
      </c>
      <c r="AB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7" s="3">
        <f>+DETALLE_GD_1[[#This Row],[CANTIDAD SOLICITADA]]-DETALLE_GD_1[[#This Row],[DEVOLUCIÓN]]</f>
        <v>1000</v>
      </c>
      <c r="AD337" s="38">
        <f>+_xlfn.XLOOKUP(DETALLE_GD_1[[#This Row],[CODIGO]],PRODUCTOS[CODIGO],PRODUCTOS[DESC CORTA],"",0)</f>
        <v>0</v>
      </c>
      <c r="AE337"/>
      <c r="AH337"/>
    </row>
    <row r="338" spans="1:34" x14ac:dyDescent="0.25">
      <c r="A338" s="1">
        <v>46066</v>
      </c>
      <c r="B338" s="1">
        <v>46066</v>
      </c>
      <c r="C338" s="81" t="s">
        <v>176</v>
      </c>
      <c r="D338" s="38">
        <v>2</v>
      </c>
      <c r="E338" s="81" t="s">
        <v>384</v>
      </c>
      <c r="F338">
        <v>407170</v>
      </c>
      <c r="G338" s="81" t="s">
        <v>107</v>
      </c>
      <c r="H338" s="81" t="s">
        <v>31</v>
      </c>
      <c r="I338" s="3">
        <v>1000</v>
      </c>
      <c r="J338" s="3"/>
      <c r="K338" s="26">
        <v>1000</v>
      </c>
      <c r="L338" s="2">
        <v>4.88</v>
      </c>
      <c r="M338" s="2">
        <v>4880</v>
      </c>
      <c r="N338" s="2">
        <v>4880</v>
      </c>
      <c r="O338" s="2">
        <v>4.8802000000000003</v>
      </c>
      <c r="P338" s="2">
        <v>2.0000000000000001E-4</v>
      </c>
      <c r="Q338" s="2">
        <v>0.216</v>
      </c>
      <c r="R338" s="4">
        <v>4.4260336018094723E-5</v>
      </c>
      <c r="T338">
        <v>306288</v>
      </c>
      <c r="U338" s="2"/>
      <c r="V338">
        <v>5694</v>
      </c>
      <c r="W338" s="2">
        <v>6579000000</v>
      </c>
      <c r="X338" s="6">
        <v>4880.2160000000003</v>
      </c>
      <c r="Y338" s="38">
        <v>10010</v>
      </c>
      <c r="Z338" s="86">
        <f>+((DETALLE_GD_1[[#This Row],[VALOR X UN (GD)]]-DETALLE_GD_1[[#This Row],[VALOR PPTO]])/DETALLE_GD_1[[#This Row],[VALOR PPTO]])</f>
        <v>-4.0981926970292619E-5</v>
      </c>
      <c r="AA338" s="2">
        <f>+DETALLE_GD_1[[#This Row],[VALOR PPTO]]*DETALLE_GD_1[[#This Row],[CANTIDAD RECIBIDA]]</f>
        <v>4880.2000000000007</v>
      </c>
      <c r="AB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8" s="3">
        <f>+DETALLE_GD_1[[#This Row],[CANTIDAD SOLICITADA]]-DETALLE_GD_1[[#This Row],[DEVOLUCIÓN]]</f>
        <v>1000</v>
      </c>
      <c r="AD338" s="38" t="str">
        <f>+_xlfn.XLOOKUP(DETALLE_GD_1[[#This Row],[CODIGO]],PRODUCTOS[CODIGO],PRODUCTOS[DESC CORTA],"",0)</f>
        <v>TORNILLO CRS 6X2 1/4</v>
      </c>
      <c r="AE338"/>
      <c r="AH338"/>
    </row>
    <row r="339" spans="1:34" x14ac:dyDescent="0.25">
      <c r="A339" s="1">
        <v>46066</v>
      </c>
      <c r="B339" s="1">
        <v>46066</v>
      </c>
      <c r="C339" s="81" t="s">
        <v>169</v>
      </c>
      <c r="D339" s="38">
        <v>2</v>
      </c>
      <c r="E339" s="81" t="s">
        <v>384</v>
      </c>
      <c r="F339">
        <v>407011</v>
      </c>
      <c r="G339" s="81" t="s">
        <v>30</v>
      </c>
      <c r="H339" s="81" t="s">
        <v>31</v>
      </c>
      <c r="I339" s="3">
        <v>2000</v>
      </c>
      <c r="J339" s="3"/>
      <c r="K339" s="26">
        <v>2000</v>
      </c>
      <c r="L339" s="2">
        <v>473.1755</v>
      </c>
      <c r="M339" s="2">
        <v>946351</v>
      </c>
      <c r="N339" s="2">
        <v>946351</v>
      </c>
      <c r="O339" s="2">
        <v>473.17520000000002</v>
      </c>
      <c r="P339" s="2">
        <v>-2.9999999999999997E-4</v>
      </c>
      <c r="Q339" s="2">
        <v>-0.52</v>
      </c>
      <c r="R339" s="4">
        <v>-5.4947930090874488E-7</v>
      </c>
      <c r="T339">
        <v>306288</v>
      </c>
      <c r="U339" s="2"/>
      <c r="V339">
        <v>5694</v>
      </c>
      <c r="W339" s="2">
        <v>6579000000</v>
      </c>
      <c r="X339" s="6">
        <v>946350.47999999986</v>
      </c>
      <c r="Y339" s="38">
        <v>10010</v>
      </c>
      <c r="Z339" s="86">
        <f>+((DETALLE_GD_1[[#This Row],[VALOR X UN (GD)]]-DETALLE_GD_1[[#This Row],[VALOR PPTO]])/DETALLE_GD_1[[#This Row],[VALOR PPTO]])</f>
        <v>6.3401463132796736E-7</v>
      </c>
      <c r="AA339" s="2">
        <f>+DETALLE_GD_1[[#This Row],[VALOR PPTO]]*DETALLE_GD_1[[#This Row],[CANTIDAD RECIBIDA]]</f>
        <v>946350.4</v>
      </c>
      <c r="AB3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39" s="3">
        <f>+DETALLE_GD_1[[#This Row],[CANTIDAD SOLICITADA]]-DETALLE_GD_1[[#This Row],[DEVOLUCIÓN]]</f>
        <v>2000</v>
      </c>
      <c r="AD339" s="38" t="str">
        <f>+_xlfn.XLOOKUP(DETALLE_GD_1[[#This Row],[CODIGO]],PRODUCTOS[CODIGO],PRODUCTOS[DESC CORTA],"",0)</f>
        <v>TORNILLO SIMPSON 6"</v>
      </c>
      <c r="AE339"/>
      <c r="AH339"/>
    </row>
    <row r="340" spans="1:34" x14ac:dyDescent="0.25">
      <c r="A340" s="1">
        <v>46066</v>
      </c>
      <c r="B340" s="1">
        <v>46066</v>
      </c>
      <c r="C340" s="81" t="s">
        <v>169</v>
      </c>
      <c r="D340" s="38">
        <v>2</v>
      </c>
      <c r="E340" s="81" t="s">
        <v>384</v>
      </c>
      <c r="F340">
        <v>407307</v>
      </c>
      <c r="G340" s="81" t="s">
        <v>163</v>
      </c>
      <c r="H340" s="81" t="s">
        <v>31</v>
      </c>
      <c r="I340" s="3">
        <v>418</v>
      </c>
      <c r="J340" s="3"/>
      <c r="K340" s="26">
        <v>418</v>
      </c>
      <c r="L340" s="2">
        <v>80.222499999999997</v>
      </c>
      <c r="M340" s="2">
        <v>33533</v>
      </c>
      <c r="N340" s="2">
        <v>33533</v>
      </c>
      <c r="O340" s="2">
        <v>69.472800000000007</v>
      </c>
      <c r="P340" s="2">
        <v>-10.749700000000001</v>
      </c>
      <c r="Q340" s="2">
        <v>-4493.3801000000003</v>
      </c>
      <c r="R340" s="4">
        <v>-0.1547327429813696</v>
      </c>
      <c r="T340">
        <v>306288</v>
      </c>
      <c r="U340" s="2"/>
      <c r="V340">
        <v>5694</v>
      </c>
      <c r="W340" s="2">
        <v>6579000000</v>
      </c>
      <c r="X340" s="6">
        <v>29039.61995</v>
      </c>
      <c r="Y340" s="38">
        <v>10010</v>
      </c>
      <c r="Z340" s="86">
        <f>+((DETALLE_GD_1[[#This Row],[VALOR X UN (GD)]]-DETALLE_GD_1[[#This Row],[VALOR PPTO]])/DETALLE_GD_1[[#This Row],[VALOR PPTO]])</f>
        <v>0.15473249962575267</v>
      </c>
      <c r="AA340" s="2">
        <f>+DETALLE_GD_1[[#This Row],[VALOR PPTO]]*DETALLE_GD_1[[#This Row],[CANTIDAD RECIBIDA]]</f>
        <v>29039.630400000002</v>
      </c>
      <c r="AB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0" s="3">
        <f>+DETALLE_GD_1[[#This Row],[CANTIDAD SOLICITADA]]-DETALLE_GD_1[[#This Row],[DEVOLUCIÓN]]</f>
        <v>418</v>
      </c>
      <c r="AD340" s="38">
        <f>+_xlfn.XLOOKUP(DETALLE_GD_1[[#This Row],[CODIGO]],PRODUCTOS[CODIGO],PRODUCTOS[DESC CORTA],"",0)</f>
        <v>0</v>
      </c>
      <c r="AE340"/>
      <c r="AH340"/>
    </row>
    <row r="341" spans="1:34" x14ac:dyDescent="0.25">
      <c r="A341" s="1">
        <v>46066</v>
      </c>
      <c r="B341" s="1">
        <v>46066</v>
      </c>
      <c r="C341" s="81" t="s">
        <v>169</v>
      </c>
      <c r="D341" s="38">
        <v>2</v>
      </c>
      <c r="E341" s="81" t="s">
        <v>384</v>
      </c>
      <c r="F341">
        <v>407010</v>
      </c>
      <c r="G341" s="81" t="s">
        <v>164</v>
      </c>
      <c r="H341" s="81" t="s">
        <v>31</v>
      </c>
      <c r="I341" s="3">
        <v>500</v>
      </c>
      <c r="J341" s="3"/>
      <c r="K341" s="26">
        <v>500</v>
      </c>
      <c r="L341" s="2">
        <v>11.51</v>
      </c>
      <c r="M341" s="2">
        <v>5755</v>
      </c>
      <c r="N341" s="2">
        <v>5755</v>
      </c>
      <c r="O341" s="2">
        <v>11.501300000000001</v>
      </c>
      <c r="P341" s="2">
        <v>-8.6999999999999994E-3</v>
      </c>
      <c r="Q341" s="2">
        <v>-4.37</v>
      </c>
      <c r="R341" s="4">
        <v>-7.5991673955718992E-4</v>
      </c>
      <c r="T341">
        <v>306288</v>
      </c>
      <c r="U341" s="2"/>
      <c r="V341">
        <v>5694</v>
      </c>
      <c r="W341" s="2">
        <v>6579000000</v>
      </c>
      <c r="X341" s="6">
        <v>5750.63</v>
      </c>
      <c r="Y341" s="38">
        <v>10010</v>
      </c>
      <c r="Z341" s="86">
        <f>+((DETALLE_GD_1[[#This Row],[VALOR X UN (GD)]]-DETALLE_GD_1[[#This Row],[VALOR PPTO]])/DETALLE_GD_1[[#This Row],[VALOR PPTO]])</f>
        <v>7.5643622894796788E-4</v>
      </c>
      <c r="AA341" s="2">
        <f>+DETALLE_GD_1[[#This Row],[VALOR PPTO]]*DETALLE_GD_1[[#This Row],[CANTIDAD RECIBIDA]]</f>
        <v>5750.6500000000005</v>
      </c>
      <c r="AB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1" s="3">
        <f>+DETALLE_GD_1[[#This Row],[CANTIDAD SOLICITADA]]-DETALLE_GD_1[[#This Row],[DEVOLUCIÓN]]</f>
        <v>500</v>
      </c>
      <c r="AD341" s="38">
        <f>+_xlfn.XLOOKUP(DETALLE_GD_1[[#This Row],[CODIGO]],PRODUCTOS[CODIGO],PRODUCTOS[DESC CORTA],"",0)</f>
        <v>0</v>
      </c>
      <c r="AE341"/>
      <c r="AH341"/>
    </row>
    <row r="342" spans="1:34" x14ac:dyDescent="0.25">
      <c r="A342" s="1">
        <v>46066</v>
      </c>
      <c r="B342" s="1">
        <v>46066</v>
      </c>
      <c r="C342" s="81" t="s">
        <v>169</v>
      </c>
      <c r="D342" s="38">
        <v>2</v>
      </c>
      <c r="E342" s="81" t="s">
        <v>384</v>
      </c>
      <c r="F342">
        <v>408042</v>
      </c>
      <c r="G342" s="81" t="s">
        <v>144</v>
      </c>
      <c r="H342" s="81" t="s">
        <v>36</v>
      </c>
      <c r="I342" s="3">
        <v>2</v>
      </c>
      <c r="J342" s="3"/>
      <c r="K342" s="26">
        <v>2</v>
      </c>
      <c r="L342" s="2">
        <v>35000</v>
      </c>
      <c r="M342" s="2">
        <v>70000</v>
      </c>
      <c r="N342" s="2">
        <v>70000</v>
      </c>
      <c r="O342" s="2">
        <v>35000</v>
      </c>
      <c r="P342" s="2">
        <v>0</v>
      </c>
      <c r="Q342" s="2">
        <v>0</v>
      </c>
      <c r="R342" s="4">
        <v>8.3153801304950006E-16</v>
      </c>
      <c r="T342">
        <v>306288</v>
      </c>
      <c r="U342" s="2"/>
      <c r="V342">
        <v>5694</v>
      </c>
      <c r="W342" s="2">
        <v>6579000000</v>
      </c>
      <c r="X342" s="6">
        <v>70000.000000000058</v>
      </c>
      <c r="Y342" s="38">
        <v>10010</v>
      </c>
      <c r="Z342" s="86">
        <f>+((DETALLE_GD_1[[#This Row],[VALOR X UN (GD)]]-DETALLE_GD_1[[#This Row],[VALOR PPTO]])/DETALLE_GD_1[[#This Row],[VALOR PPTO]])</f>
        <v>0</v>
      </c>
      <c r="AA342" s="2">
        <f>+DETALLE_GD_1[[#This Row],[VALOR PPTO]]*DETALLE_GD_1[[#This Row],[CANTIDAD RECIBIDA]]</f>
        <v>70000</v>
      </c>
      <c r="AB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2" s="3">
        <f>+DETALLE_GD_1[[#This Row],[CANTIDAD SOLICITADA]]-DETALLE_GD_1[[#This Row],[DEVOLUCIÓN]]</f>
        <v>2</v>
      </c>
      <c r="AD342" s="38" t="str">
        <f>+_xlfn.XLOOKUP(DETALLE_GD_1[[#This Row],[CODIGO]],PRODUCTOS[CODIGO],PRODUCTOS[DESC CORTA],"",0)</f>
        <v>CLAVO HELICOIDAL PROFIX</v>
      </c>
      <c r="AE342"/>
      <c r="AH342"/>
    </row>
    <row r="343" spans="1:34" x14ac:dyDescent="0.25">
      <c r="A343" s="1">
        <v>46066</v>
      </c>
      <c r="B343" s="1">
        <v>46066</v>
      </c>
      <c r="C343" s="81" t="s">
        <v>176</v>
      </c>
      <c r="D343" s="38">
        <v>2</v>
      </c>
      <c r="E343" s="81" t="s">
        <v>384</v>
      </c>
      <c r="F343">
        <v>701043</v>
      </c>
      <c r="G343" s="81" t="s">
        <v>197</v>
      </c>
      <c r="H343" s="81" t="s">
        <v>18</v>
      </c>
      <c r="I343" s="3">
        <v>80</v>
      </c>
      <c r="J343" s="3"/>
      <c r="K343" s="26">
        <v>80</v>
      </c>
      <c r="L343" s="2">
        <v>22142.412499999999</v>
      </c>
      <c r="M343" s="2">
        <v>1771393</v>
      </c>
      <c r="N343" s="2">
        <v>1771393</v>
      </c>
      <c r="O343" s="2">
        <v>22146.362799999999</v>
      </c>
      <c r="P343" s="2">
        <v>3.9502999999999999</v>
      </c>
      <c r="Q343" s="2">
        <v>316.02179999999998</v>
      </c>
      <c r="R343" s="4">
        <v>1.7837114115173131E-4</v>
      </c>
      <c r="T343">
        <v>306288</v>
      </c>
      <c r="U343" s="2"/>
      <c r="V343">
        <v>5694</v>
      </c>
      <c r="W343" s="2">
        <v>6579000000</v>
      </c>
      <c r="X343" s="6">
        <v>1771709.0217599999</v>
      </c>
      <c r="Y343" s="38">
        <v>10010</v>
      </c>
      <c r="Z343" s="86">
        <f>+((DETALLE_GD_1[[#This Row],[VALOR X UN (GD)]]-DETALLE_GD_1[[#This Row],[VALOR PPTO]])/DETALLE_GD_1[[#This Row],[VALOR PPTO]])</f>
        <v>-1.7837240524211159E-4</v>
      </c>
      <c r="AA343" s="2">
        <f>+DETALLE_GD_1[[#This Row],[VALOR PPTO]]*DETALLE_GD_1[[#This Row],[CANTIDAD RECIBIDA]]</f>
        <v>1771709.024</v>
      </c>
      <c r="AB3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43" s="3">
        <f>+DETALLE_GD_1[[#This Row],[CANTIDAD SOLICITADA]]-DETALLE_GD_1[[#This Row],[DEVOLUCIÓN]]</f>
        <v>80</v>
      </c>
      <c r="AD343" s="38" t="str">
        <f>+_xlfn.XLOOKUP(DETALLE_GD_1[[#This Row],[CODIGO]],PRODUCTOS[CODIGO],PRODUCTOS[DESC CORTA],"",0)</f>
        <v>VOLCANITA EMPAPELADA CIELO</v>
      </c>
      <c r="AE343"/>
      <c r="AH343"/>
    </row>
    <row r="344" spans="1:34" x14ac:dyDescent="0.25">
      <c r="A344" s="1">
        <v>46066</v>
      </c>
      <c r="B344" s="1">
        <v>46066</v>
      </c>
      <c r="C344" s="81" t="s">
        <v>176</v>
      </c>
      <c r="D344" s="38">
        <v>2</v>
      </c>
      <c r="E344" s="81" t="s">
        <v>384</v>
      </c>
      <c r="F344">
        <v>701096</v>
      </c>
      <c r="G344" s="81" t="s">
        <v>204</v>
      </c>
      <c r="H344" s="81" t="s">
        <v>18</v>
      </c>
      <c r="I344" s="3">
        <v>70</v>
      </c>
      <c r="J344" s="3"/>
      <c r="K344" s="26">
        <v>70</v>
      </c>
      <c r="L344" s="2">
        <v>15886.7</v>
      </c>
      <c r="M344" s="2">
        <v>1112069</v>
      </c>
      <c r="N344" s="2">
        <v>1112069</v>
      </c>
      <c r="O344" s="2">
        <v>16019.885700000001</v>
      </c>
      <c r="P344" s="2">
        <v>133.1857</v>
      </c>
      <c r="Q344" s="2">
        <v>9322.9979999999996</v>
      </c>
      <c r="R344" s="4">
        <v>8.3137724961863339E-3</v>
      </c>
      <c r="T344">
        <v>306288</v>
      </c>
      <c r="U344" s="2"/>
      <c r="V344">
        <v>5694</v>
      </c>
      <c r="W344" s="2">
        <v>6579000000</v>
      </c>
      <c r="X344" s="6">
        <v>1121391.9979500002</v>
      </c>
      <c r="Y344" s="38">
        <v>10010</v>
      </c>
      <c r="Z344" s="86">
        <f>+((DETALLE_GD_1[[#This Row],[VALOR X UN (GD)]]-DETALLE_GD_1[[#This Row],[VALOR PPTO]])/DETALLE_GD_1[[#This Row],[VALOR PPTO]])</f>
        <v>-8.3137734247379792E-3</v>
      </c>
      <c r="AA344" s="2">
        <f>+DETALLE_GD_1[[#This Row],[VALOR PPTO]]*DETALLE_GD_1[[#This Row],[CANTIDAD RECIBIDA]]</f>
        <v>1121391.9990000001</v>
      </c>
      <c r="AB3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44" s="3">
        <f>+DETALLE_GD_1[[#This Row],[CANTIDAD SOLICITADA]]-DETALLE_GD_1[[#This Row],[DEVOLUCIÓN]]</f>
        <v>70</v>
      </c>
      <c r="AD344" s="38" t="str">
        <f>+_xlfn.XLOOKUP(DETALLE_GD_1[[#This Row],[CODIGO]],PRODUCTOS[CODIGO],PRODUCTOS[DESC CORTA],"",0)</f>
        <v>VOCANITA EMPAPELADA MURO</v>
      </c>
      <c r="AE344"/>
      <c r="AH344"/>
    </row>
    <row r="345" spans="1:34" x14ac:dyDescent="0.25">
      <c r="A345" s="1">
        <v>46066</v>
      </c>
      <c r="B345" s="1">
        <v>46066</v>
      </c>
      <c r="C345" s="81" t="s">
        <v>220</v>
      </c>
      <c r="D345" s="38">
        <v>2</v>
      </c>
      <c r="E345" s="81" t="s">
        <v>384</v>
      </c>
      <c r="F345">
        <v>701015</v>
      </c>
      <c r="G345" s="81" t="s">
        <v>254</v>
      </c>
      <c r="H345" s="81" t="s">
        <v>18</v>
      </c>
      <c r="I345" s="3">
        <v>5</v>
      </c>
      <c r="J345" s="3"/>
      <c r="K345" s="26">
        <v>5</v>
      </c>
      <c r="L345" s="2">
        <v>9151.2000000000007</v>
      </c>
      <c r="M345" s="2">
        <v>45756</v>
      </c>
      <c r="N345" s="2">
        <v>45756</v>
      </c>
      <c r="O345" s="2">
        <v>9151.2975000000006</v>
      </c>
      <c r="P345" s="2">
        <v>9.7500000000000003E-2</v>
      </c>
      <c r="Q345" s="2">
        <v>0.48730000000000001</v>
      </c>
      <c r="R345" s="4">
        <v>1.0650730165941893E-5</v>
      </c>
      <c r="T345">
        <v>306292</v>
      </c>
      <c r="U345" s="2">
        <v>45756</v>
      </c>
      <c r="V345">
        <v>5694</v>
      </c>
      <c r="W345" s="2">
        <v>6579000000</v>
      </c>
      <c r="X345" s="6">
        <v>45756.487340000007</v>
      </c>
      <c r="Y345" s="38">
        <v>10010</v>
      </c>
      <c r="Z345" s="86">
        <f>+((DETALLE_GD_1[[#This Row],[VALOR X UN (GD)]]-DETALLE_GD_1[[#This Row],[VALOR PPTO]])/DETALLE_GD_1[[#This Row],[VALOR PPTO]])</f>
        <v>-1.0654226900595733E-5</v>
      </c>
      <c r="AA345" s="2">
        <f>+DETALLE_GD_1[[#This Row],[VALOR PPTO]]*DETALLE_GD_1[[#This Row],[CANTIDAD RECIBIDA]]</f>
        <v>45756.487500000003</v>
      </c>
      <c r="AB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5" s="3">
        <f>+DETALLE_GD_1[[#This Row],[CANTIDAD SOLICITADA]]-DETALLE_GD_1[[#This Row],[DEVOLUCIÓN]]</f>
        <v>5</v>
      </c>
      <c r="AD345" s="38" t="str">
        <f>+_xlfn.XLOOKUP(DETALLE_GD_1[[#This Row],[CODIGO]],PRODUCTOS[CODIGO],PRODUCTOS[DESC CORTA],"",0)</f>
        <v>VOLCANITA RH</v>
      </c>
      <c r="AE345"/>
      <c r="AH345"/>
    </row>
    <row r="346" spans="1:34" x14ac:dyDescent="0.25">
      <c r="A346" s="1">
        <v>46070</v>
      </c>
      <c r="B346" s="1">
        <v>46070</v>
      </c>
      <c r="C346" s="81" t="s">
        <v>221</v>
      </c>
      <c r="D346" s="38">
        <v>2</v>
      </c>
      <c r="E346" s="81" t="s">
        <v>222</v>
      </c>
      <c r="F346" t="s">
        <v>179</v>
      </c>
      <c r="G346" s="81" t="s">
        <v>180</v>
      </c>
      <c r="H346" s="81" t="s">
        <v>36</v>
      </c>
      <c r="I346" s="3">
        <v>3</v>
      </c>
      <c r="J346" s="3"/>
      <c r="K346" s="26">
        <v>3</v>
      </c>
      <c r="L346" s="2">
        <v>55858.333299999998</v>
      </c>
      <c r="M346" s="2">
        <v>167575</v>
      </c>
      <c r="N346" s="2">
        <v>167575</v>
      </c>
      <c r="O346" s="2">
        <v>55858.301899999999</v>
      </c>
      <c r="P346" s="2">
        <v>-3.1399999999999997E-2</v>
      </c>
      <c r="Q346" s="2">
        <v>-9.4299999999999995E-2</v>
      </c>
      <c r="R346" s="4">
        <v>-5.6296615327130263E-7</v>
      </c>
      <c r="T346">
        <v>306413</v>
      </c>
      <c r="U346" s="2">
        <v>4388048</v>
      </c>
      <c r="V346">
        <v>5694</v>
      </c>
      <c r="W346" s="2">
        <v>6579000000</v>
      </c>
      <c r="X346" s="6">
        <v>167574.905661</v>
      </c>
      <c r="Y346" s="38">
        <v>10010</v>
      </c>
      <c r="Z346" s="86">
        <f>+((DETALLE_GD_1[[#This Row],[VALOR X UN (GD)]]-DETALLE_GD_1[[#This Row],[VALOR PPTO]])/DETALLE_GD_1[[#This Row],[VALOR PPTO]])</f>
        <v>5.6213667318534545E-7</v>
      </c>
      <c r="AA346" s="2">
        <f>+DETALLE_GD_1[[#This Row],[VALOR PPTO]]*DETALLE_GD_1[[#This Row],[CANTIDAD RECIBIDA]]</f>
        <v>167574.9057</v>
      </c>
      <c r="AB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6" s="3">
        <f>+DETALLE_GD_1[[#This Row],[CANTIDAD SOLICITADA]]-DETALLE_GD_1[[#This Row],[DEVOLUCIÓN]]</f>
        <v>3</v>
      </c>
      <c r="AD346" s="38">
        <f>+_xlfn.XLOOKUP(DETALLE_GD_1[[#This Row],[CODIGO]],PRODUCTOS[CODIGO],PRODUCTOS[DESC CORTA],"",0)</f>
        <v>0</v>
      </c>
      <c r="AE346"/>
      <c r="AH346"/>
    </row>
    <row r="347" spans="1:34" x14ac:dyDescent="0.25">
      <c r="A347" s="1">
        <v>46070</v>
      </c>
      <c r="B347" s="1">
        <v>46070</v>
      </c>
      <c r="C347" s="81" t="s">
        <v>221</v>
      </c>
      <c r="D347" s="38">
        <v>2</v>
      </c>
      <c r="E347" s="81" t="s">
        <v>222</v>
      </c>
      <c r="F347">
        <v>2302119</v>
      </c>
      <c r="G347" s="81" t="s">
        <v>74</v>
      </c>
      <c r="H347" s="81" t="s">
        <v>31</v>
      </c>
      <c r="I347" s="3">
        <v>12</v>
      </c>
      <c r="J347" s="3"/>
      <c r="K347" s="26">
        <v>12</v>
      </c>
      <c r="L347" s="2">
        <v>3670.9167000000002</v>
      </c>
      <c r="M347" s="2">
        <v>44051</v>
      </c>
      <c r="N347" s="2">
        <v>44051</v>
      </c>
      <c r="O347" s="2">
        <v>3671</v>
      </c>
      <c r="P347" s="2">
        <v>8.3299999999999999E-2</v>
      </c>
      <c r="Q347" s="2">
        <v>1</v>
      </c>
      <c r="R347" s="4">
        <v>2.2700444928761893E-5</v>
      </c>
      <c r="T347">
        <v>306413</v>
      </c>
      <c r="U347" s="2"/>
      <c r="V347">
        <v>5694</v>
      </c>
      <c r="W347" s="2">
        <v>6579000000</v>
      </c>
      <c r="X347" s="6">
        <v>44052</v>
      </c>
      <c r="Y347" s="38">
        <v>10010</v>
      </c>
      <c r="Z347" s="86">
        <f>+((DETALLE_GD_1[[#This Row],[VALOR X UN (GD)]]-DETALLE_GD_1[[#This Row],[VALOR PPTO]])/DETALLE_GD_1[[#This Row],[VALOR PPTO]])</f>
        <v>-2.2691364750689457E-5</v>
      </c>
      <c r="AA347" s="2">
        <f>+DETALLE_GD_1[[#This Row],[VALOR PPTO]]*DETALLE_GD_1[[#This Row],[CANTIDAD RECIBIDA]]</f>
        <v>44052</v>
      </c>
      <c r="AB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7" s="3">
        <f>+DETALLE_GD_1[[#This Row],[CANTIDAD SOLICITADA]]-DETALLE_GD_1[[#This Row],[DEVOLUCIÓN]]</f>
        <v>12</v>
      </c>
      <c r="AD347" s="38" t="str">
        <f>+_xlfn.XLOOKUP(DETALLE_GD_1[[#This Row],[CODIGO]],PRODUCTOS[CODIGO],PRODUCTOS[DESC CORTA],"",0)</f>
        <v>SELLO</v>
      </c>
      <c r="AE347"/>
      <c r="AH347"/>
    </row>
    <row r="348" spans="1:34" x14ac:dyDescent="0.25">
      <c r="A348" s="1">
        <v>46070</v>
      </c>
      <c r="B348" s="1">
        <v>46070</v>
      </c>
      <c r="C348" s="81" t="s">
        <v>169</v>
      </c>
      <c r="D348" s="38">
        <v>2</v>
      </c>
      <c r="E348" s="81" t="s">
        <v>222</v>
      </c>
      <c r="F348">
        <v>1901505</v>
      </c>
      <c r="G348" s="81" t="s">
        <v>27</v>
      </c>
      <c r="H348" s="81" t="s">
        <v>28</v>
      </c>
      <c r="I348" s="3">
        <v>17</v>
      </c>
      <c r="J348" s="3"/>
      <c r="K348" s="26">
        <v>17</v>
      </c>
      <c r="L348" s="2">
        <v>1895</v>
      </c>
      <c r="M348" s="2">
        <v>32215</v>
      </c>
      <c r="N348" s="2">
        <v>32215</v>
      </c>
      <c r="O348" s="2">
        <v>1895</v>
      </c>
      <c r="P348" s="2">
        <v>0</v>
      </c>
      <c r="Q348" s="2">
        <v>0</v>
      </c>
      <c r="R348" s="4">
        <v>0</v>
      </c>
      <c r="T348">
        <v>306413</v>
      </c>
      <c r="U348" s="2"/>
      <c r="V348">
        <v>5694</v>
      </c>
      <c r="W348" s="2">
        <v>6579000000</v>
      </c>
      <c r="X348" s="6">
        <v>32215</v>
      </c>
      <c r="Y348" s="38">
        <v>10010</v>
      </c>
      <c r="Z348" s="86">
        <f>+((DETALLE_GD_1[[#This Row],[VALOR X UN (GD)]]-DETALLE_GD_1[[#This Row],[VALOR PPTO]])/DETALLE_GD_1[[#This Row],[VALOR PPTO]])</f>
        <v>0</v>
      </c>
      <c r="AA348" s="2">
        <f>+DETALLE_GD_1[[#This Row],[VALOR PPTO]]*DETALLE_GD_1[[#This Row],[CANTIDAD RECIBIDA]]</f>
        <v>32215</v>
      </c>
      <c r="AB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8" s="3">
        <f>+DETALLE_GD_1[[#This Row],[CANTIDAD SOLICITADA]]-DETALLE_GD_1[[#This Row],[DEVOLUCIÓN]]</f>
        <v>17</v>
      </c>
      <c r="AD348" s="38" t="str">
        <f>+_xlfn.XLOOKUP(DETALLE_GD_1[[#This Row],[CODIGO]],PRODUCTOS[CODIGO],PRODUCTOS[DESC CORTA],"",0)</f>
        <v>POLIETILENO</v>
      </c>
      <c r="AE348"/>
      <c r="AH348"/>
    </row>
    <row r="349" spans="1:34" x14ac:dyDescent="0.25">
      <c r="A349" s="1">
        <v>46070</v>
      </c>
      <c r="B349" s="1">
        <v>46070</v>
      </c>
      <c r="C349" s="81" t="s">
        <v>221</v>
      </c>
      <c r="D349" s="38">
        <v>2</v>
      </c>
      <c r="E349" s="81" t="s">
        <v>222</v>
      </c>
      <c r="F349">
        <v>304014</v>
      </c>
      <c r="G349" s="81" t="s">
        <v>23</v>
      </c>
      <c r="H349" s="81" t="s">
        <v>18</v>
      </c>
      <c r="I349" s="3">
        <v>195</v>
      </c>
      <c r="J349" s="3"/>
      <c r="K349" s="26">
        <v>195</v>
      </c>
      <c r="L349" s="2">
        <v>20894.574400000001</v>
      </c>
      <c r="M349" s="2">
        <v>4074442</v>
      </c>
      <c r="N349" s="2">
        <v>4074442</v>
      </c>
      <c r="O349" s="2">
        <v>20894.5723</v>
      </c>
      <c r="P349" s="2">
        <v>-2.0999999999999999E-3</v>
      </c>
      <c r="Q349" s="2">
        <v>-0.40439999999999998</v>
      </c>
      <c r="R349" s="4">
        <v>-9.9259000434648805E-8</v>
      </c>
      <c r="T349">
        <v>306413</v>
      </c>
      <c r="U349" s="2"/>
      <c r="V349">
        <v>5694</v>
      </c>
      <c r="W349" s="2">
        <v>6579000000</v>
      </c>
      <c r="X349" s="6">
        <v>4074441.5955750002</v>
      </c>
      <c r="Y349" s="38">
        <v>10010</v>
      </c>
      <c r="Z349" s="86">
        <f>+((DETALLE_GD_1[[#This Row],[VALOR X UN (GD)]]-DETALLE_GD_1[[#This Row],[VALOR PPTO]])/DETALLE_GD_1[[#This Row],[VALOR PPTO]])</f>
        <v>1.0050456986474042E-7</v>
      </c>
      <c r="AA349" s="2">
        <f>+DETALLE_GD_1[[#This Row],[VALOR PPTO]]*DETALLE_GD_1[[#This Row],[CANTIDAD RECIBIDA]]</f>
        <v>4074441.5984999998</v>
      </c>
      <c r="AB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9" s="3">
        <f>+DETALLE_GD_1[[#This Row],[CANTIDAD SOLICITADA]]-DETALLE_GD_1[[#This Row],[DEVOLUCIÓN]]</f>
        <v>195</v>
      </c>
      <c r="AD349" s="38">
        <f>+_xlfn.XLOOKUP(DETALLE_GD_1[[#This Row],[CODIGO]],PRODUCTOS[CODIGO],PRODUCTOS[DESC CORTA],"",0)</f>
        <v>0</v>
      </c>
      <c r="AE349"/>
      <c r="AH349"/>
    </row>
    <row r="350" spans="1:34" x14ac:dyDescent="0.25">
      <c r="A350" s="1">
        <v>46070</v>
      </c>
      <c r="B350" s="1">
        <v>46070</v>
      </c>
      <c r="C350" s="81" t="s">
        <v>169</v>
      </c>
      <c r="D350" s="38">
        <v>2</v>
      </c>
      <c r="E350" s="81" t="s">
        <v>222</v>
      </c>
      <c r="F350">
        <v>2302098</v>
      </c>
      <c r="G350" s="81" t="s">
        <v>24</v>
      </c>
      <c r="H350" s="81" t="s">
        <v>25</v>
      </c>
      <c r="I350" s="3">
        <v>3</v>
      </c>
      <c r="J350" s="3"/>
      <c r="K350" s="26">
        <v>3</v>
      </c>
      <c r="L350" s="2">
        <v>21213</v>
      </c>
      <c r="M350" s="2">
        <v>63639</v>
      </c>
      <c r="N350" s="2">
        <v>63639</v>
      </c>
      <c r="O350" s="2">
        <v>21213</v>
      </c>
      <c r="P350" s="2">
        <v>0</v>
      </c>
      <c r="Q350" s="2">
        <v>0</v>
      </c>
      <c r="R350" s="4">
        <v>-1.7149761029050001E-16</v>
      </c>
      <c r="T350">
        <v>306413</v>
      </c>
      <c r="U350" s="2"/>
      <c r="V350">
        <v>5694</v>
      </c>
      <c r="W350" s="2">
        <v>6579000000</v>
      </c>
      <c r="X350" s="6">
        <v>63638.999999999985</v>
      </c>
      <c r="Y350" s="38">
        <v>10010</v>
      </c>
      <c r="Z350" s="86">
        <f>+((DETALLE_GD_1[[#This Row],[VALOR X UN (GD)]]-DETALLE_GD_1[[#This Row],[VALOR PPTO]])/DETALLE_GD_1[[#This Row],[VALOR PPTO]])</f>
        <v>0</v>
      </c>
      <c r="AA350" s="2">
        <f>+DETALLE_GD_1[[#This Row],[VALOR PPTO]]*DETALLE_GD_1[[#This Row],[CANTIDAD RECIBIDA]]</f>
        <v>63639</v>
      </c>
      <c r="AB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0" s="3">
        <f>+DETALLE_GD_1[[#This Row],[CANTIDAD SOLICITADA]]-DETALLE_GD_1[[#This Row],[DEVOLUCIÓN]]</f>
        <v>3</v>
      </c>
      <c r="AD350" s="38" t="str">
        <f>+_xlfn.XLOOKUP(DETALLE_GD_1[[#This Row],[CODIGO]],PRODUCTOS[CODIGO],PRODUCTOS[DESC CORTA],"",0)</f>
        <v>COLA FRIA</v>
      </c>
      <c r="AE350"/>
      <c r="AH350"/>
    </row>
    <row r="351" spans="1:34" x14ac:dyDescent="0.25">
      <c r="A351" s="1">
        <v>46070</v>
      </c>
      <c r="B351" s="1">
        <v>46070</v>
      </c>
      <c r="C351" s="81" t="s">
        <v>169</v>
      </c>
      <c r="D351" s="38">
        <v>2</v>
      </c>
      <c r="E351" s="81" t="s">
        <v>222</v>
      </c>
      <c r="F351">
        <v>617057</v>
      </c>
      <c r="G351" s="81" t="s">
        <v>134</v>
      </c>
      <c r="H351" s="81" t="s">
        <v>31</v>
      </c>
      <c r="I351" s="3">
        <v>3</v>
      </c>
      <c r="J351" s="3"/>
      <c r="K351" s="26">
        <v>3</v>
      </c>
      <c r="L351" s="2">
        <v>2042</v>
      </c>
      <c r="M351" s="2">
        <v>6126</v>
      </c>
      <c r="N351" s="2">
        <v>6126</v>
      </c>
      <c r="O351" s="2">
        <v>2042.1197</v>
      </c>
      <c r="P351" s="2">
        <v>0.1197</v>
      </c>
      <c r="Q351" s="2">
        <v>0.35909999999999997</v>
      </c>
      <c r="R351" s="4">
        <v>5.8618502944876345E-5</v>
      </c>
      <c r="T351">
        <v>306413</v>
      </c>
      <c r="U351" s="2"/>
      <c r="V351">
        <v>5694</v>
      </c>
      <c r="W351" s="2">
        <v>6579000000</v>
      </c>
      <c r="X351" s="6">
        <v>6126.3591180000003</v>
      </c>
      <c r="Y351" s="38">
        <v>10010</v>
      </c>
      <c r="Z351" s="86">
        <f>+((DETALLE_GD_1[[#This Row],[VALOR X UN (GD)]]-DETALLE_GD_1[[#This Row],[VALOR PPTO]])/DETALLE_GD_1[[#This Row],[VALOR PPTO]])</f>
        <v>-5.8615564993553597E-5</v>
      </c>
      <c r="AA351" s="2">
        <f>+DETALLE_GD_1[[#This Row],[VALOR PPTO]]*DETALLE_GD_1[[#This Row],[CANTIDAD RECIBIDA]]</f>
        <v>6126.3590999999997</v>
      </c>
      <c r="AB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1" s="3">
        <f>+DETALLE_GD_1[[#This Row],[CANTIDAD SOLICITADA]]-DETALLE_GD_1[[#This Row],[DEVOLUCIÓN]]</f>
        <v>3</v>
      </c>
      <c r="AD351" s="38" t="str">
        <f>+_xlfn.XLOOKUP(DETALLE_GD_1[[#This Row],[CODIGO]],PRODUCTOS[CODIGO],PRODUCTOS[DESC CORTA],"",0)</f>
        <v>BROCHA 5/8 X4</v>
      </c>
      <c r="AE351"/>
      <c r="AH351"/>
    </row>
    <row r="352" spans="1:34" x14ac:dyDescent="0.25">
      <c r="A352" s="1">
        <v>46070</v>
      </c>
      <c r="B352" s="1">
        <v>46070</v>
      </c>
      <c r="C352" s="81" t="s">
        <v>169</v>
      </c>
      <c r="D352" s="38">
        <v>2</v>
      </c>
      <c r="E352" s="81" t="s">
        <v>384</v>
      </c>
      <c r="F352">
        <v>1902013</v>
      </c>
      <c r="G352" s="81" t="s">
        <v>338</v>
      </c>
      <c r="H352" s="81" t="s">
        <v>47</v>
      </c>
      <c r="I352" s="3">
        <v>30</v>
      </c>
      <c r="J352" s="3"/>
      <c r="K352" s="26">
        <v>30</v>
      </c>
      <c r="L352" s="2">
        <v>48058.833299999998</v>
      </c>
      <c r="M352" s="2">
        <v>1441765</v>
      </c>
      <c r="N352" s="2">
        <v>1441765</v>
      </c>
      <c r="O352" s="2">
        <v>29779</v>
      </c>
      <c r="P352" s="2">
        <v>-18279.833299999998</v>
      </c>
      <c r="Q352" s="2">
        <v>-548395</v>
      </c>
      <c r="R352" s="4">
        <v>-0.61384980467219641</v>
      </c>
      <c r="S352" t="s">
        <v>387</v>
      </c>
      <c r="T352">
        <v>306505</v>
      </c>
      <c r="U352" s="2">
        <v>1441765</v>
      </c>
      <c r="V352">
        <v>5694</v>
      </c>
      <c r="W352" s="2">
        <v>6579000000</v>
      </c>
      <c r="X352" s="6">
        <v>893370</v>
      </c>
      <c r="Y352" s="38">
        <v>10010</v>
      </c>
      <c r="Z352" s="86">
        <f>+((DETALLE_GD_1[[#This Row],[VALOR X UN (GD)]]-DETALLE_GD_1[[#This Row],[VALOR PPTO]])/DETALLE_GD_1[[#This Row],[VALOR PPTO]])</f>
        <v>0.61384980355283925</v>
      </c>
      <c r="AA352" s="2">
        <f>+DETALLE_GD_1[[#This Row],[VALOR PPTO]]*DETALLE_GD_1[[#This Row],[CANTIDAD RECIBIDA]]</f>
        <v>893370</v>
      </c>
      <c r="AB3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52" s="3">
        <f>+DETALLE_GD_1[[#This Row],[CANTIDAD SOLICITADA]]-DETALLE_GD_1[[#This Row],[DEVOLUCIÓN]]</f>
        <v>30</v>
      </c>
      <c r="AD352" s="38">
        <f>+_xlfn.XLOOKUP(DETALLE_GD_1[[#This Row],[CODIGO]],PRODUCTOS[CODIGO],PRODUCTOS[DESC CORTA],"",0)</f>
        <v>0</v>
      </c>
      <c r="AE352"/>
      <c r="AH352"/>
    </row>
    <row r="353" spans="1:34" x14ac:dyDescent="0.25">
      <c r="A353" s="1">
        <v>46072</v>
      </c>
      <c r="B353" s="1">
        <v>46072</v>
      </c>
      <c r="C353" s="81" t="s">
        <v>223</v>
      </c>
      <c r="D353" s="38">
        <v>2</v>
      </c>
      <c r="E353" s="81" t="s">
        <v>388</v>
      </c>
      <c r="F353" t="s">
        <v>179</v>
      </c>
      <c r="G353" s="81" t="s">
        <v>180</v>
      </c>
      <c r="H353" s="81" t="s">
        <v>36</v>
      </c>
      <c r="I353" s="3">
        <v>6</v>
      </c>
      <c r="J353" s="3"/>
      <c r="K353" s="26">
        <v>6</v>
      </c>
      <c r="L353" s="2">
        <v>55858.333299999998</v>
      </c>
      <c r="M353" s="2">
        <v>335150</v>
      </c>
      <c r="N353" s="2">
        <v>335150</v>
      </c>
      <c r="O353" s="2">
        <v>55858.301899999999</v>
      </c>
      <c r="P353" s="2">
        <v>-3.1399999999999997E-2</v>
      </c>
      <c r="Q353" s="2">
        <v>-0.18870000000000001</v>
      </c>
      <c r="R353" s="4">
        <v>-5.6296615327130263E-7</v>
      </c>
      <c r="T353">
        <v>306701</v>
      </c>
      <c r="U353" s="2">
        <v>364065</v>
      </c>
      <c r="V353">
        <v>5694</v>
      </c>
      <c r="W353" s="2">
        <v>6579000000</v>
      </c>
      <c r="X353" s="6">
        <v>335149.81132199999</v>
      </c>
      <c r="Y353" s="38">
        <v>10010</v>
      </c>
      <c r="Z353" s="86">
        <f>+((DETALLE_GD_1[[#This Row],[VALOR X UN (GD)]]-DETALLE_GD_1[[#This Row],[VALOR PPTO]])/DETALLE_GD_1[[#This Row],[VALOR PPTO]])</f>
        <v>5.6213667318534545E-7</v>
      </c>
      <c r="AA353" s="2">
        <f>+DETALLE_GD_1[[#This Row],[VALOR PPTO]]*DETALLE_GD_1[[#This Row],[CANTIDAD RECIBIDA]]</f>
        <v>335149.81140000001</v>
      </c>
      <c r="AB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3" s="3">
        <f>+DETALLE_GD_1[[#This Row],[CANTIDAD SOLICITADA]]-DETALLE_GD_1[[#This Row],[DEVOLUCIÓN]]</f>
        <v>6</v>
      </c>
      <c r="AD353" s="38">
        <f>+_xlfn.XLOOKUP(DETALLE_GD_1[[#This Row],[CODIGO]],PRODUCTOS[CODIGO],PRODUCTOS[DESC CORTA],"",0)</f>
        <v>0</v>
      </c>
      <c r="AE353"/>
      <c r="AH353"/>
    </row>
    <row r="354" spans="1:34" x14ac:dyDescent="0.25">
      <c r="A354" s="1">
        <v>46072</v>
      </c>
      <c r="B354" s="1">
        <v>46072</v>
      </c>
      <c r="C354" s="81" t="s">
        <v>223</v>
      </c>
      <c r="D354" s="38">
        <v>2</v>
      </c>
      <c r="E354" s="81" t="s">
        <v>388</v>
      </c>
      <c r="F354">
        <v>617016</v>
      </c>
      <c r="G354" s="81" t="s">
        <v>133</v>
      </c>
      <c r="H354" s="81" t="s">
        <v>31</v>
      </c>
      <c r="I354" s="3">
        <v>2</v>
      </c>
      <c r="J354" s="3"/>
      <c r="K354" s="26">
        <v>2</v>
      </c>
      <c r="L354" s="2">
        <v>2857.5</v>
      </c>
      <c r="M354" s="2">
        <v>5715</v>
      </c>
      <c r="N354" s="2">
        <v>5715</v>
      </c>
      <c r="O354" s="2">
        <v>2857.5133000000001</v>
      </c>
      <c r="P354" s="2">
        <v>1.3299999999999999E-2</v>
      </c>
      <c r="Q354" s="2">
        <v>2.6499999999999999E-2</v>
      </c>
      <c r="R354" s="4">
        <v>4.6452977561602401E-6</v>
      </c>
      <c r="T354">
        <v>306701</v>
      </c>
      <c r="U354" s="2"/>
      <c r="V354">
        <v>5694</v>
      </c>
      <c r="W354" s="2">
        <v>6579000000</v>
      </c>
      <c r="X354" s="6">
        <v>5715.0265479999998</v>
      </c>
      <c r="Y354" s="38">
        <v>10010</v>
      </c>
      <c r="Z354" s="86">
        <f>+((DETALLE_GD_1[[#This Row],[VALOR X UN (GD)]]-DETALLE_GD_1[[#This Row],[VALOR PPTO]])/DETALLE_GD_1[[#This Row],[VALOR PPTO]])</f>
        <v>-4.6543965342425642E-6</v>
      </c>
      <c r="AA354" s="2">
        <f>+DETALLE_GD_1[[#This Row],[VALOR PPTO]]*DETALLE_GD_1[[#This Row],[CANTIDAD RECIBIDA]]</f>
        <v>5715.0266000000001</v>
      </c>
      <c r="AB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4" s="3">
        <f>+DETALLE_GD_1[[#This Row],[CANTIDAD SOLICITADA]]-DETALLE_GD_1[[#This Row],[DEVOLUCIÓN]]</f>
        <v>2</v>
      </c>
      <c r="AD354" s="38" t="str">
        <f>+_xlfn.XLOOKUP(DETALLE_GD_1[[#This Row],[CODIGO]],PRODUCTOS[CODIGO],PRODUCTOS[DESC CORTA],"",0)</f>
        <v>RODILLO CHIPORRO</v>
      </c>
      <c r="AE354"/>
      <c r="AH354"/>
    </row>
    <row r="355" spans="1:34" x14ac:dyDescent="0.25">
      <c r="A355" s="1">
        <v>46072</v>
      </c>
      <c r="B355" s="1">
        <v>46072</v>
      </c>
      <c r="C355" s="81" t="s">
        <v>169</v>
      </c>
      <c r="D355" s="38">
        <v>2</v>
      </c>
      <c r="E355" s="81" t="s">
        <v>169</v>
      </c>
      <c r="F355">
        <v>408071</v>
      </c>
      <c r="G355" s="81" t="s">
        <v>111</v>
      </c>
      <c r="H355" s="81" t="s">
        <v>36</v>
      </c>
      <c r="I355" s="3">
        <v>1</v>
      </c>
      <c r="J355" s="3"/>
      <c r="K355" s="26">
        <v>1</v>
      </c>
      <c r="L355" s="2">
        <v>23200</v>
      </c>
      <c r="M355" s="2">
        <v>23200</v>
      </c>
      <c r="N355" s="2">
        <v>23200</v>
      </c>
      <c r="O355" s="2">
        <v>23200.297900000001</v>
      </c>
      <c r="P355" s="2">
        <v>0.2979</v>
      </c>
      <c r="Q355" s="2">
        <v>0.2979</v>
      </c>
      <c r="R355" s="4">
        <v>1.2839145498234941E-5</v>
      </c>
      <c r="T355">
        <v>306701</v>
      </c>
      <c r="U355" s="2"/>
      <c r="V355">
        <v>5694</v>
      </c>
      <c r="W355" s="2">
        <v>6579000000</v>
      </c>
      <c r="X355" s="6">
        <v>23200.297871999981</v>
      </c>
      <c r="Y355" s="38">
        <v>10010</v>
      </c>
      <c r="Z355" s="86">
        <f>+((DETALLE_GD_1[[#This Row],[VALOR X UN (GD)]]-DETALLE_GD_1[[#This Row],[VALOR PPTO]])/DETALLE_GD_1[[#This Row],[VALOR PPTO]])</f>
        <v>-1.2840352364673349E-5</v>
      </c>
      <c r="AA355" s="2">
        <f>+DETALLE_GD_1[[#This Row],[VALOR PPTO]]*DETALLE_GD_1[[#This Row],[CANTIDAD RECIBIDA]]</f>
        <v>23200.297900000001</v>
      </c>
      <c r="AB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5" s="3">
        <f>+DETALLE_GD_1[[#This Row],[CANTIDAD SOLICITADA]]-DETALLE_GD_1[[#This Row],[DEVOLUCIÓN]]</f>
        <v>1</v>
      </c>
      <c r="AD355" s="38" t="str">
        <f>+_xlfn.XLOOKUP(DETALLE_GD_1[[#This Row],[CODIGO]],PRODUCTOS[CODIGO],PRODUCTOS[DESC CORTA],"",0)</f>
        <v>CLAVO HELICOIDAL</v>
      </c>
      <c r="AE355"/>
      <c r="AH355"/>
    </row>
    <row r="356" spans="1:34" x14ac:dyDescent="0.25">
      <c r="A356" s="1">
        <v>46073</v>
      </c>
      <c r="B356" s="1">
        <v>46073</v>
      </c>
      <c r="C356" s="81" t="s">
        <v>224</v>
      </c>
      <c r="D356" s="38">
        <v>2</v>
      </c>
      <c r="E356" s="81" t="s">
        <v>389</v>
      </c>
      <c r="F356">
        <v>408071</v>
      </c>
      <c r="G356" s="81" t="s">
        <v>111</v>
      </c>
      <c r="H356" s="81" t="s">
        <v>36</v>
      </c>
      <c r="I356" s="3">
        <v>6</v>
      </c>
      <c r="J356" s="3"/>
      <c r="K356" s="26">
        <v>6</v>
      </c>
      <c r="L356" s="2">
        <v>23200.333299999998</v>
      </c>
      <c r="M356" s="2">
        <v>139202</v>
      </c>
      <c r="N356" s="2">
        <v>139202</v>
      </c>
      <c r="O356" s="2">
        <v>23200.297900000001</v>
      </c>
      <c r="P356" s="2">
        <v>-3.5499999999999997E-2</v>
      </c>
      <c r="Q356" s="2">
        <v>-0.21279999999999999</v>
      </c>
      <c r="R356" s="4">
        <v>-1.528486123185517E-6</v>
      </c>
      <c r="T356">
        <v>306869</v>
      </c>
      <c r="U356" s="2">
        <v>4387667</v>
      </c>
      <c r="V356">
        <v>5694</v>
      </c>
      <c r="W356" s="2">
        <v>6579000000</v>
      </c>
      <c r="X356" s="6">
        <v>139201.78723199989</v>
      </c>
      <c r="Y356" s="38">
        <v>10010</v>
      </c>
      <c r="Z356" s="86">
        <f>+((DETALLE_GD_1[[#This Row],[VALOR X UN (GD)]]-DETALLE_GD_1[[#This Row],[VALOR PPTO]])/DETALLE_GD_1[[#This Row],[VALOR PPTO]])</f>
        <v>1.525842476230686E-6</v>
      </c>
      <c r="AA356" s="2">
        <f>+DETALLE_GD_1[[#This Row],[VALOR PPTO]]*DETALLE_GD_1[[#This Row],[CANTIDAD RECIBIDA]]</f>
        <v>139201.7874</v>
      </c>
      <c r="AB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6" s="3">
        <f>+DETALLE_GD_1[[#This Row],[CANTIDAD SOLICITADA]]-DETALLE_GD_1[[#This Row],[DEVOLUCIÓN]]</f>
        <v>6</v>
      </c>
      <c r="AD356" s="38" t="str">
        <f>+_xlfn.XLOOKUP(DETALLE_GD_1[[#This Row],[CODIGO]],PRODUCTOS[CODIGO],PRODUCTOS[DESC CORTA],"",0)</f>
        <v>CLAVO HELICOIDAL</v>
      </c>
      <c r="AE356"/>
      <c r="AH356"/>
    </row>
    <row r="357" spans="1:34" x14ac:dyDescent="0.25">
      <c r="A357" s="1">
        <v>46073</v>
      </c>
      <c r="B357" s="1">
        <v>46073</v>
      </c>
      <c r="C357" s="81" t="s">
        <v>224</v>
      </c>
      <c r="D357" s="38">
        <v>2</v>
      </c>
      <c r="E357" s="81" t="s">
        <v>389</v>
      </c>
      <c r="F357">
        <v>412280</v>
      </c>
      <c r="G357" s="81" t="s">
        <v>40</v>
      </c>
      <c r="H357" s="81" t="s">
        <v>31</v>
      </c>
      <c r="I357" s="3">
        <v>33</v>
      </c>
      <c r="J357" s="3"/>
      <c r="K357" s="26">
        <v>33</v>
      </c>
      <c r="L357" s="2">
        <v>40002.909099999997</v>
      </c>
      <c r="M357" s="2">
        <v>1320096</v>
      </c>
      <c r="N357" s="2">
        <v>1320096</v>
      </c>
      <c r="O357" s="2">
        <v>40002.920100000003</v>
      </c>
      <c r="P357" s="2">
        <v>1.0999999999999999E-2</v>
      </c>
      <c r="Q357" s="2">
        <v>0.36309999999999998</v>
      </c>
      <c r="R357" s="4">
        <v>2.7503219481959026E-7</v>
      </c>
      <c r="T357">
        <v>306869</v>
      </c>
      <c r="U357" s="2"/>
      <c r="V357">
        <v>5694</v>
      </c>
      <c r="W357" s="2">
        <v>6579000000</v>
      </c>
      <c r="X357" s="6">
        <v>1320096.363069</v>
      </c>
      <c r="Y357" s="38">
        <v>10010</v>
      </c>
      <c r="Z357" s="86">
        <f>+((DETALLE_GD_1[[#This Row],[VALOR X UN (GD)]]-DETALLE_GD_1[[#This Row],[VALOR PPTO]])/DETALLE_GD_1[[#This Row],[VALOR PPTO]])</f>
        <v>-2.7497992592493201E-7</v>
      </c>
      <c r="AA357" s="2">
        <f>+DETALLE_GD_1[[#This Row],[VALOR PPTO]]*DETALLE_GD_1[[#This Row],[CANTIDAD RECIBIDA]]</f>
        <v>1320096.3633000001</v>
      </c>
      <c r="AB3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57" s="3">
        <f>+DETALLE_GD_1[[#This Row],[CANTIDAD SOLICITADA]]-DETALLE_GD_1[[#This Row],[DEVOLUCIÓN]]</f>
        <v>33</v>
      </c>
      <c r="AD357" s="38" t="str">
        <f>+_xlfn.XLOOKUP(DETALLE_GD_1[[#This Row],[CODIGO]],PRODUCTOS[CODIGO],PRODUCTOS[DESC CORTA],"",0)</f>
        <v>PB2</v>
      </c>
      <c r="AE357"/>
      <c r="AH357"/>
    </row>
    <row r="358" spans="1:34" x14ac:dyDescent="0.25">
      <c r="A358" s="1">
        <v>46073</v>
      </c>
      <c r="B358" s="1">
        <v>46073</v>
      </c>
      <c r="C358" s="81" t="s">
        <v>224</v>
      </c>
      <c r="D358" s="38">
        <v>2</v>
      </c>
      <c r="E358" s="81" t="s">
        <v>389</v>
      </c>
      <c r="F358">
        <v>412260</v>
      </c>
      <c r="G358" s="81" t="s">
        <v>41</v>
      </c>
      <c r="H358" s="81" t="s">
        <v>31</v>
      </c>
      <c r="I358" s="3">
        <v>12</v>
      </c>
      <c r="J358" s="3"/>
      <c r="K358" s="26">
        <v>12</v>
      </c>
      <c r="L358" s="2">
        <v>87567.416700000002</v>
      </c>
      <c r="M358" s="2">
        <v>1050809</v>
      </c>
      <c r="N358" s="2">
        <v>1050809</v>
      </c>
      <c r="O358" s="2">
        <v>87567.442500000005</v>
      </c>
      <c r="P358" s="2">
        <v>2.58E-2</v>
      </c>
      <c r="Q358" s="2">
        <v>0.30969999999999998</v>
      </c>
      <c r="R358" s="4">
        <v>2.9475947430603933E-7</v>
      </c>
      <c r="T358">
        <v>306869</v>
      </c>
      <c r="U358" s="2"/>
      <c r="V358">
        <v>5694</v>
      </c>
      <c r="W358" s="2">
        <v>6579000000</v>
      </c>
      <c r="X358" s="6">
        <v>1050809.3097359999</v>
      </c>
      <c r="Y358" s="38">
        <v>10010</v>
      </c>
      <c r="Z358" s="86">
        <f>+((DETALLE_GD_1[[#This Row],[VALOR X UN (GD)]]-DETALLE_GD_1[[#This Row],[VALOR PPTO]])/DETALLE_GD_1[[#This Row],[VALOR PPTO]])</f>
        <v>-2.9463005046736822E-7</v>
      </c>
      <c r="AA358" s="2">
        <f>+DETALLE_GD_1[[#This Row],[VALOR PPTO]]*DETALLE_GD_1[[#This Row],[CANTIDAD RECIBIDA]]</f>
        <v>1050809.31</v>
      </c>
      <c r="AB3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58" s="3">
        <f>+DETALLE_GD_1[[#This Row],[CANTIDAD SOLICITADA]]-DETALLE_GD_1[[#This Row],[DEVOLUCIÓN]]</f>
        <v>12</v>
      </c>
      <c r="AD358" s="38" t="str">
        <f>+_xlfn.XLOOKUP(DETALLE_GD_1[[#This Row],[CODIGO]],PRODUCTOS[CODIGO],PRODUCTOS[DESC CORTA],"",0)</f>
        <v>PB1</v>
      </c>
      <c r="AE358"/>
      <c r="AH358"/>
    </row>
    <row r="359" spans="1:34" x14ac:dyDescent="0.25">
      <c r="A359" s="1">
        <v>46073</v>
      </c>
      <c r="B359" s="1">
        <v>46073</v>
      </c>
      <c r="C359" s="81" t="s">
        <v>224</v>
      </c>
      <c r="D359" s="38">
        <v>2</v>
      </c>
      <c r="E359" s="81" t="s">
        <v>389</v>
      </c>
      <c r="F359">
        <v>302028</v>
      </c>
      <c r="G359" s="81" t="s">
        <v>246</v>
      </c>
      <c r="H359" s="81" t="s">
        <v>20</v>
      </c>
      <c r="I359" s="3">
        <v>360</v>
      </c>
      <c r="J359" s="3"/>
      <c r="K359" s="26">
        <v>360</v>
      </c>
      <c r="L359" s="2">
        <v>5215.4444000000003</v>
      </c>
      <c r="M359" s="2">
        <v>1877560</v>
      </c>
      <c r="N359" s="2">
        <v>1877560</v>
      </c>
      <c r="O359" s="2">
        <v>5123.8024999999998</v>
      </c>
      <c r="P359" s="2">
        <v>-91.641900000000007</v>
      </c>
      <c r="Q359" s="2">
        <v>-32991.090300000003</v>
      </c>
      <c r="R359" s="4">
        <v>-1.7885528757506441E-2</v>
      </c>
      <c r="T359">
        <v>306869</v>
      </c>
      <c r="U359" s="2"/>
      <c r="V359">
        <v>5694</v>
      </c>
      <c r="W359" s="2">
        <v>6579000000</v>
      </c>
      <c r="X359" s="6">
        <v>1844568.9097200008</v>
      </c>
      <c r="Y359" s="38">
        <v>10010</v>
      </c>
      <c r="Z359" s="86">
        <f>+((DETALLE_GD_1[[#This Row],[VALOR X UN (GD)]]-DETALLE_GD_1[[#This Row],[VALOR PPTO]])/DETALLE_GD_1[[#This Row],[VALOR PPTO]])</f>
        <v>1.7885525447165564E-2</v>
      </c>
      <c r="AA359" s="2">
        <f>+DETALLE_GD_1[[#This Row],[VALOR PPTO]]*DETALLE_GD_1[[#This Row],[CANTIDAD RECIBIDA]]</f>
        <v>1844568.9</v>
      </c>
      <c r="AB3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59" s="3">
        <f>+DETALLE_GD_1[[#This Row],[CANTIDAD SOLICITADA]]-DETALLE_GD_1[[#This Row],[DEVOLUCIÓN]]</f>
        <v>360</v>
      </c>
      <c r="AD359" s="38" t="str">
        <f>+_xlfn.XLOOKUP(DETALLE_GD_1[[#This Row],[CODIGO]],PRODUCTOS[CODIGO],PRODUCTOS[DESC CORTA],"",0)</f>
        <v>PINO 2X4X320</v>
      </c>
      <c r="AE359"/>
      <c r="AH359"/>
    </row>
    <row r="360" spans="1:34" x14ac:dyDescent="0.25">
      <c r="A360" s="1">
        <v>46076</v>
      </c>
      <c r="B360" s="1">
        <v>46076</v>
      </c>
      <c r="C360" s="81" t="s">
        <v>169</v>
      </c>
      <c r="D360" s="38">
        <v>2</v>
      </c>
      <c r="E360" s="81" t="s">
        <v>389</v>
      </c>
      <c r="F360">
        <v>302248</v>
      </c>
      <c r="G360" s="81" t="s">
        <v>281</v>
      </c>
      <c r="H360" s="81" t="s">
        <v>20</v>
      </c>
      <c r="I360" s="3">
        <v>240</v>
      </c>
      <c r="J360" s="3"/>
      <c r="K360" s="26">
        <v>240</v>
      </c>
      <c r="L360" s="2">
        <v>2342.1750000000002</v>
      </c>
      <c r="M360" s="2">
        <v>562122</v>
      </c>
      <c r="N360" s="2">
        <v>562122</v>
      </c>
      <c r="O360" s="2">
        <v>2342.1750999999999</v>
      </c>
      <c r="P360" s="2">
        <v>1E-4</v>
      </c>
      <c r="Q360" s="2">
        <v>3.2899999999999999E-2</v>
      </c>
      <c r="R360" s="4">
        <v>5.8492636964222354E-8</v>
      </c>
      <c r="T360">
        <v>307085</v>
      </c>
      <c r="U360" s="2">
        <v>562122</v>
      </c>
      <c r="V360">
        <v>5728</v>
      </c>
      <c r="W360" s="2">
        <v>6579000000</v>
      </c>
      <c r="X360" s="6">
        <v>562122.03288000007</v>
      </c>
      <c r="Y360" s="38">
        <v>10010</v>
      </c>
      <c r="Z360" s="86">
        <f>+((DETALLE_GD_1[[#This Row],[VALOR X UN (GD)]]-DETALLE_GD_1[[#This Row],[VALOR PPTO]])/DETALLE_GD_1[[#This Row],[VALOR PPTO]])</f>
        <v>-4.2695356016518268E-8</v>
      </c>
      <c r="AA360" s="2">
        <f>+DETALLE_GD_1[[#This Row],[VALOR PPTO]]*DETALLE_GD_1[[#This Row],[CANTIDAD RECIBIDA]]</f>
        <v>562122.02399999998</v>
      </c>
      <c r="AB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0" s="3">
        <f>+DETALLE_GD_1[[#This Row],[CANTIDAD SOLICITADA]]-DETALLE_GD_1[[#This Row],[DEVOLUCIÓN]]</f>
        <v>240</v>
      </c>
      <c r="AD360" s="38">
        <f>+_xlfn.XLOOKUP(DETALLE_GD_1[[#This Row],[CODIGO]],PRODUCTOS[CODIGO],PRODUCTOS[DESC CORTA],"",0)</f>
        <v>0</v>
      </c>
      <c r="AE360"/>
      <c r="AH360"/>
    </row>
    <row r="361" spans="1:34" x14ac:dyDescent="0.25">
      <c r="A361" s="1">
        <v>46078</v>
      </c>
      <c r="B361" s="1">
        <v>46078</v>
      </c>
      <c r="C361" s="81" t="s">
        <v>169</v>
      </c>
      <c r="D361" s="38">
        <v>2</v>
      </c>
      <c r="E361" s="81" t="s">
        <v>169</v>
      </c>
      <c r="F361">
        <v>5309018</v>
      </c>
      <c r="G361" s="81" t="s">
        <v>112</v>
      </c>
      <c r="H361" s="81" t="s">
        <v>113</v>
      </c>
      <c r="I361" s="3">
        <v>200</v>
      </c>
      <c r="J361" s="3"/>
      <c r="K361" s="26">
        <v>200</v>
      </c>
      <c r="L361" s="2">
        <v>700</v>
      </c>
      <c r="M361" s="2">
        <v>140000</v>
      </c>
      <c r="N361" s="2">
        <v>140000</v>
      </c>
      <c r="O361" s="2">
        <v>699.99919999999997</v>
      </c>
      <c r="P361" s="2">
        <v>-8.0000000000000004E-4</v>
      </c>
      <c r="Q361" s="2">
        <v>-0.15359999999999999</v>
      </c>
      <c r="R361" s="4">
        <v>-1.0971440602079328E-6</v>
      </c>
      <c r="S361" t="s">
        <v>390</v>
      </c>
      <c r="T361">
        <v>307486</v>
      </c>
      <c r="U361" s="2">
        <v>4024627</v>
      </c>
      <c r="V361">
        <v>5728</v>
      </c>
      <c r="W361" s="2">
        <v>6579000000</v>
      </c>
      <c r="X361" s="6">
        <v>139999.8464000001</v>
      </c>
      <c r="Y361" s="38">
        <v>10010</v>
      </c>
      <c r="Z361" s="86">
        <f>+((DETALLE_GD_1[[#This Row],[VALOR X UN (GD)]]-DETALLE_GD_1[[#This Row],[VALOR PPTO]])/DETALLE_GD_1[[#This Row],[VALOR PPTO]])</f>
        <v>1.1428584490190236E-6</v>
      </c>
      <c r="AA361" s="2">
        <f>+DETALLE_GD_1[[#This Row],[VALOR PPTO]]*DETALLE_GD_1[[#This Row],[CANTIDAD RECIBIDA]]</f>
        <v>139999.84</v>
      </c>
      <c r="AB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1" s="3">
        <f>+DETALLE_GD_1[[#This Row],[CANTIDAD SOLICITADA]]-DETALLE_GD_1[[#This Row],[DEVOLUCIÓN]]</f>
        <v>200</v>
      </c>
      <c r="AD361" s="38">
        <f>+_xlfn.XLOOKUP(DETALLE_GD_1[[#This Row],[CODIGO]],PRODUCTOS[CODIGO],PRODUCTOS[DESC CORTA],"",0)</f>
        <v>0</v>
      </c>
      <c r="AE361"/>
      <c r="AH361"/>
    </row>
    <row r="362" spans="1:34" x14ac:dyDescent="0.25">
      <c r="A362" s="1">
        <v>46078</v>
      </c>
      <c r="B362" s="1">
        <v>46078</v>
      </c>
      <c r="C362" s="81" t="s">
        <v>169</v>
      </c>
      <c r="D362" s="38">
        <v>2</v>
      </c>
      <c r="E362" s="81" t="s">
        <v>169</v>
      </c>
      <c r="F362">
        <v>407423</v>
      </c>
      <c r="G362" s="81" t="s">
        <v>106</v>
      </c>
      <c r="H362" s="81" t="s">
        <v>31</v>
      </c>
      <c r="I362" s="3">
        <v>1000</v>
      </c>
      <c r="J362" s="3"/>
      <c r="K362" s="26">
        <v>1000</v>
      </c>
      <c r="L362" s="2">
        <v>3.3879999999999999</v>
      </c>
      <c r="M362" s="2">
        <v>3388</v>
      </c>
      <c r="N362" s="2">
        <v>3388</v>
      </c>
      <c r="O362" s="2">
        <v>106.6405</v>
      </c>
      <c r="P362" s="2">
        <v>103.2525</v>
      </c>
      <c r="Q362" s="2">
        <v>103252.50199999999</v>
      </c>
      <c r="R362" s="4">
        <v>0.96822970694084709</v>
      </c>
      <c r="T362">
        <v>307486</v>
      </c>
      <c r="U362" s="2"/>
      <c r="V362">
        <v>5728</v>
      </c>
      <c r="W362" s="2">
        <v>6579000000</v>
      </c>
      <c r="X362" s="6">
        <v>106640.50198378378</v>
      </c>
      <c r="Y362" s="38">
        <v>10010</v>
      </c>
      <c r="Z362" s="86">
        <f>+((DETALLE_GD_1[[#This Row],[VALOR X UN (GD)]]-DETALLE_GD_1[[#This Row],[VALOR PPTO]])/DETALLE_GD_1[[#This Row],[VALOR PPTO]])</f>
        <v>-0.96822970634983885</v>
      </c>
      <c r="AA362" s="2">
        <f>+DETALLE_GD_1[[#This Row],[VALOR PPTO]]*DETALLE_GD_1[[#This Row],[CANTIDAD RECIBIDA]]</f>
        <v>106640.5</v>
      </c>
      <c r="AB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2" s="3">
        <f>+DETALLE_GD_1[[#This Row],[CANTIDAD SOLICITADA]]-DETALLE_GD_1[[#This Row],[DEVOLUCIÓN]]</f>
        <v>1000</v>
      </c>
      <c r="AD362" s="38" t="str">
        <f>+_xlfn.XLOOKUP(DETALLE_GD_1[[#This Row],[CODIGO]],PRODUCTOS[CODIGO],PRODUCTOS[DESC CORTA],"",0)</f>
        <v>TORNILLO CRS 6X1 5/8</v>
      </c>
      <c r="AE362"/>
      <c r="AH362"/>
    </row>
    <row r="363" spans="1:34" x14ac:dyDescent="0.25">
      <c r="A363" s="1">
        <v>46078</v>
      </c>
      <c r="B363" s="1">
        <v>46078</v>
      </c>
      <c r="C363" s="81" t="s">
        <v>169</v>
      </c>
      <c r="D363" s="38">
        <v>2</v>
      </c>
      <c r="E363" s="81" t="s">
        <v>169</v>
      </c>
      <c r="F363">
        <v>407010</v>
      </c>
      <c r="G363" s="81" t="s">
        <v>164</v>
      </c>
      <c r="H363" s="81" t="s">
        <v>31</v>
      </c>
      <c r="I363" s="3">
        <v>400</v>
      </c>
      <c r="J363" s="3"/>
      <c r="K363" s="26">
        <v>400</v>
      </c>
      <c r="L363" s="2">
        <v>11.5025</v>
      </c>
      <c r="M363" s="2">
        <v>4601</v>
      </c>
      <c r="N363" s="2">
        <v>4601</v>
      </c>
      <c r="O363" s="2">
        <v>11.501300000000001</v>
      </c>
      <c r="P363" s="2">
        <v>-1.1999999999999999E-3</v>
      </c>
      <c r="Q363" s="2">
        <v>-0.496</v>
      </c>
      <c r="R363" s="4">
        <v>-1.0781427426205838E-4</v>
      </c>
      <c r="T363">
        <v>307486</v>
      </c>
      <c r="U363" s="2"/>
      <c r="V363">
        <v>5728</v>
      </c>
      <c r="W363" s="2">
        <v>6579000000</v>
      </c>
      <c r="X363" s="6">
        <v>4600.5039999999999</v>
      </c>
      <c r="Y363" s="38">
        <v>10010</v>
      </c>
      <c r="Z363" s="86">
        <f>+((DETALLE_GD_1[[#This Row],[VALOR X UN (GD)]]-DETALLE_GD_1[[#This Row],[VALOR PPTO]])/DETALLE_GD_1[[#This Row],[VALOR PPTO]])</f>
        <v>1.0433603157895017E-4</v>
      </c>
      <c r="AA363" s="2">
        <f>+DETALLE_GD_1[[#This Row],[VALOR PPTO]]*DETALLE_GD_1[[#This Row],[CANTIDAD RECIBIDA]]</f>
        <v>4600.5200000000004</v>
      </c>
      <c r="AB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3" s="3">
        <f>+DETALLE_GD_1[[#This Row],[CANTIDAD SOLICITADA]]-DETALLE_GD_1[[#This Row],[DEVOLUCIÓN]]</f>
        <v>400</v>
      </c>
      <c r="AD363" s="38">
        <f>+_xlfn.XLOOKUP(DETALLE_GD_1[[#This Row],[CODIGO]],PRODUCTOS[CODIGO],PRODUCTOS[DESC CORTA],"",0)</f>
        <v>0</v>
      </c>
      <c r="AE363"/>
      <c r="AH363"/>
    </row>
    <row r="364" spans="1:34" x14ac:dyDescent="0.25">
      <c r="A364" s="1">
        <v>46078</v>
      </c>
      <c r="B364" s="1">
        <v>46078</v>
      </c>
      <c r="C364" s="81" t="s">
        <v>75</v>
      </c>
      <c r="D364" s="38">
        <v>2</v>
      </c>
      <c r="E364" s="81" t="s">
        <v>391</v>
      </c>
      <c r="F364">
        <v>701043</v>
      </c>
      <c r="G364" s="81" t="s">
        <v>197</v>
      </c>
      <c r="H364" s="81" t="s">
        <v>18</v>
      </c>
      <c r="I364" s="3">
        <v>77</v>
      </c>
      <c r="J364" s="3"/>
      <c r="K364" s="26">
        <v>77</v>
      </c>
      <c r="L364" s="2">
        <v>22146.363600000001</v>
      </c>
      <c r="M364" s="2">
        <v>1705270</v>
      </c>
      <c r="N364" s="2">
        <v>1705270</v>
      </c>
      <c r="O364" s="2">
        <v>22146.362799999999</v>
      </c>
      <c r="P364" s="2">
        <v>-8.9999999999999998E-4</v>
      </c>
      <c r="Q364" s="2">
        <v>-6.6600000000000006E-2</v>
      </c>
      <c r="R364" s="4">
        <v>-3.9029597976290718E-8</v>
      </c>
      <c r="S364" t="s">
        <v>390</v>
      </c>
      <c r="T364">
        <v>307486</v>
      </c>
      <c r="U364" s="2"/>
      <c r="V364">
        <v>5728</v>
      </c>
      <c r="W364" s="2">
        <v>6579000000</v>
      </c>
      <c r="X364" s="6">
        <v>1705269.9334440001</v>
      </c>
      <c r="Y364" s="38">
        <v>10010</v>
      </c>
      <c r="Z364" s="86">
        <f>+((DETALLE_GD_1[[#This Row],[VALOR X UN (GD)]]-DETALLE_GD_1[[#This Row],[VALOR PPTO]])/DETALLE_GD_1[[#This Row],[VALOR PPTO]])</f>
        <v>3.6123313288183514E-8</v>
      </c>
      <c r="AA364" s="2">
        <f>+DETALLE_GD_1[[#This Row],[VALOR PPTO]]*DETALLE_GD_1[[#This Row],[CANTIDAD RECIBIDA]]</f>
        <v>1705269.9356</v>
      </c>
      <c r="AB3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64" s="3">
        <f>+DETALLE_GD_1[[#This Row],[CANTIDAD SOLICITADA]]-DETALLE_GD_1[[#This Row],[DEVOLUCIÓN]]</f>
        <v>77</v>
      </c>
      <c r="AD364" s="38" t="str">
        <f>+_xlfn.XLOOKUP(DETALLE_GD_1[[#This Row],[CODIGO]],PRODUCTOS[CODIGO],PRODUCTOS[DESC CORTA],"",0)</f>
        <v>VOLCANITA EMPAPELADA CIELO</v>
      </c>
      <c r="AE364"/>
      <c r="AH364"/>
    </row>
    <row r="365" spans="1:34" x14ac:dyDescent="0.25">
      <c r="A365" s="1">
        <v>46078</v>
      </c>
      <c r="B365" s="1">
        <v>46078</v>
      </c>
      <c r="C365" s="81" t="s">
        <v>169</v>
      </c>
      <c r="D365" s="38">
        <v>2</v>
      </c>
      <c r="E365" s="81" t="s">
        <v>169</v>
      </c>
      <c r="F365">
        <v>617057</v>
      </c>
      <c r="G365" s="81" t="s">
        <v>134</v>
      </c>
      <c r="H365" s="81" t="s">
        <v>31</v>
      </c>
      <c r="I365" s="3">
        <v>6</v>
      </c>
      <c r="J365" s="3"/>
      <c r="K365" s="26">
        <v>6</v>
      </c>
      <c r="L365" s="2">
        <v>2042.1667</v>
      </c>
      <c r="M365" s="2">
        <v>12253</v>
      </c>
      <c r="N365" s="2">
        <v>12253</v>
      </c>
      <c r="O365" s="2">
        <v>2042.1197</v>
      </c>
      <c r="P365" s="2">
        <v>-4.7E-2</v>
      </c>
      <c r="Q365" s="2">
        <v>-0.28179999999999999</v>
      </c>
      <c r="R365" s="4">
        <v>-2.2996040109115639E-5</v>
      </c>
      <c r="T365">
        <v>307486</v>
      </c>
      <c r="U365" s="2"/>
      <c r="V365">
        <v>5728</v>
      </c>
      <c r="W365" s="2">
        <v>6579000000</v>
      </c>
      <c r="X365" s="6">
        <v>12252.718236000001</v>
      </c>
      <c r="Y365" s="38">
        <v>10010</v>
      </c>
      <c r="Z365" s="86">
        <f>+((DETALLE_GD_1[[#This Row],[VALOR X UN (GD)]]-DETALLE_GD_1[[#This Row],[VALOR PPTO]])/DETALLE_GD_1[[#This Row],[VALOR PPTO]])</f>
        <v>2.3015301208849542E-5</v>
      </c>
      <c r="AA365" s="2">
        <f>+DETALLE_GD_1[[#This Row],[VALOR PPTO]]*DETALLE_GD_1[[#This Row],[CANTIDAD RECIBIDA]]</f>
        <v>12252.718199999999</v>
      </c>
      <c r="AB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5" s="3">
        <f>+DETALLE_GD_1[[#This Row],[CANTIDAD SOLICITADA]]-DETALLE_GD_1[[#This Row],[DEVOLUCIÓN]]</f>
        <v>6</v>
      </c>
      <c r="AD365" s="38" t="str">
        <f>+_xlfn.XLOOKUP(DETALLE_GD_1[[#This Row],[CODIGO]],PRODUCTOS[CODIGO],PRODUCTOS[DESC CORTA],"",0)</f>
        <v>BROCHA 5/8 X4</v>
      </c>
      <c r="AE365"/>
      <c r="AH365"/>
    </row>
    <row r="366" spans="1:34" x14ac:dyDescent="0.25">
      <c r="A366" s="1">
        <v>46078</v>
      </c>
      <c r="B366" s="1">
        <v>46078</v>
      </c>
      <c r="C366" s="81" t="s">
        <v>169</v>
      </c>
      <c r="D366" s="38">
        <v>2</v>
      </c>
      <c r="E366" s="81" t="s">
        <v>169</v>
      </c>
      <c r="F366">
        <v>408014</v>
      </c>
      <c r="G366" s="81" t="s">
        <v>108</v>
      </c>
      <c r="H366" s="81" t="s">
        <v>36</v>
      </c>
      <c r="I366" s="3">
        <v>1</v>
      </c>
      <c r="J366" s="3"/>
      <c r="K366" s="26">
        <v>1</v>
      </c>
      <c r="L366" s="2">
        <v>16182</v>
      </c>
      <c r="M366" s="2">
        <v>16182</v>
      </c>
      <c r="N366" s="2">
        <v>16182</v>
      </c>
      <c r="O366" s="2">
        <v>16182.1068</v>
      </c>
      <c r="P366" s="2">
        <v>0.10680000000000001</v>
      </c>
      <c r="Q366" s="2">
        <v>0.10680000000000001</v>
      </c>
      <c r="R366" s="4">
        <v>6.5975340279806539E-6</v>
      </c>
      <c r="T366">
        <v>307486</v>
      </c>
      <c r="U366" s="2"/>
      <c r="V366">
        <v>5728</v>
      </c>
      <c r="W366" s="2">
        <v>6579000000</v>
      </c>
      <c r="X366" s="6">
        <v>16182.106762000009</v>
      </c>
      <c r="Y366" s="38">
        <v>10010</v>
      </c>
      <c r="Z366" s="86">
        <f>+((DETALLE_GD_1[[#This Row],[VALOR X UN (GD)]]-DETALLE_GD_1[[#This Row],[VALOR PPTO]])/DETALLE_GD_1[[#This Row],[VALOR PPTO]])</f>
        <v>-6.5998822847693946E-6</v>
      </c>
      <c r="AA366" s="2">
        <f>+DETALLE_GD_1[[#This Row],[VALOR PPTO]]*DETALLE_GD_1[[#This Row],[CANTIDAD RECIBIDA]]</f>
        <v>16182.1068</v>
      </c>
      <c r="AB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6" s="3">
        <f>+DETALLE_GD_1[[#This Row],[CANTIDAD SOLICITADA]]-DETALLE_GD_1[[#This Row],[DEVOLUCIÓN]]</f>
        <v>1</v>
      </c>
      <c r="AD366" s="38" t="str">
        <f>+_xlfn.XLOOKUP(DETALLE_GD_1[[#This Row],[CODIGO]],PRODUCTOS[CODIGO],PRODUCTOS[DESC CORTA],"",0)</f>
        <v>GRAPA T40</v>
      </c>
      <c r="AE366"/>
      <c r="AH366"/>
    </row>
    <row r="367" spans="1:34" x14ac:dyDescent="0.25">
      <c r="A367" s="1">
        <v>46078</v>
      </c>
      <c r="B367" s="1">
        <v>46078</v>
      </c>
      <c r="C367" s="81" t="s">
        <v>169</v>
      </c>
      <c r="D367" s="38">
        <v>2</v>
      </c>
      <c r="E367" s="81" t="s">
        <v>169</v>
      </c>
      <c r="F367" t="s">
        <v>225</v>
      </c>
      <c r="G367" s="81" t="s">
        <v>226</v>
      </c>
      <c r="H367" s="81" t="s">
        <v>36</v>
      </c>
      <c r="I367" s="3">
        <v>1</v>
      </c>
      <c r="J367" s="3"/>
      <c r="K367" s="26">
        <v>1</v>
      </c>
      <c r="L367" s="2">
        <v>49031</v>
      </c>
      <c r="M367" s="2">
        <v>49031</v>
      </c>
      <c r="N367" s="2">
        <v>49031</v>
      </c>
      <c r="O367" s="2">
        <v>49030.713300000003</v>
      </c>
      <c r="P367" s="2">
        <v>-0.28670000000000001</v>
      </c>
      <c r="Q367" s="2">
        <v>-0.28670000000000001</v>
      </c>
      <c r="R367" s="4">
        <v>-5.8472940873648096E-6</v>
      </c>
      <c r="T367">
        <v>307486</v>
      </c>
      <c r="U367" s="2"/>
      <c r="V367">
        <v>5728</v>
      </c>
      <c r="W367" s="2">
        <v>6579000000</v>
      </c>
      <c r="X367" s="6">
        <v>49030.713302999997</v>
      </c>
      <c r="Y367" s="38">
        <v>10010</v>
      </c>
      <c r="Z367" s="86">
        <f>+((DETALLE_GD_1[[#This Row],[VALOR X UN (GD)]]-DETALLE_GD_1[[#This Row],[VALOR PPTO]])/DETALLE_GD_1[[#This Row],[VALOR PPTO]])</f>
        <v>5.8473552738814962E-6</v>
      </c>
      <c r="AA367" s="2">
        <f>+DETALLE_GD_1[[#This Row],[VALOR PPTO]]*DETALLE_GD_1[[#This Row],[CANTIDAD RECIBIDA]]</f>
        <v>49030.713300000003</v>
      </c>
      <c r="AB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7" s="3">
        <f>+DETALLE_GD_1[[#This Row],[CANTIDAD SOLICITADA]]-DETALLE_GD_1[[#This Row],[DEVOLUCIÓN]]</f>
        <v>1</v>
      </c>
      <c r="AD367" s="38">
        <f>+_xlfn.XLOOKUP(DETALLE_GD_1[[#This Row],[CODIGO]],PRODUCTOS[CODIGO],PRODUCTOS[DESC CORTA],"",0)</f>
        <v>0</v>
      </c>
      <c r="AE367"/>
      <c r="AH367"/>
    </row>
    <row r="368" spans="1:34" x14ac:dyDescent="0.25">
      <c r="A368" s="1">
        <v>46078</v>
      </c>
      <c r="B368" s="1">
        <v>46078</v>
      </c>
      <c r="C368" s="81" t="s">
        <v>169</v>
      </c>
      <c r="D368" s="38">
        <v>2</v>
      </c>
      <c r="E368" s="81" t="s">
        <v>169</v>
      </c>
      <c r="F368">
        <v>408042</v>
      </c>
      <c r="G368" s="81" t="s">
        <v>144</v>
      </c>
      <c r="H368" s="81" t="s">
        <v>36</v>
      </c>
      <c r="I368" s="3">
        <v>2</v>
      </c>
      <c r="J368" s="3"/>
      <c r="K368" s="26">
        <v>2</v>
      </c>
      <c r="L368" s="2">
        <v>35000</v>
      </c>
      <c r="M368" s="2">
        <v>70000</v>
      </c>
      <c r="N368" s="2">
        <v>70000</v>
      </c>
      <c r="O368" s="2">
        <v>35000</v>
      </c>
      <c r="P368" s="2">
        <v>0</v>
      </c>
      <c r="Q368" s="2">
        <v>0</v>
      </c>
      <c r="R368" s="4">
        <v>8.3153801304950006E-16</v>
      </c>
      <c r="T368">
        <v>307486</v>
      </c>
      <c r="U368" s="2"/>
      <c r="V368">
        <v>5728</v>
      </c>
      <c r="W368" s="2">
        <v>6579000000</v>
      </c>
      <c r="X368" s="6">
        <v>70000.000000000058</v>
      </c>
      <c r="Y368" s="38">
        <v>10010</v>
      </c>
      <c r="Z368" s="86">
        <f>+((DETALLE_GD_1[[#This Row],[VALOR X UN (GD)]]-DETALLE_GD_1[[#This Row],[VALOR PPTO]])/DETALLE_GD_1[[#This Row],[VALOR PPTO]])</f>
        <v>0</v>
      </c>
      <c r="AA368" s="2">
        <f>+DETALLE_GD_1[[#This Row],[VALOR PPTO]]*DETALLE_GD_1[[#This Row],[CANTIDAD RECIBIDA]]</f>
        <v>70000</v>
      </c>
      <c r="AB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8" s="3">
        <f>+DETALLE_GD_1[[#This Row],[CANTIDAD SOLICITADA]]-DETALLE_GD_1[[#This Row],[DEVOLUCIÓN]]</f>
        <v>2</v>
      </c>
      <c r="AD368" s="38" t="str">
        <f>+_xlfn.XLOOKUP(DETALLE_GD_1[[#This Row],[CODIGO]],PRODUCTOS[CODIGO],PRODUCTOS[DESC CORTA],"",0)</f>
        <v>CLAVO HELICOIDAL PROFIX</v>
      </c>
      <c r="AE368"/>
      <c r="AH368"/>
    </row>
    <row r="369" spans="1:34" x14ac:dyDescent="0.25">
      <c r="A369" s="1">
        <v>46078</v>
      </c>
      <c r="B369" s="1">
        <v>46078</v>
      </c>
      <c r="C369" s="81" t="s">
        <v>75</v>
      </c>
      <c r="D369" s="38">
        <v>2</v>
      </c>
      <c r="E369" s="81" t="s">
        <v>391</v>
      </c>
      <c r="F369">
        <v>302028</v>
      </c>
      <c r="G369" s="81" t="s">
        <v>246</v>
      </c>
      <c r="H369" s="81" t="s">
        <v>20</v>
      </c>
      <c r="I369" s="3">
        <v>395</v>
      </c>
      <c r="J369" s="3"/>
      <c r="K369" s="26">
        <v>395</v>
      </c>
      <c r="L369" s="2">
        <v>5123.8024999999998</v>
      </c>
      <c r="M369" s="2">
        <v>2023902</v>
      </c>
      <c r="N369" s="2">
        <v>2023902</v>
      </c>
      <c r="O369" s="2">
        <v>5123.8024999999998</v>
      </c>
      <c r="P369" s="2">
        <v>0</v>
      </c>
      <c r="Q369" s="2">
        <v>-1.8E-3</v>
      </c>
      <c r="R369" s="4">
        <v>-9.0666413175354219E-10</v>
      </c>
      <c r="T369">
        <v>307486</v>
      </c>
      <c r="U369" s="2"/>
      <c r="V369">
        <v>5728</v>
      </c>
      <c r="W369" s="2">
        <v>6579000000</v>
      </c>
      <c r="X369" s="6">
        <v>2023901.9981650007</v>
      </c>
      <c r="Y369" s="38">
        <v>10010</v>
      </c>
      <c r="Z369" s="86">
        <f>+((DETALLE_GD_1[[#This Row],[VALOR X UN (GD)]]-DETALLE_GD_1[[#This Row],[VALOR PPTO]])/DETALLE_GD_1[[#This Row],[VALOR PPTO]])</f>
        <v>0</v>
      </c>
      <c r="AA369" s="2">
        <f>+DETALLE_GD_1[[#This Row],[VALOR PPTO]]*DETALLE_GD_1[[#This Row],[CANTIDAD RECIBIDA]]</f>
        <v>2023901.9874999998</v>
      </c>
      <c r="AB3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69" s="3">
        <f>+DETALLE_GD_1[[#This Row],[CANTIDAD SOLICITADA]]-DETALLE_GD_1[[#This Row],[DEVOLUCIÓN]]</f>
        <v>395</v>
      </c>
      <c r="AD369" s="38" t="str">
        <f>+_xlfn.XLOOKUP(DETALLE_GD_1[[#This Row],[CODIGO]],PRODUCTOS[CODIGO],PRODUCTOS[DESC CORTA],"",0)</f>
        <v>PINO 2X4X320</v>
      </c>
      <c r="AE369"/>
      <c r="AH369"/>
    </row>
    <row r="370" spans="1:34" x14ac:dyDescent="0.25">
      <c r="A370" s="1">
        <v>46079</v>
      </c>
      <c r="B370" s="1">
        <v>46079</v>
      </c>
      <c r="C370" s="81" t="s">
        <v>227</v>
      </c>
      <c r="D370" s="38">
        <v>2</v>
      </c>
      <c r="E370" s="81" t="s">
        <v>169</v>
      </c>
      <c r="F370">
        <v>2302118</v>
      </c>
      <c r="G370" s="81" t="s">
        <v>228</v>
      </c>
      <c r="H370" s="81" t="s">
        <v>25</v>
      </c>
      <c r="I370" s="3">
        <v>3</v>
      </c>
      <c r="J370" s="3"/>
      <c r="K370" s="26">
        <v>3</v>
      </c>
      <c r="L370" s="2">
        <v>98161.333299999998</v>
      </c>
      <c r="M370" s="2">
        <v>294484</v>
      </c>
      <c r="N370" s="2">
        <v>294484</v>
      </c>
      <c r="O370" s="2">
        <v>101250</v>
      </c>
      <c r="P370" s="2">
        <v>3088.6667000000002</v>
      </c>
      <c r="Q370" s="2">
        <v>9266</v>
      </c>
      <c r="R370" s="4">
        <v>3.0505349794238731E-2</v>
      </c>
      <c r="S370" t="s">
        <v>390</v>
      </c>
      <c r="T370">
        <v>307565</v>
      </c>
      <c r="U370" s="2">
        <v>3152200</v>
      </c>
      <c r="V370">
        <v>5728</v>
      </c>
      <c r="W370" s="2">
        <v>6579000000</v>
      </c>
      <c r="X370" s="6">
        <v>303750</v>
      </c>
      <c r="Y370" s="38">
        <v>10010</v>
      </c>
      <c r="Z370" s="86">
        <f>+((DETALLE_GD_1[[#This Row],[VALOR X UN (GD)]]-DETALLE_GD_1[[#This Row],[VALOR PPTO]])/DETALLE_GD_1[[#This Row],[VALOR PPTO]])</f>
        <v>-3.0505350123456804E-2</v>
      </c>
      <c r="AA370" s="2">
        <f>+DETALLE_GD_1[[#This Row],[VALOR PPTO]]*DETALLE_GD_1[[#This Row],[CANTIDAD RECIBIDA]]</f>
        <v>303750</v>
      </c>
      <c r="AB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70" s="3">
        <f>+DETALLE_GD_1[[#This Row],[CANTIDAD SOLICITADA]]-DETALLE_GD_1[[#This Row],[DEVOLUCIÓN]]</f>
        <v>3</v>
      </c>
      <c r="AD370" s="38">
        <f>+_xlfn.XLOOKUP(DETALLE_GD_1[[#This Row],[CODIGO]],PRODUCTOS[CODIGO],PRODUCTOS[DESC CORTA],"",0)</f>
        <v>0</v>
      </c>
      <c r="AE370"/>
      <c r="AH370"/>
    </row>
    <row r="371" spans="1:34" x14ac:dyDescent="0.25">
      <c r="A371" s="1">
        <v>46079</v>
      </c>
      <c r="B371" s="1">
        <v>46079</v>
      </c>
      <c r="C371" s="81" t="s">
        <v>227</v>
      </c>
      <c r="D371" s="38">
        <v>2</v>
      </c>
      <c r="E371" s="81" t="s">
        <v>169</v>
      </c>
      <c r="F371">
        <v>412260</v>
      </c>
      <c r="G371" s="81" t="s">
        <v>41</v>
      </c>
      <c r="H371" s="81" t="s">
        <v>31</v>
      </c>
      <c r="I371" s="3">
        <v>12</v>
      </c>
      <c r="J371" s="3"/>
      <c r="K371" s="26">
        <v>12</v>
      </c>
      <c r="L371" s="2">
        <v>87567.416700000002</v>
      </c>
      <c r="M371" s="2">
        <v>1050809</v>
      </c>
      <c r="N371" s="2">
        <v>1050809</v>
      </c>
      <c r="O371" s="2">
        <v>87567.442500000005</v>
      </c>
      <c r="P371" s="2">
        <v>2.58E-2</v>
      </c>
      <c r="Q371" s="2">
        <v>0.30969999999999998</v>
      </c>
      <c r="R371" s="4">
        <v>2.9475947430603933E-7</v>
      </c>
      <c r="S371" t="s">
        <v>390</v>
      </c>
      <c r="T371">
        <v>307565</v>
      </c>
      <c r="U371" s="2"/>
      <c r="V371">
        <v>5728</v>
      </c>
      <c r="W371" s="2">
        <v>6579000000</v>
      </c>
      <c r="X371" s="6">
        <v>1050809.3097359999</v>
      </c>
      <c r="Y371" s="38">
        <v>10010</v>
      </c>
      <c r="Z371" s="86">
        <f>+((DETALLE_GD_1[[#This Row],[VALOR X UN (GD)]]-DETALLE_GD_1[[#This Row],[VALOR PPTO]])/DETALLE_GD_1[[#This Row],[VALOR PPTO]])</f>
        <v>-2.9463005046736822E-7</v>
      </c>
      <c r="AA371" s="2">
        <f>+DETALLE_GD_1[[#This Row],[VALOR PPTO]]*DETALLE_GD_1[[#This Row],[CANTIDAD RECIBIDA]]</f>
        <v>1050809.31</v>
      </c>
      <c r="AB3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1" s="3">
        <f>+DETALLE_GD_1[[#This Row],[CANTIDAD SOLICITADA]]-DETALLE_GD_1[[#This Row],[DEVOLUCIÓN]]</f>
        <v>12</v>
      </c>
      <c r="AD371" s="38" t="str">
        <f>+_xlfn.XLOOKUP(DETALLE_GD_1[[#This Row],[CODIGO]],PRODUCTOS[CODIGO],PRODUCTOS[DESC CORTA],"",0)</f>
        <v>PB1</v>
      </c>
      <c r="AE371"/>
      <c r="AH371"/>
    </row>
    <row r="372" spans="1:34" x14ac:dyDescent="0.25">
      <c r="A372" s="1">
        <v>46079</v>
      </c>
      <c r="B372" s="1">
        <v>46079</v>
      </c>
      <c r="C372" s="81" t="s">
        <v>227</v>
      </c>
      <c r="D372" s="38">
        <v>2</v>
      </c>
      <c r="E372" s="81" t="s">
        <v>169</v>
      </c>
      <c r="F372">
        <v>412280</v>
      </c>
      <c r="G372" s="81" t="s">
        <v>40</v>
      </c>
      <c r="H372" s="81" t="s">
        <v>31</v>
      </c>
      <c r="I372" s="3">
        <v>45</v>
      </c>
      <c r="J372" s="3"/>
      <c r="K372" s="26">
        <v>45</v>
      </c>
      <c r="L372" s="2">
        <v>40002.911099999998</v>
      </c>
      <c r="M372" s="2">
        <v>1800131</v>
      </c>
      <c r="N372" s="2">
        <v>1800131</v>
      </c>
      <c r="O372" s="2">
        <v>40002.920100000003</v>
      </c>
      <c r="P372" s="2">
        <v>8.9999999999999993E-3</v>
      </c>
      <c r="Q372" s="2">
        <v>0.4042</v>
      </c>
      <c r="R372" s="4">
        <v>2.245308309330365E-7</v>
      </c>
      <c r="S372" t="s">
        <v>390</v>
      </c>
      <c r="T372">
        <v>307565</v>
      </c>
      <c r="U372" s="2"/>
      <c r="V372">
        <v>5728</v>
      </c>
      <c r="W372" s="2">
        <v>6579000000</v>
      </c>
      <c r="X372" s="6">
        <v>1800131.4041850001</v>
      </c>
      <c r="Y372" s="38">
        <v>10010</v>
      </c>
      <c r="Z372" s="86">
        <f>+((DETALLE_GD_1[[#This Row],[VALOR X UN (GD)]]-DETALLE_GD_1[[#This Row],[VALOR PPTO]])/DETALLE_GD_1[[#This Row],[VALOR PPTO]])</f>
        <v>-2.2498357577329761E-7</v>
      </c>
      <c r="AA372" s="2">
        <f>+DETALLE_GD_1[[#This Row],[VALOR PPTO]]*DETALLE_GD_1[[#This Row],[CANTIDAD RECIBIDA]]</f>
        <v>1800131.4045000002</v>
      </c>
      <c r="AB3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2" s="3">
        <f>+DETALLE_GD_1[[#This Row],[CANTIDAD SOLICITADA]]-DETALLE_GD_1[[#This Row],[DEVOLUCIÓN]]</f>
        <v>45</v>
      </c>
      <c r="AD372" s="38" t="str">
        <f>+_xlfn.XLOOKUP(DETALLE_GD_1[[#This Row],[CODIGO]],PRODUCTOS[CODIGO],PRODUCTOS[DESC CORTA],"",0)</f>
        <v>PB2</v>
      </c>
      <c r="AE372"/>
      <c r="AH372"/>
    </row>
    <row r="373" spans="1:34" x14ac:dyDescent="0.25">
      <c r="A373" s="1">
        <v>46079</v>
      </c>
      <c r="B373" s="1">
        <v>46079</v>
      </c>
      <c r="C373" s="81" t="s">
        <v>169</v>
      </c>
      <c r="D373" s="38">
        <v>2</v>
      </c>
      <c r="E373" s="81" t="s">
        <v>229</v>
      </c>
      <c r="F373">
        <v>407423</v>
      </c>
      <c r="G373" s="81" t="s">
        <v>106</v>
      </c>
      <c r="H373" s="81" t="s">
        <v>31</v>
      </c>
      <c r="I373" s="3">
        <v>2000</v>
      </c>
      <c r="J373" s="3"/>
      <c r="K373" s="26">
        <v>2000</v>
      </c>
      <c r="L373" s="2">
        <v>3.3879999999999999</v>
      </c>
      <c r="M373" s="2">
        <v>6776</v>
      </c>
      <c r="N373" s="2">
        <v>6776</v>
      </c>
      <c r="O373" s="2">
        <v>106.6405</v>
      </c>
      <c r="P373" s="2">
        <v>103.2525</v>
      </c>
      <c r="Q373" s="2">
        <v>206505.00399999999</v>
      </c>
      <c r="R373" s="4">
        <v>0.96822970694084709</v>
      </c>
      <c r="S373" t="s">
        <v>390</v>
      </c>
      <c r="T373">
        <v>307565</v>
      </c>
      <c r="U373" s="2"/>
      <c r="V373">
        <v>5728</v>
      </c>
      <c r="W373" s="2">
        <v>6579000000</v>
      </c>
      <c r="X373" s="6">
        <v>213281.00396756755</v>
      </c>
      <c r="Y373" s="38">
        <v>10010</v>
      </c>
      <c r="Z373" s="86">
        <f>+((DETALLE_GD_1[[#This Row],[VALOR X UN (GD)]]-DETALLE_GD_1[[#This Row],[VALOR PPTO]])/DETALLE_GD_1[[#This Row],[VALOR PPTO]])</f>
        <v>-0.96822970634983885</v>
      </c>
      <c r="AA373" s="2">
        <f>+DETALLE_GD_1[[#This Row],[VALOR PPTO]]*DETALLE_GD_1[[#This Row],[CANTIDAD RECIBIDA]]</f>
        <v>213281</v>
      </c>
      <c r="AB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73" s="3">
        <f>+DETALLE_GD_1[[#This Row],[CANTIDAD SOLICITADA]]-DETALLE_GD_1[[#This Row],[DEVOLUCIÓN]]</f>
        <v>2000</v>
      </c>
      <c r="AD373" s="38" t="str">
        <f>+_xlfn.XLOOKUP(DETALLE_GD_1[[#This Row],[CODIGO]],PRODUCTOS[CODIGO],PRODUCTOS[DESC CORTA],"",0)</f>
        <v>TORNILLO CRS 6X1 5/8</v>
      </c>
      <c r="AE373"/>
      <c r="AH373"/>
    </row>
    <row r="374" spans="1:34" x14ac:dyDescent="0.25">
      <c r="A374" s="1">
        <v>46080</v>
      </c>
      <c r="B374" s="1">
        <v>46080</v>
      </c>
      <c r="C374" s="81" t="s">
        <v>176</v>
      </c>
      <c r="D374" s="38">
        <v>2</v>
      </c>
      <c r="E374" s="81" t="s">
        <v>392</v>
      </c>
      <c r="F374">
        <v>304101</v>
      </c>
      <c r="G374" s="81" t="s">
        <v>17</v>
      </c>
      <c r="H374" s="81" t="s">
        <v>18</v>
      </c>
      <c r="I374" s="3">
        <v>84</v>
      </c>
      <c r="J374" s="3"/>
      <c r="K374" s="26">
        <v>84</v>
      </c>
      <c r="L374" s="2">
        <v>9657.5833000000002</v>
      </c>
      <c r="M374" s="2">
        <v>811237</v>
      </c>
      <c r="N374" s="2">
        <v>811237</v>
      </c>
      <c r="O374" s="2">
        <v>9657.5879999999997</v>
      </c>
      <c r="P374" s="2">
        <v>4.5999999999999999E-3</v>
      </c>
      <c r="Q374" s="2">
        <v>0.38779999999999998</v>
      </c>
      <c r="R374" s="4">
        <v>4.7803516722821937E-7</v>
      </c>
      <c r="S374" t="s">
        <v>390</v>
      </c>
      <c r="T374">
        <v>307720</v>
      </c>
      <c r="U374" s="2">
        <v>4596656</v>
      </c>
      <c r="V374">
        <v>5728</v>
      </c>
      <c r="W374" s="2">
        <v>6579000000</v>
      </c>
      <c r="X374" s="6">
        <v>811237.38780000038</v>
      </c>
      <c r="Y374" s="38">
        <v>10010</v>
      </c>
      <c r="Z374" s="86">
        <f>+((DETALLE_GD_1[[#This Row],[VALOR X UN (GD)]]-DETALLE_GD_1[[#This Row],[VALOR PPTO]])/DETALLE_GD_1[[#This Row],[VALOR PPTO]])</f>
        <v>-4.8666395786425392E-7</v>
      </c>
      <c r="AA374" s="2">
        <f>+DETALLE_GD_1[[#This Row],[VALOR PPTO]]*DETALLE_GD_1[[#This Row],[CANTIDAD RECIBIDA]]</f>
        <v>811237.39199999999</v>
      </c>
      <c r="AB3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4" s="3">
        <f>+DETALLE_GD_1[[#This Row],[CANTIDAD SOLICITADA]]-DETALLE_GD_1[[#This Row],[DEVOLUCIÓN]]</f>
        <v>84</v>
      </c>
      <c r="AD374" s="38" t="str">
        <f>+_xlfn.XLOOKUP(DETALLE_GD_1[[#This Row],[CODIGO]],PRODUCTOS[CODIGO],PRODUCTOS[DESC CORTA],"",0)</f>
        <v>OSB 9.5</v>
      </c>
      <c r="AE374"/>
      <c r="AH374"/>
    </row>
    <row r="375" spans="1:34" x14ac:dyDescent="0.25">
      <c r="A375" s="1">
        <v>46080</v>
      </c>
      <c r="B375" s="1">
        <v>46080</v>
      </c>
      <c r="C375" s="81" t="s">
        <v>176</v>
      </c>
      <c r="D375" s="38">
        <v>2</v>
      </c>
      <c r="E375" s="81" t="s">
        <v>392</v>
      </c>
      <c r="F375">
        <v>1901038</v>
      </c>
      <c r="G375" s="81" t="s">
        <v>39</v>
      </c>
      <c r="H375" s="81" t="s">
        <v>26</v>
      </c>
      <c r="I375" s="3">
        <v>81</v>
      </c>
      <c r="J375" s="3"/>
      <c r="K375" s="26">
        <v>81</v>
      </c>
      <c r="L375" s="2">
        <v>4197.4197999999997</v>
      </c>
      <c r="M375" s="2">
        <v>339991</v>
      </c>
      <c r="N375" s="2">
        <v>339991</v>
      </c>
      <c r="O375" s="2">
        <v>4197.4179000000004</v>
      </c>
      <c r="P375" s="2">
        <v>-1.9E-3</v>
      </c>
      <c r="Q375" s="2">
        <v>-0.15210000000000001</v>
      </c>
      <c r="R375" s="4">
        <v>-4.4743851442261412E-7</v>
      </c>
      <c r="S375" t="s">
        <v>390</v>
      </c>
      <c r="T375">
        <v>307720</v>
      </c>
      <c r="U375" s="2"/>
      <c r="V375">
        <v>5728</v>
      </c>
      <c r="W375" s="2">
        <v>6579000000</v>
      </c>
      <c r="X375" s="6">
        <v>339990.84787500009</v>
      </c>
      <c r="Y375" s="38">
        <v>10010</v>
      </c>
      <c r="Z375" s="86">
        <f>+((DETALLE_GD_1[[#This Row],[VALOR X UN (GD)]]-DETALLE_GD_1[[#This Row],[VALOR PPTO]])/DETALLE_GD_1[[#This Row],[VALOR PPTO]])</f>
        <v>4.5265924064784857E-7</v>
      </c>
      <c r="AA375" s="2">
        <f>+DETALLE_GD_1[[#This Row],[VALOR PPTO]]*DETALLE_GD_1[[#This Row],[CANTIDAD RECIBIDA]]</f>
        <v>339990.84990000003</v>
      </c>
      <c r="AB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5" s="3">
        <f>+DETALLE_GD_1[[#This Row],[CANTIDAD SOLICITADA]]-DETALLE_GD_1[[#This Row],[DEVOLUCIÓN]]</f>
        <v>81</v>
      </c>
      <c r="AD375" s="38" t="str">
        <f>+_xlfn.XLOOKUP(DETALLE_GD_1[[#This Row],[CODIGO]],PRODUCTOS[CODIGO],PRODUCTOS[DESC CORTA],"",0)</f>
        <v>AISLAN ROCA 90MM</v>
      </c>
      <c r="AE375"/>
      <c r="AH375"/>
    </row>
    <row r="376" spans="1:34" x14ac:dyDescent="0.25">
      <c r="A376" s="1">
        <v>46080</v>
      </c>
      <c r="B376" s="1">
        <v>46080</v>
      </c>
      <c r="C376" s="81" t="s">
        <v>176</v>
      </c>
      <c r="D376" s="38">
        <v>2</v>
      </c>
      <c r="E376" s="81" t="s">
        <v>392</v>
      </c>
      <c r="F376">
        <v>1901008</v>
      </c>
      <c r="G376" s="81" t="s">
        <v>278</v>
      </c>
      <c r="H376" s="81" t="s">
        <v>26</v>
      </c>
      <c r="I376" s="3">
        <v>108</v>
      </c>
      <c r="J376" s="3"/>
      <c r="K376" s="26">
        <v>108</v>
      </c>
      <c r="L376" s="2">
        <v>2099.7314999999999</v>
      </c>
      <c r="M376" s="2">
        <v>226771</v>
      </c>
      <c r="N376" s="2">
        <v>226771</v>
      </c>
      <c r="O376" s="2">
        <v>2112.7957999999999</v>
      </c>
      <c r="P376" s="2">
        <v>13.064299999999999</v>
      </c>
      <c r="Q376" s="2">
        <v>1410.9440999999999</v>
      </c>
      <c r="R376" s="4">
        <v>6.1834170857261745E-3</v>
      </c>
      <c r="S376" t="s">
        <v>390</v>
      </c>
      <c r="T376">
        <v>307720</v>
      </c>
      <c r="U376" s="2"/>
      <c r="V376">
        <v>5728</v>
      </c>
      <c r="W376" s="2">
        <v>6579000000</v>
      </c>
      <c r="X376" s="6">
        <v>228181.944132</v>
      </c>
      <c r="Y376" s="38">
        <v>10010</v>
      </c>
      <c r="Z376" s="86">
        <f>+((DETALLE_GD_1[[#This Row],[VALOR X UN (GD)]]-DETALLE_GD_1[[#This Row],[VALOR PPTO]])/DETALLE_GD_1[[#This Row],[VALOR PPTO]])</f>
        <v>-6.1834181987677197E-3</v>
      </c>
      <c r="AA376" s="2">
        <f>+DETALLE_GD_1[[#This Row],[VALOR PPTO]]*DETALLE_GD_1[[#This Row],[CANTIDAD RECIBIDA]]</f>
        <v>228181.94639999999</v>
      </c>
      <c r="AB3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6" s="3">
        <f>+DETALLE_GD_1[[#This Row],[CANTIDAD SOLICITADA]]-DETALLE_GD_1[[#This Row],[DEVOLUCIÓN]]</f>
        <v>108</v>
      </c>
      <c r="AD376" s="38" t="str">
        <f>+_xlfn.XLOOKUP(DETALLE_GD_1[[#This Row],[CODIGO]],PRODUCTOS[CODIGO],PRODUCTOS[DESC CORTA],"",0)</f>
        <v>AISLAN GLASS 90MM</v>
      </c>
      <c r="AE376"/>
      <c r="AH376"/>
    </row>
    <row r="377" spans="1:34" x14ac:dyDescent="0.25">
      <c r="A377" s="1">
        <v>46080</v>
      </c>
      <c r="B377" s="1">
        <v>46080</v>
      </c>
      <c r="C377" s="81" t="s">
        <v>169</v>
      </c>
      <c r="D377" s="38">
        <v>2</v>
      </c>
      <c r="E377" s="81" t="s">
        <v>230</v>
      </c>
      <c r="F377">
        <v>701096</v>
      </c>
      <c r="G377" s="81" t="s">
        <v>204</v>
      </c>
      <c r="H377" s="81" t="s">
        <v>18</v>
      </c>
      <c r="I377" s="3">
        <v>70</v>
      </c>
      <c r="J377" s="3"/>
      <c r="K377" s="26">
        <v>70</v>
      </c>
      <c r="L377" s="2">
        <v>16019.885700000001</v>
      </c>
      <c r="M377" s="2">
        <v>1121392</v>
      </c>
      <c r="N377" s="2">
        <v>1121392</v>
      </c>
      <c r="O377" s="2">
        <v>16019.885700000001</v>
      </c>
      <c r="P377" s="2">
        <v>0</v>
      </c>
      <c r="Q377" s="2">
        <v>-2E-3</v>
      </c>
      <c r="R377" s="4">
        <v>-1.8280849054132462E-9</v>
      </c>
      <c r="S377" t="s">
        <v>390</v>
      </c>
      <c r="T377">
        <v>307720</v>
      </c>
      <c r="U377" s="2"/>
      <c r="V377">
        <v>5728</v>
      </c>
      <c r="W377" s="2">
        <v>6579000000</v>
      </c>
      <c r="X377" s="6">
        <v>1121391.9979500002</v>
      </c>
      <c r="Y377" s="38">
        <v>10010</v>
      </c>
      <c r="Z377" s="86">
        <f>+((DETALLE_GD_1[[#This Row],[VALOR X UN (GD)]]-DETALLE_GD_1[[#This Row],[VALOR PPTO]])/DETALLE_GD_1[[#This Row],[VALOR PPTO]])</f>
        <v>0</v>
      </c>
      <c r="AA377" s="2">
        <f>+DETALLE_GD_1[[#This Row],[VALOR PPTO]]*DETALLE_GD_1[[#This Row],[CANTIDAD RECIBIDA]]</f>
        <v>1121391.9990000001</v>
      </c>
      <c r="AB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7" s="3">
        <f>+DETALLE_GD_1[[#This Row],[CANTIDAD SOLICITADA]]-DETALLE_GD_1[[#This Row],[DEVOLUCIÓN]]</f>
        <v>70</v>
      </c>
      <c r="AD377" s="38" t="str">
        <f>+_xlfn.XLOOKUP(DETALLE_GD_1[[#This Row],[CODIGO]],PRODUCTOS[CODIGO],PRODUCTOS[DESC CORTA],"",0)</f>
        <v>VOCANITA EMPAPELADA MURO</v>
      </c>
      <c r="AE377"/>
      <c r="AH377"/>
    </row>
    <row r="378" spans="1:34" x14ac:dyDescent="0.25">
      <c r="A378" s="1">
        <v>46080</v>
      </c>
      <c r="B378" s="1">
        <v>46080</v>
      </c>
      <c r="C378" s="81" t="s">
        <v>169</v>
      </c>
      <c r="D378" s="38">
        <v>2</v>
      </c>
      <c r="E378" s="81" t="s">
        <v>230</v>
      </c>
      <c r="F378">
        <v>701043</v>
      </c>
      <c r="G378" s="81" t="s">
        <v>197</v>
      </c>
      <c r="H378" s="81" t="s">
        <v>18</v>
      </c>
      <c r="I378" s="3">
        <v>40</v>
      </c>
      <c r="J378" s="3"/>
      <c r="K378" s="26">
        <v>40</v>
      </c>
      <c r="L378" s="2">
        <v>22146.375</v>
      </c>
      <c r="M378" s="2">
        <v>885855</v>
      </c>
      <c r="N378" s="2">
        <v>885855</v>
      </c>
      <c r="O378" s="2">
        <v>22146.362799999999</v>
      </c>
      <c r="P378" s="2">
        <v>-1.2200000000000001E-2</v>
      </c>
      <c r="Q378" s="2">
        <v>-0.48909999999999998</v>
      </c>
      <c r="R378" s="4">
        <v>-5.521448431728661E-7</v>
      </c>
      <c r="S378" t="s">
        <v>390</v>
      </c>
      <c r="T378">
        <v>307720</v>
      </c>
      <c r="U378" s="2"/>
      <c r="V378">
        <v>5728</v>
      </c>
      <c r="W378" s="2">
        <v>6579000000</v>
      </c>
      <c r="X378" s="6">
        <v>885854.51087999996</v>
      </c>
      <c r="Y378" s="38">
        <v>10010</v>
      </c>
      <c r="Z378" s="86">
        <f>+((DETALLE_GD_1[[#This Row],[VALOR X UN (GD)]]-DETALLE_GD_1[[#This Row],[VALOR PPTO]])/DETALLE_GD_1[[#This Row],[VALOR PPTO]])</f>
        <v>5.5088052657704476E-7</v>
      </c>
      <c r="AA378" s="2">
        <f>+DETALLE_GD_1[[#This Row],[VALOR PPTO]]*DETALLE_GD_1[[#This Row],[CANTIDAD RECIBIDA]]</f>
        <v>885854.51199999999</v>
      </c>
      <c r="AB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8" s="3">
        <f>+DETALLE_GD_1[[#This Row],[CANTIDAD SOLICITADA]]-DETALLE_GD_1[[#This Row],[DEVOLUCIÓN]]</f>
        <v>40</v>
      </c>
      <c r="AD378" s="38" t="str">
        <f>+_xlfn.XLOOKUP(DETALLE_GD_1[[#This Row],[CODIGO]],PRODUCTOS[CODIGO],PRODUCTOS[DESC CORTA],"",0)</f>
        <v>VOLCANITA EMPAPELADA CIELO</v>
      </c>
      <c r="AE378"/>
      <c r="AH378"/>
    </row>
    <row r="379" spans="1:34" x14ac:dyDescent="0.25">
      <c r="A379" s="1">
        <v>46080</v>
      </c>
      <c r="B379" s="1">
        <v>46080</v>
      </c>
      <c r="C379" s="81" t="s">
        <v>169</v>
      </c>
      <c r="D379" s="38">
        <v>2</v>
      </c>
      <c r="E379" s="81" t="s">
        <v>169</v>
      </c>
      <c r="F379" t="s">
        <v>231</v>
      </c>
      <c r="G379" s="81" t="s">
        <v>180</v>
      </c>
      <c r="H379" s="81" t="s">
        <v>36</v>
      </c>
      <c r="I379" s="3">
        <v>2</v>
      </c>
      <c r="J379" s="3"/>
      <c r="K379" s="26">
        <v>2</v>
      </c>
      <c r="L379" s="2">
        <v>55858.5</v>
      </c>
      <c r="M379" s="2">
        <v>111717</v>
      </c>
      <c r="N379" s="2">
        <v>111717</v>
      </c>
      <c r="O379" s="2">
        <v>55858.301899999999</v>
      </c>
      <c r="P379" s="2">
        <v>-0.1981</v>
      </c>
      <c r="Q379" s="2">
        <v>-0.3962</v>
      </c>
      <c r="R379" s="4">
        <v>-3.5467064574682333E-6</v>
      </c>
      <c r="S379" t="s">
        <v>390</v>
      </c>
      <c r="T379">
        <v>307720</v>
      </c>
      <c r="U379" s="2"/>
      <c r="V379">
        <v>5728</v>
      </c>
      <c r="W379" s="2">
        <v>6579000000</v>
      </c>
      <c r="X379" s="6">
        <v>111716.603774</v>
      </c>
      <c r="Y379" s="38">
        <v>10010</v>
      </c>
      <c r="Z379" s="86">
        <f>+((DETALLE_GD_1[[#This Row],[VALOR X UN (GD)]]-DETALLE_GD_1[[#This Row],[VALOR PPTO]])/DETALLE_GD_1[[#This Row],[VALOR PPTO]])</f>
        <v>3.5464737248203372E-6</v>
      </c>
      <c r="AA379" s="2">
        <f>+DETALLE_GD_1[[#This Row],[VALOR PPTO]]*DETALLE_GD_1[[#This Row],[CANTIDAD RECIBIDA]]</f>
        <v>111716.6038</v>
      </c>
      <c r="AB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79" s="3">
        <f>+DETALLE_GD_1[[#This Row],[CANTIDAD SOLICITADA]]-DETALLE_GD_1[[#This Row],[DEVOLUCIÓN]]</f>
        <v>2</v>
      </c>
      <c r="AD379" s="38">
        <f>+_xlfn.XLOOKUP(DETALLE_GD_1[[#This Row],[CODIGO]],PRODUCTOS[CODIGO],PRODUCTOS[DESC CORTA],"",0)</f>
        <v>0</v>
      </c>
      <c r="AE379"/>
      <c r="AH379"/>
    </row>
    <row r="380" spans="1:34" x14ac:dyDescent="0.25">
      <c r="A380" s="1">
        <v>46080</v>
      </c>
      <c r="B380" s="1">
        <v>46080</v>
      </c>
      <c r="C380" s="81" t="s">
        <v>169</v>
      </c>
      <c r="D380" s="38">
        <v>2</v>
      </c>
      <c r="E380" s="81" t="s">
        <v>169</v>
      </c>
      <c r="F380">
        <v>407049</v>
      </c>
      <c r="G380" s="81" t="s">
        <v>232</v>
      </c>
      <c r="H380" s="81" t="s">
        <v>31</v>
      </c>
      <c r="I380" s="3">
        <v>500</v>
      </c>
      <c r="J380" s="3"/>
      <c r="K380" s="26">
        <v>500</v>
      </c>
      <c r="L380" s="2">
        <v>16.202000000000002</v>
      </c>
      <c r="M380" s="2">
        <v>8101</v>
      </c>
      <c r="N380" s="2">
        <v>8101</v>
      </c>
      <c r="O380" s="2">
        <v>16.202200000000001</v>
      </c>
      <c r="P380" s="2">
        <v>2.0000000000000001E-4</v>
      </c>
      <c r="Q380" s="2">
        <v>8.1000000000000003E-2</v>
      </c>
      <c r="R380" s="4">
        <v>9.9986656101544582E-6</v>
      </c>
      <c r="S380" t="s">
        <v>390</v>
      </c>
      <c r="T380">
        <v>307720</v>
      </c>
      <c r="U380" s="2"/>
      <c r="V380">
        <v>5728</v>
      </c>
      <c r="W380" s="2">
        <v>6579000000</v>
      </c>
      <c r="X380" s="6">
        <v>8101.081000000001</v>
      </c>
      <c r="Y380" s="38">
        <v>10010</v>
      </c>
      <c r="Z380" s="86">
        <f>+((DETALLE_GD_1[[#This Row],[VALOR X UN (GD)]]-DETALLE_GD_1[[#This Row],[VALOR PPTO]])/DETALLE_GD_1[[#This Row],[VALOR PPTO]])</f>
        <v>-1.2344002666275806E-5</v>
      </c>
      <c r="AA380" s="2">
        <f>+DETALLE_GD_1[[#This Row],[VALOR PPTO]]*DETALLE_GD_1[[#This Row],[CANTIDAD RECIBIDA]]</f>
        <v>8101.1</v>
      </c>
      <c r="AB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0" s="3">
        <f>+DETALLE_GD_1[[#This Row],[CANTIDAD SOLICITADA]]-DETALLE_GD_1[[#This Row],[DEVOLUCIÓN]]</f>
        <v>500</v>
      </c>
      <c r="AD380" s="38">
        <f>+_xlfn.XLOOKUP(DETALLE_GD_1[[#This Row],[CODIGO]],PRODUCTOS[CODIGO],PRODUCTOS[DESC CORTA],"",0)</f>
        <v>0</v>
      </c>
      <c r="AE380"/>
      <c r="AH380"/>
    </row>
    <row r="381" spans="1:34" x14ac:dyDescent="0.25">
      <c r="A381" s="1">
        <v>46080</v>
      </c>
      <c r="B381" s="1">
        <v>46080</v>
      </c>
      <c r="C381" s="81" t="s">
        <v>224</v>
      </c>
      <c r="D381" s="38">
        <v>2</v>
      </c>
      <c r="E381" s="81" t="s">
        <v>233</v>
      </c>
      <c r="F381">
        <v>701084</v>
      </c>
      <c r="G381" s="81" t="s">
        <v>38</v>
      </c>
      <c r="H381" s="81" t="s">
        <v>18</v>
      </c>
      <c r="I381" s="3">
        <v>10</v>
      </c>
      <c r="J381" s="3"/>
      <c r="K381" s="26">
        <v>10</v>
      </c>
      <c r="L381" s="2">
        <v>38182.9</v>
      </c>
      <c r="M381" s="2">
        <v>381829</v>
      </c>
      <c r="N381" s="2">
        <v>381829</v>
      </c>
      <c r="O381" s="2">
        <v>38182.916700000002</v>
      </c>
      <c r="P381" s="2">
        <v>1.67E-2</v>
      </c>
      <c r="Q381" s="2">
        <v>0.16669999999999999</v>
      </c>
      <c r="R381" s="4">
        <v>4.3650410841026644E-7</v>
      </c>
      <c r="S381" t="s">
        <v>390</v>
      </c>
      <c r="T381">
        <v>307720</v>
      </c>
      <c r="U381" s="2"/>
      <c r="V381">
        <v>5728</v>
      </c>
      <c r="W381" s="2">
        <v>6579000000</v>
      </c>
      <c r="X381" s="6">
        <v>381829.16666999995</v>
      </c>
      <c r="Y381" s="38">
        <v>10010</v>
      </c>
      <c r="Z381" s="86">
        <f>+((DETALLE_GD_1[[#This Row],[VALOR X UN (GD)]]-DETALLE_GD_1[[#This Row],[VALOR PPTO]])/DETALLE_GD_1[[#This Row],[VALOR PPTO]])</f>
        <v>-4.373683689839246E-7</v>
      </c>
      <c r="AA381" s="2">
        <f>+DETALLE_GD_1[[#This Row],[VALOR PPTO]]*DETALLE_GD_1[[#This Row],[CANTIDAD RECIBIDA]]</f>
        <v>381829.16700000002</v>
      </c>
      <c r="AB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1" s="3">
        <f>+DETALLE_GD_1[[#This Row],[CANTIDAD SOLICITADA]]-DETALLE_GD_1[[#This Row],[DEVOLUCIÓN]]</f>
        <v>10</v>
      </c>
      <c r="AD381" s="38" t="str">
        <f>+_xlfn.XLOOKUP(DETALLE_GD_1[[#This Row],[CODIGO]],PRODUCTOS[CODIGO],PRODUCTOS[DESC CORTA],"",0)</f>
        <v>FIBROCEMENTO BALCON</v>
      </c>
      <c r="AE381"/>
      <c r="AH381"/>
    </row>
    <row r="382" spans="1:34" x14ac:dyDescent="0.25">
      <c r="A382" s="1">
        <v>46080</v>
      </c>
      <c r="B382" s="1">
        <v>46080</v>
      </c>
      <c r="C382" s="81" t="s">
        <v>169</v>
      </c>
      <c r="D382" s="38">
        <v>2</v>
      </c>
      <c r="E382" s="81" t="s">
        <v>169</v>
      </c>
      <c r="F382">
        <v>407011</v>
      </c>
      <c r="G382" s="81" t="s">
        <v>30</v>
      </c>
      <c r="H382" s="81" t="s">
        <v>31</v>
      </c>
      <c r="I382" s="3">
        <v>1500</v>
      </c>
      <c r="J382" s="3"/>
      <c r="K382" s="26">
        <v>1500</v>
      </c>
      <c r="L382" s="2">
        <v>473.17529999999999</v>
      </c>
      <c r="M382" s="2">
        <v>709763</v>
      </c>
      <c r="N382" s="2">
        <v>709763</v>
      </c>
      <c r="O382" s="2">
        <v>473.17520000000002</v>
      </c>
      <c r="P382" s="2">
        <v>-1E-4</v>
      </c>
      <c r="Q382" s="2">
        <v>-0.14000000000000001</v>
      </c>
      <c r="R382" s="4">
        <v>-1.9724897997357141E-7</v>
      </c>
      <c r="S382" t="s">
        <v>390</v>
      </c>
      <c r="T382">
        <v>307720</v>
      </c>
      <c r="U382" s="2"/>
      <c r="V382">
        <v>5728</v>
      </c>
      <c r="W382" s="2">
        <v>6579000000</v>
      </c>
      <c r="X382" s="6">
        <v>709762.85999999987</v>
      </c>
      <c r="Y382" s="38">
        <v>10010</v>
      </c>
      <c r="Z382" s="86">
        <f>+((DETALLE_GD_1[[#This Row],[VALOR X UN (GD)]]-DETALLE_GD_1[[#This Row],[VALOR PPTO]])/DETALLE_GD_1[[#This Row],[VALOR PPTO]])</f>
        <v>2.1133821040261184E-7</v>
      </c>
      <c r="AA382" s="2">
        <f>+DETALLE_GD_1[[#This Row],[VALOR PPTO]]*DETALLE_GD_1[[#This Row],[CANTIDAD RECIBIDA]]</f>
        <v>709762.8</v>
      </c>
      <c r="AB3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82" s="3">
        <f>+DETALLE_GD_1[[#This Row],[CANTIDAD SOLICITADA]]-DETALLE_GD_1[[#This Row],[DEVOLUCIÓN]]</f>
        <v>1500</v>
      </c>
      <c r="AD382" s="38" t="str">
        <f>+_xlfn.XLOOKUP(DETALLE_GD_1[[#This Row],[CODIGO]],PRODUCTOS[CODIGO],PRODUCTOS[DESC CORTA],"",0)</f>
        <v>TORNILLO SIMPSON 6"</v>
      </c>
      <c r="AE382"/>
      <c r="AH382"/>
    </row>
    <row r="383" spans="1:34" x14ac:dyDescent="0.25">
      <c r="A383" s="1">
        <v>46083</v>
      </c>
      <c r="B383" s="1">
        <v>46083</v>
      </c>
      <c r="C383" s="81" t="s">
        <v>169</v>
      </c>
      <c r="D383" s="38">
        <v>3</v>
      </c>
      <c r="E383" s="81" t="s">
        <v>169</v>
      </c>
      <c r="F383">
        <v>1901008</v>
      </c>
      <c r="G383" s="81" t="s">
        <v>278</v>
      </c>
      <c r="H383" s="81" t="s">
        <v>26</v>
      </c>
      <c r="I383" s="3">
        <v>189</v>
      </c>
      <c r="J383" s="3"/>
      <c r="K383" s="26">
        <v>189</v>
      </c>
      <c r="L383" s="2">
        <v>2099.7354</v>
      </c>
      <c r="M383" s="2">
        <v>396850</v>
      </c>
      <c r="N383" s="2">
        <v>396850</v>
      </c>
      <c r="O383" s="2">
        <v>2112.7957999999999</v>
      </c>
      <c r="P383" s="2">
        <v>13.0603</v>
      </c>
      <c r="Q383" s="2">
        <v>2468.4022</v>
      </c>
      <c r="R383" s="4">
        <v>6.1815388852829072E-3</v>
      </c>
      <c r="S383" t="s">
        <v>390</v>
      </c>
      <c r="T383">
        <v>307874</v>
      </c>
      <c r="U383" s="2">
        <v>1484091</v>
      </c>
      <c r="V383">
        <v>5755</v>
      </c>
      <c r="W383" s="2">
        <v>6579000000</v>
      </c>
      <c r="X383" s="6">
        <v>399318.40223100001</v>
      </c>
      <c r="Y383" s="38">
        <v>10010</v>
      </c>
      <c r="Z383" s="86">
        <f>+((DETALLE_GD_1[[#This Row],[VALOR X UN (GD)]]-DETALLE_GD_1[[#This Row],[VALOR PPTO]])/DETALLE_GD_1[[#This Row],[VALOR PPTO]])</f>
        <v>-6.1815723033905338E-3</v>
      </c>
      <c r="AA383" s="2">
        <f>+DETALLE_GD_1[[#This Row],[VALOR PPTO]]*DETALLE_GD_1[[#This Row],[CANTIDAD RECIBIDA]]</f>
        <v>399318.40619999997</v>
      </c>
      <c r="AB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83" s="3">
        <f>+DETALLE_GD_1[[#This Row],[CANTIDAD SOLICITADA]]-DETALLE_GD_1[[#This Row],[DEVOLUCIÓN]]</f>
        <v>189</v>
      </c>
      <c r="AD383" s="38" t="str">
        <f>+_xlfn.XLOOKUP(DETALLE_GD_1[[#This Row],[CODIGO]],PRODUCTOS[CODIGO],PRODUCTOS[DESC CORTA],"",0)</f>
        <v>AISLAN GLASS 90MM</v>
      </c>
      <c r="AE383"/>
      <c r="AH383"/>
    </row>
    <row r="384" spans="1:34" x14ac:dyDescent="0.25">
      <c r="A384" s="1">
        <v>46083</v>
      </c>
      <c r="B384" s="1">
        <v>46083</v>
      </c>
      <c r="C384" s="81" t="s">
        <v>169</v>
      </c>
      <c r="D384" s="38">
        <v>3</v>
      </c>
      <c r="E384" s="81" t="s">
        <v>169</v>
      </c>
      <c r="F384">
        <v>617055</v>
      </c>
      <c r="G384" s="81" t="s">
        <v>182</v>
      </c>
      <c r="H384" s="81" t="s">
        <v>31</v>
      </c>
      <c r="I384" s="3">
        <v>1</v>
      </c>
      <c r="J384" s="3"/>
      <c r="K384" s="26">
        <v>1</v>
      </c>
      <c r="L384" s="2">
        <v>920</v>
      </c>
      <c r="M384" s="2">
        <v>920</v>
      </c>
      <c r="N384" s="2">
        <v>920</v>
      </c>
      <c r="O384" s="2">
        <v>920.35379999999998</v>
      </c>
      <c r="P384" s="2">
        <v>0.3538</v>
      </c>
      <c r="Q384" s="2">
        <v>0.3538</v>
      </c>
      <c r="R384" s="4">
        <v>3.8439674753726718E-4</v>
      </c>
      <c r="S384" t="s">
        <v>390</v>
      </c>
      <c r="T384">
        <v>307874</v>
      </c>
      <c r="U384" s="2"/>
      <c r="V384">
        <v>5755</v>
      </c>
      <c r="W384" s="2">
        <v>6579000000</v>
      </c>
      <c r="X384" s="6">
        <v>920.35378100000003</v>
      </c>
      <c r="Y384" s="38">
        <v>10010</v>
      </c>
      <c r="Z384" s="86">
        <f>+((DETALLE_GD_1[[#This Row],[VALOR X UN (GD)]]-DETALLE_GD_1[[#This Row],[VALOR PPTO]])/DETALLE_GD_1[[#This Row],[VALOR PPTO]])</f>
        <v>-3.8441738383649673E-4</v>
      </c>
      <c r="AA384" s="2">
        <f>+DETALLE_GD_1[[#This Row],[VALOR PPTO]]*DETALLE_GD_1[[#This Row],[CANTIDAD RECIBIDA]]</f>
        <v>920.35379999999998</v>
      </c>
      <c r="AB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4" s="3">
        <f>+DETALLE_GD_1[[#This Row],[CANTIDAD SOLICITADA]]-DETALLE_GD_1[[#This Row],[DEVOLUCIÓN]]</f>
        <v>1</v>
      </c>
      <c r="AD384" s="38">
        <f>+_xlfn.XLOOKUP(DETALLE_GD_1[[#This Row],[CODIGO]],PRODUCTOS[CODIGO],PRODUCTOS[DESC CORTA],"",0)</f>
        <v>0</v>
      </c>
      <c r="AE384"/>
      <c r="AH384"/>
    </row>
    <row r="385" spans="1:34" x14ac:dyDescent="0.25">
      <c r="A385" s="1">
        <v>46083</v>
      </c>
      <c r="B385" s="1">
        <v>46083</v>
      </c>
      <c r="C385" s="81" t="s">
        <v>169</v>
      </c>
      <c r="D385" s="38">
        <v>3</v>
      </c>
      <c r="E385" s="81" t="s">
        <v>169</v>
      </c>
      <c r="F385">
        <v>407423</v>
      </c>
      <c r="G385" s="81" t="s">
        <v>106</v>
      </c>
      <c r="H385" s="81" t="s">
        <v>31</v>
      </c>
      <c r="I385" s="3">
        <v>3000</v>
      </c>
      <c r="J385" s="3"/>
      <c r="K385" s="26">
        <v>3000</v>
      </c>
      <c r="L385" s="2">
        <v>3.3879999999999999</v>
      </c>
      <c r="M385" s="2">
        <v>10164</v>
      </c>
      <c r="N385" s="2">
        <v>10164</v>
      </c>
      <c r="O385" s="2">
        <v>106.6405</v>
      </c>
      <c r="P385" s="2">
        <v>103.2525</v>
      </c>
      <c r="Q385" s="2">
        <v>309757.50599999999</v>
      </c>
      <c r="R385" s="4">
        <v>0.96822970694084709</v>
      </c>
      <c r="S385" t="s">
        <v>390</v>
      </c>
      <c r="T385">
        <v>307874</v>
      </c>
      <c r="U385" s="2"/>
      <c r="V385">
        <v>5755</v>
      </c>
      <c r="W385" s="2">
        <v>6579000000</v>
      </c>
      <c r="X385" s="6">
        <v>319921.50595135131</v>
      </c>
      <c r="Y385" s="38">
        <v>10010</v>
      </c>
      <c r="Z385" s="86">
        <f>+((DETALLE_GD_1[[#This Row],[VALOR X UN (GD)]]-DETALLE_GD_1[[#This Row],[VALOR PPTO]])/DETALLE_GD_1[[#This Row],[VALOR PPTO]])</f>
        <v>-0.96822970634983885</v>
      </c>
      <c r="AA385" s="2">
        <f>+DETALLE_GD_1[[#This Row],[VALOR PPTO]]*DETALLE_GD_1[[#This Row],[CANTIDAD RECIBIDA]]</f>
        <v>319921.5</v>
      </c>
      <c r="AB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5" s="3">
        <f>+DETALLE_GD_1[[#This Row],[CANTIDAD SOLICITADA]]-DETALLE_GD_1[[#This Row],[DEVOLUCIÓN]]</f>
        <v>3000</v>
      </c>
      <c r="AD385" s="38" t="str">
        <f>+_xlfn.XLOOKUP(DETALLE_GD_1[[#This Row],[CODIGO]],PRODUCTOS[CODIGO],PRODUCTOS[DESC CORTA],"",0)</f>
        <v>TORNILLO CRS 6X1 5/8</v>
      </c>
      <c r="AE385"/>
      <c r="AH385"/>
    </row>
    <row r="386" spans="1:34" x14ac:dyDescent="0.25">
      <c r="A386" s="1">
        <v>46083</v>
      </c>
      <c r="B386" s="1">
        <v>46083</v>
      </c>
      <c r="C386" s="81" t="s">
        <v>169</v>
      </c>
      <c r="D386" s="38">
        <v>3</v>
      </c>
      <c r="E386" s="81" t="s">
        <v>169</v>
      </c>
      <c r="F386">
        <v>1901086</v>
      </c>
      <c r="G386" s="81" t="s">
        <v>279</v>
      </c>
      <c r="H386" s="81" t="s">
        <v>26</v>
      </c>
      <c r="I386" s="3">
        <v>291</v>
      </c>
      <c r="J386" s="3"/>
      <c r="K386" s="26">
        <v>291</v>
      </c>
      <c r="L386" s="2">
        <v>3698.134</v>
      </c>
      <c r="M386" s="2">
        <v>1076157</v>
      </c>
      <c r="N386" s="2">
        <v>1076157</v>
      </c>
      <c r="O386" s="2">
        <v>3711.587</v>
      </c>
      <c r="P386" s="2">
        <v>13.452999999999999</v>
      </c>
      <c r="Q386" s="2">
        <v>3914.8289</v>
      </c>
      <c r="R386" s="4">
        <v>3.624600536868661E-3</v>
      </c>
      <c r="S386" t="s">
        <v>390</v>
      </c>
      <c r="T386">
        <v>307874</v>
      </c>
      <c r="U386" s="2"/>
      <c r="V386">
        <v>5755</v>
      </c>
      <c r="W386" s="2">
        <v>6579000000</v>
      </c>
      <c r="X386" s="6">
        <v>1080071.8289310001</v>
      </c>
      <c r="Y386" s="38">
        <v>10010</v>
      </c>
      <c r="Z386" s="86">
        <f>+((DETALLE_GD_1[[#This Row],[VALOR X UN (GD)]]-DETALLE_GD_1[[#This Row],[VALOR PPTO]])/DETALLE_GD_1[[#This Row],[VALOR PPTO]])</f>
        <v>-3.6245950856062313E-3</v>
      </c>
      <c r="AA386" s="2">
        <f>+DETALLE_GD_1[[#This Row],[VALOR PPTO]]*DETALLE_GD_1[[#This Row],[CANTIDAD RECIBIDA]]</f>
        <v>1080071.817</v>
      </c>
      <c r="AB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86" s="3">
        <f>+DETALLE_GD_1[[#This Row],[CANTIDAD SOLICITADA]]-DETALLE_GD_1[[#This Row],[DEVOLUCIÓN]]</f>
        <v>291</v>
      </c>
      <c r="AD386" s="38" t="str">
        <f>+_xlfn.XLOOKUP(DETALLE_GD_1[[#This Row],[CODIGO]],PRODUCTOS[CODIGO],PRODUCTOS[DESC CORTA],"",0)</f>
        <v>AISLAN GLASS 140MM</v>
      </c>
      <c r="AE386"/>
      <c r="AH386"/>
    </row>
    <row r="387" spans="1:34" x14ac:dyDescent="0.25">
      <c r="A387" s="1">
        <v>46084</v>
      </c>
      <c r="B387" s="1">
        <v>46084</v>
      </c>
      <c r="C387" s="81" t="s">
        <v>393</v>
      </c>
      <c r="D387" s="38">
        <v>3</v>
      </c>
      <c r="E387" s="81" t="s">
        <v>393</v>
      </c>
      <c r="F387">
        <v>404184</v>
      </c>
      <c r="G387" s="81" t="s">
        <v>66</v>
      </c>
      <c r="H387" s="81" t="s">
        <v>31</v>
      </c>
      <c r="I387" s="3">
        <v>2</v>
      </c>
      <c r="J387" s="3"/>
      <c r="K387" s="26">
        <v>2</v>
      </c>
      <c r="L387" s="2">
        <v>1752.5</v>
      </c>
      <c r="M387" s="2">
        <v>3505</v>
      </c>
      <c r="N387" s="2">
        <v>3505</v>
      </c>
      <c r="O387" s="2">
        <v>1754.8757000000001</v>
      </c>
      <c r="P387" s="2">
        <v>2.3757000000000001</v>
      </c>
      <c r="Q387" s="2">
        <v>4.7515000000000001</v>
      </c>
      <c r="R387" s="4">
        <v>1.3537887373063725E-3</v>
      </c>
      <c r="S387" t="s">
        <v>390</v>
      </c>
      <c r="T387">
        <v>307970</v>
      </c>
      <c r="U387" s="2">
        <v>4502</v>
      </c>
      <c r="V387">
        <v>5755</v>
      </c>
      <c r="W387" s="2">
        <v>6579000000</v>
      </c>
      <c r="X387" s="6">
        <v>3509.7514620000002</v>
      </c>
      <c r="Y387" s="38">
        <v>10010</v>
      </c>
      <c r="Z387" s="86">
        <f>+((DETALLE_GD_1[[#This Row],[VALOR X UN (GD)]]-DETALLE_GD_1[[#This Row],[VALOR PPTO]])/DETALLE_GD_1[[#This Row],[VALOR PPTO]])</f>
        <v>-1.3537710961523096E-3</v>
      </c>
      <c r="AA387" s="2">
        <f>+DETALLE_GD_1[[#This Row],[VALOR PPTO]]*DETALLE_GD_1[[#This Row],[CANTIDAD RECIBIDA]]</f>
        <v>3509.7514000000001</v>
      </c>
      <c r="AB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7" s="3">
        <f>+DETALLE_GD_1[[#This Row],[CANTIDAD SOLICITADA]]-DETALLE_GD_1[[#This Row],[DEVOLUCIÓN]]</f>
        <v>2</v>
      </c>
      <c r="AD387" s="38" t="str">
        <f>+_xlfn.XLOOKUP(DETALLE_GD_1[[#This Row],[CODIGO]],PRODUCTOS[CODIGO],PRODUCTOS[DESC CORTA],"",0)</f>
        <v>ANGULO BLANCO</v>
      </c>
      <c r="AE387"/>
      <c r="AH387"/>
    </row>
    <row r="388" spans="1:34" x14ac:dyDescent="0.25">
      <c r="A388" s="1">
        <v>46084</v>
      </c>
      <c r="B388" s="1">
        <v>46084</v>
      </c>
      <c r="C388" s="81" t="s">
        <v>393</v>
      </c>
      <c r="D388" s="38">
        <v>3</v>
      </c>
      <c r="E388" s="81" t="s">
        <v>393</v>
      </c>
      <c r="F388">
        <v>701183</v>
      </c>
      <c r="G388" s="81" t="s">
        <v>136</v>
      </c>
      <c r="H388" s="81" t="s">
        <v>137</v>
      </c>
      <c r="I388" s="3">
        <v>1</v>
      </c>
      <c r="J388" s="3"/>
      <c r="K388" s="26">
        <v>1</v>
      </c>
      <c r="L388" s="2">
        <v>997</v>
      </c>
      <c r="M388" s="2">
        <v>997</v>
      </c>
      <c r="N388" s="2">
        <v>997</v>
      </c>
      <c r="O388" s="2">
        <v>996.5</v>
      </c>
      <c r="P388" s="2">
        <v>-0.5</v>
      </c>
      <c r="Q388" s="2">
        <v>-0.5</v>
      </c>
      <c r="R388" s="4">
        <v>-5.0175614651279475E-4</v>
      </c>
      <c r="T388">
        <v>307970</v>
      </c>
      <c r="U388" s="2"/>
      <c r="V388">
        <v>5755</v>
      </c>
      <c r="W388" s="2">
        <v>6579000000</v>
      </c>
      <c r="X388" s="6">
        <v>996.5</v>
      </c>
      <c r="Y388" s="38">
        <v>10010</v>
      </c>
      <c r="Z388" s="86">
        <f>+((DETALLE_GD_1[[#This Row],[VALOR X UN (GD)]]-DETALLE_GD_1[[#This Row],[VALOR PPTO]])/DETALLE_GD_1[[#This Row],[VALOR PPTO]])</f>
        <v>5.0175614651279475E-4</v>
      </c>
      <c r="AA388" s="2">
        <f>+DETALLE_GD_1[[#This Row],[VALOR PPTO]]*DETALLE_GD_1[[#This Row],[CANTIDAD RECIBIDA]]</f>
        <v>996.5</v>
      </c>
      <c r="AB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8" s="3">
        <f>+DETALLE_GD_1[[#This Row],[CANTIDAD SOLICITADA]]-DETALLE_GD_1[[#This Row],[DEVOLUCIÓN]]</f>
        <v>1</v>
      </c>
      <c r="AD388" s="38" t="str">
        <f>+_xlfn.XLOOKUP(DETALLE_GD_1[[#This Row],[CODIGO]],PRODUCTOS[CODIGO],PRODUCTOS[DESC CORTA],"",0)</f>
        <v>MOLDURA PVC INTERIOR</v>
      </c>
      <c r="AE388"/>
      <c r="AH388"/>
    </row>
    <row r="389" spans="1:34" x14ac:dyDescent="0.25">
      <c r="A389" s="1">
        <v>46084</v>
      </c>
      <c r="B389" s="1">
        <v>46084</v>
      </c>
      <c r="C389" s="81" t="s">
        <v>169</v>
      </c>
      <c r="D389" s="38">
        <v>3</v>
      </c>
      <c r="E389" s="81" t="s">
        <v>124</v>
      </c>
      <c r="F389">
        <v>2302024</v>
      </c>
      <c r="G389" s="81" t="s">
        <v>234</v>
      </c>
      <c r="H389" s="81" t="s">
        <v>68</v>
      </c>
      <c r="I389" s="3">
        <v>2</v>
      </c>
      <c r="J389" s="3"/>
      <c r="K389" s="26">
        <v>2</v>
      </c>
      <c r="L389" s="2">
        <v>22292</v>
      </c>
      <c r="M389" s="2">
        <v>44584</v>
      </c>
      <c r="N389" s="2">
        <v>44584</v>
      </c>
      <c r="O389" s="2">
        <v>22292</v>
      </c>
      <c r="P389" s="2">
        <v>0</v>
      </c>
      <c r="Q389" s="2">
        <v>0</v>
      </c>
      <c r="R389" s="4">
        <v>0</v>
      </c>
      <c r="T389">
        <v>307930</v>
      </c>
      <c r="U389" s="2">
        <v>150649</v>
      </c>
      <c r="V389">
        <v>5755</v>
      </c>
      <c r="W389" s="2">
        <v>6579000000</v>
      </c>
      <c r="X389" s="6">
        <v>44584</v>
      </c>
      <c r="Y389" s="38">
        <v>10010</v>
      </c>
      <c r="Z389" s="86">
        <f>+((DETALLE_GD_1[[#This Row],[VALOR X UN (GD)]]-DETALLE_GD_1[[#This Row],[VALOR PPTO]])/DETALLE_GD_1[[#This Row],[VALOR PPTO]])</f>
        <v>0</v>
      </c>
      <c r="AA389" s="2">
        <f>+DETALLE_GD_1[[#This Row],[VALOR PPTO]]*DETALLE_GD_1[[#This Row],[CANTIDAD RECIBIDA]]</f>
        <v>44584</v>
      </c>
      <c r="AB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9" s="3">
        <f>+DETALLE_GD_1[[#This Row],[CANTIDAD SOLICITADA]]-DETALLE_GD_1[[#This Row],[DEVOLUCIÓN]]</f>
        <v>2</v>
      </c>
      <c r="AD389" s="38">
        <f>+_xlfn.XLOOKUP(DETALLE_GD_1[[#This Row],[CODIGO]],PRODUCTOS[CODIGO],PRODUCTOS[DESC CORTA],"",0)</f>
        <v>0</v>
      </c>
      <c r="AE389"/>
      <c r="AH389"/>
    </row>
    <row r="390" spans="1:34" x14ac:dyDescent="0.25">
      <c r="A390" s="1">
        <v>46084</v>
      </c>
      <c r="B390" s="1">
        <v>46084</v>
      </c>
      <c r="C390" s="81" t="s">
        <v>169</v>
      </c>
      <c r="D390" s="38">
        <v>3</v>
      </c>
      <c r="E390" s="81" t="s">
        <v>124</v>
      </c>
      <c r="F390">
        <v>2302098</v>
      </c>
      <c r="G390" s="81" t="s">
        <v>24</v>
      </c>
      <c r="H390" s="81" t="s">
        <v>25</v>
      </c>
      <c r="I390" s="3">
        <v>5</v>
      </c>
      <c r="J390" s="3"/>
      <c r="K390" s="26">
        <v>5</v>
      </c>
      <c r="L390" s="2">
        <v>21213</v>
      </c>
      <c r="M390" s="2">
        <v>106065</v>
      </c>
      <c r="N390" s="2">
        <v>106065</v>
      </c>
      <c r="O390" s="2">
        <v>21213</v>
      </c>
      <c r="P390" s="2">
        <v>0</v>
      </c>
      <c r="Q390" s="2">
        <v>0</v>
      </c>
      <c r="R390" s="4">
        <v>-1.7149761029050001E-16</v>
      </c>
      <c r="T390">
        <v>307930</v>
      </c>
      <c r="U390" s="2"/>
      <c r="V390">
        <v>5755</v>
      </c>
      <c r="W390" s="2">
        <v>6579000000</v>
      </c>
      <c r="X390" s="6">
        <v>106065</v>
      </c>
      <c r="Y390" s="38">
        <v>10010</v>
      </c>
      <c r="Z390" s="86">
        <f>+((DETALLE_GD_1[[#This Row],[VALOR X UN (GD)]]-DETALLE_GD_1[[#This Row],[VALOR PPTO]])/DETALLE_GD_1[[#This Row],[VALOR PPTO]])</f>
        <v>0</v>
      </c>
      <c r="AA390" s="2">
        <f>+DETALLE_GD_1[[#This Row],[VALOR PPTO]]*DETALLE_GD_1[[#This Row],[CANTIDAD RECIBIDA]]</f>
        <v>106065</v>
      </c>
      <c r="AB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0" s="3">
        <f>+DETALLE_GD_1[[#This Row],[CANTIDAD SOLICITADA]]-DETALLE_GD_1[[#This Row],[DEVOLUCIÓN]]</f>
        <v>5</v>
      </c>
      <c r="AD390" s="38" t="str">
        <f>+_xlfn.XLOOKUP(DETALLE_GD_1[[#This Row],[CODIGO]],PRODUCTOS[CODIGO],PRODUCTOS[DESC CORTA],"",0)</f>
        <v>COLA FRIA</v>
      </c>
      <c r="AE390"/>
      <c r="AH390"/>
    </row>
    <row r="391" spans="1:34" x14ac:dyDescent="0.25">
      <c r="A391" s="1">
        <v>46085</v>
      </c>
      <c r="B391" s="1">
        <v>46085</v>
      </c>
      <c r="C391" s="81" t="s">
        <v>169</v>
      </c>
      <c r="D391" s="38">
        <v>3</v>
      </c>
      <c r="E391" s="81" t="s">
        <v>169</v>
      </c>
      <c r="F391">
        <v>2302024</v>
      </c>
      <c r="G391" s="81" t="s">
        <v>234</v>
      </c>
      <c r="H391" s="81" t="s">
        <v>68</v>
      </c>
      <c r="I391" s="3">
        <v>3</v>
      </c>
      <c r="J391" s="3"/>
      <c r="K391" s="26">
        <v>3</v>
      </c>
      <c r="L391" s="2">
        <v>22292</v>
      </c>
      <c r="M391" s="2">
        <v>66876</v>
      </c>
      <c r="N391" s="2">
        <v>66876</v>
      </c>
      <c r="O391" s="2">
        <v>22292</v>
      </c>
      <c r="P391" s="2">
        <v>0</v>
      </c>
      <c r="Q391" s="2">
        <v>0</v>
      </c>
      <c r="R391" s="4">
        <v>0</v>
      </c>
      <c r="T391">
        <v>308039</v>
      </c>
      <c r="U391" s="2">
        <v>394031</v>
      </c>
      <c r="V391">
        <v>5755</v>
      </c>
      <c r="W391" s="2">
        <v>6579000000</v>
      </c>
      <c r="X391" s="6">
        <v>66876</v>
      </c>
      <c r="Y391" s="38">
        <v>10010</v>
      </c>
      <c r="Z391" s="86">
        <f>+((DETALLE_GD_1[[#This Row],[VALOR X UN (GD)]]-DETALLE_GD_1[[#This Row],[VALOR PPTO]])/DETALLE_GD_1[[#This Row],[VALOR PPTO]])</f>
        <v>0</v>
      </c>
      <c r="AA391" s="2">
        <f>+DETALLE_GD_1[[#This Row],[VALOR PPTO]]*DETALLE_GD_1[[#This Row],[CANTIDAD RECIBIDA]]</f>
        <v>66876</v>
      </c>
      <c r="AB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1" s="3">
        <f>+DETALLE_GD_1[[#This Row],[CANTIDAD SOLICITADA]]-DETALLE_GD_1[[#This Row],[DEVOLUCIÓN]]</f>
        <v>3</v>
      </c>
      <c r="AD391" s="38">
        <f>+_xlfn.XLOOKUP(DETALLE_GD_1[[#This Row],[CODIGO]],PRODUCTOS[CODIGO],PRODUCTOS[DESC CORTA],"",0)</f>
        <v>0</v>
      </c>
      <c r="AE391"/>
      <c r="AH391"/>
    </row>
    <row r="392" spans="1:34" x14ac:dyDescent="0.25">
      <c r="A392" s="1">
        <v>46085</v>
      </c>
      <c r="B392" s="1">
        <v>46085</v>
      </c>
      <c r="C392" s="81" t="s">
        <v>169</v>
      </c>
      <c r="D392" s="38">
        <v>3</v>
      </c>
      <c r="E392" s="81" t="s">
        <v>169</v>
      </c>
      <c r="F392">
        <v>2302098</v>
      </c>
      <c r="G392" s="81" t="s">
        <v>24</v>
      </c>
      <c r="H392" s="81" t="s">
        <v>25</v>
      </c>
      <c r="I392" s="3">
        <v>1</v>
      </c>
      <c r="J392" s="3"/>
      <c r="K392" s="26">
        <v>1</v>
      </c>
      <c r="L392" s="2">
        <v>21213</v>
      </c>
      <c r="M392" s="2">
        <v>21213</v>
      </c>
      <c r="N392" s="2">
        <v>21213</v>
      </c>
      <c r="O392" s="2">
        <v>21213</v>
      </c>
      <c r="P392" s="2">
        <v>0</v>
      </c>
      <c r="Q392" s="2">
        <v>0</v>
      </c>
      <c r="R392" s="4">
        <v>-1.7149761029050001E-16</v>
      </c>
      <c r="T392">
        <v>308039</v>
      </c>
      <c r="U392" s="2"/>
      <c r="V392">
        <v>5755</v>
      </c>
      <c r="W392" s="2">
        <v>6579000000</v>
      </c>
      <c r="X392" s="6">
        <v>21212.999999999996</v>
      </c>
      <c r="Y392" s="38">
        <v>10010</v>
      </c>
      <c r="Z392" s="86">
        <f>+((DETALLE_GD_1[[#This Row],[VALOR X UN (GD)]]-DETALLE_GD_1[[#This Row],[VALOR PPTO]])/DETALLE_GD_1[[#This Row],[VALOR PPTO]])</f>
        <v>0</v>
      </c>
      <c r="AA392" s="2">
        <f>+DETALLE_GD_1[[#This Row],[VALOR PPTO]]*DETALLE_GD_1[[#This Row],[CANTIDAD RECIBIDA]]</f>
        <v>21213</v>
      </c>
      <c r="AB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2" s="3">
        <f>+DETALLE_GD_1[[#This Row],[CANTIDAD SOLICITADA]]-DETALLE_GD_1[[#This Row],[DEVOLUCIÓN]]</f>
        <v>1</v>
      </c>
      <c r="AD392" s="38" t="str">
        <f>+_xlfn.XLOOKUP(DETALLE_GD_1[[#This Row],[CODIGO]],PRODUCTOS[CODIGO],PRODUCTOS[DESC CORTA],"",0)</f>
        <v>COLA FRIA</v>
      </c>
      <c r="AE392"/>
      <c r="AH392"/>
    </row>
    <row r="393" spans="1:34" x14ac:dyDescent="0.25">
      <c r="A393" s="1">
        <v>46085</v>
      </c>
      <c r="B393" s="1">
        <v>46085</v>
      </c>
      <c r="C393" s="81" t="s">
        <v>169</v>
      </c>
      <c r="D393" s="38">
        <v>3</v>
      </c>
      <c r="E393" s="81" t="s">
        <v>169</v>
      </c>
      <c r="F393">
        <v>810007</v>
      </c>
      <c r="G393" s="81" t="s">
        <v>235</v>
      </c>
      <c r="H393" s="81" t="s">
        <v>137</v>
      </c>
      <c r="I393" s="3">
        <v>30</v>
      </c>
      <c r="J393" s="3"/>
      <c r="K393" s="26">
        <v>30</v>
      </c>
      <c r="L393" s="2">
        <v>3274.7332999999999</v>
      </c>
      <c r="M393" s="2">
        <v>98242</v>
      </c>
      <c r="N393" s="2">
        <v>98242</v>
      </c>
      <c r="O393" s="2">
        <v>3274.7246</v>
      </c>
      <c r="P393" s="2">
        <v>-8.6999999999999994E-3</v>
      </c>
      <c r="Q393" s="2">
        <v>-0.26090000000000002</v>
      </c>
      <c r="R393" s="4">
        <v>-2.6552868696437327E-6</v>
      </c>
      <c r="T393">
        <v>308039</v>
      </c>
      <c r="U393" s="2"/>
      <c r="V393">
        <v>5755</v>
      </c>
      <c r="W393" s="2">
        <v>6579000000</v>
      </c>
      <c r="X393" s="6">
        <v>98241.739140000005</v>
      </c>
      <c r="Y393" s="38">
        <v>10010</v>
      </c>
      <c r="Z393" s="86">
        <f>+((DETALLE_GD_1[[#This Row],[VALOR X UN (GD)]]-DETALLE_GD_1[[#This Row],[VALOR PPTO]])/DETALLE_GD_1[[#This Row],[VALOR PPTO]])</f>
        <v>2.6567119567436247E-6</v>
      </c>
      <c r="AA393" s="2">
        <f>+DETALLE_GD_1[[#This Row],[VALOR PPTO]]*DETALLE_GD_1[[#This Row],[CANTIDAD RECIBIDA]]</f>
        <v>98241.737999999998</v>
      </c>
      <c r="AB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3" s="3">
        <f>+DETALLE_GD_1[[#This Row],[CANTIDAD SOLICITADA]]-DETALLE_GD_1[[#This Row],[DEVOLUCIÓN]]</f>
        <v>30</v>
      </c>
      <c r="AD393" s="38">
        <f>+_xlfn.XLOOKUP(DETALLE_GD_1[[#This Row],[CODIGO]],PRODUCTOS[CODIGO],PRODUCTOS[DESC CORTA],"",0)</f>
        <v>0</v>
      </c>
      <c r="AE393"/>
      <c r="AH393"/>
    </row>
    <row r="394" spans="1:34" x14ac:dyDescent="0.25">
      <c r="A394" s="1">
        <v>46085</v>
      </c>
      <c r="B394" s="1">
        <v>46085</v>
      </c>
      <c r="C394" s="81" t="s">
        <v>169</v>
      </c>
      <c r="D394" s="38">
        <v>3</v>
      </c>
      <c r="E394" s="81" t="s">
        <v>169</v>
      </c>
      <c r="F394">
        <v>617055</v>
      </c>
      <c r="G394" s="81" t="s">
        <v>182</v>
      </c>
      <c r="H394" s="81" t="s">
        <v>31</v>
      </c>
      <c r="I394" s="3">
        <v>4</v>
      </c>
      <c r="J394" s="3"/>
      <c r="K394" s="26">
        <v>4</v>
      </c>
      <c r="L394" s="2">
        <v>920.25</v>
      </c>
      <c r="M394" s="2">
        <v>3681</v>
      </c>
      <c r="N394" s="2">
        <v>3681</v>
      </c>
      <c r="O394" s="2">
        <v>920.35379999999998</v>
      </c>
      <c r="P394" s="2">
        <v>0.1038</v>
      </c>
      <c r="Q394" s="2">
        <v>0.41510000000000002</v>
      </c>
      <c r="R394" s="4">
        <v>1.1276207274040234E-4</v>
      </c>
      <c r="T394">
        <v>308039</v>
      </c>
      <c r="U394" s="2"/>
      <c r="V394">
        <v>5755</v>
      </c>
      <c r="W394" s="2">
        <v>6579000000</v>
      </c>
      <c r="X394" s="6">
        <v>3681.4151240000001</v>
      </c>
      <c r="Y394" s="38">
        <v>10010</v>
      </c>
      <c r="Z394" s="86">
        <f>+((DETALLE_GD_1[[#This Row],[VALOR X UN (GD)]]-DETALLE_GD_1[[#This Row],[VALOR PPTO]])/DETALLE_GD_1[[#This Row],[VALOR PPTO]])</f>
        <v>-1.1278271464732189E-4</v>
      </c>
      <c r="AA394" s="2">
        <f>+DETALLE_GD_1[[#This Row],[VALOR PPTO]]*DETALLE_GD_1[[#This Row],[CANTIDAD RECIBIDA]]</f>
        <v>3681.4151999999999</v>
      </c>
      <c r="AB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4" s="3">
        <f>+DETALLE_GD_1[[#This Row],[CANTIDAD SOLICITADA]]-DETALLE_GD_1[[#This Row],[DEVOLUCIÓN]]</f>
        <v>4</v>
      </c>
      <c r="AD394" s="38">
        <f>+_xlfn.XLOOKUP(DETALLE_GD_1[[#This Row],[CODIGO]],PRODUCTOS[CODIGO],PRODUCTOS[DESC CORTA],"",0)</f>
        <v>0</v>
      </c>
      <c r="AE394"/>
      <c r="AH394"/>
    </row>
    <row r="395" spans="1:34" x14ac:dyDescent="0.25">
      <c r="A395" s="1">
        <v>46085</v>
      </c>
      <c r="B395" s="1">
        <v>46085</v>
      </c>
      <c r="C395" s="81" t="s">
        <v>169</v>
      </c>
      <c r="D395" s="38">
        <v>3</v>
      </c>
      <c r="E395" s="81" t="s">
        <v>169</v>
      </c>
      <c r="F395">
        <v>408071</v>
      </c>
      <c r="G395" s="81" t="s">
        <v>111</v>
      </c>
      <c r="H395" s="81" t="s">
        <v>36</v>
      </c>
      <c r="I395" s="3">
        <v>1</v>
      </c>
      <c r="J395" s="3"/>
      <c r="K395" s="26">
        <v>1</v>
      </c>
      <c r="L395" s="2">
        <v>23200</v>
      </c>
      <c r="M395" s="2">
        <v>23200</v>
      </c>
      <c r="N395" s="2">
        <v>23200</v>
      </c>
      <c r="O395" s="2">
        <v>23200.297900000001</v>
      </c>
      <c r="P395" s="2">
        <v>0.2979</v>
      </c>
      <c r="Q395" s="2">
        <v>0.2979</v>
      </c>
      <c r="R395" s="4">
        <v>1.2839145498234941E-5</v>
      </c>
      <c r="T395">
        <v>308039</v>
      </c>
      <c r="U395" s="2"/>
      <c r="V395">
        <v>5755</v>
      </c>
      <c r="W395" s="2">
        <v>6579000000</v>
      </c>
      <c r="X395" s="6">
        <v>23200.297871999981</v>
      </c>
      <c r="Y395" s="38">
        <v>10010</v>
      </c>
      <c r="Z395" s="86">
        <f>+((DETALLE_GD_1[[#This Row],[VALOR X UN (GD)]]-DETALLE_GD_1[[#This Row],[VALOR PPTO]])/DETALLE_GD_1[[#This Row],[VALOR PPTO]])</f>
        <v>-1.2840352364673349E-5</v>
      </c>
      <c r="AA395" s="2">
        <f>+DETALLE_GD_1[[#This Row],[VALOR PPTO]]*DETALLE_GD_1[[#This Row],[CANTIDAD RECIBIDA]]</f>
        <v>23200.297900000001</v>
      </c>
      <c r="AB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5" s="3">
        <f>+DETALLE_GD_1[[#This Row],[CANTIDAD SOLICITADA]]-DETALLE_GD_1[[#This Row],[DEVOLUCIÓN]]</f>
        <v>1</v>
      </c>
      <c r="AD395" s="38" t="str">
        <f>+_xlfn.XLOOKUP(DETALLE_GD_1[[#This Row],[CODIGO]],PRODUCTOS[CODIGO],PRODUCTOS[DESC CORTA],"",0)</f>
        <v>CLAVO HELICOIDAL</v>
      </c>
      <c r="AE395"/>
      <c r="AH395"/>
    </row>
    <row r="396" spans="1:34" x14ac:dyDescent="0.25">
      <c r="A396" s="1">
        <v>46085</v>
      </c>
      <c r="B396" s="1">
        <v>46085</v>
      </c>
      <c r="C396" s="81" t="s">
        <v>169</v>
      </c>
      <c r="D396" s="38">
        <v>3</v>
      </c>
      <c r="E396" s="81" t="s">
        <v>169</v>
      </c>
      <c r="F396">
        <v>408042</v>
      </c>
      <c r="G396" s="81" t="s">
        <v>144</v>
      </c>
      <c r="H396" s="81" t="s">
        <v>36</v>
      </c>
      <c r="I396" s="3">
        <v>2</v>
      </c>
      <c r="J396" s="3"/>
      <c r="K396" s="26">
        <v>2</v>
      </c>
      <c r="L396" s="2">
        <v>35000</v>
      </c>
      <c r="M396" s="2">
        <v>70000</v>
      </c>
      <c r="N396" s="2">
        <v>70000</v>
      </c>
      <c r="O396" s="2">
        <v>35000</v>
      </c>
      <c r="P396" s="2">
        <v>0</v>
      </c>
      <c r="Q396" s="2">
        <v>0</v>
      </c>
      <c r="R396" s="4">
        <v>8.3153801304950006E-16</v>
      </c>
      <c r="T396">
        <v>308039</v>
      </c>
      <c r="U396" s="2"/>
      <c r="V396">
        <v>5755</v>
      </c>
      <c r="W396" s="2">
        <v>6579000000</v>
      </c>
      <c r="X396" s="6">
        <v>70000.000000000058</v>
      </c>
      <c r="Y396" s="38">
        <v>10010</v>
      </c>
      <c r="Z396" s="86">
        <f>+((DETALLE_GD_1[[#This Row],[VALOR X UN (GD)]]-DETALLE_GD_1[[#This Row],[VALOR PPTO]])/DETALLE_GD_1[[#This Row],[VALOR PPTO]])</f>
        <v>0</v>
      </c>
      <c r="AA396" s="2">
        <f>+DETALLE_GD_1[[#This Row],[VALOR PPTO]]*DETALLE_GD_1[[#This Row],[CANTIDAD RECIBIDA]]</f>
        <v>70000</v>
      </c>
      <c r="AB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6" s="3">
        <f>+DETALLE_GD_1[[#This Row],[CANTIDAD SOLICITADA]]-DETALLE_GD_1[[#This Row],[DEVOLUCIÓN]]</f>
        <v>2</v>
      </c>
      <c r="AD396" s="38" t="str">
        <f>+_xlfn.XLOOKUP(DETALLE_GD_1[[#This Row],[CODIGO]],PRODUCTOS[CODIGO],PRODUCTOS[DESC CORTA],"",0)</f>
        <v>CLAVO HELICOIDAL PROFIX</v>
      </c>
      <c r="AE396"/>
      <c r="AH396"/>
    </row>
    <row r="397" spans="1:34" x14ac:dyDescent="0.25">
      <c r="A397" s="1">
        <v>46085</v>
      </c>
      <c r="B397" s="1">
        <v>46085</v>
      </c>
      <c r="C397" s="81" t="s">
        <v>169</v>
      </c>
      <c r="D397" s="38">
        <v>3</v>
      </c>
      <c r="E397" s="81" t="s">
        <v>169</v>
      </c>
      <c r="F397" t="s">
        <v>82</v>
      </c>
      <c r="G397" s="81" t="s">
        <v>83</v>
      </c>
      <c r="H397" s="81" t="s">
        <v>36</v>
      </c>
      <c r="I397" s="3">
        <v>3</v>
      </c>
      <c r="J397" s="3"/>
      <c r="K397" s="26">
        <v>3</v>
      </c>
      <c r="L397" s="2">
        <v>36939.666700000002</v>
      </c>
      <c r="M397" s="2">
        <v>110819</v>
      </c>
      <c r="N397" s="2">
        <v>110819</v>
      </c>
      <c r="O397" s="2">
        <v>36939.818200000002</v>
      </c>
      <c r="P397" s="2">
        <v>0.1515</v>
      </c>
      <c r="Q397" s="2">
        <v>0.45450000000000002</v>
      </c>
      <c r="R397" s="4">
        <v>4.1016805382584259E-6</v>
      </c>
      <c r="T397">
        <v>308039</v>
      </c>
      <c r="U397" s="2"/>
      <c r="V397">
        <v>5755</v>
      </c>
      <c r="W397" s="2">
        <v>6579000000</v>
      </c>
      <c r="X397" s="6">
        <v>110819.45454599996</v>
      </c>
      <c r="Y397" s="38">
        <v>10010</v>
      </c>
      <c r="Z397" s="86">
        <f>+((DETALLE_GD_1[[#This Row],[VALOR X UN (GD)]]-DETALLE_GD_1[[#This Row],[VALOR PPTO]])/DETALLE_GD_1[[#This Row],[VALOR PPTO]])</f>
        <v>-4.1012654469409861E-6</v>
      </c>
      <c r="AA397" s="2">
        <f>+DETALLE_GD_1[[#This Row],[VALOR PPTO]]*DETALLE_GD_1[[#This Row],[CANTIDAD RECIBIDA]]</f>
        <v>110819.4546</v>
      </c>
      <c r="AB3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97" s="3">
        <f>+DETALLE_GD_1[[#This Row],[CANTIDAD SOLICITADA]]-DETALLE_GD_1[[#This Row],[DEVOLUCIÓN]]</f>
        <v>3</v>
      </c>
      <c r="AD397" s="38" t="str">
        <f>+_xlfn.XLOOKUP(DETALLE_GD_1[[#This Row],[CODIGO]],PRODUCTOS[CODIGO],PRODUCTOS[DESC CORTA],"",0)</f>
        <v>CLAVO R20</v>
      </c>
      <c r="AE397"/>
      <c r="AH397"/>
    </row>
    <row r="398" spans="1:34" x14ac:dyDescent="0.25">
      <c r="A398" s="1">
        <v>46085</v>
      </c>
      <c r="B398" s="1">
        <v>46085</v>
      </c>
      <c r="C398" s="81" t="s">
        <v>394</v>
      </c>
      <c r="D398" s="38">
        <v>3</v>
      </c>
      <c r="E398" s="81" t="s">
        <v>236</v>
      </c>
      <c r="F398">
        <v>412592</v>
      </c>
      <c r="G398" s="81" t="s">
        <v>237</v>
      </c>
      <c r="H398" s="81" t="s">
        <v>31</v>
      </c>
      <c r="I398" s="3">
        <v>2</v>
      </c>
      <c r="J398" s="3"/>
      <c r="K398" s="26">
        <v>2</v>
      </c>
      <c r="L398" s="2">
        <v>3152.5</v>
      </c>
      <c r="M398" s="2">
        <v>6305</v>
      </c>
      <c r="N398" s="2">
        <v>6305</v>
      </c>
      <c r="O398" s="2">
        <v>3152.2833000000001</v>
      </c>
      <c r="P398" s="2">
        <v>-0.2167</v>
      </c>
      <c r="Q398" s="2">
        <v>-0.43340000000000001</v>
      </c>
      <c r="R398" s="4">
        <v>-6.8746042108989522E-5</v>
      </c>
      <c r="T398">
        <v>308112</v>
      </c>
      <c r="U398" s="2">
        <v>6305</v>
      </c>
      <c r="V398">
        <v>5755</v>
      </c>
      <c r="W398" s="2">
        <v>6579000000</v>
      </c>
      <c r="X398" s="6">
        <v>6304.5665859999999</v>
      </c>
      <c r="Y398" s="38">
        <v>10010</v>
      </c>
      <c r="Z398" s="86">
        <f>+((DETALLE_GD_1[[#This Row],[VALOR X UN (GD)]]-DETALLE_GD_1[[#This Row],[VALOR PPTO]])/DETALLE_GD_1[[#This Row],[VALOR PPTO]])</f>
        <v>6.8743821343705426E-5</v>
      </c>
      <c r="AA398" s="2">
        <f>+DETALLE_GD_1[[#This Row],[VALOR PPTO]]*DETALLE_GD_1[[#This Row],[CANTIDAD RECIBIDA]]</f>
        <v>6304.5666000000001</v>
      </c>
      <c r="AB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8" s="3">
        <f>+DETALLE_GD_1[[#This Row],[CANTIDAD SOLICITADA]]-DETALLE_GD_1[[#This Row],[DEVOLUCIÓN]]</f>
        <v>2</v>
      </c>
      <c r="AD398" s="38">
        <f>+_xlfn.XLOOKUP(DETALLE_GD_1[[#This Row],[CODIGO]],PRODUCTOS[CODIGO],PRODUCTOS[DESC CORTA],"",0)</f>
        <v>0</v>
      </c>
      <c r="AE398"/>
      <c r="AH398"/>
    </row>
    <row r="399" spans="1:34" x14ac:dyDescent="0.25">
      <c r="A399" s="1">
        <v>46085</v>
      </c>
      <c r="B399" s="1">
        <v>46085</v>
      </c>
      <c r="C399" s="81" t="s">
        <v>238</v>
      </c>
      <c r="D399" s="38">
        <v>3</v>
      </c>
      <c r="E399" s="81" t="s">
        <v>395</v>
      </c>
      <c r="F399">
        <v>701096</v>
      </c>
      <c r="G399" s="81" t="s">
        <v>204</v>
      </c>
      <c r="H399" s="81" t="s">
        <v>18</v>
      </c>
      <c r="I399" s="3">
        <v>280</v>
      </c>
      <c r="J399" s="3"/>
      <c r="K399" s="26">
        <v>280</v>
      </c>
      <c r="L399" s="2">
        <v>16019.885700000001</v>
      </c>
      <c r="M399" s="2">
        <v>4485568</v>
      </c>
      <c r="N399" s="2">
        <v>4485568</v>
      </c>
      <c r="O399" s="2">
        <v>16019.885700000001</v>
      </c>
      <c r="P399" s="2">
        <v>0</v>
      </c>
      <c r="Q399" s="2">
        <v>-8.2000000000000007E-3</v>
      </c>
      <c r="R399" s="4">
        <v>-1.8280849054132462E-9</v>
      </c>
      <c r="T399">
        <v>308114</v>
      </c>
      <c r="U399" s="2">
        <v>6485091</v>
      </c>
      <c r="V399">
        <v>5755</v>
      </c>
      <c r="W399" s="2">
        <v>6579000000</v>
      </c>
      <c r="X399" s="6">
        <v>4485567.9918000009</v>
      </c>
      <c r="Y399" s="38">
        <v>10010</v>
      </c>
      <c r="Z399" s="86">
        <f>+((DETALLE_GD_1[[#This Row],[VALOR X UN (GD)]]-DETALLE_GD_1[[#This Row],[VALOR PPTO]])/DETALLE_GD_1[[#This Row],[VALOR PPTO]])</f>
        <v>0</v>
      </c>
      <c r="AA399" s="2">
        <f>+DETALLE_GD_1[[#This Row],[VALOR PPTO]]*DETALLE_GD_1[[#This Row],[CANTIDAD RECIBIDA]]</f>
        <v>4485567.9960000003</v>
      </c>
      <c r="AB3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99" s="3">
        <f>+DETALLE_GD_1[[#This Row],[CANTIDAD SOLICITADA]]-DETALLE_GD_1[[#This Row],[DEVOLUCIÓN]]</f>
        <v>280</v>
      </c>
      <c r="AD399" s="38" t="str">
        <f>+_xlfn.XLOOKUP(DETALLE_GD_1[[#This Row],[CODIGO]],PRODUCTOS[CODIGO],PRODUCTOS[DESC CORTA],"",0)</f>
        <v>VOCANITA EMPAPELADA MURO</v>
      </c>
      <c r="AE399"/>
      <c r="AH399"/>
    </row>
    <row r="400" spans="1:34" x14ac:dyDescent="0.25">
      <c r="A400" s="1">
        <v>46085</v>
      </c>
      <c r="B400" s="1">
        <v>46085</v>
      </c>
      <c r="C400" s="81" t="s">
        <v>238</v>
      </c>
      <c r="D400" s="38">
        <v>3</v>
      </c>
      <c r="E400" s="81" t="s">
        <v>395</v>
      </c>
      <c r="F400">
        <v>701040</v>
      </c>
      <c r="G400" s="81" t="s">
        <v>19</v>
      </c>
      <c r="H400" s="81" t="s">
        <v>18</v>
      </c>
      <c r="I400" s="3">
        <v>80</v>
      </c>
      <c r="J400" s="3"/>
      <c r="K400" s="26">
        <v>80</v>
      </c>
      <c r="L400" s="2">
        <v>7835.7250000000004</v>
      </c>
      <c r="M400" s="2">
        <v>626858</v>
      </c>
      <c r="N400" s="2">
        <v>626858</v>
      </c>
      <c r="O400" s="2">
        <v>7835.7259999999997</v>
      </c>
      <c r="P400" s="2">
        <v>1E-3</v>
      </c>
      <c r="Q400" s="2">
        <v>7.6300000000000007E-2</v>
      </c>
      <c r="R400" s="4">
        <v>1.217500462579358E-7</v>
      </c>
      <c r="T400">
        <v>308114</v>
      </c>
      <c r="U400" s="2"/>
      <c r="V400">
        <v>5755</v>
      </c>
      <c r="W400" s="2">
        <v>6579000000</v>
      </c>
      <c r="X400" s="6">
        <v>626858.07631999976</v>
      </c>
      <c r="Y400" s="38">
        <v>10010</v>
      </c>
      <c r="Z400" s="86">
        <f>+((DETALLE_GD_1[[#This Row],[VALOR X UN (GD)]]-DETALLE_GD_1[[#This Row],[VALOR PPTO]])/DETALLE_GD_1[[#This Row],[VALOR PPTO]])</f>
        <v>-1.2762059307513204E-7</v>
      </c>
      <c r="AA400" s="2">
        <f>+DETALLE_GD_1[[#This Row],[VALOR PPTO]]*DETALLE_GD_1[[#This Row],[CANTIDAD RECIBIDA]]</f>
        <v>626858.07999999996</v>
      </c>
      <c r="AB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00" s="3">
        <f>+DETALLE_GD_1[[#This Row],[CANTIDAD SOLICITADA]]-DETALLE_GD_1[[#This Row],[DEVOLUCIÓN]]</f>
        <v>80</v>
      </c>
      <c r="AD400" s="38" t="str">
        <f>+_xlfn.XLOOKUP(DETALLE_GD_1[[#This Row],[CODIGO]],PRODUCTOS[CODIGO],PRODUCTOS[DESC CORTA],"",0)</f>
        <v>VOLCANITA RF</v>
      </c>
      <c r="AE400"/>
      <c r="AH400"/>
    </row>
    <row r="401" spans="1:34" x14ac:dyDescent="0.25">
      <c r="A401" s="1">
        <v>46085</v>
      </c>
      <c r="B401" s="1">
        <v>46085</v>
      </c>
      <c r="C401" s="81" t="s">
        <v>169</v>
      </c>
      <c r="D401" s="38">
        <v>3</v>
      </c>
      <c r="E401" s="81" t="s">
        <v>395</v>
      </c>
      <c r="F401">
        <v>701015</v>
      </c>
      <c r="G401" s="81" t="s">
        <v>254</v>
      </c>
      <c r="H401" s="81" t="s">
        <v>18</v>
      </c>
      <c r="I401" s="3">
        <v>150</v>
      </c>
      <c r="J401" s="3"/>
      <c r="K401" s="26">
        <v>150</v>
      </c>
      <c r="L401" s="2">
        <v>9151.1</v>
      </c>
      <c r="M401" s="2">
        <v>1372665</v>
      </c>
      <c r="N401" s="2">
        <v>1372665</v>
      </c>
      <c r="O401" s="2">
        <v>9151.2975000000006</v>
      </c>
      <c r="P401" s="2">
        <v>0.19750000000000001</v>
      </c>
      <c r="Q401" s="2">
        <v>29.620200000000001</v>
      </c>
      <c r="R401" s="4">
        <v>2.1578142409947837E-5</v>
      </c>
      <c r="T401">
        <v>308114</v>
      </c>
      <c r="U401" s="2"/>
      <c r="V401">
        <v>5755</v>
      </c>
      <c r="W401" s="2">
        <v>6579000000</v>
      </c>
      <c r="X401" s="6">
        <v>1372694.6202</v>
      </c>
      <c r="Y401" s="38">
        <v>10010</v>
      </c>
      <c r="Z401" s="86">
        <f>+((DETALLE_GD_1[[#This Row],[VALOR X UN (GD)]]-DETALLE_GD_1[[#This Row],[VALOR PPTO]])/DETALLE_GD_1[[#This Row],[VALOR PPTO]])</f>
        <v>-2.1581639106391008E-5</v>
      </c>
      <c r="AA401" s="2">
        <f>+DETALLE_GD_1[[#This Row],[VALOR PPTO]]*DETALLE_GD_1[[#This Row],[CANTIDAD RECIBIDA]]</f>
        <v>1372694.625</v>
      </c>
      <c r="AB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01" s="3">
        <f>+DETALLE_GD_1[[#This Row],[CANTIDAD SOLICITADA]]-DETALLE_GD_1[[#This Row],[DEVOLUCIÓN]]</f>
        <v>150</v>
      </c>
      <c r="AD401" s="38" t="str">
        <f>+_xlfn.XLOOKUP(DETALLE_GD_1[[#This Row],[CODIGO]],PRODUCTOS[CODIGO],PRODUCTOS[DESC CORTA],"",0)</f>
        <v>VOLCANITA RH</v>
      </c>
      <c r="AE401"/>
      <c r="AH401"/>
    </row>
    <row r="402" spans="1:34" x14ac:dyDescent="0.25">
      <c r="A402" s="1">
        <v>46086</v>
      </c>
      <c r="B402" s="1">
        <v>46086</v>
      </c>
      <c r="C402" s="81" t="s">
        <v>169</v>
      </c>
      <c r="D402" s="38">
        <v>3</v>
      </c>
      <c r="E402" s="81" t="s">
        <v>169</v>
      </c>
      <c r="F402">
        <v>304002</v>
      </c>
      <c r="G402" s="81" t="s">
        <v>37</v>
      </c>
      <c r="H402" s="81" t="s">
        <v>18</v>
      </c>
      <c r="I402" s="3">
        <v>216</v>
      </c>
      <c r="J402" s="3"/>
      <c r="K402" s="26">
        <v>216</v>
      </c>
      <c r="L402" s="2">
        <v>21271.6574</v>
      </c>
      <c r="M402" s="2">
        <v>4594678</v>
      </c>
      <c r="N402" s="2">
        <v>4594678</v>
      </c>
      <c r="O402" s="2">
        <v>21246.5072</v>
      </c>
      <c r="P402" s="2">
        <v>-25.150300000000001</v>
      </c>
      <c r="Q402" s="2">
        <v>-5432.4549999999999</v>
      </c>
      <c r="R402" s="4">
        <v>-1.1837359536932288E-3</v>
      </c>
      <c r="T402">
        <v>308223</v>
      </c>
      <c r="U402" s="2">
        <v>4594678</v>
      </c>
      <c r="V402">
        <v>5755</v>
      </c>
      <c r="W402" s="2">
        <v>6579000000</v>
      </c>
      <c r="X402" s="6">
        <v>4589245.5450480003</v>
      </c>
      <c r="Y402" s="38">
        <v>10010</v>
      </c>
      <c r="Z402" s="86">
        <f>+((DETALLE_GD_1[[#This Row],[VALOR X UN (GD)]]-DETALLE_GD_1[[#This Row],[VALOR PPTO]])/DETALLE_GD_1[[#This Row],[VALOR PPTO]])</f>
        <v>1.1837333903052093E-3</v>
      </c>
      <c r="AA402" s="2">
        <f>+DETALLE_GD_1[[#This Row],[VALOR PPTO]]*DETALLE_GD_1[[#This Row],[CANTIDAD RECIBIDA]]</f>
        <v>4589245.5552000003</v>
      </c>
      <c r="AB4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2" s="3">
        <f>+DETALLE_GD_1[[#This Row],[CANTIDAD SOLICITADA]]-DETALLE_GD_1[[#This Row],[DEVOLUCIÓN]]</f>
        <v>216</v>
      </c>
      <c r="AD402" s="38" t="str">
        <f>+_xlfn.XLOOKUP(DETALLE_GD_1[[#This Row],[CODIGO]],PRODUCTOS[CODIGO],PRODUCTOS[DESC CORTA],"",0)</f>
        <v>SMARTPANEL</v>
      </c>
      <c r="AE402"/>
      <c r="AH402"/>
    </row>
    <row r="403" spans="1:34" x14ac:dyDescent="0.25">
      <c r="A403" s="1">
        <v>46087</v>
      </c>
      <c r="B403" s="1">
        <v>46087</v>
      </c>
      <c r="C403" s="81" t="s">
        <v>169</v>
      </c>
      <c r="D403" s="38">
        <v>3</v>
      </c>
      <c r="E403" s="81" t="s">
        <v>169</v>
      </c>
      <c r="F403">
        <v>302010</v>
      </c>
      <c r="G403" s="81" t="s">
        <v>323</v>
      </c>
      <c r="H403" s="81" t="s">
        <v>20</v>
      </c>
      <c r="I403" s="3">
        <v>168</v>
      </c>
      <c r="J403" s="3"/>
      <c r="K403" s="26">
        <v>168</v>
      </c>
      <c r="L403" s="2">
        <v>6585.1310000000003</v>
      </c>
      <c r="M403" s="2">
        <v>1106302</v>
      </c>
      <c r="N403" s="2">
        <v>1106302</v>
      </c>
      <c r="O403" s="2">
        <v>6585.1337000000003</v>
      </c>
      <c r="P403" s="2">
        <v>2.8E-3</v>
      </c>
      <c r="Q403" s="2">
        <v>0.46920000000000001</v>
      </c>
      <c r="R403" s="4">
        <v>4.2407931983622125E-7</v>
      </c>
      <c r="T403">
        <v>308380</v>
      </c>
      <c r="U403" s="2">
        <v>11208225</v>
      </c>
      <c r="V403">
        <v>5755</v>
      </c>
      <c r="W403" s="2">
        <v>6579000000</v>
      </c>
      <c r="X403" s="6">
        <v>1106302.4691599987</v>
      </c>
      <c r="Y403" s="38">
        <v>10010</v>
      </c>
      <c r="Z403" s="86">
        <f>+((DETALLE_GD_1[[#This Row],[VALOR X UN (GD)]]-DETALLE_GD_1[[#This Row],[VALOR PPTO]])/DETALLE_GD_1[[#This Row],[VALOR PPTO]])</f>
        <v>-4.10014454225032E-7</v>
      </c>
      <c r="AA403" s="2">
        <f>+DETALLE_GD_1[[#This Row],[VALOR PPTO]]*DETALLE_GD_1[[#This Row],[CANTIDAD RECIBIDA]]</f>
        <v>1106302.4616</v>
      </c>
      <c r="AB4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3" s="3">
        <f>+DETALLE_GD_1[[#This Row],[CANTIDAD SOLICITADA]]-DETALLE_GD_1[[#This Row],[DEVOLUCIÓN]]</f>
        <v>168</v>
      </c>
      <c r="AD403" s="38" t="str">
        <f>+_xlfn.XLOOKUP(DETALLE_GD_1[[#This Row],[CODIGO]],PRODUCTOS[CODIGO],PRODUCTOS[DESC CORTA],"",0)</f>
        <v>PINO 2X6X320</v>
      </c>
      <c r="AE403"/>
      <c r="AH403"/>
    </row>
    <row r="404" spans="1:34" x14ac:dyDescent="0.25">
      <c r="A404" s="1">
        <v>46087</v>
      </c>
      <c r="B404" s="1">
        <v>46087</v>
      </c>
      <c r="C404" s="81" t="s">
        <v>169</v>
      </c>
      <c r="D404" s="38">
        <v>3</v>
      </c>
      <c r="E404" s="81" t="s">
        <v>169</v>
      </c>
      <c r="F404">
        <v>302046</v>
      </c>
      <c r="G404" s="81" t="s">
        <v>115</v>
      </c>
      <c r="H404" s="81" t="s">
        <v>20</v>
      </c>
      <c r="I404" s="3">
        <v>144</v>
      </c>
      <c r="J404" s="3"/>
      <c r="K404" s="26">
        <v>144</v>
      </c>
      <c r="L404" s="2">
        <v>10189.9931</v>
      </c>
      <c r="M404" s="2">
        <v>1467359</v>
      </c>
      <c r="N404" s="2">
        <v>1467359</v>
      </c>
      <c r="O404" s="2">
        <v>10156.5985</v>
      </c>
      <c r="P404" s="2">
        <v>-33.394599999999997</v>
      </c>
      <c r="Q404" s="2">
        <v>-4808.8208000000004</v>
      </c>
      <c r="R404" s="4">
        <v>-3.2879697532649465E-3</v>
      </c>
      <c r="T404">
        <v>308380</v>
      </c>
      <c r="U404" s="2"/>
      <c r="V404">
        <v>5755</v>
      </c>
      <c r="W404" s="2">
        <v>6579000000</v>
      </c>
      <c r="X404" s="6">
        <v>1462550.1792480005</v>
      </c>
      <c r="Y404" s="38">
        <v>10010</v>
      </c>
      <c r="Z404" s="86">
        <f>+((DETALLE_GD_1[[#This Row],[VALOR X UN (GD)]]-DETALLE_GD_1[[#This Row],[VALOR PPTO]])/DETALLE_GD_1[[#This Row],[VALOR PPTO]])</f>
        <v>3.2879708693810852E-3</v>
      </c>
      <c r="AA404" s="2">
        <f>+DETALLE_GD_1[[#This Row],[VALOR PPTO]]*DETALLE_GD_1[[#This Row],[CANTIDAD RECIBIDA]]</f>
        <v>1462550.1839999999</v>
      </c>
      <c r="AB4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4" s="3">
        <f>+DETALLE_GD_1[[#This Row],[CANTIDAD SOLICITADA]]-DETALLE_GD_1[[#This Row],[DEVOLUCIÓN]]</f>
        <v>144</v>
      </c>
      <c r="AD404" s="38" t="str">
        <f>+_xlfn.XLOOKUP(DETALLE_GD_1[[#This Row],[CODIGO]],PRODUCTOS[CODIGO],PRODUCTOS[DESC CORTA],"",0)</f>
        <v>PINO 2X6X400</v>
      </c>
      <c r="AE404"/>
      <c r="AH404"/>
    </row>
    <row r="405" spans="1:34" x14ac:dyDescent="0.25">
      <c r="A405" s="1">
        <v>46087</v>
      </c>
      <c r="B405" s="1">
        <v>46087</v>
      </c>
      <c r="C405" s="81" t="s">
        <v>169</v>
      </c>
      <c r="D405" s="38">
        <v>3</v>
      </c>
      <c r="E405" s="81" t="s">
        <v>169</v>
      </c>
      <c r="F405">
        <v>412313</v>
      </c>
      <c r="G405" s="81" t="s">
        <v>253</v>
      </c>
      <c r="H405" s="81" t="s">
        <v>36</v>
      </c>
      <c r="I405" s="3">
        <v>6</v>
      </c>
      <c r="J405" s="3"/>
      <c r="K405" s="26">
        <v>6</v>
      </c>
      <c r="L405" s="2">
        <v>23724</v>
      </c>
      <c r="M405" s="2">
        <v>142344</v>
      </c>
      <c r="N405" s="2">
        <v>142344</v>
      </c>
      <c r="O405" s="2">
        <v>23724.0674</v>
      </c>
      <c r="P405" s="2">
        <v>6.7400000000000002E-2</v>
      </c>
      <c r="Q405" s="2">
        <v>0.40429999999999999</v>
      </c>
      <c r="R405" s="4">
        <v>2.8403645506871342E-6</v>
      </c>
      <c r="T405">
        <v>308380</v>
      </c>
      <c r="U405" s="2"/>
      <c r="V405">
        <v>5755</v>
      </c>
      <c r="W405" s="2">
        <v>6579000000</v>
      </c>
      <c r="X405" s="6">
        <v>142344.40430999998</v>
      </c>
      <c r="Y405" s="38">
        <v>10010</v>
      </c>
      <c r="Z405" s="86">
        <f>+((DETALLE_GD_1[[#This Row],[VALOR X UN (GD)]]-DETALLE_GD_1[[#This Row],[VALOR PPTO]])/DETALLE_GD_1[[#This Row],[VALOR PPTO]])</f>
        <v>-2.8409968182735337E-6</v>
      </c>
      <c r="AA405" s="2">
        <f>+DETALLE_GD_1[[#This Row],[VALOR PPTO]]*DETALLE_GD_1[[#This Row],[CANTIDAD RECIBIDA]]</f>
        <v>142344.4044</v>
      </c>
      <c r="AB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05" s="3">
        <f>+DETALLE_GD_1[[#This Row],[CANTIDAD SOLICITADA]]-DETALLE_GD_1[[#This Row],[DEVOLUCIÓN]]</f>
        <v>6</v>
      </c>
      <c r="AD405" s="38">
        <f>+_xlfn.XLOOKUP(DETALLE_GD_1[[#This Row],[CODIGO]],PRODUCTOS[CODIGO],PRODUCTOS[DESC CORTA],"",0)</f>
        <v>0</v>
      </c>
      <c r="AE405"/>
      <c r="AH405"/>
    </row>
    <row r="406" spans="1:34" x14ac:dyDescent="0.25">
      <c r="A406" s="1">
        <v>46087</v>
      </c>
      <c r="B406" s="1">
        <v>46087</v>
      </c>
      <c r="C406" s="81" t="s">
        <v>169</v>
      </c>
      <c r="D406" s="38">
        <v>3</v>
      </c>
      <c r="E406" s="81" t="s">
        <v>169</v>
      </c>
      <c r="F406">
        <v>410078</v>
      </c>
      <c r="G406" s="81" t="s">
        <v>252</v>
      </c>
      <c r="H406" s="81" t="s">
        <v>31</v>
      </c>
      <c r="I406" s="3">
        <v>100</v>
      </c>
      <c r="J406" s="3"/>
      <c r="K406" s="26">
        <v>100</v>
      </c>
      <c r="L406" s="2">
        <v>470.2</v>
      </c>
      <c r="M406" s="2">
        <v>47020</v>
      </c>
      <c r="N406" s="2">
        <v>47020</v>
      </c>
      <c r="O406" s="2">
        <v>470.20119999999997</v>
      </c>
      <c r="P406" s="2">
        <v>1.1999999999999999E-3</v>
      </c>
      <c r="Q406" s="2">
        <v>0.1202</v>
      </c>
      <c r="R406" s="4">
        <v>2.5563524612912121E-6</v>
      </c>
      <c r="T406">
        <v>308380</v>
      </c>
      <c r="U406" s="2"/>
      <c r="V406">
        <v>5755</v>
      </c>
      <c r="W406" s="2">
        <v>6579000000</v>
      </c>
      <c r="X406" s="6">
        <v>47020.120200000005</v>
      </c>
      <c r="Y406" s="38">
        <v>10010</v>
      </c>
      <c r="Z406" s="86">
        <f>+((DETALLE_GD_1[[#This Row],[VALOR X UN (GD)]]-DETALLE_GD_1[[#This Row],[VALOR PPTO]])/DETALLE_GD_1[[#This Row],[VALOR PPTO]])</f>
        <v>-2.5520989737648319E-6</v>
      </c>
      <c r="AA406" s="2">
        <f>+DETALLE_GD_1[[#This Row],[VALOR PPTO]]*DETALLE_GD_1[[#This Row],[CANTIDAD RECIBIDA]]</f>
        <v>47020.119999999995</v>
      </c>
      <c r="AB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06" s="3">
        <f>+DETALLE_GD_1[[#This Row],[CANTIDAD SOLICITADA]]-DETALLE_GD_1[[#This Row],[DEVOLUCIÓN]]</f>
        <v>100</v>
      </c>
      <c r="AD406" s="38">
        <f>+_xlfn.XLOOKUP(DETALLE_GD_1[[#This Row],[CODIGO]],PRODUCTOS[CODIGO],PRODUCTOS[DESC CORTA],"",0)</f>
        <v>0</v>
      </c>
      <c r="AE406"/>
      <c r="AH406"/>
    </row>
    <row r="407" spans="1:34" x14ac:dyDescent="0.25">
      <c r="A407" s="1">
        <v>46087</v>
      </c>
      <c r="B407" s="1">
        <v>46087</v>
      </c>
      <c r="C407" s="81" t="s">
        <v>169</v>
      </c>
      <c r="D407" s="38">
        <v>3</v>
      </c>
      <c r="E407" s="81" t="s">
        <v>169</v>
      </c>
      <c r="F407">
        <v>302028</v>
      </c>
      <c r="G407" s="81" t="s">
        <v>246</v>
      </c>
      <c r="H407" s="81" t="s">
        <v>20</v>
      </c>
      <c r="I407" s="3">
        <v>720</v>
      </c>
      <c r="J407" s="3"/>
      <c r="K407" s="26">
        <v>720</v>
      </c>
      <c r="L407" s="2">
        <v>5123.8028000000004</v>
      </c>
      <c r="M407" s="2">
        <v>3689138</v>
      </c>
      <c r="N407" s="2">
        <v>3689138</v>
      </c>
      <c r="O407" s="2">
        <v>5123.8024999999998</v>
      </c>
      <c r="P407" s="2">
        <v>-2.9999999999999997E-4</v>
      </c>
      <c r="Q407" s="2">
        <v>-0.18060000000000001</v>
      </c>
      <c r="R407" s="4">
        <v>-4.894368488081774E-8</v>
      </c>
      <c r="T407">
        <v>308380</v>
      </c>
      <c r="U407" s="2"/>
      <c r="V407">
        <v>5755</v>
      </c>
      <c r="W407" s="2">
        <v>6579000000</v>
      </c>
      <c r="X407" s="6">
        <v>3689137.8194400016</v>
      </c>
      <c r="Y407" s="38">
        <v>10010</v>
      </c>
      <c r="Z407" s="86">
        <f>+((DETALLE_GD_1[[#This Row],[VALOR X UN (GD)]]-DETALLE_GD_1[[#This Row],[VALOR PPTO]])/DETALLE_GD_1[[#This Row],[VALOR PPTO]])</f>
        <v>5.8550266253786103E-8</v>
      </c>
      <c r="AA407" s="2">
        <f>+DETALLE_GD_1[[#This Row],[VALOR PPTO]]*DETALLE_GD_1[[#This Row],[CANTIDAD RECIBIDA]]</f>
        <v>3689137.8</v>
      </c>
      <c r="AB4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7" s="3">
        <f>+DETALLE_GD_1[[#This Row],[CANTIDAD SOLICITADA]]-DETALLE_GD_1[[#This Row],[DEVOLUCIÓN]]</f>
        <v>720</v>
      </c>
      <c r="AD407" s="38" t="str">
        <f>+_xlfn.XLOOKUP(DETALLE_GD_1[[#This Row],[CODIGO]],PRODUCTOS[CODIGO],PRODUCTOS[DESC CORTA],"",0)</f>
        <v>PINO 2X4X320</v>
      </c>
      <c r="AE407"/>
      <c r="AH407"/>
    </row>
    <row r="408" spans="1:34" x14ac:dyDescent="0.25">
      <c r="A408" s="1">
        <v>46087</v>
      </c>
      <c r="B408" s="1">
        <v>46087</v>
      </c>
      <c r="C408" s="81" t="s">
        <v>169</v>
      </c>
      <c r="D408" s="38">
        <v>3</v>
      </c>
      <c r="E408" s="81" t="s">
        <v>169</v>
      </c>
      <c r="F408">
        <v>304101</v>
      </c>
      <c r="G408" s="81" t="s">
        <v>17</v>
      </c>
      <c r="H408" s="81" t="s">
        <v>18</v>
      </c>
      <c r="I408" s="3">
        <v>84</v>
      </c>
      <c r="J408" s="3"/>
      <c r="K408" s="26">
        <v>84</v>
      </c>
      <c r="L408" s="2">
        <v>9643.2738000000008</v>
      </c>
      <c r="M408" s="2">
        <v>810035</v>
      </c>
      <c r="N408" s="2">
        <v>810035</v>
      </c>
      <c r="O408" s="2">
        <v>9657.5879999999997</v>
      </c>
      <c r="P408" s="2">
        <v>14.3141</v>
      </c>
      <c r="Q408" s="2">
        <v>1202.3878</v>
      </c>
      <c r="R408" s="4">
        <v>1.4821651690156707E-3</v>
      </c>
      <c r="T408">
        <v>308380</v>
      </c>
      <c r="U408" s="2"/>
      <c r="V408">
        <v>5755</v>
      </c>
      <c r="W408" s="2">
        <v>6579000000</v>
      </c>
      <c r="X408" s="6">
        <v>811237.38780000038</v>
      </c>
      <c r="Y408" s="38">
        <v>10010</v>
      </c>
      <c r="Z408" s="86">
        <f>+((DETALLE_GD_1[[#This Row],[VALOR X UN (GD)]]-DETALLE_GD_1[[#This Row],[VALOR PPTO]])/DETALLE_GD_1[[#This Row],[VALOR PPTO]])</f>
        <v>-1.4821713247654478E-3</v>
      </c>
      <c r="AA408" s="2">
        <f>+DETALLE_GD_1[[#This Row],[VALOR PPTO]]*DETALLE_GD_1[[#This Row],[CANTIDAD RECIBIDA]]</f>
        <v>811237.39199999999</v>
      </c>
      <c r="AB4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8" s="3">
        <f>+DETALLE_GD_1[[#This Row],[CANTIDAD SOLICITADA]]-DETALLE_GD_1[[#This Row],[DEVOLUCIÓN]]</f>
        <v>84</v>
      </c>
      <c r="AD408" s="38" t="str">
        <f>+_xlfn.XLOOKUP(DETALLE_GD_1[[#This Row],[CODIGO]],PRODUCTOS[CODIGO],PRODUCTOS[DESC CORTA],"",0)</f>
        <v>OSB 9.5</v>
      </c>
      <c r="AE408"/>
      <c r="AH408"/>
    </row>
    <row r="409" spans="1:34" x14ac:dyDescent="0.25">
      <c r="A409" s="1">
        <v>46087</v>
      </c>
      <c r="B409" s="1">
        <v>46087</v>
      </c>
      <c r="C409" s="81" t="s">
        <v>169</v>
      </c>
      <c r="D409" s="38">
        <v>3</v>
      </c>
      <c r="E409" s="81" t="s">
        <v>169</v>
      </c>
      <c r="F409">
        <v>304007</v>
      </c>
      <c r="G409" s="81" t="s">
        <v>80</v>
      </c>
      <c r="H409" s="81" t="s">
        <v>18</v>
      </c>
      <c r="I409" s="3">
        <v>72</v>
      </c>
      <c r="J409" s="3"/>
      <c r="K409" s="26">
        <v>72</v>
      </c>
      <c r="L409" s="2">
        <v>11336.4167</v>
      </c>
      <c r="M409" s="2">
        <v>816222</v>
      </c>
      <c r="N409" s="2">
        <v>816222</v>
      </c>
      <c r="O409" s="2">
        <v>11444.352999999999</v>
      </c>
      <c r="P409" s="2">
        <v>107.93640000000001</v>
      </c>
      <c r="Q409" s="2">
        <v>7771.4175999999998</v>
      </c>
      <c r="R409" s="4">
        <v>9.4314073609787028E-3</v>
      </c>
      <c r="T409">
        <v>308380</v>
      </c>
      <c r="U409" s="2"/>
      <c r="V409">
        <v>5755</v>
      </c>
      <c r="W409" s="2">
        <v>6579000000</v>
      </c>
      <c r="X409" s="6">
        <v>823993.41758399969</v>
      </c>
      <c r="Y409" s="38">
        <v>10010</v>
      </c>
      <c r="Z409" s="86">
        <f>+((DETALLE_GD_1[[#This Row],[VALOR X UN (GD)]]-DETALLE_GD_1[[#This Row],[VALOR PPTO]])/DETALLE_GD_1[[#This Row],[VALOR PPTO]])</f>
        <v>-9.4314025441193054E-3</v>
      </c>
      <c r="AA409" s="2">
        <f>+DETALLE_GD_1[[#This Row],[VALOR PPTO]]*DETALLE_GD_1[[#This Row],[CANTIDAD RECIBIDA]]</f>
        <v>823993.41599999997</v>
      </c>
      <c r="AB4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9" s="3">
        <f>+DETALLE_GD_1[[#This Row],[CANTIDAD SOLICITADA]]-DETALLE_GD_1[[#This Row],[DEVOLUCIÓN]]</f>
        <v>72</v>
      </c>
      <c r="AD409" s="38" t="str">
        <f>+_xlfn.XLOOKUP(DETALLE_GD_1[[#This Row],[CODIGO]],PRODUCTOS[CODIGO],PRODUCTOS[DESC CORTA],"",0)</f>
        <v>OSB 11MM</v>
      </c>
      <c r="AE409"/>
      <c r="AH409"/>
    </row>
    <row r="410" spans="1:34" x14ac:dyDescent="0.25">
      <c r="A410" s="1">
        <v>46087</v>
      </c>
      <c r="B410" s="1">
        <v>46087</v>
      </c>
      <c r="C410" s="81" t="s">
        <v>169</v>
      </c>
      <c r="D410" s="38">
        <v>3</v>
      </c>
      <c r="E410" s="81" t="s">
        <v>169</v>
      </c>
      <c r="F410">
        <v>408042</v>
      </c>
      <c r="G410" s="81" t="s">
        <v>144</v>
      </c>
      <c r="H410" s="81" t="s">
        <v>36</v>
      </c>
      <c r="I410" s="3">
        <v>4</v>
      </c>
      <c r="J410" s="3"/>
      <c r="K410" s="26">
        <v>4</v>
      </c>
      <c r="L410" s="2">
        <v>35000</v>
      </c>
      <c r="M410" s="2">
        <v>140000</v>
      </c>
      <c r="N410" s="2">
        <v>140000</v>
      </c>
      <c r="O410" s="2">
        <v>35000</v>
      </c>
      <c r="P410" s="2">
        <v>0</v>
      </c>
      <c r="Q410" s="2">
        <v>0</v>
      </c>
      <c r="R410" s="4">
        <v>8.3153801304950006E-16</v>
      </c>
      <c r="T410">
        <v>308380</v>
      </c>
      <c r="U410" s="2"/>
      <c r="V410">
        <v>5755</v>
      </c>
      <c r="W410" s="2">
        <v>6579000000</v>
      </c>
      <c r="X410" s="6">
        <v>140000.00000000012</v>
      </c>
      <c r="Y410" s="38">
        <v>10010</v>
      </c>
      <c r="Z410" s="86">
        <f>+((DETALLE_GD_1[[#This Row],[VALOR X UN (GD)]]-DETALLE_GD_1[[#This Row],[VALOR PPTO]])/DETALLE_GD_1[[#This Row],[VALOR PPTO]])</f>
        <v>0</v>
      </c>
      <c r="AA410" s="2">
        <f>+DETALLE_GD_1[[#This Row],[VALOR PPTO]]*DETALLE_GD_1[[#This Row],[CANTIDAD RECIBIDA]]</f>
        <v>140000</v>
      </c>
      <c r="AB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0" s="3">
        <f>+DETALLE_GD_1[[#This Row],[CANTIDAD SOLICITADA]]-DETALLE_GD_1[[#This Row],[DEVOLUCIÓN]]</f>
        <v>4</v>
      </c>
      <c r="AD410" s="38" t="str">
        <f>+_xlfn.XLOOKUP(DETALLE_GD_1[[#This Row],[CODIGO]],PRODUCTOS[CODIGO],PRODUCTOS[DESC CORTA],"",0)</f>
        <v>CLAVO HELICOIDAL PROFIX</v>
      </c>
      <c r="AE410"/>
      <c r="AH410"/>
    </row>
    <row r="411" spans="1:34" x14ac:dyDescent="0.25">
      <c r="A411" s="1">
        <v>46087</v>
      </c>
      <c r="B411" s="1">
        <v>46087</v>
      </c>
      <c r="C411" s="81" t="s">
        <v>169</v>
      </c>
      <c r="D411" s="38">
        <v>3</v>
      </c>
      <c r="E411" s="81" t="s">
        <v>169</v>
      </c>
      <c r="F411">
        <v>410126</v>
      </c>
      <c r="G411" s="81" t="s">
        <v>159</v>
      </c>
      <c r="H411" s="81" t="s">
        <v>31</v>
      </c>
      <c r="I411" s="3">
        <v>88</v>
      </c>
      <c r="J411" s="3"/>
      <c r="K411" s="26">
        <v>88</v>
      </c>
      <c r="L411" s="2">
        <v>983.79549999999995</v>
      </c>
      <c r="M411" s="2">
        <v>86574</v>
      </c>
      <c r="N411" s="2">
        <v>86574</v>
      </c>
      <c r="O411" s="2">
        <v>983.61890000000005</v>
      </c>
      <c r="P411" s="2">
        <v>-0.17660000000000001</v>
      </c>
      <c r="Q411" s="2">
        <v>-15.538500000000001</v>
      </c>
      <c r="R411" s="4">
        <v>-1.7951418874238021E-4</v>
      </c>
      <c r="T411">
        <v>308380</v>
      </c>
      <c r="U411" s="2"/>
      <c r="V411">
        <v>5755</v>
      </c>
      <c r="W411" s="2">
        <v>6579000000</v>
      </c>
      <c r="X411" s="6">
        <v>86558.461528000014</v>
      </c>
      <c r="Y411" s="38">
        <v>10010</v>
      </c>
      <c r="Z411" s="86">
        <f>+((DETALLE_GD_1[[#This Row],[VALOR X UN (GD)]]-DETALLE_GD_1[[#This Row],[VALOR PPTO]])/DETALLE_GD_1[[#This Row],[VALOR PPTO]])</f>
        <v>1.7954108039190173E-4</v>
      </c>
      <c r="AA411" s="2">
        <f>+DETALLE_GD_1[[#This Row],[VALOR PPTO]]*DETALLE_GD_1[[#This Row],[CANTIDAD RECIBIDA]]</f>
        <v>86558.463199999998</v>
      </c>
      <c r="AB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1" s="3">
        <f>+DETALLE_GD_1[[#This Row],[CANTIDAD SOLICITADA]]-DETALLE_GD_1[[#This Row],[DEVOLUCIÓN]]</f>
        <v>88</v>
      </c>
      <c r="AD411" s="38">
        <f>+_xlfn.XLOOKUP(DETALLE_GD_1[[#This Row],[CODIGO]],PRODUCTOS[CODIGO],PRODUCTOS[DESC CORTA],"",0)</f>
        <v>0</v>
      </c>
      <c r="AE411"/>
      <c r="AH411"/>
    </row>
    <row r="412" spans="1:34" x14ac:dyDescent="0.25">
      <c r="A412" s="1">
        <v>46087</v>
      </c>
      <c r="B412" s="1">
        <v>46087</v>
      </c>
      <c r="C412" s="81" t="s">
        <v>169</v>
      </c>
      <c r="D412" s="38">
        <v>3</v>
      </c>
      <c r="E412" s="81" t="s">
        <v>169</v>
      </c>
      <c r="F412">
        <v>407011</v>
      </c>
      <c r="G412" s="81" t="s">
        <v>30</v>
      </c>
      <c r="H412" s="81" t="s">
        <v>31</v>
      </c>
      <c r="I412" s="3">
        <v>2500</v>
      </c>
      <c r="J412" s="3"/>
      <c r="K412" s="26">
        <v>2500</v>
      </c>
      <c r="L412" s="2">
        <v>473.17520000000002</v>
      </c>
      <c r="M412" s="2">
        <v>1182938</v>
      </c>
      <c r="N412" s="2">
        <v>1182938</v>
      </c>
      <c r="O412" s="2">
        <v>473.17520000000002</v>
      </c>
      <c r="P412" s="2">
        <v>0</v>
      </c>
      <c r="Q412" s="2">
        <v>0.1</v>
      </c>
      <c r="R412" s="4">
        <v>8.4535276822620125E-8</v>
      </c>
      <c r="T412">
        <v>308380</v>
      </c>
      <c r="U412" s="2"/>
      <c r="V412">
        <v>5755</v>
      </c>
      <c r="W412" s="2">
        <v>6579000000</v>
      </c>
      <c r="X412" s="6">
        <v>1182938.1000000001</v>
      </c>
      <c r="Y412" s="38">
        <v>10010</v>
      </c>
      <c r="Z412" s="86">
        <f>+((DETALLE_GD_1[[#This Row],[VALOR X UN (GD)]]-DETALLE_GD_1[[#This Row],[VALOR PPTO]])/DETALLE_GD_1[[#This Row],[VALOR PPTO]])</f>
        <v>0</v>
      </c>
      <c r="AA412" s="2">
        <f>+DETALLE_GD_1[[#This Row],[VALOR PPTO]]*DETALLE_GD_1[[#This Row],[CANTIDAD RECIBIDA]]</f>
        <v>1182938</v>
      </c>
      <c r="AB4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12" s="3">
        <f>+DETALLE_GD_1[[#This Row],[CANTIDAD SOLICITADA]]-DETALLE_GD_1[[#This Row],[DEVOLUCIÓN]]</f>
        <v>2500</v>
      </c>
      <c r="AD412" s="38" t="str">
        <f>+_xlfn.XLOOKUP(DETALLE_GD_1[[#This Row],[CODIGO]],PRODUCTOS[CODIGO],PRODUCTOS[DESC CORTA],"",0)</f>
        <v>TORNILLO SIMPSON 6"</v>
      </c>
      <c r="AE412"/>
      <c r="AH412"/>
    </row>
    <row r="413" spans="1:34" x14ac:dyDescent="0.25">
      <c r="A413" s="1">
        <v>46087</v>
      </c>
      <c r="B413" s="1">
        <v>46087</v>
      </c>
      <c r="C413" s="81" t="s">
        <v>169</v>
      </c>
      <c r="D413" s="38">
        <v>3</v>
      </c>
      <c r="E413" s="81" t="s">
        <v>169</v>
      </c>
      <c r="F413">
        <v>1902013</v>
      </c>
      <c r="G413" s="81" t="s">
        <v>338</v>
      </c>
      <c r="H413" s="81" t="s">
        <v>47</v>
      </c>
      <c r="I413" s="3">
        <v>20</v>
      </c>
      <c r="J413" s="3"/>
      <c r="K413" s="26">
        <v>20</v>
      </c>
      <c r="L413" s="2">
        <v>39090</v>
      </c>
      <c r="M413" s="2">
        <v>781800</v>
      </c>
      <c r="N413" s="2">
        <v>781800</v>
      </c>
      <c r="O413" s="2">
        <v>29779</v>
      </c>
      <c r="P413" s="2">
        <v>-9311</v>
      </c>
      <c r="Q413" s="2">
        <v>-186220</v>
      </c>
      <c r="R413" s="4">
        <v>-0.31267000235064979</v>
      </c>
      <c r="S413" t="s">
        <v>396</v>
      </c>
      <c r="T413">
        <v>308380</v>
      </c>
      <c r="U413" s="2"/>
      <c r="V413">
        <v>5755</v>
      </c>
      <c r="W413" s="2">
        <v>6579000000</v>
      </c>
      <c r="X413" s="6">
        <v>595580</v>
      </c>
      <c r="Y413" s="38">
        <v>10010</v>
      </c>
      <c r="Z413" s="86">
        <f>+((DETALLE_GD_1[[#This Row],[VALOR X UN (GD)]]-DETALLE_GD_1[[#This Row],[VALOR PPTO]])/DETALLE_GD_1[[#This Row],[VALOR PPTO]])</f>
        <v>0.31267000235064979</v>
      </c>
      <c r="AA413" s="2">
        <f>+DETALLE_GD_1[[#This Row],[VALOR PPTO]]*DETALLE_GD_1[[#This Row],[CANTIDAD RECIBIDA]]</f>
        <v>595580</v>
      </c>
      <c r="AB4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13" s="3">
        <f>+DETALLE_GD_1[[#This Row],[CANTIDAD SOLICITADA]]-DETALLE_GD_1[[#This Row],[DEVOLUCIÓN]]</f>
        <v>20</v>
      </c>
      <c r="AD413" s="38">
        <f>+_xlfn.XLOOKUP(DETALLE_GD_1[[#This Row],[CODIGO]],PRODUCTOS[CODIGO],PRODUCTOS[DESC CORTA],"",0)</f>
        <v>0</v>
      </c>
      <c r="AE413"/>
      <c r="AH413"/>
    </row>
    <row r="414" spans="1:34" x14ac:dyDescent="0.25">
      <c r="A414" s="1">
        <v>46087</v>
      </c>
      <c r="B414" s="1">
        <v>46087</v>
      </c>
      <c r="C414" s="81" t="s">
        <v>169</v>
      </c>
      <c r="D414" s="38">
        <v>3</v>
      </c>
      <c r="E414" s="81" t="s">
        <v>169</v>
      </c>
      <c r="F414">
        <v>407423</v>
      </c>
      <c r="G414" s="81" t="s">
        <v>106</v>
      </c>
      <c r="H414" s="81" t="s">
        <v>31</v>
      </c>
      <c r="I414" s="3">
        <v>7000</v>
      </c>
      <c r="J414" s="3"/>
      <c r="K414" s="26">
        <v>7000</v>
      </c>
      <c r="L414" s="2">
        <v>3.3879999999999999</v>
      </c>
      <c r="M414" s="2">
        <v>23716</v>
      </c>
      <c r="N414" s="2">
        <v>23716</v>
      </c>
      <c r="O414" s="2">
        <v>106.6405</v>
      </c>
      <c r="P414" s="2">
        <v>103.2525</v>
      </c>
      <c r="Q414" s="2">
        <v>722767.51390000002</v>
      </c>
      <c r="R414" s="4">
        <v>0.96822970694084709</v>
      </c>
      <c r="T414">
        <v>308380</v>
      </c>
      <c r="U414" s="2"/>
      <c r="V414">
        <v>5755</v>
      </c>
      <c r="W414" s="2">
        <v>6579000000</v>
      </c>
      <c r="X414" s="6">
        <v>746483.51388648641</v>
      </c>
      <c r="Y414" s="38">
        <v>10010</v>
      </c>
      <c r="Z414" s="86">
        <f>+((DETALLE_GD_1[[#This Row],[VALOR X UN (GD)]]-DETALLE_GD_1[[#This Row],[VALOR PPTO]])/DETALLE_GD_1[[#This Row],[VALOR PPTO]])</f>
        <v>-0.96822970634983885</v>
      </c>
      <c r="AA414" s="2">
        <f>+DETALLE_GD_1[[#This Row],[VALOR PPTO]]*DETALLE_GD_1[[#This Row],[CANTIDAD RECIBIDA]]</f>
        <v>746483.5</v>
      </c>
      <c r="AB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4" s="3">
        <f>+DETALLE_GD_1[[#This Row],[CANTIDAD SOLICITADA]]-DETALLE_GD_1[[#This Row],[DEVOLUCIÓN]]</f>
        <v>7000</v>
      </c>
      <c r="AD414" s="38" t="str">
        <f>+_xlfn.XLOOKUP(DETALLE_GD_1[[#This Row],[CODIGO]],PRODUCTOS[CODIGO],PRODUCTOS[DESC CORTA],"",0)</f>
        <v>TORNILLO CRS 6X1 5/8</v>
      </c>
      <c r="AE414"/>
      <c r="AH414"/>
    </row>
    <row r="415" spans="1:34" x14ac:dyDescent="0.25">
      <c r="A415" s="1">
        <v>46087</v>
      </c>
      <c r="B415" s="1">
        <v>46087</v>
      </c>
      <c r="C415" s="81" t="s">
        <v>169</v>
      </c>
      <c r="D415" s="38">
        <v>3</v>
      </c>
      <c r="E415" s="81" t="s">
        <v>169</v>
      </c>
      <c r="F415">
        <v>410045</v>
      </c>
      <c r="G415" s="81" t="s">
        <v>110</v>
      </c>
      <c r="H415" s="81" t="s">
        <v>31</v>
      </c>
      <c r="I415" s="3">
        <v>232</v>
      </c>
      <c r="J415" s="3"/>
      <c r="K415" s="26">
        <v>232</v>
      </c>
      <c r="L415" s="2">
        <v>368</v>
      </c>
      <c r="M415" s="2">
        <v>85376</v>
      </c>
      <c r="N415" s="2">
        <v>85376</v>
      </c>
      <c r="O415" s="2">
        <v>368.00139999999999</v>
      </c>
      <c r="P415" s="2">
        <v>1.4E-3</v>
      </c>
      <c r="Q415" s="2">
        <v>0.31580000000000003</v>
      </c>
      <c r="R415" s="4">
        <v>3.6983558871065354E-6</v>
      </c>
      <c r="T415">
        <v>308380</v>
      </c>
      <c r="U415" s="2"/>
      <c r="V415">
        <v>5755</v>
      </c>
      <c r="W415" s="2">
        <v>6579000000</v>
      </c>
      <c r="X415" s="6">
        <v>85376.31575199998</v>
      </c>
      <c r="Y415" s="38">
        <v>10010</v>
      </c>
      <c r="Z415" s="86">
        <f>+((DETALLE_GD_1[[#This Row],[VALOR X UN (GD)]]-DETALLE_GD_1[[#This Row],[VALOR PPTO]])/DETALLE_GD_1[[#This Row],[VALOR PPTO]])</f>
        <v>-3.8043333530514605E-6</v>
      </c>
      <c r="AA415" s="2">
        <f>+DETALLE_GD_1[[#This Row],[VALOR PPTO]]*DETALLE_GD_1[[#This Row],[CANTIDAD RECIBIDA]]</f>
        <v>85376.324800000002</v>
      </c>
      <c r="AB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5" s="3">
        <f>+DETALLE_GD_1[[#This Row],[CANTIDAD SOLICITADA]]-DETALLE_GD_1[[#This Row],[DEVOLUCIÓN]]</f>
        <v>232</v>
      </c>
      <c r="AD415" s="38" t="str">
        <f>+_xlfn.XLOOKUP(DETALLE_GD_1[[#This Row],[CODIGO]],PRODUCTOS[CODIGO],PRODUCTOS[DESC CORTA],"",0)</f>
        <v>CONECTOR DENTADO</v>
      </c>
      <c r="AE415"/>
      <c r="AH415"/>
    </row>
    <row r="416" spans="1:34" x14ac:dyDescent="0.25">
      <c r="A416" s="1">
        <v>46087</v>
      </c>
      <c r="B416" s="1">
        <v>46087</v>
      </c>
      <c r="C416" s="81" t="s">
        <v>169</v>
      </c>
      <c r="D416" s="38">
        <v>3</v>
      </c>
      <c r="E416" s="81" t="s">
        <v>169</v>
      </c>
      <c r="F416" t="s">
        <v>386</v>
      </c>
      <c r="G416" s="81" t="s">
        <v>83</v>
      </c>
      <c r="H416" s="81" t="s">
        <v>36</v>
      </c>
      <c r="I416" s="3">
        <v>1</v>
      </c>
      <c r="J416" s="3"/>
      <c r="K416" s="26">
        <v>1</v>
      </c>
      <c r="L416" s="2">
        <v>36940</v>
      </c>
      <c r="M416" s="2">
        <v>36940</v>
      </c>
      <c r="N416" s="2">
        <v>36940</v>
      </c>
      <c r="O416" s="2">
        <v>36939.818200000002</v>
      </c>
      <c r="P416" s="2">
        <v>-0.18179999999999999</v>
      </c>
      <c r="Q416" s="2">
        <v>-0.18179999999999999</v>
      </c>
      <c r="R416" s="4">
        <v>-4.9220058181131147E-6</v>
      </c>
      <c r="T416">
        <v>308380</v>
      </c>
      <c r="U416" s="2"/>
      <c r="V416">
        <v>5755</v>
      </c>
      <c r="W416" s="2">
        <v>6579000000</v>
      </c>
      <c r="X416" s="6">
        <v>36939.818181999981</v>
      </c>
      <c r="Y416" s="38">
        <v>10010</v>
      </c>
      <c r="Z416" s="86">
        <f>+((DETALLE_GD_1[[#This Row],[VALOR X UN (GD)]]-DETALLE_GD_1[[#This Row],[VALOR PPTO]])/DETALLE_GD_1[[#This Row],[VALOR PPTO]])</f>
        <v>4.92151853628979E-6</v>
      </c>
      <c r="AA416" s="2">
        <f>+DETALLE_GD_1[[#This Row],[VALOR PPTO]]*DETALLE_GD_1[[#This Row],[CANTIDAD RECIBIDA]]</f>
        <v>36939.818200000002</v>
      </c>
      <c r="AB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16" s="3">
        <f>+DETALLE_GD_1[[#This Row],[CANTIDAD SOLICITADA]]-DETALLE_GD_1[[#This Row],[DEVOLUCIÓN]]</f>
        <v>1</v>
      </c>
      <c r="AD416" s="38" t="str">
        <f>+_xlfn.XLOOKUP(DETALLE_GD_1[[#This Row],[CODIGO]],PRODUCTOS[CODIGO],PRODUCTOS[DESC CORTA],"",0)</f>
        <v>CLAVO R20</v>
      </c>
      <c r="AE416"/>
      <c r="AH416"/>
    </row>
    <row r="417" spans="1:34" x14ac:dyDescent="0.25">
      <c r="A417" s="1">
        <v>46087</v>
      </c>
      <c r="B417" s="1">
        <v>46087</v>
      </c>
      <c r="C417" s="81" t="s">
        <v>169</v>
      </c>
      <c r="D417" s="38">
        <v>3</v>
      </c>
      <c r="E417" s="81" t="s">
        <v>169</v>
      </c>
      <c r="F417">
        <v>2302119</v>
      </c>
      <c r="G417" s="81" t="s">
        <v>74</v>
      </c>
      <c r="H417" s="81" t="s">
        <v>31</v>
      </c>
      <c r="I417" s="3">
        <v>24</v>
      </c>
      <c r="J417" s="3"/>
      <c r="K417" s="26">
        <v>24</v>
      </c>
      <c r="L417" s="2">
        <v>3670.875</v>
      </c>
      <c r="M417" s="2">
        <v>88101</v>
      </c>
      <c r="N417" s="2">
        <v>88101</v>
      </c>
      <c r="O417" s="2">
        <v>3671</v>
      </c>
      <c r="P417" s="2">
        <v>0.125</v>
      </c>
      <c r="Q417" s="2">
        <v>3</v>
      </c>
      <c r="R417" s="4">
        <v>3.4050667393080905E-5</v>
      </c>
      <c r="T417">
        <v>308380</v>
      </c>
      <c r="U417" s="2"/>
      <c r="V417">
        <v>5755</v>
      </c>
      <c r="W417" s="2">
        <v>6579000000</v>
      </c>
      <c r="X417" s="6">
        <v>88104</v>
      </c>
      <c r="Y417" s="38">
        <v>10010</v>
      </c>
      <c r="Z417" s="86">
        <f>+((DETALLE_GD_1[[#This Row],[VALOR X UN (GD)]]-DETALLE_GD_1[[#This Row],[VALOR PPTO]])/DETALLE_GD_1[[#This Row],[VALOR PPTO]])</f>
        <v>-3.4050667393080905E-5</v>
      </c>
      <c r="AA417" s="2">
        <f>+DETALLE_GD_1[[#This Row],[VALOR PPTO]]*DETALLE_GD_1[[#This Row],[CANTIDAD RECIBIDA]]</f>
        <v>88104</v>
      </c>
      <c r="AB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7" s="3">
        <f>+DETALLE_GD_1[[#This Row],[CANTIDAD SOLICITADA]]-DETALLE_GD_1[[#This Row],[DEVOLUCIÓN]]</f>
        <v>24</v>
      </c>
      <c r="AD417" s="38" t="str">
        <f>+_xlfn.XLOOKUP(DETALLE_GD_1[[#This Row],[CODIGO]],PRODUCTOS[CODIGO],PRODUCTOS[DESC CORTA],"",0)</f>
        <v>SELLO</v>
      </c>
      <c r="AE417"/>
      <c r="AH417"/>
    </row>
    <row r="418" spans="1:34" x14ac:dyDescent="0.25">
      <c r="A418" s="1">
        <v>46087</v>
      </c>
      <c r="B418" s="1">
        <v>46087</v>
      </c>
      <c r="C418" s="81" t="s">
        <v>169</v>
      </c>
      <c r="D418" s="38">
        <v>3</v>
      </c>
      <c r="E418" s="81" t="s">
        <v>169</v>
      </c>
      <c r="F418">
        <v>407170</v>
      </c>
      <c r="G418" s="81" t="s">
        <v>107</v>
      </c>
      <c r="H418" s="81" t="s">
        <v>31</v>
      </c>
      <c r="I418" s="3">
        <v>1000</v>
      </c>
      <c r="J418" s="3"/>
      <c r="K418" s="26">
        <v>1000</v>
      </c>
      <c r="L418" s="2">
        <v>4.88</v>
      </c>
      <c r="M418" s="2">
        <v>4880</v>
      </c>
      <c r="N418" s="2">
        <v>4880</v>
      </c>
      <c r="O418" s="2">
        <v>4.8802000000000003</v>
      </c>
      <c r="P418" s="2">
        <v>2.0000000000000001E-4</v>
      </c>
      <c r="Q418" s="2">
        <v>0.216</v>
      </c>
      <c r="R418" s="4">
        <v>4.4260336018094723E-5</v>
      </c>
      <c r="T418">
        <v>308380</v>
      </c>
      <c r="U418" s="2"/>
      <c r="V418">
        <v>5755</v>
      </c>
      <c r="W418" s="2">
        <v>6579000000</v>
      </c>
      <c r="X418" s="6">
        <v>4880.2160000000003</v>
      </c>
      <c r="Y418" s="38">
        <v>10010</v>
      </c>
      <c r="Z418" s="86">
        <f>+((DETALLE_GD_1[[#This Row],[VALOR X UN (GD)]]-DETALLE_GD_1[[#This Row],[VALOR PPTO]])/DETALLE_GD_1[[#This Row],[VALOR PPTO]])</f>
        <v>-4.0981926970292619E-5</v>
      </c>
      <c r="AA418" s="2">
        <f>+DETALLE_GD_1[[#This Row],[VALOR PPTO]]*DETALLE_GD_1[[#This Row],[CANTIDAD RECIBIDA]]</f>
        <v>4880.2000000000007</v>
      </c>
      <c r="AB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8" s="3">
        <f>+DETALLE_GD_1[[#This Row],[CANTIDAD SOLICITADA]]-DETALLE_GD_1[[#This Row],[DEVOLUCIÓN]]</f>
        <v>1000</v>
      </c>
      <c r="AD418" s="38" t="str">
        <f>+_xlfn.XLOOKUP(DETALLE_GD_1[[#This Row],[CODIGO]],PRODUCTOS[CODIGO],PRODUCTOS[DESC CORTA],"",0)</f>
        <v>TORNILLO CRS 6X2 1/4</v>
      </c>
      <c r="AE418"/>
      <c r="AH418"/>
    </row>
    <row r="419" spans="1:34" x14ac:dyDescent="0.25">
      <c r="A419" s="1">
        <v>46087</v>
      </c>
      <c r="B419" s="1">
        <v>46087</v>
      </c>
      <c r="C419" s="81" t="s">
        <v>169</v>
      </c>
      <c r="D419" s="38">
        <v>3</v>
      </c>
      <c r="E419" s="81" t="s">
        <v>315</v>
      </c>
      <c r="F419">
        <v>2505058</v>
      </c>
      <c r="G419" s="81" t="s">
        <v>142</v>
      </c>
      <c r="H419" s="81" t="s">
        <v>31</v>
      </c>
      <c r="I419" s="3">
        <v>18</v>
      </c>
      <c r="J419" s="3"/>
      <c r="K419" s="26">
        <v>18</v>
      </c>
      <c r="L419" s="2">
        <v>16867.4444</v>
      </c>
      <c r="M419" s="2">
        <v>303614</v>
      </c>
      <c r="N419" s="2">
        <v>303614</v>
      </c>
      <c r="O419" s="2">
        <v>17870.144100000001</v>
      </c>
      <c r="P419" s="2">
        <v>1002.6996</v>
      </c>
      <c r="Q419" s="2">
        <v>18048.593199999999</v>
      </c>
      <c r="R419" s="4">
        <v>5.6110326796474271E-2</v>
      </c>
      <c r="T419">
        <v>308380</v>
      </c>
      <c r="U419" s="2"/>
      <c r="V419">
        <v>5755</v>
      </c>
      <c r="W419" s="2">
        <v>6579000000</v>
      </c>
      <c r="X419" s="6">
        <v>321662.59322400001</v>
      </c>
      <c r="Y419" s="38">
        <v>10010</v>
      </c>
      <c r="Z419" s="86">
        <f>+((DETALLE_GD_1[[#This Row],[VALOR X UN (GD)]]-DETALLE_GD_1[[#This Row],[VALOR PPTO]])/DETALLE_GD_1[[#This Row],[VALOR PPTO]])</f>
        <v>-5.6110330973772111E-2</v>
      </c>
      <c r="AA419" s="2">
        <f>+DETALLE_GD_1[[#This Row],[VALOR PPTO]]*DETALLE_GD_1[[#This Row],[CANTIDAD RECIBIDA]]</f>
        <v>321662.59380000003</v>
      </c>
      <c r="AB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9" s="3">
        <f>+DETALLE_GD_1[[#This Row],[CANTIDAD SOLICITADA]]-DETALLE_GD_1[[#This Row],[DEVOLUCIÓN]]</f>
        <v>18</v>
      </c>
      <c r="AD419" s="38" t="str">
        <f>+_xlfn.XLOOKUP(DETALLE_GD_1[[#This Row],[CODIGO]],PRODUCTOS[CODIGO],PRODUCTOS[DESC CORTA],"",0)</f>
        <v>VENTILACIÓN PASIVA</v>
      </c>
      <c r="AE419"/>
      <c r="AH419"/>
    </row>
    <row r="420" spans="1:34" x14ac:dyDescent="0.25">
      <c r="A420" s="1">
        <v>46087</v>
      </c>
      <c r="B420" s="1">
        <v>46087</v>
      </c>
      <c r="C420" s="81" t="s">
        <v>169</v>
      </c>
      <c r="D420" s="38">
        <v>3</v>
      </c>
      <c r="E420" s="81" t="s">
        <v>169</v>
      </c>
      <c r="F420" t="s">
        <v>231</v>
      </c>
      <c r="G420" s="81" t="s">
        <v>180</v>
      </c>
      <c r="H420" s="81" t="s">
        <v>36</v>
      </c>
      <c r="I420" s="3">
        <v>5</v>
      </c>
      <c r="J420" s="3"/>
      <c r="K420" s="26">
        <v>5</v>
      </c>
      <c r="L420" s="2">
        <v>76394.8</v>
      </c>
      <c r="M420" s="2">
        <v>381974</v>
      </c>
      <c r="N420" s="2">
        <v>381974</v>
      </c>
      <c r="O420" s="2">
        <v>55858.301899999999</v>
      </c>
      <c r="P420" s="2">
        <v>-20536.498100000001</v>
      </c>
      <c r="Q420" s="2">
        <v>-102682.4906</v>
      </c>
      <c r="R420" s="4">
        <v>-0.36765346276628408</v>
      </c>
      <c r="S420" t="s">
        <v>450</v>
      </c>
      <c r="T420">
        <v>308380</v>
      </c>
      <c r="U420" s="2"/>
      <c r="V420">
        <v>5755</v>
      </c>
      <c r="W420" s="2">
        <v>6579000000</v>
      </c>
      <c r="X420" s="6">
        <v>279291.50943499996</v>
      </c>
      <c r="Y420" s="38">
        <v>10010</v>
      </c>
      <c r="Z420" s="86">
        <f>+((DETALLE_GD_1[[#This Row],[VALOR X UN (GD)]]-DETALLE_GD_1[[#This Row],[VALOR PPTO]])/DETALLE_GD_1[[#This Row],[VALOR PPTO]])</f>
        <v>0.36765346244798763</v>
      </c>
      <c r="AA420" s="2">
        <f>+DETALLE_GD_1[[#This Row],[VALOR PPTO]]*DETALLE_GD_1[[#This Row],[CANTIDAD RECIBIDA]]</f>
        <v>279291.50949999999</v>
      </c>
      <c r="AB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0" s="3">
        <f>+DETALLE_GD_1[[#This Row],[CANTIDAD SOLICITADA]]-DETALLE_GD_1[[#This Row],[DEVOLUCIÓN]]</f>
        <v>5</v>
      </c>
      <c r="AD420" s="38">
        <f>+_xlfn.XLOOKUP(DETALLE_GD_1[[#This Row],[CODIGO]],PRODUCTOS[CODIGO],PRODUCTOS[DESC CORTA],"",0)</f>
        <v>0</v>
      </c>
      <c r="AE420"/>
      <c r="AH420"/>
    </row>
    <row r="421" spans="1:34" x14ac:dyDescent="0.25">
      <c r="A421" s="1">
        <v>46087</v>
      </c>
      <c r="B421" s="1">
        <v>46087</v>
      </c>
      <c r="C421" s="81" t="s">
        <v>169</v>
      </c>
      <c r="D421" s="38">
        <v>3</v>
      </c>
      <c r="E421" s="81" t="s">
        <v>169</v>
      </c>
      <c r="F421">
        <v>617055</v>
      </c>
      <c r="G421" s="81" t="s">
        <v>182</v>
      </c>
      <c r="H421" s="81" t="s">
        <v>31</v>
      </c>
      <c r="I421" s="3">
        <v>4</v>
      </c>
      <c r="J421" s="3"/>
      <c r="K421" s="26">
        <v>4</v>
      </c>
      <c r="L421" s="2">
        <v>920.25</v>
      </c>
      <c r="M421" s="2">
        <v>3681</v>
      </c>
      <c r="N421" s="2">
        <v>3681</v>
      </c>
      <c r="O421" s="2">
        <v>920.35379999999998</v>
      </c>
      <c r="P421" s="2">
        <v>0.1038</v>
      </c>
      <c r="Q421" s="2">
        <v>0.41510000000000002</v>
      </c>
      <c r="R421" s="4">
        <v>1.1276207274040234E-4</v>
      </c>
      <c r="T421">
        <v>308380</v>
      </c>
      <c r="U421" s="2"/>
      <c r="V421">
        <v>5755</v>
      </c>
      <c r="W421" s="2">
        <v>6579000000</v>
      </c>
      <c r="X421" s="6">
        <v>3681.4151240000001</v>
      </c>
      <c r="Y421" s="38">
        <v>10010</v>
      </c>
      <c r="Z421" s="86">
        <f>+((DETALLE_GD_1[[#This Row],[VALOR X UN (GD)]]-DETALLE_GD_1[[#This Row],[VALOR PPTO]])/DETALLE_GD_1[[#This Row],[VALOR PPTO]])</f>
        <v>-1.1278271464732189E-4</v>
      </c>
      <c r="AA421" s="2">
        <f>+DETALLE_GD_1[[#This Row],[VALOR PPTO]]*DETALLE_GD_1[[#This Row],[CANTIDAD RECIBIDA]]</f>
        <v>3681.4151999999999</v>
      </c>
      <c r="AB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1" s="3">
        <f>+DETALLE_GD_1[[#This Row],[CANTIDAD SOLICITADA]]-DETALLE_GD_1[[#This Row],[DEVOLUCIÓN]]</f>
        <v>4</v>
      </c>
      <c r="AD421" s="38">
        <f>+_xlfn.XLOOKUP(DETALLE_GD_1[[#This Row],[CODIGO]],PRODUCTOS[CODIGO],PRODUCTOS[DESC CORTA],"",0)</f>
        <v>0</v>
      </c>
      <c r="AE421"/>
      <c r="AH421"/>
    </row>
    <row r="422" spans="1:34" x14ac:dyDescent="0.25">
      <c r="A422" s="1">
        <v>46087</v>
      </c>
      <c r="B422" s="1">
        <v>46087</v>
      </c>
      <c r="C422" s="81" t="s">
        <v>169</v>
      </c>
      <c r="D422" s="38">
        <v>3</v>
      </c>
      <c r="E422" s="81" t="s">
        <v>169</v>
      </c>
      <c r="F422">
        <v>617057</v>
      </c>
      <c r="G422" s="81" t="s">
        <v>134</v>
      </c>
      <c r="H422" s="81" t="s">
        <v>31</v>
      </c>
      <c r="I422" s="3">
        <v>5</v>
      </c>
      <c r="J422" s="3"/>
      <c r="K422" s="26">
        <v>5</v>
      </c>
      <c r="L422" s="2">
        <v>2042.2</v>
      </c>
      <c r="M422" s="2">
        <v>10211</v>
      </c>
      <c r="N422" s="2">
        <v>10211</v>
      </c>
      <c r="O422" s="2">
        <v>2042.1197</v>
      </c>
      <c r="P422" s="2">
        <v>-8.0299999999999996E-2</v>
      </c>
      <c r="Q422" s="2">
        <v>-0.40150000000000002</v>
      </c>
      <c r="R422" s="4">
        <v>-3.9318948719891769E-5</v>
      </c>
      <c r="T422">
        <v>308380</v>
      </c>
      <c r="U422" s="2"/>
      <c r="V422">
        <v>5755</v>
      </c>
      <c r="W422" s="2">
        <v>6579000000</v>
      </c>
      <c r="X422" s="6">
        <v>10210.598529999999</v>
      </c>
      <c r="Y422" s="38">
        <v>10010</v>
      </c>
      <c r="Z422" s="86">
        <f>+((DETALLE_GD_1[[#This Row],[VALOR X UN (GD)]]-DETALLE_GD_1[[#This Row],[VALOR PPTO]])/DETALLE_GD_1[[#This Row],[VALOR PPTO]])</f>
        <v>3.9321886958966856E-5</v>
      </c>
      <c r="AA422" s="2">
        <f>+DETALLE_GD_1[[#This Row],[VALOR PPTO]]*DETALLE_GD_1[[#This Row],[CANTIDAD RECIBIDA]]</f>
        <v>10210.5985</v>
      </c>
      <c r="AB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2" s="3">
        <f>+DETALLE_GD_1[[#This Row],[CANTIDAD SOLICITADA]]-DETALLE_GD_1[[#This Row],[DEVOLUCIÓN]]</f>
        <v>5</v>
      </c>
      <c r="AD422" s="38" t="str">
        <f>+_xlfn.XLOOKUP(DETALLE_GD_1[[#This Row],[CODIGO]],PRODUCTOS[CODIGO],PRODUCTOS[DESC CORTA],"",0)</f>
        <v>BROCHA 5/8 X4</v>
      </c>
      <c r="AE422"/>
      <c r="AH422"/>
    </row>
    <row r="423" spans="1:34" x14ac:dyDescent="0.25">
      <c r="A423" s="1">
        <v>46091</v>
      </c>
      <c r="B423" s="1">
        <v>46091</v>
      </c>
      <c r="C423" s="81" t="s">
        <v>169</v>
      </c>
      <c r="D423" s="38">
        <v>3</v>
      </c>
      <c r="E423" s="81" t="s">
        <v>169</v>
      </c>
      <c r="F423">
        <v>1902014</v>
      </c>
      <c r="G423" s="81" t="s">
        <v>316</v>
      </c>
      <c r="H423" s="81" t="s">
        <v>18</v>
      </c>
      <c r="I423" s="3">
        <v>40</v>
      </c>
      <c r="J423" s="3"/>
      <c r="K423" s="26">
        <v>40</v>
      </c>
      <c r="L423" s="2">
        <v>29779</v>
      </c>
      <c r="M423" s="2">
        <v>1191160</v>
      </c>
      <c r="N423" s="2">
        <v>1191160</v>
      </c>
      <c r="O423" s="2">
        <v>29779</v>
      </c>
      <c r="P423" s="2">
        <v>0</v>
      </c>
      <c r="Q423" s="2">
        <v>0</v>
      </c>
      <c r="R423" s="4">
        <v>1.2216591581620001E-16</v>
      </c>
      <c r="T423">
        <v>308572</v>
      </c>
      <c r="U423" s="2">
        <v>2360964</v>
      </c>
      <c r="V423">
        <v>5789</v>
      </c>
      <c r="W423" s="2">
        <v>6579000000</v>
      </c>
      <c r="X423" s="6">
        <v>1191160.0000000002</v>
      </c>
      <c r="Y423" s="38">
        <v>10010</v>
      </c>
      <c r="Z423" s="86">
        <f>+((DETALLE_GD_1[[#This Row],[VALOR X UN (GD)]]-DETALLE_GD_1[[#This Row],[VALOR PPTO]])/DETALLE_GD_1[[#This Row],[VALOR PPTO]])</f>
        <v>0</v>
      </c>
      <c r="AA423" s="2">
        <f>+DETALLE_GD_1[[#This Row],[VALOR PPTO]]*DETALLE_GD_1[[#This Row],[CANTIDAD RECIBIDA]]</f>
        <v>1191160</v>
      </c>
      <c r="AB4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23" s="3">
        <f>+DETALLE_GD_1[[#This Row],[CANTIDAD SOLICITADA]]-DETALLE_GD_1[[#This Row],[DEVOLUCIÓN]]</f>
        <v>40</v>
      </c>
      <c r="AD423" s="38" t="str">
        <f>+_xlfn.XLOOKUP(DETALLE_GD_1[[#This Row],[CODIGO]],PRODUCTOS[CODIGO],PRODUCTOS[DESC CORTA],"",0)</f>
        <v>VOLCOGLASS</v>
      </c>
      <c r="AE423"/>
      <c r="AH423"/>
    </row>
    <row r="424" spans="1:34" x14ac:dyDescent="0.25">
      <c r="A424" s="1">
        <v>46091</v>
      </c>
      <c r="B424" s="1">
        <v>46091</v>
      </c>
      <c r="C424" s="81" t="s">
        <v>169</v>
      </c>
      <c r="D424" s="38">
        <v>3</v>
      </c>
      <c r="E424" s="81" t="s">
        <v>169</v>
      </c>
      <c r="F424">
        <v>1901008</v>
      </c>
      <c r="G424" s="81" t="s">
        <v>278</v>
      </c>
      <c r="H424" s="81" t="s">
        <v>26</v>
      </c>
      <c r="I424" s="3">
        <v>270</v>
      </c>
      <c r="J424" s="3"/>
      <c r="K424" s="26">
        <v>270</v>
      </c>
      <c r="L424" s="2">
        <v>2088.0556000000001</v>
      </c>
      <c r="M424" s="2">
        <v>563775</v>
      </c>
      <c r="N424" s="2">
        <v>563775</v>
      </c>
      <c r="O424" s="2">
        <v>2112.7957999999999</v>
      </c>
      <c r="P424" s="2">
        <v>24.740200000000002</v>
      </c>
      <c r="Q424" s="2">
        <v>6679.8603000000003</v>
      </c>
      <c r="R424" s="4">
        <v>1.170970885607983E-2</v>
      </c>
      <c r="T424">
        <v>308572</v>
      </c>
      <c r="U424" s="2"/>
      <c r="V424">
        <v>5789</v>
      </c>
      <c r="W424" s="2">
        <v>6579000000</v>
      </c>
      <c r="X424" s="6">
        <v>570454.86033000005</v>
      </c>
      <c r="Y424" s="38">
        <v>10010</v>
      </c>
      <c r="Z424" s="86">
        <f>+((DETALLE_GD_1[[#This Row],[VALOR X UN (GD)]]-DETALLE_GD_1[[#This Row],[VALOR PPTO]])/DETALLE_GD_1[[#This Row],[VALOR PPTO]])</f>
        <v>-1.1709697643283716E-2</v>
      </c>
      <c r="AA424" s="2">
        <f>+DETALLE_GD_1[[#This Row],[VALOR PPTO]]*DETALLE_GD_1[[#This Row],[CANTIDAD RECIBIDA]]</f>
        <v>570454.86599999992</v>
      </c>
      <c r="AB4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24" s="3">
        <f>+DETALLE_GD_1[[#This Row],[CANTIDAD SOLICITADA]]-DETALLE_GD_1[[#This Row],[DEVOLUCIÓN]]</f>
        <v>270</v>
      </c>
      <c r="AD424" s="38" t="str">
        <f>+_xlfn.XLOOKUP(DETALLE_GD_1[[#This Row],[CODIGO]],PRODUCTOS[CODIGO],PRODUCTOS[DESC CORTA],"",0)</f>
        <v>AISLAN GLASS 90MM</v>
      </c>
      <c r="AE424"/>
      <c r="AH424"/>
    </row>
    <row r="425" spans="1:34" x14ac:dyDescent="0.25">
      <c r="A425" s="1">
        <v>46091</v>
      </c>
      <c r="B425" s="1">
        <v>46091</v>
      </c>
      <c r="C425" s="81" t="s">
        <v>169</v>
      </c>
      <c r="D425" s="38">
        <v>3</v>
      </c>
      <c r="E425" s="81" t="s">
        <v>169</v>
      </c>
      <c r="F425">
        <v>1901038</v>
      </c>
      <c r="G425" s="81" t="s">
        <v>39</v>
      </c>
      <c r="H425" s="81" t="s">
        <v>26</v>
      </c>
      <c r="I425" s="3">
        <v>81</v>
      </c>
      <c r="J425" s="3"/>
      <c r="K425" s="26">
        <v>81</v>
      </c>
      <c r="L425" s="2">
        <v>4196.3703999999998</v>
      </c>
      <c r="M425" s="2">
        <v>339906</v>
      </c>
      <c r="N425" s="2">
        <v>339906</v>
      </c>
      <c r="O425" s="2">
        <v>4197.4179000000004</v>
      </c>
      <c r="P425" s="2">
        <v>1.0475000000000001</v>
      </c>
      <c r="Q425" s="2">
        <v>84.847899999999996</v>
      </c>
      <c r="R425" s="4">
        <v>2.4955929117030456E-4</v>
      </c>
      <c r="T425">
        <v>308572</v>
      </c>
      <c r="U425" s="2"/>
      <c r="V425">
        <v>5789</v>
      </c>
      <c r="W425" s="2">
        <v>6579000000</v>
      </c>
      <c r="X425" s="6">
        <v>339990.84787500009</v>
      </c>
      <c r="Y425" s="38">
        <v>10010</v>
      </c>
      <c r="Z425" s="86">
        <f>+((DETALLE_GD_1[[#This Row],[VALOR X UN (GD)]]-DETALLE_GD_1[[#This Row],[VALOR PPTO]])/DETALLE_GD_1[[#This Row],[VALOR PPTO]])</f>
        <v>-2.4955818671297466E-4</v>
      </c>
      <c r="AA425" s="2">
        <f>+DETALLE_GD_1[[#This Row],[VALOR PPTO]]*DETALLE_GD_1[[#This Row],[CANTIDAD RECIBIDA]]</f>
        <v>339990.84990000003</v>
      </c>
      <c r="AB4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25" s="3">
        <f>+DETALLE_GD_1[[#This Row],[CANTIDAD SOLICITADA]]-DETALLE_GD_1[[#This Row],[DEVOLUCIÓN]]</f>
        <v>81</v>
      </c>
      <c r="AD425" s="38" t="str">
        <f>+_xlfn.XLOOKUP(DETALLE_GD_1[[#This Row],[CODIGO]],PRODUCTOS[CODIGO],PRODUCTOS[DESC CORTA],"",0)</f>
        <v>AISLAN ROCA 90MM</v>
      </c>
      <c r="AE425"/>
      <c r="AH425"/>
    </row>
    <row r="426" spans="1:34" x14ac:dyDescent="0.25">
      <c r="A426" s="1">
        <v>46091</v>
      </c>
      <c r="B426" s="1">
        <v>46091</v>
      </c>
      <c r="C426" s="81" t="s">
        <v>169</v>
      </c>
      <c r="D426" s="38">
        <v>3</v>
      </c>
      <c r="E426" s="81" t="s">
        <v>169</v>
      </c>
      <c r="F426">
        <v>408088</v>
      </c>
      <c r="G426" s="81" t="s">
        <v>109</v>
      </c>
      <c r="H426" s="81" t="s">
        <v>36</v>
      </c>
      <c r="I426" s="3">
        <v>4</v>
      </c>
      <c r="J426" s="3"/>
      <c r="K426" s="26">
        <v>4</v>
      </c>
      <c r="L426" s="2">
        <v>17500</v>
      </c>
      <c r="M426" s="2">
        <v>70000</v>
      </c>
      <c r="N426" s="2">
        <v>70000</v>
      </c>
      <c r="O426" s="2">
        <v>17500.092700000001</v>
      </c>
      <c r="P426" s="2">
        <v>9.2700000000000005E-2</v>
      </c>
      <c r="Q426" s="2">
        <v>0.37090000000000001</v>
      </c>
      <c r="R426" s="4">
        <v>5.2979719312796486E-6</v>
      </c>
      <c r="T426">
        <v>308572</v>
      </c>
      <c r="U426" s="2"/>
      <c r="V426">
        <v>5789</v>
      </c>
      <c r="W426" s="2">
        <v>6579000000</v>
      </c>
      <c r="X426" s="6">
        <v>70000.370859999995</v>
      </c>
      <c r="Y426" s="38">
        <v>10010</v>
      </c>
      <c r="Z426" s="86">
        <f>+((DETALLE_GD_1[[#This Row],[VALOR X UN (GD)]]-DETALLE_GD_1[[#This Row],[VALOR PPTO]])/DETALLE_GD_1[[#This Row],[VALOR PPTO]])</f>
        <v>-5.2971147976295791E-6</v>
      </c>
      <c r="AA426" s="2">
        <f>+DETALLE_GD_1[[#This Row],[VALOR PPTO]]*DETALLE_GD_1[[#This Row],[CANTIDAD RECIBIDA]]</f>
        <v>70000.370800000004</v>
      </c>
      <c r="AB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6" s="3">
        <f>+DETALLE_GD_1[[#This Row],[CANTIDAD SOLICITADA]]-DETALLE_GD_1[[#This Row],[DEVOLUCIÓN]]</f>
        <v>4</v>
      </c>
      <c r="AD426" s="38" t="str">
        <f>+_xlfn.XLOOKUP(DETALLE_GD_1[[#This Row],[CODIGO]],PRODUCTOS[CODIGO],PRODUCTOS[DESC CORTA],"",0)</f>
        <v>GRAPA T50</v>
      </c>
      <c r="AE426"/>
      <c r="AH426"/>
    </row>
    <row r="427" spans="1:34" x14ac:dyDescent="0.25">
      <c r="A427" s="1">
        <v>46091</v>
      </c>
      <c r="B427" s="1">
        <v>46091</v>
      </c>
      <c r="C427" s="81" t="s">
        <v>169</v>
      </c>
      <c r="D427" s="38">
        <v>3</v>
      </c>
      <c r="E427" s="81" t="s">
        <v>169</v>
      </c>
      <c r="F427" t="s">
        <v>225</v>
      </c>
      <c r="G427" s="81" t="s">
        <v>226</v>
      </c>
      <c r="H427" s="81" t="s">
        <v>36</v>
      </c>
      <c r="I427" s="3">
        <v>4</v>
      </c>
      <c r="J427" s="3"/>
      <c r="K427" s="26">
        <v>4</v>
      </c>
      <c r="L427" s="2">
        <v>49030.75</v>
      </c>
      <c r="M427" s="2">
        <v>196123</v>
      </c>
      <c r="N427" s="2">
        <v>196123</v>
      </c>
      <c r="O427" s="2">
        <v>49030.713300000003</v>
      </c>
      <c r="P427" s="2">
        <v>-3.6700000000000003E-2</v>
      </c>
      <c r="Q427" s="2">
        <v>-0.14680000000000001</v>
      </c>
      <c r="R427" s="4">
        <v>-7.4844923770802403E-7</v>
      </c>
      <c r="T427">
        <v>308572</v>
      </c>
      <c r="U427" s="2"/>
      <c r="V427">
        <v>5789</v>
      </c>
      <c r="W427" s="2">
        <v>6579000000</v>
      </c>
      <c r="X427" s="6">
        <v>196122.85321199999</v>
      </c>
      <c r="Y427" s="38">
        <v>10010</v>
      </c>
      <c r="Z427" s="86">
        <f>+((DETALLE_GD_1[[#This Row],[VALOR X UN (GD)]]-DETALLE_GD_1[[#This Row],[VALOR PPTO]])/DETALLE_GD_1[[#This Row],[VALOR PPTO]])</f>
        <v>7.4851042391273213E-7</v>
      </c>
      <c r="AA427" s="2">
        <f>+DETALLE_GD_1[[#This Row],[VALOR PPTO]]*DETALLE_GD_1[[#This Row],[CANTIDAD RECIBIDA]]</f>
        <v>196122.85320000001</v>
      </c>
      <c r="AB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7" s="3">
        <f>+DETALLE_GD_1[[#This Row],[CANTIDAD SOLICITADA]]-DETALLE_GD_1[[#This Row],[DEVOLUCIÓN]]</f>
        <v>4</v>
      </c>
      <c r="AD427" s="38">
        <f>+_xlfn.XLOOKUP(DETALLE_GD_1[[#This Row],[CODIGO]],PRODUCTOS[CODIGO],PRODUCTOS[DESC CORTA],"",0)</f>
        <v>0</v>
      </c>
      <c r="AE427"/>
      <c r="AH427"/>
    </row>
    <row r="428" spans="1:34" x14ac:dyDescent="0.25">
      <c r="A428" s="1">
        <v>46091</v>
      </c>
      <c r="B428" s="1">
        <v>46091</v>
      </c>
      <c r="C428" s="81" t="s">
        <v>169</v>
      </c>
      <c r="D428" s="38">
        <v>3</v>
      </c>
      <c r="E428" s="81" t="s">
        <v>169</v>
      </c>
      <c r="F428">
        <v>704046</v>
      </c>
      <c r="G428" s="81" t="s">
        <v>255</v>
      </c>
      <c r="H428" s="81" t="s">
        <v>47</v>
      </c>
      <c r="I428" s="3">
        <v>3</v>
      </c>
      <c r="J428" s="3"/>
      <c r="K428" s="26">
        <v>3</v>
      </c>
      <c r="L428" s="2">
        <v>9076</v>
      </c>
      <c r="M428" s="2">
        <v>27228</v>
      </c>
      <c r="N428" s="2">
        <v>27228</v>
      </c>
      <c r="O428" s="2">
        <v>9076.0622000000003</v>
      </c>
      <c r="P428" s="2">
        <v>6.2199999999999998E-2</v>
      </c>
      <c r="Q428" s="2">
        <v>0.18659999999999999</v>
      </c>
      <c r="R428" s="4">
        <v>6.8528618084685054E-6</v>
      </c>
      <c r="T428">
        <v>308613</v>
      </c>
      <c r="U428" s="2">
        <v>1051008</v>
      </c>
      <c r="V428">
        <v>5789</v>
      </c>
      <c r="W428" s="2">
        <v>6579000000</v>
      </c>
      <c r="X428" s="6">
        <v>27228.186591000005</v>
      </c>
      <c r="Y428" s="38">
        <v>10010</v>
      </c>
      <c r="Z428" s="86">
        <f>+((DETALLE_GD_1[[#This Row],[VALOR X UN (GD)]]-DETALLE_GD_1[[#This Row],[VALOR PPTO]])/DETALLE_GD_1[[#This Row],[VALOR PPTO]])</f>
        <v>-6.8531923459386027E-6</v>
      </c>
      <c r="AA428" s="2">
        <f>+DETALLE_GD_1[[#This Row],[VALOR PPTO]]*DETALLE_GD_1[[#This Row],[CANTIDAD RECIBIDA]]</f>
        <v>27228.186600000001</v>
      </c>
      <c r="AB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8" s="3">
        <f>+DETALLE_GD_1[[#This Row],[CANTIDAD SOLICITADA]]-DETALLE_GD_1[[#This Row],[DEVOLUCIÓN]]</f>
        <v>3</v>
      </c>
      <c r="AD428" s="38">
        <f>+_xlfn.XLOOKUP(DETALLE_GD_1[[#This Row],[CODIGO]],PRODUCTOS[CODIGO],PRODUCTOS[DESC CORTA],"",0)</f>
        <v>0</v>
      </c>
      <c r="AE428"/>
      <c r="AH428"/>
    </row>
    <row r="429" spans="1:34" x14ac:dyDescent="0.25">
      <c r="A429" s="1">
        <v>46091</v>
      </c>
      <c r="B429" s="1">
        <v>46091</v>
      </c>
      <c r="C429" s="81" t="s">
        <v>169</v>
      </c>
      <c r="D429" s="38">
        <v>3</v>
      </c>
      <c r="E429" s="81" t="s">
        <v>169</v>
      </c>
      <c r="F429">
        <v>106022</v>
      </c>
      <c r="G429" s="81" t="s">
        <v>245</v>
      </c>
      <c r="H429" s="81" t="s">
        <v>31</v>
      </c>
      <c r="I429" s="3">
        <v>4</v>
      </c>
      <c r="J429" s="3"/>
      <c r="K429" s="26">
        <v>4</v>
      </c>
      <c r="L429" s="2">
        <v>3800.75</v>
      </c>
      <c r="M429" s="2">
        <v>15203</v>
      </c>
      <c r="N429" s="2">
        <v>15203</v>
      </c>
      <c r="O429" s="2">
        <v>3800.6911</v>
      </c>
      <c r="P429" s="2">
        <v>-5.8900000000000001E-2</v>
      </c>
      <c r="Q429" s="2">
        <v>-0.2356</v>
      </c>
      <c r="R429" s="4">
        <v>-1.5497444666029462E-5</v>
      </c>
      <c r="T429">
        <v>308613</v>
      </c>
      <c r="U429" s="2"/>
      <c r="V429">
        <v>5789</v>
      </c>
      <c r="W429" s="2">
        <v>6579000000</v>
      </c>
      <c r="X429" s="6">
        <v>15202.764396000002</v>
      </c>
      <c r="Y429" s="38">
        <v>10010</v>
      </c>
      <c r="Z429" s="86">
        <f>+((DETALLE_GD_1[[#This Row],[VALOR X UN (GD)]]-DETALLE_GD_1[[#This Row],[VALOR PPTO]])/DETALLE_GD_1[[#This Row],[VALOR PPTO]])</f>
        <v>1.5497181552058829E-5</v>
      </c>
      <c r="AA429" s="2">
        <f>+DETALLE_GD_1[[#This Row],[VALOR PPTO]]*DETALLE_GD_1[[#This Row],[CANTIDAD RECIBIDA]]</f>
        <v>15202.7644</v>
      </c>
      <c r="AB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9" s="3">
        <f>+DETALLE_GD_1[[#This Row],[CANTIDAD SOLICITADA]]-DETALLE_GD_1[[#This Row],[DEVOLUCIÓN]]</f>
        <v>4</v>
      </c>
      <c r="AD429" s="38">
        <f>+_xlfn.XLOOKUP(DETALLE_GD_1[[#This Row],[CODIGO]],PRODUCTOS[CODIGO],PRODUCTOS[DESC CORTA],"",0)</f>
        <v>0</v>
      </c>
      <c r="AE429"/>
      <c r="AH429"/>
    </row>
    <row r="430" spans="1:34" x14ac:dyDescent="0.25">
      <c r="A430" s="1">
        <v>46091</v>
      </c>
      <c r="B430" s="1">
        <v>46091</v>
      </c>
      <c r="C430" s="81" t="s">
        <v>169</v>
      </c>
      <c r="D430" s="38">
        <v>3</v>
      </c>
      <c r="E430" s="81" t="s">
        <v>169</v>
      </c>
      <c r="F430">
        <v>2304002</v>
      </c>
      <c r="G430" s="81" t="s">
        <v>212</v>
      </c>
      <c r="H430" s="81" t="s">
        <v>31</v>
      </c>
      <c r="I430" s="3">
        <v>12</v>
      </c>
      <c r="J430" s="3"/>
      <c r="K430" s="26">
        <v>12</v>
      </c>
      <c r="L430" s="2">
        <v>1376.5</v>
      </c>
      <c r="M430" s="2">
        <v>16518</v>
      </c>
      <c r="N430" s="2">
        <v>16518</v>
      </c>
      <c r="O430" s="2">
        <v>1376.4717000000001</v>
      </c>
      <c r="P430" s="2">
        <v>-2.8299999999999999E-2</v>
      </c>
      <c r="Q430" s="2">
        <v>-0.33929999999999999</v>
      </c>
      <c r="R430" s="4">
        <v>-2.0542376212302997E-5</v>
      </c>
      <c r="T430">
        <v>308613</v>
      </c>
      <c r="U430" s="2"/>
      <c r="V430">
        <v>5789</v>
      </c>
      <c r="W430" s="2">
        <v>6579000000</v>
      </c>
      <c r="X430" s="6">
        <v>16517.660688</v>
      </c>
      <c r="Y430" s="38">
        <v>10010</v>
      </c>
      <c r="Z430" s="86">
        <f>+((DETALLE_GD_1[[#This Row],[VALOR X UN (GD)]]-DETALLE_GD_1[[#This Row],[VALOR PPTO]])/DETALLE_GD_1[[#This Row],[VALOR PPTO]])</f>
        <v>2.0559812453786519E-5</v>
      </c>
      <c r="AA430" s="2">
        <f>+DETALLE_GD_1[[#This Row],[VALOR PPTO]]*DETALLE_GD_1[[#This Row],[CANTIDAD RECIBIDA]]</f>
        <v>16517.660400000001</v>
      </c>
      <c r="AB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0" s="3">
        <f>+DETALLE_GD_1[[#This Row],[CANTIDAD SOLICITADA]]-DETALLE_GD_1[[#This Row],[DEVOLUCIÓN]]</f>
        <v>12</v>
      </c>
      <c r="AD430" s="38">
        <f>+_xlfn.XLOOKUP(DETALLE_GD_1[[#This Row],[CODIGO]],PRODUCTOS[CODIGO],PRODUCTOS[DESC CORTA],"",0)</f>
        <v>0</v>
      </c>
      <c r="AE430"/>
      <c r="AH430"/>
    </row>
    <row r="431" spans="1:34" x14ac:dyDescent="0.25">
      <c r="A431" s="1">
        <v>46091</v>
      </c>
      <c r="B431" s="1">
        <v>46091</v>
      </c>
      <c r="C431" s="81" t="s">
        <v>169</v>
      </c>
      <c r="D431" s="38">
        <v>3</v>
      </c>
      <c r="E431" s="81" t="s">
        <v>169</v>
      </c>
      <c r="F431">
        <v>907031</v>
      </c>
      <c r="G431" s="81" t="s">
        <v>256</v>
      </c>
      <c r="H431" s="81" t="s">
        <v>47</v>
      </c>
      <c r="I431" s="3">
        <v>4</v>
      </c>
      <c r="J431" s="3"/>
      <c r="K431" s="26">
        <v>4</v>
      </c>
      <c r="L431" s="2">
        <v>154915.75</v>
      </c>
      <c r="M431" s="2">
        <v>619663</v>
      </c>
      <c r="N431" s="2">
        <v>619663</v>
      </c>
      <c r="O431" s="2">
        <v>156269.1667</v>
      </c>
      <c r="P431" s="2">
        <v>1353.4167</v>
      </c>
      <c r="Q431" s="2">
        <v>5413.6666999999998</v>
      </c>
      <c r="R431" s="4">
        <v>8.6608042767904996E-3</v>
      </c>
      <c r="T431">
        <v>308613</v>
      </c>
      <c r="U431" s="2"/>
      <c r="V431">
        <v>5789</v>
      </c>
      <c r="W431" s="2">
        <v>6579000000</v>
      </c>
      <c r="X431" s="6">
        <v>625076.66666800017</v>
      </c>
      <c r="Y431" s="38">
        <v>10010</v>
      </c>
      <c r="Z431" s="86">
        <f>+((DETALLE_GD_1[[#This Row],[VALOR X UN (GD)]]-DETALLE_GD_1[[#This Row],[VALOR PPTO]])/DETALLE_GD_1[[#This Row],[VALOR PPTO]])</f>
        <v>-8.6608044861354056E-3</v>
      </c>
      <c r="AA431" s="2">
        <f>+DETALLE_GD_1[[#This Row],[VALOR PPTO]]*DETALLE_GD_1[[#This Row],[CANTIDAD RECIBIDA]]</f>
        <v>625076.66680000001</v>
      </c>
      <c r="AB4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31" s="3">
        <f>+DETALLE_GD_1[[#This Row],[CANTIDAD SOLICITADA]]-DETALLE_GD_1[[#This Row],[DEVOLUCIÓN]]</f>
        <v>4</v>
      </c>
      <c r="AD431" s="38" t="str">
        <f>+_xlfn.XLOOKUP(DETALLE_GD_1[[#This Row],[CODIGO]],PRODUCTOS[CODIGO],PRODUCTOS[DESC CORTA],"",0)</f>
        <v>MEMBRANA PVC</v>
      </c>
      <c r="AE431"/>
      <c r="AH431"/>
    </row>
    <row r="432" spans="1:34" x14ac:dyDescent="0.25">
      <c r="A432" s="1">
        <v>46091</v>
      </c>
      <c r="B432" s="1">
        <v>46091</v>
      </c>
      <c r="C432" s="81" t="s">
        <v>169</v>
      </c>
      <c r="D432" s="38">
        <v>3</v>
      </c>
      <c r="E432" s="81" t="s">
        <v>169</v>
      </c>
      <c r="F432">
        <v>2302017</v>
      </c>
      <c r="G432" s="81" t="s">
        <v>156</v>
      </c>
      <c r="H432" s="81" t="s">
        <v>25</v>
      </c>
      <c r="I432" s="3">
        <v>2</v>
      </c>
      <c r="J432" s="3"/>
      <c r="K432" s="26">
        <v>2</v>
      </c>
      <c r="L432" s="2">
        <v>81198</v>
      </c>
      <c r="M432" s="2">
        <v>162396</v>
      </c>
      <c r="N432" s="2">
        <v>162396</v>
      </c>
      <c r="O432" s="2">
        <v>81197.881599999993</v>
      </c>
      <c r="P432" s="2">
        <v>-0.11840000000000001</v>
      </c>
      <c r="Q432" s="2">
        <v>-0.23680000000000001</v>
      </c>
      <c r="R432" s="4">
        <v>-1.4584247485056449E-6</v>
      </c>
      <c r="T432">
        <v>308613</v>
      </c>
      <c r="U432" s="2"/>
      <c r="V432">
        <v>5789</v>
      </c>
      <c r="W432" s="2">
        <v>6579000000</v>
      </c>
      <c r="X432" s="6">
        <v>162395.76315799996</v>
      </c>
      <c r="Y432" s="38">
        <v>10010</v>
      </c>
      <c r="Z432" s="86">
        <f>+((DETALLE_GD_1[[#This Row],[VALOR X UN (GD)]]-DETALLE_GD_1[[#This Row],[VALOR PPTO]])/DETALLE_GD_1[[#This Row],[VALOR PPTO]])</f>
        <v>1.4581661205143925E-6</v>
      </c>
      <c r="AA432" s="2">
        <f>+DETALLE_GD_1[[#This Row],[VALOR PPTO]]*DETALLE_GD_1[[#This Row],[CANTIDAD RECIBIDA]]</f>
        <v>162395.76319999999</v>
      </c>
      <c r="AB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2" s="3">
        <f>+DETALLE_GD_1[[#This Row],[CANTIDAD SOLICITADA]]-DETALLE_GD_1[[#This Row],[DEVOLUCIÓN]]</f>
        <v>2</v>
      </c>
      <c r="AD432" s="38">
        <f>+_xlfn.XLOOKUP(DETALLE_GD_1[[#This Row],[CODIGO]],PRODUCTOS[CODIGO],PRODUCTOS[DESC CORTA],"",0)</f>
        <v>0</v>
      </c>
      <c r="AE432"/>
      <c r="AH432"/>
    </row>
    <row r="433" spans="1:34" x14ac:dyDescent="0.25">
      <c r="A433" s="1">
        <v>46091</v>
      </c>
      <c r="B433" s="1">
        <v>46091</v>
      </c>
      <c r="C433" s="81" t="s">
        <v>169</v>
      </c>
      <c r="D433" s="38">
        <v>3</v>
      </c>
      <c r="E433" s="81" t="s">
        <v>169</v>
      </c>
      <c r="F433">
        <v>408042</v>
      </c>
      <c r="G433" s="81" t="s">
        <v>144</v>
      </c>
      <c r="H433" s="81" t="s">
        <v>36</v>
      </c>
      <c r="I433" s="3">
        <v>6</v>
      </c>
      <c r="J433" s="3"/>
      <c r="K433" s="26">
        <v>6</v>
      </c>
      <c r="L433" s="2">
        <v>35000</v>
      </c>
      <c r="M433" s="2">
        <v>210000</v>
      </c>
      <c r="N433" s="2">
        <v>210000</v>
      </c>
      <c r="O433" s="2">
        <v>35000</v>
      </c>
      <c r="P433" s="2">
        <v>0</v>
      </c>
      <c r="Q433" s="2">
        <v>0</v>
      </c>
      <c r="R433" s="4">
        <v>8.3153801304950006E-16</v>
      </c>
      <c r="T433">
        <v>308613</v>
      </c>
      <c r="U433" s="2"/>
      <c r="V433">
        <v>5789</v>
      </c>
      <c r="W433" s="2">
        <v>6579000000</v>
      </c>
      <c r="X433" s="6">
        <v>210000.00000000015</v>
      </c>
      <c r="Y433" s="38">
        <v>10010</v>
      </c>
      <c r="Z433" s="86">
        <f>+((DETALLE_GD_1[[#This Row],[VALOR X UN (GD)]]-DETALLE_GD_1[[#This Row],[VALOR PPTO]])/DETALLE_GD_1[[#This Row],[VALOR PPTO]])</f>
        <v>0</v>
      </c>
      <c r="AA433" s="2">
        <f>+DETALLE_GD_1[[#This Row],[VALOR PPTO]]*DETALLE_GD_1[[#This Row],[CANTIDAD RECIBIDA]]</f>
        <v>210000</v>
      </c>
      <c r="AB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3" s="3">
        <f>+DETALLE_GD_1[[#This Row],[CANTIDAD SOLICITADA]]-DETALLE_GD_1[[#This Row],[DEVOLUCIÓN]]</f>
        <v>6</v>
      </c>
      <c r="AD433" s="38" t="str">
        <f>+_xlfn.XLOOKUP(DETALLE_GD_1[[#This Row],[CODIGO]],PRODUCTOS[CODIGO],PRODUCTOS[DESC CORTA],"",0)</f>
        <v>CLAVO HELICOIDAL PROFIX</v>
      </c>
      <c r="AE433"/>
      <c r="AH433"/>
    </row>
    <row r="434" spans="1:34" x14ac:dyDescent="0.25">
      <c r="A434" s="1">
        <v>46092</v>
      </c>
      <c r="B434" s="1">
        <v>46092</v>
      </c>
      <c r="C434" s="81" t="s">
        <v>169</v>
      </c>
      <c r="D434" s="38">
        <v>3</v>
      </c>
      <c r="E434" s="81" t="s">
        <v>169</v>
      </c>
      <c r="F434">
        <v>704046</v>
      </c>
      <c r="G434" s="81" t="s">
        <v>255</v>
      </c>
      <c r="H434" s="81" t="s">
        <v>47</v>
      </c>
      <c r="I434" s="3">
        <v>10</v>
      </c>
      <c r="J434" s="3"/>
      <c r="K434" s="26">
        <v>10</v>
      </c>
      <c r="L434" s="2">
        <v>9076.1</v>
      </c>
      <c r="M434" s="2">
        <v>90761</v>
      </c>
      <c r="N434" s="2">
        <v>90761</v>
      </c>
      <c r="O434" s="2">
        <v>9076.0622000000003</v>
      </c>
      <c r="P434" s="2">
        <v>-3.78E-2</v>
      </c>
      <c r="Q434" s="2">
        <v>-0.378</v>
      </c>
      <c r="R434" s="4">
        <v>-4.1651323204630666E-6</v>
      </c>
      <c r="T434">
        <v>308748</v>
      </c>
      <c r="U434" s="2">
        <v>8513471</v>
      </c>
      <c r="V434">
        <v>5789</v>
      </c>
      <c r="W434" s="2">
        <v>6579000000</v>
      </c>
      <c r="X434" s="6">
        <v>90760.621969999993</v>
      </c>
      <c r="Y434" s="38">
        <v>10010</v>
      </c>
      <c r="Z434" s="86">
        <f>+((DETALLE_GD_1[[#This Row],[VALOR X UN (GD)]]-DETALLE_GD_1[[#This Row],[VALOR PPTO]])/DETALLE_GD_1[[#This Row],[VALOR PPTO]])</f>
        <v>4.1648017793510843E-6</v>
      </c>
      <c r="AA434" s="2">
        <f>+DETALLE_GD_1[[#This Row],[VALOR PPTO]]*DETALLE_GD_1[[#This Row],[CANTIDAD RECIBIDA]]</f>
        <v>90760.622000000003</v>
      </c>
      <c r="AB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4" s="3">
        <f>+DETALLE_GD_1[[#This Row],[CANTIDAD SOLICITADA]]-DETALLE_GD_1[[#This Row],[DEVOLUCIÓN]]</f>
        <v>10</v>
      </c>
      <c r="AD434" s="38">
        <f>+_xlfn.XLOOKUP(DETALLE_GD_1[[#This Row],[CODIGO]],PRODUCTOS[CODIGO],PRODUCTOS[DESC CORTA],"",0)</f>
        <v>0</v>
      </c>
      <c r="AE434"/>
      <c r="AH434"/>
    </row>
    <row r="435" spans="1:34" x14ac:dyDescent="0.25">
      <c r="A435" s="1">
        <v>46092</v>
      </c>
      <c r="B435" s="1">
        <v>46092</v>
      </c>
      <c r="C435" s="81" t="s">
        <v>169</v>
      </c>
      <c r="D435" s="38">
        <v>3</v>
      </c>
      <c r="E435" s="81" t="s">
        <v>169</v>
      </c>
      <c r="F435">
        <v>302028</v>
      </c>
      <c r="G435" s="81" t="s">
        <v>246</v>
      </c>
      <c r="H435" s="81" t="s">
        <v>20</v>
      </c>
      <c r="I435" s="3">
        <v>1320</v>
      </c>
      <c r="J435" s="3">
        <v>600</v>
      </c>
      <c r="K435" s="26">
        <v>720</v>
      </c>
      <c r="L435" s="2">
        <v>4924.4832999999999</v>
      </c>
      <c r="M435" s="2">
        <v>6500318</v>
      </c>
      <c r="N435" s="2">
        <v>3545628</v>
      </c>
      <c r="O435" s="2">
        <v>5123.8024999999998</v>
      </c>
      <c r="P435" s="2">
        <v>199.3192</v>
      </c>
      <c r="Q435" s="2">
        <v>143509.81940000001</v>
      </c>
      <c r="R435" s="4">
        <v>3.8900639245238421E-2</v>
      </c>
      <c r="T435">
        <v>308748</v>
      </c>
      <c r="U435" s="2"/>
      <c r="V435">
        <v>5789</v>
      </c>
      <c r="W435" s="2">
        <v>6579000000</v>
      </c>
      <c r="X435" s="6">
        <v>3689137.8194400016</v>
      </c>
      <c r="Y435" s="38">
        <v>10010</v>
      </c>
      <c r="Z435" s="86">
        <f>+((DETALLE_GD_1[[#This Row],[VALOR X UN (GD)]]-DETALLE_GD_1[[#This Row],[VALOR PPTO]])/DETALLE_GD_1[[#This Row],[VALOR PPTO]])</f>
        <v>-3.8900640686287173E-2</v>
      </c>
      <c r="AA435" s="2">
        <f>+DETALLE_GD_1[[#This Row],[VALOR PPTO]]*DETALLE_GD_1[[#This Row],[CANTIDAD RECIBIDA]]</f>
        <v>3689137.8</v>
      </c>
      <c r="AB4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35" s="3">
        <f>+DETALLE_GD_1[[#This Row],[CANTIDAD SOLICITADA]]-DETALLE_GD_1[[#This Row],[DEVOLUCIÓN]]</f>
        <v>720</v>
      </c>
      <c r="AD435" s="38" t="str">
        <f>+_xlfn.XLOOKUP(DETALLE_GD_1[[#This Row],[CODIGO]],PRODUCTOS[CODIGO],PRODUCTOS[DESC CORTA],"",0)</f>
        <v>PINO 2X4X320</v>
      </c>
      <c r="AE435"/>
      <c r="AH435"/>
    </row>
    <row r="436" spans="1:34" x14ac:dyDescent="0.25">
      <c r="A436" s="1">
        <v>46092</v>
      </c>
      <c r="B436" s="1">
        <v>46092</v>
      </c>
      <c r="C436" s="81" t="s">
        <v>169</v>
      </c>
      <c r="D436" s="38">
        <v>3</v>
      </c>
      <c r="E436" s="81" t="s">
        <v>169</v>
      </c>
      <c r="F436">
        <v>304101</v>
      </c>
      <c r="G436" s="81" t="s">
        <v>17</v>
      </c>
      <c r="H436" s="81" t="s">
        <v>18</v>
      </c>
      <c r="I436" s="3">
        <v>252</v>
      </c>
      <c r="J436" s="3"/>
      <c r="K436" s="26">
        <v>252</v>
      </c>
      <c r="L436" s="2">
        <v>9636.0238000000008</v>
      </c>
      <c r="M436" s="2">
        <v>2428278</v>
      </c>
      <c r="N436" s="2">
        <v>2428278</v>
      </c>
      <c r="O436" s="2">
        <v>9657.5879999999997</v>
      </c>
      <c r="P436" s="2">
        <v>21.5641</v>
      </c>
      <c r="Q436" s="2">
        <v>5434.1634000000004</v>
      </c>
      <c r="R436" s="4">
        <v>2.232870214368118E-3</v>
      </c>
      <c r="T436">
        <v>308748</v>
      </c>
      <c r="U436" s="2"/>
      <c r="V436">
        <v>5789</v>
      </c>
      <c r="W436" s="2">
        <v>6579000000</v>
      </c>
      <c r="X436" s="6">
        <v>2433712.1634000018</v>
      </c>
      <c r="Y436" s="38">
        <v>10010</v>
      </c>
      <c r="Z436" s="86">
        <f>+((DETALLE_GD_1[[#This Row],[VALOR X UN (GD)]]-DETALLE_GD_1[[#This Row],[VALOR PPTO]])/DETALLE_GD_1[[#This Row],[VALOR PPTO]])</f>
        <v>-2.2328763662312879E-3</v>
      </c>
      <c r="AA436" s="2">
        <f>+DETALLE_GD_1[[#This Row],[VALOR PPTO]]*DETALLE_GD_1[[#This Row],[CANTIDAD RECIBIDA]]</f>
        <v>2433712.176</v>
      </c>
      <c r="AB4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36" s="3">
        <f>+DETALLE_GD_1[[#This Row],[CANTIDAD SOLICITADA]]-DETALLE_GD_1[[#This Row],[DEVOLUCIÓN]]</f>
        <v>252</v>
      </c>
      <c r="AD436" s="38" t="str">
        <f>+_xlfn.XLOOKUP(DETALLE_GD_1[[#This Row],[CODIGO]],PRODUCTOS[CODIGO],PRODUCTOS[DESC CORTA],"",0)</f>
        <v>OSB 9.5</v>
      </c>
      <c r="AE436"/>
      <c r="AH436"/>
    </row>
    <row r="437" spans="1:34" x14ac:dyDescent="0.25">
      <c r="A437" s="1">
        <v>46092</v>
      </c>
      <c r="B437" s="1">
        <v>46092</v>
      </c>
      <c r="C437" s="81" t="s">
        <v>169</v>
      </c>
      <c r="D437" s="38">
        <v>3</v>
      </c>
      <c r="E437" s="81" t="s">
        <v>169</v>
      </c>
      <c r="F437">
        <v>302010</v>
      </c>
      <c r="G437" s="81" t="s">
        <v>323</v>
      </c>
      <c r="H437" s="81" t="s">
        <v>20</v>
      </c>
      <c r="I437" s="3">
        <v>336</v>
      </c>
      <c r="J437" s="3">
        <v>168</v>
      </c>
      <c r="K437" s="26">
        <v>168</v>
      </c>
      <c r="L437" s="2">
        <v>6526.0536000000002</v>
      </c>
      <c r="M437" s="2">
        <v>2192754</v>
      </c>
      <c r="N437" s="2">
        <v>1096377</v>
      </c>
      <c r="O437" s="2">
        <v>6585.1337000000003</v>
      </c>
      <c r="P437" s="2">
        <v>59.080199999999998</v>
      </c>
      <c r="Q437" s="2">
        <v>9925.4691999999995</v>
      </c>
      <c r="R437" s="4">
        <v>8.9717499840119685E-3</v>
      </c>
      <c r="T437">
        <v>308748</v>
      </c>
      <c r="U437" s="2"/>
      <c r="V437">
        <v>5789</v>
      </c>
      <c r="W437" s="2">
        <v>6579000000</v>
      </c>
      <c r="X437" s="6">
        <v>1106302.4691599987</v>
      </c>
      <c r="Y437" s="38">
        <v>10010</v>
      </c>
      <c r="Z437" s="86">
        <f>+((DETALLE_GD_1[[#This Row],[VALOR X UN (GD)]]-DETALLE_GD_1[[#This Row],[VALOR PPTO]])/DETALLE_GD_1[[#This Row],[VALOR PPTO]])</f>
        <v>-8.9717388729708136E-3</v>
      </c>
      <c r="AA437" s="2">
        <f>+DETALLE_GD_1[[#This Row],[VALOR PPTO]]*DETALLE_GD_1[[#This Row],[CANTIDAD RECIBIDA]]</f>
        <v>1106302.4616</v>
      </c>
      <c r="AB4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37" s="3">
        <f>+DETALLE_GD_1[[#This Row],[CANTIDAD SOLICITADA]]-DETALLE_GD_1[[#This Row],[DEVOLUCIÓN]]</f>
        <v>168</v>
      </c>
      <c r="AD437" s="38" t="str">
        <f>+_xlfn.XLOOKUP(DETALLE_GD_1[[#This Row],[CODIGO]],PRODUCTOS[CODIGO],PRODUCTOS[DESC CORTA],"",0)</f>
        <v>PINO 2X6X320</v>
      </c>
      <c r="AE437"/>
      <c r="AH437"/>
    </row>
    <row r="438" spans="1:34" x14ac:dyDescent="0.25">
      <c r="A438" s="1">
        <v>46092</v>
      </c>
      <c r="B438" s="1">
        <v>46092</v>
      </c>
      <c r="C438" s="81" t="s">
        <v>169</v>
      </c>
      <c r="D438" s="38">
        <v>3</v>
      </c>
      <c r="E438" s="81" t="s">
        <v>169</v>
      </c>
      <c r="F438">
        <v>407011</v>
      </c>
      <c r="G438" s="81" t="s">
        <v>30</v>
      </c>
      <c r="H438" s="81" t="s">
        <v>31</v>
      </c>
      <c r="I438" s="3">
        <v>750</v>
      </c>
      <c r="J438" s="3"/>
      <c r="K438" s="26">
        <v>750</v>
      </c>
      <c r="L438" s="2">
        <v>473.17469999999997</v>
      </c>
      <c r="M438" s="2">
        <v>354881</v>
      </c>
      <c r="N438" s="2">
        <v>354881</v>
      </c>
      <c r="O438" s="2">
        <v>473.17520000000002</v>
      </c>
      <c r="P438" s="2">
        <v>5.9999999999999995E-4</v>
      </c>
      <c r="Q438" s="2">
        <v>0.43</v>
      </c>
      <c r="R438" s="4">
        <v>1.2116723040073862E-6</v>
      </c>
      <c r="T438">
        <v>308748</v>
      </c>
      <c r="U438" s="2"/>
      <c r="V438">
        <v>5789</v>
      </c>
      <c r="W438" s="2">
        <v>6579000000</v>
      </c>
      <c r="X438" s="6">
        <v>354881.42999999993</v>
      </c>
      <c r="Y438" s="38">
        <v>10010</v>
      </c>
      <c r="Z438" s="86">
        <f>+((DETALLE_GD_1[[#This Row],[VALOR X UN (GD)]]-DETALLE_GD_1[[#This Row],[VALOR PPTO]])/DETALLE_GD_1[[#This Row],[VALOR PPTO]])</f>
        <v>-1.0566910523734548E-6</v>
      </c>
      <c r="AA438" s="2">
        <f>+DETALLE_GD_1[[#This Row],[VALOR PPTO]]*DETALLE_GD_1[[#This Row],[CANTIDAD RECIBIDA]]</f>
        <v>354881.4</v>
      </c>
      <c r="AB4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38" s="3">
        <f>+DETALLE_GD_1[[#This Row],[CANTIDAD SOLICITADA]]-DETALLE_GD_1[[#This Row],[DEVOLUCIÓN]]</f>
        <v>750</v>
      </c>
      <c r="AD438" s="38" t="str">
        <f>+_xlfn.XLOOKUP(DETALLE_GD_1[[#This Row],[CODIGO]],PRODUCTOS[CODIGO],PRODUCTOS[DESC CORTA],"",0)</f>
        <v>TORNILLO SIMPSON 6"</v>
      </c>
      <c r="AE438"/>
      <c r="AH438"/>
    </row>
    <row r="439" spans="1:34" x14ac:dyDescent="0.25">
      <c r="A439" s="1">
        <v>46092</v>
      </c>
      <c r="B439" s="1">
        <v>46092</v>
      </c>
      <c r="C439" s="81" t="s">
        <v>169</v>
      </c>
      <c r="D439" s="38">
        <v>3</v>
      </c>
      <c r="E439" s="81" t="s">
        <v>169</v>
      </c>
      <c r="F439">
        <v>407423</v>
      </c>
      <c r="G439" s="81" t="s">
        <v>106</v>
      </c>
      <c r="H439" s="81" t="s">
        <v>31</v>
      </c>
      <c r="I439" s="3">
        <v>7000</v>
      </c>
      <c r="J439" s="3"/>
      <c r="K439" s="26">
        <v>7000</v>
      </c>
      <c r="L439" s="2">
        <v>3.3879999999999999</v>
      </c>
      <c r="M439" s="2">
        <v>23716</v>
      </c>
      <c r="N439" s="2">
        <v>23716</v>
      </c>
      <c r="O439" s="2">
        <v>106.6405</v>
      </c>
      <c r="P439" s="2">
        <v>103.2525</v>
      </c>
      <c r="Q439" s="2">
        <v>722767.51390000002</v>
      </c>
      <c r="R439" s="4">
        <v>0.96822970694084709</v>
      </c>
      <c r="T439">
        <v>308748</v>
      </c>
      <c r="U439" s="2"/>
      <c r="V439">
        <v>5789</v>
      </c>
      <c r="W439" s="2">
        <v>6579000000</v>
      </c>
      <c r="X439" s="6">
        <v>746483.51388648641</v>
      </c>
      <c r="Y439" s="38">
        <v>10010</v>
      </c>
      <c r="Z439" s="86">
        <f>+((DETALLE_GD_1[[#This Row],[VALOR X UN (GD)]]-DETALLE_GD_1[[#This Row],[VALOR PPTO]])/DETALLE_GD_1[[#This Row],[VALOR PPTO]])</f>
        <v>-0.96822970634983885</v>
      </c>
      <c r="AA439" s="2">
        <f>+DETALLE_GD_1[[#This Row],[VALOR PPTO]]*DETALLE_GD_1[[#This Row],[CANTIDAD RECIBIDA]]</f>
        <v>746483.5</v>
      </c>
      <c r="AB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9" s="3">
        <f>+DETALLE_GD_1[[#This Row],[CANTIDAD SOLICITADA]]-DETALLE_GD_1[[#This Row],[DEVOLUCIÓN]]</f>
        <v>7000</v>
      </c>
      <c r="AD439" s="38" t="str">
        <f>+_xlfn.XLOOKUP(DETALLE_GD_1[[#This Row],[CODIGO]],PRODUCTOS[CODIGO],PRODUCTOS[DESC CORTA],"",0)</f>
        <v>TORNILLO CRS 6X1 5/8</v>
      </c>
      <c r="AE439"/>
      <c r="AH439"/>
    </row>
    <row r="440" spans="1:34" x14ac:dyDescent="0.25">
      <c r="A440" s="1">
        <v>46092</v>
      </c>
      <c r="B440" s="1">
        <v>46092</v>
      </c>
      <c r="C440" s="81" t="s">
        <v>169</v>
      </c>
      <c r="D440" s="38">
        <v>3</v>
      </c>
      <c r="E440" s="81" t="s">
        <v>169</v>
      </c>
      <c r="F440">
        <v>304049</v>
      </c>
      <c r="G440" s="81" t="s">
        <v>318</v>
      </c>
      <c r="H440" s="81" t="s">
        <v>18</v>
      </c>
      <c r="I440" s="3">
        <v>65</v>
      </c>
      <c r="J440" s="3"/>
      <c r="K440" s="26">
        <v>65</v>
      </c>
      <c r="L440" s="2">
        <v>14982</v>
      </c>
      <c r="M440" s="2">
        <v>973830</v>
      </c>
      <c r="N440" s="2">
        <v>973830</v>
      </c>
      <c r="O440" s="2">
        <v>14982</v>
      </c>
      <c r="P440" s="2">
        <v>0</v>
      </c>
      <c r="Q440" s="2">
        <v>0</v>
      </c>
      <c r="R440" s="4">
        <v>-4.8564661688580003E-16</v>
      </c>
      <c r="T440">
        <v>308748</v>
      </c>
      <c r="U440" s="2"/>
      <c r="V440">
        <v>5789</v>
      </c>
      <c r="W440" s="2">
        <v>6579000000</v>
      </c>
      <c r="X440" s="6">
        <v>973829.99999999953</v>
      </c>
      <c r="Y440" s="38">
        <v>10010</v>
      </c>
      <c r="Z440" s="86">
        <f>+((DETALLE_GD_1[[#This Row],[VALOR X UN (GD)]]-DETALLE_GD_1[[#This Row],[VALOR PPTO]])/DETALLE_GD_1[[#This Row],[VALOR PPTO]])</f>
        <v>0</v>
      </c>
      <c r="AA440" s="2">
        <f>+DETALLE_GD_1[[#This Row],[VALOR PPTO]]*DETALLE_GD_1[[#This Row],[CANTIDAD RECIBIDA]]</f>
        <v>973830</v>
      </c>
      <c r="AB4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40" s="3">
        <f>+DETALLE_GD_1[[#This Row],[CANTIDAD SOLICITADA]]-DETALLE_GD_1[[#This Row],[DEVOLUCIÓN]]</f>
        <v>65</v>
      </c>
      <c r="AD440" s="38" t="str">
        <f>+_xlfn.XLOOKUP(DETALLE_GD_1[[#This Row],[CODIGO]],PRODUCTOS[CODIGO],PRODUCTOS[DESC CORTA],"",0)</f>
        <v>TERCIADO FENOLICO</v>
      </c>
      <c r="AE440"/>
      <c r="AH440"/>
    </row>
    <row r="441" spans="1:34" x14ac:dyDescent="0.25">
      <c r="A441" s="1">
        <v>46093</v>
      </c>
      <c r="B441" s="1">
        <v>46093</v>
      </c>
      <c r="C441" s="81" t="s">
        <v>782</v>
      </c>
      <c r="D441" s="38">
        <v>3</v>
      </c>
      <c r="E441" s="81" t="s">
        <v>782</v>
      </c>
      <c r="F441">
        <v>1802164</v>
      </c>
      <c r="G441" s="81" t="s">
        <v>306</v>
      </c>
      <c r="H441" s="81" t="s">
        <v>31</v>
      </c>
      <c r="I441" s="3">
        <v>1</v>
      </c>
      <c r="J441" s="3"/>
      <c r="K441" s="26">
        <v>1</v>
      </c>
      <c r="L441" s="2">
        <v>138041</v>
      </c>
      <c r="M441" s="2">
        <v>138041</v>
      </c>
      <c r="N441" s="2">
        <v>138041</v>
      </c>
      <c r="O441" s="2">
        <v>138041</v>
      </c>
      <c r="P441" s="2">
        <v>0</v>
      </c>
      <c r="Q441" s="2">
        <v>0</v>
      </c>
      <c r="R441" s="4">
        <v>0</v>
      </c>
      <c r="T441">
        <v>308971</v>
      </c>
      <c r="U441" s="2">
        <v>138041</v>
      </c>
      <c r="V441">
        <v>5789</v>
      </c>
      <c r="W441" s="2">
        <v>6579000000</v>
      </c>
      <c r="X441" s="6">
        <v>138041</v>
      </c>
      <c r="Y441" s="38">
        <v>10010</v>
      </c>
      <c r="Z441" s="86">
        <f>+((DETALLE_GD_1[[#This Row],[VALOR X UN (GD)]]-DETALLE_GD_1[[#This Row],[VALOR PPTO]])/DETALLE_GD_1[[#This Row],[VALOR PPTO]])</f>
        <v>0</v>
      </c>
      <c r="AA441" s="2">
        <f>+DETALLE_GD_1[[#This Row],[VALOR PPTO]]*DETALLE_GD_1[[#This Row],[CANTIDAD RECIBIDA]]</f>
        <v>138041</v>
      </c>
      <c r="AB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1" s="3">
        <f>+DETALLE_GD_1[[#This Row],[CANTIDAD SOLICITADA]]-DETALLE_GD_1[[#This Row],[DEVOLUCIÓN]]</f>
        <v>1</v>
      </c>
      <c r="AD441" s="38">
        <f>+_xlfn.XLOOKUP(DETALLE_GD_1[[#This Row],[CODIGO]],PRODUCTOS[CODIGO],PRODUCTOS[DESC CORTA],"",0)</f>
        <v>0</v>
      </c>
      <c r="AE441"/>
      <c r="AH441"/>
    </row>
    <row r="442" spans="1:34" x14ac:dyDescent="0.25">
      <c r="A442" s="1">
        <v>46094</v>
      </c>
      <c r="B442" s="1">
        <v>46094</v>
      </c>
      <c r="C442" s="81" t="s">
        <v>169</v>
      </c>
      <c r="D442" s="38">
        <v>3</v>
      </c>
      <c r="E442" s="81" t="s">
        <v>169</v>
      </c>
      <c r="F442">
        <v>617057</v>
      </c>
      <c r="G442" s="81" t="s">
        <v>134</v>
      </c>
      <c r="H442" s="81" t="s">
        <v>31</v>
      </c>
      <c r="I442" s="3">
        <v>10</v>
      </c>
      <c r="J442" s="3"/>
      <c r="K442" s="26">
        <v>10</v>
      </c>
      <c r="L442" s="2">
        <v>2042.1</v>
      </c>
      <c r="M442" s="2">
        <v>20421</v>
      </c>
      <c r="N442" s="2">
        <v>20421</v>
      </c>
      <c r="O442" s="2">
        <v>2042.1197</v>
      </c>
      <c r="P442" s="2">
        <v>1.9699999999999999E-2</v>
      </c>
      <c r="Q442" s="2">
        <v>0.1971</v>
      </c>
      <c r="R442" s="4">
        <v>9.6497771125479603E-6</v>
      </c>
      <c r="T442">
        <v>309046</v>
      </c>
      <c r="U442" s="2">
        <v>2855219</v>
      </c>
      <c r="V442">
        <v>5789</v>
      </c>
      <c r="W442" s="2">
        <v>6579000000</v>
      </c>
      <c r="X442" s="6">
        <v>20421.197059999999</v>
      </c>
      <c r="Y442" s="38">
        <v>10010</v>
      </c>
      <c r="Z442" s="86">
        <f>+((DETALLE_GD_1[[#This Row],[VALOR X UN (GD)]]-DETALLE_GD_1[[#This Row],[VALOR PPTO]])/DETALLE_GD_1[[#This Row],[VALOR PPTO]])</f>
        <v>-9.6468390173490395E-6</v>
      </c>
      <c r="AA442" s="2">
        <f>+DETALLE_GD_1[[#This Row],[VALOR PPTO]]*DETALLE_GD_1[[#This Row],[CANTIDAD RECIBIDA]]</f>
        <v>20421.197</v>
      </c>
      <c r="AB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2" s="3">
        <f>+DETALLE_GD_1[[#This Row],[CANTIDAD SOLICITADA]]-DETALLE_GD_1[[#This Row],[DEVOLUCIÓN]]</f>
        <v>10</v>
      </c>
      <c r="AD442" s="38" t="str">
        <f>+_xlfn.XLOOKUP(DETALLE_GD_1[[#This Row],[CODIGO]],PRODUCTOS[CODIGO],PRODUCTOS[DESC CORTA],"",0)</f>
        <v>BROCHA 5/8 X4</v>
      </c>
      <c r="AE442"/>
      <c r="AH442"/>
    </row>
    <row r="443" spans="1:34" x14ac:dyDescent="0.25">
      <c r="A443" s="1">
        <v>46094</v>
      </c>
      <c r="B443" s="1">
        <v>46094</v>
      </c>
      <c r="C443" s="81" t="s">
        <v>169</v>
      </c>
      <c r="D443" s="38">
        <v>3</v>
      </c>
      <c r="E443" s="81" t="s">
        <v>169</v>
      </c>
      <c r="F443">
        <v>407185</v>
      </c>
      <c r="G443" s="81" t="s">
        <v>43</v>
      </c>
      <c r="H443" s="81" t="s">
        <v>31</v>
      </c>
      <c r="I443" s="3">
        <v>3000</v>
      </c>
      <c r="J443" s="3"/>
      <c r="K443" s="26">
        <v>3000</v>
      </c>
      <c r="L443" s="2">
        <v>6.8783000000000003</v>
      </c>
      <c r="M443" s="2">
        <v>20635</v>
      </c>
      <c r="N443" s="2">
        <v>20635</v>
      </c>
      <c r="O443" s="2">
        <v>6.8783000000000003</v>
      </c>
      <c r="P443" s="2">
        <v>0</v>
      </c>
      <c r="Q443" s="2">
        <v>-0.04</v>
      </c>
      <c r="R443" s="4">
        <v>-1.9384578403639994E-6</v>
      </c>
      <c r="T443">
        <v>309046</v>
      </c>
      <c r="U443" s="2"/>
      <c r="V443">
        <v>5789</v>
      </c>
      <c r="W443" s="2">
        <v>6579000000</v>
      </c>
      <c r="X443" s="6">
        <v>20634.960000000003</v>
      </c>
      <c r="Y443" s="38">
        <v>10010</v>
      </c>
      <c r="Z443" s="86">
        <f>+((DETALLE_GD_1[[#This Row],[VALOR X UN (GD)]]-DETALLE_GD_1[[#This Row],[VALOR PPTO]])/DETALLE_GD_1[[#This Row],[VALOR PPTO]])</f>
        <v>0</v>
      </c>
      <c r="AA443" s="2">
        <f>+DETALLE_GD_1[[#This Row],[VALOR PPTO]]*DETALLE_GD_1[[#This Row],[CANTIDAD RECIBIDA]]</f>
        <v>20634.900000000001</v>
      </c>
      <c r="AB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3" s="3">
        <f>+DETALLE_GD_1[[#This Row],[CANTIDAD SOLICITADA]]-DETALLE_GD_1[[#This Row],[DEVOLUCIÓN]]</f>
        <v>3000</v>
      </c>
      <c r="AD443" s="38">
        <f>+_xlfn.XLOOKUP(DETALLE_GD_1[[#This Row],[CODIGO]],PRODUCTOS[CODIGO],PRODUCTOS[DESC CORTA],"",0)</f>
        <v>0</v>
      </c>
      <c r="AE443"/>
      <c r="AH443"/>
    </row>
    <row r="444" spans="1:34" x14ac:dyDescent="0.25">
      <c r="A444" s="1">
        <v>46094</v>
      </c>
      <c r="B444" s="1">
        <v>46094</v>
      </c>
      <c r="C444" s="81" t="s">
        <v>169</v>
      </c>
      <c r="D444" s="38">
        <v>3</v>
      </c>
      <c r="E444" s="81" t="s">
        <v>169</v>
      </c>
      <c r="F444">
        <v>407423</v>
      </c>
      <c r="G444" s="81" t="s">
        <v>106</v>
      </c>
      <c r="H444" s="81" t="s">
        <v>31</v>
      </c>
      <c r="I444" s="3">
        <v>10000</v>
      </c>
      <c r="J444" s="3"/>
      <c r="K444" s="26">
        <v>10000</v>
      </c>
      <c r="L444" s="2">
        <v>3.3879999999999999</v>
      </c>
      <c r="M444" s="2">
        <v>33880</v>
      </c>
      <c r="N444" s="2">
        <v>33880</v>
      </c>
      <c r="O444" s="2">
        <v>106.6405</v>
      </c>
      <c r="P444" s="2">
        <v>103.2525</v>
      </c>
      <c r="Q444" s="2">
        <v>1032525.0198</v>
      </c>
      <c r="R444" s="4">
        <v>0.96822970694084709</v>
      </c>
      <c r="T444">
        <v>309046</v>
      </c>
      <c r="U444" s="2"/>
      <c r="V444">
        <v>5789</v>
      </c>
      <c r="W444" s="2">
        <v>6579000000</v>
      </c>
      <c r="X444" s="6">
        <v>1066405.0198378379</v>
      </c>
      <c r="Y444" s="38">
        <v>10010</v>
      </c>
      <c r="Z444" s="86">
        <f>+((DETALLE_GD_1[[#This Row],[VALOR X UN (GD)]]-DETALLE_GD_1[[#This Row],[VALOR PPTO]])/DETALLE_GD_1[[#This Row],[VALOR PPTO]])</f>
        <v>-0.96822970634983885</v>
      </c>
      <c r="AA444" s="2">
        <f>+DETALLE_GD_1[[#This Row],[VALOR PPTO]]*DETALLE_GD_1[[#This Row],[CANTIDAD RECIBIDA]]</f>
        <v>1066405</v>
      </c>
      <c r="AB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4" s="3">
        <f>+DETALLE_GD_1[[#This Row],[CANTIDAD SOLICITADA]]-DETALLE_GD_1[[#This Row],[DEVOLUCIÓN]]</f>
        <v>10000</v>
      </c>
      <c r="AD444" s="38" t="str">
        <f>+_xlfn.XLOOKUP(DETALLE_GD_1[[#This Row],[CODIGO]],PRODUCTOS[CODIGO],PRODUCTOS[DESC CORTA],"",0)</f>
        <v>TORNILLO CRS 6X1 5/8</v>
      </c>
      <c r="AE444"/>
      <c r="AH444"/>
    </row>
    <row r="445" spans="1:34" x14ac:dyDescent="0.25">
      <c r="A445" s="1">
        <v>46094</v>
      </c>
      <c r="B445" s="1">
        <v>46094</v>
      </c>
      <c r="C445" s="81" t="s">
        <v>169</v>
      </c>
      <c r="D445" s="38">
        <v>3</v>
      </c>
      <c r="E445" s="81" t="s">
        <v>169</v>
      </c>
      <c r="F445">
        <v>2302017</v>
      </c>
      <c r="G445" s="81" t="s">
        <v>156</v>
      </c>
      <c r="H445" s="81" t="s">
        <v>25</v>
      </c>
      <c r="I445" s="3">
        <v>1</v>
      </c>
      <c r="J445" s="3"/>
      <c r="K445" s="26">
        <v>1</v>
      </c>
      <c r="L445" s="2">
        <v>81198</v>
      </c>
      <c r="M445" s="2">
        <v>81198</v>
      </c>
      <c r="N445" s="2">
        <v>81198</v>
      </c>
      <c r="O445" s="2">
        <v>81197.881599999993</v>
      </c>
      <c r="P445" s="2">
        <v>-0.11840000000000001</v>
      </c>
      <c r="Q445" s="2">
        <v>-0.11840000000000001</v>
      </c>
      <c r="R445" s="4">
        <v>-1.4584247485056449E-6</v>
      </c>
      <c r="T445">
        <v>309046</v>
      </c>
      <c r="U445" s="2"/>
      <c r="V445">
        <v>5789</v>
      </c>
      <c r="W445" s="2">
        <v>6579000000</v>
      </c>
      <c r="X445" s="6">
        <v>81197.881578999979</v>
      </c>
      <c r="Y445" s="38">
        <v>10010</v>
      </c>
      <c r="Z445" s="86">
        <f>+((DETALLE_GD_1[[#This Row],[VALOR X UN (GD)]]-DETALLE_GD_1[[#This Row],[VALOR PPTO]])/DETALLE_GD_1[[#This Row],[VALOR PPTO]])</f>
        <v>1.4581661205143925E-6</v>
      </c>
      <c r="AA445" s="2">
        <f>+DETALLE_GD_1[[#This Row],[VALOR PPTO]]*DETALLE_GD_1[[#This Row],[CANTIDAD RECIBIDA]]</f>
        <v>81197.881599999993</v>
      </c>
      <c r="AB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5" s="3">
        <f>+DETALLE_GD_1[[#This Row],[CANTIDAD SOLICITADA]]-DETALLE_GD_1[[#This Row],[DEVOLUCIÓN]]</f>
        <v>1</v>
      </c>
      <c r="AD445" s="38">
        <f>+_xlfn.XLOOKUP(DETALLE_GD_1[[#This Row],[CODIGO]],PRODUCTOS[CODIGO],PRODUCTOS[DESC CORTA],"",0)</f>
        <v>0</v>
      </c>
      <c r="AE445"/>
      <c r="AH445"/>
    </row>
    <row r="446" spans="1:34" x14ac:dyDescent="0.25">
      <c r="A446" s="1">
        <v>46094</v>
      </c>
      <c r="B446" s="1">
        <v>46094</v>
      </c>
      <c r="C446" s="81" t="s">
        <v>169</v>
      </c>
      <c r="D446" s="38">
        <v>3</v>
      </c>
      <c r="E446" s="81" t="s">
        <v>169</v>
      </c>
      <c r="F446">
        <v>907031</v>
      </c>
      <c r="G446" s="81" t="s">
        <v>256</v>
      </c>
      <c r="H446" s="81" t="s">
        <v>47</v>
      </c>
      <c r="I446" s="3">
        <v>2</v>
      </c>
      <c r="J446" s="3"/>
      <c r="K446" s="26">
        <v>2</v>
      </c>
      <c r="L446" s="2">
        <v>154915.5</v>
      </c>
      <c r="M446" s="2">
        <v>309831</v>
      </c>
      <c r="N446" s="2">
        <v>309831</v>
      </c>
      <c r="O446" s="2">
        <v>156269.1667</v>
      </c>
      <c r="P446" s="2">
        <v>1353.6667</v>
      </c>
      <c r="Q446" s="2">
        <v>2707.3332999999998</v>
      </c>
      <c r="R446" s="4">
        <v>8.662404080547902E-3</v>
      </c>
      <c r="T446">
        <v>309046</v>
      </c>
      <c r="U446" s="2"/>
      <c r="V446">
        <v>5789</v>
      </c>
      <c r="W446" s="2">
        <v>6579000000</v>
      </c>
      <c r="X446" s="6">
        <v>312538.33333400008</v>
      </c>
      <c r="Y446" s="38">
        <v>10010</v>
      </c>
      <c r="Z446" s="86">
        <f>+((DETALLE_GD_1[[#This Row],[VALOR X UN (GD)]]-DETALLE_GD_1[[#This Row],[VALOR PPTO]])/DETALLE_GD_1[[#This Row],[VALOR PPTO]])</f>
        <v>-8.6624042898924697E-3</v>
      </c>
      <c r="AA446" s="2">
        <f>+DETALLE_GD_1[[#This Row],[VALOR PPTO]]*DETALLE_GD_1[[#This Row],[CANTIDAD RECIBIDA]]</f>
        <v>312538.3334</v>
      </c>
      <c r="AB4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46" s="3">
        <f>+DETALLE_GD_1[[#This Row],[CANTIDAD SOLICITADA]]-DETALLE_GD_1[[#This Row],[DEVOLUCIÓN]]</f>
        <v>2</v>
      </c>
      <c r="AD446" s="38" t="str">
        <f>+_xlfn.XLOOKUP(DETALLE_GD_1[[#This Row],[CODIGO]],PRODUCTOS[CODIGO],PRODUCTOS[DESC CORTA],"",0)</f>
        <v>MEMBRANA PVC</v>
      </c>
      <c r="AE446"/>
      <c r="AH446"/>
    </row>
    <row r="447" spans="1:34" x14ac:dyDescent="0.25">
      <c r="A447" s="1">
        <v>46094</v>
      </c>
      <c r="B447" s="1">
        <v>46094</v>
      </c>
      <c r="C447" s="81" t="s">
        <v>169</v>
      </c>
      <c r="D447" s="38">
        <v>3</v>
      </c>
      <c r="E447" s="81" t="s">
        <v>169</v>
      </c>
      <c r="F447">
        <v>1901008</v>
      </c>
      <c r="G447" s="81" t="s">
        <v>278</v>
      </c>
      <c r="H447" s="81" t="s">
        <v>26</v>
      </c>
      <c r="I447" s="3">
        <v>283</v>
      </c>
      <c r="J447" s="3"/>
      <c r="K447" s="26">
        <v>283</v>
      </c>
      <c r="L447" s="2">
        <v>2091.7420000000002</v>
      </c>
      <c r="M447" s="2">
        <v>591963</v>
      </c>
      <c r="N447" s="2">
        <v>591963</v>
      </c>
      <c r="O447" s="2">
        <v>2112.7957999999999</v>
      </c>
      <c r="P447" s="2">
        <v>21.053699999999999</v>
      </c>
      <c r="Q447" s="2">
        <v>5958.2055</v>
      </c>
      <c r="R447" s="4">
        <v>9.9648672812099204E-3</v>
      </c>
      <c r="T447">
        <v>309046</v>
      </c>
      <c r="U447" s="2"/>
      <c r="V447">
        <v>5789</v>
      </c>
      <c r="W447" s="2">
        <v>6579000000</v>
      </c>
      <c r="X447" s="6">
        <v>597921.20545700006</v>
      </c>
      <c r="Y447" s="38">
        <v>10010</v>
      </c>
      <c r="Z447" s="86">
        <f>+((DETALLE_GD_1[[#This Row],[VALOR X UN (GD)]]-DETALLE_GD_1[[#This Row],[VALOR PPTO]])/DETALLE_GD_1[[#This Row],[VALOR PPTO]])</f>
        <v>-9.9649005360573344E-3</v>
      </c>
      <c r="AA447" s="2">
        <f>+DETALLE_GD_1[[#This Row],[VALOR PPTO]]*DETALLE_GD_1[[#This Row],[CANTIDAD RECIBIDA]]</f>
        <v>597921.21139999991</v>
      </c>
      <c r="AB4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47" s="3">
        <f>+DETALLE_GD_1[[#This Row],[CANTIDAD SOLICITADA]]-DETALLE_GD_1[[#This Row],[DEVOLUCIÓN]]</f>
        <v>283</v>
      </c>
      <c r="AD447" s="38" t="str">
        <f>+_xlfn.XLOOKUP(DETALLE_GD_1[[#This Row],[CODIGO]],PRODUCTOS[CODIGO],PRODUCTOS[DESC CORTA],"",0)</f>
        <v>AISLAN GLASS 90MM</v>
      </c>
      <c r="AE447"/>
      <c r="AH447"/>
    </row>
    <row r="448" spans="1:34" x14ac:dyDescent="0.25">
      <c r="A448" s="1">
        <v>46094</v>
      </c>
      <c r="B448" s="1">
        <v>46094</v>
      </c>
      <c r="C448" s="81" t="s">
        <v>169</v>
      </c>
      <c r="D448" s="38">
        <v>3</v>
      </c>
      <c r="E448" s="81" t="s">
        <v>169</v>
      </c>
      <c r="F448">
        <v>1902003</v>
      </c>
      <c r="G448" s="81" t="s">
        <v>155</v>
      </c>
      <c r="H448" s="81" t="s">
        <v>47</v>
      </c>
      <c r="I448" s="3">
        <v>1</v>
      </c>
      <c r="J448" s="3"/>
      <c r="K448" s="26">
        <v>1</v>
      </c>
      <c r="L448" s="2">
        <v>150691</v>
      </c>
      <c r="M448" s="2">
        <v>150691</v>
      </c>
      <c r="N448" s="2">
        <v>150691</v>
      </c>
      <c r="O448" s="2">
        <v>150703.9755</v>
      </c>
      <c r="P448" s="2">
        <v>12.9755</v>
      </c>
      <c r="Q448" s="2">
        <v>12.9755</v>
      </c>
      <c r="R448" s="4">
        <v>8.609898949481783E-5</v>
      </c>
      <c r="T448">
        <v>309046</v>
      </c>
      <c r="U448" s="2"/>
      <c r="V448">
        <v>5789</v>
      </c>
      <c r="W448" s="2">
        <v>6579000000</v>
      </c>
      <c r="X448" s="6">
        <v>150703.97545999996</v>
      </c>
      <c r="Y448" s="38">
        <v>10010</v>
      </c>
      <c r="Z448" s="86">
        <f>+((DETALLE_GD_1[[#This Row],[VALOR X UN (GD)]]-DETALLE_GD_1[[#This Row],[VALOR PPTO]])/DETALLE_GD_1[[#This Row],[VALOR PPTO]])</f>
        <v>-8.6099254893249089E-5</v>
      </c>
      <c r="AA448" s="2">
        <f>+DETALLE_GD_1[[#This Row],[VALOR PPTO]]*DETALLE_GD_1[[#This Row],[CANTIDAD RECIBIDA]]</f>
        <v>150703.9755</v>
      </c>
      <c r="AB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8" s="3">
        <f>+DETALLE_GD_1[[#This Row],[CANTIDAD SOLICITADA]]-DETALLE_GD_1[[#This Row],[DEVOLUCIÓN]]</f>
        <v>1</v>
      </c>
      <c r="AD448" s="38">
        <f>+_xlfn.XLOOKUP(DETALLE_GD_1[[#This Row],[CODIGO]],PRODUCTOS[CODIGO],PRODUCTOS[DESC CORTA],"",0)</f>
        <v>0</v>
      </c>
      <c r="AE448"/>
      <c r="AH448"/>
    </row>
    <row r="449" spans="1:34" x14ac:dyDescent="0.25">
      <c r="A449" s="1">
        <v>46094</v>
      </c>
      <c r="B449" s="1">
        <v>46094</v>
      </c>
      <c r="C449" s="81" t="s">
        <v>169</v>
      </c>
      <c r="D449" s="38">
        <v>3</v>
      </c>
      <c r="E449" s="81" t="s">
        <v>169</v>
      </c>
      <c r="F449">
        <v>609008</v>
      </c>
      <c r="G449" s="81" t="s">
        <v>57</v>
      </c>
      <c r="H449" s="81" t="s">
        <v>58</v>
      </c>
      <c r="I449" s="3">
        <v>1</v>
      </c>
      <c r="J449" s="3"/>
      <c r="K449" s="26">
        <v>1</v>
      </c>
      <c r="L449" s="2">
        <v>2395</v>
      </c>
      <c r="M449" s="2">
        <v>2395</v>
      </c>
      <c r="N449" s="2">
        <v>2395</v>
      </c>
      <c r="O449" s="2">
        <v>2130.7573000000002</v>
      </c>
      <c r="P449" s="2">
        <v>-264.24270000000001</v>
      </c>
      <c r="Q449" s="2">
        <v>-264.24270000000001</v>
      </c>
      <c r="R449" s="4">
        <v>-0.12401350860553896</v>
      </c>
      <c r="T449">
        <v>309046</v>
      </c>
      <c r="U449" s="2"/>
      <c r="V449">
        <v>5789</v>
      </c>
      <c r="W449" s="2">
        <v>6579000000</v>
      </c>
      <c r="X449" s="6">
        <v>2130.75731</v>
      </c>
      <c r="Y449" s="38">
        <v>10010</v>
      </c>
      <c r="Z449" s="86">
        <f>+((DETALLE_GD_1[[#This Row],[VALOR X UN (GD)]]-DETALLE_GD_1[[#This Row],[VALOR PPTO]])/DETALLE_GD_1[[#This Row],[VALOR PPTO]])</f>
        <v>0.12401351388072201</v>
      </c>
      <c r="AA449" s="2">
        <f>+DETALLE_GD_1[[#This Row],[VALOR PPTO]]*DETALLE_GD_1[[#This Row],[CANTIDAD RECIBIDA]]</f>
        <v>2130.7573000000002</v>
      </c>
      <c r="AB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9" s="3">
        <f>+DETALLE_GD_1[[#This Row],[CANTIDAD SOLICITADA]]-DETALLE_GD_1[[#This Row],[DEVOLUCIÓN]]</f>
        <v>1</v>
      </c>
      <c r="AD449" s="38" t="str">
        <f>+_xlfn.XLOOKUP(DETALLE_GD_1[[#This Row],[CODIGO]],PRODUCTOS[CODIGO],PRODUCTOS[DESC CORTA],"",0)</f>
        <v>DUCO</v>
      </c>
      <c r="AE449"/>
      <c r="AH449"/>
    </row>
    <row r="450" spans="1:34" x14ac:dyDescent="0.25">
      <c r="A450" s="1">
        <v>46094</v>
      </c>
      <c r="B450" s="1">
        <v>46094</v>
      </c>
      <c r="C450" s="81" t="s">
        <v>169</v>
      </c>
      <c r="D450" s="38">
        <v>3</v>
      </c>
      <c r="E450" s="81" t="s">
        <v>169</v>
      </c>
      <c r="F450">
        <v>1610023</v>
      </c>
      <c r="G450" s="81" t="s">
        <v>351</v>
      </c>
      <c r="H450" s="81" t="s">
        <v>28</v>
      </c>
      <c r="I450" s="3">
        <v>1</v>
      </c>
      <c r="J450" s="3"/>
      <c r="K450" s="26">
        <v>1</v>
      </c>
      <c r="L450" s="2">
        <v>2278</v>
      </c>
      <c r="M450" s="2">
        <v>2278</v>
      </c>
      <c r="N450" s="2">
        <v>2278</v>
      </c>
      <c r="O450" s="2">
        <v>2109.0585000000001</v>
      </c>
      <c r="P450" s="2">
        <v>-168.94149999999999</v>
      </c>
      <c r="Q450" s="2">
        <v>-168.94149999999999</v>
      </c>
      <c r="R450" s="4">
        <v>-8.0102782656660737E-2</v>
      </c>
      <c r="T450">
        <v>309046</v>
      </c>
      <c r="U450" s="2"/>
      <c r="V450">
        <v>5789</v>
      </c>
      <c r="W450" s="2">
        <v>6579000000</v>
      </c>
      <c r="X450" s="6">
        <v>2109.0585420000002</v>
      </c>
      <c r="Y450" s="38">
        <v>10010</v>
      </c>
      <c r="Z450" s="86">
        <f>+((DETALLE_GD_1[[#This Row],[VALOR X UN (GD)]]-DETALLE_GD_1[[#This Row],[VALOR PPTO]])/DETALLE_GD_1[[#This Row],[VALOR PPTO]])</f>
        <v>8.0102804165934655E-2</v>
      </c>
      <c r="AA450" s="2">
        <f>+DETALLE_GD_1[[#This Row],[VALOR PPTO]]*DETALLE_GD_1[[#This Row],[CANTIDAD RECIBIDA]]</f>
        <v>2109.0585000000001</v>
      </c>
      <c r="AB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0" s="3">
        <f>+DETALLE_GD_1[[#This Row],[CANTIDAD SOLICITADA]]-DETALLE_GD_1[[#This Row],[DEVOLUCIÓN]]</f>
        <v>1</v>
      </c>
      <c r="AD450" s="38" t="str">
        <f>+_xlfn.XLOOKUP(DETALLE_GD_1[[#This Row],[CODIGO]],PRODUCTOS[CODIGO],PRODUCTOS[DESC CORTA],"",0)</f>
        <v>TRAPOS DE ASEO</v>
      </c>
      <c r="AE450"/>
      <c r="AH450"/>
    </row>
    <row r="451" spans="1:34" x14ac:dyDescent="0.25">
      <c r="A451" s="1">
        <v>46094</v>
      </c>
      <c r="B451" s="1">
        <v>46094</v>
      </c>
      <c r="C451" s="81" t="s">
        <v>169</v>
      </c>
      <c r="D451" s="38">
        <v>3</v>
      </c>
      <c r="E451" s="81" t="s">
        <v>169</v>
      </c>
      <c r="F451">
        <v>701096</v>
      </c>
      <c r="G451" s="81" t="s">
        <v>204</v>
      </c>
      <c r="H451" s="81" t="s">
        <v>18</v>
      </c>
      <c r="I451" s="3">
        <v>70</v>
      </c>
      <c r="J451" s="3"/>
      <c r="K451" s="26">
        <v>70</v>
      </c>
      <c r="L451" s="2">
        <v>16542.171399999999</v>
      </c>
      <c r="M451" s="2">
        <v>1157952</v>
      </c>
      <c r="N451" s="2">
        <v>1157952</v>
      </c>
      <c r="O451" s="2">
        <v>16019.885700000001</v>
      </c>
      <c r="P451" s="2">
        <v>-522.28570000000002</v>
      </c>
      <c r="Q451" s="2">
        <v>-36560.002</v>
      </c>
      <c r="R451" s="4">
        <v>-3.260233898300921E-2</v>
      </c>
      <c r="T451">
        <v>309046</v>
      </c>
      <c r="U451" s="2"/>
      <c r="V451">
        <v>5789</v>
      </c>
      <c r="W451" s="2">
        <v>6579000000</v>
      </c>
      <c r="X451" s="6">
        <v>1121391.9979500002</v>
      </c>
      <c r="Y451" s="38">
        <v>10010</v>
      </c>
      <c r="Z451" s="86">
        <f>+((DETALLE_GD_1[[#This Row],[VALOR X UN (GD)]]-DETALLE_GD_1[[#This Row],[VALOR PPTO]])/DETALLE_GD_1[[#This Row],[VALOR PPTO]])</f>
        <v>3.2602336232648556E-2</v>
      </c>
      <c r="AA451" s="2">
        <f>+DETALLE_GD_1[[#This Row],[VALOR PPTO]]*DETALLE_GD_1[[#This Row],[CANTIDAD RECIBIDA]]</f>
        <v>1121391.9990000001</v>
      </c>
      <c r="AB4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51" s="3">
        <f>+DETALLE_GD_1[[#This Row],[CANTIDAD SOLICITADA]]-DETALLE_GD_1[[#This Row],[DEVOLUCIÓN]]</f>
        <v>70</v>
      </c>
      <c r="AD451" s="38" t="str">
        <f>+_xlfn.XLOOKUP(DETALLE_GD_1[[#This Row],[CODIGO]],PRODUCTOS[CODIGO],PRODUCTOS[DESC CORTA],"",0)</f>
        <v>VOCANITA EMPAPELADA MURO</v>
      </c>
      <c r="AE451"/>
      <c r="AH451"/>
    </row>
    <row r="452" spans="1:34" x14ac:dyDescent="0.25">
      <c r="A452" s="1">
        <v>46094</v>
      </c>
      <c r="B452" s="1">
        <v>46094</v>
      </c>
      <c r="C452" s="81" t="s">
        <v>169</v>
      </c>
      <c r="D452" s="38">
        <v>3</v>
      </c>
      <c r="E452" s="81" t="s">
        <v>169</v>
      </c>
      <c r="F452">
        <v>1901038</v>
      </c>
      <c r="G452" s="81" t="s">
        <v>39</v>
      </c>
      <c r="H452" s="81" t="s">
        <v>26</v>
      </c>
      <c r="I452" s="3">
        <v>108</v>
      </c>
      <c r="J452" s="3"/>
      <c r="K452" s="26">
        <v>108</v>
      </c>
      <c r="L452" s="2">
        <v>4481.25</v>
      </c>
      <c r="M452" s="2">
        <v>483975</v>
      </c>
      <c r="N452" s="2">
        <v>483975</v>
      </c>
      <c r="O452" s="2">
        <v>4197.4179000000004</v>
      </c>
      <c r="P452" s="2">
        <v>-283.83210000000003</v>
      </c>
      <c r="Q452" s="2">
        <v>-30653.869500000001</v>
      </c>
      <c r="R452" s="4">
        <v>-6.7620649993062443E-2</v>
      </c>
      <c r="T452">
        <v>309046</v>
      </c>
      <c r="U452" s="2"/>
      <c r="V452">
        <v>5789</v>
      </c>
      <c r="W452" s="2">
        <v>6579000000</v>
      </c>
      <c r="X452" s="6">
        <v>453321.13050000009</v>
      </c>
      <c r="Y452" s="38">
        <v>10010</v>
      </c>
      <c r="Z452" s="86">
        <f>+((DETALLE_GD_1[[#This Row],[VALOR X UN (GD)]]-DETALLE_GD_1[[#This Row],[VALOR PPTO]])/DETALLE_GD_1[[#This Row],[VALOR PPTO]])</f>
        <v>6.7620643634268493E-2</v>
      </c>
      <c r="AA452" s="2">
        <f>+DETALLE_GD_1[[#This Row],[VALOR PPTO]]*DETALLE_GD_1[[#This Row],[CANTIDAD RECIBIDA]]</f>
        <v>453321.13320000004</v>
      </c>
      <c r="AB4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52" s="3">
        <f>+DETALLE_GD_1[[#This Row],[CANTIDAD SOLICITADA]]-DETALLE_GD_1[[#This Row],[DEVOLUCIÓN]]</f>
        <v>108</v>
      </c>
      <c r="AD452" s="38" t="str">
        <f>+_xlfn.XLOOKUP(DETALLE_GD_1[[#This Row],[CODIGO]],PRODUCTOS[CODIGO],PRODUCTOS[DESC CORTA],"",0)</f>
        <v>AISLAN ROCA 90MM</v>
      </c>
      <c r="AE452"/>
      <c r="AH452"/>
    </row>
    <row r="453" spans="1:34" x14ac:dyDescent="0.25">
      <c r="A453" s="1">
        <v>46094</v>
      </c>
      <c r="B453" s="1">
        <v>46094</v>
      </c>
      <c r="C453" s="81" t="s">
        <v>169</v>
      </c>
      <c r="D453" s="38">
        <v>3</v>
      </c>
      <c r="E453" s="81" t="s">
        <v>169</v>
      </c>
      <c r="F453">
        <v>2302119</v>
      </c>
      <c r="G453" s="81" t="s">
        <v>74</v>
      </c>
      <c r="H453" s="81" t="s">
        <v>31</v>
      </c>
      <c r="I453" s="3">
        <v>12</v>
      </c>
      <c r="J453" s="3"/>
      <c r="K453" s="26">
        <v>12</v>
      </c>
      <c r="L453" s="2">
        <v>3670.8332999999998</v>
      </c>
      <c r="M453" s="2">
        <v>44050</v>
      </c>
      <c r="N453" s="2">
        <v>44050</v>
      </c>
      <c r="O453" s="2">
        <v>3671</v>
      </c>
      <c r="P453" s="2">
        <v>0.16669999999999999</v>
      </c>
      <c r="Q453" s="2">
        <v>2</v>
      </c>
      <c r="R453" s="4">
        <v>4.5400889857399923E-5</v>
      </c>
      <c r="T453">
        <v>309058</v>
      </c>
      <c r="U453" s="2">
        <v>7231626</v>
      </c>
      <c r="V453">
        <v>5789</v>
      </c>
      <c r="W453" s="2">
        <v>6579000000</v>
      </c>
      <c r="X453" s="6">
        <v>44052</v>
      </c>
      <c r="Y453" s="38">
        <v>10010</v>
      </c>
      <c r="Z453" s="86">
        <f>+((DETALLE_GD_1[[#This Row],[VALOR X UN (GD)]]-DETALLE_GD_1[[#This Row],[VALOR PPTO]])/DETALLE_GD_1[[#This Row],[VALOR PPTO]])</f>
        <v>-4.5409970035472349E-5</v>
      </c>
      <c r="AA453" s="2">
        <f>+DETALLE_GD_1[[#This Row],[VALOR PPTO]]*DETALLE_GD_1[[#This Row],[CANTIDAD RECIBIDA]]</f>
        <v>44052</v>
      </c>
      <c r="AB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3" s="3">
        <f>+DETALLE_GD_1[[#This Row],[CANTIDAD SOLICITADA]]-DETALLE_GD_1[[#This Row],[DEVOLUCIÓN]]</f>
        <v>12</v>
      </c>
      <c r="AD453" s="38" t="str">
        <f>+_xlfn.XLOOKUP(DETALLE_GD_1[[#This Row],[CODIGO]],PRODUCTOS[CODIGO],PRODUCTOS[DESC CORTA],"",0)</f>
        <v>SELLO</v>
      </c>
      <c r="AE453"/>
      <c r="AH453"/>
    </row>
    <row r="454" spans="1:34" x14ac:dyDescent="0.25">
      <c r="A454" s="1">
        <v>46094</v>
      </c>
      <c r="B454" s="1">
        <v>46094</v>
      </c>
      <c r="C454" s="81" t="s">
        <v>169</v>
      </c>
      <c r="D454" s="38">
        <v>3</v>
      </c>
      <c r="E454" s="81" t="s">
        <v>169</v>
      </c>
      <c r="F454">
        <v>412280</v>
      </c>
      <c r="G454" s="81" t="s">
        <v>40</v>
      </c>
      <c r="H454" s="81" t="s">
        <v>31</v>
      </c>
      <c r="I454" s="3">
        <v>95</v>
      </c>
      <c r="J454" s="3"/>
      <c r="K454" s="26">
        <v>95</v>
      </c>
      <c r="L454" s="2">
        <v>39389.852599999998</v>
      </c>
      <c r="M454" s="2">
        <v>3742036</v>
      </c>
      <c r="N454" s="2">
        <v>3742036</v>
      </c>
      <c r="O454" s="2">
        <v>40002.920100000003</v>
      </c>
      <c r="P454" s="2">
        <v>613.0675</v>
      </c>
      <c r="Q454" s="2">
        <v>58241.408799999997</v>
      </c>
      <c r="R454" s="4">
        <v>1.532556773344979E-2</v>
      </c>
      <c r="T454">
        <v>309058</v>
      </c>
      <c r="U454" s="2"/>
      <c r="V454">
        <v>5789</v>
      </c>
      <c r="W454" s="2">
        <v>6579000000</v>
      </c>
      <c r="X454" s="6">
        <v>3800277.4088349999</v>
      </c>
      <c r="Y454" s="38">
        <v>10010</v>
      </c>
      <c r="Z454" s="86">
        <f>+((DETALLE_GD_1[[#This Row],[VALOR X UN (GD)]]-DETALLE_GD_1[[#This Row],[VALOR PPTO]])/DETALLE_GD_1[[#This Row],[VALOR PPTO]])</f>
        <v>-1.5325568695171446E-2</v>
      </c>
      <c r="AA454" s="2">
        <f>+DETALLE_GD_1[[#This Row],[VALOR PPTO]]*DETALLE_GD_1[[#This Row],[CANTIDAD RECIBIDA]]</f>
        <v>3800277.4095000001</v>
      </c>
      <c r="AB4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54" s="3">
        <f>+DETALLE_GD_1[[#This Row],[CANTIDAD SOLICITADA]]-DETALLE_GD_1[[#This Row],[DEVOLUCIÓN]]</f>
        <v>95</v>
      </c>
      <c r="AD454" s="38" t="str">
        <f>+_xlfn.XLOOKUP(DETALLE_GD_1[[#This Row],[CODIGO]],PRODUCTOS[CODIGO],PRODUCTOS[DESC CORTA],"",0)</f>
        <v>PB2</v>
      </c>
      <c r="AE454"/>
      <c r="AH454"/>
    </row>
    <row r="455" spans="1:34" x14ac:dyDescent="0.25">
      <c r="A455" s="1">
        <v>46094</v>
      </c>
      <c r="B455" s="1">
        <v>46094</v>
      </c>
      <c r="C455" s="81" t="s">
        <v>169</v>
      </c>
      <c r="D455" s="38">
        <v>3</v>
      </c>
      <c r="E455" s="81" t="s">
        <v>169</v>
      </c>
      <c r="F455">
        <v>412260</v>
      </c>
      <c r="G455" s="81" t="s">
        <v>41</v>
      </c>
      <c r="H455" s="81" t="s">
        <v>31</v>
      </c>
      <c r="I455" s="3">
        <v>20</v>
      </c>
      <c r="J455" s="3"/>
      <c r="K455" s="26">
        <v>20</v>
      </c>
      <c r="L455" s="2">
        <v>86966.25</v>
      </c>
      <c r="M455" s="2">
        <v>1739325</v>
      </c>
      <c r="N455" s="2">
        <v>1739325</v>
      </c>
      <c r="O455" s="2">
        <v>87567.442500000005</v>
      </c>
      <c r="P455" s="2">
        <v>601.1925</v>
      </c>
      <c r="Q455" s="2">
        <v>12023.8496</v>
      </c>
      <c r="R455" s="4">
        <v>6.8654794634549626E-3</v>
      </c>
      <c r="T455">
        <v>309058</v>
      </c>
      <c r="U455" s="2"/>
      <c r="V455">
        <v>5789</v>
      </c>
      <c r="W455" s="2">
        <v>6579000000</v>
      </c>
      <c r="X455" s="6">
        <v>1751348.8495599995</v>
      </c>
      <c r="Y455" s="38">
        <v>10010</v>
      </c>
      <c r="Z455" s="86">
        <f>+((DETALLE_GD_1[[#This Row],[VALOR X UN (GD)]]-DETALLE_GD_1[[#This Row],[VALOR PPTO]])/DETALLE_GD_1[[#This Row],[VALOR PPTO]])</f>
        <v>-6.8654797129652908E-3</v>
      </c>
      <c r="AA455" s="2">
        <f>+DETALLE_GD_1[[#This Row],[VALOR PPTO]]*DETALLE_GD_1[[#This Row],[CANTIDAD RECIBIDA]]</f>
        <v>1751348.85</v>
      </c>
      <c r="AB4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55" s="3">
        <f>+DETALLE_GD_1[[#This Row],[CANTIDAD SOLICITADA]]-DETALLE_GD_1[[#This Row],[DEVOLUCIÓN]]</f>
        <v>20</v>
      </c>
      <c r="AD455" s="38" t="str">
        <f>+_xlfn.XLOOKUP(DETALLE_GD_1[[#This Row],[CODIGO]],PRODUCTOS[CODIGO],PRODUCTOS[DESC CORTA],"",0)</f>
        <v>PB1</v>
      </c>
      <c r="AE455"/>
      <c r="AH455"/>
    </row>
    <row r="456" spans="1:34" x14ac:dyDescent="0.25">
      <c r="A456" s="1">
        <v>46094</v>
      </c>
      <c r="B456" s="1">
        <v>46094</v>
      </c>
      <c r="C456" s="81" t="s">
        <v>169</v>
      </c>
      <c r="D456" s="38">
        <v>3</v>
      </c>
      <c r="E456" s="81" t="s">
        <v>169</v>
      </c>
      <c r="F456">
        <v>408042</v>
      </c>
      <c r="G456" s="81" t="s">
        <v>144</v>
      </c>
      <c r="H456" s="81" t="s">
        <v>36</v>
      </c>
      <c r="I456" s="3">
        <v>10</v>
      </c>
      <c r="J456" s="3"/>
      <c r="K456" s="26">
        <v>10</v>
      </c>
      <c r="L456" s="2">
        <v>35000</v>
      </c>
      <c r="M456" s="2">
        <v>350000</v>
      </c>
      <c r="N456" s="2">
        <v>350000</v>
      </c>
      <c r="O456" s="2">
        <v>35000</v>
      </c>
      <c r="P456" s="2">
        <v>0</v>
      </c>
      <c r="Q456" s="2">
        <v>0</v>
      </c>
      <c r="R456" s="4">
        <v>8.3153801304950006E-16</v>
      </c>
      <c r="T456">
        <v>309058</v>
      </c>
      <c r="U456" s="2"/>
      <c r="V456">
        <v>5789</v>
      </c>
      <c r="W456" s="2">
        <v>6579000000</v>
      </c>
      <c r="X456" s="6">
        <v>350000.00000000029</v>
      </c>
      <c r="Y456" s="38">
        <v>10010</v>
      </c>
      <c r="Z456" s="86">
        <f>+((DETALLE_GD_1[[#This Row],[VALOR X UN (GD)]]-DETALLE_GD_1[[#This Row],[VALOR PPTO]])/DETALLE_GD_1[[#This Row],[VALOR PPTO]])</f>
        <v>0</v>
      </c>
      <c r="AA456" s="2">
        <f>+DETALLE_GD_1[[#This Row],[VALOR PPTO]]*DETALLE_GD_1[[#This Row],[CANTIDAD RECIBIDA]]</f>
        <v>350000</v>
      </c>
      <c r="AB4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6" s="3">
        <f>+DETALLE_GD_1[[#This Row],[CANTIDAD SOLICITADA]]-DETALLE_GD_1[[#This Row],[DEVOLUCIÓN]]</f>
        <v>10</v>
      </c>
      <c r="AD456" s="38" t="str">
        <f>+_xlfn.XLOOKUP(DETALLE_GD_1[[#This Row],[CODIGO]],PRODUCTOS[CODIGO],PRODUCTOS[DESC CORTA],"",0)</f>
        <v>CLAVO HELICOIDAL PROFIX</v>
      </c>
      <c r="AE456"/>
      <c r="AH456"/>
    </row>
    <row r="457" spans="1:34" x14ac:dyDescent="0.25">
      <c r="A457" s="1">
        <v>46094</v>
      </c>
      <c r="B457" s="1">
        <v>46094</v>
      </c>
      <c r="C457" s="81" t="s">
        <v>169</v>
      </c>
      <c r="D457" s="38">
        <v>3</v>
      </c>
      <c r="E457" s="81" t="s">
        <v>169</v>
      </c>
      <c r="F457">
        <v>1902003</v>
      </c>
      <c r="G457" s="81" t="s">
        <v>155</v>
      </c>
      <c r="H457" s="81" t="s">
        <v>47</v>
      </c>
      <c r="I457" s="3">
        <v>9</v>
      </c>
      <c r="J457" s="3"/>
      <c r="K457" s="26">
        <v>9</v>
      </c>
      <c r="L457" s="2">
        <v>150690.55559999999</v>
      </c>
      <c r="M457" s="2">
        <v>1356215</v>
      </c>
      <c r="N457" s="2">
        <v>1356215</v>
      </c>
      <c r="O457" s="2">
        <v>150703.9755</v>
      </c>
      <c r="P457" s="2">
        <v>13.4199</v>
      </c>
      <c r="Q457" s="2">
        <v>120.7791</v>
      </c>
      <c r="R457" s="4">
        <v>8.904811172653985E-5</v>
      </c>
      <c r="T457">
        <v>309058</v>
      </c>
      <c r="U457" s="2"/>
      <c r="V457">
        <v>5789</v>
      </c>
      <c r="W457" s="2">
        <v>6579000000</v>
      </c>
      <c r="X457" s="6">
        <v>1356335.7791399995</v>
      </c>
      <c r="Y457" s="38">
        <v>10010</v>
      </c>
      <c r="Z457" s="86">
        <f>+((DETALLE_GD_1[[#This Row],[VALOR X UN (GD)]]-DETALLE_GD_1[[#This Row],[VALOR PPTO]])/DETALLE_GD_1[[#This Row],[VALOR PPTO]])</f>
        <v>-8.9048082212058537E-5</v>
      </c>
      <c r="AA457" s="2">
        <f>+DETALLE_GD_1[[#This Row],[VALOR PPTO]]*DETALLE_GD_1[[#This Row],[CANTIDAD RECIBIDA]]</f>
        <v>1356335.7794999999</v>
      </c>
      <c r="AB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7" s="3">
        <f>+DETALLE_GD_1[[#This Row],[CANTIDAD SOLICITADA]]-DETALLE_GD_1[[#This Row],[DEVOLUCIÓN]]</f>
        <v>9</v>
      </c>
      <c r="AD457" s="38">
        <f>+_xlfn.XLOOKUP(DETALLE_GD_1[[#This Row],[CODIGO]],PRODUCTOS[CODIGO],PRODUCTOS[DESC CORTA],"",0)</f>
        <v>0</v>
      </c>
      <c r="AE457"/>
      <c r="AH457"/>
    </row>
    <row r="458" spans="1:34" x14ac:dyDescent="0.25">
      <c r="A458" s="1">
        <v>46098</v>
      </c>
      <c r="B458" s="1">
        <v>46098</v>
      </c>
      <c r="C458" s="81" t="s">
        <v>169</v>
      </c>
      <c r="D458" s="38">
        <v>3</v>
      </c>
      <c r="E458" s="81" t="s">
        <v>169</v>
      </c>
      <c r="F458">
        <v>2302098</v>
      </c>
      <c r="G458" s="81" t="s">
        <v>24</v>
      </c>
      <c r="H458" s="81" t="s">
        <v>25</v>
      </c>
      <c r="I458" s="3">
        <v>10</v>
      </c>
      <c r="J458" s="3"/>
      <c r="K458" s="26">
        <v>10</v>
      </c>
      <c r="L458" s="2">
        <v>21213</v>
      </c>
      <c r="M458" s="2">
        <v>212130</v>
      </c>
      <c r="N458" s="2">
        <v>212130</v>
      </c>
      <c r="O458" s="2">
        <v>21213</v>
      </c>
      <c r="P458" s="2">
        <v>0</v>
      </c>
      <c r="Q458" s="2">
        <v>0</v>
      </c>
      <c r="R458" s="4">
        <v>-1.7149761029050001E-16</v>
      </c>
      <c r="T458">
        <v>309344</v>
      </c>
      <c r="U458" s="2">
        <v>5816811</v>
      </c>
      <c r="V458">
        <v>5832</v>
      </c>
      <c r="W458" s="2">
        <v>6579000000</v>
      </c>
      <c r="X458" s="6">
        <v>212129.99999999997</v>
      </c>
      <c r="Y458" s="38">
        <v>10010</v>
      </c>
      <c r="Z458" s="86">
        <f>+((DETALLE_GD_1[[#This Row],[VALOR X UN (GD)]]-DETALLE_GD_1[[#This Row],[VALOR PPTO]])/DETALLE_GD_1[[#This Row],[VALOR PPTO]])</f>
        <v>0</v>
      </c>
      <c r="AA458" s="2">
        <f>+DETALLE_GD_1[[#This Row],[VALOR PPTO]]*DETALLE_GD_1[[#This Row],[CANTIDAD RECIBIDA]]</f>
        <v>212130</v>
      </c>
      <c r="AB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8" s="3">
        <f>+DETALLE_GD_1[[#This Row],[CANTIDAD SOLICITADA]]-DETALLE_GD_1[[#This Row],[DEVOLUCIÓN]]</f>
        <v>10</v>
      </c>
      <c r="AD458" s="38" t="str">
        <f>+_xlfn.XLOOKUP(DETALLE_GD_1[[#This Row],[CODIGO]],PRODUCTOS[CODIGO],PRODUCTOS[DESC CORTA],"",0)</f>
        <v>COLA FRIA</v>
      </c>
      <c r="AE458"/>
      <c r="AH458"/>
    </row>
    <row r="459" spans="1:34" x14ac:dyDescent="0.25">
      <c r="A459" s="1">
        <v>46098</v>
      </c>
      <c r="B459" s="1">
        <v>46098</v>
      </c>
      <c r="C459" s="81" t="s">
        <v>169</v>
      </c>
      <c r="D459" s="38">
        <v>3</v>
      </c>
      <c r="E459" s="81" t="s">
        <v>169</v>
      </c>
      <c r="F459">
        <v>5309018</v>
      </c>
      <c r="G459" s="81" t="s">
        <v>112</v>
      </c>
      <c r="H459" s="81" t="s">
        <v>113</v>
      </c>
      <c r="I459" s="3">
        <v>300</v>
      </c>
      <c r="J459" s="3"/>
      <c r="K459" s="26">
        <v>300</v>
      </c>
      <c r="L459" s="2">
        <v>700</v>
      </c>
      <c r="M459" s="2">
        <v>210000</v>
      </c>
      <c r="N459" s="2">
        <v>210000</v>
      </c>
      <c r="O459" s="2">
        <v>699.99919999999997</v>
      </c>
      <c r="P459" s="2">
        <v>-8.0000000000000004E-4</v>
      </c>
      <c r="Q459" s="2">
        <v>-0.23039999999999999</v>
      </c>
      <c r="R459" s="4">
        <v>-1.0971440602079328E-6</v>
      </c>
      <c r="T459">
        <v>309344</v>
      </c>
      <c r="U459" s="2"/>
      <c r="V459">
        <v>5832</v>
      </c>
      <c r="W459" s="2">
        <v>6579000000</v>
      </c>
      <c r="X459" s="6">
        <v>209999.76960000017</v>
      </c>
      <c r="Y459" s="38">
        <v>10010</v>
      </c>
      <c r="Z459" s="86">
        <f>+((DETALLE_GD_1[[#This Row],[VALOR X UN (GD)]]-DETALLE_GD_1[[#This Row],[VALOR PPTO]])/DETALLE_GD_1[[#This Row],[VALOR PPTO]])</f>
        <v>1.1428584490190236E-6</v>
      </c>
      <c r="AA459" s="2">
        <f>+DETALLE_GD_1[[#This Row],[VALOR PPTO]]*DETALLE_GD_1[[#This Row],[CANTIDAD RECIBIDA]]</f>
        <v>209999.75999999998</v>
      </c>
      <c r="AB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9" s="3">
        <f>+DETALLE_GD_1[[#This Row],[CANTIDAD SOLICITADA]]-DETALLE_GD_1[[#This Row],[DEVOLUCIÓN]]</f>
        <v>300</v>
      </c>
      <c r="AD459" s="38">
        <f>+_xlfn.XLOOKUP(DETALLE_GD_1[[#This Row],[CODIGO]],PRODUCTOS[CODIGO],PRODUCTOS[DESC CORTA],"",0)</f>
        <v>0</v>
      </c>
      <c r="AE459"/>
      <c r="AH459"/>
    </row>
    <row r="460" spans="1:34" x14ac:dyDescent="0.25">
      <c r="A460" s="1">
        <v>46098</v>
      </c>
      <c r="B460" s="1">
        <v>46098</v>
      </c>
      <c r="C460" s="81" t="s">
        <v>169</v>
      </c>
      <c r="D460" s="38">
        <v>3</v>
      </c>
      <c r="E460" s="81" t="s">
        <v>169</v>
      </c>
      <c r="F460">
        <v>2508169</v>
      </c>
      <c r="G460" s="81" t="s">
        <v>307</v>
      </c>
      <c r="H460" s="81" t="s">
        <v>90</v>
      </c>
      <c r="I460" s="3">
        <v>1</v>
      </c>
      <c r="J460" s="3"/>
      <c r="K460" s="26">
        <v>1</v>
      </c>
      <c r="L460" s="2">
        <v>13952</v>
      </c>
      <c r="M460" s="2">
        <v>13952</v>
      </c>
      <c r="N460" s="2">
        <v>13952</v>
      </c>
      <c r="O460" s="2">
        <v>13952</v>
      </c>
      <c r="P460" s="2">
        <v>0</v>
      </c>
      <c r="Q460" s="2">
        <v>0</v>
      </c>
      <c r="R460" s="4">
        <v>0</v>
      </c>
      <c r="T460">
        <v>309344</v>
      </c>
      <c r="U460" s="2"/>
      <c r="V460">
        <v>5832</v>
      </c>
      <c r="W460" s="2">
        <v>6579000000</v>
      </c>
      <c r="X460" s="6">
        <v>13952</v>
      </c>
      <c r="Y460" s="38">
        <v>10010</v>
      </c>
      <c r="Z460" s="86">
        <f>+((DETALLE_GD_1[[#This Row],[VALOR X UN (GD)]]-DETALLE_GD_1[[#This Row],[VALOR PPTO]])/DETALLE_GD_1[[#This Row],[VALOR PPTO]])</f>
        <v>0</v>
      </c>
      <c r="AA460" s="2">
        <f>+DETALLE_GD_1[[#This Row],[VALOR PPTO]]*DETALLE_GD_1[[#This Row],[CANTIDAD RECIBIDA]]</f>
        <v>13952</v>
      </c>
      <c r="AB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0" s="3">
        <f>+DETALLE_GD_1[[#This Row],[CANTIDAD SOLICITADA]]-DETALLE_GD_1[[#This Row],[DEVOLUCIÓN]]</f>
        <v>1</v>
      </c>
      <c r="AD460" s="38">
        <f>+_xlfn.XLOOKUP(DETALLE_GD_1[[#This Row],[CODIGO]],PRODUCTOS[CODIGO],PRODUCTOS[DESC CORTA],"",0)</f>
        <v>0</v>
      </c>
      <c r="AE460"/>
      <c r="AH460"/>
    </row>
    <row r="461" spans="1:34" x14ac:dyDescent="0.25">
      <c r="A461" s="1">
        <v>46098</v>
      </c>
      <c r="B461" s="1">
        <v>46098</v>
      </c>
      <c r="C461" s="81" t="s">
        <v>169</v>
      </c>
      <c r="D461" s="38">
        <v>3</v>
      </c>
      <c r="E461" s="81" t="s">
        <v>169</v>
      </c>
      <c r="F461">
        <v>408042</v>
      </c>
      <c r="G461" s="81" t="s">
        <v>144</v>
      </c>
      <c r="H461" s="81" t="s">
        <v>36</v>
      </c>
      <c r="I461" s="3">
        <v>10</v>
      </c>
      <c r="J461" s="3"/>
      <c r="K461" s="26">
        <v>10</v>
      </c>
      <c r="L461" s="2">
        <v>35000</v>
      </c>
      <c r="M461" s="2">
        <v>350000</v>
      </c>
      <c r="N461" s="2">
        <v>350000</v>
      </c>
      <c r="O461" s="2">
        <v>35000</v>
      </c>
      <c r="P461" s="2">
        <v>0</v>
      </c>
      <c r="Q461" s="2">
        <v>0</v>
      </c>
      <c r="R461" s="4">
        <v>8.3153801304950006E-16</v>
      </c>
      <c r="T461">
        <v>309344</v>
      </c>
      <c r="U461" s="2"/>
      <c r="V461">
        <v>5832</v>
      </c>
      <c r="W461" s="2">
        <v>6579000000</v>
      </c>
      <c r="X461" s="6">
        <v>350000.00000000029</v>
      </c>
      <c r="Y461" s="38">
        <v>10010</v>
      </c>
      <c r="Z461" s="86">
        <f>+((DETALLE_GD_1[[#This Row],[VALOR X UN (GD)]]-DETALLE_GD_1[[#This Row],[VALOR PPTO]])/DETALLE_GD_1[[#This Row],[VALOR PPTO]])</f>
        <v>0</v>
      </c>
      <c r="AA461" s="2">
        <f>+DETALLE_GD_1[[#This Row],[VALOR PPTO]]*DETALLE_GD_1[[#This Row],[CANTIDAD RECIBIDA]]</f>
        <v>350000</v>
      </c>
      <c r="AB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1" s="3">
        <f>+DETALLE_GD_1[[#This Row],[CANTIDAD SOLICITADA]]-DETALLE_GD_1[[#This Row],[DEVOLUCIÓN]]</f>
        <v>10</v>
      </c>
      <c r="AD461" s="38" t="str">
        <f>+_xlfn.XLOOKUP(DETALLE_GD_1[[#This Row],[CODIGO]],PRODUCTOS[CODIGO],PRODUCTOS[DESC CORTA],"",0)</f>
        <v>CLAVO HELICOIDAL PROFIX</v>
      </c>
      <c r="AE461"/>
      <c r="AH461"/>
    </row>
    <row r="462" spans="1:34" x14ac:dyDescent="0.25">
      <c r="A462" s="1">
        <v>46098</v>
      </c>
      <c r="B462" s="1">
        <v>46098</v>
      </c>
      <c r="C462" s="81" t="s">
        <v>169</v>
      </c>
      <c r="D462" s="38">
        <v>3</v>
      </c>
      <c r="E462" s="81" t="s">
        <v>169</v>
      </c>
      <c r="F462">
        <v>302054</v>
      </c>
      <c r="G462" s="81" t="s">
        <v>356</v>
      </c>
      <c r="H462" s="81" t="s">
        <v>20</v>
      </c>
      <c r="I462" s="3">
        <v>864</v>
      </c>
      <c r="J462" s="3"/>
      <c r="K462" s="26">
        <v>864</v>
      </c>
      <c r="L462" s="2">
        <v>5712.89</v>
      </c>
      <c r="M462" s="2">
        <v>4935937</v>
      </c>
      <c r="N462" s="2">
        <v>4935937</v>
      </c>
      <c r="O462" s="2">
        <v>5713</v>
      </c>
      <c r="P462" s="2">
        <v>0.11</v>
      </c>
      <c r="Q462" s="2">
        <v>95</v>
      </c>
      <c r="R462" s="4">
        <v>1.924622854953053E-5</v>
      </c>
      <c r="T462">
        <v>309344</v>
      </c>
      <c r="U462" s="2"/>
      <c r="V462">
        <v>5832</v>
      </c>
      <c r="W462" s="2">
        <v>6579000000</v>
      </c>
      <c r="X462" s="6">
        <v>4936032</v>
      </c>
      <c r="Y462" s="38">
        <v>10010</v>
      </c>
      <c r="Z462" s="86">
        <f>+((DETALLE_GD_1[[#This Row],[VALOR X UN (GD)]]-DETALLE_GD_1[[#This Row],[VALOR PPTO]])/DETALLE_GD_1[[#This Row],[VALOR PPTO]])</f>
        <v>-1.9254332224693257E-5</v>
      </c>
      <c r="AA462" s="2">
        <f>+DETALLE_GD_1[[#This Row],[VALOR PPTO]]*DETALLE_GD_1[[#This Row],[CANTIDAD RECIBIDA]]</f>
        <v>4936032</v>
      </c>
      <c r="AB4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62" s="3">
        <f>+DETALLE_GD_1[[#This Row],[CANTIDAD SOLICITADA]]-DETALLE_GD_1[[#This Row],[DEVOLUCIÓN]]</f>
        <v>864</v>
      </c>
      <c r="AD462" s="38">
        <f>+_xlfn.XLOOKUP(DETALLE_GD_1[[#This Row],[CODIGO]],PRODUCTOS[CODIGO],PRODUCTOS[DESC CORTA],"",0)</f>
        <v>0</v>
      </c>
      <c r="AE462"/>
      <c r="AH462"/>
    </row>
    <row r="463" spans="1:34" x14ac:dyDescent="0.25">
      <c r="A463" s="1">
        <v>46098</v>
      </c>
      <c r="B463" s="1">
        <v>46098</v>
      </c>
      <c r="C463" s="81" t="s">
        <v>169</v>
      </c>
      <c r="D463" s="38">
        <v>3</v>
      </c>
      <c r="E463" s="81" t="s">
        <v>169</v>
      </c>
      <c r="F463">
        <v>1901229</v>
      </c>
      <c r="G463" s="81" t="s">
        <v>125</v>
      </c>
      <c r="H463" s="81" t="s">
        <v>28</v>
      </c>
      <c r="I463" s="3">
        <v>50</v>
      </c>
      <c r="J463" s="3"/>
      <c r="K463" s="26">
        <v>50</v>
      </c>
      <c r="L463" s="2">
        <v>1895.84</v>
      </c>
      <c r="M463" s="2">
        <v>94792</v>
      </c>
      <c r="N463" s="2">
        <v>94792</v>
      </c>
      <c r="O463" s="2">
        <v>1896.2317</v>
      </c>
      <c r="P463" s="2">
        <v>0.39169999999999999</v>
      </c>
      <c r="Q463" s="2">
        <v>19.5869</v>
      </c>
      <c r="R463" s="4">
        <v>2.0658709183926516E-4</v>
      </c>
      <c r="T463">
        <v>309344</v>
      </c>
      <c r="U463" s="2"/>
      <c r="V463">
        <v>5832</v>
      </c>
      <c r="W463" s="2">
        <v>6579000000</v>
      </c>
      <c r="X463" s="6">
        <v>94811.586850000007</v>
      </c>
      <c r="Y463" s="38">
        <v>10010</v>
      </c>
      <c r="Z463" s="86">
        <f>+((DETALLE_GD_1[[#This Row],[VALOR X UN (GD)]]-DETALLE_GD_1[[#This Row],[VALOR PPTO]])/DETALLE_GD_1[[#This Row],[VALOR PPTO]])</f>
        <v>-2.0656758348683237E-4</v>
      </c>
      <c r="AA463" s="2">
        <f>+DETALLE_GD_1[[#This Row],[VALOR PPTO]]*DETALLE_GD_1[[#This Row],[CANTIDAD RECIBIDA]]</f>
        <v>94811.585000000006</v>
      </c>
      <c r="AB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3" s="3">
        <f>+DETALLE_GD_1[[#This Row],[CANTIDAD SOLICITADA]]-DETALLE_GD_1[[#This Row],[DEVOLUCIÓN]]</f>
        <v>50</v>
      </c>
      <c r="AD463" s="38" t="str">
        <f>+_xlfn.XLOOKUP(DETALLE_GD_1[[#This Row],[CODIGO]],PRODUCTOS[CODIGO],PRODUCTOS[DESC CORTA],"",0)</f>
        <v>POLIETILENO</v>
      </c>
      <c r="AE463"/>
      <c r="AH463"/>
    </row>
    <row r="464" spans="1:34" x14ac:dyDescent="0.25">
      <c r="A464" s="1">
        <v>46099</v>
      </c>
      <c r="B464" s="1">
        <v>46099</v>
      </c>
      <c r="C464" s="81" t="s">
        <v>169</v>
      </c>
      <c r="D464" s="38">
        <v>3</v>
      </c>
      <c r="E464" s="81" t="s">
        <v>169</v>
      </c>
      <c r="F464">
        <v>705028</v>
      </c>
      <c r="G464" s="81" t="s">
        <v>72</v>
      </c>
      <c r="H464" s="81" t="s">
        <v>18</v>
      </c>
      <c r="I464" s="3">
        <v>40</v>
      </c>
      <c r="J464" s="3"/>
      <c r="K464" s="26">
        <v>40</v>
      </c>
      <c r="L464" s="2">
        <v>22787.5</v>
      </c>
      <c r="M464" s="2">
        <v>911500</v>
      </c>
      <c r="N464" s="2">
        <v>911500</v>
      </c>
      <c r="O464" s="2">
        <v>22927.086200000002</v>
      </c>
      <c r="P464" s="2">
        <v>139.58619999999999</v>
      </c>
      <c r="Q464" s="2">
        <v>5583.4483</v>
      </c>
      <c r="R464" s="4">
        <v>6.0882663300398992E-3</v>
      </c>
      <c r="T464">
        <v>309476</v>
      </c>
      <c r="U464" s="2">
        <v>6072957</v>
      </c>
      <c r="V464">
        <v>5832</v>
      </c>
      <c r="W464" s="2">
        <v>6579000000</v>
      </c>
      <c r="X464" s="6">
        <v>917083.44828000001</v>
      </c>
      <c r="Y464" s="38">
        <v>10010</v>
      </c>
      <c r="Z464" s="86">
        <f>+((DETALLE_GD_1[[#This Row],[VALOR X UN (GD)]]-DETALLE_GD_1[[#This Row],[VALOR PPTO]])/DETALLE_GD_1[[#This Row],[VALOR PPTO]])</f>
        <v>-6.0882660265830701E-3</v>
      </c>
      <c r="AA464" s="2">
        <f>+DETALLE_GD_1[[#This Row],[VALOR PPTO]]*DETALLE_GD_1[[#This Row],[CANTIDAD RECIBIDA]]</f>
        <v>917083.44800000009</v>
      </c>
      <c r="AB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64" s="3">
        <f>+DETALLE_GD_1[[#This Row],[CANTIDAD SOLICITADA]]-DETALLE_GD_1[[#This Row],[DEVOLUCIÓN]]</f>
        <v>40</v>
      </c>
      <c r="AD464" s="38" t="str">
        <f>+_xlfn.XLOOKUP(DETALLE_GD_1[[#This Row],[CODIGO]],PRODUCTOS[CODIGO],PRODUCTOS[DESC CORTA],"",0)</f>
        <v>SIMPLISIMA</v>
      </c>
      <c r="AE464"/>
      <c r="AH464"/>
    </row>
    <row r="465" spans="1:34" x14ac:dyDescent="0.25">
      <c r="A465" s="1">
        <v>46099</v>
      </c>
      <c r="B465" s="1">
        <v>46099</v>
      </c>
      <c r="C465" s="81" t="s">
        <v>169</v>
      </c>
      <c r="D465" s="38">
        <v>3</v>
      </c>
      <c r="E465" s="81" t="s">
        <v>169</v>
      </c>
      <c r="F465">
        <v>302028</v>
      </c>
      <c r="G465" s="81" t="s">
        <v>246</v>
      </c>
      <c r="H465" s="81" t="s">
        <v>20</v>
      </c>
      <c r="I465" s="3">
        <v>240</v>
      </c>
      <c r="J465" s="3"/>
      <c r="K465" s="26">
        <v>240</v>
      </c>
      <c r="L465" s="2">
        <v>5100.4542000000001</v>
      </c>
      <c r="M465" s="2">
        <v>1224109</v>
      </c>
      <c r="N465" s="2">
        <v>1224109</v>
      </c>
      <c r="O465" s="2">
        <v>5123.8024999999998</v>
      </c>
      <c r="P465" s="2">
        <v>23.348400000000002</v>
      </c>
      <c r="Q465" s="2">
        <v>5603.6064999999999</v>
      </c>
      <c r="R465" s="4">
        <v>4.5568423471241274E-3</v>
      </c>
      <c r="T465">
        <v>309476</v>
      </c>
      <c r="U465" s="2"/>
      <c r="V465">
        <v>5832</v>
      </c>
      <c r="W465" s="2">
        <v>6579000000</v>
      </c>
      <c r="X465" s="6">
        <v>1229712.6064800003</v>
      </c>
      <c r="Y465" s="38">
        <v>10010</v>
      </c>
      <c r="Z465" s="86">
        <f>+((DETALLE_GD_1[[#This Row],[VALOR X UN (GD)]]-DETALLE_GD_1[[#This Row],[VALOR PPTO]])/DETALLE_GD_1[[#This Row],[VALOR PPTO]])</f>
        <v>-4.5568305960270042E-3</v>
      </c>
      <c r="AA465" s="2">
        <f>+DETALLE_GD_1[[#This Row],[VALOR PPTO]]*DETALLE_GD_1[[#This Row],[CANTIDAD RECIBIDA]]</f>
        <v>1229712.5999999999</v>
      </c>
      <c r="AB4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65" s="3">
        <f>+DETALLE_GD_1[[#This Row],[CANTIDAD SOLICITADA]]-DETALLE_GD_1[[#This Row],[DEVOLUCIÓN]]</f>
        <v>240</v>
      </c>
      <c r="AD465" s="38" t="str">
        <f>+_xlfn.XLOOKUP(DETALLE_GD_1[[#This Row],[CODIGO]],PRODUCTOS[CODIGO],PRODUCTOS[DESC CORTA],"",0)</f>
        <v>PINO 2X4X320</v>
      </c>
      <c r="AE465"/>
      <c r="AH465"/>
    </row>
    <row r="466" spans="1:34" x14ac:dyDescent="0.25">
      <c r="A466" s="1">
        <v>46099</v>
      </c>
      <c r="B466" s="1">
        <v>46099</v>
      </c>
      <c r="C466" s="81" t="s">
        <v>169</v>
      </c>
      <c r="D466" s="38">
        <v>3</v>
      </c>
      <c r="E466" s="81" t="s">
        <v>169</v>
      </c>
      <c r="F466">
        <v>1803044</v>
      </c>
      <c r="G466" s="81" t="s">
        <v>336</v>
      </c>
      <c r="H466" s="81" t="s">
        <v>90</v>
      </c>
      <c r="I466" s="3">
        <v>9</v>
      </c>
      <c r="J466" s="3"/>
      <c r="K466" s="26">
        <v>9</v>
      </c>
      <c r="L466" s="2">
        <v>51882.888899999998</v>
      </c>
      <c r="M466" s="2">
        <v>466946</v>
      </c>
      <c r="N466" s="2">
        <v>466946</v>
      </c>
      <c r="O466" s="2">
        <v>52920</v>
      </c>
      <c r="P466" s="2">
        <v>1037.1111000000001</v>
      </c>
      <c r="Q466" s="2">
        <v>9334</v>
      </c>
      <c r="R466" s="4">
        <v>1.959771562946163E-2</v>
      </c>
      <c r="T466">
        <v>309476</v>
      </c>
      <c r="U466" s="2"/>
      <c r="V466">
        <v>5832</v>
      </c>
      <c r="W466" s="2">
        <v>6579000000</v>
      </c>
      <c r="X466" s="6">
        <v>476280</v>
      </c>
      <c r="Y466" s="38">
        <v>10010</v>
      </c>
      <c r="Z466" s="86">
        <f>+((DETALLE_GD_1[[#This Row],[VALOR X UN (GD)]]-DETALLE_GD_1[[#This Row],[VALOR PPTO]])/DETALLE_GD_1[[#This Row],[VALOR PPTO]])</f>
        <v>-1.9597715419501168E-2</v>
      </c>
      <c r="AA466" s="2">
        <f>+DETALLE_GD_1[[#This Row],[VALOR PPTO]]*DETALLE_GD_1[[#This Row],[CANTIDAD RECIBIDA]]</f>
        <v>476280</v>
      </c>
      <c r="AB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6" s="3">
        <f>+DETALLE_GD_1[[#This Row],[CANTIDAD SOLICITADA]]-DETALLE_GD_1[[#This Row],[DEVOLUCIÓN]]</f>
        <v>9</v>
      </c>
      <c r="AD466" s="38" t="str">
        <f>+_xlfn.XLOOKUP(DETALLE_GD_1[[#This Row],[CODIGO]],PRODUCTOS[CODIGO],PRODUCTOS[DESC CORTA],"",0)</f>
        <v/>
      </c>
      <c r="AE466"/>
      <c r="AH466"/>
    </row>
    <row r="467" spans="1:34" x14ac:dyDescent="0.25">
      <c r="A467" s="1">
        <v>46099</v>
      </c>
      <c r="B467" s="1">
        <v>46099</v>
      </c>
      <c r="C467" s="81" t="s">
        <v>169</v>
      </c>
      <c r="D467" s="38">
        <v>3</v>
      </c>
      <c r="E467" s="81" t="s">
        <v>169</v>
      </c>
      <c r="F467">
        <v>1803045</v>
      </c>
      <c r="G467" s="81" t="s">
        <v>337</v>
      </c>
      <c r="H467" s="81" t="s">
        <v>90</v>
      </c>
      <c r="I467" s="3">
        <v>9</v>
      </c>
      <c r="J467" s="3"/>
      <c r="K467" s="26">
        <v>9</v>
      </c>
      <c r="L467" s="2">
        <v>51902.111100000002</v>
      </c>
      <c r="M467" s="2">
        <v>467119</v>
      </c>
      <c r="N467" s="2">
        <v>467119</v>
      </c>
      <c r="O467" s="2">
        <v>51873</v>
      </c>
      <c r="P467" s="2">
        <v>-29.1111</v>
      </c>
      <c r="Q467" s="2">
        <v>-262</v>
      </c>
      <c r="R467" s="4">
        <v>-5.6119968212975488E-4</v>
      </c>
      <c r="T467">
        <v>309476</v>
      </c>
      <c r="U467" s="2"/>
      <c r="V467">
        <v>5832</v>
      </c>
      <c r="W467" s="2">
        <v>6579000000</v>
      </c>
      <c r="X467" s="6">
        <v>466856.99999999994</v>
      </c>
      <c r="Y467" s="38">
        <v>10010</v>
      </c>
      <c r="Z467" s="86">
        <f>+((DETALLE_GD_1[[#This Row],[VALOR X UN (GD)]]-DETALLE_GD_1[[#This Row],[VALOR PPTO]])/DETALLE_GD_1[[#This Row],[VALOR PPTO]])</f>
        <v>5.6119946793133037E-4</v>
      </c>
      <c r="AA467" s="2">
        <f>+DETALLE_GD_1[[#This Row],[VALOR PPTO]]*DETALLE_GD_1[[#This Row],[CANTIDAD RECIBIDA]]</f>
        <v>466857</v>
      </c>
      <c r="AB4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67" s="3">
        <f>+DETALLE_GD_1[[#This Row],[CANTIDAD SOLICITADA]]-DETALLE_GD_1[[#This Row],[DEVOLUCIÓN]]</f>
        <v>9</v>
      </c>
      <c r="AD467" s="38" t="str">
        <f>+_xlfn.XLOOKUP(DETALLE_GD_1[[#This Row],[CODIGO]],PRODUCTOS[CODIGO],PRODUCTOS[DESC CORTA],"",0)</f>
        <v>PUERTA INTERIOR</v>
      </c>
      <c r="AE467"/>
      <c r="AH467"/>
    </row>
    <row r="468" spans="1:34" x14ac:dyDescent="0.25">
      <c r="A468" s="1">
        <v>46099</v>
      </c>
      <c r="B468" s="1">
        <v>46099</v>
      </c>
      <c r="C468" s="81" t="s">
        <v>169</v>
      </c>
      <c r="D468" s="38">
        <v>3</v>
      </c>
      <c r="E468" s="81" t="s">
        <v>169</v>
      </c>
      <c r="F468">
        <v>1902003</v>
      </c>
      <c r="G468" s="81" t="s">
        <v>155</v>
      </c>
      <c r="H468" s="81" t="s">
        <v>47</v>
      </c>
      <c r="I468" s="3">
        <v>1</v>
      </c>
      <c r="J468" s="3"/>
      <c r="K468" s="26">
        <v>1</v>
      </c>
      <c r="L468" s="2">
        <v>150691</v>
      </c>
      <c r="M468" s="2">
        <v>150691</v>
      </c>
      <c r="N468" s="2">
        <v>150691</v>
      </c>
      <c r="O468" s="2">
        <v>150703.9755</v>
      </c>
      <c r="P468" s="2">
        <v>12.9755</v>
      </c>
      <c r="Q468" s="2">
        <v>12.9755</v>
      </c>
      <c r="R468" s="4">
        <v>8.609898949481783E-5</v>
      </c>
      <c r="T468">
        <v>309476</v>
      </c>
      <c r="U468" s="2"/>
      <c r="V468">
        <v>5832</v>
      </c>
      <c r="W468" s="2">
        <v>6579000000</v>
      </c>
      <c r="X468" s="6">
        <v>150703.97545999996</v>
      </c>
      <c r="Y468" s="38">
        <v>10010</v>
      </c>
      <c r="Z468" s="86">
        <f>+((DETALLE_GD_1[[#This Row],[VALOR X UN (GD)]]-DETALLE_GD_1[[#This Row],[VALOR PPTO]])/DETALLE_GD_1[[#This Row],[VALOR PPTO]])</f>
        <v>-8.6099254893249089E-5</v>
      </c>
      <c r="AA468" s="2">
        <f>+DETALLE_GD_1[[#This Row],[VALOR PPTO]]*DETALLE_GD_1[[#This Row],[CANTIDAD RECIBIDA]]</f>
        <v>150703.9755</v>
      </c>
      <c r="AB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8" s="3">
        <f>+DETALLE_GD_1[[#This Row],[CANTIDAD SOLICITADA]]-DETALLE_GD_1[[#This Row],[DEVOLUCIÓN]]</f>
        <v>1</v>
      </c>
      <c r="AD468" s="38">
        <f>+_xlfn.XLOOKUP(DETALLE_GD_1[[#This Row],[CODIGO]],PRODUCTOS[CODIGO],PRODUCTOS[DESC CORTA],"",0)</f>
        <v>0</v>
      </c>
      <c r="AE468"/>
      <c r="AH468"/>
    </row>
    <row r="469" spans="1:34" x14ac:dyDescent="0.25">
      <c r="A469" s="1">
        <v>46099</v>
      </c>
      <c r="B469" s="1">
        <v>46099</v>
      </c>
      <c r="C469" s="81" t="s">
        <v>169</v>
      </c>
      <c r="D469" s="38">
        <v>3</v>
      </c>
      <c r="E469" s="81" t="s">
        <v>169</v>
      </c>
      <c r="F469">
        <v>407011</v>
      </c>
      <c r="G469" s="81" t="s">
        <v>30</v>
      </c>
      <c r="H469" s="81" t="s">
        <v>31</v>
      </c>
      <c r="I469" s="3">
        <v>1500</v>
      </c>
      <c r="J469" s="3"/>
      <c r="K469" s="26">
        <v>1500</v>
      </c>
      <c r="L469" s="2">
        <v>473.17529999999999</v>
      </c>
      <c r="M469" s="2">
        <v>709763</v>
      </c>
      <c r="N469" s="2">
        <v>709763</v>
      </c>
      <c r="O469" s="2">
        <v>473.17520000000002</v>
      </c>
      <c r="P469" s="2">
        <v>-1E-4</v>
      </c>
      <c r="Q469" s="2">
        <v>-0.14000000000000001</v>
      </c>
      <c r="R469" s="4">
        <v>-1.9724897997357141E-7</v>
      </c>
      <c r="T469">
        <v>309476</v>
      </c>
      <c r="U469" s="2"/>
      <c r="V469">
        <v>5832</v>
      </c>
      <c r="W469" s="2">
        <v>6579000000</v>
      </c>
      <c r="X469" s="6">
        <v>709762.85999999987</v>
      </c>
      <c r="Y469" s="38">
        <v>10010</v>
      </c>
      <c r="Z469" s="86">
        <f>+((DETALLE_GD_1[[#This Row],[VALOR X UN (GD)]]-DETALLE_GD_1[[#This Row],[VALOR PPTO]])/DETALLE_GD_1[[#This Row],[VALOR PPTO]])</f>
        <v>2.1133821040261184E-7</v>
      </c>
      <c r="AA469" s="2">
        <f>+DETALLE_GD_1[[#This Row],[VALOR PPTO]]*DETALLE_GD_1[[#This Row],[CANTIDAD RECIBIDA]]</f>
        <v>709762.8</v>
      </c>
      <c r="AB4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69" s="3">
        <f>+DETALLE_GD_1[[#This Row],[CANTIDAD SOLICITADA]]-DETALLE_GD_1[[#This Row],[DEVOLUCIÓN]]</f>
        <v>1500</v>
      </c>
      <c r="AD469" s="38" t="str">
        <f>+_xlfn.XLOOKUP(DETALLE_GD_1[[#This Row],[CODIGO]],PRODUCTOS[CODIGO],PRODUCTOS[DESC CORTA],"",0)</f>
        <v>TORNILLO SIMPSON 6"</v>
      </c>
      <c r="AE469"/>
      <c r="AH469"/>
    </row>
    <row r="470" spans="1:34" x14ac:dyDescent="0.25">
      <c r="A470" s="1">
        <v>46099</v>
      </c>
      <c r="B470" s="1">
        <v>46099</v>
      </c>
      <c r="C470" s="81" t="s">
        <v>169</v>
      </c>
      <c r="D470" s="38">
        <v>3</v>
      </c>
      <c r="E470" s="81" t="s">
        <v>169</v>
      </c>
      <c r="F470">
        <v>2302017</v>
      </c>
      <c r="G470" s="81" t="s">
        <v>156</v>
      </c>
      <c r="H470" s="81" t="s">
        <v>25</v>
      </c>
      <c r="I470" s="3">
        <v>2</v>
      </c>
      <c r="J470" s="3"/>
      <c r="K470" s="26">
        <v>2</v>
      </c>
      <c r="L470" s="2">
        <v>81199</v>
      </c>
      <c r="M470" s="2">
        <v>162398</v>
      </c>
      <c r="N470" s="2">
        <v>162398</v>
      </c>
      <c r="O470" s="2">
        <v>81197.881599999993</v>
      </c>
      <c r="P470" s="2">
        <v>-1.1184000000000001</v>
      </c>
      <c r="Q470" s="2">
        <v>-2.2368000000000001</v>
      </c>
      <c r="R470" s="4">
        <v>-1.3774016985072414E-5</v>
      </c>
      <c r="T470">
        <v>309476</v>
      </c>
      <c r="U470" s="2"/>
      <c r="V470">
        <v>5832</v>
      </c>
      <c r="W470" s="2">
        <v>6579000000</v>
      </c>
      <c r="X470" s="6">
        <v>162395.76315799996</v>
      </c>
      <c r="Y470" s="38">
        <v>10010</v>
      </c>
      <c r="Z470" s="86">
        <f>+((DETALLE_GD_1[[#This Row],[VALOR X UN (GD)]]-DETALLE_GD_1[[#This Row],[VALOR PPTO]])/DETALLE_GD_1[[#This Row],[VALOR PPTO]])</f>
        <v>1.3773758353896009E-5</v>
      </c>
      <c r="AA470" s="2">
        <f>+DETALLE_GD_1[[#This Row],[VALOR PPTO]]*DETALLE_GD_1[[#This Row],[CANTIDAD RECIBIDA]]</f>
        <v>162395.76319999999</v>
      </c>
      <c r="AB4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0" s="3">
        <f>+DETALLE_GD_1[[#This Row],[CANTIDAD SOLICITADA]]-DETALLE_GD_1[[#This Row],[DEVOLUCIÓN]]</f>
        <v>2</v>
      </c>
      <c r="AD470" s="38">
        <f>+_xlfn.XLOOKUP(DETALLE_GD_1[[#This Row],[CODIGO]],PRODUCTOS[CODIGO],PRODUCTOS[DESC CORTA],"",0)</f>
        <v>0</v>
      </c>
      <c r="AE470"/>
      <c r="AH470"/>
    </row>
    <row r="471" spans="1:34" x14ac:dyDescent="0.25">
      <c r="A471" s="1">
        <v>46099</v>
      </c>
      <c r="B471" s="1">
        <v>46099</v>
      </c>
      <c r="C471" s="81" t="s">
        <v>169</v>
      </c>
      <c r="D471" s="38">
        <v>3</v>
      </c>
      <c r="E471" s="81" t="s">
        <v>169</v>
      </c>
      <c r="F471">
        <v>907031</v>
      </c>
      <c r="G471" s="81" t="s">
        <v>256</v>
      </c>
      <c r="H471" s="81" t="s">
        <v>47</v>
      </c>
      <c r="I471" s="3">
        <v>2</v>
      </c>
      <c r="J471" s="3"/>
      <c r="K471" s="26">
        <v>2</v>
      </c>
      <c r="L471" s="2">
        <v>154915.5</v>
      </c>
      <c r="M471" s="2">
        <v>309831</v>
      </c>
      <c r="N471" s="2">
        <v>309831</v>
      </c>
      <c r="O471" s="2">
        <v>156269.1667</v>
      </c>
      <c r="P471" s="2">
        <v>1353.6667</v>
      </c>
      <c r="Q471" s="2">
        <v>2707.3332999999998</v>
      </c>
      <c r="R471" s="4">
        <v>8.662404080547902E-3</v>
      </c>
      <c r="T471">
        <v>309476</v>
      </c>
      <c r="U471" s="2"/>
      <c r="V471">
        <v>5832</v>
      </c>
      <c r="W471" s="2">
        <v>6579000000</v>
      </c>
      <c r="X471" s="6">
        <v>312538.33333400008</v>
      </c>
      <c r="Y471" s="38">
        <v>10010</v>
      </c>
      <c r="Z471" s="86">
        <f>+((DETALLE_GD_1[[#This Row],[VALOR X UN (GD)]]-DETALLE_GD_1[[#This Row],[VALOR PPTO]])/DETALLE_GD_1[[#This Row],[VALOR PPTO]])</f>
        <v>-8.6624042898924697E-3</v>
      </c>
      <c r="AA471" s="2">
        <f>+DETALLE_GD_1[[#This Row],[VALOR PPTO]]*DETALLE_GD_1[[#This Row],[CANTIDAD RECIBIDA]]</f>
        <v>312538.3334</v>
      </c>
      <c r="AB4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71" s="3">
        <f>+DETALLE_GD_1[[#This Row],[CANTIDAD SOLICITADA]]-DETALLE_GD_1[[#This Row],[DEVOLUCIÓN]]</f>
        <v>2</v>
      </c>
      <c r="AD471" s="38" t="str">
        <f>+_xlfn.XLOOKUP(DETALLE_GD_1[[#This Row],[CODIGO]],PRODUCTOS[CODIGO],PRODUCTOS[DESC CORTA],"",0)</f>
        <v>MEMBRANA PVC</v>
      </c>
      <c r="AE471"/>
      <c r="AH471"/>
    </row>
    <row r="472" spans="1:34" x14ac:dyDescent="0.25">
      <c r="A472" s="1">
        <v>46099</v>
      </c>
      <c r="B472" s="1">
        <v>46099</v>
      </c>
      <c r="C472" s="81" t="s">
        <v>169</v>
      </c>
      <c r="D472" s="38">
        <v>3</v>
      </c>
      <c r="E472" s="81" t="s">
        <v>169</v>
      </c>
      <c r="F472">
        <v>1902013</v>
      </c>
      <c r="G472" s="81" t="s">
        <v>338</v>
      </c>
      <c r="H472" s="81" t="s">
        <v>47</v>
      </c>
      <c r="I472" s="3">
        <v>30</v>
      </c>
      <c r="J472" s="3"/>
      <c r="K472" s="26">
        <v>30</v>
      </c>
      <c r="L472" s="2">
        <v>39090</v>
      </c>
      <c r="M472" s="2">
        <v>1172700</v>
      </c>
      <c r="N472" s="2">
        <v>1172700</v>
      </c>
      <c r="O472" s="2">
        <v>29779</v>
      </c>
      <c r="P472" s="2">
        <v>-9311</v>
      </c>
      <c r="Q472" s="2">
        <v>-279330</v>
      </c>
      <c r="R472" s="4">
        <v>-0.31267000235064979</v>
      </c>
      <c r="T472">
        <v>309476</v>
      </c>
      <c r="U472" s="2"/>
      <c r="V472">
        <v>5832</v>
      </c>
      <c r="W472" s="2">
        <v>6579000000</v>
      </c>
      <c r="X472" s="6">
        <v>893370</v>
      </c>
      <c r="Y472" s="38">
        <v>10010</v>
      </c>
      <c r="Z472" s="86">
        <f>+((DETALLE_GD_1[[#This Row],[VALOR X UN (GD)]]-DETALLE_GD_1[[#This Row],[VALOR PPTO]])/DETALLE_GD_1[[#This Row],[VALOR PPTO]])</f>
        <v>0.31267000235064979</v>
      </c>
      <c r="AA472" s="2">
        <f>+DETALLE_GD_1[[#This Row],[VALOR PPTO]]*DETALLE_GD_1[[#This Row],[CANTIDAD RECIBIDA]]</f>
        <v>893370</v>
      </c>
      <c r="AB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72" s="3">
        <f>+DETALLE_GD_1[[#This Row],[CANTIDAD SOLICITADA]]-DETALLE_GD_1[[#This Row],[DEVOLUCIÓN]]</f>
        <v>30</v>
      </c>
      <c r="AD472" s="38">
        <f>+_xlfn.XLOOKUP(DETALLE_GD_1[[#This Row],[CODIGO]],PRODUCTOS[CODIGO],PRODUCTOS[DESC CORTA],"",0)</f>
        <v>0</v>
      </c>
      <c r="AE472"/>
      <c r="AH472"/>
    </row>
    <row r="473" spans="1:34" x14ac:dyDescent="0.25">
      <c r="A473" s="1">
        <v>46099</v>
      </c>
      <c r="B473" s="1">
        <v>46099</v>
      </c>
      <c r="C473" s="81" t="s">
        <v>169</v>
      </c>
      <c r="D473" s="38">
        <v>3</v>
      </c>
      <c r="E473" s="81" t="s">
        <v>169</v>
      </c>
      <c r="F473">
        <v>617016</v>
      </c>
      <c r="G473" s="81" t="s">
        <v>133</v>
      </c>
      <c r="H473" s="81" t="s">
        <v>31</v>
      </c>
      <c r="I473" s="3">
        <v>12</v>
      </c>
      <c r="J473" s="3"/>
      <c r="K473" s="26">
        <v>12</v>
      </c>
      <c r="L473" s="2">
        <v>2864.5832999999998</v>
      </c>
      <c r="M473" s="2">
        <v>34375</v>
      </c>
      <c r="N473" s="2">
        <v>34375</v>
      </c>
      <c r="O473" s="2">
        <v>2857.5133000000001</v>
      </c>
      <c r="P473" s="2">
        <v>-7.0701000000000001</v>
      </c>
      <c r="Q473" s="2">
        <v>-84.840699999999998</v>
      </c>
      <c r="R473" s="4">
        <v>-2.4741999967813886E-3</v>
      </c>
      <c r="T473">
        <v>309476</v>
      </c>
      <c r="U473" s="2"/>
      <c r="V473">
        <v>5832</v>
      </c>
      <c r="W473" s="2">
        <v>6579000000</v>
      </c>
      <c r="X473" s="6">
        <v>34290.159287999995</v>
      </c>
      <c r="Y473" s="38">
        <v>10010</v>
      </c>
      <c r="Z473" s="86">
        <f>+((DETALLE_GD_1[[#This Row],[VALOR X UN (GD)]]-DETALLE_GD_1[[#This Row],[VALOR PPTO]])/DETALLE_GD_1[[#This Row],[VALOR PPTO]])</f>
        <v>2.4741792102943873E-3</v>
      </c>
      <c r="AA473" s="2">
        <f>+DETALLE_GD_1[[#This Row],[VALOR PPTO]]*DETALLE_GD_1[[#This Row],[CANTIDAD RECIBIDA]]</f>
        <v>34290.159599999999</v>
      </c>
      <c r="AB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3" s="3">
        <f>+DETALLE_GD_1[[#This Row],[CANTIDAD SOLICITADA]]-DETALLE_GD_1[[#This Row],[DEVOLUCIÓN]]</f>
        <v>12</v>
      </c>
      <c r="AD473" s="38" t="str">
        <f>+_xlfn.XLOOKUP(DETALLE_GD_1[[#This Row],[CODIGO]],PRODUCTOS[CODIGO],PRODUCTOS[DESC CORTA],"",0)</f>
        <v>RODILLO CHIPORRO</v>
      </c>
      <c r="AE473"/>
      <c r="AH473"/>
    </row>
    <row r="474" spans="1:34" x14ac:dyDescent="0.25">
      <c r="A474" s="1">
        <v>46099</v>
      </c>
      <c r="B474" s="1">
        <v>46099</v>
      </c>
      <c r="C474" s="81" t="s">
        <v>169</v>
      </c>
      <c r="D474" s="38">
        <v>3</v>
      </c>
      <c r="E474" s="81" t="s">
        <v>169</v>
      </c>
      <c r="F474">
        <v>2304053</v>
      </c>
      <c r="G474" s="81" t="s">
        <v>213</v>
      </c>
      <c r="H474" s="81" t="s">
        <v>31</v>
      </c>
      <c r="I474" s="3">
        <v>12</v>
      </c>
      <c r="J474" s="3"/>
      <c r="K474" s="26">
        <v>12</v>
      </c>
      <c r="L474" s="2">
        <v>893.5</v>
      </c>
      <c r="M474" s="2">
        <v>10722</v>
      </c>
      <c r="N474" s="2">
        <v>10722</v>
      </c>
      <c r="O474" s="2">
        <v>862</v>
      </c>
      <c r="P474" s="2">
        <v>-31.5</v>
      </c>
      <c r="Q474" s="2">
        <v>-378</v>
      </c>
      <c r="R474" s="4">
        <v>-3.6542923433874573E-2</v>
      </c>
      <c r="T474">
        <v>309476</v>
      </c>
      <c r="U474" s="2"/>
      <c r="V474">
        <v>5832</v>
      </c>
      <c r="W474" s="2">
        <v>6579000000</v>
      </c>
      <c r="X474" s="6">
        <v>10344.000000000002</v>
      </c>
      <c r="Y474" s="38">
        <v>10010</v>
      </c>
      <c r="Z474" s="86">
        <f>+((DETALLE_GD_1[[#This Row],[VALOR X UN (GD)]]-DETALLE_GD_1[[#This Row],[VALOR PPTO]])/DETALLE_GD_1[[#This Row],[VALOR PPTO]])</f>
        <v>3.6542923433874712E-2</v>
      </c>
      <c r="AA474" s="2">
        <f>+DETALLE_GD_1[[#This Row],[VALOR PPTO]]*DETALLE_GD_1[[#This Row],[CANTIDAD RECIBIDA]]</f>
        <v>10344</v>
      </c>
      <c r="AB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4" s="3">
        <f>+DETALLE_GD_1[[#This Row],[CANTIDAD SOLICITADA]]-DETALLE_GD_1[[#This Row],[DEVOLUCIÓN]]</f>
        <v>12</v>
      </c>
      <c r="AD474" s="38">
        <f>+_xlfn.XLOOKUP(DETALLE_GD_1[[#This Row],[CODIGO]],PRODUCTOS[CODIGO],PRODUCTOS[DESC CORTA],"",0)</f>
        <v>0</v>
      </c>
      <c r="AE474"/>
      <c r="AH474"/>
    </row>
    <row r="475" spans="1:34" x14ac:dyDescent="0.25">
      <c r="A475" s="1">
        <v>46099</v>
      </c>
      <c r="B475" s="1">
        <v>46099</v>
      </c>
      <c r="C475" s="81" t="s">
        <v>169</v>
      </c>
      <c r="D475" s="38">
        <v>3</v>
      </c>
      <c r="E475" s="81" t="s">
        <v>169</v>
      </c>
      <c r="F475">
        <v>617057</v>
      </c>
      <c r="G475" s="81" t="s">
        <v>134</v>
      </c>
      <c r="H475" s="81" t="s">
        <v>31</v>
      </c>
      <c r="I475" s="3">
        <v>10</v>
      </c>
      <c r="J475" s="3"/>
      <c r="K475" s="26">
        <v>10</v>
      </c>
      <c r="L475" s="2">
        <v>2042.1</v>
      </c>
      <c r="M475" s="2">
        <v>20421</v>
      </c>
      <c r="N475" s="2">
        <v>20421</v>
      </c>
      <c r="O475" s="2">
        <v>2042.1197</v>
      </c>
      <c r="P475" s="2">
        <v>1.9699999999999999E-2</v>
      </c>
      <c r="Q475" s="2">
        <v>0.1971</v>
      </c>
      <c r="R475" s="4">
        <v>9.6497771125479603E-6</v>
      </c>
      <c r="T475">
        <v>309476</v>
      </c>
      <c r="U475" s="2"/>
      <c r="V475">
        <v>5832</v>
      </c>
      <c r="W475" s="2">
        <v>6579000000</v>
      </c>
      <c r="X475" s="6">
        <v>20421.197059999999</v>
      </c>
      <c r="Y475" s="38">
        <v>10010</v>
      </c>
      <c r="Z475" s="86">
        <f>+((DETALLE_GD_1[[#This Row],[VALOR X UN (GD)]]-DETALLE_GD_1[[#This Row],[VALOR PPTO]])/DETALLE_GD_1[[#This Row],[VALOR PPTO]])</f>
        <v>-9.6468390173490395E-6</v>
      </c>
      <c r="AA475" s="2">
        <f>+DETALLE_GD_1[[#This Row],[VALOR PPTO]]*DETALLE_GD_1[[#This Row],[CANTIDAD RECIBIDA]]</f>
        <v>20421.197</v>
      </c>
      <c r="AB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5" s="3">
        <f>+DETALLE_GD_1[[#This Row],[CANTIDAD SOLICITADA]]-DETALLE_GD_1[[#This Row],[DEVOLUCIÓN]]</f>
        <v>10</v>
      </c>
      <c r="AD475" s="38" t="str">
        <f>+_xlfn.XLOOKUP(DETALLE_GD_1[[#This Row],[CODIGO]],PRODUCTOS[CODIGO],PRODUCTOS[DESC CORTA],"",0)</f>
        <v>BROCHA 5/8 X4</v>
      </c>
      <c r="AE475"/>
      <c r="AH475"/>
    </row>
    <row r="476" spans="1:34" x14ac:dyDescent="0.25">
      <c r="A476" s="1">
        <v>46099</v>
      </c>
      <c r="B476" s="1">
        <v>46099</v>
      </c>
      <c r="C476" s="81" t="s">
        <v>169</v>
      </c>
      <c r="D476" s="38">
        <v>3</v>
      </c>
      <c r="E476" s="81" t="s">
        <v>169</v>
      </c>
      <c r="F476">
        <v>2302119</v>
      </c>
      <c r="G476" s="81" t="s">
        <v>74</v>
      </c>
      <c r="H476" s="81" t="s">
        <v>31</v>
      </c>
      <c r="I476" s="3">
        <v>60</v>
      </c>
      <c r="J476" s="3"/>
      <c r="K476" s="26">
        <v>60</v>
      </c>
      <c r="L476" s="2">
        <v>3670.8667</v>
      </c>
      <c r="M476" s="2">
        <v>220252</v>
      </c>
      <c r="N476" s="2">
        <v>220252</v>
      </c>
      <c r="O476" s="2">
        <v>3671</v>
      </c>
      <c r="P476" s="2">
        <v>0.1333</v>
      </c>
      <c r="Q476" s="2">
        <v>8</v>
      </c>
      <c r="R476" s="4">
        <v>3.6320711885919928E-5</v>
      </c>
      <c r="T476">
        <v>309476</v>
      </c>
      <c r="U476" s="2"/>
      <c r="V476">
        <v>5832</v>
      </c>
      <c r="W476" s="2">
        <v>6579000000</v>
      </c>
      <c r="X476" s="6">
        <v>220260</v>
      </c>
      <c r="Y476" s="38">
        <v>10010</v>
      </c>
      <c r="Z476" s="86">
        <f>+((DETALLE_GD_1[[#This Row],[VALOR X UN (GD)]]-DETALLE_GD_1[[#This Row],[VALOR PPTO]])/DETALLE_GD_1[[#This Row],[VALOR PPTO]])</f>
        <v>-3.6311631707971365E-5</v>
      </c>
      <c r="AA476" s="2">
        <f>+DETALLE_GD_1[[#This Row],[VALOR PPTO]]*DETALLE_GD_1[[#This Row],[CANTIDAD RECIBIDA]]</f>
        <v>220260</v>
      </c>
      <c r="AB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6" s="3">
        <f>+DETALLE_GD_1[[#This Row],[CANTIDAD SOLICITADA]]-DETALLE_GD_1[[#This Row],[DEVOLUCIÓN]]</f>
        <v>60</v>
      </c>
      <c r="AD476" s="38" t="str">
        <f>+_xlfn.XLOOKUP(DETALLE_GD_1[[#This Row],[CODIGO]],PRODUCTOS[CODIGO],PRODUCTOS[DESC CORTA],"",0)</f>
        <v>SELLO</v>
      </c>
      <c r="AE476"/>
      <c r="AH476"/>
    </row>
    <row r="477" spans="1:34" x14ac:dyDescent="0.25">
      <c r="A477" s="1">
        <v>46099</v>
      </c>
      <c r="B477" s="1">
        <v>46099</v>
      </c>
      <c r="C477" s="81" t="s">
        <v>169</v>
      </c>
      <c r="D477" s="38">
        <v>3</v>
      </c>
      <c r="E477" s="81" t="s">
        <v>169</v>
      </c>
      <c r="F477">
        <v>2302098</v>
      </c>
      <c r="G477" s="81" t="s">
        <v>24</v>
      </c>
      <c r="H477" s="81" t="s">
        <v>25</v>
      </c>
      <c r="I477" s="3">
        <v>10</v>
      </c>
      <c r="J477" s="3"/>
      <c r="K477" s="26">
        <v>10</v>
      </c>
      <c r="L477" s="2">
        <v>21213</v>
      </c>
      <c r="M477" s="2">
        <v>212130</v>
      </c>
      <c r="N477" s="2">
        <v>212130</v>
      </c>
      <c r="O477" s="2">
        <v>21213</v>
      </c>
      <c r="P477" s="2">
        <v>0</v>
      </c>
      <c r="Q477" s="2">
        <v>0</v>
      </c>
      <c r="R477" s="4">
        <v>-1.7149761029050001E-16</v>
      </c>
      <c r="T477">
        <v>309476</v>
      </c>
      <c r="U477" s="2"/>
      <c r="V477">
        <v>5832</v>
      </c>
      <c r="W477" s="2">
        <v>6579000000</v>
      </c>
      <c r="X477" s="6">
        <v>212129.99999999997</v>
      </c>
      <c r="Y477" s="38">
        <v>10010</v>
      </c>
      <c r="Z477" s="86">
        <f>+((DETALLE_GD_1[[#This Row],[VALOR X UN (GD)]]-DETALLE_GD_1[[#This Row],[VALOR PPTO]])/DETALLE_GD_1[[#This Row],[VALOR PPTO]])</f>
        <v>0</v>
      </c>
      <c r="AA477" s="2">
        <f>+DETALLE_GD_1[[#This Row],[VALOR PPTO]]*DETALLE_GD_1[[#This Row],[CANTIDAD RECIBIDA]]</f>
        <v>212130</v>
      </c>
      <c r="AB4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7" s="3">
        <f>+DETALLE_GD_1[[#This Row],[CANTIDAD SOLICITADA]]-DETALLE_GD_1[[#This Row],[DEVOLUCIÓN]]</f>
        <v>10</v>
      </c>
      <c r="AD477" s="38" t="str">
        <f>+_xlfn.XLOOKUP(DETALLE_GD_1[[#This Row],[CODIGO]],PRODUCTOS[CODIGO],PRODUCTOS[DESC CORTA],"",0)</f>
        <v>COLA FRIA</v>
      </c>
      <c r="AE477"/>
      <c r="AH477"/>
    </row>
    <row r="478" spans="1:34" x14ac:dyDescent="0.25">
      <c r="A478" s="1">
        <v>46100</v>
      </c>
      <c r="B478" s="1">
        <v>46100</v>
      </c>
      <c r="C478" s="81" t="s">
        <v>169</v>
      </c>
      <c r="D478" s="38">
        <v>3</v>
      </c>
      <c r="E478" s="81" t="s">
        <v>169</v>
      </c>
      <c r="F478" t="s">
        <v>82</v>
      </c>
      <c r="G478" s="81" t="s">
        <v>83</v>
      </c>
      <c r="H478" s="81" t="s">
        <v>36</v>
      </c>
      <c r="I478" s="3">
        <v>3</v>
      </c>
      <c r="J478" s="3"/>
      <c r="K478" s="26">
        <v>3</v>
      </c>
      <c r="L478" s="2">
        <v>36939.666700000002</v>
      </c>
      <c r="M478" s="2">
        <v>110819</v>
      </c>
      <c r="N478" s="2">
        <v>110819</v>
      </c>
      <c r="O478" s="2">
        <v>36939.818200000002</v>
      </c>
      <c r="P478" s="2">
        <v>0.1515</v>
      </c>
      <c r="Q478" s="2">
        <v>0.45450000000000002</v>
      </c>
      <c r="R478" s="4">
        <v>4.1016805382584259E-6</v>
      </c>
      <c r="T478">
        <v>309584</v>
      </c>
      <c r="U478" s="2">
        <v>110819</v>
      </c>
      <c r="V478">
        <v>5832</v>
      </c>
      <c r="W478" s="2">
        <v>6579000000</v>
      </c>
      <c r="X478" s="6">
        <v>110819.45454599996</v>
      </c>
      <c r="Y478" s="38">
        <v>10010</v>
      </c>
      <c r="Z478" s="86">
        <f>+((DETALLE_GD_1[[#This Row],[VALOR X UN (GD)]]-DETALLE_GD_1[[#This Row],[VALOR PPTO]])/DETALLE_GD_1[[#This Row],[VALOR PPTO]])</f>
        <v>-4.1012654469409861E-6</v>
      </c>
      <c r="AA478" s="2">
        <f>+DETALLE_GD_1[[#This Row],[VALOR PPTO]]*DETALLE_GD_1[[#This Row],[CANTIDAD RECIBIDA]]</f>
        <v>110819.4546</v>
      </c>
      <c r="AB4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78" s="3">
        <f>+DETALLE_GD_1[[#This Row],[CANTIDAD SOLICITADA]]-DETALLE_GD_1[[#This Row],[DEVOLUCIÓN]]</f>
        <v>3</v>
      </c>
      <c r="AD478" s="38" t="str">
        <f>+_xlfn.XLOOKUP(DETALLE_GD_1[[#This Row],[CODIGO]],PRODUCTOS[CODIGO],PRODUCTOS[DESC CORTA],"",0)</f>
        <v>CLAVO R20</v>
      </c>
      <c r="AE478"/>
      <c r="AH478"/>
    </row>
    <row r="479" spans="1:34" x14ac:dyDescent="0.25">
      <c r="A479" s="1">
        <v>46100</v>
      </c>
      <c r="B479" s="1">
        <v>46100</v>
      </c>
      <c r="C479" s="81" t="s">
        <v>169</v>
      </c>
      <c r="D479" s="38">
        <v>3</v>
      </c>
      <c r="E479" s="81" t="s">
        <v>169</v>
      </c>
      <c r="F479">
        <v>304007</v>
      </c>
      <c r="G479" s="81" t="s">
        <v>80</v>
      </c>
      <c r="H479" s="81" t="s">
        <v>18</v>
      </c>
      <c r="I479" s="3">
        <v>216</v>
      </c>
      <c r="J479" s="3"/>
      <c r="K479" s="26">
        <v>216</v>
      </c>
      <c r="L479" s="2">
        <v>11336.4167</v>
      </c>
      <c r="M479" s="2">
        <v>2448666</v>
      </c>
      <c r="N479" s="2">
        <v>2448666</v>
      </c>
      <c r="O479" s="2">
        <v>11444.352999999999</v>
      </c>
      <c r="P479" s="2">
        <v>107.93640000000001</v>
      </c>
      <c r="Q479" s="2">
        <v>23314.252799999998</v>
      </c>
      <c r="R479" s="4">
        <v>9.4314073609787028E-3</v>
      </c>
      <c r="T479">
        <v>309565</v>
      </c>
      <c r="U479" s="2">
        <v>10478056</v>
      </c>
      <c r="V479">
        <v>5832</v>
      </c>
      <c r="W479" s="2">
        <v>6579000000</v>
      </c>
      <c r="X479" s="6">
        <v>2471980.2527519991</v>
      </c>
      <c r="Y479" s="38">
        <v>10010</v>
      </c>
      <c r="Z479" s="86">
        <f>+((DETALLE_GD_1[[#This Row],[VALOR X UN (GD)]]-DETALLE_GD_1[[#This Row],[VALOR PPTO]])/DETALLE_GD_1[[#This Row],[VALOR PPTO]])</f>
        <v>-9.4314025441193054E-3</v>
      </c>
      <c r="AA479" s="2">
        <f>+DETALLE_GD_1[[#This Row],[VALOR PPTO]]*DETALLE_GD_1[[#This Row],[CANTIDAD RECIBIDA]]</f>
        <v>2471980.2479999997</v>
      </c>
      <c r="AB4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79" s="3">
        <f>+DETALLE_GD_1[[#This Row],[CANTIDAD SOLICITADA]]-DETALLE_GD_1[[#This Row],[DEVOLUCIÓN]]</f>
        <v>216</v>
      </c>
      <c r="AD479" s="38" t="str">
        <f>+_xlfn.XLOOKUP(DETALLE_GD_1[[#This Row],[CODIGO]],PRODUCTOS[CODIGO],PRODUCTOS[DESC CORTA],"",0)</f>
        <v>OSB 11MM</v>
      </c>
      <c r="AE479"/>
      <c r="AH479"/>
    </row>
    <row r="480" spans="1:34" x14ac:dyDescent="0.25">
      <c r="A480" s="1">
        <v>46100</v>
      </c>
      <c r="B480" s="1">
        <v>46100</v>
      </c>
      <c r="C480" s="81" t="s">
        <v>169</v>
      </c>
      <c r="D480" s="38">
        <v>3</v>
      </c>
      <c r="E480" s="81" t="s">
        <v>169</v>
      </c>
      <c r="F480">
        <v>304101</v>
      </c>
      <c r="G480" s="81" t="s">
        <v>17</v>
      </c>
      <c r="H480" s="81" t="s">
        <v>18</v>
      </c>
      <c r="I480" s="3">
        <v>252</v>
      </c>
      <c r="J480" s="3"/>
      <c r="K480" s="26">
        <v>252</v>
      </c>
      <c r="L480" s="2">
        <v>9624.9127000000008</v>
      </c>
      <c r="M480" s="2">
        <v>2425478</v>
      </c>
      <c r="N480" s="2">
        <v>2425478</v>
      </c>
      <c r="O480" s="2">
        <v>9657.5879999999997</v>
      </c>
      <c r="P480" s="2">
        <v>32.6753</v>
      </c>
      <c r="Q480" s="2">
        <v>8234.1633999999995</v>
      </c>
      <c r="R480" s="4">
        <v>3.3833760310002414E-3</v>
      </c>
      <c r="T480">
        <v>309565</v>
      </c>
      <c r="U480" s="2"/>
      <c r="V480">
        <v>5832</v>
      </c>
      <c r="W480" s="2">
        <v>6579000000</v>
      </c>
      <c r="X480" s="6">
        <v>2433712.1634000018</v>
      </c>
      <c r="Y480" s="38">
        <v>10010</v>
      </c>
      <c r="Z480" s="86">
        <f>+((DETALLE_GD_1[[#This Row],[VALOR X UN (GD)]]-DETALLE_GD_1[[#This Row],[VALOR PPTO]])/DETALLE_GD_1[[#This Row],[VALOR PPTO]])</f>
        <v>-3.3833810264011026E-3</v>
      </c>
      <c r="AA480" s="2">
        <f>+DETALLE_GD_1[[#This Row],[VALOR PPTO]]*DETALLE_GD_1[[#This Row],[CANTIDAD RECIBIDA]]</f>
        <v>2433712.176</v>
      </c>
      <c r="AB4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0" s="3">
        <f>+DETALLE_GD_1[[#This Row],[CANTIDAD SOLICITADA]]-DETALLE_GD_1[[#This Row],[DEVOLUCIÓN]]</f>
        <v>252</v>
      </c>
      <c r="AD480" s="38" t="str">
        <f>+_xlfn.XLOOKUP(DETALLE_GD_1[[#This Row],[CODIGO]],PRODUCTOS[CODIGO],PRODUCTOS[DESC CORTA],"",0)</f>
        <v>OSB 9.5</v>
      </c>
      <c r="AE480"/>
      <c r="AH480"/>
    </row>
    <row r="481" spans="1:34" x14ac:dyDescent="0.25">
      <c r="A481" s="1">
        <v>46100</v>
      </c>
      <c r="B481" s="1">
        <v>46100</v>
      </c>
      <c r="C481" s="81" t="s">
        <v>169</v>
      </c>
      <c r="D481" s="38">
        <v>3</v>
      </c>
      <c r="E481" s="81" t="s">
        <v>169</v>
      </c>
      <c r="F481">
        <v>701043</v>
      </c>
      <c r="G481" s="81" t="s">
        <v>197</v>
      </c>
      <c r="H481" s="81" t="s">
        <v>18</v>
      </c>
      <c r="I481" s="3">
        <v>70</v>
      </c>
      <c r="J481" s="3"/>
      <c r="K481" s="26">
        <v>70</v>
      </c>
      <c r="L481" s="2">
        <v>22428.3714</v>
      </c>
      <c r="M481" s="2">
        <v>1569986</v>
      </c>
      <c r="N481" s="2">
        <v>1569986</v>
      </c>
      <c r="O481" s="2">
        <v>22146.362799999999</v>
      </c>
      <c r="P481" s="2">
        <v>-282.00869999999998</v>
      </c>
      <c r="Q481" s="2">
        <v>-19740.606</v>
      </c>
      <c r="R481" s="4">
        <v>-1.2733858804479373E-2</v>
      </c>
      <c r="T481">
        <v>309565</v>
      </c>
      <c r="U481" s="2"/>
      <c r="V481">
        <v>5832</v>
      </c>
      <c r="W481" s="2">
        <v>6579000000</v>
      </c>
      <c r="X481" s="6">
        <v>1550245.3940399999</v>
      </c>
      <c r="Y481" s="38">
        <v>10010</v>
      </c>
      <c r="Z481" s="86">
        <f>+((DETALLE_GD_1[[#This Row],[VALOR X UN (GD)]]-DETALLE_GD_1[[#This Row],[VALOR PPTO]])/DETALLE_GD_1[[#This Row],[VALOR PPTO]])</f>
        <v>1.2733856233945604E-2</v>
      </c>
      <c r="AA481" s="2">
        <f>+DETALLE_GD_1[[#This Row],[VALOR PPTO]]*DETALLE_GD_1[[#This Row],[CANTIDAD RECIBIDA]]</f>
        <v>1550245.3959999999</v>
      </c>
      <c r="AB4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1" s="3">
        <f>+DETALLE_GD_1[[#This Row],[CANTIDAD SOLICITADA]]-DETALLE_GD_1[[#This Row],[DEVOLUCIÓN]]</f>
        <v>70</v>
      </c>
      <c r="AD481" s="38" t="str">
        <f>+_xlfn.XLOOKUP(DETALLE_GD_1[[#This Row],[CODIGO]],PRODUCTOS[CODIGO],PRODUCTOS[DESC CORTA],"",0)</f>
        <v>VOLCANITA EMPAPELADA CIELO</v>
      </c>
      <c r="AE481"/>
      <c r="AH481"/>
    </row>
    <row r="482" spans="1:34" x14ac:dyDescent="0.25">
      <c r="A482" s="1">
        <v>46100</v>
      </c>
      <c r="B482" s="1">
        <v>46100</v>
      </c>
      <c r="C482" s="81" t="s">
        <v>169</v>
      </c>
      <c r="D482" s="38">
        <v>3</v>
      </c>
      <c r="E482" s="81" t="s">
        <v>169</v>
      </c>
      <c r="F482">
        <v>701096</v>
      </c>
      <c r="G482" s="81" t="s">
        <v>204</v>
      </c>
      <c r="H482" s="81" t="s">
        <v>18</v>
      </c>
      <c r="I482" s="3">
        <v>70</v>
      </c>
      <c r="J482" s="3"/>
      <c r="K482" s="26">
        <v>70</v>
      </c>
      <c r="L482" s="2">
        <v>16650.114300000001</v>
      </c>
      <c r="M482" s="2">
        <v>1165508</v>
      </c>
      <c r="N482" s="2">
        <v>1165508</v>
      </c>
      <c r="O482" s="2">
        <v>16019.885700000001</v>
      </c>
      <c r="P482" s="2">
        <v>-630.22860000000003</v>
      </c>
      <c r="Q482" s="2">
        <v>-44116.002</v>
      </c>
      <c r="R482" s="4">
        <v>-3.9340393128047539E-2</v>
      </c>
      <c r="T482">
        <v>309565</v>
      </c>
      <c r="U482" s="2"/>
      <c r="V482">
        <v>5832</v>
      </c>
      <c r="W482" s="2">
        <v>6579000000</v>
      </c>
      <c r="X482" s="6">
        <v>1121391.9979500002</v>
      </c>
      <c r="Y482" s="38">
        <v>10010</v>
      </c>
      <c r="Z482" s="86">
        <f>+((DETALLE_GD_1[[#This Row],[VALOR X UN (GD)]]-DETALLE_GD_1[[#This Row],[VALOR PPTO]])/DETALLE_GD_1[[#This Row],[VALOR PPTO]])</f>
        <v>3.9340393046624567E-2</v>
      </c>
      <c r="AA482" s="2">
        <f>+DETALLE_GD_1[[#This Row],[VALOR PPTO]]*DETALLE_GD_1[[#This Row],[CANTIDAD RECIBIDA]]</f>
        <v>1121391.9990000001</v>
      </c>
      <c r="AB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2" s="3">
        <f>+DETALLE_GD_1[[#This Row],[CANTIDAD SOLICITADA]]-DETALLE_GD_1[[#This Row],[DEVOLUCIÓN]]</f>
        <v>70</v>
      </c>
      <c r="AD482" s="38" t="str">
        <f>+_xlfn.XLOOKUP(DETALLE_GD_1[[#This Row],[CODIGO]],PRODUCTOS[CODIGO],PRODUCTOS[DESC CORTA],"",0)</f>
        <v>VOCANITA EMPAPELADA MURO</v>
      </c>
      <c r="AE482"/>
      <c r="AH482"/>
    </row>
    <row r="483" spans="1:34" x14ac:dyDescent="0.25">
      <c r="A483" s="1">
        <v>46100</v>
      </c>
      <c r="B483" s="1">
        <v>46100</v>
      </c>
      <c r="C483" s="81" t="s">
        <v>169</v>
      </c>
      <c r="D483" s="38">
        <v>3</v>
      </c>
      <c r="E483" s="81" t="s">
        <v>169</v>
      </c>
      <c r="F483">
        <v>705028</v>
      </c>
      <c r="G483" s="81" t="s">
        <v>72</v>
      </c>
      <c r="H483" s="81" t="s">
        <v>18</v>
      </c>
      <c r="I483" s="3">
        <v>40</v>
      </c>
      <c r="J483" s="3"/>
      <c r="K483" s="26">
        <v>40</v>
      </c>
      <c r="L483" s="2">
        <v>22787.5</v>
      </c>
      <c r="M483" s="2">
        <v>911500</v>
      </c>
      <c r="N483" s="2">
        <v>911500</v>
      </c>
      <c r="O483" s="2">
        <v>22927.086200000002</v>
      </c>
      <c r="P483" s="2">
        <v>139.58619999999999</v>
      </c>
      <c r="Q483" s="2">
        <v>5583.4483</v>
      </c>
      <c r="R483" s="4">
        <v>6.0882663300398992E-3</v>
      </c>
      <c r="T483">
        <v>309565</v>
      </c>
      <c r="U483" s="2"/>
      <c r="V483">
        <v>5832</v>
      </c>
      <c r="W483" s="2">
        <v>6579000000</v>
      </c>
      <c r="X483" s="6">
        <v>917083.44828000001</v>
      </c>
      <c r="Y483" s="38">
        <v>10010</v>
      </c>
      <c r="Z483" s="86">
        <f>+((DETALLE_GD_1[[#This Row],[VALOR X UN (GD)]]-DETALLE_GD_1[[#This Row],[VALOR PPTO]])/DETALLE_GD_1[[#This Row],[VALOR PPTO]])</f>
        <v>-6.0882660265830701E-3</v>
      </c>
      <c r="AA483" s="2">
        <f>+DETALLE_GD_1[[#This Row],[VALOR PPTO]]*DETALLE_GD_1[[#This Row],[CANTIDAD RECIBIDA]]</f>
        <v>917083.44800000009</v>
      </c>
      <c r="AB4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3" s="3">
        <f>+DETALLE_GD_1[[#This Row],[CANTIDAD SOLICITADA]]-DETALLE_GD_1[[#This Row],[DEVOLUCIÓN]]</f>
        <v>40</v>
      </c>
      <c r="AD483" s="38" t="str">
        <f>+_xlfn.XLOOKUP(DETALLE_GD_1[[#This Row],[CODIGO]],PRODUCTOS[CODIGO],PRODUCTOS[DESC CORTA],"",0)</f>
        <v>SIMPLISIMA</v>
      </c>
      <c r="AE483"/>
      <c r="AH483"/>
    </row>
    <row r="484" spans="1:34" x14ac:dyDescent="0.25">
      <c r="A484" s="1">
        <v>46100</v>
      </c>
      <c r="B484" s="1">
        <v>46100</v>
      </c>
      <c r="C484" s="81" t="s">
        <v>169</v>
      </c>
      <c r="D484" s="38">
        <v>3</v>
      </c>
      <c r="E484" s="81" t="s">
        <v>169</v>
      </c>
      <c r="F484">
        <v>2302017</v>
      </c>
      <c r="G484" s="81" t="s">
        <v>156</v>
      </c>
      <c r="H484" s="81" t="s">
        <v>25</v>
      </c>
      <c r="I484" s="3">
        <v>2</v>
      </c>
      <c r="J484" s="3"/>
      <c r="K484" s="26">
        <v>2</v>
      </c>
      <c r="L484" s="2">
        <v>81199.5</v>
      </c>
      <c r="M484" s="2">
        <v>162399</v>
      </c>
      <c r="N484" s="2">
        <v>162399</v>
      </c>
      <c r="O484" s="2">
        <v>81197.881599999993</v>
      </c>
      <c r="P484" s="2">
        <v>-1.6184000000000001</v>
      </c>
      <c r="Q484" s="2">
        <v>-3.2368000000000001</v>
      </c>
      <c r="R484" s="4">
        <v>-1.9931813103355797E-5</v>
      </c>
      <c r="T484">
        <v>309565</v>
      </c>
      <c r="U484" s="2"/>
      <c r="V484">
        <v>5832</v>
      </c>
      <c r="W484" s="2">
        <v>6579000000</v>
      </c>
      <c r="X484" s="6">
        <v>162395.76315799996</v>
      </c>
      <c r="Y484" s="38">
        <v>10010</v>
      </c>
      <c r="Z484" s="86">
        <f>+((DETALLE_GD_1[[#This Row],[VALOR X UN (GD)]]-DETALLE_GD_1[[#This Row],[VALOR PPTO]])/DETALLE_GD_1[[#This Row],[VALOR PPTO]])</f>
        <v>1.9931554470586818E-5</v>
      </c>
      <c r="AA484" s="2">
        <f>+DETALLE_GD_1[[#This Row],[VALOR PPTO]]*DETALLE_GD_1[[#This Row],[CANTIDAD RECIBIDA]]</f>
        <v>162395.76319999999</v>
      </c>
      <c r="AB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4" s="3">
        <f>+DETALLE_GD_1[[#This Row],[CANTIDAD SOLICITADA]]-DETALLE_GD_1[[#This Row],[DEVOLUCIÓN]]</f>
        <v>2</v>
      </c>
      <c r="AD484" s="38">
        <f>+_xlfn.XLOOKUP(DETALLE_GD_1[[#This Row],[CODIGO]],PRODUCTOS[CODIGO],PRODUCTOS[DESC CORTA],"",0)</f>
        <v>0</v>
      </c>
      <c r="AE484"/>
      <c r="AH484"/>
    </row>
    <row r="485" spans="1:34" x14ac:dyDescent="0.25">
      <c r="A485" s="1">
        <v>46100</v>
      </c>
      <c r="B485" s="1">
        <v>46100</v>
      </c>
      <c r="C485" s="81" t="s">
        <v>169</v>
      </c>
      <c r="D485" s="38">
        <v>3</v>
      </c>
      <c r="E485" s="81" t="s">
        <v>169</v>
      </c>
      <c r="F485">
        <v>407011</v>
      </c>
      <c r="G485" s="81" t="s">
        <v>30</v>
      </c>
      <c r="H485" s="81" t="s">
        <v>31</v>
      </c>
      <c r="I485" s="3">
        <v>1500</v>
      </c>
      <c r="J485" s="3"/>
      <c r="K485" s="26">
        <v>1500</v>
      </c>
      <c r="L485" s="2">
        <v>473.17529999999999</v>
      </c>
      <c r="M485" s="2">
        <v>709763</v>
      </c>
      <c r="N485" s="2">
        <v>709763</v>
      </c>
      <c r="O485" s="2">
        <v>473.17520000000002</v>
      </c>
      <c r="P485" s="2">
        <v>-1E-4</v>
      </c>
      <c r="Q485" s="2">
        <v>-0.14000000000000001</v>
      </c>
      <c r="R485" s="4">
        <v>-1.9724897997357141E-7</v>
      </c>
      <c r="T485">
        <v>309565</v>
      </c>
      <c r="U485" s="2"/>
      <c r="V485">
        <v>5832</v>
      </c>
      <c r="W485" s="2">
        <v>6579000000</v>
      </c>
      <c r="X485" s="6">
        <v>709762.85999999987</v>
      </c>
      <c r="Y485" s="38">
        <v>10010</v>
      </c>
      <c r="Z485" s="86">
        <f>+((DETALLE_GD_1[[#This Row],[VALOR X UN (GD)]]-DETALLE_GD_1[[#This Row],[VALOR PPTO]])/DETALLE_GD_1[[#This Row],[VALOR PPTO]])</f>
        <v>2.1133821040261184E-7</v>
      </c>
      <c r="AA485" s="2">
        <f>+DETALLE_GD_1[[#This Row],[VALOR PPTO]]*DETALLE_GD_1[[#This Row],[CANTIDAD RECIBIDA]]</f>
        <v>709762.8</v>
      </c>
      <c r="AB4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5" s="3">
        <f>+DETALLE_GD_1[[#This Row],[CANTIDAD SOLICITADA]]-DETALLE_GD_1[[#This Row],[DEVOLUCIÓN]]</f>
        <v>1500</v>
      </c>
      <c r="AD485" s="38" t="str">
        <f>+_xlfn.XLOOKUP(DETALLE_GD_1[[#This Row],[CODIGO]],PRODUCTOS[CODIGO],PRODUCTOS[DESC CORTA],"",0)</f>
        <v>TORNILLO SIMPSON 6"</v>
      </c>
      <c r="AE485"/>
      <c r="AH485"/>
    </row>
    <row r="486" spans="1:34" x14ac:dyDescent="0.25">
      <c r="A486" s="1">
        <v>46100</v>
      </c>
      <c r="B486" s="1">
        <v>46100</v>
      </c>
      <c r="C486" s="81" t="s">
        <v>169</v>
      </c>
      <c r="D486" s="38">
        <v>3</v>
      </c>
      <c r="E486" s="81" t="s">
        <v>169</v>
      </c>
      <c r="F486">
        <v>1902003</v>
      </c>
      <c r="G486" s="81" t="s">
        <v>155</v>
      </c>
      <c r="H486" s="81" t="s">
        <v>47</v>
      </c>
      <c r="I486" s="3">
        <v>1</v>
      </c>
      <c r="J486" s="3"/>
      <c r="K486" s="26">
        <v>1</v>
      </c>
      <c r="L486" s="2">
        <v>150691</v>
      </c>
      <c r="M486" s="2">
        <v>150691</v>
      </c>
      <c r="N486" s="2">
        <v>150691</v>
      </c>
      <c r="O486" s="2">
        <v>150703.9755</v>
      </c>
      <c r="P486" s="2">
        <v>12.9755</v>
      </c>
      <c r="Q486" s="2">
        <v>12.9755</v>
      </c>
      <c r="R486" s="4">
        <v>8.609898949481783E-5</v>
      </c>
      <c r="T486">
        <v>309565</v>
      </c>
      <c r="U486" s="2"/>
      <c r="V486">
        <v>5832</v>
      </c>
      <c r="W486" s="2">
        <v>6579000000</v>
      </c>
      <c r="X486" s="6">
        <v>150703.97545999996</v>
      </c>
      <c r="Y486" s="38">
        <v>10010</v>
      </c>
      <c r="Z486" s="86">
        <f>+((DETALLE_GD_1[[#This Row],[VALOR X UN (GD)]]-DETALLE_GD_1[[#This Row],[VALOR PPTO]])/DETALLE_GD_1[[#This Row],[VALOR PPTO]])</f>
        <v>-8.6099254893249089E-5</v>
      </c>
      <c r="AA486" s="2">
        <f>+DETALLE_GD_1[[#This Row],[VALOR PPTO]]*DETALLE_GD_1[[#This Row],[CANTIDAD RECIBIDA]]</f>
        <v>150703.9755</v>
      </c>
      <c r="AB4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6" s="3">
        <f>+DETALLE_GD_1[[#This Row],[CANTIDAD SOLICITADA]]-DETALLE_GD_1[[#This Row],[DEVOLUCIÓN]]</f>
        <v>1</v>
      </c>
      <c r="AD486" s="38">
        <f>+_xlfn.XLOOKUP(DETALLE_GD_1[[#This Row],[CODIGO]],PRODUCTOS[CODIGO],PRODUCTOS[DESC CORTA],"",0)</f>
        <v>0</v>
      </c>
      <c r="AE486"/>
      <c r="AH486"/>
    </row>
    <row r="487" spans="1:34" x14ac:dyDescent="0.25">
      <c r="A487" s="1">
        <v>46100</v>
      </c>
      <c r="B487" s="1">
        <v>46100</v>
      </c>
      <c r="C487" s="81" t="s">
        <v>169</v>
      </c>
      <c r="D487" s="38">
        <v>3</v>
      </c>
      <c r="E487" s="81" t="s">
        <v>169</v>
      </c>
      <c r="F487">
        <v>1803045</v>
      </c>
      <c r="G487" s="81" t="s">
        <v>337</v>
      </c>
      <c r="H487" s="81" t="s">
        <v>90</v>
      </c>
      <c r="I487" s="3">
        <v>9</v>
      </c>
      <c r="J487" s="3"/>
      <c r="K487" s="26">
        <v>9</v>
      </c>
      <c r="L487" s="2">
        <v>51902.111100000002</v>
      </c>
      <c r="M487" s="2">
        <v>467119</v>
      </c>
      <c r="N487" s="2">
        <v>467119</v>
      </c>
      <c r="O487" s="2">
        <v>51873</v>
      </c>
      <c r="P487" s="2">
        <v>-29.1111</v>
      </c>
      <c r="Q487" s="2">
        <v>-262</v>
      </c>
      <c r="R487" s="4">
        <v>-5.6119968212975488E-4</v>
      </c>
      <c r="T487">
        <v>309565</v>
      </c>
      <c r="U487" s="2"/>
      <c r="V487">
        <v>5832</v>
      </c>
      <c r="W487" s="2">
        <v>6579000000</v>
      </c>
      <c r="X487" s="6">
        <v>466856.99999999994</v>
      </c>
      <c r="Y487" s="38">
        <v>10010</v>
      </c>
      <c r="Z487" s="86">
        <f>+((DETALLE_GD_1[[#This Row],[VALOR X UN (GD)]]-DETALLE_GD_1[[#This Row],[VALOR PPTO]])/DETALLE_GD_1[[#This Row],[VALOR PPTO]])</f>
        <v>5.6119946793133037E-4</v>
      </c>
      <c r="AA487" s="2">
        <f>+DETALLE_GD_1[[#This Row],[VALOR PPTO]]*DETALLE_GD_1[[#This Row],[CANTIDAD RECIBIDA]]</f>
        <v>466857</v>
      </c>
      <c r="AB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7" s="3">
        <f>+DETALLE_GD_1[[#This Row],[CANTIDAD SOLICITADA]]-DETALLE_GD_1[[#This Row],[DEVOLUCIÓN]]</f>
        <v>9</v>
      </c>
      <c r="AD487" s="38" t="str">
        <f>+_xlfn.XLOOKUP(DETALLE_GD_1[[#This Row],[CODIGO]],PRODUCTOS[CODIGO],PRODUCTOS[DESC CORTA],"",0)</f>
        <v>PUERTA INTERIOR</v>
      </c>
      <c r="AE487"/>
      <c r="AH487"/>
    </row>
    <row r="488" spans="1:34" x14ac:dyDescent="0.25">
      <c r="A488" s="1">
        <v>46100</v>
      </c>
      <c r="B488" s="1">
        <v>46100</v>
      </c>
      <c r="C488" s="81" t="s">
        <v>169</v>
      </c>
      <c r="D488" s="38">
        <v>3</v>
      </c>
      <c r="E488" s="81" t="s">
        <v>169</v>
      </c>
      <c r="F488">
        <v>1803044</v>
      </c>
      <c r="G488" s="81" t="s">
        <v>336</v>
      </c>
      <c r="H488" s="81" t="s">
        <v>90</v>
      </c>
      <c r="I488" s="3">
        <v>9</v>
      </c>
      <c r="J488" s="3"/>
      <c r="K488" s="26">
        <v>9</v>
      </c>
      <c r="L488" s="2">
        <v>51882.888899999998</v>
      </c>
      <c r="M488" s="2">
        <v>466946</v>
      </c>
      <c r="N488" s="2">
        <v>466946</v>
      </c>
      <c r="O488" s="2">
        <v>52920</v>
      </c>
      <c r="P488" s="2">
        <v>1037.1111000000001</v>
      </c>
      <c r="Q488" s="2">
        <v>9334</v>
      </c>
      <c r="R488" s="4">
        <v>1.959771562946163E-2</v>
      </c>
      <c r="T488">
        <v>309565</v>
      </c>
      <c r="U488" s="2"/>
      <c r="V488">
        <v>5832</v>
      </c>
      <c r="W488" s="2">
        <v>6579000000</v>
      </c>
      <c r="X488" s="6">
        <v>476280</v>
      </c>
      <c r="Y488" s="38">
        <v>10010</v>
      </c>
      <c r="Z488" s="86">
        <f>+((DETALLE_GD_1[[#This Row],[VALOR X UN (GD)]]-DETALLE_GD_1[[#This Row],[VALOR PPTO]])/DETALLE_GD_1[[#This Row],[VALOR PPTO]])</f>
        <v>-1.9597715419501168E-2</v>
      </c>
      <c r="AA488" s="2">
        <f>+DETALLE_GD_1[[#This Row],[VALOR PPTO]]*DETALLE_GD_1[[#This Row],[CANTIDAD RECIBIDA]]</f>
        <v>476280</v>
      </c>
      <c r="AB4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8" s="3">
        <f>+DETALLE_GD_1[[#This Row],[CANTIDAD SOLICITADA]]-DETALLE_GD_1[[#This Row],[DEVOLUCIÓN]]</f>
        <v>9</v>
      </c>
      <c r="AD488" s="38" t="str">
        <f>+_xlfn.XLOOKUP(DETALLE_GD_1[[#This Row],[CODIGO]],PRODUCTOS[CODIGO],PRODUCTOS[DESC CORTA],"",0)</f>
        <v/>
      </c>
      <c r="AE488"/>
      <c r="AH488"/>
    </row>
    <row r="489" spans="1:34" x14ac:dyDescent="0.25">
      <c r="A489" s="1">
        <v>46101</v>
      </c>
      <c r="B489" s="1">
        <v>46101</v>
      </c>
      <c r="C489" s="81" t="s">
        <v>169</v>
      </c>
      <c r="D489" s="38">
        <v>3</v>
      </c>
      <c r="E489" s="81" t="s">
        <v>169</v>
      </c>
      <c r="F489">
        <v>1801230</v>
      </c>
      <c r="G489" s="81" t="s">
        <v>51</v>
      </c>
      <c r="H489" s="81" t="s">
        <v>31</v>
      </c>
      <c r="I489" s="3">
        <v>19</v>
      </c>
      <c r="J489" s="3"/>
      <c r="K489" s="26">
        <v>19</v>
      </c>
      <c r="L489" s="2">
        <v>3982.0526</v>
      </c>
      <c r="M489" s="2">
        <v>75659</v>
      </c>
      <c r="N489" s="2">
        <v>75659</v>
      </c>
      <c r="O489" s="2">
        <v>9309.8462</v>
      </c>
      <c r="P489" s="2">
        <v>5327.7934999999998</v>
      </c>
      <c r="Q489" s="2">
        <v>101228.0769</v>
      </c>
      <c r="R489" s="4">
        <v>0.5722751412097129</v>
      </c>
      <c r="T489">
        <v>309748</v>
      </c>
      <c r="U489" s="2">
        <v>75659</v>
      </c>
      <c r="V489">
        <v>5832</v>
      </c>
      <c r="W489" s="2">
        <v>6579000000</v>
      </c>
      <c r="X489" s="6">
        <v>176887.07692600001</v>
      </c>
      <c r="Y489" s="38">
        <v>10010</v>
      </c>
      <c r="Z489" s="86">
        <f>+((DETALLE_GD_1[[#This Row],[VALOR X UN (GD)]]-DETALLE_GD_1[[#This Row],[VALOR PPTO]])/DETALLE_GD_1[[#This Row],[VALOR PPTO]])</f>
        <v>-0.57227514671509827</v>
      </c>
      <c r="AA489" s="2">
        <f>+DETALLE_GD_1[[#This Row],[VALOR PPTO]]*DETALLE_GD_1[[#This Row],[CANTIDAD RECIBIDA]]</f>
        <v>176887.0778</v>
      </c>
      <c r="AB4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9" s="3">
        <f>+DETALLE_GD_1[[#This Row],[CANTIDAD SOLICITADA]]-DETALLE_GD_1[[#This Row],[DEVOLUCIÓN]]</f>
        <v>19</v>
      </c>
      <c r="AD489" s="38" t="str">
        <f>+_xlfn.XLOOKUP(DETALLE_GD_1[[#This Row],[CODIGO]],PRODUCTOS[CODIGO],PRODUCTOS[DESC CORTA],"",0)</f>
        <v>SOPORTE TINA</v>
      </c>
      <c r="AE489"/>
      <c r="AH489"/>
    </row>
    <row r="490" spans="1:34" x14ac:dyDescent="0.25">
      <c r="A490" s="1">
        <v>46101</v>
      </c>
      <c r="B490" s="1">
        <v>46101</v>
      </c>
      <c r="C490" s="81" t="s">
        <v>169</v>
      </c>
      <c r="D490" s="38">
        <v>3</v>
      </c>
      <c r="E490" s="81" t="s">
        <v>169</v>
      </c>
      <c r="F490">
        <v>1902014</v>
      </c>
      <c r="G490" s="81" t="s">
        <v>316</v>
      </c>
      <c r="H490" s="81" t="s">
        <v>18</v>
      </c>
      <c r="I490" s="3">
        <v>40</v>
      </c>
      <c r="J490" s="3"/>
      <c r="K490" s="26">
        <v>40</v>
      </c>
      <c r="L490" s="2">
        <v>29779</v>
      </c>
      <c r="M490" s="2">
        <v>1191160</v>
      </c>
      <c r="N490" s="2">
        <v>1191160</v>
      </c>
      <c r="O490" s="2">
        <v>29779</v>
      </c>
      <c r="P490" s="2">
        <v>0</v>
      </c>
      <c r="Q490" s="2">
        <v>0</v>
      </c>
      <c r="R490" s="4">
        <v>1.2216591581620001E-16</v>
      </c>
      <c r="T490">
        <v>309738</v>
      </c>
      <c r="U490" s="2">
        <v>27811279</v>
      </c>
      <c r="V490">
        <v>5832</v>
      </c>
      <c r="W490" s="2">
        <v>6579000000</v>
      </c>
      <c r="X490" s="6">
        <v>1191160.0000000002</v>
      </c>
      <c r="Y490" s="38">
        <v>10010</v>
      </c>
      <c r="Z490" s="86">
        <f>+((DETALLE_GD_1[[#This Row],[VALOR X UN (GD)]]-DETALLE_GD_1[[#This Row],[VALOR PPTO]])/DETALLE_GD_1[[#This Row],[VALOR PPTO]])</f>
        <v>0</v>
      </c>
      <c r="AA490" s="2">
        <f>+DETALLE_GD_1[[#This Row],[VALOR PPTO]]*DETALLE_GD_1[[#This Row],[CANTIDAD RECIBIDA]]</f>
        <v>1191160</v>
      </c>
      <c r="AB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0" s="3">
        <f>+DETALLE_GD_1[[#This Row],[CANTIDAD SOLICITADA]]-DETALLE_GD_1[[#This Row],[DEVOLUCIÓN]]</f>
        <v>40</v>
      </c>
      <c r="AD490" s="38" t="str">
        <f>+_xlfn.XLOOKUP(DETALLE_GD_1[[#This Row],[CODIGO]],PRODUCTOS[CODIGO],PRODUCTOS[DESC CORTA],"",0)</f>
        <v>VOLCOGLASS</v>
      </c>
      <c r="AE490"/>
      <c r="AH490"/>
    </row>
    <row r="491" spans="1:34" x14ac:dyDescent="0.25">
      <c r="A491" s="1">
        <v>46101</v>
      </c>
      <c r="B491" s="1">
        <v>46101</v>
      </c>
      <c r="C491" s="81" t="s">
        <v>169</v>
      </c>
      <c r="D491" s="38">
        <v>3</v>
      </c>
      <c r="E491" s="81" t="s">
        <v>169</v>
      </c>
      <c r="F491">
        <v>302054</v>
      </c>
      <c r="G491" s="81" t="s">
        <v>356</v>
      </c>
      <c r="H491" s="81" t="s">
        <v>20</v>
      </c>
      <c r="I491" s="3">
        <v>1296</v>
      </c>
      <c r="J491" s="3"/>
      <c r="K491" s="26">
        <v>1296</v>
      </c>
      <c r="L491" s="2">
        <v>5712.8896999999997</v>
      </c>
      <c r="M491" s="2">
        <v>7403905</v>
      </c>
      <c r="N491" s="2">
        <v>7403905</v>
      </c>
      <c r="O491" s="2">
        <v>5713</v>
      </c>
      <c r="P491" s="2">
        <v>0.1103</v>
      </c>
      <c r="Q491" s="2">
        <v>143</v>
      </c>
      <c r="R491" s="4">
        <v>1.9313759176045809E-5</v>
      </c>
      <c r="T491">
        <v>309738</v>
      </c>
      <c r="U491" s="2"/>
      <c r="V491">
        <v>5832</v>
      </c>
      <c r="W491" s="2">
        <v>6579000000</v>
      </c>
      <c r="X491" s="6">
        <v>7404048</v>
      </c>
      <c r="Y491" s="38">
        <v>10010</v>
      </c>
      <c r="Z491" s="86">
        <f>+((DETALLE_GD_1[[#This Row],[VALOR X UN (GD)]]-DETALLE_GD_1[[#This Row],[VALOR PPTO]])/DETALLE_GD_1[[#This Row],[VALOR PPTO]])</f>
        <v>-1.9306844039957885E-5</v>
      </c>
      <c r="AA491" s="2">
        <f>+DETALLE_GD_1[[#This Row],[VALOR PPTO]]*DETALLE_GD_1[[#This Row],[CANTIDAD RECIBIDA]]</f>
        <v>7404048</v>
      </c>
      <c r="AB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1" s="3">
        <f>+DETALLE_GD_1[[#This Row],[CANTIDAD SOLICITADA]]-DETALLE_GD_1[[#This Row],[DEVOLUCIÓN]]</f>
        <v>1296</v>
      </c>
      <c r="AD491" s="38">
        <f>+_xlfn.XLOOKUP(DETALLE_GD_1[[#This Row],[CODIGO]],PRODUCTOS[CODIGO],PRODUCTOS[DESC CORTA],"",0)</f>
        <v>0</v>
      </c>
      <c r="AE491"/>
      <c r="AH491"/>
    </row>
    <row r="492" spans="1:34" x14ac:dyDescent="0.25">
      <c r="A492" s="1">
        <v>46101</v>
      </c>
      <c r="B492" s="1">
        <v>46101</v>
      </c>
      <c r="C492" s="81" t="s">
        <v>169</v>
      </c>
      <c r="D492" s="38">
        <v>3</v>
      </c>
      <c r="E492" s="81" t="s">
        <v>169</v>
      </c>
      <c r="F492">
        <v>302248</v>
      </c>
      <c r="G492" s="81" t="s">
        <v>281</v>
      </c>
      <c r="H492" s="81" t="s">
        <v>20</v>
      </c>
      <c r="I492" s="3">
        <v>768</v>
      </c>
      <c r="J492" s="3"/>
      <c r="K492" s="26">
        <v>768</v>
      </c>
      <c r="L492" s="2">
        <v>2342.1745000000001</v>
      </c>
      <c r="M492" s="2">
        <v>1798790</v>
      </c>
      <c r="N492" s="2">
        <v>1798790</v>
      </c>
      <c r="O492" s="2">
        <v>2342.1750999999999</v>
      </c>
      <c r="P492" s="2">
        <v>6.9999999999999999E-4</v>
      </c>
      <c r="Q492" s="2">
        <v>0.50519999999999998</v>
      </c>
      <c r="R492" s="4">
        <v>2.8086428007453636E-7</v>
      </c>
      <c r="T492">
        <v>309738</v>
      </c>
      <c r="U492" s="2"/>
      <c r="V492">
        <v>5832</v>
      </c>
      <c r="W492" s="2">
        <v>6579000000</v>
      </c>
      <c r="X492" s="6">
        <v>1798790.5052159999</v>
      </c>
      <c r="Y492" s="38">
        <v>10010</v>
      </c>
      <c r="Z492" s="86">
        <f>+((DETALLE_GD_1[[#This Row],[VALOR X UN (GD)]]-DETALLE_GD_1[[#This Row],[VALOR PPTO]])/DETALLE_GD_1[[#This Row],[VALOR PPTO]])</f>
        <v>-2.5617213668157762E-7</v>
      </c>
      <c r="AA492" s="2">
        <f>+DETALLE_GD_1[[#This Row],[VALOR PPTO]]*DETALLE_GD_1[[#This Row],[CANTIDAD RECIBIDA]]</f>
        <v>1798790.4767999998</v>
      </c>
      <c r="AB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2" s="3">
        <f>+DETALLE_GD_1[[#This Row],[CANTIDAD SOLICITADA]]-DETALLE_GD_1[[#This Row],[DEVOLUCIÓN]]</f>
        <v>768</v>
      </c>
      <c r="AD492" s="38">
        <f>+_xlfn.XLOOKUP(DETALLE_GD_1[[#This Row],[CODIGO]],PRODUCTOS[CODIGO],PRODUCTOS[DESC CORTA],"",0)</f>
        <v>0</v>
      </c>
      <c r="AE492"/>
      <c r="AH492"/>
    </row>
    <row r="493" spans="1:34" x14ac:dyDescent="0.25">
      <c r="A493" s="1">
        <v>46101</v>
      </c>
      <c r="B493" s="1">
        <v>46101</v>
      </c>
      <c r="C493" s="81" t="s">
        <v>169</v>
      </c>
      <c r="D493" s="38">
        <v>3</v>
      </c>
      <c r="E493" s="81" t="s">
        <v>169</v>
      </c>
      <c r="F493">
        <v>302046</v>
      </c>
      <c r="G493" s="81" t="s">
        <v>115</v>
      </c>
      <c r="H493" s="81" t="s">
        <v>20</v>
      </c>
      <c r="I493" s="3">
        <v>541</v>
      </c>
      <c r="J493" s="3"/>
      <c r="K493" s="26">
        <v>541</v>
      </c>
      <c r="L493" s="2">
        <v>10251.0129</v>
      </c>
      <c r="M493" s="2">
        <v>5545798</v>
      </c>
      <c r="N493" s="2">
        <v>5545798</v>
      </c>
      <c r="O493" s="2">
        <v>10156.5985</v>
      </c>
      <c r="P493" s="2">
        <v>-94.414500000000004</v>
      </c>
      <c r="Q493" s="2">
        <v>-51078.229399999997</v>
      </c>
      <c r="R493" s="4">
        <v>-9.2958752193079731E-3</v>
      </c>
      <c r="T493">
        <v>309738</v>
      </c>
      <c r="U493" s="2"/>
      <c r="V493">
        <v>5832</v>
      </c>
      <c r="W493" s="2">
        <v>6579000000</v>
      </c>
      <c r="X493" s="6">
        <v>5494719.7706470005</v>
      </c>
      <c r="Y493" s="38">
        <v>10010</v>
      </c>
      <c r="Z493" s="86">
        <f>+((DETALLE_GD_1[[#This Row],[VALOR X UN (GD)]]-DETALLE_GD_1[[#This Row],[VALOR PPTO]])/DETALLE_GD_1[[#This Row],[VALOR PPTO]])</f>
        <v>9.2958680999351961E-3</v>
      </c>
      <c r="AA493" s="2">
        <f>+DETALLE_GD_1[[#This Row],[VALOR PPTO]]*DETALLE_GD_1[[#This Row],[CANTIDAD RECIBIDA]]</f>
        <v>5494719.7884999998</v>
      </c>
      <c r="AB4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3" s="3">
        <f>+DETALLE_GD_1[[#This Row],[CANTIDAD SOLICITADA]]-DETALLE_GD_1[[#This Row],[DEVOLUCIÓN]]</f>
        <v>541</v>
      </c>
      <c r="AD493" s="38" t="str">
        <f>+_xlfn.XLOOKUP(DETALLE_GD_1[[#This Row],[CODIGO]],PRODUCTOS[CODIGO],PRODUCTOS[DESC CORTA],"",0)</f>
        <v>PINO 2X6X400</v>
      </c>
      <c r="AE493"/>
      <c r="AH493"/>
    </row>
    <row r="494" spans="1:34" x14ac:dyDescent="0.25">
      <c r="A494" s="1">
        <v>46101</v>
      </c>
      <c r="B494" s="1">
        <v>46101</v>
      </c>
      <c r="C494" s="81" t="s">
        <v>169</v>
      </c>
      <c r="D494" s="38">
        <v>3</v>
      </c>
      <c r="E494" s="81" t="s">
        <v>169</v>
      </c>
      <c r="F494">
        <v>302028</v>
      </c>
      <c r="G494" s="81" t="s">
        <v>246</v>
      </c>
      <c r="H494" s="81" t="s">
        <v>20</v>
      </c>
      <c r="I494" s="3">
        <v>480</v>
      </c>
      <c r="J494" s="3"/>
      <c r="K494" s="26">
        <v>480</v>
      </c>
      <c r="L494" s="2">
        <v>4955.3978999999999</v>
      </c>
      <c r="M494" s="2">
        <v>2378591</v>
      </c>
      <c r="N494" s="2">
        <v>2378591</v>
      </c>
      <c r="O494" s="2">
        <v>5123.8024999999998</v>
      </c>
      <c r="P494" s="2">
        <v>168.40459999999999</v>
      </c>
      <c r="Q494" s="2">
        <v>80834.213000000003</v>
      </c>
      <c r="R494" s="4">
        <v>3.2867115671597932E-2</v>
      </c>
      <c r="T494">
        <v>309738</v>
      </c>
      <c r="U494" s="2"/>
      <c r="V494">
        <v>5832</v>
      </c>
      <c r="W494" s="2">
        <v>6579000000</v>
      </c>
      <c r="X494" s="6">
        <v>2459425.2129600006</v>
      </c>
      <c r="Y494" s="38">
        <v>10010</v>
      </c>
      <c r="Z494" s="86">
        <f>+((DETALLE_GD_1[[#This Row],[VALOR X UN (GD)]]-DETALLE_GD_1[[#This Row],[VALOR PPTO]])/DETALLE_GD_1[[#This Row],[VALOR PPTO]])</f>
        <v>-3.2867113828060283E-2</v>
      </c>
      <c r="AA494" s="2">
        <f>+DETALLE_GD_1[[#This Row],[VALOR PPTO]]*DETALLE_GD_1[[#This Row],[CANTIDAD RECIBIDA]]</f>
        <v>2459425.1999999997</v>
      </c>
      <c r="AB4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4" s="3">
        <f>+DETALLE_GD_1[[#This Row],[CANTIDAD SOLICITADA]]-DETALLE_GD_1[[#This Row],[DEVOLUCIÓN]]</f>
        <v>480</v>
      </c>
      <c r="AD494" s="38" t="str">
        <f>+_xlfn.XLOOKUP(DETALLE_GD_1[[#This Row],[CODIGO]],PRODUCTOS[CODIGO],PRODUCTOS[DESC CORTA],"",0)</f>
        <v>PINO 2X4X320</v>
      </c>
      <c r="AE494"/>
      <c r="AH494"/>
    </row>
    <row r="495" spans="1:34" x14ac:dyDescent="0.25">
      <c r="A495" s="1">
        <v>46101</v>
      </c>
      <c r="B495" s="1">
        <v>46101</v>
      </c>
      <c r="C495" s="81" t="s">
        <v>169</v>
      </c>
      <c r="D495" s="38">
        <v>3</v>
      </c>
      <c r="E495" s="81" t="s">
        <v>169</v>
      </c>
      <c r="F495">
        <v>302010</v>
      </c>
      <c r="G495" s="81" t="s">
        <v>323</v>
      </c>
      <c r="H495" s="81" t="s">
        <v>20</v>
      </c>
      <c r="I495" s="3">
        <v>336</v>
      </c>
      <c r="J495" s="3"/>
      <c r="K495" s="26">
        <v>336</v>
      </c>
      <c r="L495" s="2">
        <v>6526.0505999999996</v>
      </c>
      <c r="M495" s="2">
        <v>2192753</v>
      </c>
      <c r="N495" s="2">
        <v>2192753</v>
      </c>
      <c r="O495" s="2">
        <v>6585.1337000000003</v>
      </c>
      <c r="P495" s="2">
        <v>59.083100000000002</v>
      </c>
      <c r="Q495" s="2">
        <v>19851.938300000002</v>
      </c>
      <c r="R495" s="4">
        <v>8.9722019399769322E-3</v>
      </c>
      <c r="T495">
        <v>309738</v>
      </c>
      <c r="U495" s="2"/>
      <c r="V495">
        <v>5832</v>
      </c>
      <c r="W495" s="2">
        <v>6579000000</v>
      </c>
      <c r="X495" s="6">
        <v>2212604.9383199974</v>
      </c>
      <c r="Y495" s="38">
        <v>10010</v>
      </c>
      <c r="Z495" s="86">
        <f>+((DETALLE_GD_1[[#This Row],[VALOR X UN (GD)]]-DETALLE_GD_1[[#This Row],[VALOR PPTO]])/DETALLE_GD_1[[#This Row],[VALOR PPTO]])</f>
        <v>-8.9721944445867122E-3</v>
      </c>
      <c r="AA495" s="2">
        <f>+DETALLE_GD_1[[#This Row],[VALOR PPTO]]*DETALLE_GD_1[[#This Row],[CANTIDAD RECIBIDA]]</f>
        <v>2212604.9232000001</v>
      </c>
      <c r="AB4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5" s="3">
        <f>+DETALLE_GD_1[[#This Row],[CANTIDAD SOLICITADA]]-DETALLE_GD_1[[#This Row],[DEVOLUCIÓN]]</f>
        <v>336</v>
      </c>
      <c r="AD495" s="38" t="str">
        <f>+_xlfn.XLOOKUP(DETALLE_GD_1[[#This Row],[CODIGO]],PRODUCTOS[CODIGO],PRODUCTOS[DESC CORTA],"",0)</f>
        <v>PINO 2X6X320</v>
      </c>
      <c r="AE495"/>
      <c r="AH495"/>
    </row>
    <row r="496" spans="1:34" x14ac:dyDescent="0.25">
      <c r="A496" s="1">
        <v>46101</v>
      </c>
      <c r="B496" s="1">
        <v>46101</v>
      </c>
      <c r="C496" s="81" t="s">
        <v>169</v>
      </c>
      <c r="D496" s="38">
        <v>3</v>
      </c>
      <c r="E496" s="81" t="s">
        <v>169</v>
      </c>
      <c r="F496" t="s">
        <v>386</v>
      </c>
      <c r="G496" s="81" t="s">
        <v>83</v>
      </c>
      <c r="H496" s="81" t="s">
        <v>36</v>
      </c>
      <c r="I496" s="3">
        <v>6</v>
      </c>
      <c r="J496" s="3"/>
      <c r="K496" s="26">
        <v>6</v>
      </c>
      <c r="L496" s="2">
        <v>36939.833299999998</v>
      </c>
      <c r="M496" s="2">
        <v>221639</v>
      </c>
      <c r="N496" s="2">
        <v>221639</v>
      </c>
      <c r="O496" s="2">
        <v>36939.818200000002</v>
      </c>
      <c r="P496" s="2">
        <v>-1.52E-2</v>
      </c>
      <c r="Q496" s="2">
        <v>-9.0899999999999995E-2</v>
      </c>
      <c r="R496" s="4">
        <v>-4.1016264002582843E-7</v>
      </c>
      <c r="T496">
        <v>309738</v>
      </c>
      <c r="U496" s="2"/>
      <c r="V496">
        <v>5832</v>
      </c>
      <c r="W496" s="2">
        <v>6579000000</v>
      </c>
      <c r="X496" s="6">
        <v>221638.90909199993</v>
      </c>
      <c r="Y496" s="38">
        <v>10010</v>
      </c>
      <c r="Z496" s="86">
        <f>+((DETALLE_GD_1[[#This Row],[VALOR X UN (GD)]]-DETALLE_GD_1[[#This Row],[VALOR PPTO]])/DETALLE_GD_1[[#This Row],[VALOR PPTO]])</f>
        <v>4.0877299165732523E-7</v>
      </c>
      <c r="AA496" s="2">
        <f>+DETALLE_GD_1[[#This Row],[VALOR PPTO]]*DETALLE_GD_1[[#This Row],[CANTIDAD RECIBIDA]]</f>
        <v>221638.90919999999</v>
      </c>
      <c r="AB4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6" s="3">
        <f>+DETALLE_GD_1[[#This Row],[CANTIDAD SOLICITADA]]-DETALLE_GD_1[[#This Row],[DEVOLUCIÓN]]</f>
        <v>6</v>
      </c>
      <c r="AD496" s="38" t="str">
        <f>+_xlfn.XLOOKUP(DETALLE_GD_1[[#This Row],[CODIGO]],PRODUCTOS[CODIGO],PRODUCTOS[DESC CORTA],"",0)</f>
        <v>CLAVO R20</v>
      </c>
      <c r="AE496"/>
      <c r="AH496"/>
    </row>
    <row r="497" spans="1:34" x14ac:dyDescent="0.25">
      <c r="A497" s="1">
        <v>46101</v>
      </c>
      <c r="B497" s="1">
        <v>46101</v>
      </c>
      <c r="C497" s="81" t="s">
        <v>169</v>
      </c>
      <c r="D497" s="38">
        <v>3</v>
      </c>
      <c r="E497" s="81" t="s">
        <v>169</v>
      </c>
      <c r="F497">
        <v>2505058</v>
      </c>
      <c r="G497" s="81" t="s">
        <v>142</v>
      </c>
      <c r="H497" s="81" t="s">
        <v>31</v>
      </c>
      <c r="I497" s="3">
        <v>24</v>
      </c>
      <c r="J497" s="3"/>
      <c r="K497" s="26">
        <v>24</v>
      </c>
      <c r="L497" s="2">
        <v>16867.458299999998</v>
      </c>
      <c r="M497" s="2">
        <v>404819</v>
      </c>
      <c r="N497" s="2">
        <v>404819</v>
      </c>
      <c r="O497" s="2">
        <v>17870.144100000001</v>
      </c>
      <c r="P497" s="2">
        <v>1002.6857</v>
      </c>
      <c r="Q497" s="2">
        <v>24064.457600000002</v>
      </c>
      <c r="R497" s="4">
        <v>5.6109549584559576E-2</v>
      </c>
      <c r="T497">
        <v>309738</v>
      </c>
      <c r="U497" s="2"/>
      <c r="V497">
        <v>5832</v>
      </c>
      <c r="W497" s="2">
        <v>6579000000</v>
      </c>
      <c r="X497" s="6">
        <v>428883.45763199998</v>
      </c>
      <c r="Y497" s="38">
        <v>10010</v>
      </c>
      <c r="Z497" s="86">
        <f>+((DETALLE_GD_1[[#This Row],[VALOR X UN (GD)]]-DETALLE_GD_1[[#This Row],[VALOR PPTO]])/DETALLE_GD_1[[#This Row],[VALOR PPTO]])</f>
        <v>-5.6109553140089273E-2</v>
      </c>
      <c r="AA497" s="2">
        <f>+DETALLE_GD_1[[#This Row],[VALOR PPTO]]*DETALLE_GD_1[[#This Row],[CANTIDAD RECIBIDA]]</f>
        <v>428883.4584</v>
      </c>
      <c r="AB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7" s="3">
        <f>+DETALLE_GD_1[[#This Row],[CANTIDAD SOLICITADA]]-DETALLE_GD_1[[#This Row],[DEVOLUCIÓN]]</f>
        <v>24</v>
      </c>
      <c r="AD497" s="38" t="str">
        <f>+_xlfn.XLOOKUP(DETALLE_GD_1[[#This Row],[CODIGO]],PRODUCTOS[CODIGO],PRODUCTOS[DESC CORTA],"",0)</f>
        <v>VENTILACIÓN PASIVA</v>
      </c>
      <c r="AE497"/>
      <c r="AH497"/>
    </row>
    <row r="498" spans="1:34" x14ac:dyDescent="0.25">
      <c r="A498" s="1">
        <v>46101</v>
      </c>
      <c r="B498" s="1">
        <v>46101</v>
      </c>
      <c r="C498" s="81" t="s">
        <v>169</v>
      </c>
      <c r="D498" s="38">
        <v>3</v>
      </c>
      <c r="E498" s="81" t="s">
        <v>169</v>
      </c>
      <c r="F498">
        <v>1902013</v>
      </c>
      <c r="G498" s="81" t="s">
        <v>338</v>
      </c>
      <c r="H498" s="81" t="s">
        <v>47</v>
      </c>
      <c r="I498" s="3">
        <v>10</v>
      </c>
      <c r="J498" s="3"/>
      <c r="K498" s="26">
        <v>10</v>
      </c>
      <c r="L498" s="2">
        <v>39090</v>
      </c>
      <c r="M498" s="2">
        <v>390900</v>
      </c>
      <c r="N498" s="2">
        <v>390900</v>
      </c>
      <c r="O498" s="2">
        <v>29779</v>
      </c>
      <c r="P498" s="2">
        <v>-9311</v>
      </c>
      <c r="Q498" s="2">
        <v>-93110</v>
      </c>
      <c r="R498" s="4">
        <v>-0.31267000235064979</v>
      </c>
      <c r="T498">
        <v>309738</v>
      </c>
      <c r="U498" s="2"/>
      <c r="V498">
        <v>5832</v>
      </c>
      <c r="W498" s="2">
        <v>6579000000</v>
      </c>
      <c r="X498" s="6">
        <v>297790</v>
      </c>
      <c r="Y498" s="38">
        <v>10010</v>
      </c>
      <c r="Z498" s="86">
        <f>+((DETALLE_GD_1[[#This Row],[VALOR X UN (GD)]]-DETALLE_GD_1[[#This Row],[VALOR PPTO]])/DETALLE_GD_1[[#This Row],[VALOR PPTO]])</f>
        <v>0.31267000235064979</v>
      </c>
      <c r="AA498" s="2">
        <f>+DETALLE_GD_1[[#This Row],[VALOR PPTO]]*DETALLE_GD_1[[#This Row],[CANTIDAD RECIBIDA]]</f>
        <v>297790</v>
      </c>
      <c r="AB4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8" s="3">
        <f>+DETALLE_GD_1[[#This Row],[CANTIDAD SOLICITADA]]-DETALLE_GD_1[[#This Row],[DEVOLUCIÓN]]</f>
        <v>10</v>
      </c>
      <c r="AD498" s="38">
        <f>+_xlfn.XLOOKUP(DETALLE_GD_1[[#This Row],[CODIGO]],PRODUCTOS[CODIGO],PRODUCTOS[DESC CORTA],"",0)</f>
        <v>0</v>
      </c>
      <c r="AE498"/>
      <c r="AH498"/>
    </row>
    <row r="499" spans="1:34" x14ac:dyDescent="0.25">
      <c r="A499" s="1">
        <v>46101</v>
      </c>
      <c r="B499" s="1">
        <v>46101</v>
      </c>
      <c r="C499" s="81" t="s">
        <v>169</v>
      </c>
      <c r="D499" s="38">
        <v>3</v>
      </c>
      <c r="E499" s="81" t="s">
        <v>169</v>
      </c>
      <c r="F499">
        <v>1901466</v>
      </c>
      <c r="G499" s="81" t="s">
        <v>398</v>
      </c>
      <c r="H499" s="81" t="s">
        <v>26</v>
      </c>
      <c r="I499" s="3">
        <v>270</v>
      </c>
      <c r="J499" s="3"/>
      <c r="K499" s="26">
        <v>270</v>
      </c>
      <c r="L499" s="2">
        <v>1970</v>
      </c>
      <c r="M499" s="2">
        <v>531900</v>
      </c>
      <c r="N499" s="2">
        <v>531900</v>
      </c>
      <c r="O499" s="2">
        <v>2112.7957999999999</v>
      </c>
      <c r="P499" s="2">
        <v>142.79580000000001</v>
      </c>
      <c r="Q499" s="2">
        <v>38554.8603</v>
      </c>
      <c r="R499" s="4">
        <v>6.7586172037690365E-2</v>
      </c>
      <c r="T499">
        <v>309738</v>
      </c>
      <c r="U499" s="2"/>
      <c r="V499">
        <v>5832</v>
      </c>
      <c r="W499" s="2">
        <v>6579000000</v>
      </c>
      <c r="X499" s="6">
        <v>570454.86033000005</v>
      </c>
      <c r="Y499" s="38">
        <v>10010</v>
      </c>
      <c r="Z499" s="86">
        <f>+((DETALLE_GD_1[[#This Row],[VALOR X UN (GD)]]-DETALLE_GD_1[[#This Row],[VALOR PPTO]])/DETALLE_GD_1[[#This Row],[VALOR PPTO]])</f>
        <v>-6.758618130535847E-2</v>
      </c>
      <c r="AA499" s="2">
        <f>+DETALLE_GD_1[[#This Row],[VALOR PPTO]]*DETALLE_GD_1[[#This Row],[CANTIDAD RECIBIDA]]</f>
        <v>570454.86599999992</v>
      </c>
      <c r="AB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9" s="3">
        <f>+DETALLE_GD_1[[#This Row],[CANTIDAD SOLICITADA]]-DETALLE_GD_1[[#This Row],[DEVOLUCIÓN]]</f>
        <v>270</v>
      </c>
      <c r="AD499" s="38" t="str">
        <f>+_xlfn.XLOOKUP(DETALLE_GD_1[[#This Row],[CODIGO]],PRODUCTOS[CODIGO],PRODUCTOS[DESC CORTA],"",0)</f>
        <v>AISLAN DENSIDAD 14 KG/M3 (13.5 M2 X BOLSA) SKU 4000147</v>
      </c>
      <c r="AE499"/>
      <c r="AH499"/>
    </row>
    <row r="500" spans="1:34" x14ac:dyDescent="0.25">
      <c r="A500" s="1">
        <v>46101</v>
      </c>
      <c r="B500" s="1">
        <v>46101</v>
      </c>
      <c r="C500" s="81" t="s">
        <v>169</v>
      </c>
      <c r="D500" s="38">
        <v>3</v>
      </c>
      <c r="E500" s="81" t="s">
        <v>169</v>
      </c>
      <c r="F500">
        <v>1901038</v>
      </c>
      <c r="G500" s="81" t="s">
        <v>39</v>
      </c>
      <c r="H500" s="81" t="s">
        <v>26</v>
      </c>
      <c r="I500" s="3">
        <v>81</v>
      </c>
      <c r="J500" s="3"/>
      <c r="K500" s="26">
        <v>81</v>
      </c>
      <c r="L500" s="2">
        <v>4481.2469000000001</v>
      </c>
      <c r="M500" s="2">
        <v>362981</v>
      </c>
      <c r="N500" s="2">
        <v>362981</v>
      </c>
      <c r="O500" s="2">
        <v>4197.4179000000004</v>
      </c>
      <c r="P500" s="2">
        <v>-283.82900000000001</v>
      </c>
      <c r="Q500" s="2">
        <v>-22990.152099999999</v>
      </c>
      <c r="R500" s="4">
        <v>-6.7619914679151544E-2</v>
      </c>
      <c r="T500">
        <v>309738</v>
      </c>
      <c r="U500" s="2"/>
      <c r="V500">
        <v>5832</v>
      </c>
      <c r="W500" s="2">
        <v>6579000000</v>
      </c>
      <c r="X500" s="6">
        <v>339990.84787500009</v>
      </c>
      <c r="Y500" s="38">
        <v>10010</v>
      </c>
      <c r="Z500" s="86">
        <f>+((DETALLE_GD_1[[#This Row],[VALOR X UN (GD)]]-DETALLE_GD_1[[#This Row],[VALOR PPTO]])/DETALLE_GD_1[[#This Row],[VALOR PPTO]])</f>
        <v>6.7619905084980864E-2</v>
      </c>
      <c r="AA500" s="2">
        <f>+DETALLE_GD_1[[#This Row],[VALOR PPTO]]*DETALLE_GD_1[[#This Row],[CANTIDAD RECIBIDA]]</f>
        <v>339990.84990000003</v>
      </c>
      <c r="AB5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00" s="3">
        <f>+DETALLE_GD_1[[#This Row],[CANTIDAD SOLICITADA]]-DETALLE_GD_1[[#This Row],[DEVOLUCIÓN]]</f>
        <v>81</v>
      </c>
      <c r="AD500" s="38" t="str">
        <f>+_xlfn.XLOOKUP(DETALLE_GD_1[[#This Row],[CODIGO]],PRODUCTOS[CODIGO],PRODUCTOS[DESC CORTA],"",0)</f>
        <v>AISLAN ROCA 90MM</v>
      </c>
      <c r="AE500"/>
      <c r="AH500"/>
    </row>
    <row r="501" spans="1:34" x14ac:dyDescent="0.25">
      <c r="A501" s="1">
        <v>46101</v>
      </c>
      <c r="B501" s="1">
        <v>46101</v>
      </c>
      <c r="C501" s="81" t="s">
        <v>169</v>
      </c>
      <c r="D501" s="38">
        <v>3</v>
      </c>
      <c r="E501" s="81" t="s">
        <v>169</v>
      </c>
      <c r="F501">
        <v>1901008</v>
      </c>
      <c r="G501" s="81" t="s">
        <v>278</v>
      </c>
      <c r="H501" s="81" t="s">
        <v>26</v>
      </c>
      <c r="I501" s="3">
        <v>135</v>
      </c>
      <c r="J501" s="3"/>
      <c r="K501" s="26">
        <v>135</v>
      </c>
      <c r="L501" s="2">
        <v>2066.8741</v>
      </c>
      <c r="M501" s="2">
        <v>279028</v>
      </c>
      <c r="N501" s="2">
        <v>279028</v>
      </c>
      <c r="O501" s="2">
        <v>2112.7957999999999</v>
      </c>
      <c r="P501" s="2">
        <v>45.921700000000001</v>
      </c>
      <c r="Q501" s="2">
        <v>6199.4301999999998</v>
      </c>
      <c r="R501" s="4">
        <v>2.1735041967785921E-2</v>
      </c>
      <c r="T501">
        <v>309738</v>
      </c>
      <c r="U501" s="2"/>
      <c r="V501">
        <v>5832</v>
      </c>
      <c r="W501" s="2">
        <v>6579000000</v>
      </c>
      <c r="X501" s="6">
        <v>285227.43016500003</v>
      </c>
      <c r="Y501" s="38">
        <v>10010</v>
      </c>
      <c r="Z501" s="86">
        <f>+((DETALLE_GD_1[[#This Row],[VALOR X UN (GD)]]-DETALLE_GD_1[[#This Row],[VALOR PPTO]])/DETALLE_GD_1[[#This Row],[VALOR PPTO]])</f>
        <v>-2.1735039420278986E-2</v>
      </c>
      <c r="AA501" s="2">
        <f>+DETALLE_GD_1[[#This Row],[VALOR PPTO]]*DETALLE_GD_1[[#This Row],[CANTIDAD RECIBIDA]]</f>
        <v>285227.43299999996</v>
      </c>
      <c r="AB5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01" s="3">
        <f>+DETALLE_GD_1[[#This Row],[CANTIDAD SOLICITADA]]-DETALLE_GD_1[[#This Row],[DEVOLUCIÓN]]</f>
        <v>135</v>
      </c>
      <c r="AD501" s="38" t="str">
        <f>+_xlfn.XLOOKUP(DETALLE_GD_1[[#This Row],[CODIGO]],PRODUCTOS[CODIGO],PRODUCTOS[DESC CORTA],"",0)</f>
        <v>AISLAN GLASS 90MM</v>
      </c>
      <c r="AE501"/>
      <c r="AH501"/>
    </row>
    <row r="502" spans="1:34" x14ac:dyDescent="0.25">
      <c r="A502" s="1">
        <v>46101</v>
      </c>
      <c r="B502" s="1">
        <v>46101</v>
      </c>
      <c r="C502" s="81" t="s">
        <v>169</v>
      </c>
      <c r="D502" s="38">
        <v>3</v>
      </c>
      <c r="E502" s="81" t="s">
        <v>169</v>
      </c>
      <c r="F502">
        <v>412301</v>
      </c>
      <c r="G502" s="81" t="s">
        <v>327</v>
      </c>
      <c r="H502" s="81" t="s">
        <v>31</v>
      </c>
      <c r="I502" s="3">
        <v>250</v>
      </c>
      <c r="J502" s="3"/>
      <c r="K502" s="26">
        <v>250</v>
      </c>
      <c r="L502" s="2">
        <v>388.76</v>
      </c>
      <c r="M502" s="2">
        <v>97190</v>
      </c>
      <c r="N502" s="2">
        <v>97190</v>
      </c>
      <c r="O502" s="2">
        <v>388.75979999999998</v>
      </c>
      <c r="P502" s="2">
        <v>-2.0000000000000001E-4</v>
      </c>
      <c r="Q502" s="2">
        <v>-5.7500000000000002E-2</v>
      </c>
      <c r="R502" s="4">
        <v>-5.9162500273045235E-7</v>
      </c>
      <c r="T502">
        <v>309738</v>
      </c>
      <c r="U502" s="2"/>
      <c r="V502">
        <v>5832</v>
      </c>
      <c r="W502" s="2">
        <v>6579000000</v>
      </c>
      <c r="X502" s="6">
        <v>97189.942500000005</v>
      </c>
      <c r="Y502" s="38">
        <v>10010</v>
      </c>
      <c r="Z502" s="86">
        <f>+((DETALLE_GD_1[[#This Row],[VALOR X UN (GD)]]-DETALLE_GD_1[[#This Row],[VALOR PPTO]])/DETALLE_GD_1[[#This Row],[VALOR PPTO]])</f>
        <v>5.1445648445811355E-7</v>
      </c>
      <c r="AA502" s="2">
        <f>+DETALLE_GD_1[[#This Row],[VALOR PPTO]]*DETALLE_GD_1[[#This Row],[CANTIDAD RECIBIDA]]</f>
        <v>97189.95</v>
      </c>
      <c r="AB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2" s="3">
        <f>+DETALLE_GD_1[[#This Row],[CANTIDAD SOLICITADA]]-DETALLE_GD_1[[#This Row],[DEVOLUCIÓN]]</f>
        <v>250</v>
      </c>
      <c r="AD502" s="38">
        <f>+_xlfn.XLOOKUP(DETALLE_GD_1[[#This Row],[CODIGO]],PRODUCTOS[CODIGO],PRODUCTOS[DESC CORTA],"",0)</f>
        <v>0</v>
      </c>
      <c r="AE502"/>
      <c r="AH502"/>
    </row>
    <row r="503" spans="1:34" x14ac:dyDescent="0.25">
      <c r="A503" s="1">
        <v>46101</v>
      </c>
      <c r="B503" s="1">
        <v>46101</v>
      </c>
      <c r="C503" s="81" t="s">
        <v>169</v>
      </c>
      <c r="D503" s="38">
        <v>3</v>
      </c>
      <c r="E503" s="81" t="s">
        <v>169</v>
      </c>
      <c r="F503">
        <v>408014</v>
      </c>
      <c r="G503" s="81" t="s">
        <v>108</v>
      </c>
      <c r="H503" s="81" t="s">
        <v>36</v>
      </c>
      <c r="I503" s="3">
        <v>3</v>
      </c>
      <c r="J503" s="3"/>
      <c r="K503" s="26">
        <v>3</v>
      </c>
      <c r="L503" s="2">
        <v>16182</v>
      </c>
      <c r="M503" s="2">
        <v>48546</v>
      </c>
      <c r="N503" s="2">
        <v>48546</v>
      </c>
      <c r="O503" s="2">
        <v>16182.1068</v>
      </c>
      <c r="P503" s="2">
        <v>0.10680000000000001</v>
      </c>
      <c r="Q503" s="2">
        <v>0.32029999999999997</v>
      </c>
      <c r="R503" s="4">
        <v>6.5975340279806539E-6</v>
      </c>
      <c r="T503">
        <v>309738</v>
      </c>
      <c r="U503" s="2"/>
      <c r="V503">
        <v>5832</v>
      </c>
      <c r="W503" s="2">
        <v>6579000000</v>
      </c>
      <c r="X503" s="6">
        <v>48546.320286000016</v>
      </c>
      <c r="Y503" s="38">
        <v>10010</v>
      </c>
      <c r="Z503" s="86">
        <f>+((DETALLE_GD_1[[#This Row],[VALOR X UN (GD)]]-DETALLE_GD_1[[#This Row],[VALOR PPTO]])/DETALLE_GD_1[[#This Row],[VALOR PPTO]])</f>
        <v>-6.5998822847693946E-6</v>
      </c>
      <c r="AA503" s="2">
        <f>+DETALLE_GD_1[[#This Row],[VALOR PPTO]]*DETALLE_GD_1[[#This Row],[CANTIDAD RECIBIDA]]</f>
        <v>48546.320399999997</v>
      </c>
      <c r="AB5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3" s="3">
        <f>+DETALLE_GD_1[[#This Row],[CANTIDAD SOLICITADA]]-DETALLE_GD_1[[#This Row],[DEVOLUCIÓN]]</f>
        <v>3</v>
      </c>
      <c r="AD503" s="38" t="str">
        <f>+_xlfn.XLOOKUP(DETALLE_GD_1[[#This Row],[CODIGO]],PRODUCTOS[CODIGO],PRODUCTOS[DESC CORTA],"",0)</f>
        <v>GRAPA T40</v>
      </c>
      <c r="AE503"/>
      <c r="AH503"/>
    </row>
    <row r="504" spans="1:34" x14ac:dyDescent="0.25">
      <c r="A504" s="1">
        <v>46101</v>
      </c>
      <c r="B504" s="1">
        <v>46101</v>
      </c>
      <c r="C504" s="81" t="s">
        <v>169</v>
      </c>
      <c r="D504" s="38">
        <v>3</v>
      </c>
      <c r="E504" s="81" t="s">
        <v>169</v>
      </c>
      <c r="F504">
        <v>407423</v>
      </c>
      <c r="G504" s="81" t="s">
        <v>106</v>
      </c>
      <c r="H504" s="81" t="s">
        <v>31</v>
      </c>
      <c r="I504" s="3">
        <v>9000</v>
      </c>
      <c r="J504" s="3"/>
      <c r="K504" s="26">
        <v>9000</v>
      </c>
      <c r="L504" s="2">
        <v>3.3879999999999999</v>
      </c>
      <c r="M504" s="2">
        <v>30492</v>
      </c>
      <c r="N504" s="2">
        <v>30492</v>
      </c>
      <c r="O504" s="2">
        <v>106.6405</v>
      </c>
      <c r="P504" s="2">
        <v>103.2525</v>
      </c>
      <c r="Q504" s="2">
        <v>929272.51789999998</v>
      </c>
      <c r="R504" s="4">
        <v>0.96822970694084709</v>
      </c>
      <c r="T504">
        <v>309738</v>
      </c>
      <c r="U504" s="2"/>
      <c r="V504">
        <v>5832</v>
      </c>
      <c r="W504" s="2">
        <v>6579000000</v>
      </c>
      <c r="X504" s="6">
        <v>959764.51785405388</v>
      </c>
      <c r="Y504" s="38">
        <v>10010</v>
      </c>
      <c r="Z504" s="86">
        <f>+((DETALLE_GD_1[[#This Row],[VALOR X UN (GD)]]-DETALLE_GD_1[[#This Row],[VALOR PPTO]])/DETALLE_GD_1[[#This Row],[VALOR PPTO]])</f>
        <v>-0.96822970634983885</v>
      </c>
      <c r="AA504" s="2">
        <f>+DETALLE_GD_1[[#This Row],[VALOR PPTO]]*DETALLE_GD_1[[#This Row],[CANTIDAD RECIBIDA]]</f>
        <v>959764.5</v>
      </c>
      <c r="AB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4" s="3">
        <f>+DETALLE_GD_1[[#This Row],[CANTIDAD SOLICITADA]]-DETALLE_GD_1[[#This Row],[DEVOLUCIÓN]]</f>
        <v>9000</v>
      </c>
      <c r="AD504" s="38" t="str">
        <f>+_xlfn.XLOOKUP(DETALLE_GD_1[[#This Row],[CODIGO]],PRODUCTOS[CODIGO],PRODUCTOS[DESC CORTA],"",0)</f>
        <v>TORNILLO CRS 6X1 5/8</v>
      </c>
      <c r="AE504"/>
      <c r="AH504"/>
    </row>
    <row r="505" spans="1:34" x14ac:dyDescent="0.25">
      <c r="A505" s="1">
        <v>46101</v>
      </c>
      <c r="B505" s="1">
        <v>46101</v>
      </c>
      <c r="C505" s="81" t="s">
        <v>169</v>
      </c>
      <c r="D505" s="38">
        <v>3</v>
      </c>
      <c r="E505" s="81" t="s">
        <v>169</v>
      </c>
      <c r="F505">
        <v>407307</v>
      </c>
      <c r="G505" s="81" t="s">
        <v>163</v>
      </c>
      <c r="H505" s="81" t="s">
        <v>31</v>
      </c>
      <c r="I505" s="3">
        <v>320</v>
      </c>
      <c r="J505" s="3"/>
      <c r="K505" s="26">
        <v>320</v>
      </c>
      <c r="L505" s="2">
        <v>68.871899999999997</v>
      </c>
      <c r="M505" s="2">
        <v>22039</v>
      </c>
      <c r="N505" s="2">
        <v>22039</v>
      </c>
      <c r="O505" s="2">
        <v>69.472800000000007</v>
      </c>
      <c r="P505" s="2">
        <v>0.60089999999999999</v>
      </c>
      <c r="Q505" s="2">
        <v>192.28800000000001</v>
      </c>
      <c r="R505" s="4">
        <v>8.6494313779749803E-3</v>
      </c>
      <c r="T505">
        <v>309738</v>
      </c>
      <c r="U505" s="2"/>
      <c r="V505">
        <v>5832</v>
      </c>
      <c r="W505" s="2">
        <v>6579000000</v>
      </c>
      <c r="X505" s="6">
        <v>22231.288</v>
      </c>
      <c r="Y505" s="38">
        <v>10010</v>
      </c>
      <c r="Z505" s="86">
        <f>+((DETALLE_GD_1[[#This Row],[VALOR X UN (GD)]]-DETALLE_GD_1[[#This Row],[VALOR PPTO]])/DETALLE_GD_1[[#This Row],[VALOR PPTO]])</f>
        <v>-8.649428265450794E-3</v>
      </c>
      <c r="AA505" s="2">
        <f>+DETALLE_GD_1[[#This Row],[VALOR PPTO]]*DETALLE_GD_1[[#This Row],[CANTIDAD RECIBIDA]]</f>
        <v>22231.296000000002</v>
      </c>
      <c r="AB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5" s="3">
        <f>+DETALLE_GD_1[[#This Row],[CANTIDAD SOLICITADA]]-DETALLE_GD_1[[#This Row],[DEVOLUCIÓN]]</f>
        <v>320</v>
      </c>
      <c r="AD505" s="38">
        <f>+_xlfn.XLOOKUP(DETALLE_GD_1[[#This Row],[CODIGO]],PRODUCTOS[CODIGO],PRODUCTOS[DESC CORTA],"",0)</f>
        <v>0</v>
      </c>
      <c r="AE505"/>
      <c r="AH505"/>
    </row>
    <row r="506" spans="1:34" x14ac:dyDescent="0.25">
      <c r="A506" s="1">
        <v>46101</v>
      </c>
      <c r="B506" s="1">
        <v>46101</v>
      </c>
      <c r="C506" s="81" t="s">
        <v>169</v>
      </c>
      <c r="D506" s="38">
        <v>3</v>
      </c>
      <c r="E506" s="81" t="s">
        <v>169</v>
      </c>
      <c r="F506">
        <v>304101</v>
      </c>
      <c r="G506" s="81" t="s">
        <v>17</v>
      </c>
      <c r="H506" s="81" t="s">
        <v>18</v>
      </c>
      <c r="I506" s="3">
        <v>168</v>
      </c>
      <c r="J506" s="3"/>
      <c r="K506" s="26">
        <v>168</v>
      </c>
      <c r="L506" s="2">
        <v>9622.125</v>
      </c>
      <c r="M506" s="2">
        <v>1616517</v>
      </c>
      <c r="N506" s="2">
        <v>1616517</v>
      </c>
      <c r="O506" s="2">
        <v>9657.5879999999997</v>
      </c>
      <c r="P506" s="2">
        <v>35.463000000000001</v>
      </c>
      <c r="Q506" s="2">
        <v>5957.7755999999999</v>
      </c>
      <c r="R506" s="4">
        <v>3.672029722494489E-3</v>
      </c>
      <c r="T506">
        <v>309738</v>
      </c>
      <c r="U506" s="2"/>
      <c r="V506">
        <v>5832</v>
      </c>
      <c r="W506" s="2">
        <v>6579000000</v>
      </c>
      <c r="X506" s="6">
        <v>1622474.7756000008</v>
      </c>
      <c r="Y506" s="38">
        <v>10010</v>
      </c>
      <c r="Z506" s="86">
        <f>+((DETALLE_GD_1[[#This Row],[VALOR X UN (GD)]]-DETALLE_GD_1[[#This Row],[VALOR PPTO]])/DETALLE_GD_1[[#This Row],[VALOR PPTO]])</f>
        <v>-3.6720348807590198E-3</v>
      </c>
      <c r="AA506" s="2">
        <f>+DETALLE_GD_1[[#This Row],[VALOR PPTO]]*DETALLE_GD_1[[#This Row],[CANTIDAD RECIBIDA]]</f>
        <v>1622474.784</v>
      </c>
      <c r="AB5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06" s="3">
        <f>+DETALLE_GD_1[[#This Row],[CANTIDAD SOLICITADA]]-DETALLE_GD_1[[#This Row],[DEVOLUCIÓN]]</f>
        <v>168</v>
      </c>
      <c r="AD506" s="38" t="str">
        <f>+_xlfn.XLOOKUP(DETALLE_GD_1[[#This Row],[CODIGO]],PRODUCTOS[CODIGO],PRODUCTOS[DESC CORTA],"",0)</f>
        <v>OSB 9.5</v>
      </c>
      <c r="AE506"/>
      <c r="AH506"/>
    </row>
    <row r="507" spans="1:34" x14ac:dyDescent="0.25">
      <c r="A507" s="1">
        <v>46101</v>
      </c>
      <c r="B507" s="1">
        <v>46101</v>
      </c>
      <c r="C507" s="81" t="s">
        <v>169</v>
      </c>
      <c r="D507" s="38">
        <v>3</v>
      </c>
      <c r="E507" s="81" t="s">
        <v>169</v>
      </c>
      <c r="F507">
        <v>302044</v>
      </c>
      <c r="G507" s="81" t="s">
        <v>247</v>
      </c>
      <c r="H507" s="81" t="s">
        <v>20</v>
      </c>
      <c r="I507" s="3">
        <v>240</v>
      </c>
      <c r="J507" s="3"/>
      <c r="K507" s="26">
        <v>240</v>
      </c>
      <c r="L507" s="2">
        <v>13725.9625</v>
      </c>
      <c r="M507" s="2">
        <v>3294231</v>
      </c>
      <c r="N507" s="2">
        <v>3294231</v>
      </c>
      <c r="O507" s="2">
        <v>13725.9625</v>
      </c>
      <c r="P507" s="2">
        <v>0</v>
      </c>
      <c r="Q507" s="2">
        <v>8.2000000000000007E-3</v>
      </c>
      <c r="R507" s="4">
        <v>2.477057657126727E-9</v>
      </c>
      <c r="T507">
        <v>309738</v>
      </c>
      <c r="U507" s="2"/>
      <c r="V507">
        <v>5832</v>
      </c>
      <c r="W507" s="2">
        <v>6579000000</v>
      </c>
      <c r="X507" s="6">
        <v>3294231.0081600002</v>
      </c>
      <c r="Y507" s="38">
        <v>10010</v>
      </c>
      <c r="Z507" s="86">
        <f>+((DETALLE_GD_1[[#This Row],[VALOR X UN (GD)]]-DETALLE_GD_1[[#This Row],[VALOR PPTO]])/DETALLE_GD_1[[#This Row],[VALOR PPTO]])</f>
        <v>0</v>
      </c>
      <c r="AA507" s="2">
        <f>+DETALLE_GD_1[[#This Row],[VALOR PPTO]]*DETALLE_GD_1[[#This Row],[CANTIDAD RECIBIDA]]</f>
        <v>3294231</v>
      </c>
      <c r="AB5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07" s="3">
        <f>+DETALLE_GD_1[[#This Row],[CANTIDAD SOLICITADA]]-DETALLE_GD_1[[#This Row],[DEVOLUCIÓN]]</f>
        <v>240</v>
      </c>
      <c r="AD507" s="38" t="str">
        <f>+_xlfn.XLOOKUP(DETALLE_GD_1[[#This Row],[CODIGO]],PRODUCTOS[CODIGO],PRODUCTOS[DESC CORTA],"",0)</f>
        <v>PINO 2X8X4</v>
      </c>
      <c r="AE507"/>
      <c r="AH507"/>
    </row>
    <row r="508" spans="1:34" x14ac:dyDescent="0.25">
      <c r="A508" s="1">
        <v>46104</v>
      </c>
      <c r="B508" s="1">
        <v>46104</v>
      </c>
      <c r="C508" s="81" t="s">
        <v>169</v>
      </c>
      <c r="D508" s="38">
        <v>3</v>
      </c>
      <c r="E508" s="81" t="s">
        <v>169</v>
      </c>
      <c r="F508">
        <v>412313</v>
      </c>
      <c r="G508" s="81" t="s">
        <v>253</v>
      </c>
      <c r="H508" s="81" t="s">
        <v>36</v>
      </c>
      <c r="I508" s="3">
        <v>6</v>
      </c>
      <c r="J508" s="3"/>
      <c r="K508" s="26">
        <v>6</v>
      </c>
      <c r="L508" s="2">
        <v>23724</v>
      </c>
      <c r="M508" s="2">
        <v>142344</v>
      </c>
      <c r="N508" s="2">
        <v>142344</v>
      </c>
      <c r="O508" s="2">
        <v>23724.0674</v>
      </c>
      <c r="P508" s="2">
        <v>6.7400000000000002E-2</v>
      </c>
      <c r="Q508" s="2">
        <v>0.40429999999999999</v>
      </c>
      <c r="R508" s="4">
        <v>2.8403645506871342E-6</v>
      </c>
      <c r="T508">
        <v>309888</v>
      </c>
      <c r="U508" s="2">
        <v>679431</v>
      </c>
      <c r="V508">
        <v>5886</v>
      </c>
      <c r="W508" s="2">
        <v>6579000000</v>
      </c>
      <c r="X508" s="6">
        <v>142344.40430999998</v>
      </c>
      <c r="Y508" s="38">
        <v>10010</v>
      </c>
      <c r="Z508" s="86">
        <f>+((DETALLE_GD_1[[#This Row],[VALOR X UN (GD)]]-DETALLE_GD_1[[#This Row],[VALOR PPTO]])/DETALLE_GD_1[[#This Row],[VALOR PPTO]])</f>
        <v>-2.8409968182735337E-6</v>
      </c>
      <c r="AA508" s="2">
        <f>+DETALLE_GD_1[[#This Row],[VALOR PPTO]]*DETALLE_GD_1[[#This Row],[CANTIDAD RECIBIDA]]</f>
        <v>142344.4044</v>
      </c>
      <c r="AB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8" s="3">
        <f>+DETALLE_GD_1[[#This Row],[CANTIDAD SOLICITADA]]-DETALLE_GD_1[[#This Row],[DEVOLUCIÓN]]</f>
        <v>6</v>
      </c>
      <c r="AD508" s="38">
        <f>+_xlfn.XLOOKUP(DETALLE_GD_1[[#This Row],[CODIGO]],PRODUCTOS[CODIGO],PRODUCTOS[DESC CORTA],"",0)</f>
        <v>0</v>
      </c>
      <c r="AE508"/>
      <c r="AH508"/>
    </row>
    <row r="509" spans="1:34" x14ac:dyDescent="0.25">
      <c r="A509" s="1">
        <v>46104</v>
      </c>
      <c r="B509" s="1">
        <v>46104</v>
      </c>
      <c r="C509" s="81" t="s">
        <v>169</v>
      </c>
      <c r="D509" s="38">
        <v>3</v>
      </c>
      <c r="E509" s="81" t="s">
        <v>169</v>
      </c>
      <c r="F509">
        <v>412281</v>
      </c>
      <c r="G509" s="81" t="s">
        <v>326</v>
      </c>
      <c r="H509" s="81" t="s">
        <v>31</v>
      </c>
      <c r="I509" s="3">
        <v>60</v>
      </c>
      <c r="J509" s="3"/>
      <c r="K509" s="26">
        <v>60</v>
      </c>
      <c r="L509" s="2">
        <v>8951.4500000000007</v>
      </c>
      <c r="M509" s="2">
        <v>537087</v>
      </c>
      <c r="N509" s="2">
        <v>537087</v>
      </c>
      <c r="O509" s="2">
        <v>0</v>
      </c>
      <c r="P509" s="2">
        <v>-8951.4500000000007</v>
      </c>
      <c r="Q509" s="2">
        <v>-537087</v>
      </c>
      <c r="R509" s="4"/>
      <c r="T509">
        <v>309888</v>
      </c>
      <c r="U509" s="2"/>
      <c r="V509">
        <v>5886</v>
      </c>
      <c r="W509" s="2">
        <v>6579000000</v>
      </c>
      <c r="X509" s="6">
        <v>0</v>
      </c>
      <c r="Y509" s="38">
        <v>10010</v>
      </c>
      <c r="Z509" s="86" t="e">
        <f>+((DETALLE_GD_1[[#This Row],[VALOR X UN (GD)]]-DETALLE_GD_1[[#This Row],[VALOR PPTO]])/DETALLE_GD_1[[#This Row],[VALOR PPTO]])</f>
        <v>#DIV/0!</v>
      </c>
      <c r="AA509" s="2">
        <f>+DETALLE_GD_1[[#This Row],[VALOR PPTO]]*DETALLE_GD_1[[#This Row],[CANTIDAD RECIBIDA]]</f>
        <v>0</v>
      </c>
      <c r="AB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9" s="3">
        <f>+DETALLE_GD_1[[#This Row],[CANTIDAD SOLICITADA]]-DETALLE_GD_1[[#This Row],[DEVOLUCIÓN]]</f>
        <v>60</v>
      </c>
      <c r="AD509" s="38" t="str">
        <f>+_xlfn.XLOOKUP(DETALLE_GD_1[[#This Row],[CODIGO]],PRODUCTOS[CODIGO],PRODUCTOS[DESC CORTA],"",0)</f>
        <v>HOLDOWN TENSIONADOR</v>
      </c>
      <c r="AE509"/>
      <c r="AH509"/>
    </row>
    <row r="510" spans="1:34" x14ac:dyDescent="0.25">
      <c r="A510" s="1">
        <v>46104</v>
      </c>
      <c r="B510" s="1">
        <v>46104</v>
      </c>
      <c r="C510" s="81" t="s">
        <v>169</v>
      </c>
      <c r="D510" s="38">
        <v>3</v>
      </c>
      <c r="E510" s="81" t="s">
        <v>169</v>
      </c>
      <c r="F510">
        <v>412313</v>
      </c>
      <c r="G510" s="81" t="s">
        <v>253</v>
      </c>
      <c r="H510" s="81" t="s">
        <v>36</v>
      </c>
      <c r="I510" s="3">
        <v>6</v>
      </c>
      <c r="J510" s="3"/>
      <c r="K510" s="26">
        <v>6</v>
      </c>
      <c r="L510" s="2">
        <v>23724</v>
      </c>
      <c r="M510" s="2">
        <v>142344</v>
      </c>
      <c r="N510" s="2">
        <v>142344</v>
      </c>
      <c r="O510" s="2">
        <v>23724.0674</v>
      </c>
      <c r="P510" s="2">
        <v>6.7400000000000002E-2</v>
      </c>
      <c r="Q510" s="2">
        <v>0.40429999999999999</v>
      </c>
      <c r="R510" s="4">
        <v>2.8403645506871342E-6</v>
      </c>
      <c r="T510">
        <v>309913</v>
      </c>
      <c r="U510" s="2">
        <v>1050904</v>
      </c>
      <c r="V510">
        <v>5886</v>
      </c>
      <c r="W510" s="2">
        <v>6579000000</v>
      </c>
      <c r="X510" s="6">
        <v>142344.40430999998</v>
      </c>
      <c r="Y510" s="38">
        <v>10010</v>
      </c>
      <c r="Z510" s="86">
        <f>+((DETALLE_GD_1[[#This Row],[VALOR X UN (GD)]]-DETALLE_GD_1[[#This Row],[VALOR PPTO]])/DETALLE_GD_1[[#This Row],[VALOR PPTO]])</f>
        <v>-2.8409968182735337E-6</v>
      </c>
      <c r="AA510" s="2">
        <f>+DETALLE_GD_1[[#This Row],[VALOR PPTO]]*DETALLE_GD_1[[#This Row],[CANTIDAD RECIBIDA]]</f>
        <v>142344.4044</v>
      </c>
      <c r="AB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0" s="3">
        <f>+DETALLE_GD_1[[#This Row],[CANTIDAD SOLICITADA]]-DETALLE_GD_1[[#This Row],[DEVOLUCIÓN]]</f>
        <v>6</v>
      </c>
      <c r="AD510" s="38">
        <f>+_xlfn.XLOOKUP(DETALLE_GD_1[[#This Row],[CODIGO]],PRODUCTOS[CODIGO],PRODUCTOS[DESC CORTA],"",0)</f>
        <v>0</v>
      </c>
      <c r="AE510"/>
      <c r="AH510"/>
    </row>
    <row r="511" spans="1:34" x14ac:dyDescent="0.25">
      <c r="A511" s="1">
        <v>46104</v>
      </c>
      <c r="B511" s="1">
        <v>46104</v>
      </c>
      <c r="C511" s="81" t="s">
        <v>169</v>
      </c>
      <c r="D511" s="38">
        <v>3</v>
      </c>
      <c r="E511" s="81" t="s">
        <v>169</v>
      </c>
      <c r="F511">
        <v>2304056</v>
      </c>
      <c r="G511" s="81" t="s">
        <v>417</v>
      </c>
      <c r="H511" s="81" t="s">
        <v>31</v>
      </c>
      <c r="I511" s="3">
        <v>7</v>
      </c>
      <c r="J511" s="3"/>
      <c r="K511" s="26">
        <v>7</v>
      </c>
      <c r="L511" s="2">
        <v>2979.2856999999999</v>
      </c>
      <c r="M511" s="2">
        <v>20855</v>
      </c>
      <c r="N511" s="2">
        <v>20855</v>
      </c>
      <c r="O511" s="2">
        <v>2979</v>
      </c>
      <c r="P511" s="2">
        <v>-0.28570000000000001</v>
      </c>
      <c r="Q511" s="2">
        <v>-2</v>
      </c>
      <c r="R511" s="4">
        <v>-9.5909461468352049E-5</v>
      </c>
      <c r="T511">
        <v>309913</v>
      </c>
      <c r="U511" s="2"/>
      <c r="V511">
        <v>5886</v>
      </c>
      <c r="W511" s="2">
        <v>6579000000</v>
      </c>
      <c r="X511" s="6">
        <v>20853</v>
      </c>
      <c r="Y511" s="38">
        <v>10010</v>
      </c>
      <c r="Z511" s="86">
        <f>+((DETALLE_GD_1[[#This Row],[VALOR X UN (GD)]]-DETALLE_GD_1[[#This Row],[VALOR PPTO]])/DETALLE_GD_1[[#This Row],[VALOR PPTO]])</f>
        <v>9.5904665995268925E-5</v>
      </c>
      <c r="AA511" s="2">
        <f>+DETALLE_GD_1[[#This Row],[VALOR PPTO]]*DETALLE_GD_1[[#This Row],[CANTIDAD RECIBIDA]]</f>
        <v>20853</v>
      </c>
      <c r="AB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1" s="3">
        <f>+DETALLE_GD_1[[#This Row],[CANTIDAD SOLICITADA]]-DETALLE_GD_1[[#This Row],[DEVOLUCIÓN]]</f>
        <v>7</v>
      </c>
      <c r="AD511" s="38" t="str">
        <f>+_xlfn.XLOOKUP(DETALLE_GD_1[[#This Row],[CODIGO]],PRODUCTOS[CODIGO],PRODUCTOS[DESC CORTA],"",0)</f>
        <v/>
      </c>
      <c r="AE511"/>
      <c r="AH511"/>
    </row>
    <row r="512" spans="1:34" x14ac:dyDescent="0.25">
      <c r="A512" s="1">
        <v>46104</v>
      </c>
      <c r="B512" s="1">
        <v>46104</v>
      </c>
      <c r="C512" s="81" t="s">
        <v>169</v>
      </c>
      <c r="D512" s="38">
        <v>3</v>
      </c>
      <c r="E512" s="81" t="s">
        <v>169</v>
      </c>
      <c r="F512" t="s">
        <v>179</v>
      </c>
      <c r="G512" s="81" t="s">
        <v>180</v>
      </c>
      <c r="H512" s="81" t="s">
        <v>36</v>
      </c>
      <c r="I512" s="3">
        <v>6</v>
      </c>
      <c r="J512" s="3"/>
      <c r="K512" s="26">
        <v>6</v>
      </c>
      <c r="L512" s="2">
        <v>76394.833299999998</v>
      </c>
      <c r="M512" s="2">
        <v>458369</v>
      </c>
      <c r="N512" s="2">
        <v>458369</v>
      </c>
      <c r="O512" s="2">
        <v>55858.301899999999</v>
      </c>
      <c r="P512" s="2">
        <v>-20536.5314</v>
      </c>
      <c r="Q512" s="2">
        <v>-123219.1887</v>
      </c>
      <c r="R512" s="4">
        <v>-0.36765405951434482</v>
      </c>
      <c r="S512" t="s">
        <v>450</v>
      </c>
      <c r="T512">
        <v>309913</v>
      </c>
      <c r="U512" s="2"/>
      <c r="V512">
        <v>5886</v>
      </c>
      <c r="W512" s="2">
        <v>6579000000</v>
      </c>
      <c r="X512" s="6">
        <v>335149.81132199999</v>
      </c>
      <c r="Y512" s="38">
        <v>10010</v>
      </c>
      <c r="Z512" s="86">
        <f>+((DETALLE_GD_1[[#This Row],[VALOR X UN (GD)]]-DETALLE_GD_1[[#This Row],[VALOR PPTO]])/DETALLE_GD_1[[#This Row],[VALOR PPTO]])</f>
        <v>0.36765405859930017</v>
      </c>
      <c r="AA512" s="2">
        <f>+DETALLE_GD_1[[#This Row],[VALOR PPTO]]*DETALLE_GD_1[[#This Row],[CANTIDAD RECIBIDA]]</f>
        <v>335149.81140000001</v>
      </c>
      <c r="AB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2" s="3">
        <f>+DETALLE_GD_1[[#This Row],[CANTIDAD SOLICITADA]]-DETALLE_GD_1[[#This Row],[DEVOLUCIÓN]]</f>
        <v>6</v>
      </c>
      <c r="AD512" s="38">
        <f>+_xlfn.XLOOKUP(DETALLE_GD_1[[#This Row],[CODIGO]],PRODUCTOS[CODIGO],PRODUCTOS[DESC CORTA],"",0)</f>
        <v>0</v>
      </c>
      <c r="AE512"/>
      <c r="AH512"/>
    </row>
    <row r="513" spans="1:34" x14ac:dyDescent="0.25">
      <c r="A513" s="1">
        <v>46104</v>
      </c>
      <c r="B513" s="1">
        <v>46104</v>
      </c>
      <c r="C513" s="81" t="s">
        <v>169</v>
      </c>
      <c r="D513" s="38">
        <v>3</v>
      </c>
      <c r="E513" s="81" t="s">
        <v>169</v>
      </c>
      <c r="F513">
        <v>1802162</v>
      </c>
      <c r="G513" s="81" t="s">
        <v>260</v>
      </c>
      <c r="H513" s="81" t="s">
        <v>31</v>
      </c>
      <c r="I513" s="3">
        <v>10</v>
      </c>
      <c r="J513" s="3"/>
      <c r="K513" s="26">
        <v>10</v>
      </c>
      <c r="L513" s="2">
        <v>42840</v>
      </c>
      <c r="M513" s="2">
        <v>428400</v>
      </c>
      <c r="N513" s="2">
        <v>428400</v>
      </c>
      <c r="O513" s="2">
        <v>42840</v>
      </c>
      <c r="P513" s="2">
        <v>0</v>
      </c>
      <c r="Q513" s="2">
        <v>0</v>
      </c>
      <c r="R513" s="4">
        <v>0</v>
      </c>
      <c r="T513">
        <v>309913</v>
      </c>
      <c r="U513" s="2"/>
      <c r="V513">
        <v>5886</v>
      </c>
      <c r="W513" s="2">
        <v>6579000000</v>
      </c>
      <c r="X513" s="6">
        <v>428400</v>
      </c>
      <c r="Y513" s="38">
        <v>10010</v>
      </c>
      <c r="Z513" s="86">
        <f>+((DETALLE_GD_1[[#This Row],[VALOR X UN (GD)]]-DETALLE_GD_1[[#This Row],[VALOR PPTO]])/DETALLE_GD_1[[#This Row],[VALOR PPTO]])</f>
        <v>0</v>
      </c>
      <c r="AA513" s="2">
        <f>+DETALLE_GD_1[[#This Row],[VALOR PPTO]]*DETALLE_GD_1[[#This Row],[CANTIDAD RECIBIDA]]</f>
        <v>428400</v>
      </c>
      <c r="AB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3" s="3">
        <f>+DETALLE_GD_1[[#This Row],[CANTIDAD SOLICITADA]]-DETALLE_GD_1[[#This Row],[DEVOLUCIÓN]]</f>
        <v>10</v>
      </c>
      <c r="AD513" s="38" t="str">
        <f>+_xlfn.XLOOKUP(DETALLE_GD_1[[#This Row],[CODIGO]],PRODUCTOS[CODIGO],PRODUCTOS[DESC CORTA],"",0)</f>
        <v>TINA DE ACERO</v>
      </c>
      <c r="AE513"/>
      <c r="AH513"/>
    </row>
    <row r="514" spans="1:34" x14ac:dyDescent="0.25">
      <c r="A514" s="1">
        <v>46104</v>
      </c>
      <c r="B514" s="1">
        <v>46104</v>
      </c>
      <c r="C514" s="81" t="s">
        <v>169</v>
      </c>
      <c r="D514" s="38">
        <v>3</v>
      </c>
      <c r="E514" s="81" t="s">
        <v>169</v>
      </c>
      <c r="F514">
        <v>5314002</v>
      </c>
      <c r="G514" s="81" t="s">
        <v>342</v>
      </c>
      <c r="H514" s="81" t="s">
        <v>31</v>
      </c>
      <c r="I514" s="3">
        <v>3</v>
      </c>
      <c r="J514" s="3"/>
      <c r="K514" s="26">
        <v>3</v>
      </c>
      <c r="L514" s="2">
        <v>312</v>
      </c>
      <c r="M514" s="2">
        <v>936</v>
      </c>
      <c r="N514" s="2">
        <v>936</v>
      </c>
      <c r="O514" s="2">
        <v>311.91989999999998</v>
      </c>
      <c r="P514" s="2">
        <v>-8.0100000000000005E-2</v>
      </c>
      <c r="Q514" s="2">
        <v>-0.2404</v>
      </c>
      <c r="R514" s="4">
        <v>-2.569057271907998E-4</v>
      </c>
      <c r="T514">
        <v>309913</v>
      </c>
      <c r="U514" s="2"/>
      <c r="V514">
        <v>5886</v>
      </c>
      <c r="W514" s="2">
        <v>6579000000</v>
      </c>
      <c r="X514" s="6">
        <v>935.75959799999998</v>
      </c>
      <c r="Y514" s="38">
        <v>10010</v>
      </c>
      <c r="Z514" s="86">
        <f>+((DETALLE_GD_1[[#This Row],[VALOR X UN (GD)]]-DETALLE_GD_1[[#This Row],[VALOR PPTO]])/DETALLE_GD_1[[#This Row],[VALOR PPTO]])</f>
        <v>2.5679669684433674E-4</v>
      </c>
      <c r="AA514" s="2">
        <f>+DETALLE_GD_1[[#This Row],[VALOR PPTO]]*DETALLE_GD_1[[#This Row],[CANTIDAD RECIBIDA]]</f>
        <v>935.75969999999995</v>
      </c>
      <c r="AB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4" s="3">
        <f>+DETALLE_GD_1[[#This Row],[CANTIDAD SOLICITADA]]-DETALLE_GD_1[[#This Row],[DEVOLUCIÓN]]</f>
        <v>3</v>
      </c>
      <c r="AD514" s="38" t="str">
        <f>+_xlfn.XLOOKUP(DETALLE_GD_1[[#This Row],[CODIGO]],PRODUCTOS[CODIGO],PRODUCTOS[DESC CORTA],"",0)</f>
        <v>CINTA EMBALAJE TRANSPARENTE</v>
      </c>
      <c r="AE514"/>
      <c r="AH514"/>
    </row>
    <row r="515" spans="1:34" x14ac:dyDescent="0.25">
      <c r="A515" s="1">
        <v>46105</v>
      </c>
      <c r="B515" s="1">
        <v>46104</v>
      </c>
      <c r="C515" s="81" t="s">
        <v>169</v>
      </c>
      <c r="D515" s="38">
        <v>3</v>
      </c>
      <c r="E515" s="81" t="s">
        <v>169</v>
      </c>
      <c r="F515">
        <v>1802175</v>
      </c>
      <c r="G515" s="81" t="s">
        <v>269</v>
      </c>
      <c r="H515" s="81" t="s">
        <v>31</v>
      </c>
      <c r="I515" s="3">
        <v>1</v>
      </c>
      <c r="J515" s="3"/>
      <c r="K515" s="26">
        <v>1</v>
      </c>
      <c r="L515" s="2">
        <v>1079</v>
      </c>
      <c r="M515" s="2">
        <v>1079</v>
      </c>
      <c r="N515" s="2">
        <v>1079</v>
      </c>
      <c r="O515" s="2">
        <v>1079</v>
      </c>
      <c r="P515" s="2">
        <v>0</v>
      </c>
      <c r="Q515" s="2">
        <v>0</v>
      </c>
      <c r="R515" s="4">
        <v>0</v>
      </c>
      <c r="T515">
        <v>310019</v>
      </c>
      <c r="U515" s="2">
        <v>3182861</v>
      </c>
      <c r="V515">
        <v>5886</v>
      </c>
      <c r="W515" s="2">
        <v>6579000000</v>
      </c>
      <c r="X515" s="6">
        <v>1079</v>
      </c>
      <c r="Y515" s="38">
        <v>10010</v>
      </c>
      <c r="Z515" s="86">
        <f>+((DETALLE_GD_1[[#This Row],[VALOR X UN (GD)]]-DETALLE_GD_1[[#This Row],[VALOR PPTO]])/DETALLE_GD_1[[#This Row],[VALOR PPTO]])</f>
        <v>0</v>
      </c>
      <c r="AA515" s="2">
        <f>+DETALLE_GD_1[[#This Row],[VALOR PPTO]]*DETALLE_GD_1[[#This Row],[CANTIDAD RECIBIDA]]</f>
        <v>1079</v>
      </c>
      <c r="AB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5" s="3">
        <f>+DETALLE_GD_1[[#This Row],[CANTIDAD SOLICITADA]]-DETALLE_GD_1[[#This Row],[DEVOLUCIÓN]]</f>
        <v>1</v>
      </c>
      <c r="AD515" s="38" t="str">
        <f>+_xlfn.XLOOKUP(DETALLE_GD_1[[#This Row],[CODIGO]],PRODUCTOS[CODIGO],PRODUCTOS[DESC CORTA],"",0)</f>
        <v>UÑETAS INSTLACION LAVAMANOS</v>
      </c>
      <c r="AE515"/>
      <c r="AH515"/>
    </row>
    <row r="516" spans="1:34" x14ac:dyDescent="0.25">
      <c r="A516" s="1">
        <v>46105</v>
      </c>
      <c r="B516" s="1">
        <v>46104</v>
      </c>
      <c r="C516" s="81" t="s">
        <v>169</v>
      </c>
      <c r="D516" s="38">
        <v>3</v>
      </c>
      <c r="E516" s="81" t="s">
        <v>169</v>
      </c>
      <c r="F516">
        <v>1802176</v>
      </c>
      <c r="G516" s="81" t="s">
        <v>196</v>
      </c>
      <c r="H516" s="81" t="s">
        <v>31</v>
      </c>
      <c r="I516" s="3">
        <v>1</v>
      </c>
      <c r="J516" s="3"/>
      <c r="K516" s="26">
        <v>1</v>
      </c>
      <c r="L516" s="2">
        <v>2199</v>
      </c>
      <c r="M516" s="2">
        <v>2199</v>
      </c>
      <c r="N516" s="2">
        <v>2199</v>
      </c>
      <c r="O516" s="2">
        <v>2199</v>
      </c>
      <c r="P516" s="2">
        <v>0</v>
      </c>
      <c r="Q516" s="2">
        <v>0</v>
      </c>
      <c r="R516" s="4">
        <v>0</v>
      </c>
      <c r="T516">
        <v>310019</v>
      </c>
      <c r="U516" s="2"/>
      <c r="V516">
        <v>5886</v>
      </c>
      <c r="W516" s="2">
        <v>6579000000</v>
      </c>
      <c r="X516" s="6">
        <v>2199</v>
      </c>
      <c r="Y516" s="38">
        <v>10010</v>
      </c>
      <c r="Z516" s="86">
        <f>+((DETALLE_GD_1[[#This Row],[VALOR X UN (GD)]]-DETALLE_GD_1[[#This Row],[VALOR PPTO]])/DETALLE_GD_1[[#This Row],[VALOR PPTO]])</f>
        <v>0</v>
      </c>
      <c r="AA516" s="2">
        <f>+DETALLE_GD_1[[#This Row],[VALOR PPTO]]*DETALLE_GD_1[[#This Row],[CANTIDAD RECIBIDA]]</f>
        <v>2199</v>
      </c>
      <c r="AB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6" s="3">
        <f>+DETALLE_GD_1[[#This Row],[CANTIDAD SOLICITADA]]-DETALLE_GD_1[[#This Row],[DEVOLUCIÓN]]</f>
        <v>1</v>
      </c>
      <c r="AD516" s="38">
        <f>+_xlfn.XLOOKUP(DETALLE_GD_1[[#This Row],[CODIGO]],PRODUCTOS[CODIGO],PRODUCTOS[DESC CORTA],"",0)</f>
        <v>0</v>
      </c>
      <c r="AE516"/>
      <c r="AH516"/>
    </row>
    <row r="517" spans="1:34" x14ac:dyDescent="0.25">
      <c r="A517" s="1">
        <v>46105</v>
      </c>
      <c r="B517" s="1">
        <v>46104</v>
      </c>
      <c r="C517" s="81" t="s">
        <v>169</v>
      </c>
      <c r="D517" s="38">
        <v>3</v>
      </c>
      <c r="E517" s="81" t="s">
        <v>169</v>
      </c>
      <c r="F517">
        <v>1802177</v>
      </c>
      <c r="G517" s="81" t="s">
        <v>270</v>
      </c>
      <c r="H517" s="81" t="s">
        <v>31</v>
      </c>
      <c r="I517" s="3">
        <v>1</v>
      </c>
      <c r="J517" s="3"/>
      <c r="K517" s="26">
        <v>1</v>
      </c>
      <c r="L517" s="2">
        <v>1471</v>
      </c>
      <c r="M517" s="2">
        <v>1471</v>
      </c>
      <c r="N517" s="2">
        <v>1471</v>
      </c>
      <c r="O517" s="2">
        <v>1471</v>
      </c>
      <c r="P517" s="2">
        <v>0</v>
      </c>
      <c r="Q517" s="2">
        <v>0</v>
      </c>
      <c r="R517" s="4">
        <v>0</v>
      </c>
      <c r="T517">
        <v>310019</v>
      </c>
      <c r="U517" s="2"/>
      <c r="V517">
        <v>5886</v>
      </c>
      <c r="W517" s="2">
        <v>6579000000</v>
      </c>
      <c r="X517" s="6">
        <v>1471</v>
      </c>
      <c r="Y517" s="38">
        <v>10010</v>
      </c>
      <c r="Z517" s="86">
        <f>+((DETALLE_GD_1[[#This Row],[VALOR X UN (GD)]]-DETALLE_GD_1[[#This Row],[VALOR PPTO]])/DETALLE_GD_1[[#This Row],[VALOR PPTO]])</f>
        <v>0</v>
      </c>
      <c r="AA517" s="2">
        <f>+DETALLE_GD_1[[#This Row],[VALOR PPTO]]*DETALLE_GD_1[[#This Row],[CANTIDAD RECIBIDA]]</f>
        <v>1471</v>
      </c>
      <c r="AB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7" s="3">
        <f>+DETALLE_GD_1[[#This Row],[CANTIDAD SOLICITADA]]-DETALLE_GD_1[[#This Row],[DEVOLUCIÓN]]</f>
        <v>1</v>
      </c>
      <c r="AD517" s="38" t="str">
        <f>+_xlfn.XLOOKUP(DETALLE_GD_1[[#This Row],[CODIGO]],PRODUCTOS[CODIGO],PRODUCTOS[DESC CORTA],"",0)</f>
        <v>SIFOL</v>
      </c>
      <c r="AE517"/>
      <c r="AH517"/>
    </row>
    <row r="518" spans="1:34" x14ac:dyDescent="0.25">
      <c r="A518" s="1">
        <v>46105</v>
      </c>
      <c r="B518" s="1">
        <v>46104</v>
      </c>
      <c r="C518" s="81" t="s">
        <v>169</v>
      </c>
      <c r="D518" s="38">
        <v>3</v>
      </c>
      <c r="E518" s="81" t="s">
        <v>169</v>
      </c>
      <c r="F518">
        <v>1802173</v>
      </c>
      <c r="G518" s="81" t="s">
        <v>267</v>
      </c>
      <c r="H518" s="81" t="s">
        <v>31</v>
      </c>
      <c r="I518" s="3">
        <v>1</v>
      </c>
      <c r="J518" s="3"/>
      <c r="K518" s="26">
        <v>1</v>
      </c>
      <c r="L518" s="2">
        <v>11984</v>
      </c>
      <c r="M518" s="2">
        <v>11984</v>
      </c>
      <c r="N518" s="2">
        <v>11984</v>
      </c>
      <c r="O518" s="2">
        <v>11996</v>
      </c>
      <c r="P518" s="2">
        <v>12</v>
      </c>
      <c r="Q518" s="2">
        <v>12</v>
      </c>
      <c r="R518" s="4">
        <v>1.0003334444814941E-3</v>
      </c>
      <c r="T518">
        <v>310019</v>
      </c>
      <c r="U518" s="2"/>
      <c r="V518">
        <v>5886</v>
      </c>
      <c r="W518" s="2">
        <v>6579000000</v>
      </c>
      <c r="X518" s="6">
        <v>11996</v>
      </c>
      <c r="Y518" s="38">
        <v>10010</v>
      </c>
      <c r="Z518" s="86">
        <f>+((DETALLE_GD_1[[#This Row],[VALOR X UN (GD)]]-DETALLE_GD_1[[#This Row],[VALOR PPTO]])/DETALLE_GD_1[[#This Row],[VALOR PPTO]])</f>
        <v>-1.0003334444814939E-3</v>
      </c>
      <c r="AA518" s="2">
        <f>+DETALLE_GD_1[[#This Row],[VALOR PPTO]]*DETALLE_GD_1[[#This Row],[CANTIDAD RECIBIDA]]</f>
        <v>11996</v>
      </c>
      <c r="AB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8" s="3">
        <f>+DETALLE_GD_1[[#This Row],[CANTIDAD SOLICITADA]]-DETALLE_GD_1[[#This Row],[DEVOLUCIÓN]]</f>
        <v>1</v>
      </c>
      <c r="AD518" s="38" t="str">
        <f>+_xlfn.XLOOKUP(DETALLE_GD_1[[#This Row],[CODIGO]],PRODUCTOS[CODIGO],PRODUCTOS[DESC CORTA],"",0)</f>
        <v>LAVAMANOS DS THEOS</v>
      </c>
      <c r="AE518"/>
      <c r="AH518"/>
    </row>
    <row r="519" spans="1:34" x14ac:dyDescent="0.25">
      <c r="A519" s="1">
        <v>46105</v>
      </c>
      <c r="B519" s="1">
        <v>46104</v>
      </c>
      <c r="C519" s="81" t="s">
        <v>169</v>
      </c>
      <c r="D519" s="38">
        <v>3</v>
      </c>
      <c r="E519" s="81" t="s">
        <v>169</v>
      </c>
      <c r="F519">
        <v>1808148</v>
      </c>
      <c r="G519" s="81" t="s">
        <v>276</v>
      </c>
      <c r="H519" s="81" t="s">
        <v>31</v>
      </c>
      <c r="I519" s="3">
        <v>1</v>
      </c>
      <c r="J519" s="3"/>
      <c r="K519" s="26">
        <v>1</v>
      </c>
      <c r="L519" s="2">
        <v>1099</v>
      </c>
      <c r="M519" s="2">
        <v>1099</v>
      </c>
      <c r="N519" s="2">
        <v>1099</v>
      </c>
      <c r="O519" s="2">
        <v>1089</v>
      </c>
      <c r="P519" s="2">
        <v>-10</v>
      </c>
      <c r="Q519" s="2">
        <v>-10</v>
      </c>
      <c r="R519" s="4">
        <v>-9.1827364554637279E-3</v>
      </c>
      <c r="T519">
        <v>310019</v>
      </c>
      <c r="U519" s="2"/>
      <c r="V519">
        <v>5886</v>
      </c>
      <c r="W519" s="2">
        <v>6579000000</v>
      </c>
      <c r="X519" s="6">
        <v>1089</v>
      </c>
      <c r="Y519" s="38">
        <v>10010</v>
      </c>
      <c r="Z519" s="86">
        <f>+((DETALLE_GD_1[[#This Row],[VALOR X UN (GD)]]-DETALLE_GD_1[[#This Row],[VALOR PPTO]])/DETALLE_GD_1[[#This Row],[VALOR PPTO]])</f>
        <v>9.1827364554637279E-3</v>
      </c>
      <c r="AA519" s="2">
        <f>+DETALLE_GD_1[[#This Row],[VALOR PPTO]]*DETALLE_GD_1[[#This Row],[CANTIDAD RECIBIDA]]</f>
        <v>1089</v>
      </c>
      <c r="AB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9" s="3">
        <f>+DETALLE_GD_1[[#This Row],[CANTIDAD SOLICITADA]]-DETALLE_GD_1[[#This Row],[DEVOLUCIÓN]]</f>
        <v>1</v>
      </c>
      <c r="AD519" s="38" t="str">
        <f>+_xlfn.XLOOKUP(DETALLE_GD_1[[#This Row],[CODIGO]],PRODUCTOS[CODIGO],PRODUCTOS[DESC CORTA],"",0)</f>
        <v>SELLO INSTALACION WC</v>
      </c>
      <c r="AE519"/>
      <c r="AH519"/>
    </row>
    <row r="520" spans="1:34" x14ac:dyDescent="0.25">
      <c r="A520" s="1">
        <v>46105</v>
      </c>
      <c r="B520" s="1">
        <v>46104</v>
      </c>
      <c r="C520" s="81" t="s">
        <v>169</v>
      </c>
      <c r="D520" s="38">
        <v>3</v>
      </c>
      <c r="E520" s="81" t="s">
        <v>169</v>
      </c>
      <c r="F520">
        <v>407795</v>
      </c>
      <c r="G520" s="81" t="s">
        <v>325</v>
      </c>
      <c r="H520" s="81" t="s">
        <v>31</v>
      </c>
      <c r="I520" s="3">
        <v>1</v>
      </c>
      <c r="J520" s="3"/>
      <c r="K520" s="26">
        <v>1</v>
      </c>
      <c r="L520" s="2">
        <v>1611</v>
      </c>
      <c r="M520" s="2">
        <v>1611</v>
      </c>
      <c r="N520" s="2">
        <v>1611</v>
      </c>
      <c r="O520" s="2">
        <v>1610.9336000000001</v>
      </c>
      <c r="P520" s="2">
        <v>-6.6400000000000001E-2</v>
      </c>
      <c r="Q520" s="2">
        <v>-6.6400000000000001E-2</v>
      </c>
      <c r="R520" s="4">
        <v>-4.1212126674764554E-5</v>
      </c>
      <c r="T520">
        <v>310019</v>
      </c>
      <c r="U520" s="2"/>
      <c r="V520">
        <v>5886</v>
      </c>
      <c r="W520" s="2">
        <v>6579000000</v>
      </c>
      <c r="X520" s="6">
        <v>1610.93361</v>
      </c>
      <c r="Y520" s="38">
        <v>10010</v>
      </c>
      <c r="Z520" s="86">
        <f>+((DETALLE_GD_1[[#This Row],[VALOR X UN (GD)]]-DETALLE_GD_1[[#This Row],[VALOR PPTO]])/DETALLE_GD_1[[#This Row],[VALOR PPTO]])</f>
        <v>4.1218334511075141E-5</v>
      </c>
      <c r="AA520" s="2">
        <f>+DETALLE_GD_1[[#This Row],[VALOR PPTO]]*DETALLE_GD_1[[#This Row],[CANTIDAD RECIBIDA]]</f>
        <v>1610.9336000000001</v>
      </c>
      <c r="AB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0" s="3">
        <f>+DETALLE_GD_1[[#This Row],[CANTIDAD SOLICITADA]]-DETALLE_GD_1[[#This Row],[DEVOLUCIÓN]]</f>
        <v>1</v>
      </c>
      <c r="AD520" s="38" t="str">
        <f>+_xlfn.XLOOKUP(DETALLE_GD_1[[#This Row],[CODIGO]],PRODUCTOS[CODIGO],PRODUCTOS[DESC CORTA],"",0)</f>
        <v>SET BALCON</v>
      </c>
      <c r="AE520"/>
      <c r="AH520"/>
    </row>
    <row r="521" spans="1:34" x14ac:dyDescent="0.25">
      <c r="A521" s="1">
        <v>46105</v>
      </c>
      <c r="B521" s="1">
        <v>46104</v>
      </c>
      <c r="C521" s="81" t="s">
        <v>169</v>
      </c>
      <c r="D521" s="38">
        <v>3</v>
      </c>
      <c r="E521" s="81" t="s">
        <v>169</v>
      </c>
      <c r="F521">
        <v>1808145</v>
      </c>
      <c r="G521" s="81" t="s">
        <v>273</v>
      </c>
      <c r="H521" s="81" t="s">
        <v>31</v>
      </c>
      <c r="I521" s="3">
        <v>1</v>
      </c>
      <c r="J521" s="3"/>
      <c r="K521" s="26">
        <v>1</v>
      </c>
      <c r="L521" s="2">
        <v>16270</v>
      </c>
      <c r="M521" s="2">
        <v>16270</v>
      </c>
      <c r="N521" s="2">
        <v>16270</v>
      </c>
      <c r="O521" s="2">
        <v>17145</v>
      </c>
      <c r="P521" s="2">
        <v>875</v>
      </c>
      <c r="Q521" s="2">
        <v>875</v>
      </c>
      <c r="R521" s="4">
        <v>5.1035287255759697E-2</v>
      </c>
      <c r="T521">
        <v>310019</v>
      </c>
      <c r="U521" s="2"/>
      <c r="V521">
        <v>5886</v>
      </c>
      <c r="W521" s="2">
        <v>6579000000</v>
      </c>
      <c r="X521" s="6">
        <v>17145</v>
      </c>
      <c r="Y521" s="38">
        <v>10010</v>
      </c>
      <c r="Z521" s="86">
        <f>+((DETALLE_GD_1[[#This Row],[VALOR X UN (GD)]]-DETALLE_GD_1[[#This Row],[VALOR PPTO]])/DETALLE_GD_1[[#This Row],[VALOR PPTO]])</f>
        <v>-5.1035287255759697E-2</v>
      </c>
      <c r="AA521" s="2">
        <f>+DETALLE_GD_1[[#This Row],[VALOR PPTO]]*DETALLE_GD_1[[#This Row],[CANTIDAD RECIBIDA]]</f>
        <v>17145</v>
      </c>
      <c r="AB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1" s="3">
        <f>+DETALLE_GD_1[[#This Row],[CANTIDAD SOLICITADA]]-DETALLE_GD_1[[#This Row],[DEVOLUCIÓN]]</f>
        <v>1</v>
      </c>
      <c r="AD521" s="38" t="str">
        <f>+_xlfn.XLOOKUP(DETALLE_GD_1[[#This Row],[CODIGO]],PRODUCTOS[CODIGO],PRODUCTOS[DESC CORTA],"",0)</f>
        <v>ESTANQUE WC AURA</v>
      </c>
      <c r="AE521"/>
      <c r="AH521"/>
    </row>
    <row r="522" spans="1:34" x14ac:dyDescent="0.25">
      <c r="A522" s="1">
        <v>46105</v>
      </c>
      <c r="B522" s="1">
        <v>46104</v>
      </c>
      <c r="C522" s="81" t="s">
        <v>169</v>
      </c>
      <c r="D522" s="38">
        <v>3</v>
      </c>
      <c r="E522" s="81" t="s">
        <v>169</v>
      </c>
      <c r="F522">
        <v>1808144</v>
      </c>
      <c r="G522" s="81" t="s">
        <v>272</v>
      </c>
      <c r="H522" s="81" t="s">
        <v>31</v>
      </c>
      <c r="I522" s="3">
        <v>1</v>
      </c>
      <c r="J522" s="3"/>
      <c r="K522" s="26">
        <v>1</v>
      </c>
      <c r="L522" s="2">
        <v>23317</v>
      </c>
      <c r="M522" s="2">
        <v>23317</v>
      </c>
      <c r="N522" s="2">
        <v>23317</v>
      </c>
      <c r="O522" s="2">
        <v>23228</v>
      </c>
      <c r="P522" s="2">
        <v>-89</v>
      </c>
      <c r="Q522" s="2">
        <v>-89</v>
      </c>
      <c r="R522" s="4">
        <v>-3.8315825727570176E-3</v>
      </c>
      <c r="T522">
        <v>310019</v>
      </c>
      <c r="U522" s="2"/>
      <c r="V522">
        <v>5886</v>
      </c>
      <c r="W522" s="2">
        <v>6579000000</v>
      </c>
      <c r="X522" s="6">
        <v>23228</v>
      </c>
      <c r="Y522" s="38">
        <v>10010</v>
      </c>
      <c r="Z522" s="86">
        <f>+((DETALLE_GD_1[[#This Row],[VALOR X UN (GD)]]-DETALLE_GD_1[[#This Row],[VALOR PPTO]])/DETALLE_GD_1[[#This Row],[VALOR PPTO]])</f>
        <v>3.8315825727570172E-3</v>
      </c>
      <c r="AA522" s="2">
        <f>+DETALLE_GD_1[[#This Row],[VALOR PPTO]]*DETALLE_GD_1[[#This Row],[CANTIDAD RECIBIDA]]</f>
        <v>23228</v>
      </c>
      <c r="AB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2" s="3">
        <f>+DETALLE_GD_1[[#This Row],[CANTIDAD SOLICITADA]]-DETALLE_GD_1[[#This Row],[DEVOLUCIÓN]]</f>
        <v>1</v>
      </c>
      <c r="AD522" s="38" t="str">
        <f>+_xlfn.XLOOKUP(DETALLE_GD_1[[#This Row],[CODIGO]],PRODUCTOS[CODIGO],PRODUCTOS[DESC CORTA],"",0)</f>
        <v>TAZA WC AURA</v>
      </c>
      <c r="AE522"/>
      <c r="AH522"/>
    </row>
    <row r="523" spans="1:34" x14ac:dyDescent="0.25">
      <c r="A523" s="1">
        <v>46105</v>
      </c>
      <c r="B523" s="1">
        <v>46104</v>
      </c>
      <c r="C523" s="81" t="s">
        <v>169</v>
      </c>
      <c r="D523" s="38">
        <v>3</v>
      </c>
      <c r="E523" s="81" t="s">
        <v>169</v>
      </c>
      <c r="F523">
        <v>1901008</v>
      </c>
      <c r="G523" s="81" t="s">
        <v>278</v>
      </c>
      <c r="H523" s="81" t="s">
        <v>26</v>
      </c>
      <c r="I523" s="3">
        <v>270</v>
      </c>
      <c r="J523" s="3"/>
      <c r="K523" s="26">
        <v>270</v>
      </c>
      <c r="L523" s="2">
        <v>2059.8555999999999</v>
      </c>
      <c r="M523" s="2">
        <v>556161</v>
      </c>
      <c r="N523" s="2">
        <v>556161</v>
      </c>
      <c r="O523" s="2">
        <v>2112.7957999999999</v>
      </c>
      <c r="P523" s="2">
        <v>52.940199999999997</v>
      </c>
      <c r="Q523" s="2">
        <v>14293.8603</v>
      </c>
      <c r="R523" s="4">
        <v>2.5056952484779009E-2</v>
      </c>
      <c r="T523">
        <v>310019</v>
      </c>
      <c r="U523" s="2"/>
      <c r="V523">
        <v>5886</v>
      </c>
      <c r="W523" s="2">
        <v>6579000000</v>
      </c>
      <c r="X523" s="6">
        <v>570454.86033000005</v>
      </c>
      <c r="Y523" s="38">
        <v>10010</v>
      </c>
      <c r="Z523" s="86">
        <f>+((DETALLE_GD_1[[#This Row],[VALOR X UN (GD)]]-DETALLE_GD_1[[#This Row],[VALOR PPTO]])/DETALLE_GD_1[[#This Row],[VALOR PPTO]])</f>
        <v>-2.5056941139318816E-2</v>
      </c>
      <c r="AA523" s="2">
        <f>+DETALLE_GD_1[[#This Row],[VALOR PPTO]]*DETALLE_GD_1[[#This Row],[CANTIDAD RECIBIDA]]</f>
        <v>570454.86599999992</v>
      </c>
      <c r="AB5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23" s="3">
        <f>+DETALLE_GD_1[[#This Row],[CANTIDAD SOLICITADA]]-DETALLE_GD_1[[#This Row],[DEVOLUCIÓN]]</f>
        <v>270</v>
      </c>
      <c r="AD523" s="38" t="str">
        <f>+_xlfn.XLOOKUP(DETALLE_GD_1[[#This Row],[CODIGO]],PRODUCTOS[CODIGO],PRODUCTOS[DESC CORTA],"",0)</f>
        <v>AISLAN GLASS 90MM</v>
      </c>
      <c r="AE523"/>
      <c r="AH523"/>
    </row>
    <row r="524" spans="1:34" x14ac:dyDescent="0.25">
      <c r="A524" s="1">
        <v>46105</v>
      </c>
      <c r="B524" s="1">
        <v>46104</v>
      </c>
      <c r="C524" s="81" t="s">
        <v>169</v>
      </c>
      <c r="D524" s="38">
        <v>3</v>
      </c>
      <c r="E524" s="81" t="s">
        <v>169</v>
      </c>
      <c r="F524">
        <v>304049</v>
      </c>
      <c r="G524" s="81" t="s">
        <v>318</v>
      </c>
      <c r="H524" s="81" t="s">
        <v>18</v>
      </c>
      <c r="I524" s="3">
        <v>65</v>
      </c>
      <c r="J524" s="3"/>
      <c r="K524" s="26">
        <v>65</v>
      </c>
      <c r="L524" s="2">
        <v>14981.230799999999</v>
      </c>
      <c r="M524" s="2">
        <v>973780</v>
      </c>
      <c r="N524" s="2">
        <v>973780</v>
      </c>
      <c r="O524" s="2">
        <v>14982</v>
      </c>
      <c r="P524" s="2">
        <v>0.76919999999999999</v>
      </c>
      <c r="Q524" s="2">
        <v>50</v>
      </c>
      <c r="R524" s="4">
        <v>5.1343663677961139E-5</v>
      </c>
      <c r="T524">
        <v>310019</v>
      </c>
      <c r="U524" s="2"/>
      <c r="V524">
        <v>5886</v>
      </c>
      <c r="W524" s="2">
        <v>6579000000</v>
      </c>
      <c r="X524" s="6">
        <v>973829.99999999953</v>
      </c>
      <c r="Y524" s="38">
        <v>10010</v>
      </c>
      <c r="Z524" s="86">
        <f>+((DETALLE_GD_1[[#This Row],[VALOR X UN (GD)]]-DETALLE_GD_1[[#This Row],[VALOR PPTO]])/DETALLE_GD_1[[#This Row],[VALOR PPTO]])</f>
        <v>-5.1341609931960842E-5</v>
      </c>
      <c r="AA524" s="2">
        <f>+DETALLE_GD_1[[#This Row],[VALOR PPTO]]*DETALLE_GD_1[[#This Row],[CANTIDAD RECIBIDA]]</f>
        <v>973830</v>
      </c>
      <c r="AB5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24" s="3">
        <f>+DETALLE_GD_1[[#This Row],[CANTIDAD SOLICITADA]]-DETALLE_GD_1[[#This Row],[DEVOLUCIÓN]]</f>
        <v>65</v>
      </c>
      <c r="AD524" s="38" t="str">
        <f>+_xlfn.XLOOKUP(DETALLE_GD_1[[#This Row],[CODIGO]],PRODUCTOS[CODIGO],PRODUCTOS[DESC CORTA],"",0)</f>
        <v>TERCIADO FENOLICO</v>
      </c>
      <c r="AE524"/>
      <c r="AH524"/>
    </row>
    <row r="525" spans="1:34" x14ac:dyDescent="0.25">
      <c r="A525" s="1">
        <v>46105</v>
      </c>
      <c r="B525" s="1">
        <v>46104</v>
      </c>
      <c r="C525" s="81" t="s">
        <v>169</v>
      </c>
      <c r="D525" s="38">
        <v>3</v>
      </c>
      <c r="E525" s="81" t="s">
        <v>169</v>
      </c>
      <c r="F525">
        <v>1902003</v>
      </c>
      <c r="G525" s="81" t="s">
        <v>155</v>
      </c>
      <c r="H525" s="81" t="s">
        <v>47</v>
      </c>
      <c r="I525" s="3">
        <v>2</v>
      </c>
      <c r="J525" s="3"/>
      <c r="K525" s="26">
        <v>2</v>
      </c>
      <c r="L525" s="2">
        <v>150690.5</v>
      </c>
      <c r="M525" s="2">
        <v>301381</v>
      </c>
      <c r="N525" s="2">
        <v>301381</v>
      </c>
      <c r="O525" s="2">
        <v>150703.9755</v>
      </c>
      <c r="P525" s="2">
        <v>13.4755</v>
      </c>
      <c r="Q525" s="2">
        <v>26.950900000000001</v>
      </c>
      <c r="R525" s="4">
        <v>8.9416752005553395E-5</v>
      </c>
      <c r="T525">
        <v>310019</v>
      </c>
      <c r="U525" s="2"/>
      <c r="V525">
        <v>5886</v>
      </c>
      <c r="W525" s="2">
        <v>6579000000</v>
      </c>
      <c r="X525" s="6">
        <v>301407.95091999992</v>
      </c>
      <c r="Y525" s="38">
        <v>10010</v>
      </c>
      <c r="Z525" s="86">
        <f>+((DETALLE_GD_1[[#This Row],[VALOR X UN (GD)]]-DETALLE_GD_1[[#This Row],[VALOR PPTO]])/DETALLE_GD_1[[#This Row],[VALOR PPTO]])</f>
        <v>-8.9417017403104051E-5</v>
      </c>
      <c r="AA525" s="2">
        <f>+DETALLE_GD_1[[#This Row],[VALOR PPTO]]*DETALLE_GD_1[[#This Row],[CANTIDAD RECIBIDA]]</f>
        <v>301407.951</v>
      </c>
      <c r="AB5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5" s="3">
        <f>+DETALLE_GD_1[[#This Row],[CANTIDAD SOLICITADA]]-DETALLE_GD_1[[#This Row],[DEVOLUCIÓN]]</f>
        <v>2</v>
      </c>
      <c r="AD525" s="38">
        <f>+_xlfn.XLOOKUP(DETALLE_GD_1[[#This Row],[CODIGO]],PRODUCTOS[CODIGO],PRODUCTOS[DESC CORTA],"",0)</f>
        <v>0</v>
      </c>
      <c r="AE525"/>
      <c r="AH525"/>
    </row>
    <row r="526" spans="1:34" x14ac:dyDescent="0.25">
      <c r="A526" s="1">
        <v>46105</v>
      </c>
      <c r="B526" s="1">
        <v>46104</v>
      </c>
      <c r="C526" s="81" t="s">
        <v>169</v>
      </c>
      <c r="D526" s="38">
        <v>3</v>
      </c>
      <c r="E526" s="81" t="s">
        <v>169</v>
      </c>
      <c r="F526">
        <v>1610023</v>
      </c>
      <c r="G526" s="81" t="s">
        <v>351</v>
      </c>
      <c r="H526" s="81" t="s">
        <v>28</v>
      </c>
      <c r="I526" s="3">
        <v>2</v>
      </c>
      <c r="J526" s="3"/>
      <c r="K526" s="26">
        <v>2</v>
      </c>
      <c r="L526" s="2">
        <v>2278</v>
      </c>
      <c r="M526" s="2">
        <v>4556</v>
      </c>
      <c r="N526" s="2">
        <v>4556</v>
      </c>
      <c r="O526" s="2">
        <v>2109.0585000000001</v>
      </c>
      <c r="P526" s="2">
        <v>-168.94149999999999</v>
      </c>
      <c r="Q526" s="2">
        <v>-337.88290000000001</v>
      </c>
      <c r="R526" s="4">
        <v>-8.0102782656660737E-2</v>
      </c>
      <c r="T526">
        <v>310019</v>
      </c>
      <c r="U526" s="2"/>
      <c r="V526">
        <v>5886</v>
      </c>
      <c r="W526" s="2">
        <v>6579000000</v>
      </c>
      <c r="X526" s="6">
        <v>4218.1170840000004</v>
      </c>
      <c r="Y526" s="38">
        <v>10010</v>
      </c>
      <c r="Z526" s="86">
        <f>+((DETALLE_GD_1[[#This Row],[VALOR X UN (GD)]]-DETALLE_GD_1[[#This Row],[VALOR PPTO]])/DETALLE_GD_1[[#This Row],[VALOR PPTO]])</f>
        <v>8.0102804165934655E-2</v>
      </c>
      <c r="AA526" s="2">
        <f>+DETALLE_GD_1[[#This Row],[VALOR PPTO]]*DETALLE_GD_1[[#This Row],[CANTIDAD RECIBIDA]]</f>
        <v>4218.1170000000002</v>
      </c>
      <c r="AB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6" s="3">
        <f>+DETALLE_GD_1[[#This Row],[CANTIDAD SOLICITADA]]-DETALLE_GD_1[[#This Row],[DEVOLUCIÓN]]</f>
        <v>2</v>
      </c>
      <c r="AD526" s="38" t="str">
        <f>+_xlfn.XLOOKUP(DETALLE_GD_1[[#This Row],[CODIGO]],PRODUCTOS[CODIGO],PRODUCTOS[DESC CORTA],"",0)</f>
        <v>TRAPOS DE ASEO</v>
      </c>
      <c r="AE526"/>
      <c r="AH526"/>
    </row>
    <row r="527" spans="1:34" x14ac:dyDescent="0.25">
      <c r="A527" s="1">
        <v>46105</v>
      </c>
      <c r="B527" s="1">
        <v>46104</v>
      </c>
      <c r="C527" s="81" t="s">
        <v>169</v>
      </c>
      <c r="D527" s="38">
        <v>3</v>
      </c>
      <c r="E527" s="81" t="s">
        <v>169</v>
      </c>
      <c r="F527">
        <v>1610007</v>
      </c>
      <c r="G527" s="81" t="s">
        <v>334</v>
      </c>
      <c r="H527" s="81" t="s">
        <v>28</v>
      </c>
      <c r="I527" s="3">
        <v>2</v>
      </c>
      <c r="J527" s="3"/>
      <c r="K527" s="26">
        <v>2</v>
      </c>
      <c r="L527" s="2">
        <v>1624.5</v>
      </c>
      <c r="M527" s="2">
        <v>3249</v>
      </c>
      <c r="N527" s="2">
        <v>3249</v>
      </c>
      <c r="O527" s="2">
        <v>1624.4739999999999</v>
      </c>
      <c r="P527" s="2">
        <v>-2.5999999999999999E-2</v>
      </c>
      <c r="Q527" s="2">
        <v>-5.1900000000000002E-2</v>
      </c>
      <c r="R527" s="4">
        <v>-1.59824037865168E-5</v>
      </c>
      <c r="T527">
        <v>310019</v>
      </c>
      <c r="U527" s="2"/>
      <c r="V527">
        <v>5886</v>
      </c>
      <c r="W527" s="2">
        <v>6579000000</v>
      </c>
      <c r="X527" s="6">
        <v>3248.9480739999999</v>
      </c>
      <c r="Y527" s="38">
        <v>10010</v>
      </c>
      <c r="Z527" s="86">
        <f>+((DETALLE_GD_1[[#This Row],[VALOR X UN (GD)]]-DETALLE_GD_1[[#This Row],[VALOR PPTO]])/DETALLE_GD_1[[#This Row],[VALOR PPTO]])</f>
        <v>1.6005180753934691E-5</v>
      </c>
      <c r="AA527" s="2">
        <f>+DETALLE_GD_1[[#This Row],[VALOR PPTO]]*DETALLE_GD_1[[#This Row],[CANTIDAD RECIBIDA]]</f>
        <v>3248.9479999999999</v>
      </c>
      <c r="AB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7" s="3">
        <f>+DETALLE_GD_1[[#This Row],[CANTIDAD SOLICITADA]]-DETALLE_GD_1[[#This Row],[DEVOLUCIÓN]]</f>
        <v>2</v>
      </c>
      <c r="AD527" s="38" t="str">
        <f>+_xlfn.XLOOKUP(DETALLE_GD_1[[#This Row],[CODIGO]],PRODUCTOS[CODIGO],PRODUCTOS[DESC CORTA],"",0)</f>
        <v>HUAIPE BLANCO BOLSA</v>
      </c>
      <c r="AE527"/>
      <c r="AH527"/>
    </row>
    <row r="528" spans="1:34" x14ac:dyDescent="0.25">
      <c r="A528" s="1">
        <v>46105</v>
      </c>
      <c r="B528" s="1">
        <v>46104</v>
      </c>
      <c r="C528" s="81" t="s">
        <v>169</v>
      </c>
      <c r="D528" s="38">
        <v>3</v>
      </c>
      <c r="E528" s="81" t="s">
        <v>169</v>
      </c>
      <c r="F528">
        <v>609008</v>
      </c>
      <c r="G528" s="81" t="s">
        <v>57</v>
      </c>
      <c r="H528" s="81" t="s">
        <v>58</v>
      </c>
      <c r="I528" s="3">
        <v>4</v>
      </c>
      <c r="J528" s="3"/>
      <c r="K528" s="26">
        <v>4</v>
      </c>
      <c r="L528" s="2">
        <v>2274.5</v>
      </c>
      <c r="M528" s="2">
        <v>9098</v>
      </c>
      <c r="N528" s="2">
        <v>9098</v>
      </c>
      <c r="O528" s="2">
        <v>2130.7573000000002</v>
      </c>
      <c r="P528" s="2">
        <v>-143.74270000000001</v>
      </c>
      <c r="Q528" s="2">
        <v>-574.97080000000005</v>
      </c>
      <c r="R528" s="4">
        <v>-6.7460845646471132E-2</v>
      </c>
      <c r="T528">
        <v>310019</v>
      </c>
      <c r="U528" s="2"/>
      <c r="V528">
        <v>5886</v>
      </c>
      <c r="W528" s="2">
        <v>6579000000</v>
      </c>
      <c r="X528" s="6">
        <v>8523.0292399999998</v>
      </c>
      <c r="Y528" s="38">
        <v>10010</v>
      </c>
      <c r="Z528" s="86">
        <f>+((DETALLE_GD_1[[#This Row],[VALOR X UN (GD)]]-DETALLE_GD_1[[#This Row],[VALOR PPTO]])/DETALLE_GD_1[[#This Row],[VALOR PPTO]])</f>
        <v>6.7460850656243104E-2</v>
      </c>
      <c r="AA528" s="2">
        <f>+DETALLE_GD_1[[#This Row],[VALOR PPTO]]*DETALLE_GD_1[[#This Row],[CANTIDAD RECIBIDA]]</f>
        <v>8523.0292000000009</v>
      </c>
      <c r="AB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8" s="3">
        <f>+DETALLE_GD_1[[#This Row],[CANTIDAD SOLICITADA]]-DETALLE_GD_1[[#This Row],[DEVOLUCIÓN]]</f>
        <v>4</v>
      </c>
      <c r="AD528" s="38" t="str">
        <f>+_xlfn.XLOOKUP(DETALLE_GD_1[[#This Row],[CODIGO]],PRODUCTOS[CODIGO],PRODUCTOS[DESC CORTA],"",0)</f>
        <v>DUCO</v>
      </c>
      <c r="AE528"/>
      <c r="AH528"/>
    </row>
    <row r="529" spans="1:34" x14ac:dyDescent="0.25">
      <c r="A529" s="1">
        <v>46105</v>
      </c>
      <c r="B529" s="1">
        <v>46104</v>
      </c>
      <c r="C529" s="81" t="s">
        <v>169</v>
      </c>
      <c r="D529" s="38">
        <v>3</v>
      </c>
      <c r="E529" s="81" t="s">
        <v>169</v>
      </c>
      <c r="F529">
        <v>1405040</v>
      </c>
      <c r="G529" s="81" t="s">
        <v>451</v>
      </c>
      <c r="H529" s="81" t="s">
        <v>31</v>
      </c>
      <c r="I529" s="3">
        <v>2</v>
      </c>
      <c r="J529" s="3"/>
      <c r="K529" s="26">
        <v>2</v>
      </c>
      <c r="L529" s="2">
        <v>7568</v>
      </c>
      <c r="M529" s="2">
        <v>15136</v>
      </c>
      <c r="N529" s="2">
        <v>15136</v>
      </c>
      <c r="O529" s="2">
        <v>7568</v>
      </c>
      <c r="P529" s="2">
        <v>0</v>
      </c>
      <c r="Q529" s="2">
        <v>0</v>
      </c>
      <c r="R529" s="4">
        <v>0</v>
      </c>
      <c r="T529">
        <v>310019</v>
      </c>
      <c r="U529" s="2"/>
      <c r="V529">
        <v>5886</v>
      </c>
      <c r="W529" s="2">
        <v>6579000000</v>
      </c>
      <c r="X529" s="6">
        <v>15136</v>
      </c>
      <c r="Y529" s="38">
        <v>10010</v>
      </c>
      <c r="Z529" s="86">
        <f>+((DETALLE_GD_1[[#This Row],[VALOR X UN (GD)]]-DETALLE_GD_1[[#This Row],[VALOR PPTO]])/DETALLE_GD_1[[#This Row],[VALOR PPTO]])</f>
        <v>0</v>
      </c>
      <c r="AA529" s="2">
        <f>+DETALLE_GD_1[[#This Row],[VALOR PPTO]]*DETALLE_GD_1[[#This Row],[CANTIDAD RECIBIDA]]</f>
        <v>15136</v>
      </c>
      <c r="AB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9" s="3">
        <f>+DETALLE_GD_1[[#This Row],[CANTIDAD SOLICITADA]]-DETALLE_GD_1[[#This Row],[DEVOLUCIÓN]]</f>
        <v>2</v>
      </c>
      <c r="AD529" s="38" t="str">
        <f>+_xlfn.XLOOKUP(DETALLE_GD_1[[#This Row],[CODIGO]],PRODUCTOS[CODIGO],PRODUCTOS[DESC CORTA],"",0)</f>
        <v>CEERRADURA BAÑO 815 TUBULAR</v>
      </c>
      <c r="AE529"/>
      <c r="AH529"/>
    </row>
    <row r="530" spans="1:34" x14ac:dyDescent="0.25">
      <c r="A530" s="1">
        <v>46105</v>
      </c>
      <c r="B530" s="1">
        <v>46104</v>
      </c>
      <c r="C530" s="81" t="s">
        <v>169</v>
      </c>
      <c r="D530" s="38">
        <v>3</v>
      </c>
      <c r="E530" s="81" t="s">
        <v>169</v>
      </c>
      <c r="F530">
        <v>1405039</v>
      </c>
      <c r="G530" s="81" t="s">
        <v>314</v>
      </c>
      <c r="H530" s="81" t="s">
        <v>31</v>
      </c>
      <c r="I530" s="3">
        <v>15</v>
      </c>
      <c r="J530" s="3"/>
      <c r="K530" s="26">
        <v>15</v>
      </c>
      <c r="L530" s="2">
        <v>7596</v>
      </c>
      <c r="M530" s="2">
        <v>113940</v>
      </c>
      <c r="N530" s="2">
        <v>113940</v>
      </c>
      <c r="O530" s="2">
        <v>7596</v>
      </c>
      <c r="P530" s="2">
        <v>0</v>
      </c>
      <c r="Q530" s="2">
        <v>0</v>
      </c>
      <c r="R530" s="4">
        <v>0</v>
      </c>
      <c r="T530">
        <v>310019</v>
      </c>
      <c r="U530" s="2"/>
      <c r="V530">
        <v>5886</v>
      </c>
      <c r="W530" s="2">
        <v>6579000000</v>
      </c>
      <c r="X530" s="6">
        <v>113940</v>
      </c>
      <c r="Y530" s="38">
        <v>10010</v>
      </c>
      <c r="Z530" s="86">
        <f>+((DETALLE_GD_1[[#This Row],[VALOR X UN (GD)]]-DETALLE_GD_1[[#This Row],[VALOR PPTO]])/DETALLE_GD_1[[#This Row],[VALOR PPTO]])</f>
        <v>0</v>
      </c>
      <c r="AA530" s="2">
        <f>+DETALLE_GD_1[[#This Row],[VALOR PPTO]]*DETALLE_GD_1[[#This Row],[CANTIDAD RECIBIDA]]</f>
        <v>113940</v>
      </c>
      <c r="AB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0" s="3">
        <f>+DETALLE_GD_1[[#This Row],[CANTIDAD SOLICITADA]]-DETALLE_GD_1[[#This Row],[DEVOLUCIÓN]]</f>
        <v>15</v>
      </c>
      <c r="AD530" s="38" t="str">
        <f>+_xlfn.XLOOKUP(DETALLE_GD_1[[#This Row],[CODIGO]],PRODUCTOS[CODIGO],PRODUCTOS[DESC CORTA],"",0)</f>
        <v>CERRADURA INOX 304</v>
      </c>
      <c r="AE530"/>
      <c r="AH530"/>
    </row>
    <row r="531" spans="1:34" x14ac:dyDescent="0.25">
      <c r="A531" s="1">
        <v>46105</v>
      </c>
      <c r="B531" s="1">
        <v>46104</v>
      </c>
      <c r="C531" s="81" t="s">
        <v>169</v>
      </c>
      <c r="D531" s="38">
        <v>3</v>
      </c>
      <c r="E531" s="81" t="s">
        <v>169</v>
      </c>
      <c r="F531">
        <v>617057</v>
      </c>
      <c r="G531" s="81" t="s">
        <v>134</v>
      </c>
      <c r="H531" s="81" t="s">
        <v>31</v>
      </c>
      <c r="I531" s="3">
        <v>5</v>
      </c>
      <c r="J531" s="3"/>
      <c r="K531" s="26">
        <v>5</v>
      </c>
      <c r="L531" s="2">
        <v>2042.2</v>
      </c>
      <c r="M531" s="2">
        <v>10211</v>
      </c>
      <c r="N531" s="2">
        <v>10211</v>
      </c>
      <c r="O531" s="2">
        <v>2042.1197</v>
      </c>
      <c r="P531" s="2">
        <v>-8.0299999999999996E-2</v>
      </c>
      <c r="Q531" s="2">
        <v>-0.40150000000000002</v>
      </c>
      <c r="R531" s="4">
        <v>-3.9318948719891769E-5</v>
      </c>
      <c r="T531">
        <v>310019</v>
      </c>
      <c r="U531" s="2"/>
      <c r="V531">
        <v>5886</v>
      </c>
      <c r="W531" s="2">
        <v>6579000000</v>
      </c>
      <c r="X531" s="6">
        <v>10210.598529999999</v>
      </c>
      <c r="Y531" s="38">
        <v>10010</v>
      </c>
      <c r="Z531" s="86">
        <f>+((DETALLE_GD_1[[#This Row],[VALOR X UN (GD)]]-DETALLE_GD_1[[#This Row],[VALOR PPTO]])/DETALLE_GD_1[[#This Row],[VALOR PPTO]])</f>
        <v>3.9321886958966856E-5</v>
      </c>
      <c r="AA531" s="2">
        <f>+DETALLE_GD_1[[#This Row],[VALOR PPTO]]*DETALLE_GD_1[[#This Row],[CANTIDAD RECIBIDA]]</f>
        <v>10210.5985</v>
      </c>
      <c r="AB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1" s="3">
        <f>+DETALLE_GD_1[[#This Row],[CANTIDAD SOLICITADA]]-DETALLE_GD_1[[#This Row],[DEVOLUCIÓN]]</f>
        <v>5</v>
      </c>
      <c r="AD531" s="38" t="str">
        <f>+_xlfn.XLOOKUP(DETALLE_GD_1[[#This Row],[CODIGO]],PRODUCTOS[CODIGO],PRODUCTOS[DESC CORTA],"",0)</f>
        <v>BROCHA 5/8 X4</v>
      </c>
      <c r="AE531"/>
      <c r="AH531"/>
    </row>
    <row r="532" spans="1:34" x14ac:dyDescent="0.25">
      <c r="A532" s="1">
        <v>46105</v>
      </c>
      <c r="B532" s="1">
        <v>46104</v>
      </c>
      <c r="C532" s="81" t="s">
        <v>169</v>
      </c>
      <c r="D532" s="38">
        <v>3</v>
      </c>
      <c r="E532" s="81" t="s">
        <v>169</v>
      </c>
      <c r="F532">
        <v>617055</v>
      </c>
      <c r="G532" s="81" t="s">
        <v>182</v>
      </c>
      <c r="H532" s="81" t="s">
        <v>31</v>
      </c>
      <c r="I532" s="3">
        <v>5</v>
      </c>
      <c r="J532" s="3"/>
      <c r="K532" s="26">
        <v>5</v>
      </c>
      <c r="L532" s="2">
        <v>920.4</v>
      </c>
      <c r="M532" s="2">
        <v>4602</v>
      </c>
      <c r="N532" s="2">
        <v>4602</v>
      </c>
      <c r="O532" s="2">
        <v>920.35379999999998</v>
      </c>
      <c r="P532" s="2">
        <v>-4.6199999999999998E-2</v>
      </c>
      <c r="Q532" s="2">
        <v>-0.2311</v>
      </c>
      <c r="R532" s="4">
        <v>-5.0218732137691882E-5</v>
      </c>
      <c r="T532">
        <v>310019</v>
      </c>
      <c r="U532" s="2"/>
      <c r="V532">
        <v>5886</v>
      </c>
      <c r="W532" s="2">
        <v>6579000000</v>
      </c>
      <c r="X532" s="6">
        <v>4601.7689049999999</v>
      </c>
      <c r="Y532" s="38">
        <v>10010</v>
      </c>
      <c r="Z532" s="86">
        <f>+((DETALLE_GD_1[[#This Row],[VALOR X UN (GD)]]-DETALLE_GD_1[[#This Row],[VALOR PPTO]])/DETALLE_GD_1[[#This Row],[VALOR PPTO]])</f>
        <v>5.0198086866158326E-5</v>
      </c>
      <c r="AA532" s="2">
        <f>+DETALLE_GD_1[[#This Row],[VALOR PPTO]]*DETALLE_GD_1[[#This Row],[CANTIDAD RECIBIDA]]</f>
        <v>4601.7690000000002</v>
      </c>
      <c r="AB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2" s="3">
        <f>+DETALLE_GD_1[[#This Row],[CANTIDAD SOLICITADA]]-DETALLE_GD_1[[#This Row],[DEVOLUCIÓN]]</f>
        <v>5</v>
      </c>
      <c r="AD532" s="38">
        <f>+_xlfn.XLOOKUP(DETALLE_GD_1[[#This Row],[CODIGO]],PRODUCTOS[CODIGO],PRODUCTOS[DESC CORTA],"",0)</f>
        <v>0</v>
      </c>
      <c r="AE532"/>
      <c r="AH532"/>
    </row>
    <row r="533" spans="1:34" x14ac:dyDescent="0.25">
      <c r="A533" s="1">
        <v>46105</v>
      </c>
      <c r="B533" s="1">
        <v>46104</v>
      </c>
      <c r="C533" s="81" t="s">
        <v>169</v>
      </c>
      <c r="D533" s="38">
        <v>3</v>
      </c>
      <c r="E533" s="81" t="s">
        <v>169</v>
      </c>
      <c r="F533">
        <v>617016</v>
      </c>
      <c r="G533" s="81" t="s">
        <v>133</v>
      </c>
      <c r="H533" s="81" t="s">
        <v>31</v>
      </c>
      <c r="I533" s="3">
        <v>5</v>
      </c>
      <c r="J533" s="3"/>
      <c r="K533" s="26">
        <v>5</v>
      </c>
      <c r="L533" s="2">
        <v>2864.6</v>
      </c>
      <c r="M533" s="2">
        <v>14323</v>
      </c>
      <c r="N533" s="2">
        <v>14323</v>
      </c>
      <c r="O533" s="2">
        <v>2857.5133000000001</v>
      </c>
      <c r="P533" s="2">
        <v>-7.0867000000000004</v>
      </c>
      <c r="Q533" s="2">
        <v>-35.433599999999998</v>
      </c>
      <c r="R533" s="4">
        <v>-2.4800325739449212E-3</v>
      </c>
      <c r="T533">
        <v>310019</v>
      </c>
      <c r="U533" s="2"/>
      <c r="V533">
        <v>5886</v>
      </c>
      <c r="W533" s="2">
        <v>6579000000</v>
      </c>
      <c r="X533" s="6">
        <v>14287.56637</v>
      </c>
      <c r="Y533" s="38">
        <v>10010</v>
      </c>
      <c r="Z533" s="86">
        <f>+((DETALLE_GD_1[[#This Row],[VALOR X UN (GD)]]-DETALLE_GD_1[[#This Row],[VALOR PPTO]])/DETALLE_GD_1[[#This Row],[VALOR PPTO]])</f>
        <v>2.4800234525592015E-3</v>
      </c>
      <c r="AA533" s="2">
        <f>+DETALLE_GD_1[[#This Row],[VALOR PPTO]]*DETALLE_GD_1[[#This Row],[CANTIDAD RECIBIDA]]</f>
        <v>14287.566500000001</v>
      </c>
      <c r="AB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3" s="3">
        <f>+DETALLE_GD_1[[#This Row],[CANTIDAD SOLICITADA]]-DETALLE_GD_1[[#This Row],[DEVOLUCIÓN]]</f>
        <v>5</v>
      </c>
      <c r="AD533" s="38" t="str">
        <f>+_xlfn.XLOOKUP(DETALLE_GD_1[[#This Row],[CODIGO]],PRODUCTOS[CODIGO],PRODUCTOS[DESC CORTA],"",0)</f>
        <v>RODILLO CHIPORRO</v>
      </c>
      <c r="AE533"/>
      <c r="AH533"/>
    </row>
    <row r="534" spans="1:34" x14ac:dyDescent="0.25">
      <c r="A534" s="1">
        <v>46105</v>
      </c>
      <c r="B534" s="1">
        <v>46104</v>
      </c>
      <c r="C534" s="81" t="s">
        <v>169</v>
      </c>
      <c r="D534" s="38">
        <v>3</v>
      </c>
      <c r="E534" s="81" t="s">
        <v>169</v>
      </c>
      <c r="F534">
        <v>602255</v>
      </c>
      <c r="G534" s="81" t="s">
        <v>203</v>
      </c>
      <c r="H534" s="81" t="s">
        <v>25</v>
      </c>
      <c r="I534" s="3">
        <v>2</v>
      </c>
      <c r="J534" s="3"/>
      <c r="K534" s="26">
        <v>2</v>
      </c>
      <c r="L534" s="2">
        <v>47890</v>
      </c>
      <c r="M534" s="2">
        <v>95780</v>
      </c>
      <c r="N534" s="2">
        <v>95780</v>
      </c>
      <c r="O534" s="2">
        <v>47889.5</v>
      </c>
      <c r="P534" s="2">
        <v>-0.5</v>
      </c>
      <c r="Q534" s="2">
        <v>-1</v>
      </c>
      <c r="R534" s="4">
        <v>-1.0440702032804683E-5</v>
      </c>
      <c r="T534">
        <v>310019</v>
      </c>
      <c r="U534" s="2"/>
      <c r="V534">
        <v>5886</v>
      </c>
      <c r="W534" s="2">
        <v>6579000000</v>
      </c>
      <c r="X534" s="6">
        <v>95779</v>
      </c>
      <c r="Y534" s="38">
        <v>10010</v>
      </c>
      <c r="Z534" s="86">
        <f>+((DETALLE_GD_1[[#This Row],[VALOR X UN (GD)]]-DETALLE_GD_1[[#This Row],[VALOR PPTO]])/DETALLE_GD_1[[#This Row],[VALOR PPTO]])</f>
        <v>1.0440702032804685E-5</v>
      </c>
      <c r="AA534" s="2">
        <f>+DETALLE_GD_1[[#This Row],[VALOR PPTO]]*DETALLE_GD_1[[#This Row],[CANTIDAD RECIBIDA]]</f>
        <v>95779</v>
      </c>
      <c r="AB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4" s="3">
        <f>+DETALLE_GD_1[[#This Row],[CANTIDAD SOLICITADA]]-DETALLE_GD_1[[#This Row],[DEVOLUCIÓN]]</f>
        <v>2</v>
      </c>
      <c r="AD534" s="38">
        <f>+_xlfn.XLOOKUP(DETALLE_GD_1[[#This Row],[CODIGO]],PRODUCTOS[CODIGO],PRODUCTOS[DESC CORTA],"",0)</f>
        <v>0</v>
      </c>
      <c r="AE534"/>
      <c r="AH534"/>
    </row>
    <row r="535" spans="1:34" x14ac:dyDescent="0.25">
      <c r="A535" s="1">
        <v>46105</v>
      </c>
      <c r="B535" s="1">
        <v>46104</v>
      </c>
      <c r="C535" s="81" t="s">
        <v>169</v>
      </c>
      <c r="D535" s="38">
        <v>3</v>
      </c>
      <c r="E535" s="81" t="s">
        <v>169</v>
      </c>
      <c r="F535">
        <v>602254</v>
      </c>
      <c r="G535" s="81" t="s">
        <v>214</v>
      </c>
      <c r="H535" s="81" t="s">
        <v>25</v>
      </c>
      <c r="I535" s="3">
        <v>2</v>
      </c>
      <c r="J535" s="3"/>
      <c r="K535" s="26">
        <v>2</v>
      </c>
      <c r="L535" s="2">
        <v>46060</v>
      </c>
      <c r="M535" s="2">
        <v>92120</v>
      </c>
      <c r="N535" s="2">
        <v>92120</v>
      </c>
      <c r="O535" s="2">
        <v>46060</v>
      </c>
      <c r="P535" s="2">
        <v>0</v>
      </c>
      <c r="Q535" s="2">
        <v>0</v>
      </c>
      <c r="R535" s="4">
        <v>0</v>
      </c>
      <c r="T535">
        <v>310019</v>
      </c>
      <c r="U535" s="2"/>
      <c r="V535">
        <v>5886</v>
      </c>
      <c r="W535" s="2">
        <v>6579000000</v>
      </c>
      <c r="X535" s="6">
        <v>92120</v>
      </c>
      <c r="Y535" s="38">
        <v>10010</v>
      </c>
      <c r="Z535" s="86">
        <f>+((DETALLE_GD_1[[#This Row],[VALOR X UN (GD)]]-DETALLE_GD_1[[#This Row],[VALOR PPTO]])/DETALLE_GD_1[[#This Row],[VALOR PPTO]])</f>
        <v>0</v>
      </c>
      <c r="AA535" s="2">
        <f>+DETALLE_GD_1[[#This Row],[VALOR PPTO]]*DETALLE_GD_1[[#This Row],[CANTIDAD RECIBIDA]]</f>
        <v>92120</v>
      </c>
      <c r="AB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5" s="3">
        <f>+DETALLE_GD_1[[#This Row],[CANTIDAD SOLICITADA]]-DETALLE_GD_1[[#This Row],[DEVOLUCIÓN]]</f>
        <v>2</v>
      </c>
      <c r="AD535" s="38">
        <f>+_xlfn.XLOOKUP(DETALLE_GD_1[[#This Row],[CODIGO]],PRODUCTOS[CODIGO],PRODUCTOS[DESC CORTA],"",0)</f>
        <v>0</v>
      </c>
      <c r="AE535"/>
      <c r="AH535"/>
    </row>
    <row r="536" spans="1:34" x14ac:dyDescent="0.25">
      <c r="A536" s="1">
        <v>46105</v>
      </c>
      <c r="B536" s="1">
        <v>46104</v>
      </c>
      <c r="C536" s="81" t="s">
        <v>169</v>
      </c>
      <c r="D536" s="38">
        <v>3</v>
      </c>
      <c r="E536" s="81" t="s">
        <v>169</v>
      </c>
      <c r="F536">
        <v>907031</v>
      </c>
      <c r="G536" s="81" t="s">
        <v>256</v>
      </c>
      <c r="H536" s="81" t="s">
        <v>47</v>
      </c>
      <c r="I536" s="3">
        <v>6</v>
      </c>
      <c r="J536" s="3"/>
      <c r="K536" s="26">
        <v>6</v>
      </c>
      <c r="L536" s="2">
        <v>154915.6667</v>
      </c>
      <c r="M536" s="2">
        <v>929494</v>
      </c>
      <c r="N536" s="2">
        <v>929494</v>
      </c>
      <c r="O536" s="2">
        <v>156269.1667</v>
      </c>
      <c r="P536" s="2">
        <v>1353.5</v>
      </c>
      <c r="Q536" s="2">
        <v>8121</v>
      </c>
      <c r="R536" s="4">
        <v>8.6613375447096956E-3</v>
      </c>
      <c r="T536">
        <v>310019</v>
      </c>
      <c r="U536" s="2"/>
      <c r="V536">
        <v>5886</v>
      </c>
      <c r="W536" s="2">
        <v>6579000000</v>
      </c>
      <c r="X536" s="6">
        <v>937615.00000200036</v>
      </c>
      <c r="Y536" s="38">
        <v>10010</v>
      </c>
      <c r="Z536" s="86">
        <f>+((DETALLE_GD_1[[#This Row],[VALOR X UN (GD)]]-DETALLE_GD_1[[#This Row],[VALOR PPTO]])/DETALLE_GD_1[[#This Row],[VALOR PPTO]])</f>
        <v>-8.6613375407472489E-3</v>
      </c>
      <c r="AA536" s="2">
        <f>+DETALLE_GD_1[[#This Row],[VALOR PPTO]]*DETALLE_GD_1[[#This Row],[CANTIDAD RECIBIDA]]</f>
        <v>937615.00020000001</v>
      </c>
      <c r="AB5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36" s="3">
        <f>+DETALLE_GD_1[[#This Row],[CANTIDAD SOLICITADA]]-DETALLE_GD_1[[#This Row],[DEVOLUCIÓN]]</f>
        <v>6</v>
      </c>
      <c r="AD536" s="38" t="str">
        <f>+_xlfn.XLOOKUP(DETALLE_GD_1[[#This Row],[CODIGO]],PRODUCTOS[CODIGO],PRODUCTOS[DESC CORTA],"",0)</f>
        <v>MEMBRANA PVC</v>
      </c>
      <c r="AE536"/>
      <c r="AH536"/>
    </row>
    <row r="537" spans="1:34" x14ac:dyDescent="0.25">
      <c r="A537" s="1">
        <v>46105</v>
      </c>
      <c r="B537" s="1">
        <v>46105</v>
      </c>
      <c r="C537" s="81" t="s">
        <v>169</v>
      </c>
      <c r="D537" s="38">
        <v>3</v>
      </c>
      <c r="E537" s="81" t="s">
        <v>169</v>
      </c>
      <c r="F537" t="s">
        <v>166</v>
      </c>
      <c r="G537" s="81" t="s">
        <v>167</v>
      </c>
      <c r="H537" s="81" t="s">
        <v>26</v>
      </c>
      <c r="I537" s="3">
        <v>80</v>
      </c>
      <c r="J537" s="3"/>
      <c r="K537" s="26">
        <v>80</v>
      </c>
      <c r="L537" s="2">
        <v>12991.9625</v>
      </c>
      <c r="M537" s="2">
        <v>1039357</v>
      </c>
      <c r="N537" s="2">
        <v>1039357</v>
      </c>
      <c r="O537" s="2">
        <v>11882.3879</v>
      </c>
      <c r="P537" s="2">
        <v>-1109.5745999999999</v>
      </c>
      <c r="Q537" s="2">
        <v>-88765.9666</v>
      </c>
      <c r="R537" s="4">
        <v>-9.3379764299105536E-2</v>
      </c>
      <c r="T537">
        <v>310064</v>
      </c>
      <c r="U537" s="2">
        <v>1088092</v>
      </c>
      <c r="V537">
        <v>5886</v>
      </c>
      <c r="W537" s="2">
        <v>6579000000</v>
      </c>
      <c r="X537" s="6">
        <v>950591.03336</v>
      </c>
      <c r="Y537" s="38">
        <v>10010</v>
      </c>
      <c r="Z537" s="86">
        <f>+((DETALLE_GD_1[[#This Row],[VALOR X UN (GD)]]-DETALLE_GD_1[[#This Row],[VALOR PPTO]])/DETALLE_GD_1[[#This Row],[VALOR PPTO]])</f>
        <v>9.337976586339182E-2</v>
      </c>
      <c r="AA537" s="2">
        <f>+DETALLE_GD_1[[#This Row],[VALOR PPTO]]*DETALLE_GD_1[[#This Row],[CANTIDAD RECIBIDA]]</f>
        <v>950591.03200000001</v>
      </c>
      <c r="AB5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37" s="3">
        <f>+DETALLE_GD_1[[#This Row],[CANTIDAD SOLICITADA]]-DETALLE_GD_1[[#This Row],[DEVOLUCIÓN]]</f>
        <v>80</v>
      </c>
      <c r="AD537" s="38" t="str">
        <f>+_xlfn.XLOOKUP(DETALLE_GD_1[[#This Row],[CODIGO]],PRODUCTOS[CODIGO],PRODUCTOS[DESC CORTA],"",0)</f>
        <v>PISO TARKET</v>
      </c>
      <c r="AE537"/>
      <c r="AH537"/>
    </row>
    <row r="538" spans="1:34" x14ac:dyDescent="0.25">
      <c r="A538" s="1">
        <v>46105</v>
      </c>
      <c r="B538" s="1">
        <v>46105</v>
      </c>
      <c r="C538" s="81" t="s">
        <v>169</v>
      </c>
      <c r="D538" s="38">
        <v>3</v>
      </c>
      <c r="E538" s="81" t="s">
        <v>169</v>
      </c>
      <c r="F538">
        <v>407423</v>
      </c>
      <c r="G538" s="81" t="s">
        <v>106</v>
      </c>
      <c r="H538" s="81" t="s">
        <v>31</v>
      </c>
      <c r="I538" s="3">
        <v>9000</v>
      </c>
      <c r="J538" s="3"/>
      <c r="K538" s="26">
        <v>9000</v>
      </c>
      <c r="L538" s="2">
        <v>3.3879999999999999</v>
      </c>
      <c r="M538" s="2">
        <v>30492</v>
      </c>
      <c r="N538" s="2">
        <v>30492</v>
      </c>
      <c r="O538" s="2">
        <v>106.6405</v>
      </c>
      <c r="P538" s="2">
        <v>103.2525</v>
      </c>
      <c r="Q538" s="2">
        <v>929272.51789999998</v>
      </c>
      <c r="R538" s="4">
        <v>0.96822970694084709</v>
      </c>
      <c r="T538">
        <v>310064</v>
      </c>
      <c r="U538" s="2"/>
      <c r="V538">
        <v>5886</v>
      </c>
      <c r="W538" s="2">
        <v>6579000000</v>
      </c>
      <c r="X538" s="6">
        <v>959764.51785405388</v>
      </c>
      <c r="Y538" s="38">
        <v>10010</v>
      </c>
      <c r="Z538" s="86">
        <f>+((DETALLE_GD_1[[#This Row],[VALOR X UN (GD)]]-DETALLE_GD_1[[#This Row],[VALOR PPTO]])/DETALLE_GD_1[[#This Row],[VALOR PPTO]])</f>
        <v>-0.96822970634983885</v>
      </c>
      <c r="AA538" s="2">
        <f>+DETALLE_GD_1[[#This Row],[VALOR PPTO]]*DETALLE_GD_1[[#This Row],[CANTIDAD RECIBIDA]]</f>
        <v>959764.5</v>
      </c>
      <c r="AB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8" s="3">
        <f>+DETALLE_GD_1[[#This Row],[CANTIDAD SOLICITADA]]-DETALLE_GD_1[[#This Row],[DEVOLUCIÓN]]</f>
        <v>9000</v>
      </c>
      <c r="AD538" s="38" t="str">
        <f>+_xlfn.XLOOKUP(DETALLE_GD_1[[#This Row],[CODIGO]],PRODUCTOS[CODIGO],PRODUCTOS[DESC CORTA],"",0)</f>
        <v>TORNILLO CRS 6X1 5/8</v>
      </c>
      <c r="AE538"/>
      <c r="AH538"/>
    </row>
    <row r="539" spans="1:34" x14ac:dyDescent="0.25">
      <c r="A539" s="1">
        <v>46105</v>
      </c>
      <c r="B539" s="1">
        <v>46105</v>
      </c>
      <c r="C539" s="81" t="s">
        <v>169</v>
      </c>
      <c r="D539" s="38">
        <v>3</v>
      </c>
      <c r="E539" s="81" t="s">
        <v>169</v>
      </c>
      <c r="F539">
        <v>407049</v>
      </c>
      <c r="G539" s="81" t="s">
        <v>232</v>
      </c>
      <c r="H539" s="81" t="s">
        <v>31</v>
      </c>
      <c r="I539" s="3">
        <v>500</v>
      </c>
      <c r="J539" s="3"/>
      <c r="K539" s="26">
        <v>500</v>
      </c>
      <c r="L539" s="2">
        <v>16.202000000000002</v>
      </c>
      <c r="M539" s="2">
        <v>8101</v>
      </c>
      <c r="N539" s="2">
        <v>8101</v>
      </c>
      <c r="O539" s="2">
        <v>16.202200000000001</v>
      </c>
      <c r="P539" s="2">
        <v>2.0000000000000001E-4</v>
      </c>
      <c r="Q539" s="2">
        <v>8.1000000000000003E-2</v>
      </c>
      <c r="R539" s="4">
        <v>9.9986656101544582E-6</v>
      </c>
      <c r="T539">
        <v>310064</v>
      </c>
      <c r="U539" s="2"/>
      <c r="V539">
        <v>5886</v>
      </c>
      <c r="W539" s="2">
        <v>6579000000</v>
      </c>
      <c r="X539" s="6">
        <v>8101.081000000001</v>
      </c>
      <c r="Y539" s="38">
        <v>10010</v>
      </c>
      <c r="Z539" s="86">
        <f>+((DETALLE_GD_1[[#This Row],[VALOR X UN (GD)]]-DETALLE_GD_1[[#This Row],[VALOR PPTO]])/DETALLE_GD_1[[#This Row],[VALOR PPTO]])</f>
        <v>-1.2344002666275806E-5</v>
      </c>
      <c r="AA539" s="2">
        <f>+DETALLE_GD_1[[#This Row],[VALOR PPTO]]*DETALLE_GD_1[[#This Row],[CANTIDAD RECIBIDA]]</f>
        <v>8101.1</v>
      </c>
      <c r="AB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9" s="3">
        <f>+DETALLE_GD_1[[#This Row],[CANTIDAD SOLICITADA]]-DETALLE_GD_1[[#This Row],[DEVOLUCIÓN]]</f>
        <v>500</v>
      </c>
      <c r="AD539" s="38">
        <f>+_xlfn.XLOOKUP(DETALLE_GD_1[[#This Row],[CODIGO]],PRODUCTOS[CODIGO],PRODUCTOS[DESC CORTA],"",0)</f>
        <v>0</v>
      </c>
      <c r="AE539"/>
      <c r="AH539"/>
    </row>
    <row r="540" spans="1:34" x14ac:dyDescent="0.25">
      <c r="A540" s="1">
        <v>46105</v>
      </c>
      <c r="B540" s="1">
        <v>46105</v>
      </c>
      <c r="C540" s="81" t="s">
        <v>169</v>
      </c>
      <c r="D540" s="38">
        <v>3</v>
      </c>
      <c r="E540" s="81" t="s">
        <v>169</v>
      </c>
      <c r="F540">
        <v>407170</v>
      </c>
      <c r="G540" s="81" t="s">
        <v>107</v>
      </c>
      <c r="H540" s="81" t="s">
        <v>31</v>
      </c>
      <c r="I540" s="3">
        <v>500</v>
      </c>
      <c r="J540" s="3"/>
      <c r="K540" s="26">
        <v>500</v>
      </c>
      <c r="L540" s="2">
        <v>4.88</v>
      </c>
      <c r="M540" s="2">
        <v>2440</v>
      </c>
      <c r="N540" s="2">
        <v>2440</v>
      </c>
      <c r="O540" s="2">
        <v>4.8802000000000003</v>
      </c>
      <c r="P540" s="2">
        <v>2.0000000000000001E-4</v>
      </c>
      <c r="Q540" s="2">
        <v>0.108</v>
      </c>
      <c r="R540" s="4">
        <v>4.4260336018094723E-5</v>
      </c>
      <c r="T540">
        <v>310064</v>
      </c>
      <c r="U540" s="2"/>
      <c r="V540">
        <v>5886</v>
      </c>
      <c r="W540" s="2">
        <v>6579000000</v>
      </c>
      <c r="X540" s="6">
        <v>2440.1080000000002</v>
      </c>
      <c r="Y540" s="38">
        <v>10010</v>
      </c>
      <c r="Z540" s="86">
        <f>+((DETALLE_GD_1[[#This Row],[VALOR X UN (GD)]]-DETALLE_GD_1[[#This Row],[VALOR PPTO]])/DETALLE_GD_1[[#This Row],[VALOR PPTO]])</f>
        <v>-4.0981926970292619E-5</v>
      </c>
      <c r="AA540" s="2">
        <f>+DETALLE_GD_1[[#This Row],[VALOR PPTO]]*DETALLE_GD_1[[#This Row],[CANTIDAD RECIBIDA]]</f>
        <v>2440.1000000000004</v>
      </c>
      <c r="AB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0" s="3">
        <f>+DETALLE_GD_1[[#This Row],[CANTIDAD SOLICITADA]]-DETALLE_GD_1[[#This Row],[DEVOLUCIÓN]]</f>
        <v>500</v>
      </c>
      <c r="AD540" s="38" t="str">
        <f>+_xlfn.XLOOKUP(DETALLE_GD_1[[#This Row],[CODIGO]],PRODUCTOS[CODIGO],PRODUCTOS[DESC CORTA],"",0)</f>
        <v>TORNILLO CRS 6X2 1/4</v>
      </c>
      <c r="AE540"/>
      <c r="AH540"/>
    </row>
    <row r="541" spans="1:34" x14ac:dyDescent="0.25">
      <c r="A541" s="1">
        <v>46105</v>
      </c>
      <c r="B541" s="1">
        <v>46105</v>
      </c>
      <c r="C541" s="81" t="s">
        <v>169</v>
      </c>
      <c r="D541" s="38">
        <v>3</v>
      </c>
      <c r="E541" s="81" t="s">
        <v>169</v>
      </c>
      <c r="F541">
        <v>1802174</v>
      </c>
      <c r="G541" s="81" t="s">
        <v>268</v>
      </c>
      <c r="H541" s="81" t="s">
        <v>31</v>
      </c>
      <c r="I541" s="3">
        <v>1</v>
      </c>
      <c r="J541" s="3"/>
      <c r="K541" s="26">
        <v>1</v>
      </c>
      <c r="L541" s="2">
        <v>7702</v>
      </c>
      <c r="M541" s="2">
        <v>7702</v>
      </c>
      <c r="N541" s="2">
        <v>7702</v>
      </c>
      <c r="O541" s="2">
        <v>7709</v>
      </c>
      <c r="P541" s="2">
        <v>7</v>
      </c>
      <c r="Q541" s="2">
        <v>7</v>
      </c>
      <c r="R541" s="4">
        <v>9.0802957582046962E-4</v>
      </c>
      <c r="T541">
        <v>310064</v>
      </c>
      <c r="U541" s="2"/>
      <c r="V541">
        <v>5886</v>
      </c>
      <c r="W541" s="2">
        <v>6579000000</v>
      </c>
      <c r="X541" s="6">
        <v>7709</v>
      </c>
      <c r="Y541" s="38">
        <v>10010</v>
      </c>
      <c r="Z541" s="86">
        <f>+((DETALLE_GD_1[[#This Row],[VALOR X UN (GD)]]-DETALLE_GD_1[[#This Row],[VALOR PPTO]])/DETALLE_GD_1[[#This Row],[VALOR PPTO]])</f>
        <v>-9.0802957582046962E-4</v>
      </c>
      <c r="AA541" s="2">
        <f>+DETALLE_GD_1[[#This Row],[VALOR PPTO]]*DETALLE_GD_1[[#This Row],[CANTIDAD RECIBIDA]]</f>
        <v>7709</v>
      </c>
      <c r="AB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1" s="3">
        <f>+DETALLE_GD_1[[#This Row],[CANTIDAD SOLICITADA]]-DETALLE_GD_1[[#This Row],[DEVOLUCIÓN]]</f>
        <v>1</v>
      </c>
      <c r="AD541" s="38" t="str">
        <f>+_xlfn.XLOOKUP(DETALLE_GD_1[[#This Row],[CODIGO]],PRODUCTOS[CODIGO],PRODUCTOS[DESC CORTA],"",0)</f>
        <v>PEDESTAL DS THEOS</v>
      </c>
      <c r="AE541"/>
      <c r="AH541"/>
    </row>
    <row r="542" spans="1:34" x14ac:dyDescent="0.25">
      <c r="A542" s="1">
        <v>46106</v>
      </c>
      <c r="B542" s="1">
        <v>46106</v>
      </c>
      <c r="C542" s="81" t="s">
        <v>169</v>
      </c>
      <c r="D542" s="38">
        <v>3</v>
      </c>
      <c r="E542" s="81" t="s">
        <v>169</v>
      </c>
      <c r="F542">
        <v>2302118</v>
      </c>
      <c r="G542" s="81" t="s">
        <v>228</v>
      </c>
      <c r="H542" s="81" t="s">
        <v>25</v>
      </c>
      <c r="I542" s="3">
        <v>5</v>
      </c>
      <c r="J542" s="3"/>
      <c r="K542" s="26">
        <v>5</v>
      </c>
      <c r="L542" s="2">
        <v>80876</v>
      </c>
      <c r="M542" s="2">
        <v>404380</v>
      </c>
      <c r="N542" s="2">
        <v>404380</v>
      </c>
      <c r="O542" s="2">
        <v>101250</v>
      </c>
      <c r="P542" s="2">
        <v>20374</v>
      </c>
      <c r="Q542" s="2">
        <v>101870</v>
      </c>
      <c r="R542" s="4">
        <v>0.2012246913580247</v>
      </c>
      <c r="T542">
        <v>310266</v>
      </c>
      <c r="U542" s="2">
        <v>404380</v>
      </c>
      <c r="V542">
        <v>5886</v>
      </c>
      <c r="W542" s="2">
        <v>6579000000</v>
      </c>
      <c r="X542" s="6">
        <v>506250</v>
      </c>
      <c r="Y542" s="38">
        <v>10010</v>
      </c>
      <c r="Z542" s="86">
        <f>+((DETALLE_GD_1[[#This Row],[VALOR X UN (GD)]]-DETALLE_GD_1[[#This Row],[VALOR PPTO]])/DETALLE_GD_1[[#This Row],[VALOR PPTO]])</f>
        <v>-0.2012246913580247</v>
      </c>
      <c r="AA542" s="2">
        <f>+DETALLE_GD_1[[#This Row],[VALOR PPTO]]*DETALLE_GD_1[[#This Row],[CANTIDAD RECIBIDA]]</f>
        <v>506250</v>
      </c>
      <c r="AB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2" s="3">
        <f>+DETALLE_GD_1[[#This Row],[CANTIDAD SOLICITADA]]-DETALLE_GD_1[[#This Row],[DEVOLUCIÓN]]</f>
        <v>5</v>
      </c>
      <c r="AD542" s="38">
        <f>+_xlfn.XLOOKUP(DETALLE_GD_1[[#This Row],[CODIGO]],PRODUCTOS[CODIGO],PRODUCTOS[DESC CORTA],"",0)</f>
        <v>0</v>
      </c>
      <c r="AE542"/>
      <c r="AH542"/>
    </row>
    <row r="543" spans="1:34" x14ac:dyDescent="0.25">
      <c r="A543" s="1">
        <v>46107</v>
      </c>
      <c r="B543" s="1">
        <v>46107</v>
      </c>
      <c r="C543" s="81" t="s">
        <v>169</v>
      </c>
      <c r="D543" s="38">
        <v>3</v>
      </c>
      <c r="E543" s="81" t="s">
        <v>169</v>
      </c>
      <c r="F543">
        <v>410045</v>
      </c>
      <c r="G543" s="81" t="s">
        <v>110</v>
      </c>
      <c r="H543" s="81" t="s">
        <v>31</v>
      </c>
      <c r="I543" s="3">
        <v>464</v>
      </c>
      <c r="J543" s="3"/>
      <c r="K543" s="26">
        <v>464</v>
      </c>
      <c r="L543" s="2">
        <v>346.90730000000002</v>
      </c>
      <c r="M543" s="2">
        <v>160965</v>
      </c>
      <c r="N543" s="2">
        <v>160965</v>
      </c>
      <c r="O543" s="2">
        <v>368.00139999999999</v>
      </c>
      <c r="P543" s="2">
        <v>21.094000000000001</v>
      </c>
      <c r="Q543" s="2">
        <v>9787.6314999999995</v>
      </c>
      <c r="R543" s="4">
        <v>5.7320530979756361E-2</v>
      </c>
      <c r="T543">
        <v>310403</v>
      </c>
      <c r="U543" s="2">
        <v>2133483</v>
      </c>
      <c r="V543">
        <v>5886</v>
      </c>
      <c r="W543" s="2">
        <v>6579000000</v>
      </c>
      <c r="X543" s="6">
        <v>170752.63150399996</v>
      </c>
      <c r="Y543" s="38">
        <v>10010</v>
      </c>
      <c r="Z543" s="86">
        <f>+((DETALLE_GD_1[[#This Row],[VALOR X UN (GD)]]-DETALLE_GD_1[[#This Row],[VALOR PPTO]])/DETALLE_GD_1[[#This Row],[VALOR PPTO]])</f>
        <v>-5.7320705845140721E-2</v>
      </c>
      <c r="AA543" s="2">
        <f>+DETALLE_GD_1[[#This Row],[VALOR PPTO]]*DETALLE_GD_1[[#This Row],[CANTIDAD RECIBIDA]]</f>
        <v>170752.6496</v>
      </c>
      <c r="AB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3" s="3">
        <f>+DETALLE_GD_1[[#This Row],[CANTIDAD SOLICITADA]]-DETALLE_GD_1[[#This Row],[DEVOLUCIÓN]]</f>
        <v>464</v>
      </c>
      <c r="AD543" s="38" t="str">
        <f>+_xlfn.XLOOKUP(DETALLE_GD_1[[#This Row],[CODIGO]],PRODUCTOS[CODIGO],PRODUCTOS[DESC CORTA],"",0)</f>
        <v>CONECTOR DENTADO</v>
      </c>
      <c r="AE543"/>
      <c r="AH543"/>
    </row>
    <row r="544" spans="1:34" x14ac:dyDescent="0.25">
      <c r="A544" s="1">
        <v>46107</v>
      </c>
      <c r="B544" s="1">
        <v>46107</v>
      </c>
      <c r="C544" s="81" t="s">
        <v>169</v>
      </c>
      <c r="D544" s="38">
        <v>3</v>
      </c>
      <c r="E544" s="81" t="s">
        <v>169</v>
      </c>
      <c r="F544">
        <v>701043</v>
      </c>
      <c r="G544" s="81" t="s">
        <v>197</v>
      </c>
      <c r="H544" s="81" t="s">
        <v>18</v>
      </c>
      <c r="I544" s="3">
        <v>80</v>
      </c>
      <c r="J544" s="3"/>
      <c r="K544" s="26">
        <v>80</v>
      </c>
      <c r="L544" s="2">
        <v>22428.375</v>
      </c>
      <c r="M544" s="2">
        <v>1794270</v>
      </c>
      <c r="N544" s="2">
        <v>1794270</v>
      </c>
      <c r="O544" s="2">
        <v>22146.362799999999</v>
      </c>
      <c r="P544" s="2">
        <v>-282.01220000000001</v>
      </c>
      <c r="Q544" s="2">
        <v>-22560.978200000001</v>
      </c>
      <c r="R544" s="4">
        <v>-1.2734020069270794E-2</v>
      </c>
      <c r="T544">
        <v>310403</v>
      </c>
      <c r="U544" s="2"/>
      <c r="V544">
        <v>5886</v>
      </c>
      <c r="W544" s="2">
        <v>6579000000</v>
      </c>
      <c r="X544" s="6">
        <v>1771709.0217599999</v>
      </c>
      <c r="Y544" s="38">
        <v>10010</v>
      </c>
      <c r="Z544" s="86">
        <f>+((DETALLE_GD_1[[#This Row],[VALOR X UN (GD)]]-DETALLE_GD_1[[#This Row],[VALOR PPTO]])/DETALLE_GD_1[[#This Row],[VALOR PPTO]])</f>
        <v>1.2734018788855073E-2</v>
      </c>
      <c r="AA544" s="2">
        <f>+DETALLE_GD_1[[#This Row],[VALOR PPTO]]*DETALLE_GD_1[[#This Row],[CANTIDAD RECIBIDA]]</f>
        <v>1771709.024</v>
      </c>
      <c r="AB5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44" s="3">
        <f>+DETALLE_GD_1[[#This Row],[CANTIDAD SOLICITADA]]-DETALLE_GD_1[[#This Row],[DEVOLUCIÓN]]</f>
        <v>80</v>
      </c>
      <c r="AD544" s="38" t="str">
        <f>+_xlfn.XLOOKUP(DETALLE_GD_1[[#This Row],[CODIGO]],PRODUCTOS[CODIGO],PRODUCTOS[DESC CORTA],"",0)</f>
        <v>VOLCANITA EMPAPELADA CIELO</v>
      </c>
      <c r="AE544"/>
      <c r="AH544"/>
    </row>
    <row r="545" spans="1:34" x14ac:dyDescent="0.25">
      <c r="A545" s="1">
        <v>46107</v>
      </c>
      <c r="B545" s="1">
        <v>46107</v>
      </c>
      <c r="C545" s="81" t="s">
        <v>169</v>
      </c>
      <c r="D545" s="38">
        <v>3</v>
      </c>
      <c r="E545" s="81" t="s">
        <v>169</v>
      </c>
      <c r="F545">
        <v>5309018</v>
      </c>
      <c r="G545" s="81" t="s">
        <v>112</v>
      </c>
      <c r="H545" s="81" t="s">
        <v>113</v>
      </c>
      <c r="I545" s="3">
        <v>200</v>
      </c>
      <c r="J545" s="3"/>
      <c r="K545" s="26">
        <v>200</v>
      </c>
      <c r="L545" s="2">
        <v>700</v>
      </c>
      <c r="M545" s="2">
        <v>140000</v>
      </c>
      <c r="N545" s="2">
        <v>140000</v>
      </c>
      <c r="O545" s="2">
        <v>699.99919999999997</v>
      </c>
      <c r="P545" s="2">
        <v>-8.0000000000000004E-4</v>
      </c>
      <c r="Q545" s="2">
        <v>-0.15359999999999999</v>
      </c>
      <c r="R545" s="4">
        <v>-1.0971440602079328E-6</v>
      </c>
      <c r="T545">
        <v>310403</v>
      </c>
      <c r="U545" s="2"/>
      <c r="V545">
        <v>5886</v>
      </c>
      <c r="W545" s="2">
        <v>6579000000</v>
      </c>
      <c r="X545" s="6">
        <v>139999.8464000001</v>
      </c>
      <c r="Y545" s="38">
        <v>10010</v>
      </c>
      <c r="Z545" s="86">
        <f>+((DETALLE_GD_1[[#This Row],[VALOR X UN (GD)]]-DETALLE_GD_1[[#This Row],[VALOR PPTO]])/DETALLE_GD_1[[#This Row],[VALOR PPTO]])</f>
        <v>1.1428584490190236E-6</v>
      </c>
      <c r="AA545" s="2">
        <f>+DETALLE_GD_1[[#This Row],[VALOR PPTO]]*DETALLE_GD_1[[#This Row],[CANTIDAD RECIBIDA]]</f>
        <v>139999.84</v>
      </c>
      <c r="AB5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5" s="3">
        <f>+DETALLE_GD_1[[#This Row],[CANTIDAD SOLICITADA]]-DETALLE_GD_1[[#This Row],[DEVOLUCIÓN]]</f>
        <v>200</v>
      </c>
      <c r="AD545" s="38">
        <f>+_xlfn.XLOOKUP(DETALLE_GD_1[[#This Row],[CODIGO]],PRODUCTOS[CODIGO],PRODUCTOS[DESC CORTA],"",0)</f>
        <v>0</v>
      </c>
      <c r="AE545"/>
      <c r="AH545"/>
    </row>
    <row r="546" spans="1:34" x14ac:dyDescent="0.25">
      <c r="A546" s="1">
        <v>46107</v>
      </c>
      <c r="B546" s="1">
        <v>46107</v>
      </c>
      <c r="C546" s="81" t="s">
        <v>169</v>
      </c>
      <c r="D546" s="38">
        <v>3</v>
      </c>
      <c r="E546" s="81" t="s">
        <v>169</v>
      </c>
      <c r="F546">
        <v>2302044</v>
      </c>
      <c r="G546" s="81" t="s">
        <v>441</v>
      </c>
      <c r="H546" s="81" t="s">
        <v>442</v>
      </c>
      <c r="I546" s="3">
        <v>1</v>
      </c>
      <c r="J546" s="3"/>
      <c r="K546" s="26">
        <v>1</v>
      </c>
      <c r="L546" s="2">
        <v>13092</v>
      </c>
      <c r="M546" s="2">
        <v>13092</v>
      </c>
      <c r="N546" s="2">
        <v>13092</v>
      </c>
      <c r="O546" s="2"/>
      <c r="P546" s="2"/>
      <c r="Q546" s="2">
        <v>-13092</v>
      </c>
      <c r="R546" s="4"/>
      <c r="T546">
        <v>310403</v>
      </c>
      <c r="U546" s="2"/>
      <c r="V546">
        <v>5886</v>
      </c>
      <c r="W546" s="2">
        <v>6579000000</v>
      </c>
      <c r="X546" s="6" t="s">
        <v>355</v>
      </c>
      <c r="Y546" s="38">
        <v>10010</v>
      </c>
      <c r="Z546" s="86" t="e">
        <f>+((DETALLE_GD_1[[#This Row],[VALOR X UN (GD)]]-DETALLE_GD_1[[#This Row],[VALOR PPTO]])/DETALLE_GD_1[[#This Row],[VALOR PPTO]])</f>
        <v>#DIV/0!</v>
      </c>
      <c r="AA546" s="2">
        <f>+DETALLE_GD_1[[#This Row],[VALOR PPTO]]*DETALLE_GD_1[[#This Row],[CANTIDAD RECIBIDA]]</f>
        <v>0</v>
      </c>
      <c r="AB5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6" s="3">
        <f>+DETALLE_GD_1[[#This Row],[CANTIDAD SOLICITADA]]-DETALLE_GD_1[[#This Row],[DEVOLUCIÓN]]</f>
        <v>1</v>
      </c>
      <c r="AD546" s="38" t="str">
        <f>+_xlfn.XLOOKUP(DETALLE_GD_1[[#This Row],[CODIGO]],PRODUCTOS[CODIGO],PRODUCTOS[DESC CORTA],"",0)</f>
        <v/>
      </c>
      <c r="AE546"/>
      <c r="AH546"/>
    </row>
    <row r="547" spans="1:34" x14ac:dyDescent="0.25">
      <c r="A547" s="1">
        <v>46107</v>
      </c>
      <c r="B547" s="1">
        <v>46107</v>
      </c>
      <c r="C547" s="81" t="s">
        <v>169</v>
      </c>
      <c r="D547" s="38">
        <v>3</v>
      </c>
      <c r="E547" s="81" t="s">
        <v>169</v>
      </c>
      <c r="F547">
        <v>2302045</v>
      </c>
      <c r="G547" s="81" t="s">
        <v>443</v>
      </c>
      <c r="H547" s="81" t="s">
        <v>25</v>
      </c>
      <c r="I547" s="3">
        <v>1</v>
      </c>
      <c r="J547" s="3"/>
      <c r="K547" s="26">
        <v>1</v>
      </c>
      <c r="L547" s="2">
        <v>25156</v>
      </c>
      <c r="M547" s="2">
        <v>25156</v>
      </c>
      <c r="N547" s="2">
        <v>25156</v>
      </c>
      <c r="O547" s="2"/>
      <c r="P547" s="2"/>
      <c r="Q547" s="2">
        <v>-25156</v>
      </c>
      <c r="R547" s="4"/>
      <c r="T547">
        <v>310403</v>
      </c>
      <c r="U547" s="2"/>
      <c r="V547">
        <v>5886</v>
      </c>
      <c r="W547" s="2">
        <v>6579000000</v>
      </c>
      <c r="X547" s="6" t="s">
        <v>355</v>
      </c>
      <c r="Y547" s="38">
        <v>10010</v>
      </c>
      <c r="Z547" s="86" t="e">
        <f>+((DETALLE_GD_1[[#This Row],[VALOR X UN (GD)]]-DETALLE_GD_1[[#This Row],[VALOR PPTO]])/DETALLE_GD_1[[#This Row],[VALOR PPTO]])</f>
        <v>#DIV/0!</v>
      </c>
      <c r="AA547" s="2">
        <f>+DETALLE_GD_1[[#This Row],[VALOR PPTO]]*DETALLE_GD_1[[#This Row],[CANTIDAD RECIBIDA]]</f>
        <v>0</v>
      </c>
      <c r="AB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7" s="3">
        <f>+DETALLE_GD_1[[#This Row],[CANTIDAD SOLICITADA]]-DETALLE_GD_1[[#This Row],[DEVOLUCIÓN]]</f>
        <v>1</v>
      </c>
      <c r="AD547" s="38" t="str">
        <f>+_xlfn.XLOOKUP(DETALLE_GD_1[[#This Row],[CODIGO]],PRODUCTOS[CODIGO],PRODUCTOS[DESC CORTA],"",0)</f>
        <v/>
      </c>
      <c r="AE547"/>
      <c r="AH547"/>
    </row>
    <row r="548" spans="1:34" x14ac:dyDescent="0.25">
      <c r="A548" s="1">
        <v>46107</v>
      </c>
      <c r="B548" s="1">
        <v>46107</v>
      </c>
      <c r="C548" s="81" t="s">
        <v>169</v>
      </c>
      <c r="D548" s="38">
        <v>3</v>
      </c>
      <c r="E548" s="81" t="s">
        <v>169</v>
      </c>
      <c r="F548">
        <v>304002</v>
      </c>
      <c r="G548" s="81" t="s">
        <v>37</v>
      </c>
      <c r="H548" s="81" t="s">
        <v>18</v>
      </c>
      <c r="I548" s="3">
        <v>72</v>
      </c>
      <c r="J548" s="3"/>
      <c r="K548" s="26">
        <v>72</v>
      </c>
      <c r="L548" s="2">
        <v>21535.8472</v>
      </c>
      <c r="M548" s="2">
        <v>1550581</v>
      </c>
      <c r="N548" s="2">
        <v>1550581</v>
      </c>
      <c r="O548" s="2">
        <v>21246.5072</v>
      </c>
      <c r="P548" s="2">
        <v>-289.34010000000001</v>
      </c>
      <c r="Q548" s="2">
        <v>-20832.485000000001</v>
      </c>
      <c r="R548" s="4">
        <v>-1.3618241677967552E-2</v>
      </c>
      <c r="T548">
        <v>310406</v>
      </c>
      <c r="U548" s="2">
        <v>2464990</v>
      </c>
      <c r="V548">
        <v>5886</v>
      </c>
      <c r="W548" s="2">
        <v>6579000000</v>
      </c>
      <c r="X548" s="6">
        <v>1529748.5150160005</v>
      </c>
      <c r="Y548" s="38">
        <v>10010</v>
      </c>
      <c r="Z548" s="86">
        <f>+((DETALLE_GD_1[[#This Row],[VALOR X UN (GD)]]-DETALLE_GD_1[[#This Row],[VALOR PPTO]])/DETALLE_GD_1[[#This Row],[VALOR PPTO]])</f>
        <v>1.3618238389790495E-2</v>
      </c>
      <c r="AA548" s="2">
        <f>+DETALLE_GD_1[[#This Row],[VALOR PPTO]]*DETALLE_GD_1[[#This Row],[CANTIDAD RECIBIDA]]</f>
        <v>1529748.5183999999</v>
      </c>
      <c r="AB5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48" s="3">
        <f>+DETALLE_GD_1[[#This Row],[CANTIDAD SOLICITADA]]-DETALLE_GD_1[[#This Row],[DEVOLUCIÓN]]</f>
        <v>72</v>
      </c>
      <c r="AD548" s="38" t="str">
        <f>+_xlfn.XLOOKUP(DETALLE_GD_1[[#This Row],[CODIGO]],PRODUCTOS[CODIGO],PRODUCTOS[DESC CORTA],"",0)</f>
        <v>SMARTPANEL</v>
      </c>
      <c r="AE548"/>
      <c r="AH548"/>
    </row>
    <row r="549" spans="1:34" x14ac:dyDescent="0.25">
      <c r="A549" s="1">
        <v>46107</v>
      </c>
      <c r="B549" s="1">
        <v>46107</v>
      </c>
      <c r="C549" s="81" t="s">
        <v>169</v>
      </c>
      <c r="D549" s="38">
        <v>3</v>
      </c>
      <c r="E549" s="81" t="s">
        <v>169</v>
      </c>
      <c r="F549">
        <v>1902003</v>
      </c>
      <c r="G549" s="81" t="s">
        <v>155</v>
      </c>
      <c r="H549" s="81" t="s">
        <v>47</v>
      </c>
      <c r="I549" s="3">
        <v>6</v>
      </c>
      <c r="J549" s="3"/>
      <c r="K549" s="26">
        <v>6</v>
      </c>
      <c r="L549" s="2">
        <v>150690.5</v>
      </c>
      <c r="M549" s="2">
        <v>904143</v>
      </c>
      <c r="N549" s="2">
        <v>904143</v>
      </c>
      <c r="O549" s="2">
        <v>150703.9755</v>
      </c>
      <c r="P549" s="2">
        <v>13.4755</v>
      </c>
      <c r="Q549" s="2">
        <v>80.852800000000002</v>
      </c>
      <c r="R549" s="4">
        <v>8.9416752005553395E-5</v>
      </c>
      <c r="T549">
        <v>310406</v>
      </c>
      <c r="U549" s="2"/>
      <c r="V549">
        <v>5886</v>
      </c>
      <c r="W549" s="2">
        <v>6579000000</v>
      </c>
      <c r="X549" s="6">
        <v>904223.85275999969</v>
      </c>
      <c r="Y549" s="38">
        <v>10010</v>
      </c>
      <c r="Z549" s="86">
        <f>+((DETALLE_GD_1[[#This Row],[VALOR X UN (GD)]]-DETALLE_GD_1[[#This Row],[VALOR PPTO]])/DETALLE_GD_1[[#This Row],[VALOR PPTO]])</f>
        <v>-8.9417017403104051E-5</v>
      </c>
      <c r="AA549" s="2">
        <f>+DETALLE_GD_1[[#This Row],[VALOR PPTO]]*DETALLE_GD_1[[#This Row],[CANTIDAD RECIBIDA]]</f>
        <v>904223.853</v>
      </c>
      <c r="AB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9" s="3">
        <f>+DETALLE_GD_1[[#This Row],[CANTIDAD SOLICITADA]]-DETALLE_GD_1[[#This Row],[DEVOLUCIÓN]]</f>
        <v>6</v>
      </c>
      <c r="AD549" s="38">
        <f>+_xlfn.XLOOKUP(DETALLE_GD_1[[#This Row],[CODIGO]],PRODUCTOS[CODIGO],PRODUCTOS[DESC CORTA],"",0)</f>
        <v>0</v>
      </c>
      <c r="AE549"/>
      <c r="AH549"/>
    </row>
    <row r="550" spans="1:34" x14ac:dyDescent="0.25">
      <c r="A550" s="1">
        <v>46107</v>
      </c>
      <c r="B550" s="1">
        <v>46107</v>
      </c>
      <c r="C550" s="81" t="s">
        <v>169</v>
      </c>
      <c r="D550" s="38">
        <v>3</v>
      </c>
      <c r="E550" s="81" t="s">
        <v>169</v>
      </c>
      <c r="F550">
        <v>407423</v>
      </c>
      <c r="G550" s="81" t="s">
        <v>106</v>
      </c>
      <c r="H550" s="81" t="s">
        <v>31</v>
      </c>
      <c r="I550" s="3">
        <v>1000</v>
      </c>
      <c r="J550" s="3"/>
      <c r="K550" s="26">
        <v>1000</v>
      </c>
      <c r="L550" s="2">
        <v>3.3879999999999999</v>
      </c>
      <c r="M550" s="2">
        <v>3388</v>
      </c>
      <c r="N550" s="2">
        <v>3388</v>
      </c>
      <c r="O550" s="2">
        <v>106.6405</v>
      </c>
      <c r="P550" s="2">
        <v>103.2525</v>
      </c>
      <c r="Q550" s="2">
        <v>103252.50199999999</v>
      </c>
      <c r="R550" s="4">
        <v>0.96822970694084709</v>
      </c>
      <c r="T550">
        <v>310406</v>
      </c>
      <c r="U550" s="2"/>
      <c r="V550">
        <v>5886</v>
      </c>
      <c r="W550" s="2">
        <v>6579000000</v>
      </c>
      <c r="X550" s="6">
        <v>106640.50198378378</v>
      </c>
      <c r="Y550" s="38">
        <v>10010</v>
      </c>
      <c r="Z550" s="86">
        <f>+((DETALLE_GD_1[[#This Row],[VALOR X UN (GD)]]-DETALLE_GD_1[[#This Row],[VALOR PPTO]])/DETALLE_GD_1[[#This Row],[VALOR PPTO]])</f>
        <v>-0.96822970634983885</v>
      </c>
      <c r="AA550" s="2">
        <f>+DETALLE_GD_1[[#This Row],[VALOR PPTO]]*DETALLE_GD_1[[#This Row],[CANTIDAD RECIBIDA]]</f>
        <v>106640.5</v>
      </c>
      <c r="AB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0" s="3">
        <f>+DETALLE_GD_1[[#This Row],[CANTIDAD SOLICITADA]]-DETALLE_GD_1[[#This Row],[DEVOLUCIÓN]]</f>
        <v>1000</v>
      </c>
      <c r="AD550" s="38" t="str">
        <f>+_xlfn.XLOOKUP(DETALLE_GD_1[[#This Row],[CODIGO]],PRODUCTOS[CODIGO],PRODUCTOS[DESC CORTA],"",0)</f>
        <v>TORNILLO CRS 6X1 5/8</v>
      </c>
      <c r="AE550"/>
      <c r="AH550"/>
    </row>
    <row r="551" spans="1:34" x14ac:dyDescent="0.25">
      <c r="A551" s="1">
        <v>46107</v>
      </c>
      <c r="B551" s="1">
        <v>46107</v>
      </c>
      <c r="C551" s="81" t="s">
        <v>169</v>
      </c>
      <c r="D551" s="38">
        <v>3</v>
      </c>
      <c r="E551" s="81" t="s">
        <v>169</v>
      </c>
      <c r="F551">
        <v>407185</v>
      </c>
      <c r="G551" s="81" t="s">
        <v>43</v>
      </c>
      <c r="H551" s="81" t="s">
        <v>31</v>
      </c>
      <c r="I551" s="3">
        <v>1000</v>
      </c>
      <c r="J551" s="3"/>
      <c r="K551" s="26">
        <v>1000</v>
      </c>
      <c r="L551" s="2">
        <v>6.8780000000000001</v>
      </c>
      <c r="M551" s="2">
        <v>6878</v>
      </c>
      <c r="N551" s="2">
        <v>6878</v>
      </c>
      <c r="O551" s="2">
        <v>6.8783000000000003</v>
      </c>
      <c r="P551" s="2">
        <v>2.9999999999999997E-4</v>
      </c>
      <c r="Q551" s="2">
        <v>0.32</v>
      </c>
      <c r="R551" s="4">
        <v>4.6522988171576785E-5</v>
      </c>
      <c r="T551">
        <v>310406</v>
      </c>
      <c r="U551" s="2"/>
      <c r="V551">
        <v>5886</v>
      </c>
      <c r="W551" s="2">
        <v>6579000000</v>
      </c>
      <c r="X551" s="6">
        <v>6878.3200000000006</v>
      </c>
      <c r="Y551" s="38">
        <v>10010</v>
      </c>
      <c r="Z551" s="86">
        <f>+((DETALLE_GD_1[[#This Row],[VALOR X UN (GD)]]-DETALLE_GD_1[[#This Row],[VALOR PPTO]])/DETALLE_GD_1[[#This Row],[VALOR PPTO]])</f>
        <v>-4.3615428230840323E-5</v>
      </c>
      <c r="AA551" s="2">
        <f>+DETALLE_GD_1[[#This Row],[VALOR PPTO]]*DETALLE_GD_1[[#This Row],[CANTIDAD RECIBIDA]]</f>
        <v>6878.3</v>
      </c>
      <c r="AB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1" s="3">
        <f>+DETALLE_GD_1[[#This Row],[CANTIDAD SOLICITADA]]-DETALLE_GD_1[[#This Row],[DEVOLUCIÓN]]</f>
        <v>1000</v>
      </c>
      <c r="AD551" s="38">
        <f>+_xlfn.XLOOKUP(DETALLE_GD_1[[#This Row],[CODIGO]],PRODUCTOS[CODIGO],PRODUCTOS[DESC CORTA],"",0)</f>
        <v>0</v>
      </c>
      <c r="AE551"/>
      <c r="AH551"/>
    </row>
    <row r="552" spans="1:34" x14ac:dyDescent="0.25">
      <c r="A552" s="1">
        <v>46108</v>
      </c>
      <c r="B552" s="1">
        <v>46108</v>
      </c>
      <c r="C552" s="81" t="s">
        <v>169</v>
      </c>
      <c r="D552" s="38">
        <v>3</v>
      </c>
      <c r="E552" s="81" t="s">
        <v>169</v>
      </c>
      <c r="F552">
        <v>1901229</v>
      </c>
      <c r="G552" s="81" t="s">
        <v>125</v>
      </c>
      <c r="H552" s="81" t="s">
        <v>28</v>
      </c>
      <c r="I552" s="3">
        <v>50</v>
      </c>
      <c r="J552" s="3"/>
      <c r="K552" s="26">
        <v>50</v>
      </c>
      <c r="L552" s="2">
        <v>1895.84</v>
      </c>
      <c r="M552" s="2">
        <v>94792</v>
      </c>
      <c r="N552" s="2">
        <v>94792</v>
      </c>
      <c r="O552" s="2">
        <v>1896.2317</v>
      </c>
      <c r="P552" s="2">
        <v>0.39169999999999999</v>
      </c>
      <c r="Q552" s="2">
        <v>19.5869</v>
      </c>
      <c r="R552" s="4">
        <v>2.0658709183926516E-4</v>
      </c>
      <c r="T552">
        <v>310529</v>
      </c>
      <c r="U552" s="2">
        <v>12666906</v>
      </c>
      <c r="V552">
        <v>5886</v>
      </c>
      <c r="W552" s="2">
        <v>6579000000</v>
      </c>
      <c r="X552" s="6">
        <v>94811.586850000007</v>
      </c>
      <c r="Y552" s="38">
        <v>10010</v>
      </c>
      <c r="Z552" s="86">
        <f>+((DETALLE_GD_1[[#This Row],[VALOR X UN (GD)]]-DETALLE_GD_1[[#This Row],[VALOR PPTO]])/DETALLE_GD_1[[#This Row],[VALOR PPTO]])</f>
        <v>-2.0656758348683237E-4</v>
      </c>
      <c r="AA552" s="2">
        <f>+DETALLE_GD_1[[#This Row],[VALOR PPTO]]*DETALLE_GD_1[[#This Row],[CANTIDAD RECIBIDA]]</f>
        <v>94811.585000000006</v>
      </c>
      <c r="AB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2" s="3">
        <f>+DETALLE_GD_1[[#This Row],[CANTIDAD SOLICITADA]]-DETALLE_GD_1[[#This Row],[DEVOLUCIÓN]]</f>
        <v>50</v>
      </c>
      <c r="AD552" s="38" t="str">
        <f>+_xlfn.XLOOKUP(DETALLE_GD_1[[#This Row],[CODIGO]],PRODUCTOS[CODIGO],PRODUCTOS[DESC CORTA],"",0)</f>
        <v>POLIETILENO</v>
      </c>
      <c r="AE552"/>
      <c r="AH552"/>
    </row>
    <row r="553" spans="1:34" x14ac:dyDescent="0.25">
      <c r="A553" s="1">
        <v>46108</v>
      </c>
      <c r="B553" s="1">
        <v>46108</v>
      </c>
      <c r="C553" s="81" t="s">
        <v>169</v>
      </c>
      <c r="D553" s="38">
        <v>3</v>
      </c>
      <c r="E553" s="81" t="s">
        <v>169</v>
      </c>
      <c r="F553">
        <v>1901466</v>
      </c>
      <c r="G553" s="81" t="s">
        <v>398</v>
      </c>
      <c r="H553" s="81" t="s">
        <v>26</v>
      </c>
      <c r="I553" s="3">
        <v>270</v>
      </c>
      <c r="J553" s="3"/>
      <c r="K553" s="26">
        <v>270</v>
      </c>
      <c r="L553" s="2">
        <v>1970</v>
      </c>
      <c r="M553" s="2">
        <v>531900</v>
      </c>
      <c r="N553" s="2">
        <v>531900</v>
      </c>
      <c r="O553" s="2">
        <v>2112.7957999999999</v>
      </c>
      <c r="P553" s="2">
        <v>142.79580000000001</v>
      </c>
      <c r="Q553" s="2">
        <v>38554.8603</v>
      </c>
      <c r="R553" s="4">
        <v>6.7586172037690365E-2</v>
      </c>
      <c r="T553">
        <v>310529</v>
      </c>
      <c r="U553" s="2"/>
      <c r="V553">
        <v>5886</v>
      </c>
      <c r="W553" s="2">
        <v>6579000000</v>
      </c>
      <c r="X553" s="6">
        <v>570454.86033000005</v>
      </c>
      <c r="Y553" s="38">
        <v>10010</v>
      </c>
      <c r="Z553" s="86">
        <f>+((DETALLE_GD_1[[#This Row],[VALOR X UN (GD)]]-DETALLE_GD_1[[#This Row],[VALOR PPTO]])/DETALLE_GD_1[[#This Row],[VALOR PPTO]])</f>
        <v>-6.758618130535847E-2</v>
      </c>
      <c r="AA553" s="2">
        <f>+DETALLE_GD_1[[#This Row],[VALOR PPTO]]*DETALLE_GD_1[[#This Row],[CANTIDAD RECIBIDA]]</f>
        <v>570454.86599999992</v>
      </c>
      <c r="AB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3" s="3">
        <f>+DETALLE_GD_1[[#This Row],[CANTIDAD SOLICITADA]]-DETALLE_GD_1[[#This Row],[DEVOLUCIÓN]]</f>
        <v>270</v>
      </c>
      <c r="AD553" s="38" t="str">
        <f>+_xlfn.XLOOKUP(DETALLE_GD_1[[#This Row],[CODIGO]],PRODUCTOS[CODIGO],PRODUCTOS[DESC CORTA],"",0)</f>
        <v>AISLAN DENSIDAD 14 KG/M3 (13.5 M2 X BOLSA) SKU 4000147</v>
      </c>
      <c r="AE553"/>
      <c r="AH553"/>
    </row>
    <row r="554" spans="1:34" x14ac:dyDescent="0.25">
      <c r="A554" s="1">
        <v>46108</v>
      </c>
      <c r="B554" s="1">
        <v>46108</v>
      </c>
      <c r="C554" s="81" t="s">
        <v>169</v>
      </c>
      <c r="D554" s="38">
        <v>3</v>
      </c>
      <c r="E554" s="81" t="s">
        <v>169</v>
      </c>
      <c r="F554">
        <v>407011</v>
      </c>
      <c r="G554" s="81" t="s">
        <v>30</v>
      </c>
      <c r="H554" s="81" t="s">
        <v>31</v>
      </c>
      <c r="I554" s="3">
        <v>1500</v>
      </c>
      <c r="J554" s="3"/>
      <c r="K554" s="26">
        <v>1500</v>
      </c>
      <c r="L554" s="2">
        <v>473.17529999999999</v>
      </c>
      <c r="M554" s="2">
        <v>709763</v>
      </c>
      <c r="N554" s="2">
        <v>709763</v>
      </c>
      <c r="O554" s="2">
        <v>473.17520000000002</v>
      </c>
      <c r="P554" s="2">
        <v>-1E-4</v>
      </c>
      <c r="Q554" s="2">
        <v>-0.14000000000000001</v>
      </c>
      <c r="R554" s="4">
        <v>-1.9724897997357141E-7</v>
      </c>
      <c r="T554">
        <v>310529</v>
      </c>
      <c r="U554" s="2"/>
      <c r="V554">
        <v>5886</v>
      </c>
      <c r="W554" s="2">
        <v>6579000000</v>
      </c>
      <c r="X554" s="6">
        <v>709762.85999999987</v>
      </c>
      <c r="Y554" s="38">
        <v>10010</v>
      </c>
      <c r="Z554" s="86">
        <f>+((DETALLE_GD_1[[#This Row],[VALOR X UN (GD)]]-DETALLE_GD_1[[#This Row],[VALOR PPTO]])/DETALLE_GD_1[[#This Row],[VALOR PPTO]])</f>
        <v>2.1133821040261184E-7</v>
      </c>
      <c r="AA554" s="2">
        <f>+DETALLE_GD_1[[#This Row],[VALOR PPTO]]*DETALLE_GD_1[[#This Row],[CANTIDAD RECIBIDA]]</f>
        <v>709762.8</v>
      </c>
      <c r="AB5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54" s="3">
        <f>+DETALLE_GD_1[[#This Row],[CANTIDAD SOLICITADA]]-DETALLE_GD_1[[#This Row],[DEVOLUCIÓN]]</f>
        <v>1500</v>
      </c>
      <c r="AD554" s="38" t="str">
        <f>+_xlfn.XLOOKUP(DETALLE_GD_1[[#This Row],[CODIGO]],PRODUCTOS[CODIGO],PRODUCTOS[DESC CORTA],"",0)</f>
        <v>TORNILLO SIMPSON 6"</v>
      </c>
      <c r="AE554"/>
      <c r="AH554"/>
    </row>
    <row r="555" spans="1:34" x14ac:dyDescent="0.25">
      <c r="A555" s="1">
        <v>46108</v>
      </c>
      <c r="B555" s="1">
        <v>46108</v>
      </c>
      <c r="C555" s="81" t="s">
        <v>169</v>
      </c>
      <c r="D555" s="38">
        <v>3</v>
      </c>
      <c r="E555" s="81" t="s">
        <v>169</v>
      </c>
      <c r="F555">
        <v>701040</v>
      </c>
      <c r="G555" s="81" t="s">
        <v>19</v>
      </c>
      <c r="H555" s="81" t="s">
        <v>18</v>
      </c>
      <c r="I555" s="3">
        <v>80</v>
      </c>
      <c r="J555" s="3"/>
      <c r="K555" s="26">
        <v>80</v>
      </c>
      <c r="L555" s="2">
        <v>7968.7250000000004</v>
      </c>
      <c r="M555" s="2">
        <v>637498</v>
      </c>
      <c r="N555" s="2">
        <v>637498</v>
      </c>
      <c r="O555" s="2">
        <v>7835.7259999999997</v>
      </c>
      <c r="P555" s="2">
        <v>-132.999</v>
      </c>
      <c r="Q555" s="2">
        <v>-10639.923699999999</v>
      </c>
      <c r="R555" s="4">
        <v>-1.6973417240569652E-2</v>
      </c>
      <c r="T555">
        <v>310529</v>
      </c>
      <c r="U555" s="2"/>
      <c r="V555">
        <v>5886</v>
      </c>
      <c r="W555" s="2">
        <v>6579000000</v>
      </c>
      <c r="X555" s="6">
        <v>626858.07631999976</v>
      </c>
      <c r="Y555" s="38">
        <v>10010</v>
      </c>
      <c r="Z555" s="86">
        <f>+((DETALLE_GD_1[[#This Row],[VALOR X UN (GD)]]-DETALLE_GD_1[[#This Row],[VALOR PPTO]])/DETALLE_GD_1[[#This Row],[VALOR PPTO]])</f>
        <v>1.6973411270378866E-2</v>
      </c>
      <c r="AA555" s="2">
        <f>+DETALLE_GD_1[[#This Row],[VALOR PPTO]]*DETALLE_GD_1[[#This Row],[CANTIDAD RECIBIDA]]</f>
        <v>626858.07999999996</v>
      </c>
      <c r="AB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5" s="3">
        <f>+DETALLE_GD_1[[#This Row],[CANTIDAD SOLICITADA]]-DETALLE_GD_1[[#This Row],[DEVOLUCIÓN]]</f>
        <v>80</v>
      </c>
      <c r="AD555" s="38" t="str">
        <f>+_xlfn.XLOOKUP(DETALLE_GD_1[[#This Row],[CODIGO]],PRODUCTOS[CODIGO],PRODUCTOS[DESC CORTA],"",0)</f>
        <v>VOLCANITA RF</v>
      </c>
      <c r="AE555"/>
      <c r="AH555"/>
    </row>
    <row r="556" spans="1:34" x14ac:dyDescent="0.25">
      <c r="A556" s="1">
        <v>46108</v>
      </c>
      <c r="B556" s="1">
        <v>46108</v>
      </c>
      <c r="C556" s="81" t="s">
        <v>169</v>
      </c>
      <c r="D556" s="38">
        <v>3</v>
      </c>
      <c r="E556" s="81" t="s">
        <v>169</v>
      </c>
      <c r="F556">
        <v>701096</v>
      </c>
      <c r="G556" s="81" t="s">
        <v>204</v>
      </c>
      <c r="H556" s="81" t="s">
        <v>18</v>
      </c>
      <c r="I556" s="3">
        <v>70</v>
      </c>
      <c r="J556" s="3"/>
      <c r="K556" s="26">
        <v>70</v>
      </c>
      <c r="L556" s="2">
        <v>16648.771400000001</v>
      </c>
      <c r="M556" s="2">
        <v>1165414</v>
      </c>
      <c r="N556" s="2">
        <v>1165414</v>
      </c>
      <c r="O556" s="2">
        <v>16019.885700000001</v>
      </c>
      <c r="P556" s="2">
        <v>-628.88570000000004</v>
      </c>
      <c r="Q556" s="2">
        <v>-44022.002</v>
      </c>
      <c r="R556" s="4">
        <v>-3.9256568738207272E-2</v>
      </c>
      <c r="T556">
        <v>310529</v>
      </c>
      <c r="U556" s="2"/>
      <c r="V556">
        <v>5886</v>
      </c>
      <c r="W556" s="2">
        <v>6579000000</v>
      </c>
      <c r="X556" s="6">
        <v>1121391.9979500002</v>
      </c>
      <c r="Y556" s="38">
        <v>10010</v>
      </c>
      <c r="Z556" s="86">
        <f>+((DETALLE_GD_1[[#This Row],[VALOR X UN (GD)]]-DETALLE_GD_1[[#This Row],[VALOR PPTO]])/DETALLE_GD_1[[#This Row],[VALOR PPTO]])</f>
        <v>3.9256565981616254E-2</v>
      </c>
      <c r="AA556" s="2">
        <f>+DETALLE_GD_1[[#This Row],[VALOR PPTO]]*DETALLE_GD_1[[#This Row],[CANTIDAD RECIBIDA]]</f>
        <v>1121391.9990000001</v>
      </c>
      <c r="AB5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56" s="3">
        <f>+DETALLE_GD_1[[#This Row],[CANTIDAD SOLICITADA]]-DETALLE_GD_1[[#This Row],[DEVOLUCIÓN]]</f>
        <v>70</v>
      </c>
      <c r="AD556" s="38" t="str">
        <f>+_xlfn.XLOOKUP(DETALLE_GD_1[[#This Row],[CODIGO]],PRODUCTOS[CODIGO],PRODUCTOS[DESC CORTA],"",0)</f>
        <v>VOCANITA EMPAPELADA MURO</v>
      </c>
      <c r="AE556"/>
      <c r="AH556"/>
    </row>
    <row r="557" spans="1:34" x14ac:dyDescent="0.25">
      <c r="A557" s="1">
        <v>46108</v>
      </c>
      <c r="B557" s="1">
        <v>46108</v>
      </c>
      <c r="C557" s="81" t="s">
        <v>169</v>
      </c>
      <c r="D557" s="38">
        <v>3</v>
      </c>
      <c r="E557" s="81" t="s">
        <v>169</v>
      </c>
      <c r="F557">
        <v>1901038</v>
      </c>
      <c r="G557" s="81" t="s">
        <v>39</v>
      </c>
      <c r="H557" s="81" t="s">
        <v>26</v>
      </c>
      <c r="I557" s="3">
        <v>108</v>
      </c>
      <c r="J557" s="3"/>
      <c r="K557" s="26">
        <v>108</v>
      </c>
      <c r="L557" s="2">
        <v>4481.25</v>
      </c>
      <c r="M557" s="2">
        <v>483975</v>
      </c>
      <c r="N557" s="2">
        <v>483975</v>
      </c>
      <c r="O557" s="2">
        <v>4197.4179000000004</v>
      </c>
      <c r="P557" s="2">
        <v>-283.83210000000003</v>
      </c>
      <c r="Q557" s="2">
        <v>-30653.869500000001</v>
      </c>
      <c r="R557" s="4">
        <v>-6.7620649993062443E-2</v>
      </c>
      <c r="T557">
        <v>310529</v>
      </c>
      <c r="U557" s="2"/>
      <c r="V557">
        <v>5886</v>
      </c>
      <c r="W557" s="2">
        <v>6579000000</v>
      </c>
      <c r="X557" s="6">
        <v>453321.13050000009</v>
      </c>
      <c r="Y557" s="38">
        <v>10010</v>
      </c>
      <c r="Z557" s="86">
        <f>+((DETALLE_GD_1[[#This Row],[VALOR X UN (GD)]]-DETALLE_GD_1[[#This Row],[VALOR PPTO]])/DETALLE_GD_1[[#This Row],[VALOR PPTO]])</f>
        <v>6.7620643634268493E-2</v>
      </c>
      <c r="AA557" s="2">
        <f>+DETALLE_GD_1[[#This Row],[VALOR PPTO]]*DETALLE_GD_1[[#This Row],[CANTIDAD RECIBIDA]]</f>
        <v>453321.13320000004</v>
      </c>
      <c r="AB5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57" s="3">
        <f>+DETALLE_GD_1[[#This Row],[CANTIDAD SOLICITADA]]-DETALLE_GD_1[[#This Row],[DEVOLUCIÓN]]</f>
        <v>108</v>
      </c>
      <c r="AD557" s="38" t="str">
        <f>+_xlfn.XLOOKUP(DETALLE_GD_1[[#This Row],[CODIGO]],PRODUCTOS[CODIGO],PRODUCTOS[DESC CORTA],"",0)</f>
        <v>AISLAN ROCA 90MM</v>
      </c>
      <c r="AE557"/>
      <c r="AH557"/>
    </row>
    <row r="558" spans="1:34" x14ac:dyDescent="0.25">
      <c r="A558" s="1">
        <v>46108</v>
      </c>
      <c r="B558" s="1">
        <v>46108</v>
      </c>
      <c r="C558" s="81" t="s">
        <v>169</v>
      </c>
      <c r="D558" s="38">
        <v>3</v>
      </c>
      <c r="E558" s="81" t="s">
        <v>169</v>
      </c>
      <c r="F558">
        <v>1901008</v>
      </c>
      <c r="G558" s="81" t="s">
        <v>278</v>
      </c>
      <c r="H558" s="81" t="s">
        <v>26</v>
      </c>
      <c r="I558" s="3">
        <v>270</v>
      </c>
      <c r="J558" s="3"/>
      <c r="K558" s="26">
        <v>270</v>
      </c>
      <c r="L558" s="2">
        <v>2059.8555999999999</v>
      </c>
      <c r="M558" s="2">
        <v>556161</v>
      </c>
      <c r="N558" s="2">
        <v>556161</v>
      </c>
      <c r="O558" s="2">
        <v>2112.7957999999999</v>
      </c>
      <c r="P558" s="2">
        <v>52.940199999999997</v>
      </c>
      <c r="Q558" s="2">
        <v>14293.8603</v>
      </c>
      <c r="R558" s="4">
        <v>2.5056952484779009E-2</v>
      </c>
      <c r="T558">
        <v>310529</v>
      </c>
      <c r="U558" s="2"/>
      <c r="V558">
        <v>5886</v>
      </c>
      <c r="W558" s="2">
        <v>6579000000</v>
      </c>
      <c r="X558" s="6">
        <v>570454.86033000005</v>
      </c>
      <c r="Y558" s="38">
        <v>10010</v>
      </c>
      <c r="Z558" s="86">
        <f>+((DETALLE_GD_1[[#This Row],[VALOR X UN (GD)]]-DETALLE_GD_1[[#This Row],[VALOR PPTO]])/DETALLE_GD_1[[#This Row],[VALOR PPTO]])</f>
        <v>-2.5056941139318816E-2</v>
      </c>
      <c r="AA558" s="2">
        <f>+DETALLE_GD_1[[#This Row],[VALOR PPTO]]*DETALLE_GD_1[[#This Row],[CANTIDAD RECIBIDA]]</f>
        <v>570454.86599999992</v>
      </c>
      <c r="AB5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58" s="3">
        <f>+DETALLE_GD_1[[#This Row],[CANTIDAD SOLICITADA]]-DETALLE_GD_1[[#This Row],[DEVOLUCIÓN]]</f>
        <v>270</v>
      </c>
      <c r="AD558" s="38" t="str">
        <f>+_xlfn.XLOOKUP(DETALLE_GD_1[[#This Row],[CODIGO]],PRODUCTOS[CODIGO],PRODUCTOS[DESC CORTA],"",0)</f>
        <v>AISLAN GLASS 90MM</v>
      </c>
      <c r="AE558"/>
      <c r="AH558"/>
    </row>
    <row r="559" spans="1:34" x14ac:dyDescent="0.25">
      <c r="A559" s="1">
        <v>46108</v>
      </c>
      <c r="B559" s="1">
        <v>46108</v>
      </c>
      <c r="C559" s="81" t="s">
        <v>169</v>
      </c>
      <c r="D559" s="38">
        <v>3</v>
      </c>
      <c r="E559" s="81" t="s">
        <v>169</v>
      </c>
      <c r="F559">
        <v>1901086</v>
      </c>
      <c r="G559" s="81" t="s">
        <v>279</v>
      </c>
      <c r="H559" s="81" t="s">
        <v>26</v>
      </c>
      <c r="I559" s="3">
        <v>162</v>
      </c>
      <c r="J559" s="3"/>
      <c r="K559" s="26">
        <v>162</v>
      </c>
      <c r="L559" s="2">
        <v>3652.3209999999999</v>
      </c>
      <c r="M559" s="2">
        <v>591676</v>
      </c>
      <c r="N559" s="2">
        <v>591676</v>
      </c>
      <c r="O559" s="2">
        <v>3711.587</v>
      </c>
      <c r="P559" s="2">
        <v>59.266100000000002</v>
      </c>
      <c r="Q559" s="2">
        <v>9601.1005999999998</v>
      </c>
      <c r="R559" s="4">
        <v>1.5967846824282306E-2</v>
      </c>
      <c r="T559">
        <v>310529</v>
      </c>
      <c r="U559" s="2"/>
      <c r="V559">
        <v>5886</v>
      </c>
      <c r="W559" s="2">
        <v>6579000000</v>
      </c>
      <c r="X559" s="6">
        <v>601277.10064200009</v>
      </c>
      <c r="Y559" s="38">
        <v>10010</v>
      </c>
      <c r="Z559" s="86">
        <f>+((DETALLE_GD_1[[#This Row],[VALOR X UN (GD)]]-DETALLE_GD_1[[#This Row],[VALOR PPTO]])/DETALLE_GD_1[[#This Row],[VALOR PPTO]])</f>
        <v>-1.59678326279298E-2</v>
      </c>
      <c r="AA559" s="2">
        <f>+DETALLE_GD_1[[#This Row],[VALOR PPTO]]*DETALLE_GD_1[[#This Row],[CANTIDAD RECIBIDA]]</f>
        <v>601277.09400000004</v>
      </c>
      <c r="AB5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59" s="3">
        <f>+DETALLE_GD_1[[#This Row],[CANTIDAD SOLICITADA]]-DETALLE_GD_1[[#This Row],[DEVOLUCIÓN]]</f>
        <v>162</v>
      </c>
      <c r="AD559" s="38" t="str">
        <f>+_xlfn.XLOOKUP(DETALLE_GD_1[[#This Row],[CODIGO]],PRODUCTOS[CODIGO],PRODUCTOS[DESC CORTA],"",0)</f>
        <v>AISLAN GLASS 140MM</v>
      </c>
      <c r="AE559"/>
      <c r="AH559"/>
    </row>
    <row r="560" spans="1:34" x14ac:dyDescent="0.25">
      <c r="A560" s="1">
        <v>46108</v>
      </c>
      <c r="B560" s="1">
        <v>46108</v>
      </c>
      <c r="C560" s="81" t="s">
        <v>169</v>
      </c>
      <c r="D560" s="38">
        <v>3</v>
      </c>
      <c r="E560" s="81" t="s">
        <v>169</v>
      </c>
      <c r="F560">
        <v>2302119</v>
      </c>
      <c r="G560" s="81" t="s">
        <v>74</v>
      </c>
      <c r="H560" s="81" t="s">
        <v>31</v>
      </c>
      <c r="I560" s="3">
        <v>24</v>
      </c>
      <c r="J560" s="3"/>
      <c r="K560" s="26">
        <v>24</v>
      </c>
      <c r="L560" s="2">
        <v>3684.25</v>
      </c>
      <c r="M560" s="2">
        <v>88422</v>
      </c>
      <c r="N560" s="2">
        <v>88422</v>
      </c>
      <c r="O560" s="2">
        <v>3671</v>
      </c>
      <c r="P560" s="2">
        <v>-13.25</v>
      </c>
      <c r="Q560" s="2">
        <v>-318</v>
      </c>
      <c r="R560" s="4">
        <v>-3.609370743666576E-3</v>
      </c>
      <c r="T560">
        <v>310529</v>
      </c>
      <c r="U560" s="2"/>
      <c r="V560">
        <v>5886</v>
      </c>
      <c r="W560" s="2">
        <v>6579000000</v>
      </c>
      <c r="X560" s="6">
        <v>88104</v>
      </c>
      <c r="Y560" s="38">
        <v>10010</v>
      </c>
      <c r="Z560" s="86">
        <f>+((DETALLE_GD_1[[#This Row],[VALOR X UN (GD)]]-DETALLE_GD_1[[#This Row],[VALOR PPTO]])/DETALLE_GD_1[[#This Row],[VALOR PPTO]])</f>
        <v>3.609370743666576E-3</v>
      </c>
      <c r="AA560" s="2">
        <f>+DETALLE_GD_1[[#This Row],[VALOR PPTO]]*DETALLE_GD_1[[#This Row],[CANTIDAD RECIBIDA]]</f>
        <v>88104</v>
      </c>
      <c r="AB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0" s="3">
        <f>+DETALLE_GD_1[[#This Row],[CANTIDAD SOLICITADA]]-DETALLE_GD_1[[#This Row],[DEVOLUCIÓN]]</f>
        <v>24</v>
      </c>
      <c r="AD560" s="38" t="str">
        <f>+_xlfn.XLOOKUP(DETALLE_GD_1[[#This Row],[CODIGO]],PRODUCTOS[CODIGO],PRODUCTOS[DESC CORTA],"",0)</f>
        <v>SELLO</v>
      </c>
      <c r="AE560"/>
      <c r="AH560"/>
    </row>
    <row r="561" spans="1:34" x14ac:dyDescent="0.25">
      <c r="A561" s="1">
        <v>46108</v>
      </c>
      <c r="B561" s="1">
        <v>46108</v>
      </c>
      <c r="C561" s="81" t="s">
        <v>169</v>
      </c>
      <c r="D561" s="38">
        <v>3</v>
      </c>
      <c r="E561" s="81" t="s">
        <v>169</v>
      </c>
      <c r="F561">
        <v>412302</v>
      </c>
      <c r="G561" s="81" t="s">
        <v>165</v>
      </c>
      <c r="H561" s="81" t="s">
        <v>31</v>
      </c>
      <c r="I561" s="3">
        <v>16</v>
      </c>
      <c r="J561" s="3"/>
      <c r="K561" s="26">
        <v>16</v>
      </c>
      <c r="L561" s="2">
        <v>4742.4375</v>
      </c>
      <c r="M561" s="2">
        <v>75879</v>
      </c>
      <c r="N561" s="2">
        <v>75879</v>
      </c>
      <c r="O561" s="2">
        <v>4742.4587000000001</v>
      </c>
      <c r="P561" s="2">
        <v>2.12E-2</v>
      </c>
      <c r="Q561" s="2">
        <v>0.3387</v>
      </c>
      <c r="R561" s="4">
        <v>4.4632966750277403E-6</v>
      </c>
      <c r="T561">
        <v>310529</v>
      </c>
      <c r="U561" s="2"/>
      <c r="V561">
        <v>5886</v>
      </c>
      <c r="W561" s="2">
        <v>6579000000</v>
      </c>
      <c r="X561" s="6">
        <v>75879.338671999998</v>
      </c>
      <c r="Y561" s="38">
        <v>10010</v>
      </c>
      <c r="Z561" s="86">
        <f>+((DETALLE_GD_1[[#This Row],[VALOR X UN (GD)]]-DETALLE_GD_1[[#This Row],[VALOR PPTO]])/DETALLE_GD_1[[#This Row],[VALOR PPTO]])</f>
        <v>-4.4702550599197269E-6</v>
      </c>
      <c r="AA561" s="2">
        <f>+DETALLE_GD_1[[#This Row],[VALOR PPTO]]*DETALLE_GD_1[[#This Row],[CANTIDAD RECIBIDA]]</f>
        <v>75879.339200000002</v>
      </c>
      <c r="AB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1" s="3">
        <f>+DETALLE_GD_1[[#This Row],[CANTIDAD SOLICITADA]]-DETALLE_GD_1[[#This Row],[DEVOLUCIÓN]]</f>
        <v>16</v>
      </c>
      <c r="AD561" s="38">
        <f>+_xlfn.XLOOKUP(DETALLE_GD_1[[#This Row],[CODIGO]],PRODUCTOS[CODIGO],PRODUCTOS[DESC CORTA],"",0)</f>
        <v>0</v>
      </c>
      <c r="AE561"/>
      <c r="AH561"/>
    </row>
    <row r="562" spans="1:34" x14ac:dyDescent="0.25">
      <c r="A562" s="1">
        <v>46108</v>
      </c>
      <c r="B562" s="1">
        <v>46108</v>
      </c>
      <c r="C562" s="81" t="s">
        <v>169</v>
      </c>
      <c r="D562" s="38">
        <v>3</v>
      </c>
      <c r="E562" s="81" t="s">
        <v>169</v>
      </c>
      <c r="F562">
        <v>404745</v>
      </c>
      <c r="G562" s="81" t="s">
        <v>444</v>
      </c>
      <c r="H562" s="81" t="s">
        <v>31</v>
      </c>
      <c r="I562" s="3">
        <v>10</v>
      </c>
      <c r="J562" s="3"/>
      <c r="K562" s="26">
        <v>10</v>
      </c>
      <c r="L562" s="2">
        <v>8826</v>
      </c>
      <c r="M562" s="2">
        <v>88260</v>
      </c>
      <c r="N562" s="2">
        <v>88260</v>
      </c>
      <c r="O562" s="2"/>
      <c r="P562" s="2"/>
      <c r="Q562" s="2">
        <v>-88260</v>
      </c>
      <c r="R562" s="4"/>
      <c r="T562">
        <v>310529</v>
      </c>
      <c r="U562" s="2"/>
      <c r="V562">
        <v>5886</v>
      </c>
      <c r="W562" s="2">
        <v>6579000000</v>
      </c>
      <c r="X562" s="6" t="s">
        <v>355</v>
      </c>
      <c r="Y562" s="38">
        <v>10010</v>
      </c>
      <c r="Z562" s="86" t="e">
        <f>+((DETALLE_GD_1[[#This Row],[VALOR X UN (GD)]]-DETALLE_GD_1[[#This Row],[VALOR PPTO]])/DETALLE_GD_1[[#This Row],[VALOR PPTO]])</f>
        <v>#DIV/0!</v>
      </c>
      <c r="AA562" s="2">
        <f>+DETALLE_GD_1[[#This Row],[VALOR PPTO]]*DETALLE_GD_1[[#This Row],[CANTIDAD RECIBIDA]]</f>
        <v>0</v>
      </c>
      <c r="AB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2" s="3">
        <f>+DETALLE_GD_1[[#This Row],[CANTIDAD SOLICITADA]]-DETALLE_GD_1[[#This Row],[DEVOLUCIÓN]]</f>
        <v>10</v>
      </c>
      <c r="AD562" s="38" t="str">
        <f>+_xlfn.XLOOKUP(DETALLE_GD_1[[#This Row],[CODIGO]],PRODUCTOS[CODIGO],PRODUCTOS[DESC CORTA],"",0)</f>
        <v/>
      </c>
      <c r="AE562"/>
      <c r="AH562"/>
    </row>
    <row r="563" spans="1:34" x14ac:dyDescent="0.25">
      <c r="A563" s="1">
        <v>46108</v>
      </c>
      <c r="B563" s="1">
        <v>46108</v>
      </c>
      <c r="C563" s="81" t="s">
        <v>169</v>
      </c>
      <c r="D563" s="38">
        <v>3</v>
      </c>
      <c r="E563" s="81" t="s">
        <v>169</v>
      </c>
      <c r="F563">
        <v>412313</v>
      </c>
      <c r="G563" s="81" t="s">
        <v>253</v>
      </c>
      <c r="H563" s="81" t="s">
        <v>36</v>
      </c>
      <c r="I563" s="3">
        <v>2</v>
      </c>
      <c r="J563" s="3"/>
      <c r="K563" s="26">
        <v>2</v>
      </c>
      <c r="L563" s="2">
        <v>23724</v>
      </c>
      <c r="M563" s="2">
        <v>47448</v>
      </c>
      <c r="N563" s="2">
        <v>47448</v>
      </c>
      <c r="O563" s="2">
        <v>23724.0674</v>
      </c>
      <c r="P563" s="2">
        <v>6.7400000000000002E-2</v>
      </c>
      <c r="Q563" s="2">
        <v>0.1348</v>
      </c>
      <c r="R563" s="4">
        <v>2.8403645506871342E-6</v>
      </c>
      <c r="T563">
        <v>310529</v>
      </c>
      <c r="U563" s="2"/>
      <c r="V563">
        <v>5886</v>
      </c>
      <c r="W563" s="2">
        <v>6579000000</v>
      </c>
      <c r="X563" s="6">
        <v>47448.134769999997</v>
      </c>
      <c r="Y563" s="38">
        <v>10010</v>
      </c>
      <c r="Z563" s="86">
        <f>+((DETALLE_GD_1[[#This Row],[VALOR X UN (GD)]]-DETALLE_GD_1[[#This Row],[VALOR PPTO]])/DETALLE_GD_1[[#This Row],[VALOR PPTO]])</f>
        <v>-2.8409968182735337E-6</v>
      </c>
      <c r="AA563" s="2">
        <f>+DETALLE_GD_1[[#This Row],[VALOR PPTO]]*DETALLE_GD_1[[#This Row],[CANTIDAD RECIBIDA]]</f>
        <v>47448.1348</v>
      </c>
      <c r="AB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3" s="3">
        <f>+DETALLE_GD_1[[#This Row],[CANTIDAD SOLICITADA]]-DETALLE_GD_1[[#This Row],[DEVOLUCIÓN]]</f>
        <v>2</v>
      </c>
      <c r="AD563" s="38">
        <f>+_xlfn.XLOOKUP(DETALLE_GD_1[[#This Row],[CODIGO]],PRODUCTOS[CODIGO],PRODUCTOS[DESC CORTA],"",0)</f>
        <v>0</v>
      </c>
      <c r="AE563"/>
      <c r="AH563"/>
    </row>
    <row r="564" spans="1:34" x14ac:dyDescent="0.25">
      <c r="A564" s="1">
        <v>46108</v>
      </c>
      <c r="B564" s="1">
        <v>46108</v>
      </c>
      <c r="C564" s="81" t="s">
        <v>169</v>
      </c>
      <c r="D564" s="38">
        <v>3</v>
      </c>
      <c r="E564" s="81" t="s">
        <v>169</v>
      </c>
      <c r="F564">
        <v>407185</v>
      </c>
      <c r="G564" s="81" t="s">
        <v>43</v>
      </c>
      <c r="H564" s="81" t="s">
        <v>31</v>
      </c>
      <c r="I564" s="3">
        <v>4000</v>
      </c>
      <c r="J564" s="3"/>
      <c r="K564" s="26">
        <v>4000</v>
      </c>
      <c r="L564" s="2">
        <v>6.8783000000000003</v>
      </c>
      <c r="M564" s="2">
        <v>27513</v>
      </c>
      <c r="N564" s="2">
        <v>27513</v>
      </c>
      <c r="O564" s="2">
        <v>6.8783000000000003</v>
      </c>
      <c r="P564" s="2">
        <v>1E-4</v>
      </c>
      <c r="Q564" s="2">
        <v>0.28000000000000003</v>
      </c>
      <c r="R564" s="4">
        <v>1.0176903662524352E-5</v>
      </c>
      <c r="T564">
        <v>310529</v>
      </c>
      <c r="U564" s="2"/>
      <c r="V564">
        <v>5886</v>
      </c>
      <c r="W564" s="2">
        <v>6579000000</v>
      </c>
      <c r="X564" s="6">
        <v>27513.279999999999</v>
      </c>
      <c r="Y564" s="38">
        <v>10010</v>
      </c>
      <c r="Z564" s="86">
        <f>+((DETALLE_GD_1[[#This Row],[VALOR X UN (GD)]]-DETALLE_GD_1[[#This Row],[VALOR PPTO]])/DETALLE_GD_1[[#This Row],[VALOR PPTO]])</f>
        <v>0</v>
      </c>
      <c r="AA564" s="2">
        <f>+DETALLE_GD_1[[#This Row],[VALOR PPTO]]*DETALLE_GD_1[[#This Row],[CANTIDAD RECIBIDA]]</f>
        <v>27513.200000000001</v>
      </c>
      <c r="AB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4" s="3">
        <f>+DETALLE_GD_1[[#This Row],[CANTIDAD SOLICITADA]]-DETALLE_GD_1[[#This Row],[DEVOLUCIÓN]]</f>
        <v>4000</v>
      </c>
      <c r="AD564" s="38">
        <f>+_xlfn.XLOOKUP(DETALLE_GD_1[[#This Row],[CODIGO]],PRODUCTOS[CODIGO],PRODUCTOS[DESC CORTA],"",0)</f>
        <v>0</v>
      </c>
      <c r="AE564"/>
      <c r="AH564"/>
    </row>
    <row r="565" spans="1:34" x14ac:dyDescent="0.25">
      <c r="A565" s="1">
        <v>46108</v>
      </c>
      <c r="B565" s="1">
        <v>46108</v>
      </c>
      <c r="C565" s="81" t="s">
        <v>169</v>
      </c>
      <c r="D565" s="38">
        <v>3</v>
      </c>
      <c r="E565" s="81" t="s">
        <v>169</v>
      </c>
      <c r="F565">
        <v>412280</v>
      </c>
      <c r="G565" s="81" t="s">
        <v>40</v>
      </c>
      <c r="H565" s="81" t="s">
        <v>31</v>
      </c>
      <c r="I565" s="3">
        <v>60</v>
      </c>
      <c r="J565" s="3"/>
      <c r="K565" s="26">
        <v>60</v>
      </c>
      <c r="L565" s="2">
        <v>39389.85</v>
      </c>
      <c r="M565" s="2">
        <v>2363391</v>
      </c>
      <c r="N565" s="2">
        <v>2363391</v>
      </c>
      <c r="O565" s="2">
        <v>40002.920100000003</v>
      </c>
      <c r="P565" s="2">
        <v>613.07010000000002</v>
      </c>
      <c r="Q565" s="2">
        <v>36784.205600000001</v>
      </c>
      <c r="R565" s="4">
        <v>1.5325633518121133E-2</v>
      </c>
      <c r="T565">
        <v>310529</v>
      </c>
      <c r="U565" s="2"/>
      <c r="V565">
        <v>5886</v>
      </c>
      <c r="W565" s="2">
        <v>6579000000</v>
      </c>
      <c r="X565" s="6">
        <v>2400175.2055799998</v>
      </c>
      <c r="Y565" s="38">
        <v>10010</v>
      </c>
      <c r="Z565" s="86">
        <f>+((DETALLE_GD_1[[#This Row],[VALOR X UN (GD)]]-DETALLE_GD_1[[#This Row],[VALOR PPTO]])/DETALLE_GD_1[[#This Row],[VALOR PPTO]])</f>
        <v>-1.5325633690426626E-2</v>
      </c>
      <c r="AA565" s="2">
        <f>+DETALLE_GD_1[[#This Row],[VALOR PPTO]]*DETALLE_GD_1[[#This Row],[CANTIDAD RECIBIDA]]</f>
        <v>2400175.2060000002</v>
      </c>
      <c r="AB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65" s="3">
        <f>+DETALLE_GD_1[[#This Row],[CANTIDAD SOLICITADA]]-DETALLE_GD_1[[#This Row],[DEVOLUCIÓN]]</f>
        <v>60</v>
      </c>
      <c r="AD565" s="38" t="str">
        <f>+_xlfn.XLOOKUP(DETALLE_GD_1[[#This Row],[CODIGO]],PRODUCTOS[CODIGO],PRODUCTOS[DESC CORTA],"",0)</f>
        <v>PB2</v>
      </c>
      <c r="AE565"/>
      <c r="AH565"/>
    </row>
    <row r="566" spans="1:34" x14ac:dyDescent="0.25">
      <c r="A566" s="1">
        <v>46108</v>
      </c>
      <c r="B566" s="1">
        <v>46108</v>
      </c>
      <c r="C566" s="81" t="s">
        <v>169</v>
      </c>
      <c r="D566" s="38">
        <v>3</v>
      </c>
      <c r="E566" s="81" t="s">
        <v>169</v>
      </c>
      <c r="F566">
        <v>412260</v>
      </c>
      <c r="G566" s="81" t="s">
        <v>41</v>
      </c>
      <c r="H566" s="81" t="s">
        <v>31</v>
      </c>
      <c r="I566" s="3">
        <v>60</v>
      </c>
      <c r="J566" s="3"/>
      <c r="K566" s="26">
        <v>60</v>
      </c>
      <c r="L566" s="2">
        <v>86746.9</v>
      </c>
      <c r="M566" s="2">
        <v>5204814</v>
      </c>
      <c r="N566" s="2">
        <v>5204814</v>
      </c>
      <c r="O566" s="2">
        <v>87567.442500000005</v>
      </c>
      <c r="P566" s="2">
        <v>820.54250000000002</v>
      </c>
      <c r="Q566" s="2">
        <v>49232.548699999999</v>
      </c>
      <c r="R566" s="4">
        <v>9.3704058812284895E-3</v>
      </c>
      <c r="T566">
        <v>310529</v>
      </c>
      <c r="U566" s="2"/>
      <c r="V566">
        <v>5886</v>
      </c>
      <c r="W566" s="2">
        <v>6579000000</v>
      </c>
      <c r="X566" s="6">
        <v>5254046.5486799991</v>
      </c>
      <c r="Y566" s="38">
        <v>10010</v>
      </c>
      <c r="Z566" s="86">
        <f>+((DETALLE_GD_1[[#This Row],[VALOR X UN (GD)]]-DETALLE_GD_1[[#This Row],[VALOR PPTO]])/DETALLE_GD_1[[#This Row],[VALOR PPTO]])</f>
        <v>-9.3704061301094922E-3</v>
      </c>
      <c r="AA566" s="2">
        <f>+DETALLE_GD_1[[#This Row],[VALOR PPTO]]*DETALLE_GD_1[[#This Row],[CANTIDAD RECIBIDA]]</f>
        <v>5254046.5500000007</v>
      </c>
      <c r="AB5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66" s="3">
        <f>+DETALLE_GD_1[[#This Row],[CANTIDAD SOLICITADA]]-DETALLE_GD_1[[#This Row],[DEVOLUCIÓN]]</f>
        <v>60</v>
      </c>
      <c r="AD566" s="38" t="str">
        <f>+_xlfn.XLOOKUP(DETALLE_GD_1[[#This Row],[CODIGO]],PRODUCTOS[CODIGO],PRODUCTOS[DESC CORTA],"",0)</f>
        <v>PB1</v>
      </c>
      <c r="AE566"/>
      <c r="AH566"/>
    </row>
    <row r="567" spans="1:34" x14ac:dyDescent="0.25">
      <c r="A567" s="1">
        <v>46108</v>
      </c>
      <c r="B567" s="1">
        <v>46108</v>
      </c>
      <c r="C567" s="81" t="s">
        <v>169</v>
      </c>
      <c r="D567" s="38">
        <v>3</v>
      </c>
      <c r="E567" s="81" t="s">
        <v>169</v>
      </c>
      <c r="F567">
        <v>304049</v>
      </c>
      <c r="G567" s="81" t="s">
        <v>318</v>
      </c>
      <c r="H567" s="81" t="s">
        <v>18</v>
      </c>
      <c r="I567" s="3">
        <v>65</v>
      </c>
      <c r="J567" s="3"/>
      <c r="K567" s="26">
        <v>65</v>
      </c>
      <c r="L567" s="2">
        <v>14981.230799999999</v>
      </c>
      <c r="M567" s="2">
        <v>973780</v>
      </c>
      <c r="N567" s="2">
        <v>973780</v>
      </c>
      <c r="O567" s="2">
        <v>14982</v>
      </c>
      <c r="P567" s="2">
        <v>0.76919999999999999</v>
      </c>
      <c r="Q567" s="2">
        <v>50</v>
      </c>
      <c r="R567" s="4">
        <v>5.1343663677961139E-5</v>
      </c>
      <c r="T567">
        <v>310533</v>
      </c>
      <c r="U567" s="2">
        <v>973780</v>
      </c>
      <c r="V567">
        <v>5886</v>
      </c>
      <c r="W567" s="2">
        <v>6579000000</v>
      </c>
      <c r="X567" s="6">
        <v>973829.99999999953</v>
      </c>
      <c r="Y567" s="38">
        <v>10010</v>
      </c>
      <c r="Z567" s="86">
        <f>+((DETALLE_GD_1[[#This Row],[VALOR X UN (GD)]]-DETALLE_GD_1[[#This Row],[VALOR PPTO]])/DETALLE_GD_1[[#This Row],[VALOR PPTO]])</f>
        <v>-5.1341609931960842E-5</v>
      </c>
      <c r="AA567" s="2">
        <f>+DETALLE_GD_1[[#This Row],[VALOR PPTO]]*DETALLE_GD_1[[#This Row],[CANTIDAD RECIBIDA]]</f>
        <v>973830</v>
      </c>
      <c r="AB5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67" s="3">
        <f>+DETALLE_GD_1[[#This Row],[CANTIDAD SOLICITADA]]-DETALLE_GD_1[[#This Row],[DEVOLUCIÓN]]</f>
        <v>65</v>
      </c>
      <c r="AD567" s="38" t="str">
        <f>+_xlfn.XLOOKUP(DETALLE_GD_1[[#This Row],[CODIGO]],PRODUCTOS[CODIGO],PRODUCTOS[DESC CORTA],"",0)</f>
        <v>TERCIADO FENOLICO</v>
      </c>
      <c r="AE567"/>
      <c r="AH567"/>
    </row>
    <row r="568" spans="1:34" x14ac:dyDescent="0.25">
      <c r="A568" s="1">
        <v>46108</v>
      </c>
      <c r="B568" s="1">
        <v>46108</v>
      </c>
      <c r="C568" s="81" t="s">
        <v>169</v>
      </c>
      <c r="D568" s="38">
        <v>3</v>
      </c>
      <c r="E568" s="81" t="s">
        <v>169</v>
      </c>
      <c r="F568">
        <v>412630</v>
      </c>
      <c r="G568" s="81" t="s">
        <v>284</v>
      </c>
      <c r="H568" s="81" t="s">
        <v>31</v>
      </c>
      <c r="I568" s="3">
        <v>6</v>
      </c>
      <c r="J568" s="3"/>
      <c r="K568" s="26">
        <v>6</v>
      </c>
      <c r="L568" s="2">
        <v>150300</v>
      </c>
      <c r="M568" s="2">
        <v>901800</v>
      </c>
      <c r="N568" s="2">
        <v>901800</v>
      </c>
      <c r="O568" s="2">
        <v>148200</v>
      </c>
      <c r="P568" s="2">
        <v>-2100</v>
      </c>
      <c r="Q568" s="2">
        <v>-12600</v>
      </c>
      <c r="R568" s="4">
        <v>-1.417004048582996E-2</v>
      </c>
      <c r="T568">
        <v>310542</v>
      </c>
      <c r="U568" s="2">
        <v>959579</v>
      </c>
      <c r="V568">
        <v>5886</v>
      </c>
      <c r="W568" s="2">
        <v>6579000000</v>
      </c>
      <c r="X568" s="6">
        <v>889200</v>
      </c>
      <c r="Y568" s="38">
        <v>10010</v>
      </c>
      <c r="Z568" s="86">
        <f>+((DETALLE_GD_1[[#This Row],[VALOR X UN (GD)]]-DETALLE_GD_1[[#This Row],[VALOR PPTO]])/DETALLE_GD_1[[#This Row],[VALOR PPTO]])</f>
        <v>1.417004048582996E-2</v>
      </c>
      <c r="AA568" s="2">
        <f>+DETALLE_GD_1[[#This Row],[VALOR PPTO]]*DETALLE_GD_1[[#This Row],[CANTIDAD RECIBIDA]]</f>
        <v>889200</v>
      </c>
      <c r="AB5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8" s="3">
        <f>+DETALLE_GD_1[[#This Row],[CANTIDAD SOLICITADA]]-DETALLE_GD_1[[#This Row],[DEVOLUCIÓN]]</f>
        <v>6</v>
      </c>
      <c r="AD568" s="38">
        <f>+_xlfn.XLOOKUP(DETALLE_GD_1[[#This Row],[CODIGO]],PRODUCTOS[CODIGO],PRODUCTOS[DESC CORTA],"",0)</f>
        <v>0</v>
      </c>
      <c r="AE568"/>
      <c r="AH568"/>
    </row>
    <row r="569" spans="1:34" x14ac:dyDescent="0.25">
      <c r="A569" s="1">
        <v>46108</v>
      </c>
      <c r="B569" s="1">
        <v>46108</v>
      </c>
      <c r="C569" s="81" t="s">
        <v>169</v>
      </c>
      <c r="D569" s="38">
        <v>3</v>
      </c>
      <c r="E569" s="81" t="s">
        <v>169</v>
      </c>
      <c r="F569">
        <v>608013</v>
      </c>
      <c r="G569" s="81" t="s">
        <v>328</v>
      </c>
      <c r="H569" s="81" t="s">
        <v>31</v>
      </c>
      <c r="I569" s="3">
        <v>3</v>
      </c>
      <c r="J569" s="3"/>
      <c r="K569" s="26">
        <v>3</v>
      </c>
      <c r="L569" s="2">
        <v>8471.6666999999998</v>
      </c>
      <c r="M569" s="2">
        <v>25415</v>
      </c>
      <c r="N569" s="2">
        <v>25415</v>
      </c>
      <c r="O569" s="2">
        <v>8471</v>
      </c>
      <c r="P569" s="2">
        <v>-0.66669999999999996</v>
      </c>
      <c r="Q569" s="2">
        <v>-2</v>
      </c>
      <c r="R569" s="4">
        <v>-7.8699878015117493E-5</v>
      </c>
      <c r="T569">
        <v>310542</v>
      </c>
      <c r="U569" s="2"/>
      <c r="V569">
        <v>5886</v>
      </c>
      <c r="W569" s="2">
        <v>6579000000</v>
      </c>
      <c r="X569" s="6">
        <v>25413</v>
      </c>
      <c r="Y569" s="38">
        <v>10010</v>
      </c>
      <c r="Z569" s="86">
        <f>+((DETALLE_GD_1[[#This Row],[VALOR X UN (GD)]]-DETALLE_GD_1[[#This Row],[VALOR PPTO]])/DETALLE_GD_1[[#This Row],[VALOR PPTO]])</f>
        <v>7.8703813009062005E-5</v>
      </c>
      <c r="AA569" s="2">
        <f>+DETALLE_GD_1[[#This Row],[VALOR PPTO]]*DETALLE_GD_1[[#This Row],[CANTIDAD RECIBIDA]]</f>
        <v>25413</v>
      </c>
      <c r="AB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9" s="3">
        <f>+DETALLE_GD_1[[#This Row],[CANTIDAD SOLICITADA]]-DETALLE_GD_1[[#This Row],[DEVOLUCIÓN]]</f>
        <v>3</v>
      </c>
      <c r="AD569" s="38" t="str">
        <f>+_xlfn.XLOOKUP(DETALLE_GD_1[[#This Row],[CODIGO]],PRODUCTOS[CODIGO],PRODUCTOS[DESC CORTA],"",0)</f>
        <v>PASTA RETAPE</v>
      </c>
      <c r="AE569"/>
      <c r="AH569"/>
    </row>
    <row r="570" spans="1:34" x14ac:dyDescent="0.25">
      <c r="A570" s="1">
        <v>46108</v>
      </c>
      <c r="B570" s="1">
        <v>46108</v>
      </c>
      <c r="C570" s="81" t="s">
        <v>169</v>
      </c>
      <c r="D570" s="38">
        <v>3</v>
      </c>
      <c r="E570" s="81" t="s">
        <v>169</v>
      </c>
      <c r="F570">
        <v>408014</v>
      </c>
      <c r="G570" s="81" t="s">
        <v>108</v>
      </c>
      <c r="H570" s="81" t="s">
        <v>36</v>
      </c>
      <c r="I570" s="3">
        <v>2</v>
      </c>
      <c r="J570" s="3"/>
      <c r="K570" s="26">
        <v>2</v>
      </c>
      <c r="L570" s="2">
        <v>16182</v>
      </c>
      <c r="M570" s="2">
        <v>32364</v>
      </c>
      <c r="N570" s="2">
        <v>32364</v>
      </c>
      <c r="O570" s="2">
        <v>16182.1068</v>
      </c>
      <c r="P570" s="2">
        <v>0.10680000000000001</v>
      </c>
      <c r="Q570" s="2">
        <v>0.2135</v>
      </c>
      <c r="R570" s="4">
        <v>6.5975340279806539E-6</v>
      </c>
      <c r="T570">
        <v>310542</v>
      </c>
      <c r="U570" s="2"/>
      <c r="V570">
        <v>5886</v>
      </c>
      <c r="W570" s="2">
        <v>6579000000</v>
      </c>
      <c r="X570" s="6">
        <v>32364.213524000013</v>
      </c>
      <c r="Y570" s="38">
        <v>10010</v>
      </c>
      <c r="Z570" s="86">
        <f>+((DETALLE_GD_1[[#This Row],[VALOR X UN (GD)]]-DETALLE_GD_1[[#This Row],[VALOR PPTO]])/DETALLE_GD_1[[#This Row],[VALOR PPTO]])</f>
        <v>-6.5998822847693946E-6</v>
      </c>
      <c r="AA570" s="2">
        <f>+DETALLE_GD_1[[#This Row],[VALOR PPTO]]*DETALLE_GD_1[[#This Row],[CANTIDAD RECIBIDA]]</f>
        <v>32364.213599999999</v>
      </c>
      <c r="AB5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0" s="3">
        <f>+DETALLE_GD_1[[#This Row],[CANTIDAD SOLICITADA]]-DETALLE_GD_1[[#This Row],[DEVOLUCIÓN]]</f>
        <v>2</v>
      </c>
      <c r="AD570" s="38" t="str">
        <f>+_xlfn.XLOOKUP(DETALLE_GD_1[[#This Row],[CODIGO]],PRODUCTOS[CODIGO],PRODUCTOS[DESC CORTA],"",0)</f>
        <v>GRAPA T40</v>
      </c>
      <c r="AE570"/>
      <c r="AH570"/>
    </row>
    <row r="571" spans="1:34" x14ac:dyDescent="0.25">
      <c r="A571" s="1">
        <v>46108</v>
      </c>
      <c r="B571" s="1">
        <v>46108</v>
      </c>
      <c r="C571" s="81" t="s">
        <v>169</v>
      </c>
      <c r="D571" s="38">
        <v>3</v>
      </c>
      <c r="E571" s="81" t="s">
        <v>169</v>
      </c>
      <c r="F571">
        <v>408042</v>
      </c>
      <c r="G571" s="81" t="s">
        <v>144</v>
      </c>
      <c r="H571" s="81" t="s">
        <v>36</v>
      </c>
      <c r="I571" s="3">
        <v>10</v>
      </c>
      <c r="J571" s="3"/>
      <c r="K571" s="26">
        <v>10</v>
      </c>
      <c r="L571" s="2">
        <v>35000</v>
      </c>
      <c r="M571" s="2">
        <v>350000</v>
      </c>
      <c r="N571" s="2">
        <v>350000</v>
      </c>
      <c r="O571" s="2">
        <v>35000</v>
      </c>
      <c r="P571" s="2">
        <v>0</v>
      </c>
      <c r="Q571" s="2">
        <v>0</v>
      </c>
      <c r="R571" s="4">
        <v>8.3153801304950006E-16</v>
      </c>
      <c r="T571">
        <v>310545</v>
      </c>
      <c r="U571" s="2">
        <v>350000</v>
      </c>
      <c r="V571">
        <v>5886</v>
      </c>
      <c r="W571" s="2">
        <v>6579000000</v>
      </c>
      <c r="X571" s="6">
        <v>350000.00000000029</v>
      </c>
      <c r="Y571" s="38">
        <v>10010</v>
      </c>
      <c r="Z571" s="86">
        <f>+((DETALLE_GD_1[[#This Row],[VALOR X UN (GD)]]-DETALLE_GD_1[[#This Row],[VALOR PPTO]])/DETALLE_GD_1[[#This Row],[VALOR PPTO]])</f>
        <v>0</v>
      </c>
      <c r="AA571" s="2">
        <f>+DETALLE_GD_1[[#This Row],[VALOR PPTO]]*DETALLE_GD_1[[#This Row],[CANTIDAD RECIBIDA]]</f>
        <v>350000</v>
      </c>
      <c r="AB5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1" s="3">
        <f>+DETALLE_GD_1[[#This Row],[CANTIDAD SOLICITADA]]-DETALLE_GD_1[[#This Row],[DEVOLUCIÓN]]</f>
        <v>10</v>
      </c>
      <c r="AD571" s="38" t="str">
        <f>+_xlfn.XLOOKUP(DETALLE_GD_1[[#This Row],[CODIGO]],PRODUCTOS[CODIGO],PRODUCTOS[DESC CORTA],"",0)</f>
        <v>CLAVO HELICOIDAL PROFIX</v>
      </c>
      <c r="AE571"/>
      <c r="AH571"/>
    </row>
    <row r="572" spans="1:34" x14ac:dyDescent="0.25">
      <c r="A572" s="1">
        <v>46108</v>
      </c>
      <c r="B572" s="1">
        <v>46108</v>
      </c>
      <c r="C572" s="81" t="s">
        <v>169</v>
      </c>
      <c r="D572" s="38">
        <v>3</v>
      </c>
      <c r="E572" s="81" t="s">
        <v>169</v>
      </c>
      <c r="F572">
        <v>408017</v>
      </c>
      <c r="G572" s="81" t="s">
        <v>445</v>
      </c>
      <c r="H572" s="81" t="s">
        <v>36</v>
      </c>
      <c r="I572" s="3">
        <v>2</v>
      </c>
      <c r="J572" s="3"/>
      <c r="K572" s="26">
        <v>2</v>
      </c>
      <c r="L572" s="2">
        <v>17300</v>
      </c>
      <c r="M572" s="2">
        <v>34600</v>
      </c>
      <c r="N572" s="2">
        <v>34600</v>
      </c>
      <c r="O572" s="2"/>
      <c r="P572" s="2"/>
      <c r="Q572" s="2">
        <v>-34600</v>
      </c>
      <c r="R572" s="4"/>
      <c r="T572">
        <v>310596</v>
      </c>
      <c r="U572" s="2">
        <v>34600</v>
      </c>
      <c r="V572">
        <v>5886</v>
      </c>
      <c r="W572" s="2">
        <v>6579000000</v>
      </c>
      <c r="X572" s="6" t="s">
        <v>355</v>
      </c>
      <c r="Y572" s="38">
        <v>10010</v>
      </c>
      <c r="Z572" s="86" t="e">
        <f>+((DETALLE_GD_1[[#This Row],[VALOR X UN (GD)]]-DETALLE_GD_1[[#This Row],[VALOR PPTO]])/DETALLE_GD_1[[#This Row],[VALOR PPTO]])</f>
        <v>#DIV/0!</v>
      </c>
      <c r="AA572" s="2">
        <f>+DETALLE_GD_1[[#This Row],[VALOR PPTO]]*DETALLE_GD_1[[#This Row],[CANTIDAD RECIBIDA]]</f>
        <v>0</v>
      </c>
      <c r="AB5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2" s="3">
        <f>+DETALLE_GD_1[[#This Row],[CANTIDAD SOLICITADA]]-DETALLE_GD_1[[#This Row],[DEVOLUCIÓN]]</f>
        <v>2</v>
      </c>
      <c r="AD572" s="38" t="str">
        <f>+_xlfn.XLOOKUP(DETALLE_GD_1[[#This Row],[CODIGO]],PRODUCTOS[CODIGO],PRODUCTOS[DESC CORTA],"",0)</f>
        <v/>
      </c>
      <c r="AE572"/>
      <c r="AH572"/>
    </row>
    <row r="573" spans="1:34" x14ac:dyDescent="0.25">
      <c r="A573" s="1">
        <v>46111</v>
      </c>
      <c r="B573" s="1">
        <v>46111</v>
      </c>
      <c r="C573" s="81" t="s">
        <v>169</v>
      </c>
      <c r="D573" s="38">
        <v>3</v>
      </c>
      <c r="E573" s="81" t="s">
        <v>169</v>
      </c>
      <c r="F573">
        <v>701096</v>
      </c>
      <c r="G573" s="81" t="s">
        <v>204</v>
      </c>
      <c r="H573" s="81" t="s">
        <v>18</v>
      </c>
      <c r="I573" s="3">
        <v>210</v>
      </c>
      <c r="J573" s="3"/>
      <c r="K573" s="26">
        <v>210</v>
      </c>
      <c r="L573" s="2">
        <v>16648.7762</v>
      </c>
      <c r="M573" s="2">
        <v>3496243</v>
      </c>
      <c r="N573" s="2">
        <v>3496243</v>
      </c>
      <c r="O573" s="2">
        <v>16019.885700000001</v>
      </c>
      <c r="P573" s="2">
        <v>-628.89049999999997</v>
      </c>
      <c r="Q573" s="2">
        <v>-132067.0061</v>
      </c>
      <c r="R573" s="4">
        <v>-3.9256865987816643E-2</v>
      </c>
      <c r="T573">
        <v>310726</v>
      </c>
      <c r="U573" s="2">
        <v>9934725</v>
      </c>
      <c r="V573">
        <v>5886</v>
      </c>
      <c r="W573" s="2">
        <v>6579000000</v>
      </c>
      <c r="X573" s="6">
        <v>3364175.9938500007</v>
      </c>
      <c r="Y573" s="38">
        <v>10010</v>
      </c>
      <c r="Z573" s="86">
        <f>+((DETALLE_GD_1[[#This Row],[VALOR X UN (GD)]]-DETALLE_GD_1[[#This Row],[VALOR PPTO]])/DETALLE_GD_1[[#This Row],[VALOR PPTO]])</f>
        <v>3.9256865609222133E-2</v>
      </c>
      <c r="AA573" s="2">
        <f>+DETALLE_GD_1[[#This Row],[VALOR PPTO]]*DETALLE_GD_1[[#This Row],[CANTIDAD RECIBIDA]]</f>
        <v>3364175.997</v>
      </c>
      <c r="AB5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73" s="3">
        <f>+DETALLE_GD_1[[#This Row],[CANTIDAD SOLICITADA]]-DETALLE_GD_1[[#This Row],[DEVOLUCIÓN]]</f>
        <v>210</v>
      </c>
      <c r="AD573" s="38" t="str">
        <f>+_xlfn.XLOOKUP(DETALLE_GD_1[[#This Row],[CODIGO]],PRODUCTOS[CODIGO],PRODUCTOS[DESC CORTA],"",0)</f>
        <v>VOCANITA EMPAPELADA MURO</v>
      </c>
      <c r="AE573"/>
      <c r="AH573"/>
    </row>
    <row r="574" spans="1:34" x14ac:dyDescent="0.25">
      <c r="A574" s="1">
        <v>46111</v>
      </c>
      <c r="B574" s="1">
        <v>46111</v>
      </c>
      <c r="C574" s="81" t="s">
        <v>169</v>
      </c>
      <c r="D574" s="38">
        <v>3</v>
      </c>
      <c r="E574" s="81" t="s">
        <v>169</v>
      </c>
      <c r="F574">
        <v>302046</v>
      </c>
      <c r="G574" s="81" t="s">
        <v>115</v>
      </c>
      <c r="H574" s="81" t="s">
        <v>20</v>
      </c>
      <c r="I574" s="3">
        <v>168</v>
      </c>
      <c r="J574" s="3"/>
      <c r="K574" s="26">
        <v>168</v>
      </c>
      <c r="L574" s="2">
        <v>10122.2798</v>
      </c>
      <c r="M574" s="2">
        <v>1700543</v>
      </c>
      <c r="N574" s="2">
        <v>1700543</v>
      </c>
      <c r="O574" s="2">
        <v>10156.5985</v>
      </c>
      <c r="P574" s="2">
        <v>34.3187</v>
      </c>
      <c r="Q574" s="2">
        <v>5765.5424999999996</v>
      </c>
      <c r="R574" s="4">
        <v>3.3789565676683696E-3</v>
      </c>
      <c r="T574">
        <v>310726</v>
      </c>
      <c r="U574" s="2"/>
      <c r="V574">
        <v>5886</v>
      </c>
      <c r="W574" s="2">
        <v>6579000000</v>
      </c>
      <c r="X574" s="6">
        <v>1706308.5424560003</v>
      </c>
      <c r="Y574" s="38">
        <v>10010</v>
      </c>
      <c r="Z574" s="86">
        <f>+((DETALLE_GD_1[[#This Row],[VALOR X UN (GD)]]-DETALLE_GD_1[[#This Row],[VALOR PPTO]])/DETALLE_GD_1[[#This Row],[VALOR PPTO]])</f>
        <v>-3.3789560550217482E-3</v>
      </c>
      <c r="AA574" s="2">
        <f>+DETALLE_GD_1[[#This Row],[VALOR PPTO]]*DETALLE_GD_1[[#This Row],[CANTIDAD RECIBIDA]]</f>
        <v>1706308.548</v>
      </c>
      <c r="AB5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74" s="3">
        <f>+DETALLE_GD_1[[#This Row],[CANTIDAD SOLICITADA]]-DETALLE_GD_1[[#This Row],[DEVOLUCIÓN]]</f>
        <v>168</v>
      </c>
      <c r="AD574" s="38" t="str">
        <f>+_xlfn.XLOOKUP(DETALLE_GD_1[[#This Row],[CODIGO]],PRODUCTOS[CODIGO],PRODUCTOS[DESC CORTA],"",0)</f>
        <v>PINO 2X6X400</v>
      </c>
      <c r="AE574"/>
      <c r="AH574"/>
    </row>
    <row r="575" spans="1:34" x14ac:dyDescent="0.25">
      <c r="A575" s="1">
        <v>46111</v>
      </c>
      <c r="B575" s="1">
        <v>46111</v>
      </c>
      <c r="C575" s="81" t="s">
        <v>169</v>
      </c>
      <c r="D575" s="38">
        <v>3</v>
      </c>
      <c r="E575" s="81" t="s">
        <v>169</v>
      </c>
      <c r="F575">
        <v>1902013</v>
      </c>
      <c r="G575" s="81" t="s">
        <v>338</v>
      </c>
      <c r="H575" s="81" t="s">
        <v>47</v>
      </c>
      <c r="I575" s="3">
        <v>15</v>
      </c>
      <c r="J575" s="3"/>
      <c r="K575" s="26">
        <v>15</v>
      </c>
      <c r="L575" s="2">
        <v>39090</v>
      </c>
      <c r="M575" s="2">
        <v>586350</v>
      </c>
      <c r="N575" s="2">
        <v>586350</v>
      </c>
      <c r="O575" s="2">
        <v>29779</v>
      </c>
      <c r="P575" s="2">
        <v>-9311</v>
      </c>
      <c r="Q575" s="2">
        <v>-139665</v>
      </c>
      <c r="R575" s="4">
        <v>-0.31267000235064979</v>
      </c>
      <c r="T575">
        <v>310726</v>
      </c>
      <c r="U575" s="2"/>
      <c r="V575">
        <v>5886</v>
      </c>
      <c r="W575" s="2">
        <v>6579000000</v>
      </c>
      <c r="X575" s="6">
        <v>446685</v>
      </c>
      <c r="Y575" s="38">
        <v>10010</v>
      </c>
      <c r="Z575" s="86">
        <f>+((DETALLE_GD_1[[#This Row],[VALOR X UN (GD)]]-DETALLE_GD_1[[#This Row],[VALOR PPTO]])/DETALLE_GD_1[[#This Row],[VALOR PPTO]])</f>
        <v>0.31267000235064979</v>
      </c>
      <c r="AA575" s="2">
        <f>+DETALLE_GD_1[[#This Row],[VALOR PPTO]]*DETALLE_GD_1[[#This Row],[CANTIDAD RECIBIDA]]</f>
        <v>446685</v>
      </c>
      <c r="AB5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75" s="3">
        <f>+DETALLE_GD_1[[#This Row],[CANTIDAD SOLICITADA]]-DETALLE_GD_1[[#This Row],[DEVOLUCIÓN]]</f>
        <v>15</v>
      </c>
      <c r="AD575" s="38">
        <f>+_xlfn.XLOOKUP(DETALLE_GD_1[[#This Row],[CODIGO]],PRODUCTOS[CODIGO],PRODUCTOS[DESC CORTA],"",0)</f>
        <v>0</v>
      </c>
      <c r="AE575"/>
      <c r="AH575"/>
    </row>
    <row r="576" spans="1:34" x14ac:dyDescent="0.25">
      <c r="A576" s="1">
        <v>46111</v>
      </c>
      <c r="B576" s="1">
        <v>46111</v>
      </c>
      <c r="C576" s="81" t="s">
        <v>169</v>
      </c>
      <c r="D576" s="38">
        <v>3</v>
      </c>
      <c r="E576" s="81" t="s">
        <v>169</v>
      </c>
      <c r="F576" t="s">
        <v>386</v>
      </c>
      <c r="G576" s="81" t="s">
        <v>83</v>
      </c>
      <c r="H576" s="81" t="s">
        <v>36</v>
      </c>
      <c r="I576" s="3">
        <v>2</v>
      </c>
      <c r="J576" s="3"/>
      <c r="K576" s="26">
        <v>2</v>
      </c>
      <c r="L576" s="2">
        <v>36940</v>
      </c>
      <c r="M576" s="2">
        <v>73880</v>
      </c>
      <c r="N576" s="2">
        <v>73880</v>
      </c>
      <c r="O576" s="2">
        <v>36939.818200000002</v>
      </c>
      <c r="P576" s="2">
        <v>-0.18179999999999999</v>
      </c>
      <c r="Q576" s="2">
        <v>-0.36359999999999998</v>
      </c>
      <c r="R576" s="4">
        <v>-4.9220058181131147E-6</v>
      </c>
      <c r="T576">
        <v>310726</v>
      </c>
      <c r="U576" s="2"/>
      <c r="V576">
        <v>5886</v>
      </c>
      <c r="W576" s="2">
        <v>6579000000</v>
      </c>
      <c r="X576" s="6">
        <v>73879.636363999962</v>
      </c>
      <c r="Y576" s="38">
        <v>10010</v>
      </c>
      <c r="Z576" s="86">
        <f>+((DETALLE_GD_1[[#This Row],[VALOR X UN (GD)]]-DETALLE_GD_1[[#This Row],[VALOR PPTO]])/DETALLE_GD_1[[#This Row],[VALOR PPTO]])</f>
        <v>4.92151853628979E-6</v>
      </c>
      <c r="AA576" s="2">
        <f>+DETALLE_GD_1[[#This Row],[VALOR PPTO]]*DETALLE_GD_1[[#This Row],[CANTIDAD RECIBIDA]]</f>
        <v>73879.636400000003</v>
      </c>
      <c r="AB5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76" s="3">
        <f>+DETALLE_GD_1[[#This Row],[CANTIDAD SOLICITADA]]-DETALLE_GD_1[[#This Row],[DEVOLUCIÓN]]</f>
        <v>2</v>
      </c>
      <c r="AD576" s="38" t="str">
        <f>+_xlfn.XLOOKUP(DETALLE_GD_1[[#This Row],[CODIGO]],PRODUCTOS[CODIGO],PRODUCTOS[DESC CORTA],"",0)</f>
        <v>CLAVO R20</v>
      </c>
      <c r="AE576"/>
      <c r="AH576"/>
    </row>
    <row r="577" spans="1:34" x14ac:dyDescent="0.25">
      <c r="A577" s="1">
        <v>46111</v>
      </c>
      <c r="B577" s="1">
        <v>46111</v>
      </c>
      <c r="C577" s="81" t="s">
        <v>169</v>
      </c>
      <c r="D577" s="38">
        <v>3</v>
      </c>
      <c r="E577" s="81" t="s">
        <v>169</v>
      </c>
      <c r="F577" t="s">
        <v>231</v>
      </c>
      <c r="G577" s="81" t="s">
        <v>180</v>
      </c>
      <c r="H577" s="81" t="s">
        <v>36</v>
      </c>
      <c r="I577" s="3">
        <v>6</v>
      </c>
      <c r="J577" s="3"/>
      <c r="K577" s="26">
        <v>6</v>
      </c>
      <c r="L577" s="2">
        <v>57355.333299999998</v>
      </c>
      <c r="M577" s="2">
        <v>344132</v>
      </c>
      <c r="N577" s="2">
        <v>344132</v>
      </c>
      <c r="O577" s="2">
        <v>55858.301899999999</v>
      </c>
      <c r="P577" s="2">
        <v>-1497.0314000000001</v>
      </c>
      <c r="Q577" s="2">
        <v>-8982.1887000000006</v>
      </c>
      <c r="R577" s="4">
        <v>-2.6800518378840097E-2</v>
      </c>
      <c r="T577">
        <v>310726</v>
      </c>
      <c r="U577" s="2"/>
      <c r="V577">
        <v>5886</v>
      </c>
      <c r="W577" s="2">
        <v>6579000000</v>
      </c>
      <c r="X577" s="6">
        <v>335149.81132199999</v>
      </c>
      <c r="Y577" s="38">
        <v>10010</v>
      </c>
      <c r="Z577" s="86">
        <f>+((DETALLE_GD_1[[#This Row],[VALOR X UN (GD)]]-DETALLE_GD_1[[#This Row],[VALOR PPTO]])/DETALLE_GD_1[[#This Row],[VALOR PPTO]])</f>
        <v>2.6800517543122803E-2</v>
      </c>
      <c r="AA577" s="2">
        <f>+DETALLE_GD_1[[#This Row],[VALOR PPTO]]*DETALLE_GD_1[[#This Row],[CANTIDAD RECIBIDA]]</f>
        <v>335149.81140000001</v>
      </c>
      <c r="AB5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7" s="3">
        <f>+DETALLE_GD_1[[#This Row],[CANTIDAD SOLICITADA]]-DETALLE_GD_1[[#This Row],[DEVOLUCIÓN]]</f>
        <v>6</v>
      </c>
      <c r="AD577" s="38">
        <f>+_xlfn.XLOOKUP(DETALLE_GD_1[[#This Row],[CODIGO]],PRODUCTOS[CODIGO],PRODUCTOS[DESC CORTA],"",0)</f>
        <v>0</v>
      </c>
      <c r="AE577"/>
      <c r="AH577"/>
    </row>
    <row r="578" spans="1:34" x14ac:dyDescent="0.25">
      <c r="A578" s="1">
        <v>46111</v>
      </c>
      <c r="B578" s="1">
        <v>46111</v>
      </c>
      <c r="C578" s="81" t="s">
        <v>169</v>
      </c>
      <c r="D578" s="38">
        <v>3</v>
      </c>
      <c r="E578" s="81" t="s">
        <v>169</v>
      </c>
      <c r="F578">
        <v>1805340</v>
      </c>
      <c r="G578" s="81" t="s">
        <v>298</v>
      </c>
      <c r="H578" s="81" t="s">
        <v>31</v>
      </c>
      <c r="I578" s="3">
        <v>10</v>
      </c>
      <c r="J578" s="3"/>
      <c r="K578" s="26">
        <v>10</v>
      </c>
      <c r="L578" s="2">
        <v>19400</v>
      </c>
      <c r="M578" s="2">
        <v>194000</v>
      </c>
      <c r="N578" s="2">
        <v>194000</v>
      </c>
      <c r="O578" s="2">
        <v>19400</v>
      </c>
      <c r="P578" s="2">
        <v>0</v>
      </c>
      <c r="Q578" s="2">
        <v>0</v>
      </c>
      <c r="R578" s="4">
        <v>0</v>
      </c>
      <c r="T578">
        <v>310726</v>
      </c>
      <c r="U578" s="2"/>
      <c r="V578">
        <v>5886</v>
      </c>
      <c r="W578" s="2">
        <v>6579000000</v>
      </c>
      <c r="X578" s="6">
        <v>194000</v>
      </c>
      <c r="Y578" s="38">
        <v>10010</v>
      </c>
      <c r="Z578" s="86">
        <f>+((DETALLE_GD_1[[#This Row],[VALOR X UN (GD)]]-DETALLE_GD_1[[#This Row],[VALOR PPTO]])/DETALLE_GD_1[[#This Row],[VALOR PPTO]])</f>
        <v>0</v>
      </c>
      <c r="AA578" s="2">
        <f>+DETALLE_GD_1[[#This Row],[VALOR PPTO]]*DETALLE_GD_1[[#This Row],[CANTIDAD RECIBIDA]]</f>
        <v>194000</v>
      </c>
      <c r="AB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8" s="3">
        <f>+DETALLE_GD_1[[#This Row],[CANTIDAD SOLICITADA]]-DETALLE_GD_1[[#This Row],[DEVOLUCIÓN]]</f>
        <v>10</v>
      </c>
      <c r="AD578" s="38" t="str">
        <f>+_xlfn.XLOOKUP(DETALLE_GD_1[[#This Row],[CODIGO]],PRODUCTOS[CODIGO],PRODUCTOS[DESC CORTA],"",0)</f>
        <v>EXTRT</v>
      </c>
      <c r="AE578"/>
      <c r="AH578"/>
    </row>
    <row r="579" spans="1:34" x14ac:dyDescent="0.25">
      <c r="A579" s="1">
        <v>46111</v>
      </c>
      <c r="B579" s="1">
        <v>46111</v>
      </c>
      <c r="C579" s="81" t="s">
        <v>169</v>
      </c>
      <c r="D579" s="38">
        <v>3</v>
      </c>
      <c r="E579" s="81" t="s">
        <v>169</v>
      </c>
      <c r="F579">
        <v>2302098</v>
      </c>
      <c r="G579" s="81" t="s">
        <v>24</v>
      </c>
      <c r="H579" s="81" t="s">
        <v>25</v>
      </c>
      <c r="I579" s="3">
        <v>8</v>
      </c>
      <c r="J579" s="3"/>
      <c r="K579" s="26">
        <v>8</v>
      </c>
      <c r="L579" s="2">
        <v>21213</v>
      </c>
      <c r="M579" s="2">
        <v>169704</v>
      </c>
      <c r="N579" s="2">
        <v>169704</v>
      </c>
      <c r="O579" s="2">
        <v>21213</v>
      </c>
      <c r="P579" s="2">
        <v>0</v>
      </c>
      <c r="Q579" s="2">
        <v>0</v>
      </c>
      <c r="R579" s="4">
        <v>-1.7149761029050001E-16</v>
      </c>
      <c r="T579">
        <v>310726</v>
      </c>
      <c r="U579" s="2"/>
      <c r="V579">
        <v>5886</v>
      </c>
      <c r="W579" s="2">
        <v>6579000000</v>
      </c>
      <c r="X579" s="6">
        <v>169703.99999999997</v>
      </c>
      <c r="Y579" s="38">
        <v>10010</v>
      </c>
      <c r="Z579" s="86">
        <f>+((DETALLE_GD_1[[#This Row],[VALOR X UN (GD)]]-DETALLE_GD_1[[#This Row],[VALOR PPTO]])/DETALLE_GD_1[[#This Row],[VALOR PPTO]])</f>
        <v>0</v>
      </c>
      <c r="AA579" s="2">
        <f>+DETALLE_GD_1[[#This Row],[VALOR PPTO]]*DETALLE_GD_1[[#This Row],[CANTIDAD RECIBIDA]]</f>
        <v>169704</v>
      </c>
      <c r="AB5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9" s="3">
        <f>+DETALLE_GD_1[[#This Row],[CANTIDAD SOLICITADA]]-DETALLE_GD_1[[#This Row],[DEVOLUCIÓN]]</f>
        <v>8</v>
      </c>
      <c r="AD579" s="38" t="str">
        <f>+_xlfn.XLOOKUP(DETALLE_GD_1[[#This Row],[CODIGO]],PRODUCTOS[CODIGO],PRODUCTOS[DESC CORTA],"",0)</f>
        <v>COLA FRIA</v>
      </c>
      <c r="AE579"/>
      <c r="AH579"/>
    </row>
    <row r="580" spans="1:34" x14ac:dyDescent="0.25">
      <c r="A580" s="1">
        <v>46111</v>
      </c>
      <c r="B580" s="1">
        <v>46111</v>
      </c>
      <c r="C580" s="81" t="s">
        <v>169</v>
      </c>
      <c r="D580" s="38">
        <v>3</v>
      </c>
      <c r="E580" s="81" t="s">
        <v>169</v>
      </c>
      <c r="F580">
        <v>304049</v>
      </c>
      <c r="G580" s="81" t="s">
        <v>318</v>
      </c>
      <c r="H580" s="81" t="s">
        <v>18</v>
      </c>
      <c r="I580" s="3">
        <v>65</v>
      </c>
      <c r="J580" s="3"/>
      <c r="K580" s="26">
        <v>65</v>
      </c>
      <c r="L580" s="2">
        <v>14981.230799999999</v>
      </c>
      <c r="M580" s="2">
        <v>973780</v>
      </c>
      <c r="N580" s="2">
        <v>973780</v>
      </c>
      <c r="O580" s="2">
        <v>14982</v>
      </c>
      <c r="P580" s="2">
        <v>0.76919999999999999</v>
      </c>
      <c r="Q580" s="2">
        <v>50</v>
      </c>
      <c r="R580" s="4">
        <v>5.1343663677961139E-5</v>
      </c>
      <c r="T580">
        <v>310726</v>
      </c>
      <c r="U580" s="2"/>
      <c r="V580">
        <v>5886</v>
      </c>
      <c r="W580" s="2">
        <v>6579000000</v>
      </c>
      <c r="X580" s="6">
        <v>973829.99999999953</v>
      </c>
      <c r="Y580" s="38">
        <v>10010</v>
      </c>
      <c r="Z580" s="86">
        <f>+((DETALLE_GD_1[[#This Row],[VALOR X UN (GD)]]-DETALLE_GD_1[[#This Row],[VALOR PPTO]])/DETALLE_GD_1[[#This Row],[VALOR PPTO]])</f>
        <v>-5.1341609931960842E-5</v>
      </c>
      <c r="AA580" s="2">
        <f>+DETALLE_GD_1[[#This Row],[VALOR PPTO]]*DETALLE_GD_1[[#This Row],[CANTIDAD RECIBIDA]]</f>
        <v>973830</v>
      </c>
      <c r="AB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80" s="3">
        <f>+DETALLE_GD_1[[#This Row],[CANTIDAD SOLICITADA]]-DETALLE_GD_1[[#This Row],[DEVOLUCIÓN]]</f>
        <v>65</v>
      </c>
      <c r="AD580" s="38" t="str">
        <f>+_xlfn.XLOOKUP(DETALLE_GD_1[[#This Row],[CODIGO]],PRODUCTOS[CODIGO],PRODUCTOS[DESC CORTA],"",0)</f>
        <v>TERCIADO FENOLICO</v>
      </c>
      <c r="AE580"/>
      <c r="AH580"/>
    </row>
    <row r="581" spans="1:34" x14ac:dyDescent="0.25">
      <c r="A581" s="1">
        <v>46111</v>
      </c>
      <c r="B581" s="1">
        <v>46111</v>
      </c>
      <c r="C581" s="81" t="s">
        <v>169</v>
      </c>
      <c r="D581" s="38">
        <v>3</v>
      </c>
      <c r="E581" s="81" t="s">
        <v>169</v>
      </c>
      <c r="F581">
        <v>408014</v>
      </c>
      <c r="G581" s="81" t="s">
        <v>108</v>
      </c>
      <c r="H581" s="81" t="s">
        <v>36</v>
      </c>
      <c r="I581" s="3">
        <v>2</v>
      </c>
      <c r="J581" s="3"/>
      <c r="K581" s="26">
        <v>2</v>
      </c>
      <c r="L581" s="2">
        <v>16182</v>
      </c>
      <c r="M581" s="2">
        <v>32364</v>
      </c>
      <c r="N581" s="2">
        <v>32364</v>
      </c>
      <c r="O581" s="2">
        <v>16182.1068</v>
      </c>
      <c r="P581" s="2">
        <v>0.10680000000000001</v>
      </c>
      <c r="Q581" s="2">
        <v>0.2135</v>
      </c>
      <c r="R581" s="4">
        <v>6.5975340279806539E-6</v>
      </c>
      <c r="T581">
        <v>310726</v>
      </c>
      <c r="U581" s="2"/>
      <c r="V581">
        <v>5886</v>
      </c>
      <c r="W581" s="2">
        <v>6579000000</v>
      </c>
      <c r="X581" s="6">
        <v>32364.213524000013</v>
      </c>
      <c r="Y581" s="38">
        <v>10010</v>
      </c>
      <c r="Z581" s="86">
        <f>+((DETALLE_GD_1[[#This Row],[VALOR X UN (GD)]]-DETALLE_GD_1[[#This Row],[VALOR PPTO]])/DETALLE_GD_1[[#This Row],[VALOR PPTO]])</f>
        <v>-6.5998822847693946E-6</v>
      </c>
      <c r="AA581" s="2">
        <f>+DETALLE_GD_1[[#This Row],[VALOR PPTO]]*DETALLE_GD_1[[#This Row],[CANTIDAD RECIBIDA]]</f>
        <v>32364.213599999999</v>
      </c>
      <c r="AB5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1" s="3">
        <f>+DETALLE_GD_1[[#This Row],[CANTIDAD SOLICITADA]]-DETALLE_GD_1[[#This Row],[DEVOLUCIÓN]]</f>
        <v>2</v>
      </c>
      <c r="AD581" s="38" t="str">
        <f>+_xlfn.XLOOKUP(DETALLE_GD_1[[#This Row],[CODIGO]],PRODUCTOS[CODIGO],PRODUCTOS[DESC CORTA],"",0)</f>
        <v>GRAPA T40</v>
      </c>
      <c r="AE581"/>
      <c r="AH581"/>
    </row>
    <row r="582" spans="1:34" x14ac:dyDescent="0.25">
      <c r="A582" s="1">
        <v>46111</v>
      </c>
      <c r="B582" s="1">
        <v>46111</v>
      </c>
      <c r="C582" s="81" t="s">
        <v>169</v>
      </c>
      <c r="D582" s="38">
        <v>3</v>
      </c>
      <c r="E582" s="81" t="s">
        <v>169</v>
      </c>
      <c r="F582">
        <v>704046</v>
      </c>
      <c r="G582" s="81" t="s">
        <v>255</v>
      </c>
      <c r="H582" s="81" t="s">
        <v>47</v>
      </c>
      <c r="I582" s="3">
        <v>10</v>
      </c>
      <c r="J582" s="3"/>
      <c r="K582" s="26">
        <v>10</v>
      </c>
      <c r="L582" s="2">
        <v>9076.1</v>
      </c>
      <c r="M582" s="2">
        <v>90761</v>
      </c>
      <c r="N582" s="2">
        <v>90761</v>
      </c>
      <c r="O582" s="2">
        <v>9076.0622000000003</v>
      </c>
      <c r="P582" s="2">
        <v>-3.78E-2</v>
      </c>
      <c r="Q582" s="2">
        <v>-0.378</v>
      </c>
      <c r="R582" s="4">
        <v>-4.1651323204630666E-6</v>
      </c>
      <c r="T582">
        <v>310726</v>
      </c>
      <c r="U582" s="2"/>
      <c r="V582">
        <v>5886</v>
      </c>
      <c r="W582" s="2">
        <v>6579000000</v>
      </c>
      <c r="X582" s="6">
        <v>90760.621969999993</v>
      </c>
      <c r="Y582" s="38">
        <v>10010</v>
      </c>
      <c r="Z582" s="86">
        <f>+((DETALLE_GD_1[[#This Row],[VALOR X UN (GD)]]-DETALLE_GD_1[[#This Row],[VALOR PPTO]])/DETALLE_GD_1[[#This Row],[VALOR PPTO]])</f>
        <v>4.1648017793510843E-6</v>
      </c>
      <c r="AA582" s="2">
        <f>+DETALLE_GD_1[[#This Row],[VALOR PPTO]]*DETALLE_GD_1[[#This Row],[CANTIDAD RECIBIDA]]</f>
        <v>90760.622000000003</v>
      </c>
      <c r="AB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2" s="3">
        <f>+DETALLE_GD_1[[#This Row],[CANTIDAD SOLICITADA]]-DETALLE_GD_1[[#This Row],[DEVOLUCIÓN]]</f>
        <v>10</v>
      </c>
      <c r="AD582" s="38">
        <f>+_xlfn.XLOOKUP(DETALLE_GD_1[[#This Row],[CODIGO]],PRODUCTOS[CODIGO],PRODUCTOS[DESC CORTA],"",0)</f>
        <v>0</v>
      </c>
      <c r="AE582"/>
      <c r="AH582"/>
    </row>
    <row r="583" spans="1:34" x14ac:dyDescent="0.25">
      <c r="A583" s="1">
        <v>46111</v>
      </c>
      <c r="B583" s="1">
        <v>46111</v>
      </c>
      <c r="C583" s="81" t="s">
        <v>169</v>
      </c>
      <c r="D583" s="38">
        <v>3</v>
      </c>
      <c r="E583" s="81" t="s">
        <v>169</v>
      </c>
      <c r="F583">
        <v>410045</v>
      </c>
      <c r="G583" s="81" t="s">
        <v>110</v>
      </c>
      <c r="H583" s="81" t="s">
        <v>31</v>
      </c>
      <c r="I583" s="3">
        <v>696</v>
      </c>
      <c r="J583" s="3"/>
      <c r="K583" s="26">
        <v>696</v>
      </c>
      <c r="L583" s="2">
        <v>346.90660000000003</v>
      </c>
      <c r="M583" s="2">
        <v>241447</v>
      </c>
      <c r="N583" s="2">
        <v>241447</v>
      </c>
      <c r="O583" s="2">
        <v>368.00139999999999</v>
      </c>
      <c r="P583" s="2">
        <v>21.094799999999999</v>
      </c>
      <c r="Q583" s="2">
        <v>14681.9473</v>
      </c>
      <c r="R583" s="4">
        <v>5.7322483121462146E-2</v>
      </c>
      <c r="T583">
        <v>310726</v>
      </c>
      <c r="U583" s="2"/>
      <c r="V583">
        <v>5886</v>
      </c>
      <c r="W583" s="2">
        <v>6579000000</v>
      </c>
      <c r="X583" s="6">
        <v>256128.94725599996</v>
      </c>
      <c r="Y583" s="38">
        <v>10010</v>
      </c>
      <c r="Z583" s="86">
        <f>+((DETALLE_GD_1[[#This Row],[VALOR X UN (GD)]]-DETALLE_GD_1[[#This Row],[VALOR PPTO]])/DETALLE_GD_1[[#This Row],[VALOR PPTO]])</f>
        <v>-5.7322608011817253E-2</v>
      </c>
      <c r="AA583" s="2">
        <f>+DETALLE_GD_1[[#This Row],[VALOR PPTO]]*DETALLE_GD_1[[#This Row],[CANTIDAD RECIBIDA]]</f>
        <v>256128.97440000001</v>
      </c>
      <c r="AB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3" s="3">
        <f>+DETALLE_GD_1[[#This Row],[CANTIDAD SOLICITADA]]-DETALLE_GD_1[[#This Row],[DEVOLUCIÓN]]</f>
        <v>696</v>
      </c>
      <c r="AD583" s="38" t="str">
        <f>+_xlfn.XLOOKUP(DETALLE_GD_1[[#This Row],[CODIGO]],PRODUCTOS[CODIGO],PRODUCTOS[DESC CORTA],"",0)</f>
        <v>CONECTOR DENTADO</v>
      </c>
      <c r="AE583"/>
      <c r="AH583"/>
    </row>
    <row r="584" spans="1:34" x14ac:dyDescent="0.25">
      <c r="A584" s="1">
        <v>46111</v>
      </c>
      <c r="B584" s="1">
        <v>46111</v>
      </c>
      <c r="C584" s="81" t="s">
        <v>169</v>
      </c>
      <c r="D584" s="38">
        <v>3</v>
      </c>
      <c r="E584" s="81" t="s">
        <v>169</v>
      </c>
      <c r="F584">
        <v>410126</v>
      </c>
      <c r="G584" s="81" t="s">
        <v>159</v>
      </c>
      <c r="H584" s="81" t="s">
        <v>31</v>
      </c>
      <c r="I584" s="3">
        <v>264</v>
      </c>
      <c r="J584" s="3"/>
      <c r="K584" s="26">
        <v>264</v>
      </c>
      <c r="L584" s="2">
        <v>983.84849999999994</v>
      </c>
      <c r="M584" s="2">
        <v>259736</v>
      </c>
      <c r="N584" s="2">
        <v>259736</v>
      </c>
      <c r="O584" s="2">
        <v>983.61890000000005</v>
      </c>
      <c r="P584" s="2">
        <v>-0.2296</v>
      </c>
      <c r="Q584" s="2">
        <v>-60.615400000000001</v>
      </c>
      <c r="R584" s="4">
        <v>-2.3342765467387495E-4</v>
      </c>
      <c r="T584">
        <v>310726</v>
      </c>
      <c r="U584" s="2"/>
      <c r="V584">
        <v>5886</v>
      </c>
      <c r="W584" s="2">
        <v>6579000000</v>
      </c>
      <c r="X584" s="6">
        <v>259675.38458400001</v>
      </c>
      <c r="Y584" s="38">
        <v>10010</v>
      </c>
      <c r="Z584" s="86">
        <f>+((DETALLE_GD_1[[#This Row],[VALOR X UN (GD)]]-DETALLE_GD_1[[#This Row],[VALOR PPTO]])/DETALLE_GD_1[[#This Row],[VALOR PPTO]])</f>
        <v>2.3342373758768891E-4</v>
      </c>
      <c r="AA584" s="2">
        <f>+DETALLE_GD_1[[#This Row],[VALOR PPTO]]*DETALLE_GD_1[[#This Row],[CANTIDAD RECIBIDA]]</f>
        <v>259675.38960000002</v>
      </c>
      <c r="AB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4" s="3">
        <f>+DETALLE_GD_1[[#This Row],[CANTIDAD SOLICITADA]]-DETALLE_GD_1[[#This Row],[DEVOLUCIÓN]]</f>
        <v>264</v>
      </c>
      <c r="AD584" s="38">
        <f>+_xlfn.XLOOKUP(DETALLE_GD_1[[#This Row],[CODIGO]],PRODUCTOS[CODIGO],PRODUCTOS[DESC CORTA],"",0)</f>
        <v>0</v>
      </c>
      <c r="AE584"/>
      <c r="AH584"/>
    </row>
    <row r="585" spans="1:34" x14ac:dyDescent="0.25">
      <c r="A585" s="1">
        <v>46111</v>
      </c>
      <c r="B585" s="1">
        <v>46111</v>
      </c>
      <c r="C585" s="81" t="s">
        <v>169</v>
      </c>
      <c r="D585" s="38">
        <v>3</v>
      </c>
      <c r="E585" s="81" t="s">
        <v>169</v>
      </c>
      <c r="F585">
        <v>701084</v>
      </c>
      <c r="G585" s="81" t="s">
        <v>38</v>
      </c>
      <c r="H585" s="81" t="s">
        <v>18</v>
      </c>
      <c r="I585" s="3">
        <v>20</v>
      </c>
      <c r="J585" s="3"/>
      <c r="K585" s="26">
        <v>20</v>
      </c>
      <c r="L585" s="2">
        <v>39110</v>
      </c>
      <c r="M585" s="2">
        <v>782200</v>
      </c>
      <c r="N585" s="2">
        <v>782200</v>
      </c>
      <c r="O585" s="2">
        <v>38182.916700000002</v>
      </c>
      <c r="P585" s="2">
        <v>-927.08330000000001</v>
      </c>
      <c r="Q585" s="2">
        <v>-18541.666700000002</v>
      </c>
      <c r="R585" s="4">
        <v>-2.428005542597127E-2</v>
      </c>
      <c r="T585">
        <v>310726</v>
      </c>
      <c r="U585" s="2"/>
      <c r="V585">
        <v>5886</v>
      </c>
      <c r="W585" s="2">
        <v>6579000000</v>
      </c>
      <c r="X585" s="6">
        <v>763658.3333399999</v>
      </c>
      <c r="Y585" s="38">
        <v>10010</v>
      </c>
      <c r="Z585" s="86">
        <f>+((DETALLE_GD_1[[#This Row],[VALOR X UN (GD)]]-DETALLE_GD_1[[#This Row],[VALOR PPTO]])/DETALLE_GD_1[[#This Row],[VALOR PPTO]])</f>
        <v>2.4280054540726018E-2</v>
      </c>
      <c r="AA585" s="2">
        <f>+DETALLE_GD_1[[#This Row],[VALOR PPTO]]*DETALLE_GD_1[[#This Row],[CANTIDAD RECIBIDA]]</f>
        <v>763658.33400000003</v>
      </c>
      <c r="AB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5" s="3">
        <f>+DETALLE_GD_1[[#This Row],[CANTIDAD SOLICITADA]]-DETALLE_GD_1[[#This Row],[DEVOLUCIÓN]]</f>
        <v>20</v>
      </c>
      <c r="AD585" s="38" t="str">
        <f>+_xlfn.XLOOKUP(DETALLE_GD_1[[#This Row],[CODIGO]],PRODUCTOS[CODIGO],PRODUCTOS[DESC CORTA],"",0)</f>
        <v>FIBROCEMENTO BALCON</v>
      </c>
      <c r="AE585"/>
      <c r="AH585"/>
    </row>
    <row r="586" spans="1:34" x14ac:dyDescent="0.25">
      <c r="A586" s="1">
        <v>46111</v>
      </c>
      <c r="B586" s="1">
        <v>46111</v>
      </c>
      <c r="C586" s="81" t="s">
        <v>169</v>
      </c>
      <c r="D586" s="38">
        <v>3</v>
      </c>
      <c r="E586" s="81" t="s">
        <v>169</v>
      </c>
      <c r="F586">
        <v>407049</v>
      </c>
      <c r="G586" s="81" t="s">
        <v>232</v>
      </c>
      <c r="H586" s="81" t="s">
        <v>31</v>
      </c>
      <c r="I586" s="3">
        <v>155</v>
      </c>
      <c r="J586" s="3"/>
      <c r="K586" s="26">
        <v>155</v>
      </c>
      <c r="L586" s="2">
        <v>16.2</v>
      </c>
      <c r="M586" s="2">
        <v>2511</v>
      </c>
      <c r="N586" s="2">
        <v>2511</v>
      </c>
      <c r="O586" s="2">
        <v>16.202200000000001</v>
      </c>
      <c r="P586" s="2">
        <v>2.2000000000000001E-3</v>
      </c>
      <c r="Q586" s="2">
        <v>0.33510000000000001</v>
      </c>
      <c r="R586" s="4">
        <v>1.3343898178539354E-4</v>
      </c>
      <c r="T586">
        <v>310726</v>
      </c>
      <c r="U586" s="2"/>
      <c r="V586">
        <v>5886</v>
      </c>
      <c r="W586" s="2">
        <v>6579000000</v>
      </c>
      <c r="X586" s="6">
        <v>2511.33511</v>
      </c>
      <c r="Y586" s="38">
        <v>10010</v>
      </c>
      <c r="Z586" s="86">
        <f>+((DETALLE_GD_1[[#This Row],[VALOR X UN (GD)]]-DETALLE_GD_1[[#This Row],[VALOR PPTO]])/DETALLE_GD_1[[#This Row],[VALOR PPTO]])</f>
        <v>-1.357840293294724E-4</v>
      </c>
      <c r="AA586" s="2">
        <f>+DETALLE_GD_1[[#This Row],[VALOR PPTO]]*DETALLE_GD_1[[#This Row],[CANTIDAD RECIBIDA]]</f>
        <v>2511.3410000000003</v>
      </c>
      <c r="AB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6" s="3">
        <f>+DETALLE_GD_1[[#This Row],[CANTIDAD SOLICITADA]]-DETALLE_GD_1[[#This Row],[DEVOLUCIÓN]]</f>
        <v>155</v>
      </c>
      <c r="AD586" s="38">
        <f>+_xlfn.XLOOKUP(DETALLE_GD_1[[#This Row],[CODIGO]],PRODUCTOS[CODIGO],PRODUCTOS[DESC CORTA],"",0)</f>
        <v>0</v>
      </c>
      <c r="AE586"/>
      <c r="AH586"/>
    </row>
    <row r="587" spans="1:34" x14ac:dyDescent="0.25">
      <c r="A587" s="1">
        <v>46111</v>
      </c>
      <c r="B587" s="1">
        <v>46111</v>
      </c>
      <c r="C587" s="81" t="s">
        <v>169</v>
      </c>
      <c r="D587" s="38">
        <v>3</v>
      </c>
      <c r="E587" s="81" t="s">
        <v>169</v>
      </c>
      <c r="F587">
        <v>407423</v>
      </c>
      <c r="G587" s="81" t="s">
        <v>106</v>
      </c>
      <c r="H587" s="81" t="s">
        <v>31</v>
      </c>
      <c r="I587" s="3">
        <v>9000</v>
      </c>
      <c r="J587" s="3"/>
      <c r="K587" s="26">
        <v>9000</v>
      </c>
      <c r="L587" s="2">
        <v>3.3879999999999999</v>
      </c>
      <c r="M587" s="2">
        <v>30492</v>
      </c>
      <c r="N587" s="2">
        <v>30492</v>
      </c>
      <c r="O587" s="2">
        <v>106.6405</v>
      </c>
      <c r="P587" s="2">
        <v>103.2525</v>
      </c>
      <c r="Q587" s="2">
        <v>929272.51789999998</v>
      </c>
      <c r="R587" s="4">
        <v>0.96822970694084709</v>
      </c>
      <c r="T587">
        <v>310726</v>
      </c>
      <c r="U587" s="2"/>
      <c r="V587">
        <v>5886</v>
      </c>
      <c r="W587" s="2">
        <v>6579000000</v>
      </c>
      <c r="X587" s="6">
        <v>959764.51785405388</v>
      </c>
      <c r="Y587" s="38">
        <v>10010</v>
      </c>
      <c r="Z587" s="86">
        <f>+((DETALLE_GD_1[[#This Row],[VALOR X UN (GD)]]-DETALLE_GD_1[[#This Row],[VALOR PPTO]])/DETALLE_GD_1[[#This Row],[VALOR PPTO]])</f>
        <v>-0.96822970634983885</v>
      </c>
      <c r="AA587" s="2">
        <f>+DETALLE_GD_1[[#This Row],[VALOR PPTO]]*DETALLE_GD_1[[#This Row],[CANTIDAD RECIBIDA]]</f>
        <v>959764.5</v>
      </c>
      <c r="AB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7" s="3">
        <f>+DETALLE_GD_1[[#This Row],[CANTIDAD SOLICITADA]]-DETALLE_GD_1[[#This Row],[DEVOLUCIÓN]]</f>
        <v>9000</v>
      </c>
      <c r="AD587" s="38" t="str">
        <f>+_xlfn.XLOOKUP(DETALLE_GD_1[[#This Row],[CODIGO]],PRODUCTOS[CODIGO],PRODUCTOS[DESC CORTA],"",0)</f>
        <v>TORNILLO CRS 6X1 5/8</v>
      </c>
      <c r="AE587"/>
      <c r="AH587"/>
    </row>
    <row r="588" spans="1:34" x14ac:dyDescent="0.25">
      <c r="A588" s="1">
        <v>46111</v>
      </c>
      <c r="B588" s="1">
        <v>46111</v>
      </c>
      <c r="C588" s="81" t="s">
        <v>169</v>
      </c>
      <c r="D588" s="38">
        <v>3</v>
      </c>
      <c r="E588" s="81" t="s">
        <v>169</v>
      </c>
      <c r="F588">
        <v>408088</v>
      </c>
      <c r="G588" s="81" t="s">
        <v>109</v>
      </c>
      <c r="H588" s="81" t="s">
        <v>36</v>
      </c>
      <c r="I588" s="3">
        <v>2</v>
      </c>
      <c r="J588" s="3"/>
      <c r="K588" s="26">
        <v>2</v>
      </c>
      <c r="L588" s="2">
        <v>17500</v>
      </c>
      <c r="M588" s="2">
        <v>35000</v>
      </c>
      <c r="N588" s="2">
        <v>35000</v>
      </c>
      <c r="O588" s="2">
        <v>17500.092700000001</v>
      </c>
      <c r="P588" s="2">
        <v>9.2700000000000005E-2</v>
      </c>
      <c r="Q588" s="2">
        <v>0.18540000000000001</v>
      </c>
      <c r="R588" s="4">
        <v>5.2979719312796486E-6</v>
      </c>
      <c r="T588">
        <v>310726</v>
      </c>
      <c r="U588" s="2"/>
      <c r="V588">
        <v>5886</v>
      </c>
      <c r="W588" s="2">
        <v>6579000000</v>
      </c>
      <c r="X588" s="6">
        <v>35000.185429999998</v>
      </c>
      <c r="Y588" s="38">
        <v>10010</v>
      </c>
      <c r="Z588" s="86">
        <f>+((DETALLE_GD_1[[#This Row],[VALOR X UN (GD)]]-DETALLE_GD_1[[#This Row],[VALOR PPTO]])/DETALLE_GD_1[[#This Row],[VALOR PPTO]])</f>
        <v>-5.2971147976295791E-6</v>
      </c>
      <c r="AA588" s="2">
        <f>+DETALLE_GD_1[[#This Row],[VALOR PPTO]]*DETALLE_GD_1[[#This Row],[CANTIDAD RECIBIDA]]</f>
        <v>35000.185400000002</v>
      </c>
      <c r="AB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8" s="3">
        <f>+DETALLE_GD_1[[#This Row],[CANTIDAD SOLICITADA]]-DETALLE_GD_1[[#This Row],[DEVOLUCIÓN]]</f>
        <v>2</v>
      </c>
      <c r="AD588" s="38" t="str">
        <f>+_xlfn.XLOOKUP(DETALLE_GD_1[[#This Row],[CODIGO]],PRODUCTOS[CODIGO],PRODUCTOS[DESC CORTA],"",0)</f>
        <v>GRAPA T50</v>
      </c>
      <c r="AE588"/>
      <c r="AH588"/>
    </row>
    <row r="589" spans="1:34" x14ac:dyDescent="0.25">
      <c r="A589" s="1">
        <v>46111</v>
      </c>
      <c r="B589" s="1">
        <v>46111</v>
      </c>
      <c r="C589" s="81" t="s">
        <v>169</v>
      </c>
      <c r="D589" s="38">
        <v>3</v>
      </c>
      <c r="E589" s="81" t="s">
        <v>169</v>
      </c>
      <c r="F589" t="s">
        <v>21</v>
      </c>
      <c r="G589" s="81" t="s">
        <v>22</v>
      </c>
      <c r="H589" s="81" t="s">
        <v>20</v>
      </c>
      <c r="I589" s="3">
        <v>60</v>
      </c>
      <c r="J589" s="3"/>
      <c r="K589" s="26">
        <v>60</v>
      </c>
      <c r="L589" s="2">
        <v>15359.7</v>
      </c>
      <c r="M589" s="2">
        <v>921582</v>
      </c>
      <c r="N589" s="2">
        <v>921582</v>
      </c>
      <c r="O589" s="2">
        <v>15359.702799999999</v>
      </c>
      <c r="P589" s="2">
        <v>2.8E-3</v>
      </c>
      <c r="Q589" s="2">
        <v>0.1671</v>
      </c>
      <c r="R589" s="4">
        <v>1.81318612826567E-7</v>
      </c>
      <c r="T589">
        <v>310726</v>
      </c>
      <c r="U589" s="2"/>
      <c r="V589">
        <v>5886</v>
      </c>
      <c r="W589" s="2">
        <v>6579000000</v>
      </c>
      <c r="X589" s="6">
        <v>921582.1671000002</v>
      </c>
      <c r="Y589" s="38">
        <v>10010</v>
      </c>
      <c r="Z589" s="86">
        <f>+((DETALLE_GD_1[[#This Row],[VALOR X UN (GD)]]-DETALLE_GD_1[[#This Row],[VALOR PPTO]])/DETALLE_GD_1[[#This Row],[VALOR PPTO]])</f>
        <v>-1.8229519378380471E-7</v>
      </c>
      <c r="AA589" s="2">
        <f>+DETALLE_GD_1[[#This Row],[VALOR PPTO]]*DETALLE_GD_1[[#This Row],[CANTIDAD RECIBIDA]]</f>
        <v>921582.16799999995</v>
      </c>
      <c r="AB5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89" s="3">
        <f>+DETALLE_GD_1[[#This Row],[CANTIDAD SOLICITADA]]-DETALLE_GD_1[[#This Row],[DEVOLUCIÓN]]</f>
        <v>60</v>
      </c>
      <c r="AD589" s="38" t="str">
        <f>+_xlfn.XLOOKUP(DETALLE_GD_1[[#This Row],[CODIGO]],PRODUCTOS[CODIGO],PRODUCTOS[DESC CORTA],"",0)</f>
        <v>PINO 3X8X320</v>
      </c>
      <c r="AE589"/>
      <c r="AH589"/>
    </row>
    <row r="590" spans="1:34" x14ac:dyDescent="0.25">
      <c r="A590" s="1">
        <v>46111</v>
      </c>
      <c r="B590" s="1">
        <v>46111</v>
      </c>
      <c r="C590" s="81" t="s">
        <v>169</v>
      </c>
      <c r="D590" s="38">
        <v>3</v>
      </c>
      <c r="E590" s="81" t="s">
        <v>169</v>
      </c>
      <c r="F590">
        <v>1805340</v>
      </c>
      <c r="G590" s="81" t="s">
        <v>298</v>
      </c>
      <c r="H590" s="81" t="s">
        <v>31</v>
      </c>
      <c r="I590" s="3">
        <v>10</v>
      </c>
      <c r="J590" s="3"/>
      <c r="K590" s="26">
        <v>10</v>
      </c>
      <c r="L590" s="2">
        <v>19400</v>
      </c>
      <c r="M590" s="2">
        <v>194000</v>
      </c>
      <c r="N590" s="2">
        <v>194000</v>
      </c>
      <c r="O590" s="2">
        <v>19400</v>
      </c>
      <c r="P590" s="2">
        <v>0</v>
      </c>
      <c r="Q590" s="2">
        <v>0</v>
      </c>
      <c r="R590" s="4">
        <v>0</v>
      </c>
      <c r="T590">
        <v>310731</v>
      </c>
      <c r="U590" s="2">
        <v>194000</v>
      </c>
      <c r="V590">
        <v>5886</v>
      </c>
      <c r="W590" s="2">
        <v>6579000000</v>
      </c>
      <c r="X590" s="6">
        <v>194000</v>
      </c>
      <c r="Y590" s="38">
        <v>10010</v>
      </c>
      <c r="Z590" s="86">
        <f>+((DETALLE_GD_1[[#This Row],[VALOR X UN (GD)]]-DETALLE_GD_1[[#This Row],[VALOR PPTO]])/DETALLE_GD_1[[#This Row],[VALOR PPTO]])</f>
        <v>0</v>
      </c>
      <c r="AA590" s="2">
        <f>+DETALLE_GD_1[[#This Row],[VALOR PPTO]]*DETALLE_GD_1[[#This Row],[CANTIDAD RECIBIDA]]</f>
        <v>194000</v>
      </c>
      <c r="AB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0" s="3">
        <f>+DETALLE_GD_1[[#This Row],[CANTIDAD SOLICITADA]]-DETALLE_GD_1[[#This Row],[DEVOLUCIÓN]]</f>
        <v>10</v>
      </c>
      <c r="AD590" s="38" t="str">
        <f>+_xlfn.XLOOKUP(DETALLE_GD_1[[#This Row],[CODIGO]],PRODUCTOS[CODIGO],PRODUCTOS[DESC CORTA],"",0)</f>
        <v>EXTRT</v>
      </c>
      <c r="AE590"/>
      <c r="AH590"/>
    </row>
    <row r="591" spans="1:34" x14ac:dyDescent="0.25">
      <c r="A591" s="1">
        <v>46111</v>
      </c>
      <c r="B591" s="1">
        <v>46111</v>
      </c>
      <c r="C591" s="81" t="s">
        <v>169</v>
      </c>
      <c r="D591" s="38">
        <v>3</v>
      </c>
      <c r="E591" s="81" t="s">
        <v>169</v>
      </c>
      <c r="F591">
        <v>1610023</v>
      </c>
      <c r="G591" s="81" t="s">
        <v>351</v>
      </c>
      <c r="H591" s="81" t="s">
        <v>28</v>
      </c>
      <c r="I591" s="3">
        <v>5</v>
      </c>
      <c r="J591" s="3"/>
      <c r="K591" s="26">
        <v>5</v>
      </c>
      <c r="L591" s="2">
        <v>2278.1999999999998</v>
      </c>
      <c r="M591" s="2">
        <v>11391</v>
      </c>
      <c r="N591" s="2">
        <v>11391</v>
      </c>
      <c r="O591" s="2">
        <v>2109.0585000000001</v>
      </c>
      <c r="P591" s="2">
        <v>-169.14150000000001</v>
      </c>
      <c r="Q591" s="2">
        <v>-845.70730000000003</v>
      </c>
      <c r="R591" s="4">
        <v>-8.0197611698158158E-2</v>
      </c>
      <c r="T591">
        <v>310742</v>
      </c>
      <c r="U591" s="2">
        <v>873104</v>
      </c>
      <c r="V591">
        <v>5886</v>
      </c>
      <c r="W591" s="2">
        <v>6579000000</v>
      </c>
      <c r="X591" s="6">
        <v>10545.292710000002</v>
      </c>
      <c r="Y591" s="38">
        <v>10010</v>
      </c>
      <c r="Z591" s="86">
        <f>+((DETALLE_GD_1[[#This Row],[VALOR X UN (GD)]]-DETALLE_GD_1[[#This Row],[VALOR PPTO]])/DETALLE_GD_1[[#This Row],[VALOR PPTO]])</f>
        <v>8.0197633209320524E-2</v>
      </c>
      <c r="AA591" s="2">
        <f>+DETALLE_GD_1[[#This Row],[VALOR PPTO]]*DETALLE_GD_1[[#This Row],[CANTIDAD RECIBIDA]]</f>
        <v>10545.2925</v>
      </c>
      <c r="AB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1" s="3">
        <f>+DETALLE_GD_1[[#This Row],[CANTIDAD SOLICITADA]]-DETALLE_GD_1[[#This Row],[DEVOLUCIÓN]]</f>
        <v>5</v>
      </c>
      <c r="AD591" s="38" t="str">
        <f>+_xlfn.XLOOKUP(DETALLE_GD_1[[#This Row],[CODIGO]],PRODUCTOS[CODIGO],PRODUCTOS[DESC CORTA],"",0)</f>
        <v>TRAPOS DE ASEO</v>
      </c>
      <c r="AE591"/>
      <c r="AH591"/>
    </row>
    <row r="592" spans="1:34" x14ac:dyDescent="0.25">
      <c r="A592" s="1">
        <v>46111</v>
      </c>
      <c r="B592" s="1">
        <v>46111</v>
      </c>
      <c r="C592" s="81" t="s">
        <v>169</v>
      </c>
      <c r="D592" s="38">
        <v>3</v>
      </c>
      <c r="E592" s="81" t="s">
        <v>169</v>
      </c>
      <c r="F592">
        <v>609008</v>
      </c>
      <c r="G592" s="81" t="s">
        <v>57</v>
      </c>
      <c r="H592" s="81" t="s">
        <v>58</v>
      </c>
      <c r="I592" s="3">
        <v>5</v>
      </c>
      <c r="J592" s="3"/>
      <c r="K592" s="26">
        <v>5</v>
      </c>
      <c r="L592" s="2">
        <v>2274.6</v>
      </c>
      <c r="M592" s="2">
        <v>11373</v>
      </c>
      <c r="N592" s="2">
        <v>11373</v>
      </c>
      <c r="O592" s="2">
        <v>2130.7573000000002</v>
      </c>
      <c r="P592" s="2">
        <v>-143.84270000000001</v>
      </c>
      <c r="Q592" s="2">
        <v>-719.21339999999998</v>
      </c>
      <c r="R592" s="4">
        <v>-6.7507777316976547E-2</v>
      </c>
      <c r="T592">
        <v>310742</v>
      </c>
      <c r="U592" s="2"/>
      <c r="V592">
        <v>5886</v>
      </c>
      <c r="W592" s="2">
        <v>6579000000</v>
      </c>
      <c r="X592" s="6">
        <v>10653.786550000001</v>
      </c>
      <c r="Y592" s="38">
        <v>10010</v>
      </c>
      <c r="Z592" s="86">
        <f>+((DETALLE_GD_1[[#This Row],[VALOR X UN (GD)]]-DETALLE_GD_1[[#This Row],[VALOR PPTO]])/DETALLE_GD_1[[#This Row],[VALOR PPTO]])</f>
        <v>6.750778232696876E-2</v>
      </c>
      <c r="AA592" s="2">
        <f>+DETALLE_GD_1[[#This Row],[VALOR PPTO]]*DETALLE_GD_1[[#This Row],[CANTIDAD RECIBIDA]]</f>
        <v>10653.786500000002</v>
      </c>
      <c r="AB5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2" s="3">
        <f>+DETALLE_GD_1[[#This Row],[CANTIDAD SOLICITADA]]-DETALLE_GD_1[[#This Row],[DEVOLUCIÓN]]</f>
        <v>5</v>
      </c>
      <c r="AD592" s="38" t="str">
        <f>+_xlfn.XLOOKUP(DETALLE_GD_1[[#This Row],[CODIGO]],PRODUCTOS[CODIGO],PRODUCTOS[DESC CORTA],"",0)</f>
        <v>DUCO</v>
      </c>
      <c r="AE592"/>
      <c r="AH592"/>
    </row>
    <row r="593" spans="1:34" x14ac:dyDescent="0.25">
      <c r="A593" s="1">
        <v>46111</v>
      </c>
      <c r="B593" s="1">
        <v>46111</v>
      </c>
      <c r="C593" s="81" t="s">
        <v>169</v>
      </c>
      <c r="D593" s="38">
        <v>3</v>
      </c>
      <c r="E593" s="81" t="s">
        <v>169</v>
      </c>
      <c r="F593">
        <v>617016</v>
      </c>
      <c r="G593" s="81" t="s">
        <v>133</v>
      </c>
      <c r="H593" s="81" t="s">
        <v>31</v>
      </c>
      <c r="I593" s="3">
        <v>5</v>
      </c>
      <c r="J593" s="3"/>
      <c r="K593" s="26">
        <v>5</v>
      </c>
      <c r="L593" s="2">
        <v>2864.6</v>
      </c>
      <c r="M593" s="2">
        <v>14323</v>
      </c>
      <c r="N593" s="2">
        <v>14323</v>
      </c>
      <c r="O593" s="2">
        <v>2857.5133000000001</v>
      </c>
      <c r="P593" s="2">
        <v>-7.0867000000000004</v>
      </c>
      <c r="Q593" s="2">
        <v>-35.433599999999998</v>
      </c>
      <c r="R593" s="4">
        <v>-2.4800325739449212E-3</v>
      </c>
      <c r="T593">
        <v>310742</v>
      </c>
      <c r="U593" s="2"/>
      <c r="V593">
        <v>5886</v>
      </c>
      <c r="W593" s="2">
        <v>6579000000</v>
      </c>
      <c r="X593" s="6">
        <v>14287.56637</v>
      </c>
      <c r="Y593" s="38">
        <v>10010</v>
      </c>
      <c r="Z593" s="86">
        <f>+((DETALLE_GD_1[[#This Row],[VALOR X UN (GD)]]-DETALLE_GD_1[[#This Row],[VALOR PPTO]])/DETALLE_GD_1[[#This Row],[VALOR PPTO]])</f>
        <v>2.4800234525592015E-3</v>
      </c>
      <c r="AA593" s="2">
        <f>+DETALLE_GD_1[[#This Row],[VALOR PPTO]]*DETALLE_GD_1[[#This Row],[CANTIDAD RECIBIDA]]</f>
        <v>14287.566500000001</v>
      </c>
      <c r="AB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3" s="3">
        <f>+DETALLE_GD_1[[#This Row],[CANTIDAD SOLICITADA]]-DETALLE_GD_1[[#This Row],[DEVOLUCIÓN]]</f>
        <v>5</v>
      </c>
      <c r="AD593" s="38" t="str">
        <f>+_xlfn.XLOOKUP(DETALLE_GD_1[[#This Row],[CODIGO]],PRODUCTOS[CODIGO],PRODUCTOS[DESC CORTA],"",0)</f>
        <v>RODILLO CHIPORRO</v>
      </c>
      <c r="AE593"/>
      <c r="AH593"/>
    </row>
    <row r="594" spans="1:34" x14ac:dyDescent="0.25">
      <c r="A594" s="1">
        <v>46111</v>
      </c>
      <c r="B594" s="1">
        <v>46111</v>
      </c>
      <c r="C594" s="81" t="s">
        <v>169</v>
      </c>
      <c r="D594" s="38">
        <v>3</v>
      </c>
      <c r="E594" s="81" t="s">
        <v>169</v>
      </c>
      <c r="F594">
        <v>617057</v>
      </c>
      <c r="G594" s="81" t="s">
        <v>134</v>
      </c>
      <c r="H594" s="81" t="s">
        <v>31</v>
      </c>
      <c r="I594" s="3">
        <v>5</v>
      </c>
      <c r="J594" s="3"/>
      <c r="K594" s="26">
        <v>5</v>
      </c>
      <c r="L594" s="2">
        <v>2042.2</v>
      </c>
      <c r="M594" s="2">
        <v>10211</v>
      </c>
      <c r="N594" s="2">
        <v>10211</v>
      </c>
      <c r="O594" s="2">
        <v>2042.1197</v>
      </c>
      <c r="P594" s="2">
        <v>-8.0299999999999996E-2</v>
      </c>
      <c r="Q594" s="2">
        <v>-0.40150000000000002</v>
      </c>
      <c r="R594" s="4">
        <v>-3.9318948719891769E-5</v>
      </c>
      <c r="T594">
        <v>310742</v>
      </c>
      <c r="U594" s="2"/>
      <c r="V594">
        <v>5886</v>
      </c>
      <c r="W594" s="2">
        <v>6579000000</v>
      </c>
      <c r="X594" s="6">
        <v>10210.598529999999</v>
      </c>
      <c r="Y594" s="38">
        <v>10010</v>
      </c>
      <c r="Z594" s="86">
        <f>+((DETALLE_GD_1[[#This Row],[VALOR X UN (GD)]]-DETALLE_GD_1[[#This Row],[VALOR PPTO]])/DETALLE_GD_1[[#This Row],[VALOR PPTO]])</f>
        <v>3.9321886958966856E-5</v>
      </c>
      <c r="AA594" s="2">
        <f>+DETALLE_GD_1[[#This Row],[VALOR PPTO]]*DETALLE_GD_1[[#This Row],[CANTIDAD RECIBIDA]]</f>
        <v>10210.5985</v>
      </c>
      <c r="AB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4" s="3">
        <f>+DETALLE_GD_1[[#This Row],[CANTIDAD SOLICITADA]]-DETALLE_GD_1[[#This Row],[DEVOLUCIÓN]]</f>
        <v>5</v>
      </c>
      <c r="AD594" s="38" t="str">
        <f>+_xlfn.XLOOKUP(DETALLE_GD_1[[#This Row],[CODIGO]],PRODUCTOS[CODIGO],PRODUCTOS[DESC CORTA],"",0)</f>
        <v>BROCHA 5/8 X4</v>
      </c>
      <c r="AE594"/>
      <c r="AH594"/>
    </row>
    <row r="595" spans="1:34" x14ac:dyDescent="0.25">
      <c r="A595" s="1">
        <v>46111</v>
      </c>
      <c r="B595" s="1">
        <v>46111</v>
      </c>
      <c r="C595" s="81" t="s">
        <v>169</v>
      </c>
      <c r="D595" s="38">
        <v>3</v>
      </c>
      <c r="E595" s="81" t="s">
        <v>169</v>
      </c>
      <c r="F595">
        <v>2304053</v>
      </c>
      <c r="G595" s="81" t="s">
        <v>213</v>
      </c>
      <c r="H595" s="81" t="s">
        <v>31</v>
      </c>
      <c r="I595" s="3">
        <v>24</v>
      </c>
      <c r="J595" s="3"/>
      <c r="K595" s="26">
        <v>24</v>
      </c>
      <c r="L595" s="2">
        <v>893.5</v>
      </c>
      <c r="M595" s="2">
        <v>21444</v>
      </c>
      <c r="N595" s="2">
        <v>21444</v>
      </c>
      <c r="O595" s="2">
        <v>862</v>
      </c>
      <c r="P595" s="2">
        <v>-31.5</v>
      </c>
      <c r="Q595" s="2">
        <v>-756</v>
      </c>
      <c r="R595" s="4">
        <v>-3.6542923433874573E-2</v>
      </c>
      <c r="T595">
        <v>310742</v>
      </c>
      <c r="U595" s="2"/>
      <c r="V595">
        <v>5886</v>
      </c>
      <c r="W595" s="2">
        <v>6579000000</v>
      </c>
      <c r="X595" s="6">
        <v>20688.000000000004</v>
      </c>
      <c r="Y595" s="38">
        <v>10010</v>
      </c>
      <c r="Z595" s="86">
        <f>+((DETALLE_GD_1[[#This Row],[VALOR X UN (GD)]]-DETALLE_GD_1[[#This Row],[VALOR PPTO]])/DETALLE_GD_1[[#This Row],[VALOR PPTO]])</f>
        <v>3.6542923433874712E-2</v>
      </c>
      <c r="AA595" s="2">
        <f>+DETALLE_GD_1[[#This Row],[VALOR PPTO]]*DETALLE_GD_1[[#This Row],[CANTIDAD RECIBIDA]]</f>
        <v>20688</v>
      </c>
      <c r="AB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5" s="3">
        <f>+DETALLE_GD_1[[#This Row],[CANTIDAD SOLICITADA]]-DETALLE_GD_1[[#This Row],[DEVOLUCIÓN]]</f>
        <v>24</v>
      </c>
      <c r="AD595" s="38">
        <f>+_xlfn.XLOOKUP(DETALLE_GD_1[[#This Row],[CODIGO]],PRODUCTOS[CODIGO],PRODUCTOS[DESC CORTA],"",0)</f>
        <v>0</v>
      </c>
      <c r="AE595"/>
      <c r="AH595"/>
    </row>
    <row r="596" spans="1:34" x14ac:dyDescent="0.25">
      <c r="A596" s="1">
        <v>46111</v>
      </c>
      <c r="B596" s="1">
        <v>46111</v>
      </c>
      <c r="C596" s="81" t="s">
        <v>169</v>
      </c>
      <c r="D596" s="38">
        <v>3</v>
      </c>
      <c r="E596" s="81" t="s">
        <v>169</v>
      </c>
      <c r="F596">
        <v>907031</v>
      </c>
      <c r="G596" s="81" t="s">
        <v>256</v>
      </c>
      <c r="H596" s="81" t="s">
        <v>47</v>
      </c>
      <c r="I596" s="3">
        <v>4</v>
      </c>
      <c r="J596" s="3"/>
      <c r="K596" s="26">
        <v>4</v>
      </c>
      <c r="L596" s="2">
        <v>154915.75</v>
      </c>
      <c r="M596" s="2">
        <v>619663</v>
      </c>
      <c r="N596" s="2">
        <v>619663</v>
      </c>
      <c r="O596" s="2">
        <v>156269.1667</v>
      </c>
      <c r="P596" s="2">
        <v>1353.4167</v>
      </c>
      <c r="Q596" s="2">
        <v>5413.6666999999998</v>
      </c>
      <c r="R596" s="4">
        <v>8.6608042767904996E-3</v>
      </c>
      <c r="T596">
        <v>310742</v>
      </c>
      <c r="U596" s="2"/>
      <c r="V596">
        <v>5886</v>
      </c>
      <c r="W596" s="2">
        <v>6579000000</v>
      </c>
      <c r="X596" s="6">
        <v>625076.66666800017</v>
      </c>
      <c r="Y596" s="38">
        <v>10010</v>
      </c>
      <c r="Z596" s="86">
        <f>+((DETALLE_GD_1[[#This Row],[VALOR X UN (GD)]]-DETALLE_GD_1[[#This Row],[VALOR PPTO]])/DETALLE_GD_1[[#This Row],[VALOR PPTO]])</f>
        <v>-8.6608044861354056E-3</v>
      </c>
      <c r="AA596" s="2">
        <f>+DETALLE_GD_1[[#This Row],[VALOR PPTO]]*DETALLE_GD_1[[#This Row],[CANTIDAD RECIBIDA]]</f>
        <v>625076.66680000001</v>
      </c>
      <c r="AB5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96" s="3">
        <f>+DETALLE_GD_1[[#This Row],[CANTIDAD SOLICITADA]]-DETALLE_GD_1[[#This Row],[DEVOLUCIÓN]]</f>
        <v>4</v>
      </c>
      <c r="AD596" s="38" t="str">
        <f>+_xlfn.XLOOKUP(DETALLE_GD_1[[#This Row],[CODIGO]],PRODUCTOS[CODIGO],PRODUCTOS[DESC CORTA],"",0)</f>
        <v>MEMBRANA PVC</v>
      </c>
      <c r="AE596"/>
      <c r="AH596"/>
    </row>
    <row r="597" spans="1:34" x14ac:dyDescent="0.25">
      <c r="A597" s="1">
        <v>46111</v>
      </c>
      <c r="B597" s="1">
        <v>46111</v>
      </c>
      <c r="C597" s="81" t="s">
        <v>169</v>
      </c>
      <c r="D597" s="38">
        <v>3</v>
      </c>
      <c r="E597" s="81" t="s">
        <v>169</v>
      </c>
      <c r="F597">
        <v>704021</v>
      </c>
      <c r="G597" s="81" t="s">
        <v>329</v>
      </c>
      <c r="H597" s="81" t="s">
        <v>31</v>
      </c>
      <c r="I597" s="3">
        <v>60</v>
      </c>
      <c r="J597" s="3"/>
      <c r="K597" s="26">
        <v>60</v>
      </c>
      <c r="L597" s="2">
        <v>487</v>
      </c>
      <c r="M597" s="2">
        <v>29220</v>
      </c>
      <c r="N597" s="2">
        <v>29220</v>
      </c>
      <c r="O597" s="2">
        <v>487</v>
      </c>
      <c r="P597" s="2">
        <v>0</v>
      </c>
      <c r="Q597" s="2">
        <v>0</v>
      </c>
      <c r="R597" s="4">
        <v>0</v>
      </c>
      <c r="T597">
        <v>310742</v>
      </c>
      <c r="U597" s="2"/>
      <c r="V597">
        <v>5886</v>
      </c>
      <c r="W597" s="2">
        <v>6579000000</v>
      </c>
      <c r="X597" s="6">
        <v>29220</v>
      </c>
      <c r="Y597" s="38">
        <v>10010</v>
      </c>
      <c r="Z597" s="86">
        <f>+((DETALLE_GD_1[[#This Row],[VALOR X UN (GD)]]-DETALLE_GD_1[[#This Row],[VALOR PPTO]])/DETALLE_GD_1[[#This Row],[VALOR PPTO]])</f>
        <v>0</v>
      </c>
      <c r="AA597" s="2">
        <f>+DETALLE_GD_1[[#This Row],[VALOR PPTO]]*DETALLE_GD_1[[#This Row],[CANTIDAD RECIBIDA]]</f>
        <v>29220</v>
      </c>
      <c r="AB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7" s="3">
        <f>+DETALLE_GD_1[[#This Row],[CANTIDAD SOLICITADA]]-DETALLE_GD_1[[#This Row],[DEVOLUCIÓN]]</f>
        <v>60</v>
      </c>
      <c r="AD597" s="38" t="str">
        <f>+_xlfn.XLOOKUP(DETALLE_GD_1[[#This Row],[CODIGO]],PRODUCTOS[CODIGO],PRODUCTOS[DESC CORTA],"",0)</f>
        <v>ESQUINERO PILASTRA PVC</v>
      </c>
      <c r="AE597"/>
      <c r="AH597"/>
    </row>
    <row r="598" spans="1:34" x14ac:dyDescent="0.25">
      <c r="A598" s="1">
        <v>46111</v>
      </c>
      <c r="B598" s="1">
        <v>46111</v>
      </c>
      <c r="C598" s="81" t="s">
        <v>169</v>
      </c>
      <c r="D598" s="38">
        <v>3</v>
      </c>
      <c r="E598" s="81" t="s">
        <v>169</v>
      </c>
      <c r="F598">
        <v>307033</v>
      </c>
      <c r="G598" s="81" t="s">
        <v>248</v>
      </c>
      <c r="H598" s="81" t="s">
        <v>31</v>
      </c>
      <c r="I598" s="3">
        <v>75</v>
      </c>
      <c r="J598" s="3"/>
      <c r="K598" s="26">
        <v>75</v>
      </c>
      <c r="L598" s="2">
        <v>1889.6267</v>
      </c>
      <c r="M598" s="2">
        <v>141722</v>
      </c>
      <c r="N598" s="2">
        <v>141722</v>
      </c>
      <c r="O598" s="2">
        <v>1889.0535</v>
      </c>
      <c r="P598" s="2">
        <v>-0.57310000000000005</v>
      </c>
      <c r="Q598" s="2">
        <v>-42.984200000000001</v>
      </c>
      <c r="R598" s="4">
        <v>-3.0339143561454527E-4</v>
      </c>
      <c r="T598">
        <v>310742</v>
      </c>
      <c r="U598" s="2"/>
      <c r="V598">
        <v>5886</v>
      </c>
      <c r="W598" s="2">
        <v>6579000000</v>
      </c>
      <c r="X598" s="6">
        <v>141679.01579999999</v>
      </c>
      <c r="Y598" s="38">
        <v>10010</v>
      </c>
      <c r="Z598" s="86">
        <f>+((DETALLE_GD_1[[#This Row],[VALOR X UN (GD)]]-DETALLE_GD_1[[#This Row],[VALOR PPTO]])/DETALLE_GD_1[[#This Row],[VALOR PPTO]])</f>
        <v>3.0343238028994024E-4</v>
      </c>
      <c r="AA598" s="2">
        <f>+DETALLE_GD_1[[#This Row],[VALOR PPTO]]*DETALLE_GD_1[[#This Row],[CANTIDAD RECIBIDA]]</f>
        <v>141679.01250000001</v>
      </c>
      <c r="AB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8" s="3">
        <f>+DETALLE_GD_1[[#This Row],[CANTIDAD SOLICITADA]]-DETALLE_GD_1[[#This Row],[DEVOLUCIÓN]]</f>
        <v>75</v>
      </c>
      <c r="AD598" s="38">
        <f>+_xlfn.XLOOKUP(DETALLE_GD_1[[#This Row],[CODIGO]],PRODUCTOS[CODIGO],PRODUCTOS[DESC CORTA],"",0)</f>
        <v>0</v>
      </c>
      <c r="AE598"/>
      <c r="AH598"/>
    </row>
    <row r="599" spans="1:34" x14ac:dyDescent="0.25">
      <c r="A599" s="1">
        <v>46111</v>
      </c>
      <c r="B599" s="1">
        <v>46111</v>
      </c>
      <c r="C599" s="81" t="s">
        <v>169</v>
      </c>
      <c r="D599" s="38">
        <v>3</v>
      </c>
      <c r="E599" s="81" t="s">
        <v>169</v>
      </c>
      <c r="F599">
        <v>407185</v>
      </c>
      <c r="G599" s="81" t="s">
        <v>43</v>
      </c>
      <c r="H599" s="81" t="s">
        <v>31</v>
      </c>
      <c r="I599" s="3">
        <v>2000</v>
      </c>
      <c r="J599" s="3"/>
      <c r="K599" s="26">
        <v>2000</v>
      </c>
      <c r="L599" s="2">
        <v>6.8784999999999998</v>
      </c>
      <c r="M599" s="2">
        <v>13757</v>
      </c>
      <c r="N599" s="2">
        <v>13757</v>
      </c>
      <c r="O599" s="2">
        <v>6.8783000000000003</v>
      </c>
      <c r="P599" s="2">
        <v>-2.0000000000000001E-4</v>
      </c>
      <c r="Q599" s="2">
        <v>-0.36</v>
      </c>
      <c r="R599" s="4">
        <v>-2.6169180846398952E-5</v>
      </c>
      <c r="T599">
        <v>310742</v>
      </c>
      <c r="U599" s="2"/>
      <c r="V599">
        <v>5886</v>
      </c>
      <c r="W599" s="2">
        <v>6579000000</v>
      </c>
      <c r="X599" s="6">
        <v>13756.64</v>
      </c>
      <c r="Y599" s="38">
        <v>10010</v>
      </c>
      <c r="Z599" s="86">
        <f>+((DETALLE_GD_1[[#This Row],[VALOR X UN (GD)]]-DETALLE_GD_1[[#This Row],[VALOR PPTO]])/DETALLE_GD_1[[#This Row],[VALOR PPTO]])</f>
        <v>2.9076952153807463E-5</v>
      </c>
      <c r="AA599" s="2">
        <f>+DETALLE_GD_1[[#This Row],[VALOR PPTO]]*DETALLE_GD_1[[#This Row],[CANTIDAD RECIBIDA]]</f>
        <v>13756.6</v>
      </c>
      <c r="AB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9" s="3">
        <f>+DETALLE_GD_1[[#This Row],[CANTIDAD SOLICITADA]]-DETALLE_GD_1[[#This Row],[DEVOLUCIÓN]]</f>
        <v>2000</v>
      </c>
      <c r="AD599" s="38">
        <f>+_xlfn.XLOOKUP(DETALLE_GD_1[[#This Row],[CODIGO]],PRODUCTOS[CODIGO],PRODUCTOS[DESC CORTA],"",0)</f>
        <v>0</v>
      </c>
      <c r="AE599"/>
      <c r="AH599"/>
    </row>
    <row r="600" spans="1:34" x14ac:dyDescent="0.25">
      <c r="A600" s="1">
        <v>46112</v>
      </c>
      <c r="B600" s="1">
        <v>46112</v>
      </c>
      <c r="C600" s="81" t="s">
        <v>169</v>
      </c>
      <c r="D600" s="38">
        <v>3</v>
      </c>
      <c r="E600" s="81" t="s">
        <v>169</v>
      </c>
      <c r="F600">
        <v>302048</v>
      </c>
      <c r="G600" s="81" t="s">
        <v>126</v>
      </c>
      <c r="H600" s="81" t="s">
        <v>20</v>
      </c>
      <c r="I600" s="3">
        <v>108</v>
      </c>
      <c r="J600" s="3"/>
      <c r="K600" s="26">
        <v>108</v>
      </c>
      <c r="L600" s="2">
        <v>13789.1389</v>
      </c>
      <c r="M600" s="2">
        <v>1489227</v>
      </c>
      <c r="N600" s="2">
        <v>1489227</v>
      </c>
      <c r="O600" s="2">
        <v>13710.695</v>
      </c>
      <c r="P600" s="2">
        <v>-78.443899999999999</v>
      </c>
      <c r="Q600" s="2">
        <v>-8471.9441999999999</v>
      </c>
      <c r="R600" s="4">
        <v>-5.7213677433582176E-3</v>
      </c>
      <c r="T600">
        <v>310862</v>
      </c>
      <c r="U600" s="2">
        <v>2893944</v>
      </c>
      <c r="V600">
        <v>5886</v>
      </c>
      <c r="W600" s="2">
        <v>6579000000</v>
      </c>
      <c r="X600" s="6">
        <v>1480755.0557880001</v>
      </c>
      <c r="Y600" s="38">
        <v>10010</v>
      </c>
      <c r="Z600" s="86">
        <f>+((DETALLE_GD_1[[#This Row],[VALOR X UN (GD)]]-DETALLE_GD_1[[#This Row],[VALOR PPTO]])/DETALLE_GD_1[[#This Row],[VALOR PPTO]])</f>
        <v>5.7213656929864035E-3</v>
      </c>
      <c r="AA600" s="2">
        <f>+DETALLE_GD_1[[#This Row],[VALOR PPTO]]*DETALLE_GD_1[[#This Row],[CANTIDAD RECIBIDA]]</f>
        <v>1480755.06</v>
      </c>
      <c r="AB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00" s="3">
        <f>+DETALLE_GD_1[[#This Row],[CANTIDAD SOLICITADA]]-DETALLE_GD_1[[#This Row],[DEVOLUCIÓN]]</f>
        <v>108</v>
      </c>
      <c r="AD600" s="38" t="str">
        <f>+_xlfn.XLOOKUP(DETALLE_GD_1[[#This Row],[CODIGO]],PRODUCTOS[CODIGO],PRODUCTOS[DESC CORTA],"",0)</f>
        <v>PINO 2X8X4</v>
      </c>
      <c r="AE600"/>
      <c r="AH600"/>
    </row>
    <row r="601" spans="1:34" x14ac:dyDescent="0.25">
      <c r="A601" s="1">
        <v>46112</v>
      </c>
      <c r="B601" s="1">
        <v>46112</v>
      </c>
      <c r="C601" s="81" t="s">
        <v>169</v>
      </c>
      <c r="D601" s="38">
        <v>3</v>
      </c>
      <c r="E601" s="81" t="s">
        <v>169</v>
      </c>
      <c r="F601">
        <v>302028</v>
      </c>
      <c r="G601" s="81" t="s">
        <v>246</v>
      </c>
      <c r="H601" s="81" t="s">
        <v>20</v>
      </c>
      <c r="I601" s="3">
        <v>120</v>
      </c>
      <c r="J601" s="3"/>
      <c r="K601" s="26">
        <v>120</v>
      </c>
      <c r="L601" s="2">
        <v>4955.3999999999996</v>
      </c>
      <c r="M601" s="2">
        <v>594648</v>
      </c>
      <c r="N601" s="2">
        <v>594648</v>
      </c>
      <c r="O601" s="2">
        <v>5123.8024999999998</v>
      </c>
      <c r="P601" s="2">
        <v>168.4025</v>
      </c>
      <c r="Q601" s="2">
        <v>20208.303199999998</v>
      </c>
      <c r="R601" s="4">
        <v>3.2866709072529789E-2</v>
      </c>
      <c r="T601">
        <v>310862</v>
      </c>
      <c r="U601" s="2"/>
      <c r="V601">
        <v>5886</v>
      </c>
      <c r="W601" s="2">
        <v>6579000000</v>
      </c>
      <c r="X601" s="6">
        <v>614856.30324000015</v>
      </c>
      <c r="Y601" s="38">
        <v>10010</v>
      </c>
      <c r="Z601" s="86">
        <f>+((DETALLE_GD_1[[#This Row],[VALOR X UN (GD)]]-DETALLE_GD_1[[#This Row],[VALOR PPTO]])/DETALLE_GD_1[[#This Row],[VALOR PPTO]])</f>
        <v>-3.2866703976197398E-2</v>
      </c>
      <c r="AA601" s="2">
        <f>+DETALLE_GD_1[[#This Row],[VALOR PPTO]]*DETALLE_GD_1[[#This Row],[CANTIDAD RECIBIDA]]</f>
        <v>614856.29999999993</v>
      </c>
      <c r="AB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01" s="3">
        <f>+DETALLE_GD_1[[#This Row],[CANTIDAD SOLICITADA]]-DETALLE_GD_1[[#This Row],[DEVOLUCIÓN]]</f>
        <v>120</v>
      </c>
      <c r="AD601" s="38" t="str">
        <f>+_xlfn.XLOOKUP(DETALLE_GD_1[[#This Row],[CODIGO]],PRODUCTOS[CODIGO],PRODUCTOS[DESC CORTA],"",0)</f>
        <v>PINO 2X4X320</v>
      </c>
      <c r="AE601"/>
      <c r="AH601"/>
    </row>
    <row r="602" spans="1:34" x14ac:dyDescent="0.25">
      <c r="A602" s="1">
        <v>46112</v>
      </c>
      <c r="B602" s="1">
        <v>46112</v>
      </c>
      <c r="C602" s="81" t="s">
        <v>169</v>
      </c>
      <c r="D602" s="38">
        <v>3</v>
      </c>
      <c r="E602" s="81" t="s">
        <v>169</v>
      </c>
      <c r="F602">
        <v>412301</v>
      </c>
      <c r="G602" s="81" t="s">
        <v>327</v>
      </c>
      <c r="H602" s="81" t="s">
        <v>31</v>
      </c>
      <c r="I602" s="3">
        <v>2000</v>
      </c>
      <c r="J602" s="3"/>
      <c r="K602" s="26">
        <v>2000</v>
      </c>
      <c r="L602" s="2">
        <v>388.76</v>
      </c>
      <c r="M602" s="2">
        <v>777520</v>
      </c>
      <c r="N602" s="2">
        <v>777520</v>
      </c>
      <c r="O602" s="2">
        <v>388.75979999999998</v>
      </c>
      <c r="P602" s="2">
        <v>-2.0000000000000001E-4</v>
      </c>
      <c r="Q602" s="2">
        <v>-0.46</v>
      </c>
      <c r="R602" s="4">
        <v>-5.9162500273045235E-7</v>
      </c>
      <c r="T602">
        <v>310862</v>
      </c>
      <c r="U602" s="2"/>
      <c r="V602">
        <v>5886</v>
      </c>
      <c r="W602" s="2">
        <v>6579000000</v>
      </c>
      <c r="X602" s="6">
        <v>777519.54</v>
      </c>
      <c r="Y602" s="38">
        <v>10010</v>
      </c>
      <c r="Z602" s="86">
        <f>+((DETALLE_GD_1[[#This Row],[VALOR X UN (GD)]]-DETALLE_GD_1[[#This Row],[VALOR PPTO]])/DETALLE_GD_1[[#This Row],[VALOR PPTO]])</f>
        <v>5.1445648445811355E-7</v>
      </c>
      <c r="AA602" s="2">
        <f>+DETALLE_GD_1[[#This Row],[VALOR PPTO]]*DETALLE_GD_1[[#This Row],[CANTIDAD RECIBIDA]]</f>
        <v>777519.6</v>
      </c>
      <c r="AB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2" s="3">
        <f>+DETALLE_GD_1[[#This Row],[CANTIDAD SOLICITADA]]-DETALLE_GD_1[[#This Row],[DEVOLUCIÓN]]</f>
        <v>2000</v>
      </c>
      <c r="AD602" s="38">
        <f>+_xlfn.XLOOKUP(DETALLE_GD_1[[#This Row],[CODIGO]],PRODUCTOS[CODIGO],PRODUCTOS[DESC CORTA],"",0)</f>
        <v>0</v>
      </c>
      <c r="AE602"/>
      <c r="AH602"/>
    </row>
    <row r="603" spans="1:34" x14ac:dyDescent="0.25">
      <c r="A603" s="1">
        <v>46112</v>
      </c>
      <c r="B603" s="1">
        <v>46112</v>
      </c>
      <c r="C603" s="81" t="s">
        <v>169</v>
      </c>
      <c r="D603" s="38">
        <v>3</v>
      </c>
      <c r="E603" s="81" t="s">
        <v>169</v>
      </c>
      <c r="F603" t="s">
        <v>452</v>
      </c>
      <c r="G603" s="81" t="s">
        <v>453</v>
      </c>
      <c r="H603" s="81" t="s">
        <v>31</v>
      </c>
      <c r="I603" s="3">
        <v>1</v>
      </c>
      <c r="J603" s="3"/>
      <c r="K603" s="26">
        <v>1</v>
      </c>
      <c r="L603" s="2">
        <v>31553</v>
      </c>
      <c r="M603" s="2">
        <v>31553</v>
      </c>
      <c r="N603" s="2">
        <v>31553</v>
      </c>
      <c r="O603" s="2"/>
      <c r="P603" s="2"/>
      <c r="Q603" s="2">
        <v>-31553</v>
      </c>
      <c r="R603" s="4"/>
      <c r="T603">
        <v>310862</v>
      </c>
      <c r="U603" s="2"/>
      <c r="V603">
        <v>5886</v>
      </c>
      <c r="W603" s="2">
        <v>6579000000</v>
      </c>
      <c r="X603" s="6" t="s">
        <v>355</v>
      </c>
      <c r="Y603" s="38">
        <v>10010</v>
      </c>
      <c r="Z603" s="86" t="e">
        <f>+((DETALLE_GD_1[[#This Row],[VALOR X UN (GD)]]-DETALLE_GD_1[[#This Row],[VALOR PPTO]])/DETALLE_GD_1[[#This Row],[VALOR PPTO]])</f>
        <v>#DIV/0!</v>
      </c>
      <c r="AA603" s="2">
        <f>+DETALLE_GD_1[[#This Row],[VALOR PPTO]]*DETALLE_GD_1[[#This Row],[CANTIDAD RECIBIDA]]</f>
        <v>0</v>
      </c>
      <c r="AB6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3" s="3">
        <f>+DETALLE_GD_1[[#This Row],[CANTIDAD SOLICITADA]]-DETALLE_GD_1[[#This Row],[DEVOLUCIÓN]]</f>
        <v>1</v>
      </c>
      <c r="AD603" s="38" t="str">
        <f>+_xlfn.XLOOKUP(DETALLE_GD_1[[#This Row],[CODIGO]],PRODUCTOS[CODIGO],PRODUCTOS[DESC CORTA],"",0)</f>
        <v/>
      </c>
      <c r="AE603"/>
      <c r="AH603"/>
    </row>
    <row r="604" spans="1:34" x14ac:dyDescent="0.25">
      <c r="A604" s="1">
        <v>46112</v>
      </c>
      <c r="B604" s="1">
        <v>46112</v>
      </c>
      <c r="C604" s="81" t="s">
        <v>169</v>
      </c>
      <c r="D604" s="38">
        <v>3</v>
      </c>
      <c r="E604" s="81" t="s">
        <v>169</v>
      </c>
      <c r="F604">
        <v>701183</v>
      </c>
      <c r="G604" s="81" t="s">
        <v>136</v>
      </c>
      <c r="H604" s="81" t="s">
        <v>137</v>
      </c>
      <c r="I604" s="3">
        <v>1</v>
      </c>
      <c r="J604" s="3"/>
      <c r="K604" s="26">
        <v>1</v>
      </c>
      <c r="L604" s="2">
        <v>996</v>
      </c>
      <c r="M604" s="2">
        <v>996</v>
      </c>
      <c r="N604" s="2">
        <v>996</v>
      </c>
      <c r="O604" s="2">
        <v>996.5</v>
      </c>
      <c r="P604" s="2">
        <v>0.5</v>
      </c>
      <c r="Q604" s="2">
        <v>0.5</v>
      </c>
      <c r="R604" s="4">
        <v>5.0175614651279475E-4</v>
      </c>
      <c r="T604">
        <v>310862</v>
      </c>
      <c r="U604" s="2"/>
      <c r="V604">
        <v>5886</v>
      </c>
      <c r="W604" s="2">
        <v>6579000000</v>
      </c>
      <c r="X604" s="6">
        <v>996.5</v>
      </c>
      <c r="Y604" s="38">
        <v>10010</v>
      </c>
      <c r="Z604" s="86">
        <f>+((DETALLE_GD_1[[#This Row],[VALOR X UN (GD)]]-DETALLE_GD_1[[#This Row],[VALOR PPTO]])/DETALLE_GD_1[[#This Row],[VALOR PPTO]])</f>
        <v>-5.0175614651279475E-4</v>
      </c>
      <c r="AA604" s="2">
        <f>+DETALLE_GD_1[[#This Row],[VALOR PPTO]]*DETALLE_GD_1[[#This Row],[CANTIDAD RECIBIDA]]</f>
        <v>996.5</v>
      </c>
      <c r="AB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4" s="3">
        <f>+DETALLE_GD_1[[#This Row],[CANTIDAD SOLICITADA]]-DETALLE_GD_1[[#This Row],[DEVOLUCIÓN]]</f>
        <v>1</v>
      </c>
      <c r="AD604" s="38" t="str">
        <f>+_xlfn.XLOOKUP(DETALLE_GD_1[[#This Row],[CODIGO]],PRODUCTOS[CODIGO],PRODUCTOS[DESC CORTA],"",0)</f>
        <v>MOLDURA PVC INTERIOR</v>
      </c>
      <c r="AE604"/>
      <c r="AH604"/>
    </row>
    <row r="605" spans="1:34" x14ac:dyDescent="0.25">
      <c r="A605" s="1">
        <v>46112</v>
      </c>
      <c r="B605" s="1">
        <v>46112</v>
      </c>
      <c r="C605" s="81" t="s">
        <v>169</v>
      </c>
      <c r="D605" s="38">
        <v>3</v>
      </c>
      <c r="E605" s="81" t="s">
        <v>169</v>
      </c>
      <c r="F605">
        <v>602254</v>
      </c>
      <c r="G605" s="81" t="s">
        <v>214</v>
      </c>
      <c r="H605" s="81" t="s">
        <v>25</v>
      </c>
      <c r="I605" s="3">
        <v>1</v>
      </c>
      <c r="J605" s="3"/>
      <c r="K605" s="26">
        <v>1</v>
      </c>
      <c r="L605" s="2">
        <v>46060</v>
      </c>
      <c r="M605" s="2">
        <v>46060</v>
      </c>
      <c r="N605" s="2">
        <v>46060</v>
      </c>
      <c r="O605" s="2">
        <v>46060</v>
      </c>
      <c r="P605" s="2">
        <v>0</v>
      </c>
      <c r="Q605" s="2">
        <v>0</v>
      </c>
      <c r="R605" s="4">
        <v>0</v>
      </c>
      <c r="T605">
        <v>310907</v>
      </c>
      <c r="U605" s="2">
        <v>894529</v>
      </c>
      <c r="V605">
        <v>5886</v>
      </c>
      <c r="W605" s="2">
        <v>6579000000</v>
      </c>
      <c r="X605" s="6">
        <v>46060</v>
      </c>
      <c r="Y605" s="38">
        <v>10010</v>
      </c>
      <c r="Z605" s="86">
        <f>+((DETALLE_GD_1[[#This Row],[VALOR X UN (GD)]]-DETALLE_GD_1[[#This Row],[VALOR PPTO]])/DETALLE_GD_1[[#This Row],[VALOR PPTO]])</f>
        <v>0</v>
      </c>
      <c r="AA605" s="2">
        <f>+DETALLE_GD_1[[#This Row],[VALOR PPTO]]*DETALLE_GD_1[[#This Row],[CANTIDAD RECIBIDA]]</f>
        <v>46060</v>
      </c>
      <c r="AB6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5" s="3">
        <f>+DETALLE_GD_1[[#This Row],[CANTIDAD SOLICITADA]]-DETALLE_GD_1[[#This Row],[DEVOLUCIÓN]]</f>
        <v>1</v>
      </c>
      <c r="AD605" s="38">
        <f>+_xlfn.XLOOKUP(DETALLE_GD_1[[#This Row],[CODIGO]],PRODUCTOS[CODIGO],PRODUCTOS[DESC CORTA],"",0)</f>
        <v>0</v>
      </c>
      <c r="AE605"/>
      <c r="AH605"/>
    </row>
    <row r="606" spans="1:34" x14ac:dyDescent="0.25">
      <c r="A606" s="1">
        <v>46112</v>
      </c>
      <c r="B606" s="1">
        <v>46112</v>
      </c>
      <c r="C606" s="81" t="s">
        <v>169</v>
      </c>
      <c r="D606" s="38">
        <v>3</v>
      </c>
      <c r="E606" s="81" t="s">
        <v>169</v>
      </c>
      <c r="F606">
        <v>602255</v>
      </c>
      <c r="G606" s="81" t="s">
        <v>203</v>
      </c>
      <c r="H606" s="81" t="s">
        <v>25</v>
      </c>
      <c r="I606" s="3">
        <v>1</v>
      </c>
      <c r="J606" s="3"/>
      <c r="K606" s="26">
        <v>1</v>
      </c>
      <c r="L606" s="2">
        <v>47890</v>
      </c>
      <c r="M606" s="2">
        <v>47890</v>
      </c>
      <c r="N606" s="2">
        <v>47890</v>
      </c>
      <c r="O606" s="2">
        <v>47889.5</v>
      </c>
      <c r="P606" s="2">
        <v>-0.5</v>
      </c>
      <c r="Q606" s="2">
        <v>-0.5</v>
      </c>
      <c r="R606" s="4">
        <v>-1.0440702032804683E-5</v>
      </c>
      <c r="T606">
        <v>310907</v>
      </c>
      <c r="U606" s="2"/>
      <c r="V606">
        <v>5886</v>
      </c>
      <c r="W606" s="2">
        <v>6579000000</v>
      </c>
      <c r="X606" s="6">
        <v>47889.5</v>
      </c>
      <c r="Y606" s="38">
        <v>10010</v>
      </c>
      <c r="Z606" s="86">
        <f>+((DETALLE_GD_1[[#This Row],[VALOR X UN (GD)]]-DETALLE_GD_1[[#This Row],[VALOR PPTO]])/DETALLE_GD_1[[#This Row],[VALOR PPTO]])</f>
        <v>1.0440702032804685E-5</v>
      </c>
      <c r="AA606" s="2">
        <f>+DETALLE_GD_1[[#This Row],[VALOR PPTO]]*DETALLE_GD_1[[#This Row],[CANTIDAD RECIBIDA]]</f>
        <v>47889.5</v>
      </c>
      <c r="AB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6" s="3">
        <f>+DETALLE_GD_1[[#This Row],[CANTIDAD SOLICITADA]]-DETALLE_GD_1[[#This Row],[DEVOLUCIÓN]]</f>
        <v>1</v>
      </c>
      <c r="AD606" s="38">
        <f>+_xlfn.XLOOKUP(DETALLE_GD_1[[#This Row],[CODIGO]],PRODUCTOS[CODIGO],PRODUCTOS[DESC CORTA],"",0)</f>
        <v>0</v>
      </c>
      <c r="AE606"/>
      <c r="AH606"/>
    </row>
    <row r="607" spans="1:34" x14ac:dyDescent="0.25">
      <c r="A607" s="1">
        <v>46112</v>
      </c>
      <c r="B607" s="1">
        <v>46112</v>
      </c>
      <c r="C607" s="81" t="s">
        <v>169</v>
      </c>
      <c r="D607" s="38">
        <v>3</v>
      </c>
      <c r="E607" s="81" t="s">
        <v>169</v>
      </c>
      <c r="F607">
        <v>1405040</v>
      </c>
      <c r="G607" s="81" t="s">
        <v>451</v>
      </c>
      <c r="H607" s="81" t="s">
        <v>31</v>
      </c>
      <c r="I607" s="3">
        <v>12</v>
      </c>
      <c r="J607" s="3"/>
      <c r="K607" s="26">
        <v>12</v>
      </c>
      <c r="L607" s="2">
        <v>7568</v>
      </c>
      <c r="M607" s="2">
        <v>90816</v>
      </c>
      <c r="N607" s="2">
        <v>90816</v>
      </c>
      <c r="O607" s="2">
        <v>7568</v>
      </c>
      <c r="P607" s="2">
        <v>0</v>
      </c>
      <c r="Q607" s="2">
        <v>0</v>
      </c>
      <c r="R607" s="4">
        <v>0</v>
      </c>
      <c r="T607">
        <v>310907</v>
      </c>
      <c r="U607" s="2"/>
      <c r="V607">
        <v>5886</v>
      </c>
      <c r="W607" s="2">
        <v>6579000000</v>
      </c>
      <c r="X607" s="6">
        <v>90816</v>
      </c>
      <c r="Y607" s="38">
        <v>10010</v>
      </c>
      <c r="Z607" s="86">
        <f>+((DETALLE_GD_1[[#This Row],[VALOR X UN (GD)]]-DETALLE_GD_1[[#This Row],[VALOR PPTO]])/DETALLE_GD_1[[#This Row],[VALOR PPTO]])</f>
        <v>0</v>
      </c>
      <c r="AA607" s="2">
        <f>+DETALLE_GD_1[[#This Row],[VALOR PPTO]]*DETALLE_GD_1[[#This Row],[CANTIDAD RECIBIDA]]</f>
        <v>90816</v>
      </c>
      <c r="AB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7" s="3">
        <f>+DETALLE_GD_1[[#This Row],[CANTIDAD SOLICITADA]]-DETALLE_GD_1[[#This Row],[DEVOLUCIÓN]]</f>
        <v>12</v>
      </c>
      <c r="AD607" s="38" t="str">
        <f>+_xlfn.XLOOKUP(DETALLE_GD_1[[#This Row],[CODIGO]],PRODUCTOS[CODIGO],PRODUCTOS[DESC CORTA],"",0)</f>
        <v>CEERRADURA BAÑO 815 TUBULAR</v>
      </c>
      <c r="AE607"/>
      <c r="AH607"/>
    </row>
    <row r="608" spans="1:34" x14ac:dyDescent="0.25">
      <c r="A608" s="1">
        <v>46112</v>
      </c>
      <c r="B608" s="1">
        <v>46112</v>
      </c>
      <c r="C608" s="81" t="s">
        <v>169</v>
      </c>
      <c r="D608" s="38">
        <v>3</v>
      </c>
      <c r="E608" s="81" t="s">
        <v>169</v>
      </c>
      <c r="F608">
        <v>407011</v>
      </c>
      <c r="G608" s="81" t="s">
        <v>30</v>
      </c>
      <c r="H608" s="81" t="s">
        <v>31</v>
      </c>
      <c r="I608" s="3">
        <v>1500</v>
      </c>
      <c r="J608" s="3"/>
      <c r="K608" s="26">
        <v>1500</v>
      </c>
      <c r="L608" s="2">
        <v>473.17529999999999</v>
      </c>
      <c r="M608" s="2">
        <v>709763</v>
      </c>
      <c r="N608" s="2">
        <v>709763</v>
      </c>
      <c r="O608" s="2">
        <v>473.17520000000002</v>
      </c>
      <c r="P608" s="2">
        <v>-1E-4</v>
      </c>
      <c r="Q608" s="2">
        <v>-0.14000000000000001</v>
      </c>
      <c r="R608" s="4">
        <v>-1.9724897997357141E-7</v>
      </c>
      <c r="T608">
        <v>310907</v>
      </c>
      <c r="U608" s="2"/>
      <c r="V608">
        <v>5886</v>
      </c>
      <c r="W608" s="2">
        <v>6579000000</v>
      </c>
      <c r="X608" s="6">
        <v>709762.85999999987</v>
      </c>
      <c r="Y608" s="38">
        <v>10010</v>
      </c>
      <c r="Z608" s="86">
        <f>+((DETALLE_GD_1[[#This Row],[VALOR X UN (GD)]]-DETALLE_GD_1[[#This Row],[VALOR PPTO]])/DETALLE_GD_1[[#This Row],[VALOR PPTO]])</f>
        <v>2.1133821040261184E-7</v>
      </c>
      <c r="AA608" s="2">
        <f>+DETALLE_GD_1[[#This Row],[VALOR PPTO]]*DETALLE_GD_1[[#This Row],[CANTIDAD RECIBIDA]]</f>
        <v>709762.8</v>
      </c>
      <c r="AB6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08" s="3">
        <f>+DETALLE_GD_1[[#This Row],[CANTIDAD SOLICITADA]]-DETALLE_GD_1[[#This Row],[DEVOLUCIÓN]]</f>
        <v>1500</v>
      </c>
      <c r="AD608" s="38" t="str">
        <f>+_xlfn.XLOOKUP(DETALLE_GD_1[[#This Row],[CODIGO]],PRODUCTOS[CODIGO],PRODUCTOS[DESC CORTA],"",0)</f>
        <v>TORNILLO SIMPSON 6"</v>
      </c>
      <c r="AE608"/>
      <c r="AH608"/>
    </row>
    <row r="609" spans="1:34" x14ac:dyDescent="0.25">
      <c r="A609" s="1">
        <v>46113</v>
      </c>
      <c r="B609" s="1">
        <v>46113</v>
      </c>
      <c r="C609" s="81" t="s">
        <v>169</v>
      </c>
      <c r="D609" s="38">
        <v>4</v>
      </c>
      <c r="E609" s="81" t="s">
        <v>169</v>
      </c>
      <c r="F609">
        <v>1902014</v>
      </c>
      <c r="G609" s="81" t="s">
        <v>316</v>
      </c>
      <c r="H609" s="81" t="s">
        <v>18</v>
      </c>
      <c r="I609" s="3">
        <v>40</v>
      </c>
      <c r="J609" s="3"/>
      <c r="K609" s="26">
        <v>40</v>
      </c>
      <c r="L609" s="2">
        <v>29779</v>
      </c>
      <c r="M609" s="2">
        <v>1191160</v>
      </c>
      <c r="N609" s="2">
        <v>1191160</v>
      </c>
      <c r="O609" s="2">
        <v>29779</v>
      </c>
      <c r="P609" s="2">
        <v>0</v>
      </c>
      <c r="Q609" s="2">
        <v>0</v>
      </c>
      <c r="R609" s="4">
        <v>1.2216591581620001E-16</v>
      </c>
      <c r="T609">
        <v>311004</v>
      </c>
      <c r="U609" s="2">
        <v>6292847</v>
      </c>
      <c r="V609">
        <v>5947</v>
      </c>
      <c r="W609" s="2">
        <v>6579000000</v>
      </c>
      <c r="X609" s="6">
        <v>1191160.0000000002</v>
      </c>
      <c r="Y609" s="38">
        <v>10010</v>
      </c>
      <c r="Z609" s="86">
        <f>+((DETALLE_GD_1[[#This Row],[VALOR X UN (GD)]]-DETALLE_GD_1[[#This Row],[VALOR PPTO]])/DETALLE_GD_1[[#This Row],[VALOR PPTO]])</f>
        <v>0</v>
      </c>
      <c r="AA609" s="2">
        <f>+DETALLE_GD_1[[#This Row],[VALOR PPTO]]*DETALLE_GD_1[[#This Row],[CANTIDAD RECIBIDA]]</f>
        <v>1191160</v>
      </c>
      <c r="AB6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09" s="3">
        <f>+DETALLE_GD_1[[#This Row],[CANTIDAD SOLICITADA]]-DETALLE_GD_1[[#This Row],[DEVOLUCIÓN]]</f>
        <v>40</v>
      </c>
      <c r="AD609" s="38" t="str">
        <f>+_xlfn.XLOOKUP(DETALLE_GD_1[[#This Row],[CODIGO]],PRODUCTOS[CODIGO],PRODUCTOS[DESC CORTA],"",0)</f>
        <v>VOLCOGLASS</v>
      </c>
      <c r="AE609"/>
      <c r="AH609"/>
    </row>
    <row r="610" spans="1:34" x14ac:dyDescent="0.25">
      <c r="A610" s="1">
        <v>46113</v>
      </c>
      <c r="B610" s="1">
        <v>46113</v>
      </c>
      <c r="C610" s="81" t="s">
        <v>169</v>
      </c>
      <c r="D610" s="38">
        <v>4</v>
      </c>
      <c r="E610" s="81" t="s">
        <v>169</v>
      </c>
      <c r="F610">
        <v>412260</v>
      </c>
      <c r="G610" s="81" t="s">
        <v>41</v>
      </c>
      <c r="H610" s="81" t="s">
        <v>31</v>
      </c>
      <c r="I610" s="3">
        <v>52</v>
      </c>
      <c r="J610" s="3"/>
      <c r="K610" s="26">
        <v>52</v>
      </c>
      <c r="L610" s="2">
        <v>86746.9038</v>
      </c>
      <c r="M610" s="2">
        <v>4510839</v>
      </c>
      <c r="N610" s="2">
        <v>4510839</v>
      </c>
      <c r="O610" s="2">
        <v>87567.442500000005</v>
      </c>
      <c r="P610" s="2">
        <v>820.53859999999997</v>
      </c>
      <c r="Q610" s="2">
        <v>42668.008900000001</v>
      </c>
      <c r="R610" s="4">
        <v>9.37036195903845E-3</v>
      </c>
      <c r="T610">
        <v>311004</v>
      </c>
      <c r="U610" s="2"/>
      <c r="V610">
        <v>5947</v>
      </c>
      <c r="W610" s="2">
        <v>6579000000</v>
      </c>
      <c r="X610" s="6">
        <v>4553507.0088559994</v>
      </c>
      <c r="Y610" s="38">
        <v>10010</v>
      </c>
      <c r="Z610" s="86">
        <f>+((DETALLE_GD_1[[#This Row],[VALOR X UN (GD)]]-DETALLE_GD_1[[#This Row],[VALOR PPTO]])/DETALLE_GD_1[[#This Row],[VALOR PPTO]])</f>
        <v>-9.3703627349857183E-3</v>
      </c>
      <c r="AA610" s="2">
        <f>+DETALLE_GD_1[[#This Row],[VALOR PPTO]]*DETALLE_GD_1[[#This Row],[CANTIDAD RECIBIDA]]</f>
        <v>4553507.01</v>
      </c>
      <c r="AB6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10" s="3">
        <f>+DETALLE_GD_1[[#This Row],[CANTIDAD SOLICITADA]]-DETALLE_GD_1[[#This Row],[DEVOLUCIÓN]]</f>
        <v>52</v>
      </c>
      <c r="AD610" s="38" t="str">
        <f>+_xlfn.XLOOKUP(DETALLE_GD_1[[#This Row],[CODIGO]],PRODUCTOS[CODIGO],PRODUCTOS[DESC CORTA],"",0)</f>
        <v>PB1</v>
      </c>
      <c r="AE610"/>
      <c r="AH610"/>
    </row>
    <row r="611" spans="1:34" x14ac:dyDescent="0.25">
      <c r="A611" s="1">
        <v>46113</v>
      </c>
      <c r="B611" s="1">
        <v>46113</v>
      </c>
      <c r="C611" s="81" t="s">
        <v>169</v>
      </c>
      <c r="D611" s="38">
        <v>4</v>
      </c>
      <c r="E611" s="81" t="s">
        <v>169</v>
      </c>
      <c r="F611">
        <v>412280</v>
      </c>
      <c r="G611" s="81" t="s">
        <v>40</v>
      </c>
      <c r="H611" s="81" t="s">
        <v>31</v>
      </c>
      <c r="I611" s="3">
        <v>15</v>
      </c>
      <c r="J611" s="3"/>
      <c r="K611" s="26">
        <v>15</v>
      </c>
      <c r="L611" s="2">
        <v>39389.866699999999</v>
      </c>
      <c r="M611" s="2">
        <v>590848</v>
      </c>
      <c r="N611" s="2">
        <v>590848</v>
      </c>
      <c r="O611" s="2">
        <v>40002.920100000003</v>
      </c>
      <c r="P611" s="2">
        <v>613.05340000000001</v>
      </c>
      <c r="Q611" s="2">
        <v>9195.8014000000003</v>
      </c>
      <c r="R611" s="4">
        <v>1.5325216881869797E-2</v>
      </c>
      <c r="T611">
        <v>311004</v>
      </c>
      <c r="U611" s="2"/>
      <c r="V611">
        <v>5947</v>
      </c>
      <c r="W611" s="2">
        <v>6579000000</v>
      </c>
      <c r="X611" s="6">
        <v>600043.80139499996</v>
      </c>
      <c r="Y611" s="38">
        <v>10010</v>
      </c>
      <c r="Z611" s="86">
        <f>+((DETALLE_GD_1[[#This Row],[VALOR X UN (GD)]]-DETALLE_GD_1[[#This Row],[VALOR PPTO]])/DETALLE_GD_1[[#This Row],[VALOR PPTO]])</f>
        <v>-1.5325216220902941E-2</v>
      </c>
      <c r="AA611" s="2">
        <f>+DETALLE_GD_1[[#This Row],[VALOR PPTO]]*DETALLE_GD_1[[#This Row],[CANTIDAD RECIBIDA]]</f>
        <v>600043.80150000006</v>
      </c>
      <c r="AB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11" s="3">
        <f>+DETALLE_GD_1[[#This Row],[CANTIDAD SOLICITADA]]-DETALLE_GD_1[[#This Row],[DEVOLUCIÓN]]</f>
        <v>15</v>
      </c>
      <c r="AD611" s="38" t="str">
        <f>+_xlfn.XLOOKUP(DETALLE_GD_1[[#This Row],[CODIGO]],PRODUCTOS[CODIGO],PRODUCTOS[DESC CORTA],"",0)</f>
        <v>PB2</v>
      </c>
      <c r="AE611"/>
      <c r="AH611"/>
    </row>
    <row r="612" spans="1:34" x14ac:dyDescent="0.25">
      <c r="A612" s="1">
        <v>46113</v>
      </c>
      <c r="B612" s="1">
        <v>46113</v>
      </c>
      <c r="C612" s="81" t="s">
        <v>169</v>
      </c>
      <c r="D612" s="38">
        <v>4</v>
      </c>
      <c r="E612" s="81" t="s">
        <v>169</v>
      </c>
      <c r="F612">
        <v>1103074</v>
      </c>
      <c r="G612" s="81" t="s">
        <v>310</v>
      </c>
      <c r="H612" s="81" t="s">
        <v>31</v>
      </c>
      <c r="I612" s="3">
        <v>4</v>
      </c>
      <c r="J612" s="3"/>
      <c r="K612" s="26">
        <v>4</v>
      </c>
      <c r="L612" s="2">
        <v>2427</v>
      </c>
      <c r="M612" s="2">
        <v>9708</v>
      </c>
      <c r="N612" s="2">
        <v>9708</v>
      </c>
      <c r="O612" s="2">
        <v>2427</v>
      </c>
      <c r="P612" s="2">
        <v>0</v>
      </c>
      <c r="Q612" s="2">
        <v>0</v>
      </c>
      <c r="R612" s="4">
        <v>0</v>
      </c>
      <c r="T612">
        <v>311009</v>
      </c>
      <c r="U612" s="2">
        <v>420245</v>
      </c>
      <c r="V612">
        <v>5947</v>
      </c>
      <c r="W612" s="2">
        <v>6579000000</v>
      </c>
      <c r="X612" s="6">
        <v>9708</v>
      </c>
      <c r="Y612" s="38">
        <v>10010</v>
      </c>
      <c r="Z612" s="86">
        <f>+((DETALLE_GD_1[[#This Row],[VALOR X UN (GD)]]-DETALLE_GD_1[[#This Row],[VALOR PPTO]])/DETALLE_GD_1[[#This Row],[VALOR PPTO]])</f>
        <v>0</v>
      </c>
      <c r="AA612" s="2">
        <f>+DETALLE_GD_1[[#This Row],[VALOR PPTO]]*DETALLE_GD_1[[#This Row],[CANTIDAD RECIBIDA]]</f>
        <v>9708</v>
      </c>
      <c r="AB6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2" s="3">
        <f>+DETALLE_GD_1[[#This Row],[CANTIDAD SOLICITADA]]-DETALLE_GD_1[[#This Row],[DEVOLUCIÓN]]</f>
        <v>4</v>
      </c>
      <c r="AD612" s="38" t="str">
        <f>+_xlfn.XLOOKUP(DETALLE_GD_1[[#This Row],[CODIGO]],PRODUCTOS[CODIGO],PRODUCTOS[DESC CORTA],"",0)</f>
        <v>PERFIL ESQUINERO ENCUENTRO</v>
      </c>
      <c r="AE612"/>
      <c r="AH612"/>
    </row>
    <row r="613" spans="1:34" x14ac:dyDescent="0.25">
      <c r="A613" s="1">
        <v>46113</v>
      </c>
      <c r="B613" s="1">
        <v>46113</v>
      </c>
      <c r="C613" s="81" t="s">
        <v>169</v>
      </c>
      <c r="D613" s="38">
        <v>4</v>
      </c>
      <c r="E613" s="81" t="s">
        <v>169</v>
      </c>
      <c r="F613">
        <v>1103076</v>
      </c>
      <c r="G613" s="81" t="s">
        <v>311</v>
      </c>
      <c r="H613" s="81" t="s">
        <v>31</v>
      </c>
      <c r="I613" s="3">
        <v>4</v>
      </c>
      <c r="J613" s="3"/>
      <c r="K613" s="26">
        <v>4</v>
      </c>
      <c r="L613" s="2">
        <v>3190.75</v>
      </c>
      <c r="M613" s="2">
        <v>12763</v>
      </c>
      <c r="N613" s="2">
        <v>12763</v>
      </c>
      <c r="O613" s="2">
        <v>3191</v>
      </c>
      <c r="P613" s="2">
        <v>0.25</v>
      </c>
      <c r="Q613" s="2">
        <v>1</v>
      </c>
      <c r="R613" s="4">
        <v>7.8345346286430597E-5</v>
      </c>
      <c r="T613">
        <v>311009</v>
      </c>
      <c r="U613" s="2"/>
      <c r="V613">
        <v>5947</v>
      </c>
      <c r="W613" s="2">
        <v>6579000000</v>
      </c>
      <c r="X613" s="6">
        <v>12764</v>
      </c>
      <c r="Y613" s="38">
        <v>10010</v>
      </c>
      <c r="Z613" s="86">
        <f>+((DETALLE_GD_1[[#This Row],[VALOR X UN (GD)]]-DETALLE_GD_1[[#This Row],[VALOR PPTO]])/DETALLE_GD_1[[#This Row],[VALOR PPTO]])</f>
        <v>-7.8345346286430584E-5</v>
      </c>
      <c r="AA613" s="2">
        <f>+DETALLE_GD_1[[#This Row],[VALOR PPTO]]*DETALLE_GD_1[[#This Row],[CANTIDAD RECIBIDA]]</f>
        <v>12764</v>
      </c>
      <c r="AB6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3" s="3">
        <f>+DETALLE_GD_1[[#This Row],[CANTIDAD SOLICITADA]]-DETALLE_GD_1[[#This Row],[DEVOLUCIÓN]]</f>
        <v>4</v>
      </c>
      <c r="AD613" s="38" t="str">
        <f>+_xlfn.XLOOKUP(DETALLE_GD_1[[#This Row],[CODIGO]],PRODUCTOS[CODIGO],PRODUCTOS[DESC CORTA],"",0)</f>
        <v>PERFIL ESQUINERO INTERIOR</v>
      </c>
      <c r="AE613"/>
      <c r="AH613"/>
    </row>
    <row r="614" spans="1:34" x14ac:dyDescent="0.25">
      <c r="A614" s="1">
        <v>46113</v>
      </c>
      <c r="B614" s="1">
        <v>46113</v>
      </c>
      <c r="C614" s="81" t="s">
        <v>169</v>
      </c>
      <c r="D614" s="38">
        <v>4</v>
      </c>
      <c r="E614" s="81" t="s">
        <v>169</v>
      </c>
      <c r="F614">
        <v>701183</v>
      </c>
      <c r="G614" s="81" t="s">
        <v>136</v>
      </c>
      <c r="H614" s="81" t="s">
        <v>137</v>
      </c>
      <c r="I614" s="3">
        <v>1</v>
      </c>
      <c r="J614" s="3"/>
      <c r="K614" s="26">
        <v>1</v>
      </c>
      <c r="L614" s="2">
        <v>997</v>
      </c>
      <c r="M614" s="2">
        <v>997</v>
      </c>
      <c r="N614" s="2">
        <v>997</v>
      </c>
      <c r="O614" s="2">
        <v>996.5</v>
      </c>
      <c r="P614" s="2">
        <v>-0.5</v>
      </c>
      <c r="Q614" s="2">
        <v>-0.5</v>
      </c>
      <c r="R614" s="4">
        <v>-5.0175614651279475E-4</v>
      </c>
      <c r="T614">
        <v>311009</v>
      </c>
      <c r="U614" s="2"/>
      <c r="V614">
        <v>5947</v>
      </c>
      <c r="W614" s="2">
        <v>6579000000</v>
      </c>
      <c r="X614" s="6">
        <v>996.5</v>
      </c>
      <c r="Y614" s="38">
        <v>10010</v>
      </c>
      <c r="Z614" s="86">
        <f>+((DETALLE_GD_1[[#This Row],[VALOR X UN (GD)]]-DETALLE_GD_1[[#This Row],[VALOR PPTO]])/DETALLE_GD_1[[#This Row],[VALOR PPTO]])</f>
        <v>5.0175614651279475E-4</v>
      </c>
      <c r="AA614" s="2">
        <f>+DETALLE_GD_1[[#This Row],[VALOR PPTO]]*DETALLE_GD_1[[#This Row],[CANTIDAD RECIBIDA]]</f>
        <v>996.5</v>
      </c>
      <c r="AB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4" s="3">
        <f>+DETALLE_GD_1[[#This Row],[CANTIDAD SOLICITADA]]-DETALLE_GD_1[[#This Row],[DEVOLUCIÓN]]</f>
        <v>1</v>
      </c>
      <c r="AD614" s="38" t="str">
        <f>+_xlfn.XLOOKUP(DETALLE_GD_1[[#This Row],[CODIGO]],PRODUCTOS[CODIGO],PRODUCTOS[DESC CORTA],"",0)</f>
        <v>MOLDURA PVC INTERIOR</v>
      </c>
      <c r="AE614"/>
      <c r="AH614"/>
    </row>
    <row r="615" spans="1:34" x14ac:dyDescent="0.25">
      <c r="A615" s="1">
        <v>46113</v>
      </c>
      <c r="B615" s="1">
        <v>46113</v>
      </c>
      <c r="C615" s="81" t="s">
        <v>169</v>
      </c>
      <c r="D615" s="38">
        <v>4</v>
      </c>
      <c r="E615" s="81" t="s">
        <v>169</v>
      </c>
      <c r="F615">
        <v>704021</v>
      </c>
      <c r="G615" s="81" t="s">
        <v>329</v>
      </c>
      <c r="H615" s="81" t="s">
        <v>31</v>
      </c>
      <c r="I615" s="3">
        <v>50</v>
      </c>
      <c r="J615" s="3"/>
      <c r="K615" s="26">
        <v>50</v>
      </c>
      <c r="L615" s="2">
        <v>487</v>
      </c>
      <c r="M615" s="2">
        <v>24350</v>
      </c>
      <c r="N615" s="2">
        <v>24350</v>
      </c>
      <c r="O615" s="2">
        <v>487</v>
      </c>
      <c r="P615" s="2">
        <v>0</v>
      </c>
      <c r="Q615" s="2">
        <v>0</v>
      </c>
      <c r="R615" s="4">
        <v>0</v>
      </c>
      <c r="T615">
        <v>311009</v>
      </c>
      <c r="U615" s="2"/>
      <c r="V615">
        <v>5947</v>
      </c>
      <c r="W615" s="2">
        <v>6579000000</v>
      </c>
      <c r="X615" s="6">
        <v>24350</v>
      </c>
      <c r="Y615" s="38">
        <v>10010</v>
      </c>
      <c r="Z615" s="86">
        <f>+((DETALLE_GD_1[[#This Row],[VALOR X UN (GD)]]-DETALLE_GD_1[[#This Row],[VALOR PPTO]])/DETALLE_GD_1[[#This Row],[VALOR PPTO]])</f>
        <v>0</v>
      </c>
      <c r="AA615" s="2">
        <f>+DETALLE_GD_1[[#This Row],[VALOR PPTO]]*DETALLE_GD_1[[#This Row],[CANTIDAD RECIBIDA]]</f>
        <v>24350</v>
      </c>
      <c r="AB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5" s="3">
        <f>+DETALLE_GD_1[[#This Row],[CANTIDAD SOLICITADA]]-DETALLE_GD_1[[#This Row],[DEVOLUCIÓN]]</f>
        <v>50</v>
      </c>
      <c r="AD615" s="38" t="str">
        <f>+_xlfn.XLOOKUP(DETALLE_GD_1[[#This Row],[CODIGO]],PRODUCTOS[CODIGO],PRODUCTOS[DESC CORTA],"",0)</f>
        <v>ESQUINERO PILASTRA PVC</v>
      </c>
      <c r="AE615"/>
      <c r="AH615"/>
    </row>
    <row r="616" spans="1:34" x14ac:dyDescent="0.25">
      <c r="A616" s="1">
        <v>46113</v>
      </c>
      <c r="B616" s="1">
        <v>46113</v>
      </c>
      <c r="C616" s="81" t="s">
        <v>169</v>
      </c>
      <c r="D616" s="38">
        <v>4</v>
      </c>
      <c r="E616" s="81" t="s">
        <v>169</v>
      </c>
      <c r="F616">
        <v>307033</v>
      </c>
      <c r="G616" s="81" t="s">
        <v>248</v>
      </c>
      <c r="H616" s="81" t="s">
        <v>31</v>
      </c>
      <c r="I616" s="3">
        <v>10</v>
      </c>
      <c r="J616" s="3"/>
      <c r="K616" s="26">
        <v>10</v>
      </c>
      <c r="L616" s="2">
        <v>1889.6</v>
      </c>
      <c r="M616" s="2">
        <v>18896</v>
      </c>
      <c r="N616" s="2">
        <v>18896</v>
      </c>
      <c r="O616" s="2">
        <v>1889.0535</v>
      </c>
      <c r="P616" s="2">
        <v>-0.54649999999999999</v>
      </c>
      <c r="Q616" s="2">
        <v>-5.4645999999999999</v>
      </c>
      <c r="R616" s="4">
        <v>-2.8927501908862502E-4</v>
      </c>
      <c r="T616">
        <v>311009</v>
      </c>
      <c r="U616" s="2"/>
      <c r="V616">
        <v>5947</v>
      </c>
      <c r="W616" s="2">
        <v>6579000000</v>
      </c>
      <c r="X616" s="6">
        <v>18890.53544</v>
      </c>
      <c r="Y616" s="38">
        <v>10010</v>
      </c>
      <c r="Z616" s="86">
        <f>+((DETALLE_GD_1[[#This Row],[VALOR X UN (GD)]]-DETALLE_GD_1[[#This Row],[VALOR PPTO]])/DETALLE_GD_1[[#This Row],[VALOR PPTO]])</f>
        <v>2.8929831791419546E-4</v>
      </c>
      <c r="AA616" s="2">
        <f>+DETALLE_GD_1[[#This Row],[VALOR PPTO]]*DETALLE_GD_1[[#This Row],[CANTIDAD RECIBIDA]]</f>
        <v>18890.535</v>
      </c>
      <c r="AB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6" s="3">
        <f>+DETALLE_GD_1[[#This Row],[CANTIDAD SOLICITADA]]-DETALLE_GD_1[[#This Row],[DEVOLUCIÓN]]</f>
        <v>10</v>
      </c>
      <c r="AD616" s="38">
        <f>+_xlfn.XLOOKUP(DETALLE_GD_1[[#This Row],[CODIGO]],PRODUCTOS[CODIGO],PRODUCTOS[DESC CORTA],"",0)</f>
        <v>0</v>
      </c>
      <c r="AE616"/>
      <c r="AH616"/>
    </row>
    <row r="617" spans="1:34" x14ac:dyDescent="0.25">
      <c r="A617" s="1">
        <v>46113</v>
      </c>
      <c r="B617" s="1">
        <v>46113</v>
      </c>
      <c r="C617" s="81" t="s">
        <v>169</v>
      </c>
      <c r="D617" s="38">
        <v>4</v>
      </c>
      <c r="E617" s="81" t="s">
        <v>169</v>
      </c>
      <c r="F617">
        <v>408034</v>
      </c>
      <c r="G617" s="81" t="s">
        <v>250</v>
      </c>
      <c r="H617" s="81" t="s">
        <v>36</v>
      </c>
      <c r="I617" s="3">
        <v>1</v>
      </c>
      <c r="J617" s="3"/>
      <c r="K617" s="26">
        <v>1</v>
      </c>
      <c r="L617" s="2">
        <v>1867</v>
      </c>
      <c r="M617" s="2">
        <v>1867</v>
      </c>
      <c r="N617" s="2">
        <v>1867</v>
      </c>
      <c r="O617" s="2">
        <v>1866.9503999999999</v>
      </c>
      <c r="P617" s="2">
        <v>-4.9599999999999998E-2</v>
      </c>
      <c r="Q617" s="2">
        <v>-4.9599999999999998E-2</v>
      </c>
      <c r="R617" s="4">
        <v>-2.6591494447838636E-5</v>
      </c>
      <c r="T617">
        <v>311009</v>
      </c>
      <c r="U617" s="2"/>
      <c r="V617">
        <v>5947</v>
      </c>
      <c r="W617" s="2">
        <v>6579000000</v>
      </c>
      <c r="X617" s="6">
        <v>1866.9503550000009</v>
      </c>
      <c r="Y617" s="38">
        <v>10010</v>
      </c>
      <c r="Z617" s="86">
        <f>+((DETALLE_GD_1[[#This Row],[VALOR X UN (GD)]]-DETALLE_GD_1[[#This Row],[VALOR PPTO]])/DETALLE_GD_1[[#This Row],[VALOR PPTO]])</f>
        <v>2.6567390328128124E-5</v>
      </c>
      <c r="AA617" s="2">
        <f>+DETALLE_GD_1[[#This Row],[VALOR PPTO]]*DETALLE_GD_1[[#This Row],[CANTIDAD RECIBIDA]]</f>
        <v>1866.9503999999999</v>
      </c>
      <c r="AB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7" s="3">
        <f>+DETALLE_GD_1[[#This Row],[CANTIDAD SOLICITADA]]-DETALLE_GD_1[[#This Row],[DEVOLUCIÓN]]</f>
        <v>1</v>
      </c>
      <c r="AD617" s="38">
        <f>+_xlfn.XLOOKUP(DETALLE_GD_1[[#This Row],[CODIGO]],PRODUCTOS[CODIGO],PRODUCTOS[DESC CORTA],"",0)</f>
        <v>0</v>
      </c>
      <c r="AE617"/>
      <c r="AH617"/>
    </row>
    <row r="618" spans="1:34" x14ac:dyDescent="0.25">
      <c r="A618" s="1">
        <v>46113</v>
      </c>
      <c r="B618" s="1">
        <v>46113</v>
      </c>
      <c r="C618" s="81" t="s">
        <v>169</v>
      </c>
      <c r="D618" s="38">
        <v>4</v>
      </c>
      <c r="E618" s="81" t="s">
        <v>169</v>
      </c>
      <c r="F618">
        <v>2302024</v>
      </c>
      <c r="G618" s="81" t="s">
        <v>234</v>
      </c>
      <c r="H618" s="81" t="s">
        <v>68</v>
      </c>
      <c r="I618" s="3">
        <v>2</v>
      </c>
      <c r="J618" s="3"/>
      <c r="K618" s="26">
        <v>2</v>
      </c>
      <c r="L618" s="2">
        <v>20916.5</v>
      </c>
      <c r="M618" s="2">
        <v>41833</v>
      </c>
      <c r="N618" s="2">
        <v>41833</v>
      </c>
      <c r="O618" s="2">
        <v>22292</v>
      </c>
      <c r="P618" s="2">
        <v>1375.5</v>
      </c>
      <c r="Q618" s="2">
        <v>2751</v>
      </c>
      <c r="R618" s="4">
        <v>6.1703750224295709E-2</v>
      </c>
      <c r="T618">
        <v>311009</v>
      </c>
      <c r="U618" s="2"/>
      <c r="V618">
        <v>5947</v>
      </c>
      <c r="W618" s="2">
        <v>6579000000</v>
      </c>
      <c r="X618" s="6">
        <v>44584</v>
      </c>
      <c r="Y618" s="38">
        <v>10010</v>
      </c>
      <c r="Z618" s="86">
        <f>+((DETALLE_GD_1[[#This Row],[VALOR X UN (GD)]]-DETALLE_GD_1[[#This Row],[VALOR PPTO]])/DETALLE_GD_1[[#This Row],[VALOR PPTO]])</f>
        <v>-6.1703750224295709E-2</v>
      </c>
      <c r="AA618" s="2">
        <f>+DETALLE_GD_1[[#This Row],[VALOR PPTO]]*DETALLE_GD_1[[#This Row],[CANTIDAD RECIBIDA]]</f>
        <v>44584</v>
      </c>
      <c r="AB6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8" s="3">
        <f>+DETALLE_GD_1[[#This Row],[CANTIDAD SOLICITADA]]-DETALLE_GD_1[[#This Row],[DEVOLUCIÓN]]</f>
        <v>2</v>
      </c>
      <c r="AD618" s="38">
        <f>+_xlfn.XLOOKUP(DETALLE_GD_1[[#This Row],[CODIGO]],PRODUCTOS[CODIGO],PRODUCTOS[DESC CORTA],"",0)</f>
        <v>0</v>
      </c>
      <c r="AE618"/>
      <c r="AH618"/>
    </row>
    <row r="619" spans="1:34" x14ac:dyDescent="0.25">
      <c r="A619" s="1">
        <v>46113</v>
      </c>
      <c r="B619" s="1">
        <v>46113</v>
      </c>
      <c r="C619" s="81" t="s">
        <v>169</v>
      </c>
      <c r="D619" s="38">
        <v>4</v>
      </c>
      <c r="E619" s="81" t="s">
        <v>169</v>
      </c>
      <c r="F619">
        <v>907031</v>
      </c>
      <c r="G619" s="81" t="s">
        <v>256</v>
      </c>
      <c r="H619" s="81" t="s">
        <v>47</v>
      </c>
      <c r="I619" s="3">
        <v>2</v>
      </c>
      <c r="J619" s="3"/>
      <c r="K619" s="26">
        <v>2</v>
      </c>
      <c r="L619" s="2">
        <v>154915.5</v>
      </c>
      <c r="M619" s="2">
        <v>309831</v>
      </c>
      <c r="N619" s="2">
        <v>309831</v>
      </c>
      <c r="O619" s="2">
        <v>156269.1667</v>
      </c>
      <c r="P619" s="2">
        <v>1353.6667</v>
      </c>
      <c r="Q619" s="2">
        <v>2707.3332999999998</v>
      </c>
      <c r="R619" s="4">
        <v>8.662404080547902E-3</v>
      </c>
      <c r="T619">
        <v>311009</v>
      </c>
      <c r="U619" s="2"/>
      <c r="V619">
        <v>5947</v>
      </c>
      <c r="W619" s="2">
        <v>6579000000</v>
      </c>
      <c r="X619" s="6">
        <v>312538.33333400008</v>
      </c>
      <c r="Y619" s="38">
        <v>10010</v>
      </c>
      <c r="Z619" s="86">
        <f>+((DETALLE_GD_1[[#This Row],[VALOR X UN (GD)]]-DETALLE_GD_1[[#This Row],[VALOR PPTO]])/DETALLE_GD_1[[#This Row],[VALOR PPTO]])</f>
        <v>-8.6624042898924697E-3</v>
      </c>
      <c r="AA619" s="2">
        <f>+DETALLE_GD_1[[#This Row],[VALOR PPTO]]*DETALLE_GD_1[[#This Row],[CANTIDAD RECIBIDA]]</f>
        <v>312538.3334</v>
      </c>
      <c r="AB6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19" s="3">
        <f>+DETALLE_GD_1[[#This Row],[CANTIDAD SOLICITADA]]-DETALLE_GD_1[[#This Row],[DEVOLUCIÓN]]</f>
        <v>2</v>
      </c>
      <c r="AD619" s="38" t="str">
        <f>+_xlfn.XLOOKUP(DETALLE_GD_1[[#This Row],[CODIGO]],PRODUCTOS[CODIGO],PRODUCTOS[DESC CORTA],"",0)</f>
        <v>MEMBRANA PVC</v>
      </c>
      <c r="AE619"/>
      <c r="AH619"/>
    </row>
    <row r="620" spans="1:34" x14ac:dyDescent="0.25">
      <c r="A620" s="1">
        <v>46113</v>
      </c>
      <c r="B620" s="1">
        <v>46113</v>
      </c>
      <c r="C620" s="81" t="s">
        <v>169</v>
      </c>
      <c r="D620" s="38">
        <v>4</v>
      </c>
      <c r="E620" s="81" t="s">
        <v>169</v>
      </c>
      <c r="F620">
        <v>304049</v>
      </c>
      <c r="G620" s="81" t="s">
        <v>318</v>
      </c>
      <c r="H620" s="81" t="s">
        <v>18</v>
      </c>
      <c r="I620" s="3">
        <v>195</v>
      </c>
      <c r="J620" s="3"/>
      <c r="K620" s="26">
        <v>195</v>
      </c>
      <c r="L620" s="2">
        <v>14981.2256</v>
      </c>
      <c r="M620" s="2">
        <v>2921339</v>
      </c>
      <c r="N620" s="2">
        <v>2921339</v>
      </c>
      <c r="O620" s="2">
        <v>14982</v>
      </c>
      <c r="P620" s="2">
        <v>0.77439999999999998</v>
      </c>
      <c r="Q620" s="2">
        <v>151</v>
      </c>
      <c r="R620" s="4">
        <v>5.168595476914593E-5</v>
      </c>
      <c r="T620">
        <v>311068</v>
      </c>
      <c r="U620" s="2">
        <v>5584698</v>
      </c>
      <c r="V620">
        <v>5947</v>
      </c>
      <c r="W620" s="2">
        <v>6579000000</v>
      </c>
      <c r="X620" s="6">
        <v>2921489.9999999986</v>
      </c>
      <c r="Y620" s="38">
        <v>10010</v>
      </c>
      <c r="Z620" s="86">
        <f>+((DETALLE_GD_1[[#This Row],[VALOR X UN (GD)]]-DETALLE_GD_1[[#This Row],[VALOR PPTO]])/DETALLE_GD_1[[#This Row],[VALOR PPTO]])</f>
        <v>-5.1688693098400854E-5</v>
      </c>
      <c r="AA620" s="2">
        <f>+DETALLE_GD_1[[#This Row],[VALOR PPTO]]*DETALLE_GD_1[[#This Row],[CANTIDAD RECIBIDA]]</f>
        <v>2921490</v>
      </c>
      <c r="AB6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20" s="3">
        <f>+DETALLE_GD_1[[#This Row],[CANTIDAD SOLICITADA]]-DETALLE_GD_1[[#This Row],[DEVOLUCIÓN]]</f>
        <v>195</v>
      </c>
      <c r="AD620" s="38" t="str">
        <f>+_xlfn.XLOOKUP(DETALLE_GD_1[[#This Row],[CODIGO]],PRODUCTOS[CODIGO],PRODUCTOS[DESC CORTA],"",0)</f>
        <v>TERCIADO FENOLICO</v>
      </c>
      <c r="AE620"/>
      <c r="AH620"/>
    </row>
    <row r="621" spans="1:34" x14ac:dyDescent="0.25">
      <c r="A621" s="1">
        <v>46113</v>
      </c>
      <c r="B621" s="1">
        <v>46113</v>
      </c>
      <c r="C621" s="81" t="s">
        <v>169</v>
      </c>
      <c r="D621" s="38">
        <v>4</v>
      </c>
      <c r="E621" s="81" t="s">
        <v>169</v>
      </c>
      <c r="F621">
        <v>407423</v>
      </c>
      <c r="G621" s="81" t="s">
        <v>106</v>
      </c>
      <c r="H621" s="81" t="s">
        <v>31</v>
      </c>
      <c r="I621" s="3">
        <v>9000</v>
      </c>
      <c r="J621" s="3"/>
      <c r="K621" s="26">
        <v>9000</v>
      </c>
      <c r="L621" s="2">
        <v>3.3879999999999999</v>
      </c>
      <c r="M621" s="2">
        <v>30492</v>
      </c>
      <c r="N621" s="2">
        <v>30492</v>
      </c>
      <c r="O621" s="2">
        <v>106.6405</v>
      </c>
      <c r="P621" s="2">
        <v>103.2525</v>
      </c>
      <c r="Q621" s="2">
        <v>929272.51789999998</v>
      </c>
      <c r="R621" s="4">
        <v>0.96822970694084709</v>
      </c>
      <c r="T621">
        <v>311068</v>
      </c>
      <c r="U621" s="2"/>
      <c r="V621">
        <v>5947</v>
      </c>
      <c r="W621" s="2">
        <v>6579000000</v>
      </c>
      <c r="X621" s="6">
        <v>959764.51785405388</v>
      </c>
      <c r="Y621" s="38">
        <v>10010</v>
      </c>
      <c r="Z621" s="86">
        <f>+((DETALLE_GD_1[[#This Row],[VALOR X UN (GD)]]-DETALLE_GD_1[[#This Row],[VALOR PPTO]])/DETALLE_GD_1[[#This Row],[VALOR PPTO]])</f>
        <v>-0.96822970634983885</v>
      </c>
      <c r="AA621" s="2">
        <f>+DETALLE_GD_1[[#This Row],[VALOR PPTO]]*DETALLE_GD_1[[#This Row],[CANTIDAD RECIBIDA]]</f>
        <v>959764.5</v>
      </c>
      <c r="AB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1" s="3">
        <f>+DETALLE_GD_1[[#This Row],[CANTIDAD SOLICITADA]]-DETALLE_GD_1[[#This Row],[DEVOLUCIÓN]]</f>
        <v>9000</v>
      </c>
      <c r="AD621" s="38" t="str">
        <f>+_xlfn.XLOOKUP(DETALLE_GD_1[[#This Row],[CODIGO]],PRODUCTOS[CODIGO],PRODUCTOS[DESC CORTA],"",0)</f>
        <v>TORNILLO CRS 6X1 5/8</v>
      </c>
      <c r="AE621"/>
      <c r="AH621"/>
    </row>
    <row r="622" spans="1:34" x14ac:dyDescent="0.25">
      <c r="A622" s="1">
        <v>46113</v>
      </c>
      <c r="B622" s="1">
        <v>46113</v>
      </c>
      <c r="C622" s="81" t="s">
        <v>169</v>
      </c>
      <c r="D622" s="38">
        <v>4</v>
      </c>
      <c r="E622" s="81" t="s">
        <v>169</v>
      </c>
      <c r="F622">
        <v>408042</v>
      </c>
      <c r="G622" s="81" t="s">
        <v>144</v>
      </c>
      <c r="H622" s="81" t="s">
        <v>36</v>
      </c>
      <c r="I622" s="3">
        <v>2</v>
      </c>
      <c r="J622" s="3"/>
      <c r="K622" s="26">
        <v>2</v>
      </c>
      <c r="L622" s="2">
        <v>35000</v>
      </c>
      <c r="M622" s="2">
        <v>70000</v>
      </c>
      <c r="N622" s="2">
        <v>70000</v>
      </c>
      <c r="O622" s="2">
        <v>35000</v>
      </c>
      <c r="P622" s="2">
        <v>0</v>
      </c>
      <c r="Q622" s="2">
        <v>0</v>
      </c>
      <c r="R622" s="4">
        <v>8.3153801304950006E-16</v>
      </c>
      <c r="T622">
        <v>311068</v>
      </c>
      <c r="U622" s="2"/>
      <c r="V622">
        <v>5947</v>
      </c>
      <c r="W622" s="2">
        <v>6579000000</v>
      </c>
      <c r="X622" s="6">
        <v>70000.000000000058</v>
      </c>
      <c r="Y622" s="38">
        <v>10010</v>
      </c>
      <c r="Z622" s="86">
        <f>+((DETALLE_GD_1[[#This Row],[VALOR X UN (GD)]]-DETALLE_GD_1[[#This Row],[VALOR PPTO]])/DETALLE_GD_1[[#This Row],[VALOR PPTO]])</f>
        <v>0</v>
      </c>
      <c r="AA622" s="2">
        <f>+DETALLE_GD_1[[#This Row],[VALOR PPTO]]*DETALLE_GD_1[[#This Row],[CANTIDAD RECIBIDA]]</f>
        <v>70000</v>
      </c>
      <c r="AB6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2" s="3">
        <f>+DETALLE_GD_1[[#This Row],[CANTIDAD SOLICITADA]]-DETALLE_GD_1[[#This Row],[DEVOLUCIÓN]]</f>
        <v>2</v>
      </c>
      <c r="AD622" s="38" t="str">
        <f>+_xlfn.XLOOKUP(DETALLE_GD_1[[#This Row],[CODIGO]],PRODUCTOS[CODIGO],PRODUCTOS[DESC CORTA],"",0)</f>
        <v>CLAVO HELICOIDAL PROFIX</v>
      </c>
      <c r="AE622"/>
      <c r="AH622"/>
    </row>
    <row r="623" spans="1:34" x14ac:dyDescent="0.25">
      <c r="A623" s="1">
        <v>46113</v>
      </c>
      <c r="B623" s="1">
        <v>46113</v>
      </c>
      <c r="C623" s="81" t="s">
        <v>169</v>
      </c>
      <c r="D623" s="38">
        <v>4</v>
      </c>
      <c r="E623" s="81" t="s">
        <v>169</v>
      </c>
      <c r="F623">
        <v>304101</v>
      </c>
      <c r="G623" s="81" t="s">
        <v>17</v>
      </c>
      <c r="H623" s="81" t="s">
        <v>18</v>
      </c>
      <c r="I623" s="3">
        <v>168</v>
      </c>
      <c r="J623" s="3"/>
      <c r="K623" s="26">
        <v>168</v>
      </c>
      <c r="L623" s="2">
        <v>9622.125</v>
      </c>
      <c r="M623" s="2">
        <v>1616517</v>
      </c>
      <c r="N623" s="2">
        <v>1616517</v>
      </c>
      <c r="O623" s="2">
        <v>9657.5879999999997</v>
      </c>
      <c r="P623" s="2">
        <v>35.463000000000001</v>
      </c>
      <c r="Q623" s="2">
        <v>5957.7755999999999</v>
      </c>
      <c r="R623" s="4">
        <v>3.672029722494489E-3</v>
      </c>
      <c r="T623">
        <v>311068</v>
      </c>
      <c r="U623" s="2"/>
      <c r="V623">
        <v>5947</v>
      </c>
      <c r="W623" s="2">
        <v>6579000000</v>
      </c>
      <c r="X623" s="6">
        <v>1622474.7756000008</v>
      </c>
      <c r="Y623" s="38">
        <v>10010</v>
      </c>
      <c r="Z623" s="86">
        <f>+((DETALLE_GD_1[[#This Row],[VALOR X UN (GD)]]-DETALLE_GD_1[[#This Row],[VALOR PPTO]])/DETALLE_GD_1[[#This Row],[VALOR PPTO]])</f>
        <v>-3.6720348807590198E-3</v>
      </c>
      <c r="AA623" s="2">
        <f>+DETALLE_GD_1[[#This Row],[VALOR PPTO]]*DETALLE_GD_1[[#This Row],[CANTIDAD RECIBIDA]]</f>
        <v>1622474.784</v>
      </c>
      <c r="AB6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23" s="3">
        <f>+DETALLE_GD_1[[#This Row],[CANTIDAD SOLICITADA]]-DETALLE_GD_1[[#This Row],[DEVOLUCIÓN]]</f>
        <v>168</v>
      </c>
      <c r="AD623" s="38" t="str">
        <f>+_xlfn.XLOOKUP(DETALLE_GD_1[[#This Row],[CODIGO]],PRODUCTOS[CODIGO],PRODUCTOS[DESC CORTA],"",0)</f>
        <v>OSB 9.5</v>
      </c>
      <c r="AE623"/>
      <c r="AH623"/>
    </row>
    <row r="624" spans="1:34" x14ac:dyDescent="0.25">
      <c r="A624" s="1">
        <v>46113</v>
      </c>
      <c r="B624" s="1">
        <v>46113</v>
      </c>
      <c r="C624" s="81" t="s">
        <v>169</v>
      </c>
      <c r="D624" s="38">
        <v>4</v>
      </c>
      <c r="E624" s="81" t="s">
        <v>169</v>
      </c>
      <c r="F624">
        <v>407011</v>
      </c>
      <c r="G624" s="81" t="s">
        <v>30</v>
      </c>
      <c r="H624" s="81" t="s">
        <v>31</v>
      </c>
      <c r="I624" s="3">
        <v>2000</v>
      </c>
      <c r="J624" s="3"/>
      <c r="K624" s="26">
        <v>2000</v>
      </c>
      <c r="L624" s="2">
        <v>473.17500000000001</v>
      </c>
      <c r="M624" s="2">
        <v>946350</v>
      </c>
      <c r="N624" s="2">
        <v>946350</v>
      </c>
      <c r="O624" s="2">
        <v>473.17520000000002</v>
      </c>
      <c r="P624" s="2">
        <v>2.0000000000000001E-4</v>
      </c>
      <c r="Q624" s="2">
        <v>0.48</v>
      </c>
      <c r="R624" s="4">
        <v>5.0721166201690746E-7</v>
      </c>
      <c r="T624">
        <v>311068</v>
      </c>
      <c r="U624" s="2"/>
      <c r="V624">
        <v>5947</v>
      </c>
      <c r="W624" s="2">
        <v>6579000000</v>
      </c>
      <c r="X624" s="6">
        <v>946350.47999999986</v>
      </c>
      <c r="Y624" s="38">
        <v>10010</v>
      </c>
      <c r="Z624" s="86">
        <f>+((DETALLE_GD_1[[#This Row],[VALOR X UN (GD)]]-DETALLE_GD_1[[#This Row],[VALOR PPTO]])/DETALLE_GD_1[[#This Row],[VALOR PPTO]])</f>
        <v>-4.2267642092535555E-7</v>
      </c>
      <c r="AA624" s="2">
        <f>+DETALLE_GD_1[[#This Row],[VALOR PPTO]]*DETALLE_GD_1[[#This Row],[CANTIDAD RECIBIDA]]</f>
        <v>946350.4</v>
      </c>
      <c r="AB6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24" s="3">
        <f>+DETALLE_GD_1[[#This Row],[CANTIDAD SOLICITADA]]-DETALLE_GD_1[[#This Row],[DEVOLUCIÓN]]</f>
        <v>2000</v>
      </c>
      <c r="AD624" s="38" t="str">
        <f>+_xlfn.XLOOKUP(DETALLE_GD_1[[#This Row],[CODIGO]],PRODUCTOS[CODIGO],PRODUCTOS[DESC CORTA],"",0)</f>
        <v>TORNILLO SIMPSON 6"</v>
      </c>
      <c r="AE624"/>
      <c r="AH624"/>
    </row>
    <row r="625" spans="1:34" x14ac:dyDescent="0.25">
      <c r="A625" s="1">
        <v>46114</v>
      </c>
      <c r="B625" s="1">
        <v>46114</v>
      </c>
      <c r="C625" s="81" t="s">
        <v>169</v>
      </c>
      <c r="D625" s="38">
        <v>4</v>
      </c>
      <c r="E625" s="81" t="s">
        <v>169</v>
      </c>
      <c r="F625">
        <v>106022</v>
      </c>
      <c r="G625" s="81" t="s">
        <v>245</v>
      </c>
      <c r="H625" s="81" t="s">
        <v>31</v>
      </c>
      <c r="I625" s="3">
        <v>5</v>
      </c>
      <c r="J625" s="3"/>
      <c r="K625" s="26">
        <v>5</v>
      </c>
      <c r="L625" s="2">
        <v>3800.4</v>
      </c>
      <c r="M625" s="2">
        <v>19002</v>
      </c>
      <c r="N625" s="2">
        <v>19002</v>
      </c>
      <c r="O625" s="2">
        <v>3800.6911</v>
      </c>
      <c r="P625" s="2">
        <v>0.29110000000000003</v>
      </c>
      <c r="Q625" s="2">
        <v>1.4555</v>
      </c>
      <c r="R625" s="4">
        <v>7.659107052322059E-5</v>
      </c>
      <c r="T625">
        <v>311098</v>
      </c>
      <c r="U625" s="2">
        <v>2383022</v>
      </c>
      <c r="V625">
        <v>5947</v>
      </c>
      <c r="W625" s="2">
        <v>6579000000</v>
      </c>
      <c r="X625" s="6">
        <v>19003.455494999998</v>
      </c>
      <c r="Y625" s="38">
        <v>10010</v>
      </c>
      <c r="Z625" s="86">
        <f>+((DETALLE_GD_1[[#This Row],[VALOR X UN (GD)]]-DETALLE_GD_1[[#This Row],[VALOR PPTO]])/DETALLE_GD_1[[#This Row],[VALOR PPTO]])</f>
        <v>-7.6591333612961826E-5</v>
      </c>
      <c r="AA625" s="2">
        <f>+DETALLE_GD_1[[#This Row],[VALOR PPTO]]*DETALLE_GD_1[[#This Row],[CANTIDAD RECIBIDA]]</f>
        <v>19003.4555</v>
      </c>
      <c r="AB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5" s="3">
        <f>+DETALLE_GD_1[[#This Row],[CANTIDAD SOLICITADA]]-DETALLE_GD_1[[#This Row],[DEVOLUCIÓN]]</f>
        <v>5</v>
      </c>
      <c r="AD625" s="38">
        <f>+_xlfn.XLOOKUP(DETALLE_GD_1[[#This Row],[CODIGO]],PRODUCTOS[CODIGO],PRODUCTOS[DESC CORTA],"",0)</f>
        <v>0</v>
      </c>
      <c r="AE625"/>
      <c r="AH625"/>
    </row>
    <row r="626" spans="1:34" x14ac:dyDescent="0.25">
      <c r="A626" s="1">
        <v>46114</v>
      </c>
      <c r="B626" s="1">
        <v>46114</v>
      </c>
      <c r="C626" s="81" t="s">
        <v>169</v>
      </c>
      <c r="D626" s="38">
        <v>4</v>
      </c>
      <c r="E626" s="81" t="s">
        <v>169</v>
      </c>
      <c r="F626" t="s">
        <v>463</v>
      </c>
      <c r="G626" s="81" t="s">
        <v>453</v>
      </c>
      <c r="H626" s="81" t="s">
        <v>31</v>
      </c>
      <c r="I626" s="3">
        <v>2</v>
      </c>
      <c r="J626" s="3">
        <v>2</v>
      </c>
      <c r="K626" s="26">
        <v>0</v>
      </c>
      <c r="L626" s="2">
        <v>31553</v>
      </c>
      <c r="M626" s="2">
        <v>63106</v>
      </c>
      <c r="N626" s="2">
        <v>0</v>
      </c>
      <c r="O626" s="2"/>
      <c r="P626" s="2"/>
      <c r="Q626" s="2">
        <v>0</v>
      </c>
      <c r="R626" s="4"/>
      <c r="T626">
        <v>311098</v>
      </c>
      <c r="U626" s="2"/>
      <c r="V626">
        <v>5947</v>
      </c>
      <c r="W626" s="2">
        <v>6579000000</v>
      </c>
      <c r="X626" s="6" t="s">
        <v>355</v>
      </c>
      <c r="Y626" s="38">
        <v>10010</v>
      </c>
      <c r="Z626" s="86" t="e">
        <f>+((DETALLE_GD_1[[#This Row],[VALOR X UN (GD)]]-DETALLE_GD_1[[#This Row],[VALOR PPTO]])/DETALLE_GD_1[[#This Row],[VALOR PPTO]])</f>
        <v>#DIV/0!</v>
      </c>
      <c r="AA626" s="2">
        <f>+DETALLE_GD_1[[#This Row],[VALOR PPTO]]*DETALLE_GD_1[[#This Row],[CANTIDAD RECIBIDA]]</f>
        <v>0</v>
      </c>
      <c r="AB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6" s="3">
        <f>+DETALLE_GD_1[[#This Row],[CANTIDAD SOLICITADA]]-DETALLE_GD_1[[#This Row],[DEVOLUCIÓN]]</f>
        <v>0</v>
      </c>
      <c r="AD626" s="38" t="str">
        <f>+_xlfn.XLOOKUP(DETALLE_GD_1[[#This Row],[CODIGO]],PRODUCTOS[CODIGO],PRODUCTOS[DESC CORTA],"",0)</f>
        <v/>
      </c>
      <c r="AE626"/>
      <c r="AH626"/>
    </row>
    <row r="627" spans="1:34" x14ac:dyDescent="0.25">
      <c r="A627" s="1">
        <v>46114</v>
      </c>
      <c r="B627" s="1">
        <v>46114</v>
      </c>
      <c r="C627" s="81" t="s">
        <v>169</v>
      </c>
      <c r="D627" s="38">
        <v>4</v>
      </c>
      <c r="E627" s="81" t="s">
        <v>169</v>
      </c>
      <c r="F627">
        <v>701183</v>
      </c>
      <c r="G627" s="81" t="s">
        <v>136</v>
      </c>
      <c r="H627" s="81" t="s">
        <v>137</v>
      </c>
      <c r="I627" s="3">
        <v>2</v>
      </c>
      <c r="J627" s="3"/>
      <c r="K627" s="26">
        <v>2</v>
      </c>
      <c r="L627" s="2">
        <v>996.5</v>
      </c>
      <c r="M627" s="2">
        <v>1993</v>
      </c>
      <c r="N627" s="2">
        <v>1993</v>
      </c>
      <c r="O627" s="2">
        <v>996.5</v>
      </c>
      <c r="P627" s="2">
        <v>0</v>
      </c>
      <c r="Q627" s="2">
        <v>0</v>
      </c>
      <c r="R627" s="4">
        <v>0</v>
      </c>
      <c r="T627">
        <v>311098</v>
      </c>
      <c r="U627" s="2"/>
      <c r="V627">
        <v>5947</v>
      </c>
      <c r="W627" s="2">
        <v>6579000000</v>
      </c>
      <c r="X627" s="6">
        <v>1993</v>
      </c>
      <c r="Y627" s="38">
        <v>10010</v>
      </c>
      <c r="Z627" s="86">
        <f>+((DETALLE_GD_1[[#This Row],[VALOR X UN (GD)]]-DETALLE_GD_1[[#This Row],[VALOR PPTO]])/DETALLE_GD_1[[#This Row],[VALOR PPTO]])</f>
        <v>0</v>
      </c>
      <c r="AA627" s="2">
        <f>+DETALLE_GD_1[[#This Row],[VALOR PPTO]]*DETALLE_GD_1[[#This Row],[CANTIDAD RECIBIDA]]</f>
        <v>1993</v>
      </c>
      <c r="AB6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7" s="3">
        <f>+DETALLE_GD_1[[#This Row],[CANTIDAD SOLICITADA]]-DETALLE_GD_1[[#This Row],[DEVOLUCIÓN]]</f>
        <v>2</v>
      </c>
      <c r="AD627" s="38" t="str">
        <f>+_xlfn.XLOOKUP(DETALLE_GD_1[[#This Row],[CODIGO]],PRODUCTOS[CODIGO],PRODUCTOS[DESC CORTA],"",0)</f>
        <v>MOLDURA PVC INTERIOR</v>
      </c>
      <c r="AE627"/>
      <c r="AH627"/>
    </row>
    <row r="628" spans="1:34" x14ac:dyDescent="0.25">
      <c r="A628" s="1">
        <v>46114</v>
      </c>
      <c r="B628" s="1">
        <v>46114</v>
      </c>
      <c r="C628" s="81" t="s">
        <v>169</v>
      </c>
      <c r="D628" s="38">
        <v>4</v>
      </c>
      <c r="E628" s="81" t="s">
        <v>169</v>
      </c>
      <c r="F628">
        <v>907031</v>
      </c>
      <c r="G628" s="81" t="s">
        <v>256</v>
      </c>
      <c r="H628" s="81" t="s">
        <v>47</v>
      </c>
      <c r="I628" s="3">
        <v>4</v>
      </c>
      <c r="J628" s="3"/>
      <c r="K628" s="26">
        <v>4</v>
      </c>
      <c r="L628" s="2">
        <v>154915.75</v>
      </c>
      <c r="M628" s="2">
        <v>619663</v>
      </c>
      <c r="N628" s="2">
        <v>619663</v>
      </c>
      <c r="O628" s="2">
        <v>156269.1667</v>
      </c>
      <c r="P628" s="2">
        <v>1353.4167</v>
      </c>
      <c r="Q628" s="2">
        <v>5413.6666999999998</v>
      </c>
      <c r="R628" s="4">
        <v>8.6608042767904996E-3</v>
      </c>
      <c r="T628">
        <v>311098</v>
      </c>
      <c r="U628" s="2"/>
      <c r="V628">
        <v>5947</v>
      </c>
      <c r="W628" s="2">
        <v>6579000000</v>
      </c>
      <c r="X628" s="6">
        <v>625076.66666800017</v>
      </c>
      <c r="Y628" s="38">
        <v>10010</v>
      </c>
      <c r="Z628" s="86">
        <f>+((DETALLE_GD_1[[#This Row],[VALOR X UN (GD)]]-DETALLE_GD_1[[#This Row],[VALOR PPTO]])/DETALLE_GD_1[[#This Row],[VALOR PPTO]])</f>
        <v>-8.6608044861354056E-3</v>
      </c>
      <c r="AA628" s="2">
        <f>+DETALLE_GD_1[[#This Row],[VALOR PPTO]]*DETALLE_GD_1[[#This Row],[CANTIDAD RECIBIDA]]</f>
        <v>625076.66680000001</v>
      </c>
      <c r="AB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28" s="3">
        <f>+DETALLE_GD_1[[#This Row],[CANTIDAD SOLICITADA]]-DETALLE_GD_1[[#This Row],[DEVOLUCIÓN]]</f>
        <v>4</v>
      </c>
      <c r="AD628" s="38" t="str">
        <f>+_xlfn.XLOOKUP(DETALLE_GD_1[[#This Row],[CODIGO]],PRODUCTOS[CODIGO],PRODUCTOS[DESC CORTA],"",0)</f>
        <v>MEMBRANA PVC</v>
      </c>
      <c r="AE628"/>
      <c r="AH628"/>
    </row>
    <row r="629" spans="1:34" x14ac:dyDescent="0.25">
      <c r="A629" s="1">
        <v>46114</v>
      </c>
      <c r="B629" s="1">
        <v>46114</v>
      </c>
      <c r="C629" s="81" t="s">
        <v>169</v>
      </c>
      <c r="D629" s="38">
        <v>4</v>
      </c>
      <c r="E629" s="81" t="s">
        <v>169</v>
      </c>
      <c r="F629">
        <v>407185</v>
      </c>
      <c r="G629" s="81" t="s">
        <v>43</v>
      </c>
      <c r="H629" s="81" t="s">
        <v>31</v>
      </c>
      <c r="I629" s="3">
        <v>2000</v>
      </c>
      <c r="J629" s="3"/>
      <c r="K629" s="26">
        <v>2000</v>
      </c>
      <c r="L629" s="2">
        <v>6.8784999999999998</v>
      </c>
      <c r="M629" s="2">
        <v>13757</v>
      </c>
      <c r="N629" s="2">
        <v>13757</v>
      </c>
      <c r="O629" s="2">
        <v>6.8783000000000003</v>
      </c>
      <c r="P629" s="2">
        <v>-2.0000000000000001E-4</v>
      </c>
      <c r="Q629" s="2">
        <v>-0.36</v>
      </c>
      <c r="R629" s="4">
        <v>-2.6169180846398952E-5</v>
      </c>
      <c r="T629">
        <v>311098</v>
      </c>
      <c r="U629" s="2"/>
      <c r="V629">
        <v>5947</v>
      </c>
      <c r="W629" s="2">
        <v>6579000000</v>
      </c>
      <c r="X629" s="6">
        <v>13756.64</v>
      </c>
      <c r="Y629" s="38">
        <v>10010</v>
      </c>
      <c r="Z629" s="86">
        <f>+((DETALLE_GD_1[[#This Row],[VALOR X UN (GD)]]-DETALLE_GD_1[[#This Row],[VALOR PPTO]])/DETALLE_GD_1[[#This Row],[VALOR PPTO]])</f>
        <v>2.9076952153807463E-5</v>
      </c>
      <c r="AA629" s="2">
        <f>+DETALLE_GD_1[[#This Row],[VALOR PPTO]]*DETALLE_GD_1[[#This Row],[CANTIDAD RECIBIDA]]</f>
        <v>13756.6</v>
      </c>
      <c r="AB6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9" s="3">
        <f>+DETALLE_GD_1[[#This Row],[CANTIDAD SOLICITADA]]-DETALLE_GD_1[[#This Row],[DEVOLUCIÓN]]</f>
        <v>2000</v>
      </c>
      <c r="AD629" s="38">
        <f>+_xlfn.XLOOKUP(DETALLE_GD_1[[#This Row],[CODIGO]],PRODUCTOS[CODIGO],PRODUCTOS[DESC CORTA],"",0)</f>
        <v>0</v>
      </c>
      <c r="AE629"/>
      <c r="AH629"/>
    </row>
    <row r="630" spans="1:34" x14ac:dyDescent="0.25">
      <c r="A630" s="1">
        <v>46114</v>
      </c>
      <c r="B630" s="1">
        <v>46114</v>
      </c>
      <c r="C630" s="81" t="s">
        <v>169</v>
      </c>
      <c r="D630" s="38">
        <v>4</v>
      </c>
      <c r="E630" s="81" t="s">
        <v>169</v>
      </c>
      <c r="F630">
        <v>704079</v>
      </c>
      <c r="G630" s="81" t="s">
        <v>209</v>
      </c>
      <c r="H630" s="81" t="s">
        <v>47</v>
      </c>
      <c r="I630" s="3">
        <v>10</v>
      </c>
      <c r="J630" s="3"/>
      <c r="K630" s="26">
        <v>10</v>
      </c>
      <c r="L630" s="2">
        <v>755.7</v>
      </c>
      <c r="M630" s="2">
        <v>7557</v>
      </c>
      <c r="N630" s="2">
        <v>7557</v>
      </c>
      <c r="O630" s="2">
        <v>755.70489999999995</v>
      </c>
      <c r="P630" s="2">
        <v>4.8999999999999998E-3</v>
      </c>
      <c r="Q630" s="2">
        <v>4.8800000000000003E-2</v>
      </c>
      <c r="R630" s="4">
        <v>6.460193808768214E-6</v>
      </c>
      <c r="T630">
        <v>311098</v>
      </c>
      <c r="U630" s="2"/>
      <c r="V630">
        <v>5947</v>
      </c>
      <c r="W630" s="2">
        <v>6579000000</v>
      </c>
      <c r="X630" s="6">
        <v>7557.04882</v>
      </c>
      <c r="Y630" s="38">
        <v>10010</v>
      </c>
      <c r="Z630" s="86">
        <f>+((DETALLE_GD_1[[#This Row],[VALOR X UN (GD)]]-DETALLE_GD_1[[#This Row],[VALOR PPTO]])/DETALLE_GD_1[[#This Row],[VALOR PPTO]])</f>
        <v>-6.4840124761753799E-6</v>
      </c>
      <c r="AA630" s="2">
        <f>+DETALLE_GD_1[[#This Row],[VALOR PPTO]]*DETALLE_GD_1[[#This Row],[CANTIDAD RECIBIDA]]</f>
        <v>7557.0489999999991</v>
      </c>
      <c r="AB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0" s="3">
        <f>+DETALLE_GD_1[[#This Row],[CANTIDAD SOLICITADA]]-DETALLE_GD_1[[#This Row],[DEVOLUCIÓN]]</f>
        <v>10</v>
      </c>
      <c r="AD630" s="38">
        <f>+_xlfn.XLOOKUP(DETALLE_GD_1[[#This Row],[CODIGO]],PRODUCTOS[CODIGO],PRODUCTOS[DESC CORTA],"",0)</f>
        <v>0</v>
      </c>
      <c r="AE630"/>
      <c r="AH630"/>
    </row>
    <row r="631" spans="1:34" x14ac:dyDescent="0.25">
      <c r="A631" s="1">
        <v>46114</v>
      </c>
      <c r="B631" s="1">
        <v>46114</v>
      </c>
      <c r="C631" s="81" t="s">
        <v>169</v>
      </c>
      <c r="D631" s="38">
        <v>4</v>
      </c>
      <c r="E631" s="81" t="s">
        <v>169</v>
      </c>
      <c r="F631">
        <v>602255</v>
      </c>
      <c r="G631" s="81" t="s">
        <v>203</v>
      </c>
      <c r="H631" s="81" t="s">
        <v>25</v>
      </c>
      <c r="I631" s="3">
        <v>2</v>
      </c>
      <c r="J631" s="3"/>
      <c r="K631" s="26">
        <v>2</v>
      </c>
      <c r="L631" s="2">
        <v>47890</v>
      </c>
      <c r="M631" s="2">
        <v>95780</v>
      </c>
      <c r="N631" s="2">
        <v>95780</v>
      </c>
      <c r="O631" s="2">
        <v>47889.5</v>
      </c>
      <c r="P631" s="2">
        <v>-0.5</v>
      </c>
      <c r="Q631" s="2">
        <v>-1</v>
      </c>
      <c r="R631" s="4">
        <v>-1.0440702032804683E-5</v>
      </c>
      <c r="T631">
        <v>311098</v>
      </c>
      <c r="U631" s="2"/>
      <c r="V631">
        <v>5947</v>
      </c>
      <c r="W631" s="2">
        <v>6579000000</v>
      </c>
      <c r="X631" s="6">
        <v>95779</v>
      </c>
      <c r="Y631" s="38">
        <v>10010</v>
      </c>
      <c r="Z631" s="86">
        <f>+((DETALLE_GD_1[[#This Row],[VALOR X UN (GD)]]-DETALLE_GD_1[[#This Row],[VALOR PPTO]])/DETALLE_GD_1[[#This Row],[VALOR PPTO]])</f>
        <v>1.0440702032804685E-5</v>
      </c>
      <c r="AA631" s="2">
        <f>+DETALLE_GD_1[[#This Row],[VALOR PPTO]]*DETALLE_GD_1[[#This Row],[CANTIDAD RECIBIDA]]</f>
        <v>95779</v>
      </c>
      <c r="AB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1" s="3">
        <f>+DETALLE_GD_1[[#This Row],[CANTIDAD SOLICITADA]]-DETALLE_GD_1[[#This Row],[DEVOLUCIÓN]]</f>
        <v>2</v>
      </c>
      <c r="AD631" s="38">
        <f>+_xlfn.XLOOKUP(DETALLE_GD_1[[#This Row],[CODIGO]],PRODUCTOS[CODIGO],PRODUCTOS[DESC CORTA],"",0)</f>
        <v>0</v>
      </c>
      <c r="AE631"/>
      <c r="AH631"/>
    </row>
    <row r="632" spans="1:34" x14ac:dyDescent="0.25">
      <c r="A632" s="1">
        <v>46114</v>
      </c>
      <c r="B632" s="1">
        <v>46114</v>
      </c>
      <c r="C632" s="81" t="s">
        <v>169</v>
      </c>
      <c r="D632" s="38">
        <v>4</v>
      </c>
      <c r="E632" s="81" t="s">
        <v>169</v>
      </c>
      <c r="F632">
        <v>602254</v>
      </c>
      <c r="G632" s="81" t="s">
        <v>214</v>
      </c>
      <c r="H632" s="81" t="s">
        <v>25</v>
      </c>
      <c r="I632" s="3">
        <v>2</v>
      </c>
      <c r="J632" s="3"/>
      <c r="K632" s="26">
        <v>2</v>
      </c>
      <c r="L632" s="2">
        <v>46060</v>
      </c>
      <c r="M632" s="2">
        <v>92120</v>
      </c>
      <c r="N632" s="2">
        <v>92120</v>
      </c>
      <c r="O632" s="2">
        <v>46060</v>
      </c>
      <c r="P632" s="2">
        <v>0</v>
      </c>
      <c r="Q632" s="2">
        <v>0</v>
      </c>
      <c r="R632" s="4">
        <v>0</v>
      </c>
      <c r="T632">
        <v>311098</v>
      </c>
      <c r="U632" s="2"/>
      <c r="V632">
        <v>5947</v>
      </c>
      <c r="W632" s="2">
        <v>6579000000</v>
      </c>
      <c r="X632" s="6">
        <v>92120</v>
      </c>
      <c r="Y632" s="38">
        <v>10010</v>
      </c>
      <c r="Z632" s="86">
        <f>+((DETALLE_GD_1[[#This Row],[VALOR X UN (GD)]]-DETALLE_GD_1[[#This Row],[VALOR PPTO]])/DETALLE_GD_1[[#This Row],[VALOR PPTO]])</f>
        <v>0</v>
      </c>
      <c r="AA632" s="2">
        <f>+DETALLE_GD_1[[#This Row],[VALOR PPTO]]*DETALLE_GD_1[[#This Row],[CANTIDAD RECIBIDA]]</f>
        <v>92120</v>
      </c>
      <c r="AB6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2" s="3">
        <f>+DETALLE_GD_1[[#This Row],[CANTIDAD SOLICITADA]]-DETALLE_GD_1[[#This Row],[DEVOLUCIÓN]]</f>
        <v>2</v>
      </c>
      <c r="AD632" s="38">
        <f>+_xlfn.XLOOKUP(DETALLE_GD_1[[#This Row],[CODIGO]],PRODUCTOS[CODIGO],PRODUCTOS[DESC CORTA],"",0)</f>
        <v>0</v>
      </c>
      <c r="AE632"/>
      <c r="AH632"/>
    </row>
    <row r="633" spans="1:34" x14ac:dyDescent="0.25">
      <c r="A633" s="1">
        <v>46114</v>
      </c>
      <c r="B633" s="1">
        <v>46114</v>
      </c>
      <c r="C633" s="81" t="s">
        <v>169</v>
      </c>
      <c r="D633" s="38">
        <v>4</v>
      </c>
      <c r="E633" s="81" t="s">
        <v>169</v>
      </c>
      <c r="F633">
        <v>2302017</v>
      </c>
      <c r="G633" s="81" t="s">
        <v>156</v>
      </c>
      <c r="H633" s="81" t="s">
        <v>25</v>
      </c>
      <c r="I633" s="3">
        <v>4</v>
      </c>
      <c r="J633" s="3"/>
      <c r="K633" s="26">
        <v>4</v>
      </c>
      <c r="L633" s="2">
        <v>81199.5</v>
      </c>
      <c r="M633" s="2">
        <v>324798</v>
      </c>
      <c r="N633" s="2">
        <v>324798</v>
      </c>
      <c r="O633" s="2">
        <v>81197.881599999993</v>
      </c>
      <c r="P633" s="2">
        <v>-1.6184000000000001</v>
      </c>
      <c r="Q633" s="2">
        <v>-6.4737</v>
      </c>
      <c r="R633" s="4">
        <v>-1.9931813103355797E-5</v>
      </c>
      <c r="T633">
        <v>311098</v>
      </c>
      <c r="U633" s="2"/>
      <c r="V633">
        <v>5947</v>
      </c>
      <c r="W633" s="2">
        <v>6579000000</v>
      </c>
      <c r="X633" s="6">
        <v>324791.52631599992</v>
      </c>
      <c r="Y633" s="38">
        <v>10010</v>
      </c>
      <c r="Z633" s="86">
        <f>+((DETALLE_GD_1[[#This Row],[VALOR X UN (GD)]]-DETALLE_GD_1[[#This Row],[VALOR PPTO]])/DETALLE_GD_1[[#This Row],[VALOR PPTO]])</f>
        <v>1.9931554470586818E-5</v>
      </c>
      <c r="AA633" s="2">
        <f>+DETALLE_GD_1[[#This Row],[VALOR PPTO]]*DETALLE_GD_1[[#This Row],[CANTIDAD RECIBIDA]]</f>
        <v>324791.52639999997</v>
      </c>
      <c r="AB6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3" s="3">
        <f>+DETALLE_GD_1[[#This Row],[CANTIDAD SOLICITADA]]-DETALLE_GD_1[[#This Row],[DEVOLUCIÓN]]</f>
        <v>4</v>
      </c>
      <c r="AD633" s="38">
        <f>+_xlfn.XLOOKUP(DETALLE_GD_1[[#This Row],[CODIGO]],PRODUCTOS[CODIGO],PRODUCTOS[DESC CORTA],"",0)</f>
        <v>0</v>
      </c>
      <c r="AE633"/>
      <c r="AH633"/>
    </row>
    <row r="634" spans="1:34" x14ac:dyDescent="0.25">
      <c r="A634" s="1">
        <v>46114</v>
      </c>
      <c r="B634" s="1">
        <v>46114</v>
      </c>
      <c r="C634" s="81" t="s">
        <v>169</v>
      </c>
      <c r="D634" s="38">
        <v>4</v>
      </c>
      <c r="E634" s="81" t="s">
        <v>169</v>
      </c>
      <c r="F634">
        <v>1801735</v>
      </c>
      <c r="G634" s="81" t="s">
        <v>73</v>
      </c>
      <c r="H634" s="81" t="s">
        <v>31</v>
      </c>
      <c r="I634" s="3">
        <v>3</v>
      </c>
      <c r="J634" s="3"/>
      <c r="K634" s="26">
        <v>3</v>
      </c>
      <c r="L634" s="2">
        <v>3863</v>
      </c>
      <c r="M634" s="2">
        <v>11589</v>
      </c>
      <c r="N634" s="2">
        <v>11589</v>
      </c>
      <c r="O634" s="2">
        <v>3495</v>
      </c>
      <c r="P634" s="2">
        <v>-368</v>
      </c>
      <c r="Q634" s="2">
        <v>-1104</v>
      </c>
      <c r="R634" s="4">
        <v>-0.10529327610872675</v>
      </c>
      <c r="T634">
        <v>311098</v>
      </c>
      <c r="U634" s="2"/>
      <c r="V634">
        <v>5947</v>
      </c>
      <c r="W634" s="2">
        <v>6579000000</v>
      </c>
      <c r="X634" s="6">
        <v>10485</v>
      </c>
      <c r="Y634" s="38">
        <v>10010</v>
      </c>
      <c r="Z634" s="86">
        <f>+((DETALLE_GD_1[[#This Row],[VALOR X UN (GD)]]-DETALLE_GD_1[[#This Row],[VALOR PPTO]])/DETALLE_GD_1[[#This Row],[VALOR PPTO]])</f>
        <v>0.10529327610872675</v>
      </c>
      <c r="AA634" s="2">
        <f>+DETALLE_GD_1[[#This Row],[VALOR PPTO]]*DETALLE_GD_1[[#This Row],[CANTIDAD RECIBIDA]]</f>
        <v>10485</v>
      </c>
      <c r="AB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4" s="3">
        <f>+DETALLE_GD_1[[#This Row],[CANTIDAD SOLICITADA]]-DETALLE_GD_1[[#This Row],[DEVOLUCIÓN]]</f>
        <v>3</v>
      </c>
      <c r="AD634" s="38" t="str">
        <f>+_xlfn.XLOOKUP(DETALLE_GD_1[[#This Row],[CODIGO]],PRODUCTOS[CODIGO],PRODUCTOS[DESC CORTA],"",0)</f>
        <v>BURLETE PVC</v>
      </c>
      <c r="AE634"/>
      <c r="AH634"/>
    </row>
    <row r="635" spans="1:34" x14ac:dyDescent="0.25">
      <c r="A635" s="1">
        <v>46114</v>
      </c>
      <c r="B635" s="1">
        <v>46114</v>
      </c>
      <c r="C635" s="81" t="s">
        <v>169</v>
      </c>
      <c r="D635" s="38">
        <v>4</v>
      </c>
      <c r="E635" s="81" t="s">
        <v>169</v>
      </c>
      <c r="F635">
        <v>1405040</v>
      </c>
      <c r="G635" s="81" t="s">
        <v>451</v>
      </c>
      <c r="H635" s="81" t="s">
        <v>31</v>
      </c>
      <c r="I635" s="3">
        <v>14</v>
      </c>
      <c r="J635" s="3"/>
      <c r="K635" s="26">
        <v>14</v>
      </c>
      <c r="L635" s="2">
        <v>7568</v>
      </c>
      <c r="M635" s="2">
        <v>105952</v>
      </c>
      <c r="N635" s="2">
        <v>105952</v>
      </c>
      <c r="O635" s="2">
        <v>7568</v>
      </c>
      <c r="P635" s="2">
        <v>0</v>
      </c>
      <c r="Q635" s="2">
        <v>0</v>
      </c>
      <c r="R635" s="4">
        <v>0</v>
      </c>
      <c r="T635">
        <v>311098</v>
      </c>
      <c r="U635" s="2"/>
      <c r="V635">
        <v>5947</v>
      </c>
      <c r="W635" s="2">
        <v>6579000000</v>
      </c>
      <c r="X635" s="6">
        <v>105952</v>
      </c>
      <c r="Y635" s="38">
        <v>10010</v>
      </c>
      <c r="Z635" s="86">
        <f>+((DETALLE_GD_1[[#This Row],[VALOR X UN (GD)]]-DETALLE_GD_1[[#This Row],[VALOR PPTO]])/DETALLE_GD_1[[#This Row],[VALOR PPTO]])</f>
        <v>0</v>
      </c>
      <c r="AA635" s="2">
        <f>+DETALLE_GD_1[[#This Row],[VALOR PPTO]]*DETALLE_GD_1[[#This Row],[CANTIDAD RECIBIDA]]</f>
        <v>105952</v>
      </c>
      <c r="AB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5" s="3">
        <f>+DETALLE_GD_1[[#This Row],[CANTIDAD SOLICITADA]]-DETALLE_GD_1[[#This Row],[DEVOLUCIÓN]]</f>
        <v>14</v>
      </c>
      <c r="AD635" s="38" t="str">
        <f>+_xlfn.XLOOKUP(DETALLE_GD_1[[#This Row],[CODIGO]],PRODUCTOS[CODIGO],PRODUCTOS[DESC CORTA],"",0)</f>
        <v>CEERRADURA BAÑO 815 TUBULAR</v>
      </c>
      <c r="AE635"/>
      <c r="AH635"/>
    </row>
    <row r="636" spans="1:34" x14ac:dyDescent="0.25">
      <c r="A636" s="1">
        <v>46114</v>
      </c>
      <c r="B636" s="1">
        <v>46114</v>
      </c>
      <c r="C636" s="81" t="s">
        <v>169</v>
      </c>
      <c r="D636" s="38">
        <v>4</v>
      </c>
      <c r="E636" s="81" t="s">
        <v>169</v>
      </c>
      <c r="F636">
        <v>1405039</v>
      </c>
      <c r="G636" s="81" t="s">
        <v>314</v>
      </c>
      <c r="H636" s="81" t="s">
        <v>31</v>
      </c>
      <c r="I636" s="3">
        <v>7</v>
      </c>
      <c r="J636" s="3"/>
      <c r="K636" s="26">
        <v>7</v>
      </c>
      <c r="L636" s="2">
        <v>7596</v>
      </c>
      <c r="M636" s="2">
        <v>53172</v>
      </c>
      <c r="N636" s="2">
        <v>53172</v>
      </c>
      <c r="O636" s="2">
        <v>7596</v>
      </c>
      <c r="P636" s="2">
        <v>0</v>
      </c>
      <c r="Q636" s="2">
        <v>0</v>
      </c>
      <c r="R636" s="4">
        <v>0</v>
      </c>
      <c r="T636">
        <v>311098</v>
      </c>
      <c r="U636" s="2"/>
      <c r="V636">
        <v>5947</v>
      </c>
      <c r="W636" s="2">
        <v>6579000000</v>
      </c>
      <c r="X636" s="6">
        <v>53172</v>
      </c>
      <c r="Y636" s="38">
        <v>10010</v>
      </c>
      <c r="Z636" s="86">
        <f>+((DETALLE_GD_1[[#This Row],[VALOR X UN (GD)]]-DETALLE_GD_1[[#This Row],[VALOR PPTO]])/DETALLE_GD_1[[#This Row],[VALOR PPTO]])</f>
        <v>0</v>
      </c>
      <c r="AA636" s="2">
        <f>+DETALLE_GD_1[[#This Row],[VALOR PPTO]]*DETALLE_GD_1[[#This Row],[CANTIDAD RECIBIDA]]</f>
        <v>53172</v>
      </c>
      <c r="AB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6" s="3">
        <f>+DETALLE_GD_1[[#This Row],[CANTIDAD SOLICITADA]]-DETALLE_GD_1[[#This Row],[DEVOLUCIÓN]]</f>
        <v>7</v>
      </c>
      <c r="AD636" s="38" t="str">
        <f>+_xlfn.XLOOKUP(DETALLE_GD_1[[#This Row],[CODIGO]],PRODUCTOS[CODIGO],PRODUCTOS[DESC CORTA],"",0)</f>
        <v>CERRADURA INOX 304</v>
      </c>
      <c r="AE636"/>
      <c r="AH636"/>
    </row>
    <row r="637" spans="1:34" x14ac:dyDescent="0.25">
      <c r="A637" s="1">
        <v>46114</v>
      </c>
      <c r="B637" s="1">
        <v>46114</v>
      </c>
      <c r="C637" s="81" t="s">
        <v>169</v>
      </c>
      <c r="D637" s="38">
        <v>4</v>
      </c>
      <c r="E637" s="81" t="s">
        <v>169</v>
      </c>
      <c r="F637">
        <v>1803045</v>
      </c>
      <c r="G637" s="81" t="s">
        <v>337</v>
      </c>
      <c r="H637" s="81" t="s">
        <v>90</v>
      </c>
      <c r="I637" s="3">
        <v>10</v>
      </c>
      <c r="J637" s="3"/>
      <c r="K637" s="26">
        <v>10</v>
      </c>
      <c r="L637" s="2">
        <v>51886.400000000001</v>
      </c>
      <c r="M637" s="2">
        <v>518864</v>
      </c>
      <c r="N637" s="2">
        <v>518864</v>
      </c>
      <c r="O637" s="2">
        <v>51873</v>
      </c>
      <c r="P637" s="2">
        <v>-13.4</v>
      </c>
      <c r="Q637" s="2">
        <v>-134</v>
      </c>
      <c r="R637" s="4">
        <v>-2.5832321246137166E-4</v>
      </c>
      <c r="T637">
        <v>311098</v>
      </c>
      <c r="U637" s="2"/>
      <c r="V637">
        <v>5947</v>
      </c>
      <c r="W637" s="2">
        <v>6579000000</v>
      </c>
      <c r="X637" s="6">
        <v>518729.99999999994</v>
      </c>
      <c r="Y637" s="38">
        <v>10010</v>
      </c>
      <c r="Z637" s="86">
        <f>+((DETALLE_GD_1[[#This Row],[VALOR X UN (GD)]]-DETALLE_GD_1[[#This Row],[VALOR PPTO]])/DETALLE_GD_1[[#This Row],[VALOR PPTO]])</f>
        <v>2.5832321246123136E-4</v>
      </c>
      <c r="AA637" s="2">
        <f>+DETALLE_GD_1[[#This Row],[VALOR PPTO]]*DETALLE_GD_1[[#This Row],[CANTIDAD RECIBIDA]]</f>
        <v>518730</v>
      </c>
      <c r="AB6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37" s="3">
        <f>+DETALLE_GD_1[[#This Row],[CANTIDAD SOLICITADA]]-DETALLE_GD_1[[#This Row],[DEVOLUCIÓN]]</f>
        <v>10</v>
      </c>
      <c r="AD637" s="38" t="str">
        <f>+_xlfn.XLOOKUP(DETALLE_GD_1[[#This Row],[CODIGO]],PRODUCTOS[CODIGO],PRODUCTOS[DESC CORTA],"",0)</f>
        <v>PUERTA INTERIOR</v>
      </c>
      <c r="AE637"/>
      <c r="AH637"/>
    </row>
    <row r="638" spans="1:34" x14ac:dyDescent="0.25">
      <c r="A638" s="1">
        <v>46114</v>
      </c>
      <c r="B638" s="1">
        <v>46114</v>
      </c>
      <c r="C638" s="81" t="s">
        <v>169</v>
      </c>
      <c r="D638" s="38">
        <v>4</v>
      </c>
      <c r="E638" s="81" t="s">
        <v>169</v>
      </c>
      <c r="F638">
        <v>1803044</v>
      </c>
      <c r="G638" s="81" t="s">
        <v>336</v>
      </c>
      <c r="H638" s="81" t="s">
        <v>90</v>
      </c>
      <c r="I638" s="3">
        <v>10</v>
      </c>
      <c r="J638" s="3"/>
      <c r="K638" s="26">
        <v>10</v>
      </c>
      <c r="L638" s="2">
        <v>51877.5</v>
      </c>
      <c r="M638" s="2">
        <v>518775</v>
      </c>
      <c r="N638" s="2">
        <v>518775</v>
      </c>
      <c r="O638" s="2">
        <v>52920</v>
      </c>
      <c r="P638" s="2">
        <v>1042.5</v>
      </c>
      <c r="Q638" s="2">
        <v>10425</v>
      </c>
      <c r="R638" s="4">
        <v>1.9699546485260771E-2</v>
      </c>
      <c r="T638">
        <v>311098</v>
      </c>
      <c r="U638" s="2"/>
      <c r="V638">
        <v>5947</v>
      </c>
      <c r="W638" s="2">
        <v>6579000000</v>
      </c>
      <c r="X638" s="6">
        <v>529200</v>
      </c>
      <c r="Y638" s="38">
        <v>10010</v>
      </c>
      <c r="Z638" s="86">
        <f>+((DETALLE_GD_1[[#This Row],[VALOR X UN (GD)]]-DETALLE_GD_1[[#This Row],[VALOR PPTO]])/DETALLE_GD_1[[#This Row],[VALOR PPTO]])</f>
        <v>-1.9699546485260771E-2</v>
      </c>
      <c r="AA638" s="2">
        <f>+DETALLE_GD_1[[#This Row],[VALOR PPTO]]*DETALLE_GD_1[[#This Row],[CANTIDAD RECIBIDA]]</f>
        <v>529200</v>
      </c>
      <c r="AB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8" s="3">
        <f>+DETALLE_GD_1[[#This Row],[CANTIDAD SOLICITADA]]-DETALLE_GD_1[[#This Row],[DEVOLUCIÓN]]</f>
        <v>10</v>
      </c>
      <c r="AD638" s="38" t="str">
        <f>+_xlfn.XLOOKUP(DETALLE_GD_1[[#This Row],[CODIGO]],PRODUCTOS[CODIGO],PRODUCTOS[DESC CORTA],"",0)</f>
        <v/>
      </c>
      <c r="AE638"/>
      <c r="AH638"/>
    </row>
    <row r="639" spans="1:34" x14ac:dyDescent="0.25">
      <c r="A639" s="1">
        <v>46114</v>
      </c>
      <c r="B639" s="1">
        <v>46114</v>
      </c>
      <c r="C639" s="81" t="s">
        <v>169</v>
      </c>
      <c r="D639" s="38">
        <v>4</v>
      </c>
      <c r="E639" s="81" t="s">
        <v>169</v>
      </c>
      <c r="F639">
        <v>704046</v>
      </c>
      <c r="G639" s="81" t="s">
        <v>255</v>
      </c>
      <c r="H639" s="81" t="s">
        <v>47</v>
      </c>
      <c r="I639" s="3">
        <v>8</v>
      </c>
      <c r="J639" s="3"/>
      <c r="K639" s="26">
        <v>8</v>
      </c>
      <c r="L639" s="2">
        <v>9076</v>
      </c>
      <c r="M639" s="2">
        <v>72608</v>
      </c>
      <c r="N639" s="2">
        <v>72608</v>
      </c>
      <c r="O639" s="2">
        <v>9076.0622000000003</v>
      </c>
      <c r="P639" s="2">
        <v>6.2199999999999998E-2</v>
      </c>
      <c r="Q639" s="2">
        <v>0.49759999999999999</v>
      </c>
      <c r="R639" s="4">
        <v>6.8528618084685054E-6</v>
      </c>
      <c r="T639">
        <v>311103</v>
      </c>
      <c r="U639" s="2">
        <v>5658072</v>
      </c>
      <c r="V639">
        <v>5947</v>
      </c>
      <c r="W639" s="2">
        <v>6579000000</v>
      </c>
      <c r="X639" s="6">
        <v>72608.497576000009</v>
      </c>
      <c r="Y639" s="38">
        <v>10010</v>
      </c>
      <c r="Z639" s="86">
        <f>+((DETALLE_GD_1[[#This Row],[VALOR X UN (GD)]]-DETALLE_GD_1[[#This Row],[VALOR PPTO]])/DETALLE_GD_1[[#This Row],[VALOR PPTO]])</f>
        <v>-6.8531923459386027E-6</v>
      </c>
      <c r="AA639" s="2">
        <f>+DETALLE_GD_1[[#This Row],[VALOR PPTO]]*DETALLE_GD_1[[#This Row],[CANTIDAD RECIBIDA]]</f>
        <v>72608.497600000002</v>
      </c>
      <c r="AB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9" s="3">
        <f>+DETALLE_GD_1[[#This Row],[CANTIDAD SOLICITADA]]-DETALLE_GD_1[[#This Row],[DEVOLUCIÓN]]</f>
        <v>8</v>
      </c>
      <c r="AD639" s="38">
        <f>+_xlfn.XLOOKUP(DETALLE_GD_1[[#This Row],[CODIGO]],PRODUCTOS[CODIGO],PRODUCTOS[DESC CORTA],"",0)</f>
        <v>0</v>
      </c>
      <c r="AE639"/>
      <c r="AH639"/>
    </row>
    <row r="640" spans="1:34" x14ac:dyDescent="0.25">
      <c r="A640" s="1">
        <v>46114</v>
      </c>
      <c r="B640" s="1">
        <v>46114</v>
      </c>
      <c r="C640" s="81" t="s">
        <v>169</v>
      </c>
      <c r="D640" s="38">
        <v>4</v>
      </c>
      <c r="E640" s="81" t="s">
        <v>169</v>
      </c>
      <c r="F640">
        <v>2304016</v>
      </c>
      <c r="G640" s="81" t="s">
        <v>464</v>
      </c>
      <c r="H640" s="81" t="s">
        <v>31</v>
      </c>
      <c r="I640" s="3">
        <v>12</v>
      </c>
      <c r="J640" s="3"/>
      <c r="K640" s="26">
        <v>12</v>
      </c>
      <c r="L640" s="2">
        <v>3479.0832999999998</v>
      </c>
      <c r="M640" s="2">
        <v>41749</v>
      </c>
      <c r="N640" s="2">
        <v>41749</v>
      </c>
      <c r="O640" s="2"/>
      <c r="P640" s="2"/>
      <c r="Q640" s="2">
        <v>-41749</v>
      </c>
      <c r="R640" s="4"/>
      <c r="T640">
        <v>311103</v>
      </c>
      <c r="U640" s="2"/>
      <c r="V640">
        <v>5947</v>
      </c>
      <c r="W640" s="2">
        <v>6579000000</v>
      </c>
      <c r="X640" s="6" t="s">
        <v>355</v>
      </c>
      <c r="Y640" s="38">
        <v>10010</v>
      </c>
      <c r="Z640" s="86" t="e">
        <f>+((DETALLE_GD_1[[#This Row],[VALOR X UN (GD)]]-DETALLE_GD_1[[#This Row],[VALOR PPTO]])/DETALLE_GD_1[[#This Row],[VALOR PPTO]])</f>
        <v>#DIV/0!</v>
      </c>
      <c r="AA640" s="2">
        <f>+DETALLE_GD_1[[#This Row],[VALOR PPTO]]*DETALLE_GD_1[[#This Row],[CANTIDAD RECIBIDA]]</f>
        <v>0</v>
      </c>
      <c r="AB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0" s="3">
        <f>+DETALLE_GD_1[[#This Row],[CANTIDAD SOLICITADA]]-DETALLE_GD_1[[#This Row],[DEVOLUCIÓN]]</f>
        <v>12</v>
      </c>
      <c r="AD640" s="38" t="str">
        <f>+_xlfn.XLOOKUP(DETALLE_GD_1[[#This Row],[CODIGO]],PRODUCTOS[CODIGO],PRODUCTOS[DESC CORTA],"",0)</f>
        <v/>
      </c>
      <c r="AE640"/>
      <c r="AH640"/>
    </row>
    <row r="641" spans="1:34" x14ac:dyDescent="0.25">
      <c r="A641" s="1">
        <v>46114</v>
      </c>
      <c r="B641" s="1">
        <v>46114</v>
      </c>
      <c r="C641" s="81" t="s">
        <v>169</v>
      </c>
      <c r="D641" s="38">
        <v>4</v>
      </c>
      <c r="E641" s="81" t="s">
        <v>169</v>
      </c>
      <c r="F641">
        <v>617055</v>
      </c>
      <c r="G641" s="81" t="s">
        <v>182</v>
      </c>
      <c r="H641" s="81" t="s">
        <v>31</v>
      </c>
      <c r="I641" s="3">
        <v>5</v>
      </c>
      <c r="J641" s="3"/>
      <c r="K641" s="26">
        <v>5</v>
      </c>
      <c r="L641" s="2">
        <v>949.4</v>
      </c>
      <c r="M641" s="2">
        <v>4747</v>
      </c>
      <c r="N641" s="2">
        <v>4747</v>
      </c>
      <c r="O641" s="2">
        <v>920.35379999999998</v>
      </c>
      <c r="P641" s="2">
        <v>-29.046199999999999</v>
      </c>
      <c r="Q641" s="2">
        <v>-145.2311</v>
      </c>
      <c r="R641" s="4">
        <v>-3.1559841008574015E-2</v>
      </c>
      <c r="T641">
        <v>311103</v>
      </c>
      <c r="U641" s="2"/>
      <c r="V641">
        <v>5947</v>
      </c>
      <c r="W641" s="2">
        <v>6579000000</v>
      </c>
      <c r="X641" s="6">
        <v>4601.7689049999999</v>
      </c>
      <c r="Y641" s="38">
        <v>10010</v>
      </c>
      <c r="Z641" s="86">
        <f>+((DETALLE_GD_1[[#This Row],[VALOR X UN (GD)]]-DETALLE_GD_1[[#This Row],[VALOR PPTO]])/DETALLE_GD_1[[#This Row],[VALOR PPTO]])</f>
        <v>3.1559819712810445E-2</v>
      </c>
      <c r="AA641" s="2">
        <f>+DETALLE_GD_1[[#This Row],[VALOR PPTO]]*DETALLE_GD_1[[#This Row],[CANTIDAD RECIBIDA]]</f>
        <v>4601.7690000000002</v>
      </c>
      <c r="AB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1" s="3">
        <f>+DETALLE_GD_1[[#This Row],[CANTIDAD SOLICITADA]]-DETALLE_GD_1[[#This Row],[DEVOLUCIÓN]]</f>
        <v>5</v>
      </c>
      <c r="AD641" s="38">
        <f>+_xlfn.XLOOKUP(DETALLE_GD_1[[#This Row],[CODIGO]],PRODUCTOS[CODIGO],PRODUCTOS[DESC CORTA],"",0)</f>
        <v>0</v>
      </c>
      <c r="AE641"/>
      <c r="AH641"/>
    </row>
    <row r="642" spans="1:34" x14ac:dyDescent="0.25">
      <c r="A642" s="1">
        <v>46114</v>
      </c>
      <c r="B642" s="1">
        <v>46114</v>
      </c>
      <c r="C642" s="81" t="s">
        <v>169</v>
      </c>
      <c r="D642" s="38">
        <v>4</v>
      </c>
      <c r="E642" s="81" t="s">
        <v>169</v>
      </c>
      <c r="F642">
        <v>1902003</v>
      </c>
      <c r="G642" s="81" t="s">
        <v>155</v>
      </c>
      <c r="H642" s="81" t="s">
        <v>47</v>
      </c>
      <c r="I642" s="3">
        <v>2</v>
      </c>
      <c r="J642" s="3"/>
      <c r="K642" s="26">
        <v>2</v>
      </c>
      <c r="L642" s="2">
        <v>150752.5</v>
      </c>
      <c r="M642" s="2">
        <v>301505</v>
      </c>
      <c r="N642" s="2">
        <v>301505</v>
      </c>
      <c r="O642" s="2">
        <v>150703.9755</v>
      </c>
      <c r="P642" s="2">
        <v>-48.524500000000003</v>
      </c>
      <c r="Q642" s="2">
        <v>-97.049099999999996</v>
      </c>
      <c r="R642" s="4">
        <v>-3.2198579932565628E-4</v>
      </c>
      <c r="T642">
        <v>311103</v>
      </c>
      <c r="U642" s="2"/>
      <c r="V642">
        <v>5947</v>
      </c>
      <c r="W642" s="2">
        <v>6579000000</v>
      </c>
      <c r="X642" s="6">
        <v>301407.95091999992</v>
      </c>
      <c r="Y642" s="38">
        <v>10010</v>
      </c>
      <c r="Z642" s="86">
        <f>+((DETALLE_GD_1[[#This Row],[VALOR X UN (GD)]]-DETALLE_GD_1[[#This Row],[VALOR PPTO]])/DETALLE_GD_1[[#This Row],[VALOR PPTO]])</f>
        <v>3.2198553381891068E-4</v>
      </c>
      <c r="AA642" s="2">
        <f>+DETALLE_GD_1[[#This Row],[VALOR PPTO]]*DETALLE_GD_1[[#This Row],[CANTIDAD RECIBIDA]]</f>
        <v>301407.951</v>
      </c>
      <c r="AB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2" s="3">
        <f>+DETALLE_GD_1[[#This Row],[CANTIDAD SOLICITADA]]-DETALLE_GD_1[[#This Row],[DEVOLUCIÓN]]</f>
        <v>2</v>
      </c>
      <c r="AD642" s="38">
        <f>+_xlfn.XLOOKUP(DETALLE_GD_1[[#This Row],[CODIGO]],PRODUCTOS[CODIGO],PRODUCTOS[DESC CORTA],"",0)</f>
        <v>0</v>
      </c>
      <c r="AE642"/>
      <c r="AH642"/>
    </row>
    <row r="643" spans="1:34" x14ac:dyDescent="0.25">
      <c r="A643" s="1">
        <v>46114</v>
      </c>
      <c r="B643" s="1">
        <v>46114</v>
      </c>
      <c r="C643" s="81" t="s">
        <v>169</v>
      </c>
      <c r="D643" s="38">
        <v>4</v>
      </c>
      <c r="E643" s="81" t="s">
        <v>169</v>
      </c>
      <c r="F643">
        <v>1902013</v>
      </c>
      <c r="G643" s="81" t="s">
        <v>338</v>
      </c>
      <c r="H643" s="81" t="s">
        <v>47</v>
      </c>
      <c r="I643" s="3">
        <v>15</v>
      </c>
      <c r="J643" s="3"/>
      <c r="K643" s="26">
        <v>15</v>
      </c>
      <c r="L643" s="2">
        <v>39045.2667</v>
      </c>
      <c r="M643" s="2">
        <v>585679</v>
      </c>
      <c r="N643" s="2">
        <v>585679</v>
      </c>
      <c r="O643" s="2">
        <v>29779</v>
      </c>
      <c r="P643" s="2">
        <v>-9266.2667000000001</v>
      </c>
      <c r="Q643" s="2">
        <v>-138994</v>
      </c>
      <c r="R643" s="4">
        <v>-0.31116782520120456</v>
      </c>
      <c r="T643">
        <v>311103</v>
      </c>
      <c r="U643" s="2"/>
      <c r="V643">
        <v>5947</v>
      </c>
      <c r="W643" s="2">
        <v>6579000000</v>
      </c>
      <c r="X643" s="6">
        <v>446685</v>
      </c>
      <c r="Y643" s="38">
        <v>10010</v>
      </c>
      <c r="Z643" s="86">
        <f>+((DETALLE_GD_1[[#This Row],[VALOR X UN (GD)]]-DETALLE_GD_1[[#This Row],[VALOR PPTO]])/DETALLE_GD_1[[#This Row],[VALOR PPTO]])</f>
        <v>0.31116782632056145</v>
      </c>
      <c r="AA643" s="2">
        <f>+DETALLE_GD_1[[#This Row],[VALOR PPTO]]*DETALLE_GD_1[[#This Row],[CANTIDAD RECIBIDA]]</f>
        <v>446685</v>
      </c>
      <c r="AB6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43" s="3">
        <f>+DETALLE_GD_1[[#This Row],[CANTIDAD SOLICITADA]]-DETALLE_GD_1[[#This Row],[DEVOLUCIÓN]]</f>
        <v>15</v>
      </c>
      <c r="AD643" s="38">
        <f>+_xlfn.XLOOKUP(DETALLE_GD_1[[#This Row],[CODIGO]],PRODUCTOS[CODIGO],PRODUCTOS[DESC CORTA],"",0)</f>
        <v>0</v>
      </c>
      <c r="AE643"/>
      <c r="AH643"/>
    </row>
    <row r="644" spans="1:34" x14ac:dyDescent="0.25">
      <c r="A644" s="1">
        <v>46114</v>
      </c>
      <c r="B644" s="1">
        <v>46114</v>
      </c>
      <c r="C644" s="81" t="s">
        <v>169</v>
      </c>
      <c r="D644" s="38">
        <v>4</v>
      </c>
      <c r="E644" s="81" t="s">
        <v>169</v>
      </c>
      <c r="F644">
        <v>407222</v>
      </c>
      <c r="G644" s="81" t="s">
        <v>465</v>
      </c>
      <c r="H644" s="81" t="s">
        <v>31</v>
      </c>
      <c r="I644" s="3">
        <v>500</v>
      </c>
      <c r="J644" s="3"/>
      <c r="K644" s="26">
        <v>500</v>
      </c>
      <c r="L644" s="2">
        <v>17.463999999999999</v>
      </c>
      <c r="M644" s="2">
        <v>8732</v>
      </c>
      <c r="N644" s="2">
        <v>8732</v>
      </c>
      <c r="O644" s="2"/>
      <c r="P644" s="2"/>
      <c r="Q644" s="2">
        <v>-8732</v>
      </c>
      <c r="R644" s="4"/>
      <c r="T644">
        <v>311103</v>
      </c>
      <c r="U644" s="2"/>
      <c r="V644">
        <v>5947</v>
      </c>
      <c r="W644" s="2">
        <v>6579000000</v>
      </c>
      <c r="X644" s="6" t="s">
        <v>355</v>
      </c>
      <c r="Y644" s="38">
        <v>10010</v>
      </c>
      <c r="Z644" s="86" t="e">
        <f>+((DETALLE_GD_1[[#This Row],[VALOR X UN (GD)]]-DETALLE_GD_1[[#This Row],[VALOR PPTO]])/DETALLE_GD_1[[#This Row],[VALOR PPTO]])</f>
        <v>#DIV/0!</v>
      </c>
      <c r="AA644" s="2">
        <f>+DETALLE_GD_1[[#This Row],[VALOR PPTO]]*DETALLE_GD_1[[#This Row],[CANTIDAD RECIBIDA]]</f>
        <v>0</v>
      </c>
      <c r="AB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4" s="3">
        <f>+DETALLE_GD_1[[#This Row],[CANTIDAD SOLICITADA]]-DETALLE_GD_1[[#This Row],[DEVOLUCIÓN]]</f>
        <v>500</v>
      </c>
      <c r="AD644" s="38" t="str">
        <f>+_xlfn.XLOOKUP(DETALLE_GD_1[[#This Row],[CODIGO]],PRODUCTOS[CODIGO],PRODUCTOS[DESC CORTA],"",0)</f>
        <v/>
      </c>
      <c r="AE644"/>
      <c r="AH644"/>
    </row>
    <row r="645" spans="1:34" x14ac:dyDescent="0.25">
      <c r="A645" s="1">
        <v>46114</v>
      </c>
      <c r="B645" s="1">
        <v>46114</v>
      </c>
      <c r="C645" s="81" t="s">
        <v>169</v>
      </c>
      <c r="D645" s="38">
        <v>4</v>
      </c>
      <c r="E645" s="81" t="s">
        <v>169</v>
      </c>
      <c r="F645">
        <v>407307</v>
      </c>
      <c r="G645" s="81" t="s">
        <v>163</v>
      </c>
      <c r="H645" s="81" t="s">
        <v>31</v>
      </c>
      <c r="I645" s="3">
        <v>500</v>
      </c>
      <c r="J645" s="3"/>
      <c r="K645" s="26">
        <v>500</v>
      </c>
      <c r="L645" s="2">
        <v>68.872</v>
      </c>
      <c r="M645" s="2">
        <v>34436</v>
      </c>
      <c r="N645" s="2">
        <v>34436</v>
      </c>
      <c r="O645" s="2">
        <v>69.472800000000007</v>
      </c>
      <c r="P645" s="2">
        <v>0.6008</v>
      </c>
      <c r="Q645" s="2">
        <v>300.38749999999999</v>
      </c>
      <c r="R645" s="4">
        <v>8.6476321120035685E-3</v>
      </c>
      <c r="T645">
        <v>311103</v>
      </c>
      <c r="U645" s="2"/>
      <c r="V645">
        <v>5947</v>
      </c>
      <c r="W645" s="2">
        <v>6579000000</v>
      </c>
      <c r="X645" s="6">
        <v>34736.387499999997</v>
      </c>
      <c r="Y645" s="38">
        <v>10010</v>
      </c>
      <c r="Z645" s="86">
        <f>+((DETALLE_GD_1[[#This Row],[VALOR X UN (GD)]]-DETALLE_GD_1[[#This Row],[VALOR PPTO]])/DETALLE_GD_1[[#This Row],[VALOR PPTO]])</f>
        <v>-8.6479888531915596E-3</v>
      </c>
      <c r="AA645" s="2">
        <f>+DETALLE_GD_1[[#This Row],[VALOR PPTO]]*DETALLE_GD_1[[#This Row],[CANTIDAD RECIBIDA]]</f>
        <v>34736.400000000001</v>
      </c>
      <c r="AB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5" s="3">
        <f>+DETALLE_GD_1[[#This Row],[CANTIDAD SOLICITADA]]-DETALLE_GD_1[[#This Row],[DEVOLUCIÓN]]</f>
        <v>500</v>
      </c>
      <c r="AD645" s="38">
        <f>+_xlfn.XLOOKUP(DETALLE_GD_1[[#This Row],[CODIGO]],PRODUCTOS[CODIGO],PRODUCTOS[DESC CORTA],"",0)</f>
        <v>0</v>
      </c>
      <c r="AE645"/>
      <c r="AH645"/>
    </row>
    <row r="646" spans="1:34" x14ac:dyDescent="0.25">
      <c r="A646" s="1">
        <v>46114</v>
      </c>
      <c r="B646" s="1">
        <v>46114</v>
      </c>
      <c r="C646" s="81" t="s">
        <v>169</v>
      </c>
      <c r="D646" s="38">
        <v>4</v>
      </c>
      <c r="E646" s="81" t="s">
        <v>169</v>
      </c>
      <c r="F646">
        <v>5309018</v>
      </c>
      <c r="G646" s="81" t="s">
        <v>112</v>
      </c>
      <c r="H646" s="81" t="s">
        <v>113</v>
      </c>
      <c r="I646" s="3">
        <v>200</v>
      </c>
      <c r="J646" s="3"/>
      <c r="K646" s="26">
        <v>200</v>
      </c>
      <c r="L646" s="2">
        <v>700</v>
      </c>
      <c r="M646" s="2">
        <v>140000</v>
      </c>
      <c r="N646" s="2">
        <v>140000</v>
      </c>
      <c r="O646" s="2">
        <v>699.99919999999997</v>
      </c>
      <c r="P646" s="2">
        <v>-8.0000000000000004E-4</v>
      </c>
      <c r="Q646" s="2">
        <v>-0.15359999999999999</v>
      </c>
      <c r="R646" s="4">
        <v>-1.0971440602079328E-6</v>
      </c>
      <c r="T646">
        <v>311103</v>
      </c>
      <c r="U646" s="2"/>
      <c r="V646">
        <v>5947</v>
      </c>
      <c r="W646" s="2">
        <v>6579000000</v>
      </c>
      <c r="X646" s="6">
        <v>139999.8464000001</v>
      </c>
      <c r="Y646" s="38">
        <v>10010</v>
      </c>
      <c r="Z646" s="86">
        <f>+((DETALLE_GD_1[[#This Row],[VALOR X UN (GD)]]-DETALLE_GD_1[[#This Row],[VALOR PPTO]])/DETALLE_GD_1[[#This Row],[VALOR PPTO]])</f>
        <v>1.1428584490190236E-6</v>
      </c>
      <c r="AA646" s="2">
        <f>+DETALLE_GD_1[[#This Row],[VALOR PPTO]]*DETALLE_GD_1[[#This Row],[CANTIDAD RECIBIDA]]</f>
        <v>139999.84</v>
      </c>
      <c r="AB6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6" s="3">
        <f>+DETALLE_GD_1[[#This Row],[CANTIDAD SOLICITADA]]-DETALLE_GD_1[[#This Row],[DEVOLUCIÓN]]</f>
        <v>200</v>
      </c>
      <c r="AD646" s="38">
        <f>+_xlfn.XLOOKUP(DETALLE_GD_1[[#This Row],[CODIGO]],PRODUCTOS[CODIGO],PRODUCTOS[DESC CORTA],"",0)</f>
        <v>0</v>
      </c>
      <c r="AE646"/>
      <c r="AH646"/>
    </row>
    <row r="647" spans="1:34" x14ac:dyDescent="0.25">
      <c r="A647" s="1">
        <v>46114</v>
      </c>
      <c r="B647" s="1">
        <v>46114</v>
      </c>
      <c r="C647" s="81" t="s">
        <v>169</v>
      </c>
      <c r="D647" s="38">
        <v>4</v>
      </c>
      <c r="E647" s="81" t="s">
        <v>169</v>
      </c>
      <c r="F647">
        <v>5314002</v>
      </c>
      <c r="G647" s="81" t="s">
        <v>342</v>
      </c>
      <c r="H647" s="81" t="s">
        <v>31</v>
      </c>
      <c r="I647" s="3">
        <v>3</v>
      </c>
      <c r="J647" s="3"/>
      <c r="K647" s="26">
        <v>3</v>
      </c>
      <c r="L647" s="2">
        <v>312</v>
      </c>
      <c r="M647" s="2">
        <v>936</v>
      </c>
      <c r="N647" s="2">
        <v>936</v>
      </c>
      <c r="O647" s="2">
        <v>311.91989999999998</v>
      </c>
      <c r="P647" s="2">
        <v>-8.0100000000000005E-2</v>
      </c>
      <c r="Q647" s="2">
        <v>-0.2404</v>
      </c>
      <c r="R647" s="4">
        <v>-2.569057271907998E-4</v>
      </c>
      <c r="T647">
        <v>311103</v>
      </c>
      <c r="U647" s="2"/>
      <c r="V647">
        <v>5947</v>
      </c>
      <c r="W647" s="2">
        <v>6579000000</v>
      </c>
      <c r="X647" s="6">
        <v>935.75959799999998</v>
      </c>
      <c r="Y647" s="38">
        <v>10010</v>
      </c>
      <c r="Z647" s="86">
        <f>+((DETALLE_GD_1[[#This Row],[VALOR X UN (GD)]]-DETALLE_GD_1[[#This Row],[VALOR PPTO]])/DETALLE_GD_1[[#This Row],[VALOR PPTO]])</f>
        <v>2.5679669684433674E-4</v>
      </c>
      <c r="AA647" s="2">
        <f>+DETALLE_GD_1[[#This Row],[VALOR PPTO]]*DETALLE_GD_1[[#This Row],[CANTIDAD RECIBIDA]]</f>
        <v>935.75969999999995</v>
      </c>
      <c r="AB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7" s="3">
        <f>+DETALLE_GD_1[[#This Row],[CANTIDAD SOLICITADA]]-DETALLE_GD_1[[#This Row],[DEVOLUCIÓN]]</f>
        <v>3</v>
      </c>
      <c r="AD647" s="38" t="str">
        <f>+_xlfn.XLOOKUP(DETALLE_GD_1[[#This Row],[CODIGO]],PRODUCTOS[CODIGO],PRODUCTOS[DESC CORTA],"",0)</f>
        <v>CINTA EMBALAJE TRANSPARENTE</v>
      </c>
      <c r="AE647"/>
      <c r="AH647"/>
    </row>
    <row r="648" spans="1:34" x14ac:dyDescent="0.25">
      <c r="A648" s="1">
        <v>46114</v>
      </c>
      <c r="B648" s="1">
        <v>46114</v>
      </c>
      <c r="C648" s="81" t="s">
        <v>169</v>
      </c>
      <c r="D648" s="38">
        <v>4</v>
      </c>
      <c r="E648" s="81" t="s">
        <v>169</v>
      </c>
      <c r="F648">
        <v>302048</v>
      </c>
      <c r="G648" s="81" t="s">
        <v>126</v>
      </c>
      <c r="H648" s="81" t="s">
        <v>20</v>
      </c>
      <c r="I648" s="3">
        <v>324</v>
      </c>
      <c r="J648" s="3"/>
      <c r="K648" s="26">
        <v>324</v>
      </c>
      <c r="L648" s="2">
        <v>13789.1358</v>
      </c>
      <c r="M648" s="2">
        <v>4467680</v>
      </c>
      <c r="N648" s="2">
        <v>4467680</v>
      </c>
      <c r="O648" s="2">
        <v>13710.695</v>
      </c>
      <c r="P648" s="2">
        <v>-78.440799999999996</v>
      </c>
      <c r="Q648" s="2">
        <v>-25414.832600000002</v>
      </c>
      <c r="R648" s="4">
        <v>-5.7211426329782395E-3</v>
      </c>
      <c r="T648">
        <v>311103</v>
      </c>
      <c r="U648" s="2"/>
      <c r="V648">
        <v>5947</v>
      </c>
      <c r="W648" s="2">
        <v>6579000000</v>
      </c>
      <c r="X648" s="6">
        <v>4442265.1673639994</v>
      </c>
      <c r="Y648" s="38">
        <v>10010</v>
      </c>
      <c r="Z648" s="86">
        <f>+((DETALLE_GD_1[[#This Row],[VALOR X UN (GD)]]-DETALLE_GD_1[[#This Row],[VALOR PPTO]])/DETALLE_GD_1[[#This Row],[VALOR PPTO]])</f>
        <v>5.7211395921213555E-3</v>
      </c>
      <c r="AA648" s="2">
        <f>+DETALLE_GD_1[[#This Row],[VALOR PPTO]]*DETALLE_GD_1[[#This Row],[CANTIDAD RECIBIDA]]</f>
        <v>4442265.18</v>
      </c>
      <c r="AB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48" s="3">
        <f>+DETALLE_GD_1[[#This Row],[CANTIDAD SOLICITADA]]-DETALLE_GD_1[[#This Row],[DEVOLUCIÓN]]</f>
        <v>324</v>
      </c>
      <c r="AD648" s="38" t="str">
        <f>+_xlfn.XLOOKUP(DETALLE_GD_1[[#This Row],[CODIGO]],PRODUCTOS[CODIGO],PRODUCTOS[DESC CORTA],"",0)</f>
        <v>PINO 2X8X4</v>
      </c>
      <c r="AE648"/>
      <c r="AH648"/>
    </row>
    <row r="649" spans="1:34" x14ac:dyDescent="0.25">
      <c r="A649" s="1">
        <v>46114</v>
      </c>
      <c r="B649" s="1">
        <v>46114</v>
      </c>
      <c r="C649" s="81" t="s">
        <v>169</v>
      </c>
      <c r="D649" s="38">
        <v>4</v>
      </c>
      <c r="E649" s="81" t="s">
        <v>169</v>
      </c>
      <c r="F649">
        <v>304002</v>
      </c>
      <c r="G649" s="81" t="s">
        <v>37</v>
      </c>
      <c r="H649" s="81" t="s">
        <v>18</v>
      </c>
      <c r="I649" s="3">
        <v>72</v>
      </c>
      <c r="J649" s="3"/>
      <c r="K649" s="26">
        <v>72</v>
      </c>
      <c r="L649" s="2">
        <v>21604.1528</v>
      </c>
      <c r="M649" s="2">
        <v>1555499</v>
      </c>
      <c r="N649" s="2">
        <v>1555499</v>
      </c>
      <c r="O649" s="2">
        <v>21246.5072</v>
      </c>
      <c r="P649" s="2">
        <v>-357.6456</v>
      </c>
      <c r="Q649" s="2">
        <v>-25750.485000000001</v>
      </c>
      <c r="R649" s="4">
        <v>-1.6833149194938408E-2</v>
      </c>
      <c r="T649">
        <v>311106</v>
      </c>
      <c r="U649" s="2">
        <v>1555499</v>
      </c>
      <c r="V649">
        <v>5947</v>
      </c>
      <c r="W649" s="2">
        <v>6579000000</v>
      </c>
      <c r="X649" s="6">
        <v>1529748.5150160005</v>
      </c>
      <c r="Y649" s="38">
        <v>10010</v>
      </c>
      <c r="Z649" s="86">
        <f>+((DETALLE_GD_1[[#This Row],[VALOR X UN (GD)]]-DETALLE_GD_1[[#This Row],[VALOR PPTO]])/DETALLE_GD_1[[#This Row],[VALOR PPTO]])</f>
        <v>1.6833147991496683E-2</v>
      </c>
      <c r="AA649" s="2">
        <f>+DETALLE_GD_1[[#This Row],[VALOR PPTO]]*DETALLE_GD_1[[#This Row],[CANTIDAD RECIBIDA]]</f>
        <v>1529748.5183999999</v>
      </c>
      <c r="AB6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49" s="3">
        <f>+DETALLE_GD_1[[#This Row],[CANTIDAD SOLICITADA]]-DETALLE_GD_1[[#This Row],[DEVOLUCIÓN]]</f>
        <v>72</v>
      </c>
      <c r="AD649" s="38" t="str">
        <f>+_xlfn.XLOOKUP(DETALLE_GD_1[[#This Row],[CODIGO]],PRODUCTOS[CODIGO],PRODUCTOS[DESC CORTA],"",0)</f>
        <v>SMARTPANEL</v>
      </c>
      <c r="AE649"/>
      <c r="AH649"/>
    </row>
    <row r="650" spans="1:34" x14ac:dyDescent="0.25">
      <c r="A650" s="1">
        <v>46114</v>
      </c>
      <c r="B650" s="1">
        <v>46114</v>
      </c>
      <c r="C650" s="81" t="s">
        <v>169</v>
      </c>
      <c r="D650" s="38">
        <v>4</v>
      </c>
      <c r="E650" s="81" t="s">
        <v>169</v>
      </c>
      <c r="F650">
        <v>307032</v>
      </c>
      <c r="G650" s="81" t="s">
        <v>186</v>
      </c>
      <c r="H650" s="81" t="s">
        <v>137</v>
      </c>
      <c r="I650" s="3">
        <v>5</v>
      </c>
      <c r="J650" s="3"/>
      <c r="K650" s="26">
        <v>5</v>
      </c>
      <c r="L650" s="2">
        <v>2280</v>
      </c>
      <c r="M650" s="2">
        <v>11400</v>
      </c>
      <c r="N650" s="2">
        <v>11400</v>
      </c>
      <c r="O650" s="2">
        <v>2378.375</v>
      </c>
      <c r="P650" s="2">
        <v>98.375</v>
      </c>
      <c r="Q650" s="2">
        <v>491.87520000000001</v>
      </c>
      <c r="R650" s="4">
        <v>4.1362291187952219E-2</v>
      </c>
      <c r="T650">
        <v>311185</v>
      </c>
      <c r="U650" s="2">
        <v>58878</v>
      </c>
      <c r="V650">
        <v>5947</v>
      </c>
      <c r="W650" s="2">
        <v>6579000000</v>
      </c>
      <c r="X650" s="6">
        <v>11891.875204999998</v>
      </c>
      <c r="Y650" s="38">
        <v>10010</v>
      </c>
      <c r="Z650" s="86">
        <f>+((DETALLE_GD_1[[#This Row],[VALOR X UN (GD)]]-DETALLE_GD_1[[#This Row],[VALOR PPTO]])/DETALLE_GD_1[[#This Row],[VALOR PPTO]])</f>
        <v>-4.1362274662321966E-2</v>
      </c>
      <c r="AA650" s="2">
        <f>+DETALLE_GD_1[[#This Row],[VALOR PPTO]]*DETALLE_GD_1[[#This Row],[CANTIDAD RECIBIDA]]</f>
        <v>11891.875</v>
      </c>
      <c r="AB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0" s="3">
        <f>+DETALLE_GD_1[[#This Row],[CANTIDAD SOLICITADA]]-DETALLE_GD_1[[#This Row],[DEVOLUCIÓN]]</f>
        <v>5</v>
      </c>
      <c r="AD650" s="38">
        <f>+_xlfn.XLOOKUP(DETALLE_GD_1[[#This Row],[CODIGO]],PRODUCTOS[CODIGO],PRODUCTOS[DESC CORTA],"",0)</f>
        <v>0</v>
      </c>
      <c r="AE650"/>
      <c r="AH650"/>
    </row>
    <row r="651" spans="1:34" x14ac:dyDescent="0.25">
      <c r="A651" s="1">
        <v>46114</v>
      </c>
      <c r="B651" s="1">
        <v>46114</v>
      </c>
      <c r="C651" s="81" t="s">
        <v>169</v>
      </c>
      <c r="D651" s="38">
        <v>4</v>
      </c>
      <c r="E651" s="81" t="s">
        <v>169</v>
      </c>
      <c r="F651">
        <v>307096</v>
      </c>
      <c r="G651" s="81" t="s">
        <v>249</v>
      </c>
      <c r="H651" s="81" t="s">
        <v>137</v>
      </c>
      <c r="I651" s="3">
        <v>20</v>
      </c>
      <c r="J651" s="3"/>
      <c r="K651" s="26">
        <v>20</v>
      </c>
      <c r="L651" s="2">
        <v>1795.6</v>
      </c>
      <c r="M651" s="2">
        <v>35912</v>
      </c>
      <c r="N651" s="2">
        <v>35912</v>
      </c>
      <c r="O651" s="2">
        <v>2095.3501000000001</v>
      </c>
      <c r="P651" s="2">
        <v>299.75009999999997</v>
      </c>
      <c r="Q651" s="2">
        <v>5995.0025999999998</v>
      </c>
      <c r="R651" s="4">
        <v>0.14305491232773293</v>
      </c>
      <c r="T651">
        <v>311185</v>
      </c>
      <c r="U651" s="2"/>
      <c r="V651">
        <v>5947</v>
      </c>
      <c r="W651" s="2">
        <v>6579000000</v>
      </c>
      <c r="X651" s="6">
        <v>41907.002579999971</v>
      </c>
      <c r="Y651" s="38">
        <v>10010</v>
      </c>
      <c r="Z651" s="86">
        <f>+((DETALLE_GD_1[[#This Row],[VALOR X UN (GD)]]-DETALLE_GD_1[[#This Row],[VALOR PPTO]])/DETALLE_GD_1[[#This Row],[VALOR PPTO]])</f>
        <v>-0.14305490046746852</v>
      </c>
      <c r="AA651" s="2">
        <f>+DETALLE_GD_1[[#This Row],[VALOR PPTO]]*DETALLE_GD_1[[#This Row],[CANTIDAD RECIBIDA]]</f>
        <v>41907.002</v>
      </c>
      <c r="AB6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51" s="3">
        <f>+DETALLE_GD_1[[#This Row],[CANTIDAD SOLICITADA]]-DETALLE_GD_1[[#This Row],[DEVOLUCIÓN]]</f>
        <v>20</v>
      </c>
      <c r="AD651" s="38" t="str">
        <f>+_xlfn.XLOOKUP(DETALLE_GD_1[[#This Row],[CODIGO]],PRODUCTOS[CODIGO],PRODUCTOS[DESC CORTA],"",0)</f>
        <v>CUBREJUNTA</v>
      </c>
      <c r="AE651"/>
      <c r="AH651"/>
    </row>
    <row r="652" spans="1:34" x14ac:dyDescent="0.25">
      <c r="A652" s="1">
        <v>46114</v>
      </c>
      <c r="B652" s="1">
        <v>46114</v>
      </c>
      <c r="C652" s="81" t="s">
        <v>169</v>
      </c>
      <c r="D652" s="38">
        <v>4</v>
      </c>
      <c r="E652" s="81" t="s">
        <v>169</v>
      </c>
      <c r="F652">
        <v>704022</v>
      </c>
      <c r="G652" s="81" t="s">
        <v>330</v>
      </c>
      <c r="H652" s="81" t="s">
        <v>31</v>
      </c>
      <c r="I652" s="3">
        <v>4</v>
      </c>
      <c r="J652" s="3"/>
      <c r="K652" s="26">
        <v>4</v>
      </c>
      <c r="L652" s="2">
        <v>258.5</v>
      </c>
      <c r="M652" s="2">
        <v>1034</v>
      </c>
      <c r="N652" s="2">
        <v>1034</v>
      </c>
      <c r="O652" s="2">
        <v>306</v>
      </c>
      <c r="P652" s="2">
        <v>47.5</v>
      </c>
      <c r="Q652" s="2">
        <v>190</v>
      </c>
      <c r="R652" s="4">
        <v>0.15522875816993481</v>
      </c>
      <c r="T652">
        <v>311185</v>
      </c>
      <c r="U652" s="2"/>
      <c r="V652">
        <v>5947</v>
      </c>
      <c r="W652" s="2">
        <v>6579000000</v>
      </c>
      <c r="X652" s="6">
        <v>1224.0000000000002</v>
      </c>
      <c r="Y652" s="38">
        <v>10010</v>
      </c>
      <c r="Z652" s="86">
        <f>+((DETALLE_GD_1[[#This Row],[VALOR X UN (GD)]]-DETALLE_GD_1[[#This Row],[VALOR PPTO]])/DETALLE_GD_1[[#This Row],[VALOR PPTO]])</f>
        <v>-0.15522875816993464</v>
      </c>
      <c r="AA652" s="2">
        <f>+DETALLE_GD_1[[#This Row],[VALOR PPTO]]*DETALLE_GD_1[[#This Row],[CANTIDAD RECIBIDA]]</f>
        <v>1224</v>
      </c>
      <c r="AB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2" s="3">
        <f>+DETALLE_GD_1[[#This Row],[CANTIDAD SOLICITADA]]-DETALLE_GD_1[[#This Row],[DEVOLUCIÓN]]</f>
        <v>4</v>
      </c>
      <c r="AD652" s="38" t="str">
        <f>+_xlfn.XLOOKUP(DETALLE_GD_1[[#This Row],[CODIGO]],PRODUCTOS[CODIGO],PRODUCTOS[DESC CORTA],"",0)</f>
        <v>ESQUINERO CORNIZA INTERIOR</v>
      </c>
      <c r="AE652"/>
      <c r="AH652"/>
    </row>
    <row r="653" spans="1:34" x14ac:dyDescent="0.25">
      <c r="A653" s="1">
        <v>46114</v>
      </c>
      <c r="B653" s="1">
        <v>46114</v>
      </c>
      <c r="C653" s="81" t="s">
        <v>169</v>
      </c>
      <c r="D653" s="38">
        <v>4</v>
      </c>
      <c r="E653" s="81" t="s">
        <v>169</v>
      </c>
      <c r="F653">
        <v>704024</v>
      </c>
      <c r="G653" s="81" t="s">
        <v>332</v>
      </c>
      <c r="H653" s="81" t="s">
        <v>31</v>
      </c>
      <c r="I653" s="3">
        <v>4</v>
      </c>
      <c r="J653" s="3"/>
      <c r="K653" s="26">
        <v>4</v>
      </c>
      <c r="L653" s="2">
        <v>318</v>
      </c>
      <c r="M653" s="2">
        <v>1272</v>
      </c>
      <c r="N653" s="2">
        <v>1272</v>
      </c>
      <c r="O653" s="2">
        <v>363</v>
      </c>
      <c r="P653" s="2">
        <v>45</v>
      </c>
      <c r="Q653" s="2">
        <v>180</v>
      </c>
      <c r="R653" s="4">
        <v>0.12396694214876032</v>
      </c>
      <c r="T653">
        <v>311185</v>
      </c>
      <c r="U653" s="2"/>
      <c r="V653">
        <v>5947</v>
      </c>
      <c r="W653" s="2">
        <v>6579000000</v>
      </c>
      <c r="X653" s="6">
        <v>1452</v>
      </c>
      <c r="Y653" s="38">
        <v>10010</v>
      </c>
      <c r="Z653" s="86">
        <f>+((DETALLE_GD_1[[#This Row],[VALOR X UN (GD)]]-DETALLE_GD_1[[#This Row],[VALOR PPTO]])/DETALLE_GD_1[[#This Row],[VALOR PPTO]])</f>
        <v>-0.12396694214876033</v>
      </c>
      <c r="AA653" s="2">
        <f>+DETALLE_GD_1[[#This Row],[VALOR PPTO]]*DETALLE_GD_1[[#This Row],[CANTIDAD RECIBIDA]]</f>
        <v>1452</v>
      </c>
      <c r="AB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3" s="3">
        <f>+DETALLE_GD_1[[#This Row],[CANTIDAD SOLICITADA]]-DETALLE_GD_1[[#This Row],[DEVOLUCIÓN]]</f>
        <v>4</v>
      </c>
      <c r="AD653" s="38" t="str">
        <f>+_xlfn.XLOOKUP(DETALLE_GD_1[[#This Row],[CODIGO]],PRODUCTOS[CODIGO],PRODUCTOS[DESC CORTA],"",0)</f>
        <v>ESQUINERO CORNIZA EXTERIOR</v>
      </c>
      <c r="AE653"/>
      <c r="AH653"/>
    </row>
    <row r="654" spans="1:34" x14ac:dyDescent="0.25">
      <c r="A654" s="1">
        <v>46114</v>
      </c>
      <c r="B654" s="1">
        <v>46114</v>
      </c>
      <c r="C654" s="81" t="s">
        <v>169</v>
      </c>
      <c r="D654" s="38">
        <v>4</v>
      </c>
      <c r="E654" s="81" t="s">
        <v>169</v>
      </c>
      <c r="F654">
        <v>704025</v>
      </c>
      <c r="G654" s="81" t="s">
        <v>333</v>
      </c>
      <c r="H654" s="81" t="s">
        <v>31</v>
      </c>
      <c r="I654" s="3">
        <v>2</v>
      </c>
      <c r="J654" s="3"/>
      <c r="K654" s="26">
        <v>2</v>
      </c>
      <c r="L654" s="2">
        <v>580</v>
      </c>
      <c r="M654" s="2">
        <v>1160</v>
      </c>
      <c r="N654" s="2">
        <v>1160</v>
      </c>
      <c r="O654" s="2">
        <v>580</v>
      </c>
      <c r="P654" s="2">
        <v>0</v>
      </c>
      <c r="Q654" s="2">
        <v>0</v>
      </c>
      <c r="R654" s="4">
        <v>0</v>
      </c>
      <c r="T654">
        <v>311185</v>
      </c>
      <c r="U654" s="2"/>
      <c r="V654">
        <v>5947</v>
      </c>
      <c r="W654" s="2">
        <v>6579000000</v>
      </c>
      <c r="X654" s="6">
        <v>1160</v>
      </c>
      <c r="Y654" s="38">
        <v>10010</v>
      </c>
      <c r="Z654" s="86">
        <f>+((DETALLE_GD_1[[#This Row],[VALOR X UN (GD)]]-DETALLE_GD_1[[#This Row],[VALOR PPTO]])/DETALLE_GD_1[[#This Row],[VALOR PPTO]])</f>
        <v>0</v>
      </c>
      <c r="AA654" s="2">
        <f>+DETALLE_GD_1[[#This Row],[VALOR PPTO]]*DETALLE_GD_1[[#This Row],[CANTIDAD RECIBIDA]]</f>
        <v>1160</v>
      </c>
      <c r="AB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4" s="3">
        <f>+DETALLE_GD_1[[#This Row],[CANTIDAD SOLICITADA]]-DETALLE_GD_1[[#This Row],[DEVOLUCIÓN]]</f>
        <v>2</v>
      </c>
      <c r="AD654" s="38" t="str">
        <f>+_xlfn.XLOOKUP(DETALLE_GD_1[[#This Row],[CODIGO]],PRODUCTOS[CODIGO],PRODUCTOS[DESC CORTA],"",0)</f>
        <v>ESQUINERO GUARDAPOLVO EXTERIOR</v>
      </c>
      <c r="AE654"/>
      <c r="AH654"/>
    </row>
    <row r="655" spans="1:34" x14ac:dyDescent="0.25">
      <c r="A655" s="1">
        <v>46114</v>
      </c>
      <c r="B655" s="1">
        <v>46114</v>
      </c>
      <c r="C655" s="81" t="s">
        <v>169</v>
      </c>
      <c r="D655" s="38">
        <v>4</v>
      </c>
      <c r="E655" s="81" t="s">
        <v>169</v>
      </c>
      <c r="F655">
        <v>307031</v>
      </c>
      <c r="G655" s="81" t="s">
        <v>65</v>
      </c>
      <c r="H655" s="81" t="s">
        <v>31</v>
      </c>
      <c r="I655" s="3">
        <v>3</v>
      </c>
      <c r="J655" s="3"/>
      <c r="K655" s="26">
        <v>3</v>
      </c>
      <c r="L655" s="2">
        <v>2700</v>
      </c>
      <c r="M655" s="2">
        <v>8100</v>
      </c>
      <c r="N655" s="2">
        <v>8100</v>
      </c>
      <c r="O655" s="2">
        <v>2699.9985999999999</v>
      </c>
      <c r="P655" s="2">
        <v>-1.4E-3</v>
      </c>
      <c r="Q655" s="2">
        <v>-4.1999999999999997E-3</v>
      </c>
      <c r="R655" s="4">
        <v>-5.1666693335944687E-7</v>
      </c>
      <c r="T655">
        <v>311185</v>
      </c>
      <c r="U655" s="2"/>
      <c r="V655">
        <v>5947</v>
      </c>
      <c r="W655" s="2">
        <v>6579000000</v>
      </c>
      <c r="X655" s="6">
        <v>8099.995815000002</v>
      </c>
      <c r="Y655" s="38">
        <v>10010</v>
      </c>
      <c r="Z655" s="86">
        <f>+((DETALLE_GD_1[[#This Row],[VALOR X UN (GD)]]-DETALLE_GD_1[[#This Row],[VALOR PPTO]])/DETALLE_GD_1[[#This Row],[VALOR PPTO]])</f>
        <v>5.1851878741837811E-7</v>
      </c>
      <c r="AA655" s="2">
        <f>+DETALLE_GD_1[[#This Row],[VALOR PPTO]]*DETALLE_GD_1[[#This Row],[CANTIDAD RECIBIDA]]</f>
        <v>8099.9957999999997</v>
      </c>
      <c r="AB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5" s="3">
        <f>+DETALLE_GD_1[[#This Row],[CANTIDAD SOLICITADA]]-DETALLE_GD_1[[#This Row],[DEVOLUCIÓN]]</f>
        <v>3</v>
      </c>
      <c r="AD655" s="38" t="str">
        <f>+_xlfn.XLOOKUP(DETALLE_GD_1[[#This Row],[CODIGO]],PRODUCTOS[CODIGO],PRODUCTOS[DESC CORTA],"",0)</f>
        <v>CORNIZA BLANCA</v>
      </c>
      <c r="AE655"/>
      <c r="AH655"/>
    </row>
    <row r="656" spans="1:34" x14ac:dyDescent="0.25">
      <c r="A656" s="1">
        <v>46114</v>
      </c>
      <c r="B656" s="1">
        <v>46114</v>
      </c>
      <c r="C656" s="81" t="s">
        <v>169</v>
      </c>
      <c r="D656" s="38">
        <v>4</v>
      </c>
      <c r="E656" s="81" t="s">
        <v>169</v>
      </c>
      <c r="F656">
        <v>1103074</v>
      </c>
      <c r="G656" s="81" t="s">
        <v>310</v>
      </c>
      <c r="H656" s="81" t="s">
        <v>31</v>
      </c>
      <c r="I656" s="3">
        <v>24</v>
      </c>
      <c r="J656" s="3"/>
      <c r="K656" s="26">
        <v>24</v>
      </c>
      <c r="L656" s="2">
        <v>2426.9167000000002</v>
      </c>
      <c r="M656" s="2">
        <v>58246</v>
      </c>
      <c r="N656" s="2">
        <v>58246</v>
      </c>
      <c r="O656" s="2">
        <v>2427</v>
      </c>
      <c r="P656" s="2">
        <v>8.3299999999999999E-2</v>
      </c>
      <c r="Q656" s="2">
        <v>2</v>
      </c>
      <c r="R656" s="4">
        <v>3.4335942865053532E-5</v>
      </c>
      <c r="T656">
        <v>311194</v>
      </c>
      <c r="U656" s="2">
        <v>103087</v>
      </c>
      <c r="V656">
        <v>5947</v>
      </c>
      <c r="W656" s="2">
        <v>6579000000</v>
      </c>
      <c r="X656" s="6">
        <v>58248</v>
      </c>
      <c r="Y656" s="38">
        <v>10010</v>
      </c>
      <c r="Z656" s="86">
        <f>+((DETALLE_GD_1[[#This Row],[VALOR X UN (GD)]]-DETALLE_GD_1[[#This Row],[VALOR PPTO]])/DETALLE_GD_1[[#This Row],[VALOR PPTO]])</f>
        <v>-3.4322208487754839E-5</v>
      </c>
      <c r="AA656" s="2">
        <f>+DETALLE_GD_1[[#This Row],[VALOR PPTO]]*DETALLE_GD_1[[#This Row],[CANTIDAD RECIBIDA]]</f>
        <v>58248</v>
      </c>
      <c r="AB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6" s="3">
        <f>+DETALLE_GD_1[[#This Row],[CANTIDAD SOLICITADA]]-DETALLE_GD_1[[#This Row],[DEVOLUCIÓN]]</f>
        <v>24</v>
      </c>
      <c r="AD656" s="38" t="str">
        <f>+_xlfn.XLOOKUP(DETALLE_GD_1[[#This Row],[CODIGO]],PRODUCTOS[CODIGO],PRODUCTOS[DESC CORTA],"",0)</f>
        <v>PERFIL ESQUINERO ENCUENTRO</v>
      </c>
      <c r="AE656"/>
      <c r="AH656"/>
    </row>
    <row r="657" spans="1:34" x14ac:dyDescent="0.25">
      <c r="A657" s="1">
        <v>46114</v>
      </c>
      <c r="B657" s="1">
        <v>46114</v>
      </c>
      <c r="C657" s="81" t="s">
        <v>169</v>
      </c>
      <c r="D657" s="38">
        <v>4</v>
      </c>
      <c r="E657" s="81" t="s">
        <v>169</v>
      </c>
      <c r="F657">
        <v>1103076</v>
      </c>
      <c r="G657" s="81" t="s">
        <v>311</v>
      </c>
      <c r="H657" s="81" t="s">
        <v>31</v>
      </c>
      <c r="I657" s="3">
        <v>8</v>
      </c>
      <c r="J657" s="3"/>
      <c r="K657" s="26">
        <v>8</v>
      </c>
      <c r="L657" s="2">
        <v>3190.75</v>
      </c>
      <c r="M657" s="2">
        <v>25526</v>
      </c>
      <c r="N657" s="2">
        <v>25526</v>
      </c>
      <c r="O657" s="2">
        <v>3191</v>
      </c>
      <c r="P657" s="2">
        <v>0.25</v>
      </c>
      <c r="Q657" s="2">
        <v>2</v>
      </c>
      <c r="R657" s="4">
        <v>7.8345346286430597E-5</v>
      </c>
      <c r="T657">
        <v>311194</v>
      </c>
      <c r="U657" s="2"/>
      <c r="V657">
        <v>5947</v>
      </c>
      <c r="W657" s="2">
        <v>6579000000</v>
      </c>
      <c r="X657" s="6">
        <v>25528</v>
      </c>
      <c r="Y657" s="38">
        <v>10010</v>
      </c>
      <c r="Z657" s="86">
        <f>+((DETALLE_GD_1[[#This Row],[VALOR X UN (GD)]]-DETALLE_GD_1[[#This Row],[VALOR PPTO]])/DETALLE_GD_1[[#This Row],[VALOR PPTO]])</f>
        <v>-7.8345346286430584E-5</v>
      </c>
      <c r="AA657" s="2">
        <f>+DETALLE_GD_1[[#This Row],[VALOR PPTO]]*DETALLE_GD_1[[#This Row],[CANTIDAD RECIBIDA]]</f>
        <v>25528</v>
      </c>
      <c r="AB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7" s="3">
        <f>+DETALLE_GD_1[[#This Row],[CANTIDAD SOLICITADA]]-DETALLE_GD_1[[#This Row],[DEVOLUCIÓN]]</f>
        <v>8</v>
      </c>
      <c r="AD657" s="38" t="str">
        <f>+_xlfn.XLOOKUP(DETALLE_GD_1[[#This Row],[CODIGO]],PRODUCTOS[CODIGO],PRODUCTOS[DESC CORTA],"",0)</f>
        <v>PERFIL ESQUINERO INTERIOR</v>
      </c>
      <c r="AE657"/>
      <c r="AH657"/>
    </row>
    <row r="658" spans="1:34" x14ac:dyDescent="0.25">
      <c r="A658" s="1">
        <v>46114</v>
      </c>
      <c r="B658" s="1">
        <v>46114</v>
      </c>
      <c r="C658" s="81" t="s">
        <v>169</v>
      </c>
      <c r="D658" s="38">
        <v>4</v>
      </c>
      <c r="E658" s="81" t="s">
        <v>169</v>
      </c>
      <c r="F658">
        <v>1801735</v>
      </c>
      <c r="G658" s="81" t="s">
        <v>73</v>
      </c>
      <c r="H658" s="81" t="s">
        <v>31</v>
      </c>
      <c r="I658" s="3">
        <v>5</v>
      </c>
      <c r="J658" s="3"/>
      <c r="K658" s="26">
        <v>5</v>
      </c>
      <c r="L658" s="2">
        <v>3863</v>
      </c>
      <c r="M658" s="2">
        <v>19315</v>
      </c>
      <c r="N658" s="2">
        <v>19315</v>
      </c>
      <c r="O658" s="2">
        <v>3495</v>
      </c>
      <c r="P658" s="2">
        <v>-368</v>
      </c>
      <c r="Q658" s="2">
        <v>-1840</v>
      </c>
      <c r="R658" s="4">
        <v>-0.10529327610872675</v>
      </c>
      <c r="T658">
        <v>311194</v>
      </c>
      <c r="U658" s="2"/>
      <c r="V658">
        <v>5947</v>
      </c>
      <c r="W658" s="2">
        <v>6579000000</v>
      </c>
      <c r="X658" s="6">
        <v>17475</v>
      </c>
      <c r="Y658" s="38">
        <v>10010</v>
      </c>
      <c r="Z658" s="86">
        <f>+((DETALLE_GD_1[[#This Row],[VALOR X UN (GD)]]-DETALLE_GD_1[[#This Row],[VALOR PPTO]])/DETALLE_GD_1[[#This Row],[VALOR PPTO]])</f>
        <v>0.10529327610872675</v>
      </c>
      <c r="AA658" s="2">
        <f>+DETALLE_GD_1[[#This Row],[VALOR PPTO]]*DETALLE_GD_1[[#This Row],[CANTIDAD RECIBIDA]]</f>
        <v>17475</v>
      </c>
      <c r="AB6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8" s="3">
        <f>+DETALLE_GD_1[[#This Row],[CANTIDAD SOLICITADA]]-DETALLE_GD_1[[#This Row],[DEVOLUCIÓN]]</f>
        <v>5</v>
      </c>
      <c r="AD658" s="38" t="str">
        <f>+_xlfn.XLOOKUP(DETALLE_GD_1[[#This Row],[CODIGO]],PRODUCTOS[CODIGO],PRODUCTOS[DESC CORTA],"",0)</f>
        <v>BURLETE PVC</v>
      </c>
      <c r="AE658"/>
      <c r="AH658"/>
    </row>
    <row r="659" spans="1:34" x14ac:dyDescent="0.25">
      <c r="A659" s="1">
        <v>46118</v>
      </c>
      <c r="B659" s="1">
        <v>46118</v>
      </c>
      <c r="C659" s="81" t="s">
        <v>169</v>
      </c>
      <c r="D659" s="38">
        <v>4</v>
      </c>
      <c r="E659" s="81" t="s">
        <v>169</v>
      </c>
      <c r="F659">
        <v>407011</v>
      </c>
      <c r="G659" s="81" t="s">
        <v>30</v>
      </c>
      <c r="H659" s="81" t="s">
        <v>31</v>
      </c>
      <c r="I659" s="3">
        <v>1000</v>
      </c>
      <c r="J659" s="3"/>
      <c r="K659" s="26">
        <v>1000</v>
      </c>
      <c r="L659" s="2">
        <v>473.17500000000001</v>
      </c>
      <c r="M659" s="2">
        <v>473175</v>
      </c>
      <c r="N659" s="2">
        <v>473175</v>
      </c>
      <c r="O659" s="2">
        <v>473.17520000000002</v>
      </c>
      <c r="P659" s="2">
        <v>2.0000000000000001E-4</v>
      </c>
      <c r="Q659" s="2">
        <v>0.24</v>
      </c>
      <c r="R659" s="4">
        <v>5.0721166201690746E-7</v>
      </c>
      <c r="T659">
        <v>311251</v>
      </c>
      <c r="U659" s="2">
        <v>1591863</v>
      </c>
      <c r="V659">
        <v>5947</v>
      </c>
      <c r="W659" s="2">
        <v>6579000000</v>
      </c>
      <c r="X659" s="6">
        <v>473175.23999999993</v>
      </c>
      <c r="Y659" s="38">
        <v>10010</v>
      </c>
      <c r="Z659" s="86">
        <f>+((DETALLE_GD_1[[#This Row],[VALOR X UN (GD)]]-DETALLE_GD_1[[#This Row],[VALOR PPTO]])/DETALLE_GD_1[[#This Row],[VALOR PPTO]])</f>
        <v>-4.2267642092535555E-7</v>
      </c>
      <c r="AA659" s="2">
        <f>+DETALLE_GD_1[[#This Row],[VALOR PPTO]]*DETALLE_GD_1[[#This Row],[CANTIDAD RECIBIDA]]</f>
        <v>473175.2</v>
      </c>
      <c r="AB6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59" s="3">
        <f>+DETALLE_GD_1[[#This Row],[CANTIDAD SOLICITADA]]-DETALLE_GD_1[[#This Row],[DEVOLUCIÓN]]</f>
        <v>1000</v>
      </c>
      <c r="AD659" s="38" t="str">
        <f>+_xlfn.XLOOKUP(DETALLE_GD_1[[#This Row],[CODIGO]],PRODUCTOS[CODIGO],PRODUCTOS[DESC CORTA],"",0)</f>
        <v>TORNILLO SIMPSON 6"</v>
      </c>
      <c r="AE659"/>
      <c r="AH659"/>
    </row>
    <row r="660" spans="1:34" x14ac:dyDescent="0.25">
      <c r="A660" s="1">
        <v>46118</v>
      </c>
      <c r="B660" s="1">
        <v>46118</v>
      </c>
      <c r="C660" s="81" t="s">
        <v>169</v>
      </c>
      <c r="D660" s="38">
        <v>4</v>
      </c>
      <c r="E660" s="81" t="s">
        <v>169</v>
      </c>
      <c r="F660">
        <v>1901008</v>
      </c>
      <c r="G660" s="81" t="s">
        <v>278</v>
      </c>
      <c r="H660" s="81" t="s">
        <v>26</v>
      </c>
      <c r="I660" s="3">
        <v>135</v>
      </c>
      <c r="J660" s="3"/>
      <c r="K660" s="26">
        <v>135</v>
      </c>
      <c r="L660" s="2">
        <v>2059.2963</v>
      </c>
      <c r="M660" s="2">
        <v>278005</v>
      </c>
      <c r="N660" s="2">
        <v>278005</v>
      </c>
      <c r="O660" s="2">
        <v>2112.7957999999999</v>
      </c>
      <c r="P660" s="2">
        <v>53.499499999999998</v>
      </c>
      <c r="Q660" s="2">
        <v>7222.4301999999998</v>
      </c>
      <c r="R660" s="4">
        <v>2.5321653533890348E-2</v>
      </c>
      <c r="T660">
        <v>311251</v>
      </c>
      <c r="U660" s="2"/>
      <c r="V660">
        <v>5947</v>
      </c>
      <c r="W660" s="2">
        <v>6579000000</v>
      </c>
      <c r="X660" s="6">
        <v>285227.43016500003</v>
      </c>
      <c r="Y660" s="38">
        <v>10010</v>
      </c>
      <c r="Z660" s="86">
        <f>+((DETALLE_GD_1[[#This Row],[VALOR X UN (GD)]]-DETALLE_GD_1[[#This Row],[VALOR PPTO]])/DETALLE_GD_1[[#This Row],[VALOR PPTO]])</f>
        <v>-2.5321661468656793E-2</v>
      </c>
      <c r="AA660" s="2">
        <f>+DETALLE_GD_1[[#This Row],[VALOR PPTO]]*DETALLE_GD_1[[#This Row],[CANTIDAD RECIBIDA]]</f>
        <v>285227.43299999996</v>
      </c>
      <c r="AB6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60" s="3">
        <f>+DETALLE_GD_1[[#This Row],[CANTIDAD SOLICITADA]]-DETALLE_GD_1[[#This Row],[DEVOLUCIÓN]]</f>
        <v>135</v>
      </c>
      <c r="AD660" s="38" t="str">
        <f>+_xlfn.XLOOKUP(DETALLE_GD_1[[#This Row],[CODIGO]],PRODUCTOS[CODIGO],PRODUCTOS[DESC CORTA],"",0)</f>
        <v>AISLAN GLASS 90MM</v>
      </c>
      <c r="AE660"/>
      <c r="AH660"/>
    </row>
    <row r="661" spans="1:34" x14ac:dyDescent="0.25">
      <c r="A661" s="1">
        <v>46118</v>
      </c>
      <c r="B661" s="1">
        <v>46118</v>
      </c>
      <c r="C661" s="81" t="s">
        <v>169</v>
      </c>
      <c r="D661" s="38">
        <v>4</v>
      </c>
      <c r="E661" s="81" t="s">
        <v>169</v>
      </c>
      <c r="F661">
        <v>1901038</v>
      </c>
      <c r="G661" s="81" t="s">
        <v>39</v>
      </c>
      <c r="H661" s="81" t="s">
        <v>26</v>
      </c>
      <c r="I661" s="3">
        <v>54</v>
      </c>
      <c r="J661" s="3"/>
      <c r="K661" s="26">
        <v>54</v>
      </c>
      <c r="L661" s="2">
        <v>4480.6481000000003</v>
      </c>
      <c r="M661" s="2">
        <v>241955</v>
      </c>
      <c r="N661" s="2">
        <v>241955</v>
      </c>
      <c r="O661" s="2">
        <v>4197.4179000000004</v>
      </c>
      <c r="P661" s="2">
        <v>-283.2303</v>
      </c>
      <c r="Q661" s="2">
        <v>-15294.4347</v>
      </c>
      <c r="R661" s="4">
        <v>-6.7477263780449007E-2</v>
      </c>
      <c r="T661">
        <v>311251</v>
      </c>
      <c r="U661" s="2"/>
      <c r="V661">
        <v>5947</v>
      </c>
      <c r="W661" s="2">
        <v>6579000000</v>
      </c>
      <c r="X661" s="6">
        <v>226660.56525000004</v>
      </c>
      <c r="Y661" s="38">
        <v>10010</v>
      </c>
      <c r="Z661" s="86">
        <f>+((DETALLE_GD_1[[#This Row],[VALOR X UN (GD)]]-DETALLE_GD_1[[#This Row],[VALOR PPTO]])/DETALLE_GD_1[[#This Row],[VALOR PPTO]])</f>
        <v>6.747724595161228E-2</v>
      </c>
      <c r="AA661" s="2">
        <f>+DETALLE_GD_1[[#This Row],[VALOR PPTO]]*DETALLE_GD_1[[#This Row],[CANTIDAD RECIBIDA]]</f>
        <v>226660.56660000002</v>
      </c>
      <c r="AB6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61" s="3">
        <f>+DETALLE_GD_1[[#This Row],[CANTIDAD SOLICITADA]]-DETALLE_GD_1[[#This Row],[DEVOLUCIÓN]]</f>
        <v>54</v>
      </c>
      <c r="AD661" s="38" t="str">
        <f>+_xlfn.XLOOKUP(DETALLE_GD_1[[#This Row],[CODIGO]],PRODUCTOS[CODIGO],PRODUCTOS[DESC CORTA],"",0)</f>
        <v>AISLAN ROCA 90MM</v>
      </c>
      <c r="AE661"/>
      <c r="AH661"/>
    </row>
    <row r="662" spans="1:34" x14ac:dyDescent="0.25">
      <c r="A662" s="1">
        <v>46118</v>
      </c>
      <c r="B662" s="1">
        <v>46118</v>
      </c>
      <c r="C662" s="81" t="s">
        <v>169</v>
      </c>
      <c r="D662" s="38">
        <v>4</v>
      </c>
      <c r="E662" s="81" t="s">
        <v>169</v>
      </c>
      <c r="F662">
        <v>1901086</v>
      </c>
      <c r="G662" s="81" t="s">
        <v>279</v>
      </c>
      <c r="H662" s="81" t="s">
        <v>26</v>
      </c>
      <c r="I662" s="3">
        <v>81</v>
      </c>
      <c r="J662" s="3"/>
      <c r="K662" s="26">
        <v>81</v>
      </c>
      <c r="L662" s="2">
        <v>3652.3209999999999</v>
      </c>
      <c r="M662" s="2">
        <v>295838</v>
      </c>
      <c r="N662" s="2">
        <v>295838</v>
      </c>
      <c r="O662" s="2">
        <v>3711.587</v>
      </c>
      <c r="P662" s="2">
        <v>59.266100000000002</v>
      </c>
      <c r="Q662" s="2">
        <v>4800.5502999999999</v>
      </c>
      <c r="R662" s="4">
        <v>1.5967846824282306E-2</v>
      </c>
      <c r="T662">
        <v>311251</v>
      </c>
      <c r="U662" s="2"/>
      <c r="V662">
        <v>5947</v>
      </c>
      <c r="W662" s="2">
        <v>6579000000</v>
      </c>
      <c r="X662" s="6">
        <v>300638.55032100005</v>
      </c>
      <c r="Y662" s="38">
        <v>10010</v>
      </c>
      <c r="Z662" s="86">
        <f>+((DETALLE_GD_1[[#This Row],[VALOR X UN (GD)]]-DETALLE_GD_1[[#This Row],[VALOR PPTO]])/DETALLE_GD_1[[#This Row],[VALOR PPTO]])</f>
        <v>-1.59678326279298E-2</v>
      </c>
      <c r="AA662" s="2">
        <f>+DETALLE_GD_1[[#This Row],[VALOR PPTO]]*DETALLE_GD_1[[#This Row],[CANTIDAD RECIBIDA]]</f>
        <v>300638.54700000002</v>
      </c>
      <c r="AB6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62" s="3">
        <f>+DETALLE_GD_1[[#This Row],[CANTIDAD SOLICITADA]]-DETALLE_GD_1[[#This Row],[DEVOLUCIÓN]]</f>
        <v>81</v>
      </c>
      <c r="AD662" s="38" t="str">
        <f>+_xlfn.XLOOKUP(DETALLE_GD_1[[#This Row],[CODIGO]],PRODUCTOS[CODIGO],PRODUCTOS[DESC CORTA],"",0)</f>
        <v>AISLAN GLASS 140MM</v>
      </c>
      <c r="AE662"/>
      <c r="AH662"/>
    </row>
    <row r="663" spans="1:34" x14ac:dyDescent="0.25">
      <c r="A663" s="1">
        <v>46118</v>
      </c>
      <c r="B663" s="1">
        <v>46118</v>
      </c>
      <c r="C663" s="81" t="s">
        <v>169</v>
      </c>
      <c r="D663" s="38">
        <v>4</v>
      </c>
      <c r="E663" s="81" t="s">
        <v>169</v>
      </c>
      <c r="F663" t="s">
        <v>386</v>
      </c>
      <c r="G663" s="81" t="s">
        <v>83</v>
      </c>
      <c r="H663" s="81" t="s">
        <v>36</v>
      </c>
      <c r="I663" s="3">
        <v>1</v>
      </c>
      <c r="J663" s="3"/>
      <c r="K663" s="26">
        <v>1</v>
      </c>
      <c r="L663" s="2">
        <v>36940</v>
      </c>
      <c r="M663" s="2">
        <v>36940</v>
      </c>
      <c r="N663" s="2">
        <v>36940</v>
      </c>
      <c r="O663" s="2">
        <v>36939.818200000002</v>
      </c>
      <c r="P663" s="2">
        <v>-0.18179999999999999</v>
      </c>
      <c r="Q663" s="2">
        <v>-0.18179999999999999</v>
      </c>
      <c r="R663" s="4">
        <v>-4.9220058181131147E-6</v>
      </c>
      <c r="T663">
        <v>311251</v>
      </c>
      <c r="U663" s="2"/>
      <c r="V663">
        <v>5947</v>
      </c>
      <c r="W663" s="2">
        <v>6579000000</v>
      </c>
      <c r="X663" s="6">
        <v>36939.818181999981</v>
      </c>
      <c r="Y663" s="38">
        <v>10010</v>
      </c>
      <c r="Z663" s="86">
        <f>+((DETALLE_GD_1[[#This Row],[VALOR X UN (GD)]]-DETALLE_GD_1[[#This Row],[VALOR PPTO]])/DETALLE_GD_1[[#This Row],[VALOR PPTO]])</f>
        <v>4.92151853628979E-6</v>
      </c>
      <c r="AA663" s="2">
        <f>+DETALLE_GD_1[[#This Row],[VALOR PPTO]]*DETALLE_GD_1[[#This Row],[CANTIDAD RECIBIDA]]</f>
        <v>36939.818200000002</v>
      </c>
      <c r="AB6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63" s="3">
        <f>+DETALLE_GD_1[[#This Row],[CANTIDAD SOLICITADA]]-DETALLE_GD_1[[#This Row],[DEVOLUCIÓN]]</f>
        <v>1</v>
      </c>
      <c r="AD663" s="38" t="str">
        <f>+_xlfn.XLOOKUP(DETALLE_GD_1[[#This Row],[CODIGO]],PRODUCTOS[CODIGO],PRODUCTOS[DESC CORTA],"",0)</f>
        <v>CLAVO R20</v>
      </c>
      <c r="AE663"/>
      <c r="AH663"/>
    </row>
    <row r="664" spans="1:34" x14ac:dyDescent="0.25">
      <c r="A664" s="1">
        <v>46118</v>
      </c>
      <c r="B664" s="1">
        <v>46118</v>
      </c>
      <c r="C664" s="81" t="s">
        <v>169</v>
      </c>
      <c r="D664" s="38">
        <v>4</v>
      </c>
      <c r="E664" s="81" t="s">
        <v>169</v>
      </c>
      <c r="F664">
        <v>1901466</v>
      </c>
      <c r="G664" s="81" t="s">
        <v>398</v>
      </c>
      <c r="H664" s="81" t="s">
        <v>26</v>
      </c>
      <c r="I664" s="3">
        <v>135</v>
      </c>
      <c r="J664" s="3"/>
      <c r="K664" s="26">
        <v>135</v>
      </c>
      <c r="L664" s="2">
        <v>1970</v>
      </c>
      <c r="M664" s="2">
        <v>265950</v>
      </c>
      <c r="N664" s="2">
        <v>265950</v>
      </c>
      <c r="O664" s="2">
        <v>2112.7957999999999</v>
      </c>
      <c r="P664" s="2">
        <v>142.79580000000001</v>
      </c>
      <c r="Q664" s="2">
        <v>19277.430199999999</v>
      </c>
      <c r="R664" s="4">
        <v>6.7586172037690365E-2</v>
      </c>
      <c r="T664">
        <v>311251</v>
      </c>
      <c r="U664" s="2"/>
      <c r="V664">
        <v>5947</v>
      </c>
      <c r="W664" s="2">
        <v>6579000000</v>
      </c>
      <c r="X664" s="6">
        <v>285227.43016500003</v>
      </c>
      <c r="Y664" s="38">
        <v>10010</v>
      </c>
      <c r="Z664" s="86">
        <f>+((DETALLE_GD_1[[#This Row],[VALOR X UN (GD)]]-DETALLE_GD_1[[#This Row],[VALOR PPTO]])/DETALLE_GD_1[[#This Row],[VALOR PPTO]])</f>
        <v>-6.758618130535847E-2</v>
      </c>
      <c r="AA664" s="2">
        <f>+DETALLE_GD_1[[#This Row],[VALOR PPTO]]*DETALLE_GD_1[[#This Row],[CANTIDAD RECIBIDA]]</f>
        <v>285227.43299999996</v>
      </c>
      <c r="AB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4" s="3">
        <f>+DETALLE_GD_1[[#This Row],[CANTIDAD SOLICITADA]]-DETALLE_GD_1[[#This Row],[DEVOLUCIÓN]]</f>
        <v>135</v>
      </c>
      <c r="AD664" s="38" t="str">
        <f>+_xlfn.XLOOKUP(DETALLE_GD_1[[#This Row],[CODIGO]],PRODUCTOS[CODIGO],PRODUCTOS[DESC CORTA],"",0)</f>
        <v>AISLAN DENSIDAD 14 KG/M3 (13.5 M2 X BOLSA) SKU 4000147</v>
      </c>
      <c r="AE664"/>
      <c r="AH664"/>
    </row>
    <row r="665" spans="1:34" x14ac:dyDescent="0.25">
      <c r="A665" s="1">
        <v>46118</v>
      </c>
      <c r="B665" s="1">
        <v>46118</v>
      </c>
      <c r="C665" s="81" t="s">
        <v>169</v>
      </c>
      <c r="D665" s="38">
        <v>4</v>
      </c>
      <c r="E665" s="81" t="s">
        <v>169</v>
      </c>
      <c r="F665">
        <v>1808148</v>
      </c>
      <c r="G665" s="81" t="s">
        <v>276</v>
      </c>
      <c r="H665" s="81" t="s">
        <v>31</v>
      </c>
      <c r="I665" s="3">
        <v>3</v>
      </c>
      <c r="J665" s="3"/>
      <c r="K665" s="26">
        <v>3</v>
      </c>
      <c r="L665" s="2">
        <v>1098.6667</v>
      </c>
      <c r="M665" s="2">
        <v>3296</v>
      </c>
      <c r="N665" s="2">
        <v>3296</v>
      </c>
      <c r="O665" s="2">
        <v>1089</v>
      </c>
      <c r="P665" s="2">
        <v>-9.6667000000000005</v>
      </c>
      <c r="Q665" s="2">
        <v>-29</v>
      </c>
      <c r="R665" s="4">
        <v>-8.8766452402816737E-3</v>
      </c>
      <c r="T665">
        <v>311291</v>
      </c>
      <c r="U665" s="2">
        <v>1506116</v>
      </c>
      <c r="V665">
        <v>5947</v>
      </c>
      <c r="W665" s="2">
        <v>6579000000</v>
      </c>
      <c r="X665" s="6">
        <v>3267</v>
      </c>
      <c r="Y665" s="38">
        <v>10010</v>
      </c>
      <c r="Z665" s="86">
        <f>+((DETALLE_GD_1[[#This Row],[VALOR X UN (GD)]]-DETALLE_GD_1[[#This Row],[VALOR PPTO]])/DETALLE_GD_1[[#This Row],[VALOR PPTO]])</f>
        <v>8.8766758494031144E-3</v>
      </c>
      <c r="AA665" s="2">
        <f>+DETALLE_GD_1[[#This Row],[VALOR PPTO]]*DETALLE_GD_1[[#This Row],[CANTIDAD RECIBIDA]]</f>
        <v>3267</v>
      </c>
      <c r="AB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5" s="3">
        <f>+DETALLE_GD_1[[#This Row],[CANTIDAD SOLICITADA]]-DETALLE_GD_1[[#This Row],[DEVOLUCIÓN]]</f>
        <v>3</v>
      </c>
      <c r="AD665" s="38" t="str">
        <f>+_xlfn.XLOOKUP(DETALLE_GD_1[[#This Row],[CODIGO]],PRODUCTOS[CODIGO],PRODUCTOS[DESC CORTA],"",0)</f>
        <v>SELLO INSTALACION WC</v>
      </c>
      <c r="AE665"/>
      <c r="AH665"/>
    </row>
    <row r="666" spans="1:34" x14ac:dyDescent="0.25">
      <c r="A666" s="1">
        <v>46118</v>
      </c>
      <c r="B666" s="1">
        <v>46118</v>
      </c>
      <c r="C666" s="81" t="s">
        <v>169</v>
      </c>
      <c r="D666" s="38">
        <v>4</v>
      </c>
      <c r="E666" s="81" t="s">
        <v>169</v>
      </c>
      <c r="F666">
        <v>1808145</v>
      </c>
      <c r="G666" s="81" t="s">
        <v>273</v>
      </c>
      <c r="H666" s="81" t="s">
        <v>31</v>
      </c>
      <c r="I666" s="3">
        <v>3</v>
      </c>
      <c r="J666" s="3"/>
      <c r="K666" s="26">
        <v>3</v>
      </c>
      <c r="L666" s="2">
        <v>16269.6667</v>
      </c>
      <c r="M666" s="2">
        <v>48809</v>
      </c>
      <c r="N666" s="2">
        <v>48809</v>
      </c>
      <c r="O666" s="2">
        <v>17145</v>
      </c>
      <c r="P666" s="2">
        <v>875.33330000000001</v>
      </c>
      <c r="Q666" s="2">
        <v>2626</v>
      </c>
      <c r="R666" s="4">
        <v>5.1054729269952401E-2</v>
      </c>
      <c r="T666">
        <v>311291</v>
      </c>
      <c r="U666" s="2"/>
      <c r="V666">
        <v>5947</v>
      </c>
      <c r="W666" s="2">
        <v>6579000000</v>
      </c>
      <c r="X666" s="6">
        <v>51435</v>
      </c>
      <c r="Y666" s="38">
        <v>10010</v>
      </c>
      <c r="Z666" s="86">
        <f>+((DETALLE_GD_1[[#This Row],[VALOR X UN (GD)]]-DETALLE_GD_1[[#This Row],[VALOR PPTO]])/DETALLE_GD_1[[#This Row],[VALOR PPTO]])</f>
        <v>-5.1054727325750962E-2</v>
      </c>
      <c r="AA666" s="2">
        <f>+DETALLE_GD_1[[#This Row],[VALOR PPTO]]*DETALLE_GD_1[[#This Row],[CANTIDAD RECIBIDA]]</f>
        <v>51435</v>
      </c>
      <c r="AB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6" s="3">
        <f>+DETALLE_GD_1[[#This Row],[CANTIDAD SOLICITADA]]-DETALLE_GD_1[[#This Row],[DEVOLUCIÓN]]</f>
        <v>3</v>
      </c>
      <c r="AD666" s="38" t="str">
        <f>+_xlfn.XLOOKUP(DETALLE_GD_1[[#This Row],[CODIGO]],PRODUCTOS[CODIGO],PRODUCTOS[DESC CORTA],"",0)</f>
        <v>ESTANQUE WC AURA</v>
      </c>
      <c r="AE666"/>
      <c r="AH666"/>
    </row>
    <row r="667" spans="1:34" x14ac:dyDescent="0.25">
      <c r="A667" s="1">
        <v>46118</v>
      </c>
      <c r="B667" s="1">
        <v>46118</v>
      </c>
      <c r="C667" s="81" t="s">
        <v>169</v>
      </c>
      <c r="D667" s="38">
        <v>4</v>
      </c>
      <c r="E667" s="81" t="s">
        <v>169</v>
      </c>
      <c r="F667">
        <v>1808144</v>
      </c>
      <c r="G667" s="81" t="s">
        <v>272</v>
      </c>
      <c r="H667" s="81" t="s">
        <v>31</v>
      </c>
      <c r="I667" s="3">
        <v>3</v>
      </c>
      <c r="J667" s="3"/>
      <c r="K667" s="26">
        <v>3</v>
      </c>
      <c r="L667" s="2">
        <v>23316.666700000002</v>
      </c>
      <c r="M667" s="2">
        <v>69950</v>
      </c>
      <c r="N667" s="2">
        <v>69950</v>
      </c>
      <c r="O667" s="2">
        <v>23228</v>
      </c>
      <c r="P667" s="2">
        <v>-88.666700000000006</v>
      </c>
      <c r="Q667" s="2">
        <v>-266</v>
      </c>
      <c r="R667" s="4">
        <v>-3.8172320762298894E-3</v>
      </c>
      <c r="T667">
        <v>311291</v>
      </c>
      <c r="U667" s="2"/>
      <c r="V667">
        <v>5947</v>
      </c>
      <c r="W667" s="2">
        <v>6579000000</v>
      </c>
      <c r="X667" s="6">
        <v>69684</v>
      </c>
      <c r="Y667" s="38">
        <v>10010</v>
      </c>
      <c r="Z667" s="86">
        <f>+((DETALLE_GD_1[[#This Row],[VALOR X UN (GD)]]-DETALLE_GD_1[[#This Row],[VALOR PPTO]])/DETALLE_GD_1[[#This Row],[VALOR PPTO]])</f>
        <v>3.8172335112795584E-3</v>
      </c>
      <c r="AA667" s="2">
        <f>+DETALLE_GD_1[[#This Row],[VALOR PPTO]]*DETALLE_GD_1[[#This Row],[CANTIDAD RECIBIDA]]</f>
        <v>69684</v>
      </c>
      <c r="AB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7" s="3">
        <f>+DETALLE_GD_1[[#This Row],[CANTIDAD SOLICITADA]]-DETALLE_GD_1[[#This Row],[DEVOLUCIÓN]]</f>
        <v>3</v>
      </c>
      <c r="AD667" s="38" t="str">
        <f>+_xlfn.XLOOKUP(DETALLE_GD_1[[#This Row],[CODIGO]],PRODUCTOS[CODIGO],PRODUCTOS[DESC CORTA],"",0)</f>
        <v>TAZA WC AURA</v>
      </c>
      <c r="AE667"/>
      <c r="AH667"/>
    </row>
    <row r="668" spans="1:34" x14ac:dyDescent="0.25">
      <c r="A668" s="1">
        <v>46118</v>
      </c>
      <c r="B668" s="1">
        <v>46118</v>
      </c>
      <c r="C668" s="81" t="s">
        <v>169</v>
      </c>
      <c r="D668" s="38">
        <v>4</v>
      </c>
      <c r="E668" s="81" t="s">
        <v>169</v>
      </c>
      <c r="F668">
        <v>407795</v>
      </c>
      <c r="G668" s="81" t="s">
        <v>325</v>
      </c>
      <c r="H668" s="81" t="s">
        <v>31</v>
      </c>
      <c r="I668" s="3">
        <v>3</v>
      </c>
      <c r="J668" s="3"/>
      <c r="K668" s="26">
        <v>3</v>
      </c>
      <c r="L668" s="2">
        <v>1611</v>
      </c>
      <c r="M668" s="2">
        <v>4833</v>
      </c>
      <c r="N668" s="2">
        <v>4833</v>
      </c>
      <c r="O668" s="2">
        <v>1610.9336000000001</v>
      </c>
      <c r="P668" s="2">
        <v>-6.6400000000000001E-2</v>
      </c>
      <c r="Q668" s="2">
        <v>-0.19919999999999999</v>
      </c>
      <c r="R668" s="4">
        <v>-4.1212126674764554E-5</v>
      </c>
      <c r="T668">
        <v>311291</v>
      </c>
      <c r="U668" s="2"/>
      <c r="V668">
        <v>5947</v>
      </c>
      <c r="W668" s="2">
        <v>6579000000</v>
      </c>
      <c r="X668" s="6">
        <v>4832.8008300000001</v>
      </c>
      <c r="Y668" s="38">
        <v>10010</v>
      </c>
      <c r="Z668" s="86">
        <f>+((DETALLE_GD_1[[#This Row],[VALOR X UN (GD)]]-DETALLE_GD_1[[#This Row],[VALOR PPTO]])/DETALLE_GD_1[[#This Row],[VALOR PPTO]])</f>
        <v>4.1218334511075141E-5</v>
      </c>
      <c r="AA668" s="2">
        <f>+DETALLE_GD_1[[#This Row],[VALOR PPTO]]*DETALLE_GD_1[[#This Row],[CANTIDAD RECIBIDA]]</f>
        <v>4832.8008</v>
      </c>
      <c r="AB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8" s="3">
        <f>+DETALLE_GD_1[[#This Row],[CANTIDAD SOLICITADA]]-DETALLE_GD_1[[#This Row],[DEVOLUCIÓN]]</f>
        <v>3</v>
      </c>
      <c r="AD668" s="38" t="str">
        <f>+_xlfn.XLOOKUP(DETALLE_GD_1[[#This Row],[CODIGO]],PRODUCTOS[CODIGO],PRODUCTOS[DESC CORTA],"",0)</f>
        <v>SET BALCON</v>
      </c>
      <c r="AE668"/>
      <c r="AH668"/>
    </row>
    <row r="669" spans="1:34" x14ac:dyDescent="0.25">
      <c r="A669" s="1">
        <v>46118</v>
      </c>
      <c r="B669" s="1">
        <v>46118</v>
      </c>
      <c r="C669" s="81" t="s">
        <v>169</v>
      </c>
      <c r="D669" s="38">
        <v>4</v>
      </c>
      <c r="E669" s="81" t="s">
        <v>169</v>
      </c>
      <c r="F669">
        <v>1808146</v>
      </c>
      <c r="G669" s="81" t="s">
        <v>274</v>
      </c>
      <c r="H669" s="81" t="s">
        <v>31</v>
      </c>
      <c r="I669" s="3">
        <v>3</v>
      </c>
      <c r="J669" s="3"/>
      <c r="K669" s="26">
        <v>3</v>
      </c>
      <c r="L669" s="2">
        <v>3325.3332999999998</v>
      </c>
      <c r="M669" s="2">
        <v>9976</v>
      </c>
      <c r="N669" s="2">
        <v>9976</v>
      </c>
      <c r="O669" s="2">
        <v>3404</v>
      </c>
      <c r="P669" s="2">
        <v>78.666700000000006</v>
      </c>
      <c r="Q669" s="2">
        <v>236</v>
      </c>
      <c r="R669" s="4">
        <v>2.3110066588327413E-2</v>
      </c>
      <c r="T669">
        <v>311291</v>
      </c>
      <c r="U669" s="2"/>
      <c r="V669">
        <v>5947</v>
      </c>
      <c r="W669" s="2">
        <v>6579000000</v>
      </c>
      <c r="X669" s="6">
        <v>10212</v>
      </c>
      <c r="Y669" s="38">
        <v>10010</v>
      </c>
      <c r="Z669" s="86">
        <f>+((DETALLE_GD_1[[#This Row],[VALOR X UN (GD)]]-DETALLE_GD_1[[#This Row],[VALOR PPTO]])/DETALLE_GD_1[[#This Row],[VALOR PPTO]])</f>
        <v>-2.3110076380728619E-2</v>
      </c>
      <c r="AA669" s="2">
        <f>+DETALLE_GD_1[[#This Row],[VALOR PPTO]]*DETALLE_GD_1[[#This Row],[CANTIDAD RECIBIDA]]</f>
        <v>10212</v>
      </c>
      <c r="AB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9" s="3">
        <f>+DETALLE_GD_1[[#This Row],[CANTIDAD SOLICITADA]]-DETALLE_GD_1[[#This Row],[DEVOLUCIÓN]]</f>
        <v>3</v>
      </c>
      <c r="AD669" s="38" t="str">
        <f>+_xlfn.XLOOKUP(DETALLE_GD_1[[#This Row],[CODIGO]],PRODUCTOS[CODIGO],PRODUCTOS[DESC CORTA],"",0)</f>
        <v>NUEVA</v>
      </c>
      <c r="AE669"/>
      <c r="AH669"/>
    </row>
    <row r="670" spans="1:34" x14ac:dyDescent="0.25">
      <c r="A670" s="1">
        <v>46118</v>
      </c>
      <c r="B670" s="1">
        <v>46118</v>
      </c>
      <c r="C670" s="81" t="s">
        <v>169</v>
      </c>
      <c r="D670" s="38">
        <v>4</v>
      </c>
      <c r="E670" s="81" t="s">
        <v>169</v>
      </c>
      <c r="F670">
        <v>2508988</v>
      </c>
      <c r="G670" s="81" t="s">
        <v>469</v>
      </c>
      <c r="H670" s="81" t="s">
        <v>90</v>
      </c>
      <c r="I670" s="3">
        <v>2</v>
      </c>
      <c r="J670" s="3"/>
      <c r="K670" s="26">
        <v>2</v>
      </c>
      <c r="L670" s="2">
        <v>145847</v>
      </c>
      <c r="M670" s="2">
        <v>291694</v>
      </c>
      <c r="N670" s="2">
        <v>291694</v>
      </c>
      <c r="O670" s="2"/>
      <c r="P670" s="2"/>
      <c r="Q670" s="2">
        <v>-291694</v>
      </c>
      <c r="R670" s="4"/>
      <c r="T670">
        <v>311291</v>
      </c>
      <c r="U670" s="2"/>
      <c r="V670">
        <v>5947</v>
      </c>
      <c r="W670" s="2">
        <v>6579000000</v>
      </c>
      <c r="X670" s="6" t="s">
        <v>355</v>
      </c>
      <c r="Y670" s="38">
        <v>10010</v>
      </c>
      <c r="Z670" s="86" t="e">
        <f>+((DETALLE_GD_1[[#This Row],[VALOR X UN (GD)]]-DETALLE_GD_1[[#This Row],[VALOR PPTO]])/DETALLE_GD_1[[#This Row],[VALOR PPTO]])</f>
        <v>#DIV/0!</v>
      </c>
      <c r="AA670" s="2">
        <f>+DETALLE_GD_1[[#This Row],[VALOR PPTO]]*DETALLE_GD_1[[#This Row],[CANTIDAD RECIBIDA]]</f>
        <v>0</v>
      </c>
      <c r="AB6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0" s="3">
        <f>+DETALLE_GD_1[[#This Row],[CANTIDAD SOLICITADA]]-DETALLE_GD_1[[#This Row],[DEVOLUCIÓN]]</f>
        <v>2</v>
      </c>
      <c r="AD670" s="38" t="str">
        <f>+_xlfn.XLOOKUP(DETALLE_GD_1[[#This Row],[CODIGO]],PRODUCTOS[CODIGO],PRODUCTOS[DESC CORTA],"",0)</f>
        <v/>
      </c>
      <c r="AE670"/>
      <c r="AH670"/>
    </row>
    <row r="671" spans="1:34" x14ac:dyDescent="0.25">
      <c r="A671" s="1">
        <v>46118</v>
      </c>
      <c r="B671" s="1">
        <v>46118</v>
      </c>
      <c r="C671" s="81" t="s">
        <v>169</v>
      </c>
      <c r="D671" s="38">
        <v>4</v>
      </c>
      <c r="E671" s="81" t="s">
        <v>169</v>
      </c>
      <c r="F671">
        <v>2508987</v>
      </c>
      <c r="G671" s="81" t="s">
        <v>305</v>
      </c>
      <c r="H671" s="81" t="s">
        <v>31</v>
      </c>
      <c r="I671" s="3">
        <v>2</v>
      </c>
      <c r="J671" s="3"/>
      <c r="K671" s="26">
        <v>2</v>
      </c>
      <c r="L671" s="2">
        <v>145847</v>
      </c>
      <c r="M671" s="2">
        <v>291694</v>
      </c>
      <c r="N671" s="2">
        <v>291694</v>
      </c>
      <c r="O671" s="2">
        <v>145847</v>
      </c>
      <c r="P671" s="2">
        <v>0</v>
      </c>
      <c r="Q671" s="2">
        <v>0</v>
      </c>
      <c r="R671" s="4">
        <v>0</v>
      </c>
      <c r="T671">
        <v>311291</v>
      </c>
      <c r="U671" s="2"/>
      <c r="V671">
        <v>5947</v>
      </c>
      <c r="W671" s="2">
        <v>6579000000</v>
      </c>
      <c r="X671" s="6">
        <v>291694</v>
      </c>
      <c r="Y671" s="38">
        <v>10010</v>
      </c>
      <c r="Z671" s="86">
        <f>+((DETALLE_GD_1[[#This Row],[VALOR X UN (GD)]]-DETALLE_GD_1[[#This Row],[VALOR PPTO]])/DETALLE_GD_1[[#This Row],[VALOR PPTO]])</f>
        <v>0</v>
      </c>
      <c r="AA671" s="2">
        <f>+DETALLE_GD_1[[#This Row],[VALOR PPTO]]*DETALLE_GD_1[[#This Row],[CANTIDAD RECIBIDA]]</f>
        <v>291694</v>
      </c>
      <c r="AB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1" s="3">
        <f>+DETALLE_GD_1[[#This Row],[CANTIDAD SOLICITADA]]-DETALLE_GD_1[[#This Row],[DEVOLUCIÓN]]</f>
        <v>2</v>
      </c>
      <c r="AD671" s="38" t="str">
        <f>+_xlfn.XLOOKUP(DETALLE_GD_1[[#This Row],[CODIGO]],PRODUCTOS[CODIGO],PRODUCTOS[DESC CORTA],"",0)</f>
        <v>KIT PREC</v>
      </c>
      <c r="AE671"/>
      <c r="AH671"/>
    </row>
    <row r="672" spans="1:34" x14ac:dyDescent="0.25">
      <c r="A672" s="1">
        <v>46118</v>
      </c>
      <c r="B672" s="1">
        <v>46118</v>
      </c>
      <c r="C672" s="81" t="s">
        <v>169</v>
      </c>
      <c r="D672" s="38">
        <v>4</v>
      </c>
      <c r="E672" s="81" t="s">
        <v>169</v>
      </c>
      <c r="F672">
        <v>4212234</v>
      </c>
      <c r="G672" s="81" t="s">
        <v>54</v>
      </c>
      <c r="H672" s="81" t="s">
        <v>31</v>
      </c>
      <c r="I672" s="3">
        <v>4</v>
      </c>
      <c r="J672" s="3"/>
      <c r="K672" s="26">
        <v>4</v>
      </c>
      <c r="L672" s="2">
        <v>124909</v>
      </c>
      <c r="M672" s="2">
        <v>499636</v>
      </c>
      <c r="N672" s="2">
        <v>499636</v>
      </c>
      <c r="O672" s="2">
        <v>124909</v>
      </c>
      <c r="P672" s="2">
        <v>0</v>
      </c>
      <c r="Q672" s="2">
        <v>0</v>
      </c>
      <c r="R672" s="4">
        <v>0</v>
      </c>
      <c r="T672">
        <v>311291</v>
      </c>
      <c r="U672" s="2"/>
      <c r="V672">
        <v>5947</v>
      </c>
      <c r="W672" s="2">
        <v>6579000000</v>
      </c>
      <c r="X672" s="6">
        <v>499636</v>
      </c>
      <c r="Y672" s="38">
        <v>10010</v>
      </c>
      <c r="Z672" s="86">
        <f>+((DETALLE_GD_1[[#This Row],[VALOR X UN (GD)]]-DETALLE_GD_1[[#This Row],[VALOR PPTO]])/DETALLE_GD_1[[#This Row],[VALOR PPTO]])</f>
        <v>0</v>
      </c>
      <c r="AA672" s="2">
        <f>+DETALLE_GD_1[[#This Row],[VALOR PPTO]]*DETALLE_GD_1[[#This Row],[CANTIDAD RECIBIDA]]</f>
        <v>499636</v>
      </c>
      <c r="AB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2" s="3">
        <f>+DETALLE_GD_1[[#This Row],[CANTIDAD SOLICITADA]]-DETALLE_GD_1[[#This Row],[DEVOLUCIÓN]]</f>
        <v>4</v>
      </c>
      <c r="AD672" s="38" t="str">
        <f>+_xlfn.XLOOKUP(DETALLE_GD_1[[#This Row],[CODIGO]],PRODUCTOS[CODIGO],PRODUCTOS[DESC CORTA],"",0)</f>
        <v>BARANDA BALCON</v>
      </c>
      <c r="AE672"/>
      <c r="AH672"/>
    </row>
    <row r="673" spans="1:34" x14ac:dyDescent="0.25">
      <c r="A673" s="1">
        <v>46118</v>
      </c>
      <c r="B673" s="1">
        <v>46118</v>
      </c>
      <c r="C673" s="81" t="s">
        <v>169</v>
      </c>
      <c r="D673" s="38">
        <v>4</v>
      </c>
      <c r="E673" s="81" t="s">
        <v>169</v>
      </c>
      <c r="F673">
        <v>5316509</v>
      </c>
      <c r="G673" s="81" t="s">
        <v>56</v>
      </c>
      <c r="H673" s="81" t="s">
        <v>31</v>
      </c>
      <c r="I673" s="3">
        <v>2</v>
      </c>
      <c r="J673" s="3"/>
      <c r="K673" s="26">
        <v>2</v>
      </c>
      <c r="L673" s="2">
        <v>14578</v>
      </c>
      <c r="M673" s="2">
        <v>29156</v>
      </c>
      <c r="N673" s="2">
        <v>29156</v>
      </c>
      <c r="O673" s="2">
        <v>15433.3333</v>
      </c>
      <c r="P673" s="2">
        <v>855.33330000000001</v>
      </c>
      <c r="Q673" s="2">
        <v>1710.6667</v>
      </c>
      <c r="R673" s="4">
        <v>5.5421166286294225E-2</v>
      </c>
      <c r="T673">
        <v>311291</v>
      </c>
      <c r="U673" s="2"/>
      <c r="V673">
        <v>5947</v>
      </c>
      <c r="W673" s="2">
        <v>6579000000</v>
      </c>
      <c r="X673" s="6">
        <v>30866.666666000001</v>
      </c>
      <c r="Y673" s="38">
        <v>10010</v>
      </c>
      <c r="Z673" s="86">
        <f>+((DETALLE_GD_1[[#This Row],[VALOR X UN (GD)]]-DETALLE_GD_1[[#This Row],[VALOR PPTO]])/DETALLE_GD_1[[#This Row],[VALOR PPTO]])</f>
        <v>-5.5421164266568401E-2</v>
      </c>
      <c r="AA673" s="2">
        <f>+DETALLE_GD_1[[#This Row],[VALOR PPTO]]*DETALLE_GD_1[[#This Row],[CANTIDAD RECIBIDA]]</f>
        <v>30866.6666</v>
      </c>
      <c r="AB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3" s="3">
        <f>+DETALLE_GD_1[[#This Row],[CANTIDAD SOLICITADA]]-DETALLE_GD_1[[#This Row],[DEVOLUCIÓN]]</f>
        <v>2</v>
      </c>
      <c r="AD673" s="38" t="str">
        <f>+_xlfn.XLOOKUP(DETALLE_GD_1[[#This Row],[CODIGO]],PRODUCTOS[CODIGO],PRODUCTOS[DESC CORTA],"",0)</f>
        <v>LAVAPLATOS</v>
      </c>
      <c r="AE673"/>
      <c r="AH673"/>
    </row>
    <row r="674" spans="1:34" x14ac:dyDescent="0.25">
      <c r="A674" s="1">
        <v>46118</v>
      </c>
      <c r="B674" s="1">
        <v>46118</v>
      </c>
      <c r="C674" s="81" t="s">
        <v>169</v>
      </c>
      <c r="D674" s="38">
        <v>4</v>
      </c>
      <c r="E674" s="81" t="s">
        <v>169</v>
      </c>
      <c r="F674">
        <v>5316508</v>
      </c>
      <c r="G674" s="81" t="s">
        <v>470</v>
      </c>
      <c r="H674" s="81" t="s">
        <v>31</v>
      </c>
      <c r="I674" s="3">
        <v>2</v>
      </c>
      <c r="J674" s="3"/>
      <c r="K674" s="26">
        <v>2</v>
      </c>
      <c r="L674" s="2">
        <v>14634</v>
      </c>
      <c r="M674" s="2">
        <v>29268</v>
      </c>
      <c r="N674" s="2">
        <v>29268</v>
      </c>
      <c r="O674" s="2"/>
      <c r="P674" s="2"/>
      <c r="Q674" s="2">
        <v>-29268</v>
      </c>
      <c r="R674" s="4"/>
      <c r="T674">
        <v>311291</v>
      </c>
      <c r="U674" s="2"/>
      <c r="V674">
        <v>5947</v>
      </c>
      <c r="W674" s="2">
        <v>6579000000</v>
      </c>
      <c r="X674" s="6" t="s">
        <v>355</v>
      </c>
      <c r="Y674" s="38">
        <v>10010</v>
      </c>
      <c r="Z674" s="86" t="e">
        <f>+((DETALLE_GD_1[[#This Row],[VALOR X UN (GD)]]-DETALLE_GD_1[[#This Row],[VALOR PPTO]])/DETALLE_GD_1[[#This Row],[VALOR PPTO]])</f>
        <v>#DIV/0!</v>
      </c>
      <c r="AA674" s="2">
        <f>+DETALLE_GD_1[[#This Row],[VALOR PPTO]]*DETALLE_GD_1[[#This Row],[CANTIDAD RECIBIDA]]</f>
        <v>0</v>
      </c>
      <c r="AB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4" s="3">
        <f>+DETALLE_GD_1[[#This Row],[CANTIDAD SOLICITADA]]-DETALLE_GD_1[[#This Row],[DEVOLUCIÓN]]</f>
        <v>2</v>
      </c>
      <c r="AD674" s="38" t="str">
        <f>+_xlfn.XLOOKUP(DETALLE_GD_1[[#This Row],[CODIGO]],PRODUCTOS[CODIGO],PRODUCTOS[DESC CORTA],"",0)</f>
        <v/>
      </c>
      <c r="AE674"/>
      <c r="AH674"/>
    </row>
    <row r="675" spans="1:34" x14ac:dyDescent="0.25">
      <c r="A675" s="1">
        <v>46118</v>
      </c>
      <c r="B675" s="1">
        <v>46118</v>
      </c>
      <c r="C675" s="81" t="s">
        <v>169</v>
      </c>
      <c r="D675" s="38">
        <v>4</v>
      </c>
      <c r="E675" s="81" t="s">
        <v>169</v>
      </c>
      <c r="F675">
        <v>5316507</v>
      </c>
      <c r="G675" s="81" t="s">
        <v>55</v>
      </c>
      <c r="H675" s="81" t="s">
        <v>31</v>
      </c>
      <c r="I675" s="3">
        <v>4</v>
      </c>
      <c r="J675" s="3"/>
      <c r="K675" s="26">
        <v>4</v>
      </c>
      <c r="L675" s="2">
        <v>41419.75</v>
      </c>
      <c r="M675" s="2">
        <v>165679</v>
      </c>
      <c r="N675" s="2">
        <v>165679</v>
      </c>
      <c r="O675" s="2">
        <v>41419.666700000002</v>
      </c>
      <c r="P675" s="2">
        <v>-8.3299999999999999E-2</v>
      </c>
      <c r="Q675" s="2">
        <v>-0.33329999999999999</v>
      </c>
      <c r="R675" s="4">
        <v>-2.0119186538192447E-6</v>
      </c>
      <c r="T675">
        <v>311291</v>
      </c>
      <c r="U675" s="2"/>
      <c r="V675">
        <v>5947</v>
      </c>
      <c r="W675" s="2">
        <v>6579000000</v>
      </c>
      <c r="X675" s="6">
        <v>165678.66666799999</v>
      </c>
      <c r="Y675" s="38">
        <v>10010</v>
      </c>
      <c r="Z675" s="86">
        <f>+((DETALLE_GD_1[[#This Row],[VALOR X UN (GD)]]-DETALLE_GD_1[[#This Row],[VALOR PPTO]])/DETALLE_GD_1[[#This Row],[VALOR PPTO]])</f>
        <v>2.0111219291491002E-6</v>
      </c>
      <c r="AA675" s="2">
        <f>+DETALLE_GD_1[[#This Row],[VALOR PPTO]]*DETALLE_GD_1[[#This Row],[CANTIDAD RECIBIDA]]</f>
        <v>165678.66680000001</v>
      </c>
      <c r="AB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5" s="3">
        <f>+DETALLE_GD_1[[#This Row],[CANTIDAD SOLICITADA]]-DETALLE_GD_1[[#This Row],[DEVOLUCIÓN]]</f>
        <v>4</v>
      </c>
      <c r="AD675" s="38" t="str">
        <f>+_xlfn.XLOOKUP(DETALLE_GD_1[[#This Row],[CODIGO]],PRODUCTOS[CODIGO],PRODUCTOS[DESC CORTA],"",0)</f>
        <v>MUEBLE LAVAPLATOS</v>
      </c>
      <c r="AE675"/>
      <c r="AH675"/>
    </row>
    <row r="676" spans="1:34" x14ac:dyDescent="0.25">
      <c r="A676" s="1">
        <v>46118</v>
      </c>
      <c r="B676" s="1">
        <v>46118</v>
      </c>
      <c r="C676" s="81" t="s">
        <v>169</v>
      </c>
      <c r="D676" s="38">
        <v>4</v>
      </c>
      <c r="E676" s="81" t="s">
        <v>169</v>
      </c>
      <c r="F676">
        <v>1802166</v>
      </c>
      <c r="G676" s="81" t="s">
        <v>283</v>
      </c>
      <c r="H676" s="81" t="s">
        <v>31</v>
      </c>
      <c r="I676" s="3">
        <v>4</v>
      </c>
      <c r="J676" s="3"/>
      <c r="K676" s="26">
        <v>4</v>
      </c>
      <c r="L676" s="2">
        <v>13869</v>
      </c>
      <c r="M676" s="2">
        <v>55476</v>
      </c>
      <c r="N676" s="2">
        <v>55476</v>
      </c>
      <c r="O676" s="2">
        <v>13869</v>
      </c>
      <c r="P676" s="2">
        <v>0</v>
      </c>
      <c r="Q676" s="2">
        <v>0</v>
      </c>
      <c r="R676" s="4">
        <v>0</v>
      </c>
      <c r="T676">
        <v>311291</v>
      </c>
      <c r="U676" s="2"/>
      <c r="V676">
        <v>5947</v>
      </c>
      <c r="W676" s="2">
        <v>6579000000</v>
      </c>
      <c r="X676" s="6">
        <v>55476</v>
      </c>
      <c r="Y676" s="38">
        <v>10010</v>
      </c>
      <c r="Z676" s="86">
        <f>+((DETALLE_GD_1[[#This Row],[VALOR X UN (GD)]]-DETALLE_GD_1[[#This Row],[VALOR PPTO]])/DETALLE_GD_1[[#This Row],[VALOR PPTO]])</f>
        <v>0</v>
      </c>
      <c r="AA676" s="2">
        <f>+DETALLE_GD_1[[#This Row],[VALOR PPTO]]*DETALLE_GD_1[[#This Row],[CANTIDAD RECIBIDA]]</f>
        <v>55476</v>
      </c>
      <c r="AB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6" s="3">
        <f>+DETALLE_GD_1[[#This Row],[CANTIDAD SOLICITADA]]-DETALLE_GD_1[[#This Row],[DEVOLUCIÓN]]</f>
        <v>4</v>
      </c>
      <c r="AD676" s="38" t="str">
        <f>+_xlfn.XLOOKUP(DETALLE_GD_1[[#This Row],[CODIGO]],PRODUCTOS[CODIGO],PRODUCTOS[DESC CORTA],"",0)</f>
        <v>NEW TS2024022)</v>
      </c>
      <c r="AE676"/>
      <c r="AH676"/>
    </row>
    <row r="677" spans="1:34" x14ac:dyDescent="0.25">
      <c r="A677" s="1">
        <v>46118</v>
      </c>
      <c r="B677" s="1">
        <v>46118</v>
      </c>
      <c r="C677" s="81" t="s">
        <v>169</v>
      </c>
      <c r="D677" s="38">
        <v>4</v>
      </c>
      <c r="E677" s="81" t="s">
        <v>169</v>
      </c>
      <c r="F677">
        <v>1703006</v>
      </c>
      <c r="G677" s="81" t="s">
        <v>48</v>
      </c>
      <c r="H677" s="81" t="s">
        <v>31</v>
      </c>
      <c r="I677" s="3">
        <v>4</v>
      </c>
      <c r="J677" s="3"/>
      <c r="K677" s="26">
        <v>4</v>
      </c>
      <c r="L677" s="2">
        <v>1662.25</v>
      </c>
      <c r="M677" s="2">
        <v>6649</v>
      </c>
      <c r="N677" s="2">
        <v>6649</v>
      </c>
      <c r="O677" s="2">
        <v>1662</v>
      </c>
      <c r="P677" s="2">
        <v>-0.25</v>
      </c>
      <c r="Q677" s="2">
        <v>-1</v>
      </c>
      <c r="R677" s="4">
        <v>-1.5042117930204573E-4</v>
      </c>
      <c r="T677">
        <v>311291</v>
      </c>
      <c r="U677" s="2"/>
      <c r="V677">
        <v>5947</v>
      </c>
      <c r="W677" s="2">
        <v>6579000000</v>
      </c>
      <c r="X677" s="6">
        <v>6648</v>
      </c>
      <c r="Y677" s="38">
        <v>10010</v>
      </c>
      <c r="Z677" s="86">
        <f>+((DETALLE_GD_1[[#This Row],[VALOR X UN (GD)]]-DETALLE_GD_1[[#This Row],[VALOR PPTO]])/DETALLE_GD_1[[#This Row],[VALOR PPTO]])</f>
        <v>1.5042117930204573E-4</v>
      </c>
      <c r="AA677" s="2">
        <f>+DETALLE_GD_1[[#This Row],[VALOR PPTO]]*DETALLE_GD_1[[#This Row],[CANTIDAD RECIBIDA]]</f>
        <v>6648</v>
      </c>
      <c r="AB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7" s="3">
        <f>+DETALLE_GD_1[[#This Row],[CANTIDAD SOLICITADA]]-DETALLE_GD_1[[#This Row],[DEVOLUCIÓN]]</f>
        <v>4</v>
      </c>
      <c r="AD677" s="38" t="str">
        <f>+_xlfn.XLOOKUP(DETALLE_GD_1[[#This Row],[CODIGO]],PRODUCTOS[CODIGO],PRODUCTOS[DESC CORTA],"",0)</f>
        <v>SIFON LAVAPLATO</v>
      </c>
      <c r="AE677"/>
      <c r="AH677"/>
    </row>
    <row r="678" spans="1:34" x14ac:dyDescent="0.25">
      <c r="A678" s="1">
        <v>46118</v>
      </c>
      <c r="B678" s="1">
        <v>46118</v>
      </c>
      <c r="C678" s="81" t="s">
        <v>169</v>
      </c>
      <c r="D678" s="38">
        <v>4</v>
      </c>
      <c r="E678" s="81" t="s">
        <v>169</v>
      </c>
      <c r="F678">
        <v>5316484</v>
      </c>
      <c r="G678" s="81" t="s">
        <v>96</v>
      </c>
      <c r="H678" s="81" t="s">
        <v>31</v>
      </c>
      <c r="I678" s="3">
        <v>3</v>
      </c>
      <c r="J678" s="3"/>
      <c r="K678" s="26">
        <v>3</v>
      </c>
      <c r="L678" s="2">
        <v>4283.3333000000002</v>
      </c>
      <c r="M678" s="2">
        <v>12850</v>
      </c>
      <c r="N678" s="2">
        <v>12850</v>
      </c>
      <c r="O678" s="2">
        <v>4372.7272999999996</v>
      </c>
      <c r="P678" s="2">
        <v>89.393900000000002</v>
      </c>
      <c r="Q678" s="2">
        <v>268.18180000000001</v>
      </c>
      <c r="R678" s="4">
        <v>2.0443520504615609E-2</v>
      </c>
      <c r="T678">
        <v>311294</v>
      </c>
      <c r="U678" s="2">
        <v>266655</v>
      </c>
      <c r="V678">
        <v>5947</v>
      </c>
      <c r="W678" s="2">
        <v>6579000000</v>
      </c>
      <c r="X678" s="6">
        <v>13118.181818999999</v>
      </c>
      <c r="Y678" s="38">
        <v>10010</v>
      </c>
      <c r="Z678" s="86">
        <f>+((DETALLE_GD_1[[#This Row],[VALOR X UN (GD)]]-DETALLE_GD_1[[#This Row],[VALOR PPTO]])/DETALLE_GD_1[[#This Row],[VALOR PPTO]])</f>
        <v>-2.0443534176027702E-2</v>
      </c>
      <c r="AA678" s="2">
        <f>+DETALLE_GD_1[[#This Row],[VALOR PPTO]]*DETALLE_GD_1[[#This Row],[CANTIDAD RECIBIDA]]</f>
        <v>13118.1819</v>
      </c>
      <c r="AB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8" s="3">
        <f>+DETALLE_GD_1[[#This Row],[CANTIDAD SOLICITADA]]-DETALLE_GD_1[[#This Row],[DEVOLUCIÓN]]</f>
        <v>3</v>
      </c>
      <c r="AD678" s="38" t="str">
        <f>+_xlfn.XLOOKUP(DETALLE_GD_1[[#This Row],[CODIGO]],PRODUCTOS[CODIGO],PRODUCTOS[DESC CORTA],"",0)</f>
        <v>LLAVE DE BOLA AC</v>
      </c>
      <c r="AE678"/>
      <c r="AH678"/>
    </row>
    <row r="679" spans="1:34" x14ac:dyDescent="0.25">
      <c r="A679" s="1">
        <v>46118</v>
      </c>
      <c r="B679" s="1">
        <v>46118</v>
      </c>
      <c r="C679" s="81" t="s">
        <v>169</v>
      </c>
      <c r="D679" s="38">
        <v>4</v>
      </c>
      <c r="E679" s="81" t="s">
        <v>169</v>
      </c>
      <c r="F679">
        <v>5316483</v>
      </c>
      <c r="G679" s="81" t="s">
        <v>97</v>
      </c>
      <c r="H679" s="81" t="s">
        <v>31</v>
      </c>
      <c r="I679" s="3">
        <v>3</v>
      </c>
      <c r="J679" s="3"/>
      <c r="K679" s="26">
        <v>3</v>
      </c>
      <c r="L679" s="2">
        <v>2984</v>
      </c>
      <c r="M679" s="2">
        <v>8952</v>
      </c>
      <c r="N679" s="2">
        <v>8952</v>
      </c>
      <c r="O679" s="2">
        <v>3237.6071000000002</v>
      </c>
      <c r="P679" s="2">
        <v>253.6071</v>
      </c>
      <c r="Q679" s="2">
        <v>760.82140000000004</v>
      </c>
      <c r="R679" s="4">
        <v>7.8331660327696576E-2</v>
      </c>
      <c r="T679">
        <v>311294</v>
      </c>
      <c r="U679" s="2"/>
      <c r="V679">
        <v>5947</v>
      </c>
      <c r="W679" s="2">
        <v>6579000000</v>
      </c>
      <c r="X679" s="6">
        <v>9712.8214289999996</v>
      </c>
      <c r="Y679" s="38">
        <v>10010</v>
      </c>
      <c r="Z679" s="86">
        <f>+((DETALLE_GD_1[[#This Row],[VALOR X UN (GD)]]-DETALLE_GD_1[[#This Row],[VALOR PPTO]])/DETALLE_GD_1[[#This Row],[VALOR PPTO]])</f>
        <v>-7.8331648086637867E-2</v>
      </c>
      <c r="AA679" s="2">
        <f>+DETALLE_GD_1[[#This Row],[VALOR PPTO]]*DETALLE_GD_1[[#This Row],[CANTIDAD RECIBIDA]]</f>
        <v>9712.8212999999996</v>
      </c>
      <c r="AB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9" s="3">
        <f>+DETALLE_GD_1[[#This Row],[CANTIDAD SOLICITADA]]-DETALLE_GD_1[[#This Row],[DEVOLUCIÓN]]</f>
        <v>3</v>
      </c>
      <c r="AD679" s="38" t="str">
        <f>+_xlfn.XLOOKUP(DETALLE_GD_1[[#This Row],[CODIGO]],PRODUCTOS[CODIGO],PRODUCTOS[DESC CORTA],"",0)</f>
        <v>LLAVE DE BOLA AF</v>
      </c>
      <c r="AE679"/>
      <c r="AH679"/>
    </row>
    <row r="680" spans="1:34" x14ac:dyDescent="0.25">
      <c r="A680" s="1">
        <v>46118</v>
      </c>
      <c r="B680" s="1">
        <v>46118</v>
      </c>
      <c r="C680" s="81" t="s">
        <v>169</v>
      </c>
      <c r="D680" s="38">
        <v>4</v>
      </c>
      <c r="E680" s="81" t="s">
        <v>169</v>
      </c>
      <c r="F680">
        <v>2304002</v>
      </c>
      <c r="G680" s="81" t="s">
        <v>212</v>
      </c>
      <c r="H680" s="81" t="s">
        <v>31</v>
      </c>
      <c r="I680" s="3">
        <v>3</v>
      </c>
      <c r="J680" s="3"/>
      <c r="K680" s="26">
        <v>3</v>
      </c>
      <c r="L680" s="2">
        <v>1376.3333</v>
      </c>
      <c r="M680" s="2">
        <v>4129</v>
      </c>
      <c r="N680" s="2">
        <v>4129</v>
      </c>
      <c r="O680" s="2">
        <v>1376.4717000000001</v>
      </c>
      <c r="P680" s="2">
        <v>0.1384</v>
      </c>
      <c r="Q680" s="2">
        <v>0.41520000000000001</v>
      </c>
      <c r="R680" s="4">
        <v>1.0054014496176978E-4</v>
      </c>
      <c r="T680">
        <v>311294</v>
      </c>
      <c r="U680" s="2"/>
      <c r="V680">
        <v>5947</v>
      </c>
      <c r="W680" s="2">
        <v>6579000000</v>
      </c>
      <c r="X680" s="6">
        <v>4129.415172</v>
      </c>
      <c r="Y680" s="38">
        <v>10010</v>
      </c>
      <c r="Z680" s="86">
        <f>+((DETALLE_GD_1[[#This Row],[VALOR X UN (GD)]]-DETALLE_GD_1[[#This Row],[VALOR PPTO]])/DETALLE_GD_1[[#This Row],[VALOR PPTO]])</f>
        <v>-1.0054692733606286E-4</v>
      </c>
      <c r="AA680" s="2">
        <f>+DETALLE_GD_1[[#This Row],[VALOR PPTO]]*DETALLE_GD_1[[#This Row],[CANTIDAD RECIBIDA]]</f>
        <v>4129.4151000000002</v>
      </c>
      <c r="AB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0" s="3">
        <f>+DETALLE_GD_1[[#This Row],[CANTIDAD SOLICITADA]]-DETALLE_GD_1[[#This Row],[DEVOLUCIÓN]]</f>
        <v>3</v>
      </c>
      <c r="AD680" s="38">
        <f>+_xlfn.XLOOKUP(DETALLE_GD_1[[#This Row],[CODIGO]],PRODUCTOS[CODIGO],PRODUCTOS[DESC CORTA],"",0)</f>
        <v>0</v>
      </c>
      <c r="AE680"/>
      <c r="AH680"/>
    </row>
    <row r="681" spans="1:34" x14ac:dyDescent="0.25">
      <c r="A681" s="1">
        <v>46118</v>
      </c>
      <c r="B681" s="1">
        <v>46118</v>
      </c>
      <c r="C681" s="81" t="s">
        <v>169</v>
      </c>
      <c r="D681" s="38">
        <v>4</v>
      </c>
      <c r="E681" s="81" t="s">
        <v>169</v>
      </c>
      <c r="F681">
        <v>1802170</v>
      </c>
      <c r="G681" s="81" t="s">
        <v>264</v>
      </c>
      <c r="H681" s="81" t="s">
        <v>31</v>
      </c>
      <c r="I681" s="3">
        <v>3</v>
      </c>
      <c r="J681" s="3"/>
      <c r="K681" s="26">
        <v>3</v>
      </c>
      <c r="L681" s="2">
        <v>2043</v>
      </c>
      <c r="M681" s="2">
        <v>6129</v>
      </c>
      <c r="N681" s="2">
        <v>6129</v>
      </c>
      <c r="O681" s="2">
        <v>2043</v>
      </c>
      <c r="P681" s="2">
        <v>0</v>
      </c>
      <c r="Q681" s="2">
        <v>0</v>
      </c>
      <c r="R681" s="4">
        <v>0</v>
      </c>
      <c r="T681">
        <v>311294</v>
      </c>
      <c r="U681" s="2"/>
      <c r="V681">
        <v>5947</v>
      </c>
      <c r="W681" s="2">
        <v>6579000000</v>
      </c>
      <c r="X681" s="6">
        <v>6129</v>
      </c>
      <c r="Y681" s="38">
        <v>10010</v>
      </c>
      <c r="Z681" s="86">
        <f>+((DETALLE_GD_1[[#This Row],[VALOR X UN (GD)]]-DETALLE_GD_1[[#This Row],[VALOR PPTO]])/DETALLE_GD_1[[#This Row],[VALOR PPTO]])</f>
        <v>0</v>
      </c>
      <c r="AA681" s="2">
        <f>+DETALLE_GD_1[[#This Row],[VALOR PPTO]]*DETALLE_GD_1[[#This Row],[CANTIDAD RECIBIDA]]</f>
        <v>6129</v>
      </c>
      <c r="AB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1" s="3">
        <f>+DETALLE_GD_1[[#This Row],[CANTIDAD SOLICITADA]]-DETALLE_GD_1[[#This Row],[DEVOLUCIÓN]]</f>
        <v>3</v>
      </c>
      <c r="AD681" s="38">
        <f>+_xlfn.XLOOKUP(DETALLE_GD_1[[#This Row],[CODIGO]],PRODUCTOS[CODIGO],PRODUCTOS[DESC CORTA],"",0)</f>
        <v>0</v>
      </c>
      <c r="AE681"/>
      <c r="AH681"/>
    </row>
    <row r="682" spans="1:34" x14ac:dyDescent="0.25">
      <c r="A682" s="1">
        <v>46118</v>
      </c>
      <c r="B682" s="1">
        <v>46118</v>
      </c>
      <c r="C682" s="81" t="s">
        <v>169</v>
      </c>
      <c r="D682" s="38">
        <v>4</v>
      </c>
      <c r="E682" s="81" t="s">
        <v>169</v>
      </c>
      <c r="F682">
        <v>1802169</v>
      </c>
      <c r="G682" s="81" t="s">
        <v>263</v>
      </c>
      <c r="H682" s="81" t="s">
        <v>31</v>
      </c>
      <c r="I682" s="3">
        <v>3</v>
      </c>
      <c r="J682" s="3"/>
      <c r="K682" s="26">
        <v>3</v>
      </c>
      <c r="L682" s="2">
        <v>10730</v>
      </c>
      <c r="M682" s="2">
        <v>32190</v>
      </c>
      <c r="N682" s="2">
        <v>32190</v>
      </c>
      <c r="O682" s="2">
        <v>10741</v>
      </c>
      <c r="P682" s="2">
        <v>11</v>
      </c>
      <c r="Q682" s="2">
        <v>33</v>
      </c>
      <c r="R682" s="4">
        <v>1.0241132110604227E-3</v>
      </c>
      <c r="T682">
        <v>311294</v>
      </c>
      <c r="U682" s="2"/>
      <c r="V682">
        <v>5947</v>
      </c>
      <c r="W682" s="2">
        <v>6579000000</v>
      </c>
      <c r="X682" s="6">
        <v>32223</v>
      </c>
      <c r="Y682" s="38">
        <v>10010</v>
      </c>
      <c r="Z682" s="86">
        <f>+((DETALLE_GD_1[[#This Row],[VALOR X UN (GD)]]-DETALLE_GD_1[[#This Row],[VALOR PPTO]])/DETALLE_GD_1[[#This Row],[VALOR PPTO]])</f>
        <v>-1.0241132110604227E-3</v>
      </c>
      <c r="AA682" s="2">
        <f>+DETALLE_GD_1[[#This Row],[VALOR PPTO]]*DETALLE_GD_1[[#This Row],[CANTIDAD RECIBIDA]]</f>
        <v>32223</v>
      </c>
      <c r="AB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2" s="3">
        <f>+DETALLE_GD_1[[#This Row],[CANTIDAD SOLICITADA]]-DETALLE_GD_1[[#This Row],[DEVOLUCIÓN]]</f>
        <v>3</v>
      </c>
      <c r="AD682" s="38" t="str">
        <f>+_xlfn.XLOOKUP(DETALLE_GD_1[[#This Row],[CODIGO]],PRODUCTOS[CODIGO],PRODUCTOS[DESC CORTA],"",0)</f>
        <v>LAVARROPA PLATICO DS</v>
      </c>
      <c r="AE682"/>
      <c r="AH682"/>
    </row>
    <row r="683" spans="1:34" x14ac:dyDescent="0.25">
      <c r="A683" s="1">
        <v>46118</v>
      </c>
      <c r="B683" s="1">
        <v>46118</v>
      </c>
      <c r="C683" s="81" t="s">
        <v>169</v>
      </c>
      <c r="D683" s="38">
        <v>4</v>
      </c>
      <c r="E683" s="81" t="s">
        <v>169</v>
      </c>
      <c r="F683">
        <v>1808156</v>
      </c>
      <c r="G683" s="81" t="s">
        <v>277</v>
      </c>
      <c r="H683" s="81" t="s">
        <v>31</v>
      </c>
      <c r="I683" s="3">
        <v>3</v>
      </c>
      <c r="J683" s="3"/>
      <c r="K683" s="26">
        <v>3</v>
      </c>
      <c r="L683" s="2">
        <v>1931.6667</v>
      </c>
      <c r="M683" s="2">
        <v>5795</v>
      </c>
      <c r="N683" s="2">
        <v>5795</v>
      </c>
      <c r="O683" s="2">
        <v>1916</v>
      </c>
      <c r="P683" s="2">
        <v>-15.666700000000001</v>
      </c>
      <c r="Q683" s="2">
        <v>-47</v>
      </c>
      <c r="R683" s="4">
        <v>-8.1767571329158361E-3</v>
      </c>
      <c r="T683">
        <v>311294</v>
      </c>
      <c r="U683" s="2"/>
      <c r="V683">
        <v>5947</v>
      </c>
      <c r="W683" s="2">
        <v>6579000000</v>
      </c>
      <c r="X683" s="6">
        <v>5748</v>
      </c>
      <c r="Y683" s="38">
        <v>10010</v>
      </c>
      <c r="Z683" s="86">
        <f>+((DETALLE_GD_1[[#This Row],[VALOR X UN (GD)]]-DETALLE_GD_1[[#This Row],[VALOR PPTO]])/DETALLE_GD_1[[#This Row],[VALOR PPTO]])</f>
        <v>8.176774530271394E-3</v>
      </c>
      <c r="AA683" s="2">
        <f>+DETALLE_GD_1[[#This Row],[VALOR PPTO]]*DETALLE_GD_1[[#This Row],[CANTIDAD RECIBIDA]]</f>
        <v>5748</v>
      </c>
      <c r="AB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3" s="3">
        <f>+DETALLE_GD_1[[#This Row],[CANTIDAD SOLICITADA]]-DETALLE_GD_1[[#This Row],[DEVOLUCIÓN]]</f>
        <v>3</v>
      </c>
      <c r="AD683" s="38" t="str">
        <f>+_xlfn.XLOOKUP(DETALLE_GD_1[[#This Row],[CODIGO]],PRODUCTOS[CODIGO],PRODUCTOS[DESC CORTA],"",0)</f>
        <v>PERCHA SIMPLE YORK</v>
      </c>
      <c r="AE683"/>
      <c r="AH683"/>
    </row>
    <row r="684" spans="1:34" x14ac:dyDescent="0.25">
      <c r="A684" s="1">
        <v>46118</v>
      </c>
      <c r="B684" s="1">
        <v>46118</v>
      </c>
      <c r="C684" s="81" t="s">
        <v>169</v>
      </c>
      <c r="D684" s="38">
        <v>4</v>
      </c>
      <c r="E684" s="81" t="s">
        <v>169</v>
      </c>
      <c r="F684">
        <v>1808006</v>
      </c>
      <c r="G684" s="81" t="s">
        <v>194</v>
      </c>
      <c r="H684" s="81" t="s">
        <v>31</v>
      </c>
      <c r="I684" s="3">
        <v>3</v>
      </c>
      <c r="J684" s="3"/>
      <c r="K684" s="26">
        <v>3</v>
      </c>
      <c r="L684" s="2">
        <v>2906.6667000000002</v>
      </c>
      <c r="M684" s="2">
        <v>8720</v>
      </c>
      <c r="N684" s="2">
        <v>8720</v>
      </c>
      <c r="O684" s="2">
        <v>2906.6711</v>
      </c>
      <c r="P684" s="2">
        <v>4.4000000000000003E-3</v>
      </c>
      <c r="Q684" s="2">
        <v>1.3299999999999999E-2</v>
      </c>
      <c r="R684" s="4">
        <v>1.523850888947989E-6</v>
      </c>
      <c r="T684">
        <v>311294</v>
      </c>
      <c r="U684" s="2"/>
      <c r="V684">
        <v>5947</v>
      </c>
      <c r="W684" s="2">
        <v>6579000000</v>
      </c>
      <c r="X684" s="6">
        <v>8720.0132880000001</v>
      </c>
      <c r="Y684" s="38">
        <v>10010</v>
      </c>
      <c r="Z684" s="86">
        <f>+((DETALLE_GD_1[[#This Row],[VALOR X UN (GD)]]-DETALLE_GD_1[[#This Row],[VALOR PPTO]])/DETALLE_GD_1[[#This Row],[VALOR PPTO]])</f>
        <v>-1.5137591589929127E-6</v>
      </c>
      <c r="AA684" s="2">
        <f>+DETALLE_GD_1[[#This Row],[VALOR PPTO]]*DETALLE_GD_1[[#This Row],[CANTIDAD RECIBIDA]]</f>
        <v>8720.0133000000005</v>
      </c>
      <c r="AB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4" s="3">
        <f>+DETALLE_GD_1[[#This Row],[CANTIDAD SOLICITADA]]-DETALLE_GD_1[[#This Row],[DEVOLUCIÓN]]</f>
        <v>3</v>
      </c>
      <c r="AD684" s="38">
        <f>+_xlfn.XLOOKUP(DETALLE_GD_1[[#This Row],[CODIGO]],PRODUCTOS[CODIGO],PRODUCTOS[DESC CORTA],"",0)</f>
        <v>0</v>
      </c>
      <c r="AE684"/>
      <c r="AH684"/>
    </row>
    <row r="685" spans="1:34" x14ac:dyDescent="0.25">
      <c r="A685" s="1">
        <v>46118</v>
      </c>
      <c r="B685" s="1">
        <v>46118</v>
      </c>
      <c r="C685" s="81" t="s">
        <v>169</v>
      </c>
      <c r="D685" s="38">
        <v>4</v>
      </c>
      <c r="E685" s="81" t="s">
        <v>169</v>
      </c>
      <c r="F685">
        <v>1808003</v>
      </c>
      <c r="G685" s="81" t="s">
        <v>195</v>
      </c>
      <c r="H685" s="81" t="s">
        <v>31</v>
      </c>
      <c r="I685" s="3">
        <v>3</v>
      </c>
      <c r="J685" s="3"/>
      <c r="K685" s="26">
        <v>3</v>
      </c>
      <c r="L685" s="2">
        <v>167.66669999999999</v>
      </c>
      <c r="M685" s="2">
        <v>503</v>
      </c>
      <c r="N685" s="2">
        <v>503</v>
      </c>
      <c r="O685" s="2">
        <v>167.7449</v>
      </c>
      <c r="P685" s="2">
        <v>7.8200000000000006E-2</v>
      </c>
      <c r="Q685" s="2">
        <v>0.2346</v>
      </c>
      <c r="R685" s="4">
        <v>4.6613251974236255E-4</v>
      </c>
      <c r="T685">
        <v>311294</v>
      </c>
      <c r="U685" s="2"/>
      <c r="V685">
        <v>5947</v>
      </c>
      <c r="W685" s="2">
        <v>6579000000</v>
      </c>
      <c r="X685" s="6">
        <v>503.23457400000007</v>
      </c>
      <c r="Y685" s="38">
        <v>10010</v>
      </c>
      <c r="Z685" s="86">
        <f>+((DETALLE_GD_1[[#This Row],[VALOR X UN (GD)]]-DETALLE_GD_1[[#This Row],[VALOR PPTO]])/DETALLE_GD_1[[#This Row],[VALOR PPTO]])</f>
        <v>-4.6618406878545695E-4</v>
      </c>
      <c r="AA685" s="2">
        <f>+DETALLE_GD_1[[#This Row],[VALOR PPTO]]*DETALLE_GD_1[[#This Row],[CANTIDAD RECIBIDA]]</f>
        <v>503.23469999999998</v>
      </c>
      <c r="AB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5" s="3">
        <f>+DETALLE_GD_1[[#This Row],[CANTIDAD SOLICITADA]]-DETALLE_GD_1[[#This Row],[DEVOLUCIÓN]]</f>
        <v>3</v>
      </c>
      <c r="AD685" s="38">
        <f>+_xlfn.XLOOKUP(DETALLE_GD_1[[#This Row],[CODIGO]],PRODUCTOS[CODIGO],PRODUCTOS[DESC CORTA],"",0)</f>
        <v>0</v>
      </c>
      <c r="AE685"/>
      <c r="AH685"/>
    </row>
    <row r="686" spans="1:34" x14ac:dyDescent="0.25">
      <c r="A686" s="1">
        <v>46118</v>
      </c>
      <c r="B686" s="1">
        <v>46118</v>
      </c>
      <c r="C686" s="81" t="s">
        <v>169</v>
      </c>
      <c r="D686" s="38">
        <v>4</v>
      </c>
      <c r="E686" s="81" t="s">
        <v>169</v>
      </c>
      <c r="F686">
        <v>1802517</v>
      </c>
      <c r="G686" s="81" t="s">
        <v>141</v>
      </c>
      <c r="H686" s="81" t="s">
        <v>31</v>
      </c>
      <c r="I686" s="3">
        <v>3</v>
      </c>
      <c r="J686" s="3"/>
      <c r="K686" s="26">
        <v>3</v>
      </c>
      <c r="L686" s="2">
        <v>2312.3332999999998</v>
      </c>
      <c r="M686" s="2">
        <v>6937</v>
      </c>
      <c r="N686" s="2">
        <v>6937</v>
      </c>
      <c r="O686" s="2">
        <v>2312</v>
      </c>
      <c r="P686" s="2">
        <v>-0.33329999999999999</v>
      </c>
      <c r="Q686" s="2">
        <v>-1</v>
      </c>
      <c r="R686" s="4">
        <v>-1.4417531718576338E-4</v>
      </c>
      <c r="T686">
        <v>311294</v>
      </c>
      <c r="U686" s="2"/>
      <c r="V686">
        <v>5947</v>
      </c>
      <c r="W686" s="2">
        <v>6579000000</v>
      </c>
      <c r="X686" s="6">
        <v>6936</v>
      </c>
      <c r="Y686" s="38">
        <v>10010</v>
      </c>
      <c r="Z686" s="86">
        <f>+((DETALLE_GD_1[[#This Row],[VALOR X UN (GD)]]-DETALLE_GD_1[[#This Row],[VALOR PPTO]])/DETALLE_GD_1[[#This Row],[VALOR PPTO]])</f>
        <v>1.4416089965388451E-4</v>
      </c>
      <c r="AA686" s="2">
        <f>+DETALLE_GD_1[[#This Row],[VALOR PPTO]]*DETALLE_GD_1[[#This Row],[CANTIDAD RECIBIDA]]</f>
        <v>6936</v>
      </c>
      <c r="AB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6" s="3">
        <f>+DETALLE_GD_1[[#This Row],[CANTIDAD SOLICITADA]]-DETALLE_GD_1[[#This Row],[DEVOLUCIÓN]]</f>
        <v>3</v>
      </c>
      <c r="AD686" s="38" t="str">
        <f>+_xlfn.XLOOKUP(DETALLE_GD_1[[#This Row],[CODIGO]],PRODUCTOS[CODIGO],PRODUCTOS[DESC CORTA],"",0)</f>
        <v>CELOSIA ALUMINIO 25X25</v>
      </c>
      <c r="AE686"/>
      <c r="AH686"/>
    </row>
    <row r="687" spans="1:34" x14ac:dyDescent="0.25">
      <c r="A687" s="1">
        <v>46118</v>
      </c>
      <c r="B687" s="1">
        <v>46118</v>
      </c>
      <c r="C687" s="81" t="s">
        <v>169</v>
      </c>
      <c r="D687" s="38">
        <v>4</v>
      </c>
      <c r="E687" s="81" t="s">
        <v>169</v>
      </c>
      <c r="F687">
        <v>1802172</v>
      </c>
      <c r="G687" s="81" t="s">
        <v>266</v>
      </c>
      <c r="H687" s="81" t="s">
        <v>31</v>
      </c>
      <c r="I687" s="3">
        <v>3</v>
      </c>
      <c r="J687" s="3"/>
      <c r="K687" s="26">
        <v>3</v>
      </c>
      <c r="L687" s="2">
        <v>3032.3332999999998</v>
      </c>
      <c r="M687" s="2">
        <v>9097</v>
      </c>
      <c r="N687" s="2">
        <v>9097</v>
      </c>
      <c r="O687" s="2">
        <v>3035</v>
      </c>
      <c r="P687" s="2">
        <v>2.6667000000000001</v>
      </c>
      <c r="Q687" s="2">
        <v>8</v>
      </c>
      <c r="R687" s="4">
        <v>8.7863811092801151E-4</v>
      </c>
      <c r="T687">
        <v>311294</v>
      </c>
      <c r="U687" s="2"/>
      <c r="V687">
        <v>5947</v>
      </c>
      <c r="W687" s="2">
        <v>6579000000</v>
      </c>
      <c r="X687" s="6">
        <v>9105</v>
      </c>
      <c r="Y687" s="38">
        <v>10010</v>
      </c>
      <c r="Z687" s="86">
        <f>+((DETALLE_GD_1[[#This Row],[VALOR X UN (GD)]]-DETALLE_GD_1[[#This Row],[VALOR PPTO]])/DETALLE_GD_1[[#This Row],[VALOR PPTO]])</f>
        <v>-8.7864909390452024E-4</v>
      </c>
      <c r="AA687" s="2">
        <f>+DETALLE_GD_1[[#This Row],[VALOR PPTO]]*DETALLE_GD_1[[#This Row],[CANTIDAD RECIBIDA]]</f>
        <v>9105</v>
      </c>
      <c r="AB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7" s="3">
        <f>+DETALLE_GD_1[[#This Row],[CANTIDAD SOLICITADA]]-DETALLE_GD_1[[#This Row],[DEVOLUCIÓN]]</f>
        <v>3</v>
      </c>
      <c r="AD687" s="38" t="str">
        <f>+_xlfn.XLOOKUP(DETALLE_GD_1[[#This Row],[CODIGO]],PRODUCTOS[CODIGO],PRODUCTOS[DESC CORTA],"",0)</f>
        <v>ARGOLLA TOALLA BENTON</v>
      </c>
      <c r="AE687"/>
      <c r="AH687"/>
    </row>
    <row r="688" spans="1:34" x14ac:dyDescent="0.25">
      <c r="A688" s="1">
        <v>46118</v>
      </c>
      <c r="B688" s="1">
        <v>46118</v>
      </c>
      <c r="C688" s="81" t="s">
        <v>169</v>
      </c>
      <c r="D688" s="38">
        <v>4</v>
      </c>
      <c r="E688" s="81" t="s">
        <v>169</v>
      </c>
      <c r="F688">
        <v>1802171</v>
      </c>
      <c r="G688" s="81" t="s">
        <v>265</v>
      </c>
      <c r="H688" s="81" t="s">
        <v>31</v>
      </c>
      <c r="I688" s="3">
        <v>3</v>
      </c>
      <c r="J688" s="3"/>
      <c r="K688" s="26">
        <v>3</v>
      </c>
      <c r="L688" s="2">
        <v>3228.6667000000002</v>
      </c>
      <c r="M688" s="2">
        <v>9686</v>
      </c>
      <c r="N688" s="2">
        <v>9686</v>
      </c>
      <c r="O688" s="2">
        <v>3632</v>
      </c>
      <c r="P688" s="2">
        <v>403.33330000000001</v>
      </c>
      <c r="Q688" s="2">
        <v>1210</v>
      </c>
      <c r="R688" s="4">
        <v>0.11104992657856098</v>
      </c>
      <c r="T688">
        <v>311294</v>
      </c>
      <c r="U688" s="2"/>
      <c r="V688">
        <v>5947</v>
      </c>
      <c r="W688" s="2">
        <v>6579000000</v>
      </c>
      <c r="X688" s="6">
        <v>10896</v>
      </c>
      <c r="Y688" s="38">
        <v>10010</v>
      </c>
      <c r="Z688" s="86">
        <f>+((DETALLE_GD_1[[#This Row],[VALOR X UN (GD)]]-DETALLE_GD_1[[#This Row],[VALOR PPTO]])/DETALLE_GD_1[[#This Row],[VALOR PPTO]])</f>
        <v>-0.11104991740088099</v>
      </c>
      <c r="AA688" s="2">
        <f>+DETALLE_GD_1[[#This Row],[VALOR PPTO]]*DETALLE_GD_1[[#This Row],[CANTIDAD RECIBIDA]]</f>
        <v>10896</v>
      </c>
      <c r="AB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8" s="3">
        <f>+DETALLE_GD_1[[#This Row],[CANTIDAD SOLICITADA]]-DETALLE_GD_1[[#This Row],[DEVOLUCIÓN]]</f>
        <v>3</v>
      </c>
      <c r="AD688" s="38" t="str">
        <f>+_xlfn.XLOOKUP(DETALLE_GD_1[[#This Row],[CODIGO]],PRODUCTOS[CODIGO],PRODUCTOS[DESC CORTA],"",0)</f>
        <v>PORTA ROLLO BENTON</v>
      </c>
      <c r="AE688"/>
      <c r="AH688"/>
    </row>
    <row r="689" spans="1:34" x14ac:dyDescent="0.25">
      <c r="A689" s="1">
        <v>46118</v>
      </c>
      <c r="B689" s="1">
        <v>46118</v>
      </c>
      <c r="C689" s="81" t="s">
        <v>169</v>
      </c>
      <c r="D689" s="38">
        <v>4</v>
      </c>
      <c r="E689" s="81" t="s">
        <v>169</v>
      </c>
      <c r="F689">
        <v>1206002</v>
      </c>
      <c r="G689" s="81" t="s">
        <v>192</v>
      </c>
      <c r="H689" s="81" t="s">
        <v>31</v>
      </c>
      <c r="I689" s="3">
        <v>3</v>
      </c>
      <c r="J689" s="3"/>
      <c r="K689" s="26">
        <v>3</v>
      </c>
      <c r="L689" s="2">
        <v>20331.666700000002</v>
      </c>
      <c r="M689" s="2">
        <v>60995</v>
      </c>
      <c r="N689" s="2">
        <v>60995</v>
      </c>
      <c r="O689" s="2">
        <v>15783.483899999999</v>
      </c>
      <c r="P689" s="2">
        <v>-4548.1827999999996</v>
      </c>
      <c r="Q689" s="2">
        <v>-13644.5484</v>
      </c>
      <c r="R689" s="4">
        <v>-0.28816089228711639</v>
      </c>
      <c r="T689">
        <v>311294</v>
      </c>
      <c r="U689" s="2"/>
      <c r="V689">
        <v>5947</v>
      </c>
      <c r="W689" s="2">
        <v>6579000000</v>
      </c>
      <c r="X689" s="6">
        <v>47350.451612999997</v>
      </c>
      <c r="Y689" s="38">
        <v>10010</v>
      </c>
      <c r="Z689" s="86">
        <f>+((DETALLE_GD_1[[#This Row],[VALOR X UN (GD)]]-DETALLE_GD_1[[#This Row],[VALOR PPTO]])/DETALLE_GD_1[[#This Row],[VALOR PPTO]])</f>
        <v>0.28816089203220857</v>
      </c>
      <c r="AA689" s="2">
        <f>+DETALLE_GD_1[[#This Row],[VALOR PPTO]]*DETALLE_GD_1[[#This Row],[CANTIDAD RECIBIDA]]</f>
        <v>47350.451699999998</v>
      </c>
      <c r="AB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9" s="3">
        <f>+DETALLE_GD_1[[#This Row],[CANTIDAD SOLICITADA]]-DETALLE_GD_1[[#This Row],[DEVOLUCIÓN]]</f>
        <v>3</v>
      </c>
      <c r="AD689" s="38">
        <f>+_xlfn.XLOOKUP(DETALLE_GD_1[[#This Row],[CODIGO]],PRODUCTOS[CODIGO],PRODUCTOS[DESC CORTA],"",0)</f>
        <v>0</v>
      </c>
      <c r="AE689"/>
      <c r="AH689"/>
    </row>
    <row r="690" spans="1:34" x14ac:dyDescent="0.25">
      <c r="A690" s="1">
        <v>46118</v>
      </c>
      <c r="B690" s="1">
        <v>46118</v>
      </c>
      <c r="C690" s="81" t="s">
        <v>169</v>
      </c>
      <c r="D690" s="38">
        <v>4</v>
      </c>
      <c r="E690" s="81" t="s">
        <v>169</v>
      </c>
      <c r="F690">
        <v>1802177</v>
      </c>
      <c r="G690" s="81" t="s">
        <v>270</v>
      </c>
      <c r="H690" s="81" t="s">
        <v>31</v>
      </c>
      <c r="I690" s="3">
        <v>3</v>
      </c>
      <c r="J690" s="3"/>
      <c r="K690" s="26">
        <v>3</v>
      </c>
      <c r="L690" s="2">
        <v>1471</v>
      </c>
      <c r="M690" s="2">
        <v>4413</v>
      </c>
      <c r="N690" s="2">
        <v>4413</v>
      </c>
      <c r="O690" s="2">
        <v>1471</v>
      </c>
      <c r="P690" s="2">
        <v>0</v>
      </c>
      <c r="Q690" s="2">
        <v>0</v>
      </c>
      <c r="R690" s="4">
        <v>0</v>
      </c>
      <c r="T690">
        <v>311294</v>
      </c>
      <c r="U690" s="2"/>
      <c r="V690">
        <v>5947</v>
      </c>
      <c r="W690" s="2">
        <v>6579000000</v>
      </c>
      <c r="X690" s="6">
        <v>4413</v>
      </c>
      <c r="Y690" s="38">
        <v>10010</v>
      </c>
      <c r="Z690" s="86">
        <f>+((DETALLE_GD_1[[#This Row],[VALOR X UN (GD)]]-DETALLE_GD_1[[#This Row],[VALOR PPTO]])/DETALLE_GD_1[[#This Row],[VALOR PPTO]])</f>
        <v>0</v>
      </c>
      <c r="AA690" s="2">
        <f>+DETALLE_GD_1[[#This Row],[VALOR PPTO]]*DETALLE_GD_1[[#This Row],[CANTIDAD RECIBIDA]]</f>
        <v>4413</v>
      </c>
      <c r="AB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0" s="3">
        <f>+DETALLE_GD_1[[#This Row],[CANTIDAD SOLICITADA]]-DETALLE_GD_1[[#This Row],[DEVOLUCIÓN]]</f>
        <v>3</v>
      </c>
      <c r="AD690" s="38" t="str">
        <f>+_xlfn.XLOOKUP(DETALLE_GD_1[[#This Row],[CODIGO]],PRODUCTOS[CODIGO],PRODUCTOS[DESC CORTA],"",0)</f>
        <v>SIFOL</v>
      </c>
      <c r="AE690"/>
      <c r="AH690"/>
    </row>
    <row r="691" spans="1:34" x14ac:dyDescent="0.25">
      <c r="A691" s="1">
        <v>46118</v>
      </c>
      <c r="B691" s="1">
        <v>46118</v>
      </c>
      <c r="C691" s="81" t="s">
        <v>169</v>
      </c>
      <c r="D691" s="38">
        <v>4</v>
      </c>
      <c r="E691" s="81" t="s">
        <v>169</v>
      </c>
      <c r="F691">
        <v>1802176</v>
      </c>
      <c r="G691" s="81" t="s">
        <v>196</v>
      </c>
      <c r="H691" s="81" t="s">
        <v>31</v>
      </c>
      <c r="I691" s="3">
        <v>3</v>
      </c>
      <c r="J691" s="3"/>
      <c r="K691" s="26">
        <v>3</v>
      </c>
      <c r="L691" s="2">
        <v>2199</v>
      </c>
      <c r="M691" s="2">
        <v>6597</v>
      </c>
      <c r="N691" s="2">
        <v>6597</v>
      </c>
      <c r="O691" s="2">
        <v>2199</v>
      </c>
      <c r="P691" s="2">
        <v>0</v>
      </c>
      <c r="Q691" s="2">
        <v>0</v>
      </c>
      <c r="R691" s="4">
        <v>0</v>
      </c>
      <c r="T691">
        <v>311294</v>
      </c>
      <c r="U691" s="2"/>
      <c r="V691">
        <v>5947</v>
      </c>
      <c r="W691" s="2">
        <v>6579000000</v>
      </c>
      <c r="X691" s="6">
        <v>6597</v>
      </c>
      <c r="Y691" s="38">
        <v>10010</v>
      </c>
      <c r="Z691" s="86">
        <f>+((DETALLE_GD_1[[#This Row],[VALOR X UN (GD)]]-DETALLE_GD_1[[#This Row],[VALOR PPTO]])/DETALLE_GD_1[[#This Row],[VALOR PPTO]])</f>
        <v>0</v>
      </c>
      <c r="AA691" s="2">
        <f>+DETALLE_GD_1[[#This Row],[VALOR PPTO]]*DETALLE_GD_1[[#This Row],[CANTIDAD RECIBIDA]]</f>
        <v>6597</v>
      </c>
      <c r="AB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1" s="3">
        <f>+DETALLE_GD_1[[#This Row],[CANTIDAD SOLICITADA]]-DETALLE_GD_1[[#This Row],[DEVOLUCIÓN]]</f>
        <v>3</v>
      </c>
      <c r="AD691" s="38">
        <f>+_xlfn.XLOOKUP(DETALLE_GD_1[[#This Row],[CODIGO]],PRODUCTOS[CODIGO],PRODUCTOS[DESC CORTA],"",0)</f>
        <v>0</v>
      </c>
      <c r="AE691"/>
      <c r="AH691"/>
    </row>
    <row r="692" spans="1:34" x14ac:dyDescent="0.25">
      <c r="A692" s="1">
        <v>46118</v>
      </c>
      <c r="B692" s="1">
        <v>46118</v>
      </c>
      <c r="C692" s="81" t="s">
        <v>169</v>
      </c>
      <c r="D692" s="38">
        <v>4</v>
      </c>
      <c r="E692" s="81" t="s">
        <v>169</v>
      </c>
      <c r="F692">
        <v>1802175</v>
      </c>
      <c r="G692" s="81" t="s">
        <v>269</v>
      </c>
      <c r="H692" s="81" t="s">
        <v>31</v>
      </c>
      <c r="I692" s="3">
        <v>3</v>
      </c>
      <c r="J692" s="3"/>
      <c r="K692" s="26">
        <v>3</v>
      </c>
      <c r="L692" s="2">
        <v>1079</v>
      </c>
      <c r="M692" s="2">
        <v>3237</v>
      </c>
      <c r="N692" s="2">
        <v>3237</v>
      </c>
      <c r="O692" s="2">
        <v>1079</v>
      </c>
      <c r="P692" s="2">
        <v>0</v>
      </c>
      <c r="Q692" s="2">
        <v>0</v>
      </c>
      <c r="R692" s="4">
        <v>0</v>
      </c>
      <c r="T692">
        <v>311294</v>
      </c>
      <c r="U692" s="2"/>
      <c r="V692">
        <v>5947</v>
      </c>
      <c r="W692" s="2">
        <v>6579000000</v>
      </c>
      <c r="X692" s="6">
        <v>3237</v>
      </c>
      <c r="Y692" s="38">
        <v>10010</v>
      </c>
      <c r="Z692" s="86">
        <f>+((DETALLE_GD_1[[#This Row],[VALOR X UN (GD)]]-DETALLE_GD_1[[#This Row],[VALOR PPTO]])/DETALLE_GD_1[[#This Row],[VALOR PPTO]])</f>
        <v>0</v>
      </c>
      <c r="AA692" s="2">
        <f>+DETALLE_GD_1[[#This Row],[VALOR PPTO]]*DETALLE_GD_1[[#This Row],[CANTIDAD RECIBIDA]]</f>
        <v>3237</v>
      </c>
      <c r="AB6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2" s="3">
        <f>+DETALLE_GD_1[[#This Row],[CANTIDAD SOLICITADA]]-DETALLE_GD_1[[#This Row],[DEVOLUCIÓN]]</f>
        <v>3</v>
      </c>
      <c r="AD692" s="38" t="str">
        <f>+_xlfn.XLOOKUP(DETALLE_GD_1[[#This Row],[CODIGO]],PRODUCTOS[CODIGO],PRODUCTOS[DESC CORTA],"",0)</f>
        <v>UÑETAS INSTLACION LAVAMANOS</v>
      </c>
      <c r="AE692"/>
      <c r="AH692"/>
    </row>
    <row r="693" spans="1:34" x14ac:dyDescent="0.25">
      <c r="A693" s="1">
        <v>46118</v>
      </c>
      <c r="B693" s="1">
        <v>46118</v>
      </c>
      <c r="C693" s="81" t="s">
        <v>169</v>
      </c>
      <c r="D693" s="38">
        <v>4</v>
      </c>
      <c r="E693" s="81" t="s">
        <v>169</v>
      </c>
      <c r="F693">
        <v>1802174</v>
      </c>
      <c r="G693" s="81" t="s">
        <v>268</v>
      </c>
      <c r="H693" s="81" t="s">
        <v>31</v>
      </c>
      <c r="I693" s="3">
        <v>3</v>
      </c>
      <c r="J693" s="3"/>
      <c r="K693" s="26">
        <v>3</v>
      </c>
      <c r="L693" s="2">
        <v>7701.6666999999998</v>
      </c>
      <c r="M693" s="2">
        <v>23105</v>
      </c>
      <c r="N693" s="2">
        <v>23105</v>
      </c>
      <c r="O693" s="2">
        <v>7709</v>
      </c>
      <c r="P693" s="2">
        <v>7.3333000000000004</v>
      </c>
      <c r="Q693" s="2">
        <v>22</v>
      </c>
      <c r="R693" s="4">
        <v>9.5126907943092877E-4</v>
      </c>
      <c r="T693">
        <v>311294</v>
      </c>
      <c r="U693" s="2"/>
      <c r="V693">
        <v>5947</v>
      </c>
      <c r="W693" s="2">
        <v>6579000000</v>
      </c>
      <c r="X693" s="6">
        <v>23127</v>
      </c>
      <c r="Y693" s="38">
        <v>10010</v>
      </c>
      <c r="Z693" s="86">
        <f>+((DETALLE_GD_1[[#This Row],[VALOR X UN (GD)]]-DETALLE_GD_1[[#This Row],[VALOR PPTO]])/DETALLE_GD_1[[#This Row],[VALOR PPTO]])</f>
        <v>-9.5126475548063763E-4</v>
      </c>
      <c r="AA693" s="2">
        <f>+DETALLE_GD_1[[#This Row],[VALOR PPTO]]*DETALLE_GD_1[[#This Row],[CANTIDAD RECIBIDA]]</f>
        <v>23127</v>
      </c>
      <c r="AB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3" s="3">
        <f>+DETALLE_GD_1[[#This Row],[CANTIDAD SOLICITADA]]-DETALLE_GD_1[[#This Row],[DEVOLUCIÓN]]</f>
        <v>3</v>
      </c>
      <c r="AD693" s="38" t="str">
        <f>+_xlfn.XLOOKUP(DETALLE_GD_1[[#This Row],[CODIGO]],PRODUCTOS[CODIGO],PRODUCTOS[DESC CORTA],"",0)</f>
        <v>PEDESTAL DS THEOS</v>
      </c>
      <c r="AE693"/>
      <c r="AH693"/>
    </row>
    <row r="694" spans="1:34" x14ac:dyDescent="0.25">
      <c r="A694" s="1">
        <v>46118</v>
      </c>
      <c r="B694" s="1">
        <v>46118</v>
      </c>
      <c r="C694" s="81" t="s">
        <v>169</v>
      </c>
      <c r="D694" s="38">
        <v>4</v>
      </c>
      <c r="E694" s="81" t="s">
        <v>169</v>
      </c>
      <c r="F694">
        <v>1802173</v>
      </c>
      <c r="G694" s="81" t="s">
        <v>267</v>
      </c>
      <c r="H694" s="81" t="s">
        <v>31</v>
      </c>
      <c r="I694" s="3">
        <v>3</v>
      </c>
      <c r="J694" s="3"/>
      <c r="K694" s="26">
        <v>3</v>
      </c>
      <c r="L694" s="2">
        <v>11984.6667</v>
      </c>
      <c r="M694" s="2">
        <v>35954</v>
      </c>
      <c r="N694" s="2">
        <v>35954</v>
      </c>
      <c r="O694" s="2">
        <v>11996</v>
      </c>
      <c r="P694" s="2">
        <v>11.333299999999999</v>
      </c>
      <c r="Q694" s="2">
        <v>34</v>
      </c>
      <c r="R694" s="4">
        <v>9.4475936423257247E-4</v>
      </c>
      <c r="T694">
        <v>311294</v>
      </c>
      <c r="U694" s="2"/>
      <c r="V694">
        <v>5947</v>
      </c>
      <c r="W694" s="2">
        <v>6579000000</v>
      </c>
      <c r="X694" s="6">
        <v>35988</v>
      </c>
      <c r="Y694" s="38">
        <v>10010</v>
      </c>
      <c r="Z694" s="86">
        <f>+((DETALLE_GD_1[[#This Row],[VALOR X UN (GD)]]-DETALLE_GD_1[[#This Row],[VALOR PPTO]])/DETALLE_GD_1[[#This Row],[VALOR PPTO]])</f>
        <v>-9.4475658552852914E-4</v>
      </c>
      <c r="AA694" s="2">
        <f>+DETALLE_GD_1[[#This Row],[VALOR PPTO]]*DETALLE_GD_1[[#This Row],[CANTIDAD RECIBIDA]]</f>
        <v>35988</v>
      </c>
      <c r="AB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4" s="3">
        <f>+DETALLE_GD_1[[#This Row],[CANTIDAD SOLICITADA]]-DETALLE_GD_1[[#This Row],[DEVOLUCIÓN]]</f>
        <v>3</v>
      </c>
      <c r="AD694" s="38" t="str">
        <f>+_xlfn.XLOOKUP(DETALLE_GD_1[[#This Row],[CODIGO]],PRODUCTOS[CODIGO],PRODUCTOS[DESC CORTA],"",0)</f>
        <v>LAVAMANOS DS THEOS</v>
      </c>
      <c r="AE694"/>
      <c r="AH694"/>
    </row>
    <row r="695" spans="1:34" x14ac:dyDescent="0.25">
      <c r="A695" s="1">
        <v>46118</v>
      </c>
      <c r="B695" s="1">
        <v>46118</v>
      </c>
      <c r="C695" s="81" t="s">
        <v>169</v>
      </c>
      <c r="D695" s="38">
        <v>4</v>
      </c>
      <c r="E695" s="81" t="s">
        <v>169</v>
      </c>
      <c r="F695">
        <v>1802165</v>
      </c>
      <c r="G695" s="81" t="s">
        <v>261</v>
      </c>
      <c r="H695" s="81" t="s">
        <v>31</v>
      </c>
      <c r="I695" s="3">
        <v>3</v>
      </c>
      <c r="J695" s="3"/>
      <c r="K695" s="26">
        <v>3</v>
      </c>
      <c r="L695" s="2">
        <v>9122</v>
      </c>
      <c r="M695" s="2">
        <v>27366</v>
      </c>
      <c r="N695" s="2">
        <v>27366</v>
      </c>
      <c r="O695" s="2">
        <v>9122</v>
      </c>
      <c r="P695" s="2">
        <v>0</v>
      </c>
      <c r="Q695" s="2">
        <v>0</v>
      </c>
      <c r="R695" s="4">
        <v>0</v>
      </c>
      <c r="T695">
        <v>311294</v>
      </c>
      <c r="U695" s="2"/>
      <c r="V695">
        <v>5947</v>
      </c>
      <c r="W695" s="2">
        <v>6579000000</v>
      </c>
      <c r="X695" s="6">
        <v>27366</v>
      </c>
      <c r="Y695" s="38">
        <v>10010</v>
      </c>
      <c r="Z695" s="86">
        <f>+((DETALLE_GD_1[[#This Row],[VALOR X UN (GD)]]-DETALLE_GD_1[[#This Row],[VALOR PPTO]])/DETALLE_GD_1[[#This Row],[VALOR PPTO]])</f>
        <v>0</v>
      </c>
      <c r="AA695" s="2">
        <f>+DETALLE_GD_1[[#This Row],[VALOR PPTO]]*DETALLE_GD_1[[#This Row],[CANTIDAD RECIBIDA]]</f>
        <v>27366</v>
      </c>
      <c r="AB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5" s="3">
        <f>+DETALLE_GD_1[[#This Row],[CANTIDAD SOLICITADA]]-DETALLE_GD_1[[#This Row],[DEVOLUCIÓN]]</f>
        <v>3</v>
      </c>
      <c r="AD695" s="38" t="str">
        <f>+_xlfn.XLOOKUP(DETALLE_GD_1[[#This Row],[CODIGO]],PRODUCTOS[CODIGO],PRODUCTOS[DESC CORTA],"",0)</f>
        <v>NEW TS2024019)</v>
      </c>
      <c r="AE695"/>
      <c r="AH695"/>
    </row>
    <row r="696" spans="1:34" x14ac:dyDescent="0.25">
      <c r="A696" s="1">
        <v>46118</v>
      </c>
      <c r="B696" s="1">
        <v>46118</v>
      </c>
      <c r="C696" s="81" t="s">
        <v>169</v>
      </c>
      <c r="D696" s="38">
        <v>4</v>
      </c>
      <c r="E696" s="81" t="s">
        <v>169</v>
      </c>
      <c r="F696">
        <v>1701071</v>
      </c>
      <c r="G696" s="81" t="s">
        <v>257</v>
      </c>
      <c r="H696" s="81" t="s">
        <v>31</v>
      </c>
      <c r="I696" s="3">
        <v>3</v>
      </c>
      <c r="J696" s="3">
        <v>3</v>
      </c>
      <c r="K696" s="26">
        <v>0</v>
      </c>
      <c r="L696" s="2">
        <v>7390</v>
      </c>
      <c r="M696" s="2">
        <v>22170</v>
      </c>
      <c r="N696" s="2">
        <v>0</v>
      </c>
      <c r="O696" s="2">
        <v>7389.9802</v>
      </c>
      <c r="P696" s="2">
        <v>-1.9800000000000002E-2</v>
      </c>
      <c r="Q696" s="2">
        <v>0</v>
      </c>
      <c r="R696" s="4">
        <v>-2.6833630867758671E-6</v>
      </c>
      <c r="T696">
        <v>311294</v>
      </c>
      <c r="U696" s="2"/>
      <c r="V696">
        <v>5947</v>
      </c>
      <c r="W696" s="2">
        <v>6579000000</v>
      </c>
      <c r="X696" s="6">
        <v>0</v>
      </c>
      <c r="Y696" s="38">
        <v>10010</v>
      </c>
      <c r="Z696" s="86">
        <f>+((DETALLE_GD_1[[#This Row],[VALOR X UN (GD)]]-DETALLE_GD_1[[#This Row],[VALOR PPTO]])/DETALLE_GD_1[[#This Row],[VALOR PPTO]])</f>
        <v>2.6793035250665508E-6</v>
      </c>
      <c r="AA696" s="2">
        <f>+DETALLE_GD_1[[#This Row],[VALOR PPTO]]*DETALLE_GD_1[[#This Row],[CANTIDAD RECIBIDA]]</f>
        <v>0</v>
      </c>
      <c r="AB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6" s="3">
        <f>+DETALLE_GD_1[[#This Row],[CANTIDAD SOLICITADA]]-DETALLE_GD_1[[#This Row],[DEVOLUCIÓN]]</f>
        <v>0</v>
      </c>
      <c r="AD696" s="38">
        <f>+_xlfn.XLOOKUP(DETALLE_GD_1[[#This Row],[CODIGO]],PRODUCTOS[CODIGO],PRODUCTOS[DESC CORTA],"",0)</f>
        <v>0</v>
      </c>
      <c r="AE696"/>
      <c r="AH696"/>
    </row>
    <row r="697" spans="1:34" x14ac:dyDescent="0.25">
      <c r="A697" s="1">
        <v>46118</v>
      </c>
      <c r="B697" s="1">
        <v>46118</v>
      </c>
      <c r="C697" s="81" t="s">
        <v>169</v>
      </c>
      <c r="D697" s="38">
        <v>4</v>
      </c>
      <c r="E697" s="81" t="s">
        <v>169</v>
      </c>
      <c r="F697" t="s">
        <v>45</v>
      </c>
      <c r="G697" s="81" t="s">
        <v>360</v>
      </c>
      <c r="H697" s="81" t="s">
        <v>47</v>
      </c>
      <c r="I697" s="3">
        <v>4</v>
      </c>
      <c r="J697" s="3">
        <v>4</v>
      </c>
      <c r="K697" s="26">
        <v>0</v>
      </c>
      <c r="L697" s="2">
        <v>24029.75</v>
      </c>
      <c r="M697" s="2">
        <v>96119</v>
      </c>
      <c r="N697" s="2">
        <v>0</v>
      </c>
      <c r="O697" s="2">
        <v>24029.782599999999</v>
      </c>
      <c r="P697" s="2">
        <v>3.2599999999999997E-2</v>
      </c>
      <c r="Q697" s="2">
        <v>0</v>
      </c>
      <c r="R697" s="4">
        <v>1.3570243451452403E-6</v>
      </c>
      <c r="T697">
        <v>311326</v>
      </c>
      <c r="U697" s="2">
        <v>949037</v>
      </c>
      <c r="V697">
        <v>5947</v>
      </c>
      <c r="W697" s="2">
        <v>6579000000</v>
      </c>
      <c r="X697" s="6">
        <v>0</v>
      </c>
      <c r="Y697" s="38">
        <v>10010</v>
      </c>
      <c r="Z697" s="86">
        <f>+((DETALLE_GD_1[[#This Row],[VALOR X UN (GD)]]-DETALLE_GD_1[[#This Row],[VALOR PPTO]])/DETALLE_GD_1[[#This Row],[VALOR PPTO]])</f>
        <v>-1.3566498100002763E-6</v>
      </c>
      <c r="AA697" s="2">
        <f>+DETALLE_GD_1[[#This Row],[VALOR PPTO]]*DETALLE_GD_1[[#This Row],[CANTIDAD RECIBIDA]]</f>
        <v>0</v>
      </c>
      <c r="AB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7" s="3">
        <f>+DETALLE_GD_1[[#This Row],[CANTIDAD SOLICITADA]]-DETALLE_GD_1[[#This Row],[DEVOLUCIÓN]]</f>
        <v>0</v>
      </c>
      <c r="AD697" s="38" t="str">
        <f>+_xlfn.XLOOKUP(DETALLE_GD_1[[#This Row],[CODIGO]],PRODUCTOS[CODIGO],PRODUCTOS[DESC CORTA],"",0)</f>
        <v>MONOFILAMENTO TARKETT</v>
      </c>
      <c r="AE697"/>
      <c r="AH697"/>
    </row>
    <row r="698" spans="1:34" x14ac:dyDescent="0.25">
      <c r="A698" s="1">
        <v>46118</v>
      </c>
      <c r="B698" s="1">
        <v>46118</v>
      </c>
      <c r="C698" s="81" t="s">
        <v>169</v>
      </c>
      <c r="D698" s="38">
        <v>4</v>
      </c>
      <c r="E698" s="81" t="s">
        <v>169</v>
      </c>
      <c r="F698">
        <v>907031</v>
      </c>
      <c r="G698" s="81" t="s">
        <v>256</v>
      </c>
      <c r="H698" s="81" t="s">
        <v>47</v>
      </c>
      <c r="I698" s="3">
        <v>4</v>
      </c>
      <c r="J698" s="3"/>
      <c r="K698" s="26">
        <v>4</v>
      </c>
      <c r="L698" s="2">
        <v>154915.5</v>
      </c>
      <c r="M698" s="2">
        <v>619662</v>
      </c>
      <c r="N698" s="2">
        <v>619662</v>
      </c>
      <c r="O698" s="2">
        <v>156269.1667</v>
      </c>
      <c r="P698" s="2">
        <v>1353.6667</v>
      </c>
      <c r="Q698" s="2">
        <v>5414.6666999999998</v>
      </c>
      <c r="R698" s="4">
        <v>8.662404080547902E-3</v>
      </c>
      <c r="T698">
        <v>311326</v>
      </c>
      <c r="U698" s="2"/>
      <c r="V698">
        <v>5947</v>
      </c>
      <c r="W698" s="2">
        <v>6579000000</v>
      </c>
      <c r="X698" s="6">
        <v>625076.66666800017</v>
      </c>
      <c r="Y698" s="38">
        <v>10010</v>
      </c>
      <c r="Z698" s="86">
        <f>+((DETALLE_GD_1[[#This Row],[VALOR X UN (GD)]]-DETALLE_GD_1[[#This Row],[VALOR PPTO]])/DETALLE_GD_1[[#This Row],[VALOR PPTO]])</f>
        <v>-8.6624042898924697E-3</v>
      </c>
      <c r="AA698" s="2">
        <f>+DETALLE_GD_1[[#This Row],[VALOR PPTO]]*DETALLE_GD_1[[#This Row],[CANTIDAD RECIBIDA]]</f>
        <v>625076.66680000001</v>
      </c>
      <c r="AB6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98" s="3">
        <f>+DETALLE_GD_1[[#This Row],[CANTIDAD SOLICITADA]]-DETALLE_GD_1[[#This Row],[DEVOLUCIÓN]]</f>
        <v>4</v>
      </c>
      <c r="AD698" s="38" t="str">
        <f>+_xlfn.XLOOKUP(DETALLE_GD_1[[#This Row],[CODIGO]],PRODUCTOS[CODIGO],PRODUCTOS[DESC CORTA],"",0)</f>
        <v>MEMBRANA PVC</v>
      </c>
      <c r="AE698"/>
      <c r="AH698"/>
    </row>
    <row r="699" spans="1:34" x14ac:dyDescent="0.25">
      <c r="A699" s="1">
        <v>46118</v>
      </c>
      <c r="B699" s="1">
        <v>46118</v>
      </c>
      <c r="C699" s="81" t="s">
        <v>169</v>
      </c>
      <c r="D699" s="38">
        <v>4</v>
      </c>
      <c r="E699" s="81" t="s">
        <v>169</v>
      </c>
      <c r="F699">
        <v>2302024</v>
      </c>
      <c r="G699" s="81" t="s">
        <v>234</v>
      </c>
      <c r="H699" s="81" t="s">
        <v>68</v>
      </c>
      <c r="I699" s="3">
        <v>4</v>
      </c>
      <c r="J699" s="3"/>
      <c r="K699" s="26">
        <v>4</v>
      </c>
      <c r="L699" s="2">
        <v>20704.25</v>
      </c>
      <c r="M699" s="2">
        <v>82817</v>
      </c>
      <c r="N699" s="2">
        <v>82817</v>
      </c>
      <c r="O699" s="2">
        <v>22292</v>
      </c>
      <c r="P699" s="2">
        <v>1587.75</v>
      </c>
      <c r="Q699" s="2">
        <v>6351</v>
      </c>
      <c r="R699" s="4">
        <v>7.1225103176027274E-2</v>
      </c>
      <c r="T699">
        <v>311326</v>
      </c>
      <c r="U699" s="2"/>
      <c r="V699">
        <v>5947</v>
      </c>
      <c r="W699" s="2">
        <v>6579000000</v>
      </c>
      <c r="X699" s="6">
        <v>89168</v>
      </c>
      <c r="Y699" s="38">
        <v>10010</v>
      </c>
      <c r="Z699" s="86">
        <f>+((DETALLE_GD_1[[#This Row],[VALOR X UN (GD)]]-DETALLE_GD_1[[#This Row],[VALOR PPTO]])/DETALLE_GD_1[[#This Row],[VALOR PPTO]])</f>
        <v>-7.1225103176027274E-2</v>
      </c>
      <c r="AA699" s="2">
        <f>+DETALLE_GD_1[[#This Row],[VALOR PPTO]]*DETALLE_GD_1[[#This Row],[CANTIDAD RECIBIDA]]</f>
        <v>89168</v>
      </c>
      <c r="AB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9" s="3">
        <f>+DETALLE_GD_1[[#This Row],[CANTIDAD SOLICITADA]]-DETALLE_GD_1[[#This Row],[DEVOLUCIÓN]]</f>
        <v>4</v>
      </c>
      <c r="AD699" s="38">
        <f>+_xlfn.XLOOKUP(DETALLE_GD_1[[#This Row],[CODIGO]],PRODUCTOS[CODIGO],PRODUCTOS[DESC CORTA],"",0)</f>
        <v>0</v>
      </c>
      <c r="AE699"/>
      <c r="AH699"/>
    </row>
    <row r="700" spans="1:34" x14ac:dyDescent="0.25">
      <c r="A700" s="1">
        <v>46118</v>
      </c>
      <c r="B700" s="1">
        <v>46118</v>
      </c>
      <c r="C700" s="81" t="s">
        <v>169</v>
      </c>
      <c r="D700" s="38">
        <v>4</v>
      </c>
      <c r="E700" s="81" t="s">
        <v>169</v>
      </c>
      <c r="F700">
        <v>408034</v>
      </c>
      <c r="G700" s="81" t="s">
        <v>250</v>
      </c>
      <c r="H700" s="81" t="s">
        <v>36</v>
      </c>
      <c r="I700" s="3">
        <v>2</v>
      </c>
      <c r="J700" s="3"/>
      <c r="K700" s="26">
        <v>2</v>
      </c>
      <c r="L700" s="2">
        <v>1867</v>
      </c>
      <c r="M700" s="2">
        <v>3734</v>
      </c>
      <c r="N700" s="2">
        <v>3734</v>
      </c>
      <c r="O700" s="2">
        <v>1866.9503999999999</v>
      </c>
      <c r="P700" s="2">
        <v>-4.9599999999999998E-2</v>
      </c>
      <c r="Q700" s="2">
        <v>-9.9299999999999999E-2</v>
      </c>
      <c r="R700" s="4">
        <v>-2.6591494447838636E-5</v>
      </c>
      <c r="T700">
        <v>311326</v>
      </c>
      <c r="U700" s="2"/>
      <c r="V700">
        <v>5947</v>
      </c>
      <c r="W700" s="2">
        <v>6579000000</v>
      </c>
      <c r="X700" s="6">
        <v>3733.9007100000017</v>
      </c>
      <c r="Y700" s="38">
        <v>10010</v>
      </c>
      <c r="Z700" s="86">
        <f>+((DETALLE_GD_1[[#This Row],[VALOR X UN (GD)]]-DETALLE_GD_1[[#This Row],[VALOR PPTO]])/DETALLE_GD_1[[#This Row],[VALOR PPTO]])</f>
        <v>2.6567390328128124E-5</v>
      </c>
      <c r="AA700" s="2">
        <f>+DETALLE_GD_1[[#This Row],[VALOR PPTO]]*DETALLE_GD_1[[#This Row],[CANTIDAD RECIBIDA]]</f>
        <v>3733.9007999999999</v>
      </c>
      <c r="AB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0" s="3">
        <f>+DETALLE_GD_1[[#This Row],[CANTIDAD SOLICITADA]]-DETALLE_GD_1[[#This Row],[DEVOLUCIÓN]]</f>
        <v>2</v>
      </c>
      <c r="AD700" s="38">
        <f>+_xlfn.XLOOKUP(DETALLE_GD_1[[#This Row],[CODIGO]],PRODUCTOS[CODIGO],PRODUCTOS[DESC CORTA],"",0)</f>
        <v>0</v>
      </c>
      <c r="AE700"/>
      <c r="AH700"/>
    </row>
    <row r="701" spans="1:34" x14ac:dyDescent="0.25">
      <c r="A701" s="1">
        <v>46118</v>
      </c>
      <c r="B701" s="1">
        <v>46118</v>
      </c>
      <c r="C701" s="81" t="s">
        <v>169</v>
      </c>
      <c r="D701" s="38">
        <v>4</v>
      </c>
      <c r="E701" s="81" t="s">
        <v>169</v>
      </c>
      <c r="F701">
        <v>307033</v>
      </c>
      <c r="G701" s="81" t="s">
        <v>248</v>
      </c>
      <c r="H701" s="81" t="s">
        <v>31</v>
      </c>
      <c r="I701" s="3">
        <v>10</v>
      </c>
      <c r="J701" s="3"/>
      <c r="K701" s="26">
        <v>10</v>
      </c>
      <c r="L701" s="2">
        <v>1889.6</v>
      </c>
      <c r="M701" s="2">
        <v>18896</v>
      </c>
      <c r="N701" s="2">
        <v>18896</v>
      </c>
      <c r="O701" s="2">
        <v>1889.0535</v>
      </c>
      <c r="P701" s="2">
        <v>-0.54649999999999999</v>
      </c>
      <c r="Q701" s="2">
        <v>-5.4645999999999999</v>
      </c>
      <c r="R701" s="4">
        <v>-2.8927501908862502E-4</v>
      </c>
      <c r="T701">
        <v>311326</v>
      </c>
      <c r="U701" s="2"/>
      <c r="V701">
        <v>5947</v>
      </c>
      <c r="W701" s="2">
        <v>6579000000</v>
      </c>
      <c r="X701" s="6">
        <v>18890.53544</v>
      </c>
      <c r="Y701" s="38">
        <v>10010</v>
      </c>
      <c r="Z701" s="86">
        <f>+((DETALLE_GD_1[[#This Row],[VALOR X UN (GD)]]-DETALLE_GD_1[[#This Row],[VALOR PPTO]])/DETALLE_GD_1[[#This Row],[VALOR PPTO]])</f>
        <v>2.8929831791419546E-4</v>
      </c>
      <c r="AA701" s="2">
        <f>+DETALLE_GD_1[[#This Row],[VALOR PPTO]]*DETALLE_GD_1[[#This Row],[CANTIDAD RECIBIDA]]</f>
        <v>18890.535</v>
      </c>
      <c r="AB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1" s="3">
        <f>+DETALLE_GD_1[[#This Row],[CANTIDAD SOLICITADA]]-DETALLE_GD_1[[#This Row],[DEVOLUCIÓN]]</f>
        <v>10</v>
      </c>
      <c r="AD701" s="38">
        <f>+_xlfn.XLOOKUP(DETALLE_GD_1[[#This Row],[CODIGO]],PRODUCTOS[CODIGO],PRODUCTOS[DESC CORTA],"",0)</f>
        <v>0</v>
      </c>
      <c r="AE701"/>
      <c r="AH701"/>
    </row>
    <row r="702" spans="1:34" x14ac:dyDescent="0.25">
      <c r="A702" s="1">
        <v>46118</v>
      </c>
      <c r="B702" s="1">
        <v>46118</v>
      </c>
      <c r="C702" s="81" t="s">
        <v>169</v>
      </c>
      <c r="D702" s="38">
        <v>4</v>
      </c>
      <c r="E702" s="81" t="s">
        <v>169</v>
      </c>
      <c r="F702">
        <v>704021</v>
      </c>
      <c r="G702" s="81" t="s">
        <v>329</v>
      </c>
      <c r="H702" s="81" t="s">
        <v>31</v>
      </c>
      <c r="I702" s="3">
        <v>50</v>
      </c>
      <c r="J702" s="3"/>
      <c r="K702" s="26">
        <v>50</v>
      </c>
      <c r="L702" s="2">
        <v>487</v>
      </c>
      <c r="M702" s="2">
        <v>24350</v>
      </c>
      <c r="N702" s="2">
        <v>24350</v>
      </c>
      <c r="O702" s="2">
        <v>487</v>
      </c>
      <c r="P702" s="2">
        <v>0</v>
      </c>
      <c r="Q702" s="2">
        <v>0</v>
      </c>
      <c r="R702" s="4">
        <v>0</v>
      </c>
      <c r="T702">
        <v>311326</v>
      </c>
      <c r="U702" s="2"/>
      <c r="V702">
        <v>5947</v>
      </c>
      <c r="W702" s="2">
        <v>6579000000</v>
      </c>
      <c r="X702" s="6">
        <v>24350</v>
      </c>
      <c r="Y702" s="38">
        <v>10010</v>
      </c>
      <c r="Z702" s="86">
        <f>+((DETALLE_GD_1[[#This Row],[VALOR X UN (GD)]]-DETALLE_GD_1[[#This Row],[VALOR PPTO]])/DETALLE_GD_1[[#This Row],[VALOR PPTO]])</f>
        <v>0</v>
      </c>
      <c r="AA702" s="2">
        <f>+DETALLE_GD_1[[#This Row],[VALOR PPTO]]*DETALLE_GD_1[[#This Row],[CANTIDAD RECIBIDA]]</f>
        <v>24350</v>
      </c>
      <c r="AB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2" s="3">
        <f>+DETALLE_GD_1[[#This Row],[CANTIDAD SOLICITADA]]-DETALLE_GD_1[[#This Row],[DEVOLUCIÓN]]</f>
        <v>50</v>
      </c>
      <c r="AD702" s="38" t="str">
        <f>+_xlfn.XLOOKUP(DETALLE_GD_1[[#This Row],[CODIGO]],PRODUCTOS[CODIGO],PRODUCTOS[DESC CORTA],"",0)</f>
        <v>ESQUINERO PILASTRA PVC</v>
      </c>
      <c r="AE702"/>
      <c r="AH702"/>
    </row>
    <row r="703" spans="1:34" x14ac:dyDescent="0.25">
      <c r="A703" s="1">
        <v>46118</v>
      </c>
      <c r="B703" s="1">
        <v>46118</v>
      </c>
      <c r="C703" s="81" t="s">
        <v>169</v>
      </c>
      <c r="D703" s="38">
        <v>4</v>
      </c>
      <c r="E703" s="81" t="s">
        <v>169</v>
      </c>
      <c r="F703">
        <v>1103076</v>
      </c>
      <c r="G703" s="81" t="s">
        <v>311</v>
      </c>
      <c r="H703" s="81" t="s">
        <v>31</v>
      </c>
      <c r="I703" s="3">
        <v>20</v>
      </c>
      <c r="J703" s="3"/>
      <c r="K703" s="26">
        <v>20</v>
      </c>
      <c r="L703" s="2">
        <v>3190.75</v>
      </c>
      <c r="M703" s="2">
        <v>63815</v>
      </c>
      <c r="N703" s="2">
        <v>63815</v>
      </c>
      <c r="O703" s="2">
        <v>3191</v>
      </c>
      <c r="P703" s="2">
        <v>0.25</v>
      </c>
      <c r="Q703" s="2">
        <v>5</v>
      </c>
      <c r="R703" s="4">
        <v>7.8345346286430597E-5</v>
      </c>
      <c r="T703">
        <v>311326</v>
      </c>
      <c r="U703" s="2"/>
      <c r="V703">
        <v>5947</v>
      </c>
      <c r="W703" s="2">
        <v>6579000000</v>
      </c>
      <c r="X703" s="6">
        <v>63820</v>
      </c>
      <c r="Y703" s="38">
        <v>10010</v>
      </c>
      <c r="Z703" s="86">
        <f>+((DETALLE_GD_1[[#This Row],[VALOR X UN (GD)]]-DETALLE_GD_1[[#This Row],[VALOR PPTO]])/DETALLE_GD_1[[#This Row],[VALOR PPTO]])</f>
        <v>-7.8345346286430584E-5</v>
      </c>
      <c r="AA703" s="2">
        <f>+DETALLE_GD_1[[#This Row],[VALOR PPTO]]*DETALLE_GD_1[[#This Row],[CANTIDAD RECIBIDA]]</f>
        <v>63820</v>
      </c>
      <c r="AB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3" s="3">
        <f>+DETALLE_GD_1[[#This Row],[CANTIDAD SOLICITADA]]-DETALLE_GD_1[[#This Row],[DEVOLUCIÓN]]</f>
        <v>20</v>
      </c>
      <c r="AD703" s="38" t="str">
        <f>+_xlfn.XLOOKUP(DETALLE_GD_1[[#This Row],[CODIGO]],PRODUCTOS[CODIGO],PRODUCTOS[DESC CORTA],"",0)</f>
        <v>PERFIL ESQUINERO INTERIOR</v>
      </c>
      <c r="AE703"/>
      <c r="AH703"/>
    </row>
    <row r="704" spans="1:34" x14ac:dyDescent="0.25">
      <c r="A704" s="1">
        <v>46118</v>
      </c>
      <c r="B704" s="1">
        <v>46118</v>
      </c>
      <c r="C704" s="81" t="s">
        <v>169</v>
      </c>
      <c r="D704" s="38">
        <v>4</v>
      </c>
      <c r="E704" s="81" t="s">
        <v>169</v>
      </c>
      <c r="F704">
        <v>1103074</v>
      </c>
      <c r="G704" s="81" t="s">
        <v>310</v>
      </c>
      <c r="H704" s="81" t="s">
        <v>31</v>
      </c>
      <c r="I704" s="3">
        <v>20</v>
      </c>
      <c r="J704" s="3"/>
      <c r="K704" s="26">
        <v>20</v>
      </c>
      <c r="L704" s="2">
        <v>2426.9499999999998</v>
      </c>
      <c r="M704" s="2">
        <v>48539</v>
      </c>
      <c r="N704" s="2">
        <v>48539</v>
      </c>
      <c r="O704" s="2">
        <v>2427</v>
      </c>
      <c r="P704" s="2">
        <v>0.05</v>
      </c>
      <c r="Q704" s="2">
        <v>1</v>
      </c>
      <c r="R704" s="4">
        <v>2.0601565719069593E-5</v>
      </c>
      <c r="T704">
        <v>311326</v>
      </c>
      <c r="U704" s="2"/>
      <c r="V704">
        <v>5947</v>
      </c>
      <c r="W704" s="2">
        <v>6579000000</v>
      </c>
      <c r="X704" s="6">
        <v>48540</v>
      </c>
      <c r="Y704" s="38">
        <v>10010</v>
      </c>
      <c r="Z704" s="86">
        <f>+((DETALLE_GD_1[[#This Row],[VALOR X UN (GD)]]-DETALLE_GD_1[[#This Row],[VALOR PPTO]])/DETALLE_GD_1[[#This Row],[VALOR PPTO]])</f>
        <v>-2.0601565719069593E-5</v>
      </c>
      <c r="AA704" s="2">
        <f>+DETALLE_GD_1[[#This Row],[VALOR PPTO]]*DETALLE_GD_1[[#This Row],[CANTIDAD RECIBIDA]]</f>
        <v>48540</v>
      </c>
      <c r="AB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4" s="3">
        <f>+DETALLE_GD_1[[#This Row],[CANTIDAD SOLICITADA]]-DETALLE_GD_1[[#This Row],[DEVOLUCIÓN]]</f>
        <v>20</v>
      </c>
      <c r="AD704" s="38" t="str">
        <f>+_xlfn.XLOOKUP(DETALLE_GD_1[[#This Row],[CODIGO]],PRODUCTOS[CODIGO],PRODUCTOS[DESC CORTA],"",0)</f>
        <v>PERFIL ESQUINERO ENCUENTRO</v>
      </c>
      <c r="AE704"/>
      <c r="AH704"/>
    </row>
    <row r="705" spans="1:34" x14ac:dyDescent="0.25">
      <c r="A705" s="1">
        <v>46118</v>
      </c>
      <c r="B705" s="1">
        <v>46118</v>
      </c>
      <c r="C705" s="81" t="s">
        <v>169</v>
      </c>
      <c r="D705" s="38">
        <v>4</v>
      </c>
      <c r="E705" s="81" t="s">
        <v>169</v>
      </c>
      <c r="F705">
        <v>1801735</v>
      </c>
      <c r="G705" s="81" t="s">
        <v>73</v>
      </c>
      <c r="H705" s="81" t="s">
        <v>31</v>
      </c>
      <c r="I705" s="3">
        <v>20</v>
      </c>
      <c r="J705" s="3"/>
      <c r="K705" s="26">
        <v>20</v>
      </c>
      <c r="L705" s="2">
        <v>3862.95</v>
      </c>
      <c r="M705" s="2">
        <v>77259</v>
      </c>
      <c r="N705" s="2">
        <v>77259</v>
      </c>
      <c r="O705" s="2">
        <v>3495</v>
      </c>
      <c r="P705" s="2">
        <v>-367.95</v>
      </c>
      <c r="Q705" s="2">
        <v>-7359</v>
      </c>
      <c r="R705" s="4">
        <v>-0.1052789699570815</v>
      </c>
      <c r="T705">
        <v>311326</v>
      </c>
      <c r="U705" s="2"/>
      <c r="V705">
        <v>5947</v>
      </c>
      <c r="W705" s="2">
        <v>6579000000</v>
      </c>
      <c r="X705" s="6">
        <v>69900</v>
      </c>
      <c r="Y705" s="38">
        <v>10010</v>
      </c>
      <c r="Z705" s="86">
        <f>+((DETALLE_GD_1[[#This Row],[VALOR X UN (GD)]]-DETALLE_GD_1[[#This Row],[VALOR PPTO]])/DETALLE_GD_1[[#This Row],[VALOR PPTO]])</f>
        <v>0.1052789699570815</v>
      </c>
      <c r="AA705" s="2">
        <f>+DETALLE_GD_1[[#This Row],[VALOR PPTO]]*DETALLE_GD_1[[#This Row],[CANTIDAD RECIBIDA]]</f>
        <v>69900</v>
      </c>
      <c r="AB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5" s="3">
        <f>+DETALLE_GD_1[[#This Row],[CANTIDAD SOLICITADA]]-DETALLE_GD_1[[#This Row],[DEVOLUCIÓN]]</f>
        <v>20</v>
      </c>
      <c r="AD705" s="38" t="str">
        <f>+_xlfn.XLOOKUP(DETALLE_GD_1[[#This Row],[CODIGO]],PRODUCTOS[CODIGO],PRODUCTOS[DESC CORTA],"",0)</f>
        <v>BURLETE PVC</v>
      </c>
      <c r="AE705"/>
      <c r="AH705"/>
    </row>
    <row r="706" spans="1:34" x14ac:dyDescent="0.25">
      <c r="A706" s="1">
        <v>46118</v>
      </c>
      <c r="B706" s="1">
        <v>46118</v>
      </c>
      <c r="C706" s="81" t="s">
        <v>169</v>
      </c>
      <c r="D706" s="38">
        <v>4</v>
      </c>
      <c r="E706" s="81" t="s">
        <v>169</v>
      </c>
      <c r="F706">
        <v>701183</v>
      </c>
      <c r="G706" s="81" t="s">
        <v>136</v>
      </c>
      <c r="H706" s="81" t="s">
        <v>137</v>
      </c>
      <c r="I706" s="3">
        <v>10</v>
      </c>
      <c r="J706" s="3"/>
      <c r="K706" s="26">
        <v>10</v>
      </c>
      <c r="L706" s="2">
        <v>996.5</v>
      </c>
      <c r="M706" s="2">
        <v>9965</v>
      </c>
      <c r="N706" s="2">
        <v>9965</v>
      </c>
      <c r="O706" s="2">
        <v>996.5</v>
      </c>
      <c r="P706" s="2">
        <v>0</v>
      </c>
      <c r="Q706" s="2">
        <v>0</v>
      </c>
      <c r="R706" s="4">
        <v>0</v>
      </c>
      <c r="T706">
        <v>311326</v>
      </c>
      <c r="U706" s="2"/>
      <c r="V706">
        <v>5947</v>
      </c>
      <c r="W706" s="2">
        <v>6579000000</v>
      </c>
      <c r="X706" s="6">
        <v>9965</v>
      </c>
      <c r="Y706" s="38">
        <v>10010</v>
      </c>
      <c r="Z706" s="86">
        <f>+((DETALLE_GD_1[[#This Row],[VALOR X UN (GD)]]-DETALLE_GD_1[[#This Row],[VALOR PPTO]])/DETALLE_GD_1[[#This Row],[VALOR PPTO]])</f>
        <v>0</v>
      </c>
      <c r="AA706" s="2">
        <f>+DETALLE_GD_1[[#This Row],[VALOR PPTO]]*DETALLE_GD_1[[#This Row],[CANTIDAD RECIBIDA]]</f>
        <v>9965</v>
      </c>
      <c r="AB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6" s="3">
        <f>+DETALLE_GD_1[[#This Row],[CANTIDAD SOLICITADA]]-DETALLE_GD_1[[#This Row],[DEVOLUCIÓN]]</f>
        <v>10</v>
      </c>
      <c r="AD706" s="38" t="str">
        <f>+_xlfn.XLOOKUP(DETALLE_GD_1[[#This Row],[CODIGO]],PRODUCTOS[CODIGO],PRODUCTOS[DESC CORTA],"",0)</f>
        <v>MOLDURA PVC INTERIOR</v>
      </c>
      <c r="AE706"/>
      <c r="AH706"/>
    </row>
    <row r="707" spans="1:34" x14ac:dyDescent="0.25">
      <c r="A707" s="1">
        <v>46118</v>
      </c>
      <c r="B707" s="1">
        <v>46118</v>
      </c>
      <c r="C707" s="81" t="s">
        <v>169</v>
      </c>
      <c r="D707" s="38">
        <v>4</v>
      </c>
      <c r="E707" s="81" t="s">
        <v>169</v>
      </c>
      <c r="F707">
        <v>1701071</v>
      </c>
      <c r="G707" s="81" t="s">
        <v>257</v>
      </c>
      <c r="H707" s="81" t="s">
        <v>31</v>
      </c>
      <c r="I707" s="3">
        <v>1</v>
      </c>
      <c r="J707" s="3">
        <v>1</v>
      </c>
      <c r="K707" s="26">
        <v>0</v>
      </c>
      <c r="L707" s="2">
        <v>7390</v>
      </c>
      <c r="M707" s="2">
        <v>7390</v>
      </c>
      <c r="N707" s="2">
        <v>0</v>
      </c>
      <c r="O707" s="2">
        <v>7389.9802</v>
      </c>
      <c r="P707" s="2">
        <v>-1.9800000000000002E-2</v>
      </c>
      <c r="Q707" s="2">
        <v>0</v>
      </c>
      <c r="R707" s="4">
        <v>-2.6833630867758671E-6</v>
      </c>
      <c r="T707">
        <v>311333</v>
      </c>
      <c r="U707" s="2">
        <v>1255070</v>
      </c>
      <c r="V707">
        <v>5947</v>
      </c>
      <c r="W707" s="2">
        <v>6579000000</v>
      </c>
      <c r="X707" s="6">
        <v>0</v>
      </c>
      <c r="Y707" s="38">
        <v>10010</v>
      </c>
      <c r="Z707" s="86">
        <f>+((DETALLE_GD_1[[#This Row],[VALOR X UN (GD)]]-DETALLE_GD_1[[#This Row],[VALOR PPTO]])/DETALLE_GD_1[[#This Row],[VALOR PPTO]])</f>
        <v>2.6793035250665508E-6</v>
      </c>
      <c r="AA707" s="2">
        <f>+DETALLE_GD_1[[#This Row],[VALOR PPTO]]*DETALLE_GD_1[[#This Row],[CANTIDAD RECIBIDA]]</f>
        <v>0</v>
      </c>
      <c r="AB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7" s="3">
        <f>+DETALLE_GD_1[[#This Row],[CANTIDAD SOLICITADA]]-DETALLE_GD_1[[#This Row],[DEVOLUCIÓN]]</f>
        <v>0</v>
      </c>
      <c r="AD707" s="38">
        <f>+_xlfn.XLOOKUP(DETALLE_GD_1[[#This Row],[CODIGO]],PRODUCTOS[CODIGO],PRODUCTOS[DESC CORTA],"",0)</f>
        <v>0</v>
      </c>
      <c r="AE707"/>
      <c r="AH707"/>
    </row>
    <row r="708" spans="1:34" x14ac:dyDescent="0.25">
      <c r="A708" s="1">
        <v>46118</v>
      </c>
      <c r="B708" s="1">
        <v>46118</v>
      </c>
      <c r="C708" s="81" t="s">
        <v>169</v>
      </c>
      <c r="D708" s="38">
        <v>4</v>
      </c>
      <c r="E708" s="81" t="s">
        <v>169</v>
      </c>
      <c r="F708">
        <v>1802165</v>
      </c>
      <c r="G708" s="81" t="s">
        <v>261</v>
      </c>
      <c r="H708" s="81" t="s">
        <v>31</v>
      </c>
      <c r="I708" s="3">
        <v>1</v>
      </c>
      <c r="J708" s="3"/>
      <c r="K708" s="26">
        <v>1</v>
      </c>
      <c r="L708" s="2">
        <v>9122</v>
      </c>
      <c r="M708" s="2">
        <v>9122</v>
      </c>
      <c r="N708" s="2">
        <v>9122</v>
      </c>
      <c r="O708" s="2">
        <v>9122</v>
      </c>
      <c r="P708" s="2">
        <v>0</v>
      </c>
      <c r="Q708" s="2">
        <v>0</v>
      </c>
      <c r="R708" s="4">
        <v>0</v>
      </c>
      <c r="T708">
        <v>311333</v>
      </c>
      <c r="U708" s="2"/>
      <c r="V708">
        <v>5947</v>
      </c>
      <c r="W708" s="2">
        <v>6579000000</v>
      </c>
      <c r="X708" s="6">
        <v>9122</v>
      </c>
      <c r="Y708" s="38">
        <v>10010</v>
      </c>
      <c r="Z708" s="86">
        <f>+((DETALLE_GD_1[[#This Row],[VALOR X UN (GD)]]-DETALLE_GD_1[[#This Row],[VALOR PPTO]])/DETALLE_GD_1[[#This Row],[VALOR PPTO]])</f>
        <v>0</v>
      </c>
      <c r="AA708" s="2">
        <f>+DETALLE_GD_1[[#This Row],[VALOR PPTO]]*DETALLE_GD_1[[#This Row],[CANTIDAD RECIBIDA]]</f>
        <v>9122</v>
      </c>
      <c r="AB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8" s="3">
        <f>+DETALLE_GD_1[[#This Row],[CANTIDAD SOLICITADA]]-DETALLE_GD_1[[#This Row],[DEVOLUCIÓN]]</f>
        <v>1</v>
      </c>
      <c r="AD708" s="38" t="str">
        <f>+_xlfn.XLOOKUP(DETALLE_GD_1[[#This Row],[CODIGO]],PRODUCTOS[CODIGO],PRODUCTOS[DESC CORTA],"",0)</f>
        <v>NEW TS2024019)</v>
      </c>
      <c r="AE708"/>
      <c r="AH708"/>
    </row>
    <row r="709" spans="1:34" x14ac:dyDescent="0.25">
      <c r="A709" s="1">
        <v>46118</v>
      </c>
      <c r="B709" s="1">
        <v>46118</v>
      </c>
      <c r="C709" s="81" t="s">
        <v>169</v>
      </c>
      <c r="D709" s="38">
        <v>4</v>
      </c>
      <c r="E709" s="81" t="s">
        <v>169</v>
      </c>
      <c r="F709">
        <v>1206002</v>
      </c>
      <c r="G709" s="81" t="s">
        <v>192</v>
      </c>
      <c r="H709" s="81" t="s">
        <v>31</v>
      </c>
      <c r="I709" s="3">
        <v>1</v>
      </c>
      <c r="J709" s="3"/>
      <c r="K709" s="26">
        <v>1</v>
      </c>
      <c r="L709" s="2">
        <v>20332</v>
      </c>
      <c r="M709" s="2">
        <v>20332</v>
      </c>
      <c r="N709" s="2">
        <v>20332</v>
      </c>
      <c r="O709" s="2">
        <v>15783.483899999999</v>
      </c>
      <c r="P709" s="2">
        <v>-4548.5160999999998</v>
      </c>
      <c r="Q709" s="2">
        <v>-4548.5160999999998</v>
      </c>
      <c r="R709" s="4">
        <v>-0.28818201140986877</v>
      </c>
      <c r="T709">
        <v>311333</v>
      </c>
      <c r="U709" s="2"/>
      <c r="V709">
        <v>5947</v>
      </c>
      <c r="W709" s="2">
        <v>6579000000</v>
      </c>
      <c r="X709" s="6">
        <v>15783.483871</v>
      </c>
      <c r="Y709" s="38">
        <v>10010</v>
      </c>
      <c r="Z709" s="86">
        <f>+((DETALLE_GD_1[[#This Row],[VALOR X UN (GD)]]-DETALLE_GD_1[[#This Row],[VALOR PPTO]])/DETALLE_GD_1[[#This Row],[VALOR PPTO]])</f>
        <v>0.28818200904300989</v>
      </c>
      <c r="AA709" s="2">
        <f>+DETALLE_GD_1[[#This Row],[VALOR PPTO]]*DETALLE_GD_1[[#This Row],[CANTIDAD RECIBIDA]]</f>
        <v>15783.483899999999</v>
      </c>
      <c r="AB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9" s="3">
        <f>+DETALLE_GD_1[[#This Row],[CANTIDAD SOLICITADA]]-DETALLE_GD_1[[#This Row],[DEVOLUCIÓN]]</f>
        <v>1</v>
      </c>
      <c r="AD709" s="38">
        <f>+_xlfn.XLOOKUP(DETALLE_GD_1[[#This Row],[CODIGO]],PRODUCTOS[CODIGO],PRODUCTOS[DESC CORTA],"",0)</f>
        <v>0</v>
      </c>
      <c r="AE709"/>
      <c r="AH709"/>
    </row>
    <row r="710" spans="1:34" x14ac:dyDescent="0.25">
      <c r="A710" s="1">
        <v>46118</v>
      </c>
      <c r="B710" s="1">
        <v>46118</v>
      </c>
      <c r="C710" s="81" t="s">
        <v>169</v>
      </c>
      <c r="D710" s="38">
        <v>4</v>
      </c>
      <c r="E710" s="81" t="s">
        <v>169</v>
      </c>
      <c r="F710">
        <v>1802171</v>
      </c>
      <c r="G710" s="81" t="s">
        <v>265</v>
      </c>
      <c r="H710" s="81" t="s">
        <v>31</v>
      </c>
      <c r="I710" s="3">
        <v>1</v>
      </c>
      <c r="J710" s="3"/>
      <c r="K710" s="26">
        <v>1</v>
      </c>
      <c r="L710" s="2">
        <v>3229</v>
      </c>
      <c r="M710" s="2">
        <v>3229</v>
      </c>
      <c r="N710" s="2">
        <v>3229</v>
      </c>
      <c r="O710" s="2">
        <v>3632</v>
      </c>
      <c r="P710" s="2">
        <v>403</v>
      </c>
      <c r="Q710" s="2">
        <v>403</v>
      </c>
      <c r="R710" s="4">
        <v>0.11095814977973568</v>
      </c>
      <c r="T710">
        <v>311333</v>
      </c>
      <c r="U710" s="2"/>
      <c r="V710">
        <v>5947</v>
      </c>
      <c r="W710" s="2">
        <v>6579000000</v>
      </c>
      <c r="X710" s="6">
        <v>3632</v>
      </c>
      <c r="Y710" s="38">
        <v>10010</v>
      </c>
      <c r="Z710" s="86">
        <f>+((DETALLE_GD_1[[#This Row],[VALOR X UN (GD)]]-DETALLE_GD_1[[#This Row],[VALOR PPTO]])/DETALLE_GD_1[[#This Row],[VALOR PPTO]])</f>
        <v>-0.11095814977973568</v>
      </c>
      <c r="AA710" s="2">
        <f>+DETALLE_GD_1[[#This Row],[VALOR PPTO]]*DETALLE_GD_1[[#This Row],[CANTIDAD RECIBIDA]]</f>
        <v>3632</v>
      </c>
      <c r="AB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0" s="3">
        <f>+DETALLE_GD_1[[#This Row],[CANTIDAD SOLICITADA]]-DETALLE_GD_1[[#This Row],[DEVOLUCIÓN]]</f>
        <v>1</v>
      </c>
      <c r="AD710" s="38" t="str">
        <f>+_xlfn.XLOOKUP(DETALLE_GD_1[[#This Row],[CODIGO]],PRODUCTOS[CODIGO],PRODUCTOS[DESC CORTA],"",0)</f>
        <v>PORTA ROLLO BENTON</v>
      </c>
      <c r="AE710"/>
      <c r="AH710"/>
    </row>
    <row r="711" spans="1:34" x14ac:dyDescent="0.25">
      <c r="A711" s="1">
        <v>46118</v>
      </c>
      <c r="B711" s="1">
        <v>46118</v>
      </c>
      <c r="C711" s="81" t="s">
        <v>169</v>
      </c>
      <c r="D711" s="38">
        <v>4</v>
      </c>
      <c r="E711" s="81" t="s">
        <v>169</v>
      </c>
      <c r="F711">
        <v>1802172</v>
      </c>
      <c r="G711" s="81" t="s">
        <v>266</v>
      </c>
      <c r="H711" s="81" t="s">
        <v>31</v>
      </c>
      <c r="I711" s="3">
        <v>1</v>
      </c>
      <c r="J711" s="3"/>
      <c r="K711" s="26">
        <v>1</v>
      </c>
      <c r="L711" s="2">
        <v>3032</v>
      </c>
      <c r="M711" s="2">
        <v>3032</v>
      </c>
      <c r="N711" s="2">
        <v>3032</v>
      </c>
      <c r="O711" s="2">
        <v>3035</v>
      </c>
      <c r="P711" s="2">
        <v>3</v>
      </c>
      <c r="Q711" s="2">
        <v>3</v>
      </c>
      <c r="R711" s="4">
        <v>9.8846787479406925E-4</v>
      </c>
      <c r="T711">
        <v>311333</v>
      </c>
      <c r="U711" s="2"/>
      <c r="V711">
        <v>5947</v>
      </c>
      <c r="W711" s="2">
        <v>6579000000</v>
      </c>
      <c r="X711" s="6">
        <v>3035</v>
      </c>
      <c r="Y711" s="38">
        <v>10010</v>
      </c>
      <c r="Z711" s="86">
        <f>+((DETALLE_GD_1[[#This Row],[VALOR X UN (GD)]]-DETALLE_GD_1[[#This Row],[VALOR PPTO]])/DETALLE_GD_1[[#This Row],[VALOR PPTO]])</f>
        <v>-9.8846787479406925E-4</v>
      </c>
      <c r="AA711" s="2">
        <f>+DETALLE_GD_1[[#This Row],[VALOR PPTO]]*DETALLE_GD_1[[#This Row],[CANTIDAD RECIBIDA]]</f>
        <v>3035</v>
      </c>
      <c r="AB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1" s="3">
        <f>+DETALLE_GD_1[[#This Row],[CANTIDAD SOLICITADA]]-DETALLE_GD_1[[#This Row],[DEVOLUCIÓN]]</f>
        <v>1</v>
      </c>
      <c r="AD711" s="38" t="str">
        <f>+_xlfn.XLOOKUP(DETALLE_GD_1[[#This Row],[CODIGO]],PRODUCTOS[CODIGO],PRODUCTOS[DESC CORTA],"",0)</f>
        <v>ARGOLLA TOALLA BENTON</v>
      </c>
      <c r="AE711"/>
      <c r="AH711"/>
    </row>
    <row r="712" spans="1:34" x14ac:dyDescent="0.25">
      <c r="A712" s="1">
        <v>46118</v>
      </c>
      <c r="B712" s="1">
        <v>46118</v>
      </c>
      <c r="C712" s="81" t="s">
        <v>169</v>
      </c>
      <c r="D712" s="38">
        <v>4</v>
      </c>
      <c r="E712" s="81" t="s">
        <v>169</v>
      </c>
      <c r="F712">
        <v>1802517</v>
      </c>
      <c r="G712" s="81" t="s">
        <v>141</v>
      </c>
      <c r="H712" s="81" t="s">
        <v>31</v>
      </c>
      <c r="I712" s="3">
        <v>1</v>
      </c>
      <c r="J712" s="3"/>
      <c r="K712" s="26">
        <v>1</v>
      </c>
      <c r="L712" s="2">
        <v>2313</v>
      </c>
      <c r="M712" s="2">
        <v>2313</v>
      </c>
      <c r="N712" s="2">
        <v>2313</v>
      </c>
      <c r="O712" s="2">
        <v>2312</v>
      </c>
      <c r="P712" s="2">
        <v>-1</v>
      </c>
      <c r="Q712" s="2">
        <v>-1</v>
      </c>
      <c r="R712" s="4">
        <v>-4.3252595155709344E-4</v>
      </c>
      <c r="T712">
        <v>311333</v>
      </c>
      <c r="U712" s="2"/>
      <c r="V712">
        <v>5947</v>
      </c>
      <c r="W712" s="2">
        <v>6579000000</v>
      </c>
      <c r="X712" s="6">
        <v>2312</v>
      </c>
      <c r="Y712" s="38">
        <v>10010</v>
      </c>
      <c r="Z712" s="86">
        <f>+((DETALLE_GD_1[[#This Row],[VALOR X UN (GD)]]-DETALLE_GD_1[[#This Row],[VALOR PPTO]])/DETALLE_GD_1[[#This Row],[VALOR PPTO]])</f>
        <v>4.3252595155709344E-4</v>
      </c>
      <c r="AA712" s="2">
        <f>+DETALLE_GD_1[[#This Row],[VALOR PPTO]]*DETALLE_GD_1[[#This Row],[CANTIDAD RECIBIDA]]</f>
        <v>2312</v>
      </c>
      <c r="AB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2" s="3">
        <f>+DETALLE_GD_1[[#This Row],[CANTIDAD SOLICITADA]]-DETALLE_GD_1[[#This Row],[DEVOLUCIÓN]]</f>
        <v>1</v>
      </c>
      <c r="AD712" s="38" t="str">
        <f>+_xlfn.XLOOKUP(DETALLE_GD_1[[#This Row],[CODIGO]],PRODUCTOS[CODIGO],PRODUCTOS[DESC CORTA],"",0)</f>
        <v>CELOSIA ALUMINIO 25X25</v>
      </c>
      <c r="AE712"/>
      <c r="AH712"/>
    </row>
    <row r="713" spans="1:34" x14ac:dyDescent="0.25">
      <c r="A713" s="1">
        <v>46118</v>
      </c>
      <c r="B713" s="1">
        <v>46118</v>
      </c>
      <c r="C713" s="81" t="s">
        <v>169</v>
      </c>
      <c r="D713" s="38">
        <v>4</v>
      </c>
      <c r="E713" s="81" t="s">
        <v>169</v>
      </c>
      <c r="F713">
        <v>1808003</v>
      </c>
      <c r="G713" s="81" t="s">
        <v>195</v>
      </c>
      <c r="H713" s="81" t="s">
        <v>31</v>
      </c>
      <c r="I713" s="3">
        <v>6</v>
      </c>
      <c r="J713" s="3"/>
      <c r="K713" s="26">
        <v>6</v>
      </c>
      <c r="L713" s="2">
        <v>167.66669999999999</v>
      </c>
      <c r="M713" s="2">
        <v>1006</v>
      </c>
      <c r="N713" s="2">
        <v>1006</v>
      </c>
      <c r="O713" s="2">
        <v>167.7449</v>
      </c>
      <c r="P713" s="2">
        <v>7.8200000000000006E-2</v>
      </c>
      <c r="Q713" s="2">
        <v>0.46910000000000002</v>
      </c>
      <c r="R713" s="4">
        <v>4.6613251974236255E-4</v>
      </c>
      <c r="T713">
        <v>311333</v>
      </c>
      <c r="U713" s="2"/>
      <c r="V713">
        <v>5947</v>
      </c>
      <c r="W713" s="2">
        <v>6579000000</v>
      </c>
      <c r="X713" s="6">
        <v>1006.469148</v>
      </c>
      <c r="Y713" s="38">
        <v>10010</v>
      </c>
      <c r="Z713" s="86">
        <f>+((DETALLE_GD_1[[#This Row],[VALOR X UN (GD)]]-DETALLE_GD_1[[#This Row],[VALOR PPTO]])/DETALLE_GD_1[[#This Row],[VALOR PPTO]])</f>
        <v>-4.6618406878545695E-4</v>
      </c>
      <c r="AA713" s="2">
        <f>+DETALLE_GD_1[[#This Row],[VALOR PPTO]]*DETALLE_GD_1[[#This Row],[CANTIDAD RECIBIDA]]</f>
        <v>1006.4694</v>
      </c>
      <c r="AB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3" s="3">
        <f>+DETALLE_GD_1[[#This Row],[CANTIDAD SOLICITADA]]-DETALLE_GD_1[[#This Row],[DEVOLUCIÓN]]</f>
        <v>6</v>
      </c>
      <c r="AD713" s="38">
        <f>+_xlfn.XLOOKUP(DETALLE_GD_1[[#This Row],[CODIGO]],PRODUCTOS[CODIGO],PRODUCTOS[DESC CORTA],"",0)</f>
        <v>0</v>
      </c>
      <c r="AE713"/>
      <c r="AH713"/>
    </row>
    <row r="714" spans="1:34" x14ac:dyDescent="0.25">
      <c r="A714" s="1">
        <v>46118</v>
      </c>
      <c r="B714" s="1">
        <v>46118</v>
      </c>
      <c r="C714" s="81" t="s">
        <v>169</v>
      </c>
      <c r="D714" s="38">
        <v>4</v>
      </c>
      <c r="E714" s="81" t="s">
        <v>169</v>
      </c>
      <c r="F714">
        <v>1808006</v>
      </c>
      <c r="G714" s="81" t="s">
        <v>194</v>
      </c>
      <c r="H714" s="81" t="s">
        <v>31</v>
      </c>
      <c r="I714" s="3">
        <v>1</v>
      </c>
      <c r="J714" s="3"/>
      <c r="K714" s="26">
        <v>1</v>
      </c>
      <c r="L714" s="2">
        <v>2907</v>
      </c>
      <c r="M714" s="2">
        <v>2907</v>
      </c>
      <c r="N714" s="2">
        <v>2907</v>
      </c>
      <c r="O714" s="2">
        <v>2906.6711</v>
      </c>
      <c r="P714" s="2">
        <v>-0.32890000000000003</v>
      </c>
      <c r="Q714" s="2">
        <v>-0.32890000000000003</v>
      </c>
      <c r="R714" s="4">
        <v>-1.1315487344013068E-4</v>
      </c>
      <c r="T714">
        <v>311333</v>
      </c>
      <c r="U714" s="2"/>
      <c r="V714">
        <v>5947</v>
      </c>
      <c r="W714" s="2">
        <v>6579000000</v>
      </c>
      <c r="X714" s="6">
        <v>2906.671096</v>
      </c>
      <c r="Y714" s="38">
        <v>10010</v>
      </c>
      <c r="Z714" s="86">
        <f>+((DETALLE_GD_1[[#This Row],[VALOR X UN (GD)]]-DETALLE_GD_1[[#This Row],[VALOR PPTO]])/DETALLE_GD_1[[#This Row],[VALOR PPTO]])</f>
        <v>1.1315349713972661E-4</v>
      </c>
      <c r="AA714" s="2">
        <f>+DETALLE_GD_1[[#This Row],[VALOR PPTO]]*DETALLE_GD_1[[#This Row],[CANTIDAD RECIBIDA]]</f>
        <v>2906.6711</v>
      </c>
      <c r="AB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4" s="3">
        <f>+DETALLE_GD_1[[#This Row],[CANTIDAD SOLICITADA]]-DETALLE_GD_1[[#This Row],[DEVOLUCIÓN]]</f>
        <v>1</v>
      </c>
      <c r="AD714" s="38">
        <f>+_xlfn.XLOOKUP(DETALLE_GD_1[[#This Row],[CODIGO]],PRODUCTOS[CODIGO],PRODUCTOS[DESC CORTA],"",0)</f>
        <v>0</v>
      </c>
      <c r="AE714"/>
      <c r="AH714"/>
    </row>
    <row r="715" spans="1:34" x14ac:dyDescent="0.25">
      <c r="A715" s="1">
        <v>46118</v>
      </c>
      <c r="B715" s="1">
        <v>46118</v>
      </c>
      <c r="C715" s="81" t="s">
        <v>169</v>
      </c>
      <c r="D715" s="38">
        <v>4</v>
      </c>
      <c r="E715" s="81" t="s">
        <v>169</v>
      </c>
      <c r="F715">
        <v>1808156</v>
      </c>
      <c r="G715" s="81" t="s">
        <v>277</v>
      </c>
      <c r="H715" s="81" t="s">
        <v>31</v>
      </c>
      <c r="I715" s="3">
        <v>1</v>
      </c>
      <c r="J715" s="3"/>
      <c r="K715" s="26">
        <v>1</v>
      </c>
      <c r="L715" s="2">
        <v>1932</v>
      </c>
      <c r="M715" s="2">
        <v>1932</v>
      </c>
      <c r="N715" s="2">
        <v>1932</v>
      </c>
      <c r="O715" s="2">
        <v>1916</v>
      </c>
      <c r="P715" s="2">
        <v>-16</v>
      </c>
      <c r="Q715" s="2">
        <v>-16</v>
      </c>
      <c r="R715" s="4">
        <v>-8.350730688935281E-3</v>
      </c>
      <c r="T715">
        <v>311333</v>
      </c>
      <c r="U715" s="2"/>
      <c r="V715">
        <v>5947</v>
      </c>
      <c r="W715" s="2">
        <v>6579000000</v>
      </c>
      <c r="X715" s="6">
        <v>1916</v>
      </c>
      <c r="Y715" s="38">
        <v>10010</v>
      </c>
      <c r="Z715" s="86">
        <f>+((DETALLE_GD_1[[#This Row],[VALOR X UN (GD)]]-DETALLE_GD_1[[#This Row],[VALOR PPTO]])/DETALLE_GD_1[[#This Row],[VALOR PPTO]])</f>
        <v>8.350730688935281E-3</v>
      </c>
      <c r="AA715" s="2">
        <f>+DETALLE_GD_1[[#This Row],[VALOR PPTO]]*DETALLE_GD_1[[#This Row],[CANTIDAD RECIBIDA]]</f>
        <v>1916</v>
      </c>
      <c r="AB7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5" s="3">
        <f>+DETALLE_GD_1[[#This Row],[CANTIDAD SOLICITADA]]-DETALLE_GD_1[[#This Row],[DEVOLUCIÓN]]</f>
        <v>1</v>
      </c>
      <c r="AD715" s="38" t="str">
        <f>+_xlfn.XLOOKUP(DETALLE_GD_1[[#This Row],[CODIGO]],PRODUCTOS[CODIGO],PRODUCTOS[DESC CORTA],"",0)</f>
        <v>PERCHA SIMPLE YORK</v>
      </c>
      <c r="AE715"/>
      <c r="AH715"/>
    </row>
    <row r="716" spans="1:34" x14ac:dyDescent="0.25">
      <c r="A716" s="1">
        <v>46118</v>
      </c>
      <c r="B716" s="1">
        <v>46118</v>
      </c>
      <c r="C716" s="81" t="s">
        <v>169</v>
      </c>
      <c r="D716" s="38">
        <v>4</v>
      </c>
      <c r="E716" s="81" t="s">
        <v>169</v>
      </c>
      <c r="F716">
        <v>1802169</v>
      </c>
      <c r="G716" s="81" t="s">
        <v>263</v>
      </c>
      <c r="H716" s="81" t="s">
        <v>31</v>
      </c>
      <c r="I716" s="3">
        <v>1</v>
      </c>
      <c r="J716" s="3"/>
      <c r="K716" s="26">
        <v>1</v>
      </c>
      <c r="L716" s="2">
        <v>10730</v>
      </c>
      <c r="M716" s="2">
        <v>10730</v>
      </c>
      <c r="N716" s="2">
        <v>10730</v>
      </c>
      <c r="O716" s="2">
        <v>10741</v>
      </c>
      <c r="P716" s="2">
        <v>11</v>
      </c>
      <c r="Q716" s="2">
        <v>11</v>
      </c>
      <c r="R716" s="4">
        <v>1.0241132110604227E-3</v>
      </c>
      <c r="T716">
        <v>311333</v>
      </c>
      <c r="U716" s="2"/>
      <c r="V716">
        <v>5947</v>
      </c>
      <c r="W716" s="2">
        <v>6579000000</v>
      </c>
      <c r="X716" s="6">
        <v>10741</v>
      </c>
      <c r="Y716" s="38">
        <v>10010</v>
      </c>
      <c r="Z716" s="86">
        <f>+((DETALLE_GD_1[[#This Row],[VALOR X UN (GD)]]-DETALLE_GD_1[[#This Row],[VALOR PPTO]])/DETALLE_GD_1[[#This Row],[VALOR PPTO]])</f>
        <v>-1.0241132110604227E-3</v>
      </c>
      <c r="AA716" s="2">
        <f>+DETALLE_GD_1[[#This Row],[VALOR PPTO]]*DETALLE_GD_1[[#This Row],[CANTIDAD RECIBIDA]]</f>
        <v>10741</v>
      </c>
      <c r="AB7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6" s="3">
        <f>+DETALLE_GD_1[[#This Row],[CANTIDAD SOLICITADA]]-DETALLE_GD_1[[#This Row],[DEVOLUCIÓN]]</f>
        <v>1</v>
      </c>
      <c r="AD716" s="38" t="str">
        <f>+_xlfn.XLOOKUP(DETALLE_GD_1[[#This Row],[CODIGO]],PRODUCTOS[CODIGO],PRODUCTOS[DESC CORTA],"",0)</f>
        <v>LAVARROPA PLATICO DS</v>
      </c>
      <c r="AE716"/>
      <c r="AH716"/>
    </row>
    <row r="717" spans="1:34" x14ac:dyDescent="0.25">
      <c r="A717" s="1">
        <v>46118</v>
      </c>
      <c r="B717" s="1">
        <v>46118</v>
      </c>
      <c r="C717" s="81" t="s">
        <v>169</v>
      </c>
      <c r="D717" s="38">
        <v>4</v>
      </c>
      <c r="E717" s="81" t="s">
        <v>169</v>
      </c>
      <c r="F717">
        <v>1802170</v>
      </c>
      <c r="G717" s="81" t="s">
        <v>264</v>
      </c>
      <c r="H717" s="81" t="s">
        <v>31</v>
      </c>
      <c r="I717" s="3">
        <v>1</v>
      </c>
      <c r="J717" s="3"/>
      <c r="K717" s="26">
        <v>1</v>
      </c>
      <c r="L717" s="2">
        <v>2043</v>
      </c>
      <c r="M717" s="2">
        <v>2043</v>
      </c>
      <c r="N717" s="2">
        <v>2043</v>
      </c>
      <c r="O717" s="2">
        <v>2043</v>
      </c>
      <c r="P717" s="2">
        <v>0</v>
      </c>
      <c r="Q717" s="2">
        <v>0</v>
      </c>
      <c r="R717" s="4">
        <v>0</v>
      </c>
      <c r="T717">
        <v>311333</v>
      </c>
      <c r="U717" s="2"/>
      <c r="V717">
        <v>5947</v>
      </c>
      <c r="W717" s="2">
        <v>6579000000</v>
      </c>
      <c r="X717" s="6">
        <v>2043</v>
      </c>
      <c r="Y717" s="38">
        <v>10010</v>
      </c>
      <c r="Z717" s="86">
        <f>+((DETALLE_GD_1[[#This Row],[VALOR X UN (GD)]]-DETALLE_GD_1[[#This Row],[VALOR PPTO]])/DETALLE_GD_1[[#This Row],[VALOR PPTO]])</f>
        <v>0</v>
      </c>
      <c r="AA717" s="2">
        <f>+DETALLE_GD_1[[#This Row],[VALOR PPTO]]*DETALLE_GD_1[[#This Row],[CANTIDAD RECIBIDA]]</f>
        <v>2043</v>
      </c>
      <c r="AB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7" s="3">
        <f>+DETALLE_GD_1[[#This Row],[CANTIDAD SOLICITADA]]-DETALLE_GD_1[[#This Row],[DEVOLUCIÓN]]</f>
        <v>1</v>
      </c>
      <c r="AD717" s="38">
        <f>+_xlfn.XLOOKUP(DETALLE_GD_1[[#This Row],[CODIGO]],PRODUCTOS[CODIGO],PRODUCTOS[DESC CORTA],"",0)</f>
        <v>0</v>
      </c>
      <c r="AE717"/>
      <c r="AH717"/>
    </row>
    <row r="718" spans="1:34" x14ac:dyDescent="0.25">
      <c r="A718" s="1">
        <v>46118</v>
      </c>
      <c r="B718" s="1">
        <v>46118</v>
      </c>
      <c r="C718" s="81" t="s">
        <v>169</v>
      </c>
      <c r="D718" s="38">
        <v>4</v>
      </c>
      <c r="E718" s="81" t="s">
        <v>169</v>
      </c>
      <c r="F718">
        <v>5316483</v>
      </c>
      <c r="G718" s="81" t="s">
        <v>97</v>
      </c>
      <c r="H718" s="81" t="s">
        <v>31</v>
      </c>
      <c r="I718" s="3">
        <v>1</v>
      </c>
      <c r="J718" s="3"/>
      <c r="K718" s="26">
        <v>1</v>
      </c>
      <c r="L718" s="2">
        <v>2984</v>
      </c>
      <c r="M718" s="2">
        <v>2984</v>
      </c>
      <c r="N718" s="2">
        <v>2984</v>
      </c>
      <c r="O718" s="2">
        <v>3237.6071000000002</v>
      </c>
      <c r="P718" s="2">
        <v>253.6071</v>
      </c>
      <c r="Q718" s="2">
        <v>253.6071</v>
      </c>
      <c r="R718" s="4">
        <v>7.8331660327696576E-2</v>
      </c>
      <c r="T718">
        <v>311333</v>
      </c>
      <c r="U718" s="2"/>
      <c r="V718">
        <v>5947</v>
      </c>
      <c r="W718" s="2">
        <v>6579000000</v>
      </c>
      <c r="X718" s="6">
        <v>3237.6071430000002</v>
      </c>
      <c r="Y718" s="38">
        <v>10010</v>
      </c>
      <c r="Z718" s="86">
        <f>+((DETALLE_GD_1[[#This Row],[VALOR X UN (GD)]]-DETALLE_GD_1[[#This Row],[VALOR PPTO]])/DETALLE_GD_1[[#This Row],[VALOR PPTO]])</f>
        <v>-7.8331648086637867E-2</v>
      </c>
      <c r="AA718" s="2">
        <f>+DETALLE_GD_1[[#This Row],[VALOR PPTO]]*DETALLE_GD_1[[#This Row],[CANTIDAD RECIBIDA]]</f>
        <v>3237.6071000000002</v>
      </c>
      <c r="AB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8" s="3">
        <f>+DETALLE_GD_1[[#This Row],[CANTIDAD SOLICITADA]]-DETALLE_GD_1[[#This Row],[DEVOLUCIÓN]]</f>
        <v>1</v>
      </c>
      <c r="AD718" s="38" t="str">
        <f>+_xlfn.XLOOKUP(DETALLE_GD_1[[#This Row],[CODIGO]],PRODUCTOS[CODIGO],PRODUCTOS[DESC CORTA],"",0)</f>
        <v>LLAVE DE BOLA AF</v>
      </c>
      <c r="AE718"/>
      <c r="AH718"/>
    </row>
    <row r="719" spans="1:34" x14ac:dyDescent="0.25">
      <c r="A719" s="1">
        <v>46118</v>
      </c>
      <c r="B719" s="1">
        <v>46118</v>
      </c>
      <c r="C719" s="81" t="s">
        <v>169</v>
      </c>
      <c r="D719" s="38">
        <v>4</v>
      </c>
      <c r="E719" s="81" t="s">
        <v>169</v>
      </c>
      <c r="F719">
        <v>5316484</v>
      </c>
      <c r="G719" s="81" t="s">
        <v>96</v>
      </c>
      <c r="H719" s="81" t="s">
        <v>31</v>
      </c>
      <c r="I719" s="3">
        <v>1</v>
      </c>
      <c r="J719" s="3"/>
      <c r="K719" s="26">
        <v>1</v>
      </c>
      <c r="L719" s="2">
        <v>4283</v>
      </c>
      <c r="M719" s="2">
        <v>4283</v>
      </c>
      <c r="N719" s="2">
        <v>4283</v>
      </c>
      <c r="O719" s="2">
        <v>4372.7272999999996</v>
      </c>
      <c r="P719" s="2">
        <v>89.7273</v>
      </c>
      <c r="Q719" s="2">
        <v>89.7273</v>
      </c>
      <c r="R719" s="4">
        <v>2.0519750580840854E-2</v>
      </c>
      <c r="T719">
        <v>311333</v>
      </c>
      <c r="U719" s="2"/>
      <c r="V719">
        <v>5947</v>
      </c>
      <c r="W719" s="2">
        <v>6579000000</v>
      </c>
      <c r="X719" s="6">
        <v>4372.7272730000004</v>
      </c>
      <c r="Y719" s="38">
        <v>10010</v>
      </c>
      <c r="Z719" s="86">
        <f>+((DETALLE_GD_1[[#This Row],[VALOR X UN (GD)]]-DETALLE_GD_1[[#This Row],[VALOR PPTO]])/DETALLE_GD_1[[#This Row],[VALOR PPTO]])</f>
        <v>-2.0519756628774807E-2</v>
      </c>
      <c r="AA719" s="2">
        <f>+DETALLE_GD_1[[#This Row],[VALOR PPTO]]*DETALLE_GD_1[[#This Row],[CANTIDAD RECIBIDA]]</f>
        <v>4372.7272999999996</v>
      </c>
      <c r="AB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9" s="3">
        <f>+DETALLE_GD_1[[#This Row],[CANTIDAD SOLICITADA]]-DETALLE_GD_1[[#This Row],[DEVOLUCIÓN]]</f>
        <v>1</v>
      </c>
      <c r="AD719" s="38" t="str">
        <f>+_xlfn.XLOOKUP(DETALLE_GD_1[[#This Row],[CODIGO]],PRODUCTOS[CODIGO],PRODUCTOS[DESC CORTA],"",0)</f>
        <v>LLAVE DE BOLA AC</v>
      </c>
      <c r="AE719"/>
      <c r="AH719"/>
    </row>
    <row r="720" spans="1:34" x14ac:dyDescent="0.25">
      <c r="A720" s="1">
        <v>46118</v>
      </c>
      <c r="B720" s="1">
        <v>46118</v>
      </c>
      <c r="C720" s="81" t="s">
        <v>169</v>
      </c>
      <c r="D720" s="38">
        <v>4</v>
      </c>
      <c r="E720" s="81" t="s">
        <v>169</v>
      </c>
      <c r="F720">
        <v>1902014</v>
      </c>
      <c r="G720" s="81" t="s">
        <v>316</v>
      </c>
      <c r="H720" s="81" t="s">
        <v>18</v>
      </c>
      <c r="I720" s="3">
        <v>40</v>
      </c>
      <c r="J720" s="3"/>
      <c r="K720" s="26">
        <v>40</v>
      </c>
      <c r="L720" s="2">
        <v>29778.924999999999</v>
      </c>
      <c r="M720" s="2">
        <v>1191157</v>
      </c>
      <c r="N720" s="2">
        <v>1191157</v>
      </c>
      <c r="O720" s="2">
        <v>29779</v>
      </c>
      <c r="P720" s="2">
        <v>7.4999999999999997E-2</v>
      </c>
      <c r="Q720" s="2">
        <v>3</v>
      </c>
      <c r="R720" s="4">
        <v>2.5185533431064028E-6</v>
      </c>
      <c r="T720">
        <v>311333</v>
      </c>
      <c r="U720" s="2"/>
      <c r="V720">
        <v>5947</v>
      </c>
      <c r="W720" s="2">
        <v>6579000000</v>
      </c>
      <c r="X720" s="6">
        <v>1191160.0000000002</v>
      </c>
      <c r="Y720" s="38">
        <v>10010</v>
      </c>
      <c r="Z720" s="86">
        <f>+((DETALLE_GD_1[[#This Row],[VALOR X UN (GD)]]-DETALLE_GD_1[[#This Row],[VALOR PPTO]])/DETALLE_GD_1[[#This Row],[VALOR PPTO]])</f>
        <v>-2.5185533429842369E-6</v>
      </c>
      <c r="AA720" s="2">
        <f>+DETALLE_GD_1[[#This Row],[VALOR PPTO]]*DETALLE_GD_1[[#This Row],[CANTIDAD RECIBIDA]]</f>
        <v>1191160</v>
      </c>
      <c r="AB7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20" s="3">
        <f>+DETALLE_GD_1[[#This Row],[CANTIDAD SOLICITADA]]-DETALLE_GD_1[[#This Row],[DEVOLUCIÓN]]</f>
        <v>40</v>
      </c>
      <c r="AD720" s="38" t="str">
        <f>+_xlfn.XLOOKUP(DETALLE_GD_1[[#This Row],[CODIGO]],PRODUCTOS[CODIGO],PRODUCTOS[DESC CORTA],"",0)</f>
        <v>VOLCOGLASS</v>
      </c>
      <c r="AE720"/>
      <c r="AH720"/>
    </row>
    <row r="721" spans="1:34" x14ac:dyDescent="0.25">
      <c r="A721" s="1">
        <v>46118</v>
      </c>
      <c r="B721" s="1">
        <v>46118</v>
      </c>
      <c r="C721" s="81" t="s">
        <v>169</v>
      </c>
      <c r="D721" s="38">
        <v>4</v>
      </c>
      <c r="E721" s="81" t="s">
        <v>169</v>
      </c>
      <c r="F721">
        <v>409011</v>
      </c>
      <c r="G721" s="81" t="s">
        <v>251</v>
      </c>
      <c r="H721" s="81" t="s">
        <v>137</v>
      </c>
      <c r="I721" s="3">
        <v>1</v>
      </c>
      <c r="J721" s="3"/>
      <c r="K721" s="26">
        <v>1</v>
      </c>
      <c r="L721" s="2">
        <v>13713</v>
      </c>
      <c r="M721" s="2">
        <v>13713</v>
      </c>
      <c r="N721" s="2">
        <v>13713</v>
      </c>
      <c r="O721" s="2">
        <v>13713.2695</v>
      </c>
      <c r="P721" s="2">
        <v>0.26950000000000002</v>
      </c>
      <c r="Q721" s="2">
        <v>0.26950000000000002</v>
      </c>
      <c r="R721" s="4">
        <v>1.9652789578827916E-5</v>
      </c>
      <c r="T721">
        <v>311356</v>
      </c>
      <c r="U721" s="2">
        <v>533391</v>
      </c>
      <c r="V721">
        <v>5947</v>
      </c>
      <c r="W721" s="2">
        <v>6579000000</v>
      </c>
      <c r="X721" s="6">
        <v>13713.269504</v>
      </c>
      <c r="Y721" s="38">
        <v>10010</v>
      </c>
      <c r="Z721" s="86">
        <f>+((DETALLE_GD_1[[#This Row],[VALOR X UN (GD)]]-DETALLE_GD_1[[#This Row],[VALOR PPTO]])/DETALLE_GD_1[[#This Row],[VALOR PPTO]])</f>
        <v>-1.9652497896313836E-5</v>
      </c>
      <c r="AA721" s="2">
        <f>+DETALLE_GD_1[[#This Row],[VALOR PPTO]]*DETALLE_GD_1[[#This Row],[CANTIDAD RECIBIDA]]</f>
        <v>13713.2695</v>
      </c>
      <c r="AB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1" s="3">
        <f>+DETALLE_GD_1[[#This Row],[CANTIDAD SOLICITADA]]-DETALLE_GD_1[[#This Row],[DEVOLUCIÓN]]</f>
        <v>1</v>
      </c>
      <c r="AD721" s="38">
        <f>+_xlfn.XLOOKUP(DETALLE_GD_1[[#This Row],[CODIGO]],PRODUCTOS[CODIGO],PRODUCTOS[DESC CORTA],"",0)</f>
        <v>0</v>
      </c>
      <c r="AE721"/>
      <c r="AH721"/>
    </row>
    <row r="722" spans="1:34" x14ac:dyDescent="0.25">
      <c r="A722" s="1">
        <v>46118</v>
      </c>
      <c r="B722" s="1">
        <v>46118</v>
      </c>
      <c r="C722" s="81" t="s">
        <v>169</v>
      </c>
      <c r="D722" s="38">
        <v>4</v>
      </c>
      <c r="E722" s="81" t="s">
        <v>169</v>
      </c>
      <c r="F722" t="s">
        <v>345</v>
      </c>
      <c r="G722" s="81" t="s">
        <v>167</v>
      </c>
      <c r="H722" s="81" t="s">
        <v>26</v>
      </c>
      <c r="I722" s="3">
        <v>40</v>
      </c>
      <c r="J722" s="3"/>
      <c r="K722" s="26">
        <v>40</v>
      </c>
      <c r="L722" s="2">
        <v>12991.95</v>
      </c>
      <c r="M722" s="2">
        <v>519678</v>
      </c>
      <c r="N722" s="2">
        <v>519678</v>
      </c>
      <c r="O722" s="2">
        <v>11882.3879</v>
      </c>
      <c r="P722" s="2">
        <v>-1109.5621000000001</v>
      </c>
      <c r="Q722" s="2">
        <v>-44382.4833</v>
      </c>
      <c r="R722" s="4">
        <v>-9.337871232200412E-2</v>
      </c>
      <c r="T722">
        <v>311356</v>
      </c>
      <c r="U722" s="2"/>
      <c r="V722">
        <v>5947</v>
      </c>
      <c r="W722" s="2">
        <v>6579000000</v>
      </c>
      <c r="X722" s="6">
        <v>475295.51668</v>
      </c>
      <c r="Y722" s="38">
        <v>10010</v>
      </c>
      <c r="Z722" s="86">
        <f>+((DETALLE_GD_1[[#This Row],[VALOR X UN (GD)]]-DETALLE_GD_1[[#This Row],[VALOR PPTO]])/DETALLE_GD_1[[#This Row],[VALOR PPTO]])</f>
        <v>9.3378713886288892E-2</v>
      </c>
      <c r="AA722" s="2">
        <f>+DETALLE_GD_1[[#This Row],[VALOR PPTO]]*DETALLE_GD_1[[#This Row],[CANTIDAD RECIBIDA]]</f>
        <v>475295.516</v>
      </c>
      <c r="AB7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22" s="3">
        <f>+DETALLE_GD_1[[#This Row],[CANTIDAD SOLICITADA]]-DETALLE_GD_1[[#This Row],[DEVOLUCIÓN]]</f>
        <v>40</v>
      </c>
      <c r="AD722" s="38" t="str">
        <f>+_xlfn.XLOOKUP(DETALLE_GD_1[[#This Row],[CODIGO]],PRODUCTOS[CODIGO],PRODUCTOS[DESC CORTA],"",0)</f>
        <v>PISO TARKET</v>
      </c>
      <c r="AE722"/>
      <c r="AH722"/>
    </row>
    <row r="723" spans="1:34" x14ac:dyDescent="0.25">
      <c r="A723" s="1">
        <v>46119</v>
      </c>
      <c r="B723" s="1">
        <v>46119</v>
      </c>
      <c r="C723" s="81" t="s">
        <v>169</v>
      </c>
      <c r="D723" s="38">
        <v>4</v>
      </c>
      <c r="E723" s="81" t="s">
        <v>169</v>
      </c>
      <c r="F723">
        <v>407185</v>
      </c>
      <c r="G723" s="81" t="s">
        <v>43</v>
      </c>
      <c r="H723" s="81" t="s">
        <v>31</v>
      </c>
      <c r="I723" s="3">
        <v>4500</v>
      </c>
      <c r="J723" s="3"/>
      <c r="K723" s="26">
        <v>4500</v>
      </c>
      <c r="L723" s="2">
        <v>6.8781999999999996</v>
      </c>
      <c r="M723" s="2">
        <v>30952</v>
      </c>
      <c r="N723" s="2">
        <v>30952</v>
      </c>
      <c r="O723" s="2">
        <v>6.8783000000000003</v>
      </c>
      <c r="P723" s="2">
        <v>1E-4</v>
      </c>
      <c r="Q723" s="2">
        <v>0.44</v>
      </c>
      <c r="R723" s="4">
        <v>1.4215357496949594E-5</v>
      </c>
      <c r="T723">
        <v>311417</v>
      </c>
      <c r="U723" s="2">
        <v>5466566</v>
      </c>
      <c r="V723">
        <v>5947</v>
      </c>
      <c r="W723" s="2">
        <v>6579000000</v>
      </c>
      <c r="X723" s="6">
        <v>30952.44</v>
      </c>
      <c r="Y723" s="38">
        <v>10010</v>
      </c>
      <c r="Z723" s="86">
        <f>+((DETALLE_GD_1[[#This Row],[VALOR X UN (GD)]]-DETALLE_GD_1[[#This Row],[VALOR PPTO]])/DETALLE_GD_1[[#This Row],[VALOR PPTO]])</f>
        <v>-1.453847607703286E-5</v>
      </c>
      <c r="AA723" s="2">
        <f>+DETALLE_GD_1[[#This Row],[VALOR PPTO]]*DETALLE_GD_1[[#This Row],[CANTIDAD RECIBIDA]]</f>
        <v>30952.350000000002</v>
      </c>
      <c r="AB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3" s="3">
        <f>+DETALLE_GD_1[[#This Row],[CANTIDAD SOLICITADA]]-DETALLE_GD_1[[#This Row],[DEVOLUCIÓN]]</f>
        <v>4500</v>
      </c>
      <c r="AD723" s="38">
        <f>+_xlfn.XLOOKUP(DETALLE_GD_1[[#This Row],[CODIGO]],PRODUCTOS[CODIGO],PRODUCTOS[DESC CORTA],"",0)</f>
        <v>0</v>
      </c>
      <c r="AE723"/>
      <c r="AH723"/>
    </row>
    <row r="724" spans="1:34" x14ac:dyDescent="0.25">
      <c r="A724" s="1">
        <v>46119</v>
      </c>
      <c r="B724" s="1">
        <v>46119</v>
      </c>
      <c r="C724" s="81" t="s">
        <v>169</v>
      </c>
      <c r="D724" s="38">
        <v>4</v>
      </c>
      <c r="E724" s="81" t="s">
        <v>169</v>
      </c>
      <c r="F724">
        <v>407423</v>
      </c>
      <c r="G724" s="81" t="s">
        <v>106</v>
      </c>
      <c r="H724" s="81" t="s">
        <v>31</v>
      </c>
      <c r="I724" s="3">
        <v>9000</v>
      </c>
      <c r="J724" s="3"/>
      <c r="K724" s="26">
        <v>9000</v>
      </c>
      <c r="L724" s="2">
        <v>3.3879999999999999</v>
      </c>
      <c r="M724" s="2">
        <v>30492</v>
      </c>
      <c r="N724" s="2">
        <v>30492</v>
      </c>
      <c r="O724" s="2">
        <v>106.6405</v>
      </c>
      <c r="P724" s="2">
        <v>103.2525</v>
      </c>
      <c r="Q724" s="2">
        <v>929272.51789999998</v>
      </c>
      <c r="R724" s="4">
        <v>0.96822970694084709</v>
      </c>
      <c r="T724">
        <v>311417</v>
      </c>
      <c r="U724" s="2"/>
      <c r="V724">
        <v>5947</v>
      </c>
      <c r="W724" s="2">
        <v>6579000000</v>
      </c>
      <c r="X724" s="6">
        <v>959764.51785405388</v>
      </c>
      <c r="Y724" s="38">
        <v>10010</v>
      </c>
      <c r="Z724" s="86">
        <f>+((DETALLE_GD_1[[#This Row],[VALOR X UN (GD)]]-DETALLE_GD_1[[#This Row],[VALOR PPTO]])/DETALLE_GD_1[[#This Row],[VALOR PPTO]])</f>
        <v>-0.96822970634983885</v>
      </c>
      <c r="AA724" s="2">
        <f>+DETALLE_GD_1[[#This Row],[VALOR PPTO]]*DETALLE_GD_1[[#This Row],[CANTIDAD RECIBIDA]]</f>
        <v>959764.5</v>
      </c>
      <c r="AB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4" s="3">
        <f>+DETALLE_GD_1[[#This Row],[CANTIDAD SOLICITADA]]-DETALLE_GD_1[[#This Row],[DEVOLUCIÓN]]</f>
        <v>9000</v>
      </c>
      <c r="AD724" s="38" t="str">
        <f>+_xlfn.XLOOKUP(DETALLE_GD_1[[#This Row],[CODIGO]],PRODUCTOS[CODIGO],PRODUCTOS[DESC CORTA],"",0)</f>
        <v>TORNILLO CRS 6X1 5/8</v>
      </c>
      <c r="AE724"/>
      <c r="AH724"/>
    </row>
    <row r="725" spans="1:34" x14ac:dyDescent="0.25">
      <c r="A725" s="1">
        <v>46119</v>
      </c>
      <c r="B725" s="1">
        <v>46119</v>
      </c>
      <c r="C725" s="81" t="s">
        <v>169</v>
      </c>
      <c r="D725" s="38">
        <v>4</v>
      </c>
      <c r="E725" s="81" t="s">
        <v>169</v>
      </c>
      <c r="F725">
        <v>704046</v>
      </c>
      <c r="G725" s="81" t="s">
        <v>255</v>
      </c>
      <c r="H725" s="81" t="s">
        <v>47</v>
      </c>
      <c r="I725" s="3">
        <v>16</v>
      </c>
      <c r="J725" s="3"/>
      <c r="K725" s="26">
        <v>16</v>
      </c>
      <c r="L725" s="2">
        <v>9076.0625</v>
      </c>
      <c r="M725" s="2">
        <v>145217</v>
      </c>
      <c r="N725" s="2">
        <v>145217</v>
      </c>
      <c r="O725" s="2">
        <v>9076.0622000000003</v>
      </c>
      <c r="P725" s="2">
        <v>-2.9999999999999997E-4</v>
      </c>
      <c r="Q725" s="2">
        <v>-4.7999999999999996E-3</v>
      </c>
      <c r="R725" s="4">
        <v>-3.3384522088675367E-8</v>
      </c>
      <c r="T725">
        <v>311417</v>
      </c>
      <c r="U725" s="2"/>
      <c r="V725">
        <v>5947</v>
      </c>
      <c r="W725" s="2">
        <v>6579000000</v>
      </c>
      <c r="X725" s="6">
        <v>145216.99515200002</v>
      </c>
      <c r="Y725" s="38">
        <v>10010</v>
      </c>
      <c r="Z725" s="86">
        <f>+((DETALLE_GD_1[[#This Row],[VALOR X UN (GD)]]-DETALLE_GD_1[[#This Row],[VALOR PPTO]])/DETALLE_GD_1[[#This Row],[VALOR PPTO]])</f>
        <v>3.3053982342399563E-8</v>
      </c>
      <c r="AA725" s="2">
        <f>+DETALLE_GD_1[[#This Row],[VALOR PPTO]]*DETALLE_GD_1[[#This Row],[CANTIDAD RECIBIDA]]</f>
        <v>145216.9952</v>
      </c>
      <c r="AB7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5" s="3">
        <f>+DETALLE_GD_1[[#This Row],[CANTIDAD SOLICITADA]]-DETALLE_GD_1[[#This Row],[DEVOLUCIÓN]]</f>
        <v>16</v>
      </c>
      <c r="AD725" s="38">
        <f>+_xlfn.XLOOKUP(DETALLE_GD_1[[#This Row],[CODIGO]],PRODUCTOS[CODIGO],PRODUCTOS[DESC CORTA],"",0)</f>
        <v>0</v>
      </c>
      <c r="AE725"/>
      <c r="AH725"/>
    </row>
    <row r="726" spans="1:34" x14ac:dyDescent="0.25">
      <c r="A726" s="1">
        <v>46119</v>
      </c>
      <c r="B726" s="1">
        <v>46119</v>
      </c>
      <c r="C726" s="81" t="s">
        <v>169</v>
      </c>
      <c r="D726" s="38">
        <v>4</v>
      </c>
      <c r="E726" s="81" t="s">
        <v>169</v>
      </c>
      <c r="F726">
        <v>2302118</v>
      </c>
      <c r="G726" s="81" t="s">
        <v>228</v>
      </c>
      <c r="H726" s="81" t="s">
        <v>25</v>
      </c>
      <c r="I726" s="3">
        <v>5</v>
      </c>
      <c r="J726" s="3"/>
      <c r="K726" s="26">
        <v>5</v>
      </c>
      <c r="L726" s="2">
        <v>80876</v>
      </c>
      <c r="M726" s="2">
        <v>404380</v>
      </c>
      <c r="N726" s="2">
        <v>404380</v>
      </c>
      <c r="O726" s="2">
        <v>101250</v>
      </c>
      <c r="P726" s="2">
        <v>20374</v>
      </c>
      <c r="Q726" s="2">
        <v>101870</v>
      </c>
      <c r="R726" s="4">
        <v>0.2012246913580247</v>
      </c>
      <c r="T726">
        <v>311417</v>
      </c>
      <c r="U726" s="2"/>
      <c r="V726">
        <v>5947</v>
      </c>
      <c r="W726" s="2">
        <v>6579000000</v>
      </c>
      <c r="X726" s="6">
        <v>506250</v>
      </c>
      <c r="Y726" s="38">
        <v>10010</v>
      </c>
      <c r="Z726" s="86">
        <f>+((DETALLE_GD_1[[#This Row],[VALOR X UN (GD)]]-DETALLE_GD_1[[#This Row],[VALOR PPTO]])/DETALLE_GD_1[[#This Row],[VALOR PPTO]])</f>
        <v>-0.2012246913580247</v>
      </c>
      <c r="AA726" s="2">
        <f>+DETALLE_GD_1[[#This Row],[VALOR PPTO]]*DETALLE_GD_1[[#This Row],[CANTIDAD RECIBIDA]]</f>
        <v>506250</v>
      </c>
      <c r="AB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6" s="3">
        <f>+DETALLE_GD_1[[#This Row],[CANTIDAD SOLICITADA]]-DETALLE_GD_1[[#This Row],[DEVOLUCIÓN]]</f>
        <v>5</v>
      </c>
      <c r="AD726" s="38">
        <f>+_xlfn.XLOOKUP(DETALLE_GD_1[[#This Row],[CODIGO]],PRODUCTOS[CODIGO],PRODUCTOS[DESC CORTA],"",0)</f>
        <v>0</v>
      </c>
      <c r="AE726"/>
      <c r="AH726"/>
    </row>
    <row r="727" spans="1:34" x14ac:dyDescent="0.25">
      <c r="A727" s="1">
        <v>46119</v>
      </c>
      <c r="B727" s="1">
        <v>46119</v>
      </c>
      <c r="C727" s="81" t="s">
        <v>169</v>
      </c>
      <c r="D727" s="38">
        <v>4</v>
      </c>
      <c r="E727" s="81" t="s">
        <v>169</v>
      </c>
      <c r="F727">
        <v>1802167</v>
      </c>
      <c r="G727" s="81" t="s">
        <v>262</v>
      </c>
      <c r="H727" s="81" t="s">
        <v>31</v>
      </c>
      <c r="I727" s="3">
        <v>4</v>
      </c>
      <c r="J727" s="3"/>
      <c r="K727" s="26">
        <v>4</v>
      </c>
      <c r="L727" s="2">
        <v>14972</v>
      </c>
      <c r="M727" s="2">
        <v>59888</v>
      </c>
      <c r="N727" s="2">
        <v>59888</v>
      </c>
      <c r="O727" s="2">
        <v>14972</v>
      </c>
      <c r="P727" s="2">
        <v>0</v>
      </c>
      <c r="Q727" s="2">
        <v>0</v>
      </c>
      <c r="R727" s="4">
        <v>0</v>
      </c>
      <c r="T727">
        <v>311417</v>
      </c>
      <c r="U727" s="2"/>
      <c r="V727">
        <v>5947</v>
      </c>
      <c r="W727" s="2">
        <v>6579000000</v>
      </c>
      <c r="X727" s="6">
        <v>59888</v>
      </c>
      <c r="Y727" s="38">
        <v>10010</v>
      </c>
      <c r="Z727" s="86">
        <f>+((DETALLE_GD_1[[#This Row],[VALOR X UN (GD)]]-DETALLE_GD_1[[#This Row],[VALOR PPTO]])/DETALLE_GD_1[[#This Row],[VALOR PPTO]])</f>
        <v>0</v>
      </c>
      <c r="AA727" s="2">
        <f>+DETALLE_GD_1[[#This Row],[VALOR PPTO]]*DETALLE_GD_1[[#This Row],[CANTIDAD RECIBIDA]]</f>
        <v>59888</v>
      </c>
      <c r="AB7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7" s="3">
        <f>+DETALLE_GD_1[[#This Row],[CANTIDAD SOLICITADA]]-DETALLE_GD_1[[#This Row],[DEVOLUCIÓN]]</f>
        <v>4</v>
      </c>
      <c r="AD727" s="38" t="str">
        <f>+_xlfn.XLOOKUP(DETALLE_GD_1[[#This Row],[CODIGO]],PRODUCTOS[CODIGO],PRODUCTOS[DESC CORTA],"",0)</f>
        <v>NEW DUCHA SIMPLE, SOPORTE Y FLEXIBLE 1.5M 8LPM, ESTIU (TS2024020)</v>
      </c>
      <c r="AE727"/>
      <c r="AH727"/>
    </row>
    <row r="728" spans="1:34" x14ac:dyDescent="0.25">
      <c r="A728" s="1">
        <v>46119</v>
      </c>
      <c r="B728" s="1">
        <v>46119</v>
      </c>
      <c r="C728" s="81" t="s">
        <v>169</v>
      </c>
      <c r="D728" s="38">
        <v>4</v>
      </c>
      <c r="E728" s="81" t="s">
        <v>169</v>
      </c>
      <c r="F728" t="s">
        <v>21</v>
      </c>
      <c r="G728" s="81" t="s">
        <v>22</v>
      </c>
      <c r="H728" s="81" t="s">
        <v>20</v>
      </c>
      <c r="I728" s="3">
        <v>40</v>
      </c>
      <c r="J728" s="3"/>
      <c r="K728" s="26">
        <v>40</v>
      </c>
      <c r="L728" s="2">
        <v>15359.7</v>
      </c>
      <c r="M728" s="2">
        <v>614388</v>
      </c>
      <c r="N728" s="2">
        <v>614388</v>
      </c>
      <c r="O728" s="2">
        <v>15359.702799999999</v>
      </c>
      <c r="P728" s="2">
        <v>2.8E-3</v>
      </c>
      <c r="Q728" s="2">
        <v>0.1114</v>
      </c>
      <c r="R728" s="4">
        <v>1.81318612826567E-7</v>
      </c>
      <c r="T728">
        <v>311417</v>
      </c>
      <c r="U728" s="2"/>
      <c r="V728">
        <v>5947</v>
      </c>
      <c r="W728" s="2">
        <v>6579000000</v>
      </c>
      <c r="X728" s="6">
        <v>614388.11140000017</v>
      </c>
      <c r="Y728" s="38">
        <v>10010</v>
      </c>
      <c r="Z728" s="86">
        <f>+((DETALLE_GD_1[[#This Row],[VALOR X UN (GD)]]-DETALLE_GD_1[[#This Row],[VALOR PPTO]])/DETALLE_GD_1[[#This Row],[VALOR PPTO]])</f>
        <v>-1.8229519378380471E-7</v>
      </c>
      <c r="AA728" s="2">
        <f>+DETALLE_GD_1[[#This Row],[VALOR PPTO]]*DETALLE_GD_1[[#This Row],[CANTIDAD RECIBIDA]]</f>
        <v>614388.11199999996</v>
      </c>
      <c r="AB7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28" s="3">
        <f>+DETALLE_GD_1[[#This Row],[CANTIDAD SOLICITADA]]-DETALLE_GD_1[[#This Row],[DEVOLUCIÓN]]</f>
        <v>40</v>
      </c>
      <c r="AD728" s="38" t="str">
        <f>+_xlfn.XLOOKUP(DETALLE_GD_1[[#This Row],[CODIGO]],PRODUCTOS[CODIGO],PRODUCTOS[DESC CORTA],"",0)</f>
        <v>PINO 3X8X320</v>
      </c>
      <c r="AE728"/>
      <c r="AH728"/>
    </row>
    <row r="729" spans="1:34" x14ac:dyDescent="0.25">
      <c r="A729" s="1">
        <v>46119</v>
      </c>
      <c r="B729" s="1">
        <v>46119</v>
      </c>
      <c r="C729" s="81" t="s">
        <v>169</v>
      </c>
      <c r="D729" s="38">
        <v>4</v>
      </c>
      <c r="E729" s="81" t="s">
        <v>169</v>
      </c>
      <c r="F729" t="s">
        <v>179</v>
      </c>
      <c r="G729" s="81" t="s">
        <v>180</v>
      </c>
      <c r="H729" s="81" t="s">
        <v>36</v>
      </c>
      <c r="I729" s="3">
        <v>3</v>
      </c>
      <c r="J729" s="3"/>
      <c r="K729" s="26">
        <v>3</v>
      </c>
      <c r="L729" s="2">
        <v>57355.333299999998</v>
      </c>
      <c r="M729" s="2">
        <v>172066</v>
      </c>
      <c r="N729" s="2">
        <v>172066</v>
      </c>
      <c r="O729" s="2">
        <v>55858.301899999999</v>
      </c>
      <c r="P729" s="2">
        <v>-1497.0314000000001</v>
      </c>
      <c r="Q729" s="2">
        <v>-4491.0942999999997</v>
      </c>
      <c r="R729" s="4">
        <v>-2.6800518378840097E-2</v>
      </c>
      <c r="T729">
        <v>311417</v>
      </c>
      <c r="U729" s="2"/>
      <c r="V729">
        <v>5947</v>
      </c>
      <c r="W729" s="2">
        <v>6579000000</v>
      </c>
      <c r="X729" s="6">
        <v>167574.905661</v>
      </c>
      <c r="Y729" s="38">
        <v>10010</v>
      </c>
      <c r="Z729" s="86">
        <f>+((DETALLE_GD_1[[#This Row],[VALOR X UN (GD)]]-DETALLE_GD_1[[#This Row],[VALOR PPTO]])/DETALLE_GD_1[[#This Row],[VALOR PPTO]])</f>
        <v>2.6800517543122803E-2</v>
      </c>
      <c r="AA729" s="2">
        <f>+DETALLE_GD_1[[#This Row],[VALOR PPTO]]*DETALLE_GD_1[[#This Row],[CANTIDAD RECIBIDA]]</f>
        <v>167574.9057</v>
      </c>
      <c r="AB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9" s="3">
        <f>+DETALLE_GD_1[[#This Row],[CANTIDAD SOLICITADA]]-DETALLE_GD_1[[#This Row],[DEVOLUCIÓN]]</f>
        <v>3</v>
      </c>
      <c r="AD729" s="38">
        <f>+_xlfn.XLOOKUP(DETALLE_GD_1[[#This Row],[CODIGO]],PRODUCTOS[CODIGO],PRODUCTOS[DESC CORTA],"",0)</f>
        <v>0</v>
      </c>
      <c r="AE729"/>
      <c r="AH729"/>
    </row>
    <row r="730" spans="1:34" x14ac:dyDescent="0.25">
      <c r="A730" s="1">
        <v>46119</v>
      </c>
      <c r="B730" s="1">
        <v>46119</v>
      </c>
      <c r="C730" s="81" t="s">
        <v>169</v>
      </c>
      <c r="D730" s="38">
        <v>4</v>
      </c>
      <c r="E730" s="81" t="s">
        <v>169</v>
      </c>
      <c r="F730">
        <v>412313</v>
      </c>
      <c r="G730" s="81" t="s">
        <v>253</v>
      </c>
      <c r="H730" s="81" t="s">
        <v>36</v>
      </c>
      <c r="I730" s="3">
        <v>6</v>
      </c>
      <c r="J730" s="3"/>
      <c r="K730" s="26">
        <v>6</v>
      </c>
      <c r="L730" s="2">
        <v>23724</v>
      </c>
      <c r="M730" s="2">
        <v>142344</v>
      </c>
      <c r="N730" s="2">
        <v>142344</v>
      </c>
      <c r="O730" s="2">
        <v>23724.0674</v>
      </c>
      <c r="P730" s="2">
        <v>6.7400000000000002E-2</v>
      </c>
      <c r="Q730" s="2">
        <v>0.40429999999999999</v>
      </c>
      <c r="R730" s="4">
        <v>2.8403645506871342E-6</v>
      </c>
      <c r="T730">
        <v>311417</v>
      </c>
      <c r="U730" s="2"/>
      <c r="V730">
        <v>5947</v>
      </c>
      <c r="W730" s="2">
        <v>6579000000</v>
      </c>
      <c r="X730" s="6">
        <v>142344.40430999998</v>
      </c>
      <c r="Y730" s="38">
        <v>10010</v>
      </c>
      <c r="Z730" s="86">
        <f>+((DETALLE_GD_1[[#This Row],[VALOR X UN (GD)]]-DETALLE_GD_1[[#This Row],[VALOR PPTO]])/DETALLE_GD_1[[#This Row],[VALOR PPTO]])</f>
        <v>-2.8409968182735337E-6</v>
      </c>
      <c r="AA730" s="2">
        <f>+DETALLE_GD_1[[#This Row],[VALOR PPTO]]*DETALLE_GD_1[[#This Row],[CANTIDAD RECIBIDA]]</f>
        <v>142344.4044</v>
      </c>
      <c r="AB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0" s="3">
        <f>+DETALLE_GD_1[[#This Row],[CANTIDAD SOLICITADA]]-DETALLE_GD_1[[#This Row],[DEVOLUCIÓN]]</f>
        <v>6</v>
      </c>
      <c r="AD730" s="38">
        <f>+_xlfn.XLOOKUP(DETALLE_GD_1[[#This Row],[CODIGO]],PRODUCTOS[CODIGO],PRODUCTOS[DESC CORTA],"",0)</f>
        <v>0</v>
      </c>
      <c r="AE730"/>
      <c r="AH730"/>
    </row>
    <row r="731" spans="1:34" x14ac:dyDescent="0.25">
      <c r="A731" s="1">
        <v>46119</v>
      </c>
      <c r="B731" s="1">
        <v>46119</v>
      </c>
      <c r="C731" s="81" t="s">
        <v>169</v>
      </c>
      <c r="D731" s="38">
        <v>4</v>
      </c>
      <c r="E731" s="81" t="s">
        <v>169</v>
      </c>
      <c r="F731">
        <v>404745</v>
      </c>
      <c r="G731" s="81" t="s">
        <v>444</v>
      </c>
      <c r="H731" s="81" t="s">
        <v>31</v>
      </c>
      <c r="I731" s="3">
        <v>15</v>
      </c>
      <c r="J731" s="3"/>
      <c r="K731" s="26">
        <v>15</v>
      </c>
      <c r="L731" s="2">
        <v>8826</v>
      </c>
      <c r="M731" s="2">
        <v>132390</v>
      </c>
      <c r="N731" s="2">
        <v>132390</v>
      </c>
      <c r="O731" s="2"/>
      <c r="P731" s="2"/>
      <c r="Q731" s="2">
        <v>-132390</v>
      </c>
      <c r="R731" s="4"/>
      <c r="T731">
        <v>311417</v>
      </c>
      <c r="U731" s="2"/>
      <c r="V731">
        <v>5947</v>
      </c>
      <c r="W731" s="2">
        <v>6579000000</v>
      </c>
      <c r="X731" s="6" t="s">
        <v>355</v>
      </c>
      <c r="Y731" s="38">
        <v>10010</v>
      </c>
      <c r="Z731" s="86" t="e">
        <f>+((DETALLE_GD_1[[#This Row],[VALOR X UN (GD)]]-DETALLE_GD_1[[#This Row],[VALOR PPTO]])/DETALLE_GD_1[[#This Row],[VALOR PPTO]])</f>
        <v>#DIV/0!</v>
      </c>
      <c r="AA731" s="2">
        <f>+DETALLE_GD_1[[#This Row],[VALOR PPTO]]*DETALLE_GD_1[[#This Row],[CANTIDAD RECIBIDA]]</f>
        <v>0</v>
      </c>
      <c r="AB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1" s="3">
        <f>+DETALLE_GD_1[[#This Row],[CANTIDAD SOLICITADA]]-DETALLE_GD_1[[#This Row],[DEVOLUCIÓN]]</f>
        <v>15</v>
      </c>
      <c r="AD731" s="38" t="str">
        <f>+_xlfn.XLOOKUP(DETALLE_GD_1[[#This Row],[CODIGO]],PRODUCTOS[CODIGO],PRODUCTOS[DESC CORTA],"",0)</f>
        <v/>
      </c>
      <c r="AE731"/>
      <c r="AH731"/>
    </row>
    <row r="732" spans="1:34" x14ac:dyDescent="0.25">
      <c r="A732" s="1">
        <v>46119</v>
      </c>
      <c r="B732" s="1">
        <v>46119</v>
      </c>
      <c r="C732" s="81" t="s">
        <v>169</v>
      </c>
      <c r="D732" s="38">
        <v>4</v>
      </c>
      <c r="E732" s="81" t="s">
        <v>169</v>
      </c>
      <c r="F732">
        <v>1801229</v>
      </c>
      <c r="G732" s="81" t="s">
        <v>259</v>
      </c>
      <c r="H732" s="81" t="s">
        <v>31</v>
      </c>
      <c r="I732" s="3">
        <v>4</v>
      </c>
      <c r="J732" s="3"/>
      <c r="K732" s="26">
        <v>4</v>
      </c>
      <c r="L732" s="2">
        <v>5011.5</v>
      </c>
      <c r="M732" s="2">
        <v>20046</v>
      </c>
      <c r="N732" s="2">
        <v>20046</v>
      </c>
      <c r="O732" s="2">
        <v>4675.5185000000001</v>
      </c>
      <c r="P732" s="2">
        <v>-335.98149999999998</v>
      </c>
      <c r="Q732" s="2">
        <v>-1343.9259</v>
      </c>
      <c r="R732" s="4">
        <v>-7.1859726281623099E-2</v>
      </c>
      <c r="T732">
        <v>311417</v>
      </c>
      <c r="U732" s="2"/>
      <c r="V732">
        <v>5947</v>
      </c>
      <c r="W732" s="2">
        <v>6579000000</v>
      </c>
      <c r="X732" s="6">
        <v>18702.074076000001</v>
      </c>
      <c r="Y732" s="38">
        <v>10010</v>
      </c>
      <c r="Z732" s="86">
        <f>+((DETALLE_GD_1[[#This Row],[VALOR X UN (GD)]]-DETALLE_GD_1[[#This Row],[VALOR PPTO]])/DETALLE_GD_1[[#This Row],[VALOR PPTO]])</f>
        <v>7.1859730637361369E-2</v>
      </c>
      <c r="AA732" s="2">
        <f>+DETALLE_GD_1[[#This Row],[VALOR PPTO]]*DETALLE_GD_1[[#This Row],[CANTIDAD RECIBIDA]]</f>
        <v>18702.074000000001</v>
      </c>
      <c r="AB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2" s="3">
        <f>+DETALLE_GD_1[[#This Row],[CANTIDAD SOLICITADA]]-DETALLE_GD_1[[#This Row],[DEVOLUCIÓN]]</f>
        <v>4</v>
      </c>
      <c r="AD732" s="38" t="str">
        <f>+_xlfn.XLOOKUP(DETALLE_GD_1[[#This Row],[CODIGO]],PRODUCTOS[CODIGO],PRODUCTOS[DESC CORTA],"",0)</f>
        <v>KIT DESAGUE TINA</v>
      </c>
      <c r="AE732"/>
      <c r="AH732"/>
    </row>
    <row r="733" spans="1:34" x14ac:dyDescent="0.25">
      <c r="A733" s="1">
        <v>46119</v>
      </c>
      <c r="B733" s="1">
        <v>46119</v>
      </c>
      <c r="C733" s="81" t="s">
        <v>169</v>
      </c>
      <c r="D733" s="38">
        <v>4</v>
      </c>
      <c r="E733" s="81" t="s">
        <v>169</v>
      </c>
      <c r="F733">
        <v>1902003</v>
      </c>
      <c r="G733" s="81" t="s">
        <v>155</v>
      </c>
      <c r="H733" s="81" t="s">
        <v>47</v>
      </c>
      <c r="I733" s="3">
        <v>1</v>
      </c>
      <c r="J733" s="3"/>
      <c r="K733" s="26">
        <v>1</v>
      </c>
      <c r="L733" s="2">
        <v>150752</v>
      </c>
      <c r="M733" s="2">
        <v>150752</v>
      </c>
      <c r="N733" s="2">
        <v>150752</v>
      </c>
      <c r="O733" s="2">
        <v>150703.9755</v>
      </c>
      <c r="P733" s="2">
        <v>-48.024500000000003</v>
      </c>
      <c r="Q733" s="2">
        <v>-48.024500000000003</v>
      </c>
      <c r="R733" s="4">
        <v>-3.1866803681492077E-4</v>
      </c>
      <c r="T733">
        <v>311417</v>
      </c>
      <c r="U733" s="2"/>
      <c r="V733">
        <v>5947</v>
      </c>
      <c r="W733" s="2">
        <v>6579000000</v>
      </c>
      <c r="X733" s="6">
        <v>150703.97545999996</v>
      </c>
      <c r="Y733" s="38">
        <v>10010</v>
      </c>
      <c r="Z733" s="86">
        <f>+((DETALLE_GD_1[[#This Row],[VALOR X UN (GD)]]-DETALLE_GD_1[[#This Row],[VALOR PPTO]])/DETALLE_GD_1[[#This Row],[VALOR PPTO]])</f>
        <v>3.186677713090557E-4</v>
      </c>
      <c r="AA733" s="2">
        <f>+DETALLE_GD_1[[#This Row],[VALOR PPTO]]*DETALLE_GD_1[[#This Row],[CANTIDAD RECIBIDA]]</f>
        <v>150703.9755</v>
      </c>
      <c r="AB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3" s="3">
        <f>+DETALLE_GD_1[[#This Row],[CANTIDAD SOLICITADA]]-DETALLE_GD_1[[#This Row],[DEVOLUCIÓN]]</f>
        <v>1</v>
      </c>
      <c r="AD733" s="38">
        <f>+_xlfn.XLOOKUP(DETALLE_GD_1[[#This Row],[CODIGO]],PRODUCTOS[CODIGO],PRODUCTOS[DESC CORTA],"",0)</f>
        <v>0</v>
      </c>
      <c r="AE733"/>
      <c r="AH733"/>
    </row>
    <row r="734" spans="1:34" x14ac:dyDescent="0.25">
      <c r="A734" s="1">
        <v>46119</v>
      </c>
      <c r="B734" s="1">
        <v>46119</v>
      </c>
      <c r="C734" s="81" t="s">
        <v>169</v>
      </c>
      <c r="D734" s="38">
        <v>4</v>
      </c>
      <c r="E734" s="81" t="s">
        <v>169</v>
      </c>
      <c r="F734">
        <v>304101</v>
      </c>
      <c r="G734" s="81" t="s">
        <v>17</v>
      </c>
      <c r="H734" s="81" t="s">
        <v>18</v>
      </c>
      <c r="I734" s="3">
        <v>168</v>
      </c>
      <c r="J734" s="3"/>
      <c r="K734" s="26">
        <v>168</v>
      </c>
      <c r="L734" s="2">
        <v>9619.5951999999997</v>
      </c>
      <c r="M734" s="2">
        <v>1616092</v>
      </c>
      <c r="N734" s="2">
        <v>1616092</v>
      </c>
      <c r="O734" s="2">
        <v>9657.5879999999997</v>
      </c>
      <c r="P734" s="2">
        <v>37.992699999999999</v>
      </c>
      <c r="Q734" s="2">
        <v>6382.7755999999999</v>
      </c>
      <c r="R734" s="4">
        <v>3.9339752432455037E-3</v>
      </c>
      <c r="T734">
        <v>311417</v>
      </c>
      <c r="U734" s="2"/>
      <c r="V734">
        <v>5947</v>
      </c>
      <c r="W734" s="2">
        <v>6579000000</v>
      </c>
      <c r="X734" s="6">
        <v>1622474.7756000008</v>
      </c>
      <c r="Y734" s="38">
        <v>10010</v>
      </c>
      <c r="Z734" s="86">
        <f>+((DETALLE_GD_1[[#This Row],[VALOR X UN (GD)]]-DETALLE_GD_1[[#This Row],[VALOR PPTO]])/DETALLE_GD_1[[#This Row],[VALOR PPTO]])</f>
        <v>-3.9339843447452911E-3</v>
      </c>
      <c r="AA734" s="2">
        <f>+DETALLE_GD_1[[#This Row],[VALOR PPTO]]*DETALLE_GD_1[[#This Row],[CANTIDAD RECIBIDA]]</f>
        <v>1622474.784</v>
      </c>
      <c r="AB7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34" s="3">
        <f>+DETALLE_GD_1[[#This Row],[CANTIDAD SOLICITADA]]-DETALLE_GD_1[[#This Row],[DEVOLUCIÓN]]</f>
        <v>168</v>
      </c>
      <c r="AD734" s="38" t="str">
        <f>+_xlfn.XLOOKUP(DETALLE_GD_1[[#This Row],[CODIGO]],PRODUCTOS[CODIGO],PRODUCTOS[DESC CORTA],"",0)</f>
        <v>OSB 9.5</v>
      </c>
      <c r="AE734"/>
      <c r="AH734"/>
    </row>
    <row r="735" spans="1:34" x14ac:dyDescent="0.25">
      <c r="A735" s="1">
        <v>46119</v>
      </c>
      <c r="B735" s="1">
        <v>46119</v>
      </c>
      <c r="C735" s="81" t="s">
        <v>169</v>
      </c>
      <c r="D735" s="38">
        <v>4</v>
      </c>
      <c r="E735" s="81" t="s">
        <v>169</v>
      </c>
      <c r="F735">
        <v>304049</v>
      </c>
      <c r="G735" s="81" t="s">
        <v>318</v>
      </c>
      <c r="H735" s="81" t="s">
        <v>18</v>
      </c>
      <c r="I735" s="3">
        <v>130</v>
      </c>
      <c r="J735" s="3"/>
      <c r="K735" s="26">
        <v>130</v>
      </c>
      <c r="L735" s="2">
        <v>14981.223099999999</v>
      </c>
      <c r="M735" s="2">
        <v>1947559</v>
      </c>
      <c r="N735" s="2">
        <v>1947559</v>
      </c>
      <c r="O735" s="2">
        <v>14982</v>
      </c>
      <c r="P735" s="2">
        <v>0.77690000000000003</v>
      </c>
      <c r="Q735" s="2">
        <v>101</v>
      </c>
      <c r="R735" s="4">
        <v>5.1857100314738323E-5</v>
      </c>
      <c r="T735">
        <v>311417</v>
      </c>
      <c r="U735" s="2"/>
      <c r="V735">
        <v>5947</v>
      </c>
      <c r="W735" s="2">
        <v>6579000000</v>
      </c>
      <c r="X735" s="6">
        <v>1947659.9999999993</v>
      </c>
      <c r="Y735" s="38">
        <v>10010</v>
      </c>
      <c r="Z735" s="86">
        <f>+((DETALLE_GD_1[[#This Row],[VALOR X UN (GD)]]-DETALLE_GD_1[[#This Row],[VALOR PPTO]])/DETALLE_GD_1[[#This Row],[VALOR PPTO]])</f>
        <v>-5.1855560005389863E-5</v>
      </c>
      <c r="AA735" s="2">
        <f>+DETALLE_GD_1[[#This Row],[VALOR PPTO]]*DETALLE_GD_1[[#This Row],[CANTIDAD RECIBIDA]]</f>
        <v>1947660</v>
      </c>
      <c r="AB7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35" s="3">
        <f>+DETALLE_GD_1[[#This Row],[CANTIDAD SOLICITADA]]-DETALLE_GD_1[[#This Row],[DEVOLUCIÓN]]</f>
        <v>130</v>
      </c>
      <c r="AD735" s="38" t="str">
        <f>+_xlfn.XLOOKUP(DETALLE_GD_1[[#This Row],[CODIGO]],PRODUCTOS[CODIGO],PRODUCTOS[DESC CORTA],"",0)</f>
        <v>TERCIADO FENOLICO</v>
      </c>
      <c r="AE735"/>
      <c r="AH735"/>
    </row>
    <row r="736" spans="1:34" x14ac:dyDescent="0.25">
      <c r="A736" s="1">
        <v>46119</v>
      </c>
      <c r="B736" s="1">
        <v>46119</v>
      </c>
      <c r="C736" s="81" t="s">
        <v>169</v>
      </c>
      <c r="D736" s="38">
        <v>4</v>
      </c>
      <c r="E736" s="81" t="s">
        <v>169</v>
      </c>
      <c r="F736">
        <v>2302098</v>
      </c>
      <c r="G736" s="81" t="s">
        <v>24</v>
      </c>
      <c r="H736" s="81" t="s">
        <v>25</v>
      </c>
      <c r="I736" s="3">
        <v>3</v>
      </c>
      <c r="J736" s="3"/>
      <c r="K736" s="26">
        <v>3</v>
      </c>
      <c r="L736" s="2">
        <v>21213</v>
      </c>
      <c r="M736" s="2">
        <v>63639</v>
      </c>
      <c r="N736" s="2">
        <v>63639</v>
      </c>
      <c r="O736" s="2">
        <v>21213</v>
      </c>
      <c r="P736" s="2">
        <v>0</v>
      </c>
      <c r="Q736" s="2">
        <v>0</v>
      </c>
      <c r="R736" s="4">
        <v>-1.7149761029050001E-16</v>
      </c>
      <c r="T736">
        <v>311453</v>
      </c>
      <c r="U736" s="2">
        <v>501776</v>
      </c>
      <c r="V736">
        <v>5947</v>
      </c>
      <c r="W736" s="2">
        <v>6579000000</v>
      </c>
      <c r="X736" s="6">
        <v>63638.999999999985</v>
      </c>
      <c r="Y736" s="38">
        <v>10010</v>
      </c>
      <c r="Z736" s="86">
        <f>+((DETALLE_GD_1[[#This Row],[VALOR X UN (GD)]]-DETALLE_GD_1[[#This Row],[VALOR PPTO]])/DETALLE_GD_1[[#This Row],[VALOR PPTO]])</f>
        <v>0</v>
      </c>
      <c r="AA736" s="2">
        <f>+DETALLE_GD_1[[#This Row],[VALOR PPTO]]*DETALLE_GD_1[[#This Row],[CANTIDAD RECIBIDA]]</f>
        <v>63639</v>
      </c>
      <c r="AB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6" s="3">
        <f>+DETALLE_GD_1[[#This Row],[CANTIDAD SOLICITADA]]-DETALLE_GD_1[[#This Row],[DEVOLUCIÓN]]</f>
        <v>3</v>
      </c>
      <c r="AD736" s="38" t="str">
        <f>+_xlfn.XLOOKUP(DETALLE_GD_1[[#This Row],[CODIGO]],PRODUCTOS[CODIGO],PRODUCTOS[DESC CORTA],"",0)</f>
        <v>COLA FRIA</v>
      </c>
      <c r="AE736"/>
      <c r="AH736"/>
    </row>
    <row r="737" spans="1:34" x14ac:dyDescent="0.25">
      <c r="A737" s="1">
        <v>46119</v>
      </c>
      <c r="B737" s="1">
        <v>46119</v>
      </c>
      <c r="C737" s="81" t="s">
        <v>169</v>
      </c>
      <c r="D737" s="38">
        <v>4</v>
      </c>
      <c r="E737" s="81" t="s">
        <v>169</v>
      </c>
      <c r="F737">
        <v>617016</v>
      </c>
      <c r="G737" s="81" t="s">
        <v>133</v>
      </c>
      <c r="H737" s="81" t="s">
        <v>31</v>
      </c>
      <c r="I737" s="3">
        <v>10</v>
      </c>
      <c r="J737" s="3"/>
      <c r="K737" s="26">
        <v>10</v>
      </c>
      <c r="L737" s="2">
        <v>2864.2</v>
      </c>
      <c r="M737" s="2">
        <v>28642</v>
      </c>
      <c r="N737" s="2">
        <v>28642</v>
      </c>
      <c r="O737" s="2">
        <v>2857.5133000000001</v>
      </c>
      <c r="P737" s="2">
        <v>-6.6867000000000001</v>
      </c>
      <c r="Q737" s="2">
        <v>-66.8673</v>
      </c>
      <c r="R737" s="4">
        <v>-2.3400507220180662E-3</v>
      </c>
      <c r="T737">
        <v>311453</v>
      </c>
      <c r="U737" s="2"/>
      <c r="V737">
        <v>5947</v>
      </c>
      <c r="W737" s="2">
        <v>6579000000</v>
      </c>
      <c r="X737" s="6">
        <v>28575.132740000001</v>
      </c>
      <c r="Y737" s="38">
        <v>10010</v>
      </c>
      <c r="Z737" s="86">
        <f>+((DETALLE_GD_1[[#This Row],[VALOR X UN (GD)]]-DETALLE_GD_1[[#This Row],[VALOR PPTO]])/DETALLE_GD_1[[#This Row],[VALOR PPTO]])</f>
        <v>2.3400416019060161E-3</v>
      </c>
      <c r="AA737" s="2">
        <f>+DETALLE_GD_1[[#This Row],[VALOR PPTO]]*DETALLE_GD_1[[#This Row],[CANTIDAD RECIBIDA]]</f>
        <v>28575.133000000002</v>
      </c>
      <c r="AB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7" s="3">
        <f>+DETALLE_GD_1[[#This Row],[CANTIDAD SOLICITADA]]-DETALLE_GD_1[[#This Row],[DEVOLUCIÓN]]</f>
        <v>10</v>
      </c>
      <c r="AD737" s="38" t="str">
        <f>+_xlfn.XLOOKUP(DETALLE_GD_1[[#This Row],[CODIGO]],PRODUCTOS[CODIGO],PRODUCTOS[DESC CORTA],"",0)</f>
        <v>RODILLO CHIPORRO</v>
      </c>
      <c r="AE737"/>
      <c r="AH737"/>
    </row>
    <row r="738" spans="1:34" x14ac:dyDescent="0.25">
      <c r="A738" s="1">
        <v>46119</v>
      </c>
      <c r="B738" s="1">
        <v>46119</v>
      </c>
      <c r="C738" s="81" t="s">
        <v>169</v>
      </c>
      <c r="D738" s="38">
        <v>4</v>
      </c>
      <c r="E738" s="81" t="s">
        <v>169</v>
      </c>
      <c r="F738">
        <v>617057</v>
      </c>
      <c r="G738" s="81" t="s">
        <v>134</v>
      </c>
      <c r="H738" s="81" t="s">
        <v>31</v>
      </c>
      <c r="I738" s="3">
        <v>10</v>
      </c>
      <c r="J738" s="3"/>
      <c r="K738" s="26">
        <v>10</v>
      </c>
      <c r="L738" s="2">
        <v>2042.1</v>
      </c>
      <c r="M738" s="2">
        <v>20421</v>
      </c>
      <c r="N738" s="2">
        <v>20421</v>
      </c>
      <c r="O738" s="2">
        <v>2042.1197</v>
      </c>
      <c r="P738" s="2">
        <v>1.9699999999999999E-2</v>
      </c>
      <c r="Q738" s="2">
        <v>0.1971</v>
      </c>
      <c r="R738" s="4">
        <v>9.6497771125479603E-6</v>
      </c>
      <c r="T738">
        <v>311453</v>
      </c>
      <c r="U738" s="2"/>
      <c r="V738">
        <v>5947</v>
      </c>
      <c r="W738" s="2">
        <v>6579000000</v>
      </c>
      <c r="X738" s="6">
        <v>20421.197059999999</v>
      </c>
      <c r="Y738" s="38">
        <v>10010</v>
      </c>
      <c r="Z738" s="86">
        <f>+((DETALLE_GD_1[[#This Row],[VALOR X UN (GD)]]-DETALLE_GD_1[[#This Row],[VALOR PPTO]])/DETALLE_GD_1[[#This Row],[VALOR PPTO]])</f>
        <v>-9.6468390173490395E-6</v>
      </c>
      <c r="AA738" s="2">
        <f>+DETALLE_GD_1[[#This Row],[VALOR PPTO]]*DETALLE_GD_1[[#This Row],[CANTIDAD RECIBIDA]]</f>
        <v>20421.197</v>
      </c>
      <c r="AB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8" s="3">
        <f>+DETALLE_GD_1[[#This Row],[CANTIDAD SOLICITADA]]-DETALLE_GD_1[[#This Row],[DEVOLUCIÓN]]</f>
        <v>10</v>
      </c>
      <c r="AD738" s="38" t="str">
        <f>+_xlfn.XLOOKUP(DETALLE_GD_1[[#This Row],[CODIGO]],PRODUCTOS[CODIGO],PRODUCTOS[DESC CORTA],"",0)</f>
        <v>BROCHA 5/8 X4</v>
      </c>
      <c r="AE738"/>
      <c r="AH738"/>
    </row>
    <row r="739" spans="1:34" x14ac:dyDescent="0.25">
      <c r="A739" s="1">
        <v>46119</v>
      </c>
      <c r="B739" s="1">
        <v>46119</v>
      </c>
      <c r="C739" s="81" t="s">
        <v>169</v>
      </c>
      <c r="D739" s="38">
        <v>4</v>
      </c>
      <c r="E739" s="81" t="s">
        <v>169</v>
      </c>
      <c r="F739">
        <v>617055</v>
      </c>
      <c r="G739" s="81" t="s">
        <v>182</v>
      </c>
      <c r="H739" s="81" t="s">
        <v>31</v>
      </c>
      <c r="I739" s="3">
        <v>10</v>
      </c>
      <c r="J739" s="3"/>
      <c r="K739" s="26">
        <v>10</v>
      </c>
      <c r="L739" s="2">
        <v>949.4</v>
      </c>
      <c r="M739" s="2">
        <v>9494</v>
      </c>
      <c r="N739" s="2">
        <v>9494</v>
      </c>
      <c r="O739" s="2">
        <v>920.35379999999998</v>
      </c>
      <c r="P739" s="2">
        <v>-29.046199999999999</v>
      </c>
      <c r="Q739" s="2">
        <v>-290.4622</v>
      </c>
      <c r="R739" s="4">
        <v>-3.1559841008574015E-2</v>
      </c>
      <c r="T739">
        <v>311453</v>
      </c>
      <c r="U739" s="2"/>
      <c r="V739">
        <v>5947</v>
      </c>
      <c r="W739" s="2">
        <v>6579000000</v>
      </c>
      <c r="X739" s="6">
        <v>9203.5378099999998</v>
      </c>
      <c r="Y739" s="38">
        <v>10010</v>
      </c>
      <c r="Z739" s="86">
        <f>+((DETALLE_GD_1[[#This Row],[VALOR X UN (GD)]]-DETALLE_GD_1[[#This Row],[VALOR PPTO]])/DETALLE_GD_1[[#This Row],[VALOR PPTO]])</f>
        <v>3.1559819712810445E-2</v>
      </c>
      <c r="AA739" s="2">
        <f>+DETALLE_GD_1[[#This Row],[VALOR PPTO]]*DETALLE_GD_1[[#This Row],[CANTIDAD RECIBIDA]]</f>
        <v>9203.5380000000005</v>
      </c>
      <c r="AB7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9" s="3">
        <f>+DETALLE_GD_1[[#This Row],[CANTIDAD SOLICITADA]]-DETALLE_GD_1[[#This Row],[DEVOLUCIÓN]]</f>
        <v>10</v>
      </c>
      <c r="AD739" s="38">
        <f>+_xlfn.XLOOKUP(DETALLE_GD_1[[#This Row],[CODIGO]],PRODUCTOS[CODIGO],PRODUCTOS[DESC CORTA],"",0)</f>
        <v>0</v>
      </c>
      <c r="AE739"/>
      <c r="AH739"/>
    </row>
    <row r="740" spans="1:34" x14ac:dyDescent="0.25">
      <c r="A740" s="1">
        <v>46119</v>
      </c>
      <c r="B740" s="1">
        <v>46119</v>
      </c>
      <c r="C740" s="81" t="s">
        <v>169</v>
      </c>
      <c r="D740" s="38">
        <v>4</v>
      </c>
      <c r="E740" s="81" t="s">
        <v>169</v>
      </c>
      <c r="F740">
        <v>407185</v>
      </c>
      <c r="G740" s="81" t="s">
        <v>43</v>
      </c>
      <c r="H740" s="81" t="s">
        <v>31</v>
      </c>
      <c r="I740" s="3">
        <v>3000</v>
      </c>
      <c r="J740" s="3"/>
      <c r="K740" s="26">
        <v>3000</v>
      </c>
      <c r="L740" s="2">
        <v>6.8783000000000003</v>
      </c>
      <c r="M740" s="2">
        <v>20635</v>
      </c>
      <c r="N740" s="2">
        <v>20635</v>
      </c>
      <c r="O740" s="2">
        <v>6.8783000000000003</v>
      </c>
      <c r="P740" s="2">
        <v>0</v>
      </c>
      <c r="Q740" s="2">
        <v>-0.04</v>
      </c>
      <c r="R740" s="4">
        <v>-1.9384578403639994E-6</v>
      </c>
      <c r="T740">
        <v>311453</v>
      </c>
      <c r="U740" s="2"/>
      <c r="V740">
        <v>5947</v>
      </c>
      <c r="W740" s="2">
        <v>6579000000</v>
      </c>
      <c r="X740" s="6">
        <v>20634.960000000003</v>
      </c>
      <c r="Y740" s="38">
        <v>10010</v>
      </c>
      <c r="Z740" s="86">
        <f>+((DETALLE_GD_1[[#This Row],[VALOR X UN (GD)]]-DETALLE_GD_1[[#This Row],[VALOR PPTO]])/DETALLE_GD_1[[#This Row],[VALOR PPTO]])</f>
        <v>0</v>
      </c>
      <c r="AA740" s="2">
        <f>+DETALLE_GD_1[[#This Row],[VALOR PPTO]]*DETALLE_GD_1[[#This Row],[CANTIDAD RECIBIDA]]</f>
        <v>20634.900000000001</v>
      </c>
      <c r="AB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0" s="3">
        <f>+DETALLE_GD_1[[#This Row],[CANTIDAD SOLICITADA]]-DETALLE_GD_1[[#This Row],[DEVOLUCIÓN]]</f>
        <v>3000</v>
      </c>
      <c r="AD740" s="38">
        <f>+_xlfn.XLOOKUP(DETALLE_GD_1[[#This Row],[CODIGO]],PRODUCTOS[CODIGO],PRODUCTOS[DESC CORTA],"",0)</f>
        <v>0</v>
      </c>
      <c r="AE740"/>
      <c r="AH740"/>
    </row>
    <row r="741" spans="1:34" x14ac:dyDescent="0.25">
      <c r="A741" s="1">
        <v>46119</v>
      </c>
      <c r="B741" s="1">
        <v>46119</v>
      </c>
      <c r="C741" s="81" t="s">
        <v>169</v>
      </c>
      <c r="D741" s="38">
        <v>4</v>
      </c>
      <c r="E741" s="81" t="s">
        <v>169</v>
      </c>
      <c r="F741">
        <v>404252</v>
      </c>
      <c r="G741" s="81" t="s">
        <v>181</v>
      </c>
      <c r="H741" s="81" t="s">
        <v>31</v>
      </c>
      <c r="I741" s="3">
        <v>6</v>
      </c>
      <c r="J741" s="3"/>
      <c r="K741" s="26">
        <v>6</v>
      </c>
      <c r="L741" s="2">
        <v>1110</v>
      </c>
      <c r="M741" s="2">
        <v>6660</v>
      </c>
      <c r="N741" s="2">
        <v>6660</v>
      </c>
      <c r="O741" s="2">
        <v>1110.0438999999999</v>
      </c>
      <c r="P741" s="2">
        <v>4.3900000000000002E-2</v>
      </c>
      <c r="Q741" s="2">
        <v>0.26329999999999998</v>
      </c>
      <c r="R741" s="4">
        <v>3.9526365532559117E-5</v>
      </c>
      <c r="T741">
        <v>311453</v>
      </c>
      <c r="U741" s="2"/>
      <c r="V741">
        <v>5947</v>
      </c>
      <c r="W741" s="2">
        <v>6579000000</v>
      </c>
      <c r="X741" s="6">
        <v>6660.2632560000002</v>
      </c>
      <c r="Y741" s="38">
        <v>10010</v>
      </c>
      <c r="Z741" s="86">
        <f>+((DETALLE_GD_1[[#This Row],[VALOR X UN (GD)]]-DETALLE_GD_1[[#This Row],[VALOR PPTO]])/DETALLE_GD_1[[#This Row],[VALOR PPTO]])</f>
        <v>-3.9547985444444259E-5</v>
      </c>
      <c r="AA741" s="2">
        <f>+DETALLE_GD_1[[#This Row],[VALOR PPTO]]*DETALLE_GD_1[[#This Row],[CANTIDAD RECIBIDA]]</f>
        <v>6660.2633999999998</v>
      </c>
      <c r="AB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1" s="3">
        <f>+DETALLE_GD_1[[#This Row],[CANTIDAD SOLICITADA]]-DETALLE_GD_1[[#This Row],[DEVOLUCIÓN]]</f>
        <v>6</v>
      </c>
      <c r="AD741" s="38">
        <f>+_xlfn.XLOOKUP(DETALLE_GD_1[[#This Row],[CODIGO]],PRODUCTOS[CODIGO],PRODUCTOS[DESC CORTA],"",0)</f>
        <v>0</v>
      </c>
      <c r="AE741"/>
      <c r="AH741"/>
    </row>
    <row r="742" spans="1:34" x14ac:dyDescent="0.25">
      <c r="A742" s="1">
        <v>46119</v>
      </c>
      <c r="B742" s="1">
        <v>46119</v>
      </c>
      <c r="C742" s="81" t="s">
        <v>169</v>
      </c>
      <c r="D742" s="38">
        <v>4</v>
      </c>
      <c r="E742" s="81" t="s">
        <v>169</v>
      </c>
      <c r="F742">
        <v>2304053</v>
      </c>
      <c r="G742" s="81" t="s">
        <v>213</v>
      </c>
      <c r="H742" s="81" t="s">
        <v>31</v>
      </c>
      <c r="I742" s="3">
        <v>24</v>
      </c>
      <c r="J742" s="3"/>
      <c r="K742" s="26">
        <v>24</v>
      </c>
      <c r="L742" s="2">
        <v>875.79169999999999</v>
      </c>
      <c r="M742" s="2">
        <v>21019</v>
      </c>
      <c r="N742" s="2">
        <v>21019</v>
      </c>
      <c r="O742" s="2">
        <v>862</v>
      </c>
      <c r="P742" s="2">
        <v>-13.791700000000001</v>
      </c>
      <c r="Q742" s="2">
        <v>-331</v>
      </c>
      <c r="R742" s="4">
        <v>-1.5999613302397346E-2</v>
      </c>
      <c r="T742">
        <v>311453</v>
      </c>
      <c r="U742" s="2"/>
      <c r="V742">
        <v>5947</v>
      </c>
      <c r="W742" s="2">
        <v>6579000000</v>
      </c>
      <c r="X742" s="6">
        <v>20688.000000000004</v>
      </c>
      <c r="Y742" s="38">
        <v>10010</v>
      </c>
      <c r="Z742" s="86">
        <f>+((DETALLE_GD_1[[#This Row],[VALOR X UN (GD)]]-DETALLE_GD_1[[#This Row],[VALOR PPTO]])/DETALLE_GD_1[[#This Row],[VALOR PPTO]])</f>
        <v>1.5999651972157764E-2</v>
      </c>
      <c r="AA742" s="2">
        <f>+DETALLE_GD_1[[#This Row],[VALOR PPTO]]*DETALLE_GD_1[[#This Row],[CANTIDAD RECIBIDA]]</f>
        <v>20688</v>
      </c>
      <c r="AB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2" s="3">
        <f>+DETALLE_GD_1[[#This Row],[CANTIDAD SOLICITADA]]-DETALLE_GD_1[[#This Row],[DEVOLUCIÓN]]</f>
        <v>24</v>
      </c>
      <c r="AD742" s="38">
        <f>+_xlfn.XLOOKUP(DETALLE_GD_1[[#This Row],[CODIGO]],PRODUCTOS[CODIGO],PRODUCTOS[DESC CORTA],"",0)</f>
        <v>0</v>
      </c>
      <c r="AE742"/>
      <c r="AH742"/>
    </row>
    <row r="743" spans="1:34" x14ac:dyDescent="0.25">
      <c r="A743" s="1">
        <v>46119</v>
      </c>
      <c r="B743" s="1">
        <v>46119</v>
      </c>
      <c r="C743" s="81" t="s">
        <v>169</v>
      </c>
      <c r="D743" s="38">
        <v>4</v>
      </c>
      <c r="E743" s="81" t="s">
        <v>169</v>
      </c>
      <c r="F743">
        <v>2302119</v>
      </c>
      <c r="G743" s="81" t="s">
        <v>74</v>
      </c>
      <c r="H743" s="81" t="s">
        <v>31</v>
      </c>
      <c r="I743" s="3">
        <v>48</v>
      </c>
      <c r="J743" s="3"/>
      <c r="K743" s="26">
        <v>48</v>
      </c>
      <c r="L743" s="2">
        <v>3684.25</v>
      </c>
      <c r="M743" s="2">
        <v>176844</v>
      </c>
      <c r="N743" s="2">
        <v>176844</v>
      </c>
      <c r="O743" s="2">
        <v>3671</v>
      </c>
      <c r="P743" s="2">
        <v>-13.25</v>
      </c>
      <c r="Q743" s="2">
        <v>-636</v>
      </c>
      <c r="R743" s="4">
        <v>-3.609370743666576E-3</v>
      </c>
      <c r="T743">
        <v>311453</v>
      </c>
      <c r="U743" s="2"/>
      <c r="V743">
        <v>5947</v>
      </c>
      <c r="W743" s="2">
        <v>6579000000</v>
      </c>
      <c r="X743" s="6">
        <v>176208</v>
      </c>
      <c r="Y743" s="38">
        <v>10010</v>
      </c>
      <c r="Z743" s="86">
        <f>+((DETALLE_GD_1[[#This Row],[VALOR X UN (GD)]]-DETALLE_GD_1[[#This Row],[VALOR PPTO]])/DETALLE_GD_1[[#This Row],[VALOR PPTO]])</f>
        <v>3.609370743666576E-3</v>
      </c>
      <c r="AA743" s="2">
        <f>+DETALLE_GD_1[[#This Row],[VALOR PPTO]]*DETALLE_GD_1[[#This Row],[CANTIDAD RECIBIDA]]</f>
        <v>176208</v>
      </c>
      <c r="AB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3" s="3">
        <f>+DETALLE_GD_1[[#This Row],[CANTIDAD SOLICITADA]]-DETALLE_GD_1[[#This Row],[DEVOLUCIÓN]]</f>
        <v>48</v>
      </c>
      <c r="AD743" s="38" t="str">
        <f>+_xlfn.XLOOKUP(DETALLE_GD_1[[#This Row],[CODIGO]],PRODUCTOS[CODIGO],PRODUCTOS[DESC CORTA],"",0)</f>
        <v>SELLO</v>
      </c>
      <c r="AE743"/>
      <c r="AH743"/>
    </row>
    <row r="744" spans="1:34" x14ac:dyDescent="0.25">
      <c r="A744" s="1">
        <v>46119</v>
      </c>
      <c r="B744" s="1">
        <v>46119</v>
      </c>
      <c r="C744" s="81" t="s">
        <v>169</v>
      </c>
      <c r="D744" s="38">
        <v>4</v>
      </c>
      <c r="E744" s="81" t="s">
        <v>169</v>
      </c>
      <c r="F744">
        <v>307096</v>
      </c>
      <c r="G744" s="81" t="s">
        <v>249</v>
      </c>
      <c r="H744" s="81" t="s">
        <v>137</v>
      </c>
      <c r="I744" s="3">
        <v>86</v>
      </c>
      <c r="J744" s="3"/>
      <c r="K744" s="26">
        <v>86</v>
      </c>
      <c r="L744" s="2">
        <v>1795.6047000000001</v>
      </c>
      <c r="M744" s="2">
        <v>154422</v>
      </c>
      <c r="N744" s="2">
        <v>154422</v>
      </c>
      <c r="O744" s="2">
        <v>2095.3501000000001</v>
      </c>
      <c r="P744" s="2">
        <v>299.74549999999999</v>
      </c>
      <c r="Q744" s="2">
        <v>25778.111099999998</v>
      </c>
      <c r="R744" s="4">
        <v>0.14305269257327446</v>
      </c>
      <c r="T744">
        <v>311453</v>
      </c>
      <c r="U744" s="2"/>
      <c r="V744">
        <v>5947</v>
      </c>
      <c r="W744" s="2">
        <v>6579000000</v>
      </c>
      <c r="X744" s="6">
        <v>180200.11109399988</v>
      </c>
      <c r="Y744" s="38">
        <v>10010</v>
      </c>
      <c r="Z744" s="86">
        <f>+((DETALLE_GD_1[[#This Row],[VALOR X UN (GD)]]-DETALLE_GD_1[[#This Row],[VALOR PPTO]])/DETALLE_GD_1[[#This Row],[VALOR PPTO]])</f>
        <v>-0.1430526574055572</v>
      </c>
      <c r="AA744" s="2">
        <f>+DETALLE_GD_1[[#This Row],[VALOR PPTO]]*DETALLE_GD_1[[#This Row],[CANTIDAD RECIBIDA]]</f>
        <v>180200.10860000001</v>
      </c>
      <c r="AB7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44" s="3">
        <f>+DETALLE_GD_1[[#This Row],[CANTIDAD SOLICITADA]]-DETALLE_GD_1[[#This Row],[DEVOLUCIÓN]]</f>
        <v>86</v>
      </c>
      <c r="AD744" s="38" t="str">
        <f>+_xlfn.XLOOKUP(DETALLE_GD_1[[#This Row],[CODIGO]],PRODUCTOS[CODIGO],PRODUCTOS[DESC CORTA],"",0)</f>
        <v>CUBREJUNTA</v>
      </c>
      <c r="AE744"/>
      <c r="AH744"/>
    </row>
    <row r="745" spans="1:34" x14ac:dyDescent="0.25">
      <c r="A745" s="1">
        <v>46119</v>
      </c>
      <c r="B745" s="1">
        <v>46119</v>
      </c>
      <c r="C745" s="81" t="s">
        <v>169</v>
      </c>
      <c r="D745" s="38">
        <v>4</v>
      </c>
      <c r="E745" s="81" t="s">
        <v>169</v>
      </c>
      <c r="F745">
        <v>304002</v>
      </c>
      <c r="G745" s="81" t="s">
        <v>37</v>
      </c>
      <c r="H745" s="81" t="s">
        <v>18</v>
      </c>
      <c r="I745" s="3">
        <v>216</v>
      </c>
      <c r="J745" s="3"/>
      <c r="K745" s="26">
        <v>216</v>
      </c>
      <c r="L745" s="2">
        <v>21611.3704</v>
      </c>
      <c r="M745" s="2">
        <v>4668056</v>
      </c>
      <c r="N745" s="2">
        <v>4668056</v>
      </c>
      <c r="O745" s="2">
        <v>21246.5072</v>
      </c>
      <c r="P745" s="2">
        <v>-364.86320000000001</v>
      </c>
      <c r="Q745" s="2">
        <v>-78810.455000000002</v>
      </c>
      <c r="R745" s="4">
        <v>-1.7172856448493829E-2</v>
      </c>
      <c r="T745">
        <v>311496</v>
      </c>
      <c r="U745" s="2">
        <v>4668056</v>
      </c>
      <c r="V745">
        <v>5947</v>
      </c>
      <c r="W745" s="2">
        <v>6579000000</v>
      </c>
      <c r="X745" s="6">
        <v>4589245.5450480003</v>
      </c>
      <c r="Y745" s="38">
        <v>10010</v>
      </c>
      <c r="Z745" s="86">
        <f>+((DETALLE_GD_1[[#This Row],[VALOR X UN (GD)]]-DETALLE_GD_1[[#This Row],[VALOR PPTO]])/DETALLE_GD_1[[#This Row],[VALOR PPTO]])</f>
        <v>1.7172855592941873E-2</v>
      </c>
      <c r="AA745" s="2">
        <f>+DETALLE_GD_1[[#This Row],[VALOR PPTO]]*DETALLE_GD_1[[#This Row],[CANTIDAD RECIBIDA]]</f>
        <v>4589245.5552000003</v>
      </c>
      <c r="AB7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45" s="3">
        <f>+DETALLE_GD_1[[#This Row],[CANTIDAD SOLICITADA]]-DETALLE_GD_1[[#This Row],[DEVOLUCIÓN]]</f>
        <v>216</v>
      </c>
      <c r="AD745" s="38" t="str">
        <f>+_xlfn.XLOOKUP(DETALLE_GD_1[[#This Row],[CODIGO]],PRODUCTOS[CODIGO],PRODUCTOS[DESC CORTA],"",0)</f>
        <v>SMARTPANEL</v>
      </c>
      <c r="AE745"/>
      <c r="AH745"/>
    </row>
    <row r="746" spans="1:34" x14ac:dyDescent="0.25">
      <c r="A746" s="1">
        <v>46120</v>
      </c>
      <c r="B746" s="1">
        <v>46120</v>
      </c>
      <c r="C746" s="81" t="s">
        <v>169</v>
      </c>
      <c r="D746" s="38">
        <v>4</v>
      </c>
      <c r="E746" s="81" t="s">
        <v>169</v>
      </c>
      <c r="F746">
        <v>1808147</v>
      </c>
      <c r="G746" s="81" t="s">
        <v>275</v>
      </c>
      <c r="H746" s="81" t="s">
        <v>31</v>
      </c>
      <c r="I746" s="3">
        <v>4</v>
      </c>
      <c r="J746" s="3"/>
      <c r="K746" s="26">
        <v>4</v>
      </c>
      <c r="L746" s="2">
        <v>2219.5</v>
      </c>
      <c r="M746" s="2">
        <v>8878</v>
      </c>
      <c r="N746" s="2">
        <v>8878</v>
      </c>
      <c r="O746" s="2">
        <v>2293</v>
      </c>
      <c r="P746" s="2">
        <v>73.5</v>
      </c>
      <c r="Q746" s="2">
        <v>294</v>
      </c>
      <c r="R746" s="4">
        <v>3.2054077627562148E-2</v>
      </c>
      <c r="T746">
        <v>311605</v>
      </c>
      <c r="U746" s="2">
        <v>9556</v>
      </c>
      <c r="V746">
        <v>5947</v>
      </c>
      <c r="W746" s="2">
        <v>6579000000</v>
      </c>
      <c r="X746" s="6">
        <v>9172</v>
      </c>
      <c r="Y746" s="38">
        <v>10010</v>
      </c>
      <c r="Z746" s="86">
        <f>+((DETALLE_GD_1[[#This Row],[VALOR X UN (GD)]]-DETALLE_GD_1[[#This Row],[VALOR PPTO]])/DETALLE_GD_1[[#This Row],[VALOR PPTO]])</f>
        <v>-3.2054077627562148E-2</v>
      </c>
      <c r="AA746" s="2">
        <f>+DETALLE_GD_1[[#This Row],[VALOR PPTO]]*DETALLE_GD_1[[#This Row],[CANTIDAD RECIBIDA]]</f>
        <v>9172</v>
      </c>
      <c r="AB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6" s="3">
        <f>+DETALLE_GD_1[[#This Row],[CANTIDAD SOLICITADA]]-DETALLE_GD_1[[#This Row],[DEVOLUCIÓN]]</f>
        <v>4</v>
      </c>
      <c r="AD746" s="38" t="str">
        <f>+_xlfn.XLOOKUP(DETALLE_GD_1[[#This Row],[CODIGO]],PRODUCTOS[CODIGO],PRODUCTOS[DESC CORTA],"",0)</f>
        <v>LLAVE ANGULAR 1/2X</v>
      </c>
      <c r="AE746"/>
      <c r="AH746"/>
    </row>
    <row r="747" spans="1:34" x14ac:dyDescent="0.25">
      <c r="A747" s="1">
        <v>46120</v>
      </c>
      <c r="B747" s="1">
        <v>46120</v>
      </c>
      <c r="C747" s="81" t="s">
        <v>169</v>
      </c>
      <c r="D747" s="38">
        <v>4</v>
      </c>
      <c r="E747" s="81" t="s">
        <v>169</v>
      </c>
      <c r="F747">
        <v>407423</v>
      </c>
      <c r="G747" s="81" t="s">
        <v>106</v>
      </c>
      <c r="H747" s="81" t="s">
        <v>31</v>
      </c>
      <c r="I747" s="3">
        <v>200</v>
      </c>
      <c r="J747" s="3"/>
      <c r="K747" s="26">
        <v>200</v>
      </c>
      <c r="L747" s="2">
        <v>3.39</v>
      </c>
      <c r="M747" s="2">
        <v>678</v>
      </c>
      <c r="N747" s="2">
        <v>678</v>
      </c>
      <c r="O747" s="2">
        <v>106.6405</v>
      </c>
      <c r="P747" s="2">
        <v>103.2505</v>
      </c>
      <c r="Q747" s="2">
        <v>20650.100399999999</v>
      </c>
      <c r="R747" s="4">
        <v>0.96821095234045795</v>
      </c>
      <c r="T747">
        <v>311605</v>
      </c>
      <c r="U747" s="2"/>
      <c r="V747">
        <v>5947</v>
      </c>
      <c r="W747" s="2">
        <v>6579000000</v>
      </c>
      <c r="X747" s="6">
        <v>21328.100396756756</v>
      </c>
      <c r="Y747" s="38">
        <v>10010</v>
      </c>
      <c r="Z747" s="86">
        <f>+((DETALLE_GD_1[[#This Row],[VALOR X UN (GD)]]-DETALLE_GD_1[[#This Row],[VALOR PPTO]])/DETALLE_GD_1[[#This Row],[VALOR PPTO]])</f>
        <v>-0.96821095174910099</v>
      </c>
      <c r="AA747" s="2">
        <f>+DETALLE_GD_1[[#This Row],[VALOR PPTO]]*DETALLE_GD_1[[#This Row],[CANTIDAD RECIBIDA]]</f>
        <v>21328.100000000002</v>
      </c>
      <c r="AB7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7" s="3">
        <f>+DETALLE_GD_1[[#This Row],[CANTIDAD SOLICITADA]]-DETALLE_GD_1[[#This Row],[DEVOLUCIÓN]]</f>
        <v>200</v>
      </c>
      <c r="AD747" s="38" t="str">
        <f>+_xlfn.XLOOKUP(DETALLE_GD_1[[#This Row],[CODIGO]],PRODUCTOS[CODIGO],PRODUCTOS[DESC CORTA],"",0)</f>
        <v>TORNILLO CRS 6X1 5/8</v>
      </c>
      <c r="AE747"/>
      <c r="AH747"/>
    </row>
    <row r="748" spans="1:34" x14ac:dyDescent="0.25">
      <c r="A748" s="1">
        <v>46120</v>
      </c>
      <c r="B748" s="1">
        <v>46120</v>
      </c>
      <c r="C748" s="81" t="s">
        <v>169</v>
      </c>
      <c r="D748" s="38">
        <v>4</v>
      </c>
      <c r="E748" s="81" t="s">
        <v>169</v>
      </c>
      <c r="F748">
        <v>408042</v>
      </c>
      <c r="G748" s="81" t="s">
        <v>144</v>
      </c>
      <c r="H748" s="81" t="s">
        <v>36</v>
      </c>
      <c r="I748" s="3">
        <v>10</v>
      </c>
      <c r="J748" s="3"/>
      <c r="K748" s="26">
        <v>10</v>
      </c>
      <c r="L748" s="2">
        <v>35000</v>
      </c>
      <c r="M748" s="2">
        <v>350000</v>
      </c>
      <c r="N748" s="2">
        <v>350000</v>
      </c>
      <c r="O748" s="2">
        <v>35000</v>
      </c>
      <c r="P748" s="2">
        <v>0</v>
      </c>
      <c r="Q748" s="2">
        <v>0</v>
      </c>
      <c r="R748" s="4">
        <v>8.3153801304950006E-16</v>
      </c>
      <c r="T748">
        <v>311645</v>
      </c>
      <c r="U748" s="2">
        <v>1360364</v>
      </c>
      <c r="V748">
        <v>5947</v>
      </c>
      <c r="W748" s="2">
        <v>6579000000</v>
      </c>
      <c r="X748" s="6">
        <v>350000.00000000029</v>
      </c>
      <c r="Y748" s="38">
        <v>10010</v>
      </c>
      <c r="Z748" s="86">
        <f>+((DETALLE_GD_1[[#This Row],[VALOR X UN (GD)]]-DETALLE_GD_1[[#This Row],[VALOR PPTO]])/DETALLE_GD_1[[#This Row],[VALOR PPTO]])</f>
        <v>0</v>
      </c>
      <c r="AA748" s="2">
        <f>+DETALLE_GD_1[[#This Row],[VALOR PPTO]]*DETALLE_GD_1[[#This Row],[CANTIDAD RECIBIDA]]</f>
        <v>350000</v>
      </c>
      <c r="AB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8" s="3">
        <f>+DETALLE_GD_1[[#This Row],[CANTIDAD SOLICITADA]]-DETALLE_GD_1[[#This Row],[DEVOLUCIÓN]]</f>
        <v>10</v>
      </c>
      <c r="AD748" s="38" t="str">
        <f>+_xlfn.XLOOKUP(DETALLE_GD_1[[#This Row],[CODIGO]],PRODUCTOS[CODIGO],PRODUCTOS[DESC CORTA],"",0)</f>
        <v>CLAVO HELICOIDAL PROFIX</v>
      </c>
      <c r="AE748"/>
      <c r="AH748"/>
    </row>
    <row r="749" spans="1:34" x14ac:dyDescent="0.25">
      <c r="A749" s="1">
        <v>46120</v>
      </c>
      <c r="B749" s="1">
        <v>46120</v>
      </c>
      <c r="C749" s="81" t="s">
        <v>169</v>
      </c>
      <c r="D749" s="38">
        <v>4</v>
      </c>
      <c r="E749" s="81" t="s">
        <v>169</v>
      </c>
      <c r="F749">
        <v>106022</v>
      </c>
      <c r="G749" s="81" t="s">
        <v>245</v>
      </c>
      <c r="H749" s="81" t="s">
        <v>31</v>
      </c>
      <c r="I749" s="3">
        <v>6</v>
      </c>
      <c r="J749" s="3"/>
      <c r="K749" s="26">
        <v>6</v>
      </c>
      <c r="L749" s="2">
        <v>3800.1667000000002</v>
      </c>
      <c r="M749" s="2">
        <v>22801</v>
      </c>
      <c r="N749" s="2">
        <v>22801</v>
      </c>
      <c r="O749" s="2">
        <v>3800.6911</v>
      </c>
      <c r="P749" s="2">
        <v>0.52439999999999998</v>
      </c>
      <c r="Q749" s="2">
        <v>3.1465999999999998</v>
      </c>
      <c r="R749" s="4">
        <v>1.379834139828004E-4</v>
      </c>
      <c r="T749">
        <v>311645</v>
      </c>
      <c r="U749" s="2"/>
      <c r="V749">
        <v>5947</v>
      </c>
      <c r="W749" s="2">
        <v>6579000000</v>
      </c>
      <c r="X749" s="6">
        <v>22804.146594000005</v>
      </c>
      <c r="Y749" s="38">
        <v>10010</v>
      </c>
      <c r="Z749" s="86">
        <f>+((DETALLE_GD_1[[#This Row],[VALOR X UN (GD)]]-DETALLE_GD_1[[#This Row],[VALOR PPTO]])/DETALLE_GD_1[[#This Row],[VALOR PPTO]])</f>
        <v>-1.3797490672151356E-4</v>
      </c>
      <c r="AA749" s="2">
        <f>+DETALLE_GD_1[[#This Row],[VALOR PPTO]]*DETALLE_GD_1[[#This Row],[CANTIDAD RECIBIDA]]</f>
        <v>22804.1466</v>
      </c>
      <c r="AB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9" s="3">
        <f>+DETALLE_GD_1[[#This Row],[CANTIDAD SOLICITADA]]-DETALLE_GD_1[[#This Row],[DEVOLUCIÓN]]</f>
        <v>6</v>
      </c>
      <c r="AD749" s="38">
        <f>+_xlfn.XLOOKUP(DETALLE_GD_1[[#This Row],[CODIGO]],PRODUCTOS[CODIGO],PRODUCTOS[DESC CORTA],"",0)</f>
        <v>0</v>
      </c>
      <c r="AE749"/>
      <c r="AH749"/>
    </row>
    <row r="750" spans="1:34" x14ac:dyDescent="0.25">
      <c r="A750" s="1">
        <v>46120</v>
      </c>
      <c r="B750" s="1">
        <v>46120</v>
      </c>
      <c r="C750" s="81" t="s">
        <v>169</v>
      </c>
      <c r="D750" s="38">
        <v>4</v>
      </c>
      <c r="E750" s="81" t="s">
        <v>169</v>
      </c>
      <c r="F750">
        <v>2304053</v>
      </c>
      <c r="G750" s="81" t="s">
        <v>213</v>
      </c>
      <c r="H750" s="81" t="s">
        <v>31</v>
      </c>
      <c r="I750" s="3">
        <v>24</v>
      </c>
      <c r="J750" s="3"/>
      <c r="K750" s="26">
        <v>24</v>
      </c>
      <c r="L750" s="2">
        <v>875.79169999999999</v>
      </c>
      <c r="M750" s="2">
        <v>21019</v>
      </c>
      <c r="N750" s="2">
        <v>21019</v>
      </c>
      <c r="O750" s="2">
        <v>862</v>
      </c>
      <c r="P750" s="2">
        <v>-13.791700000000001</v>
      </c>
      <c r="Q750" s="2">
        <v>-331</v>
      </c>
      <c r="R750" s="4">
        <v>-1.5999613302397346E-2</v>
      </c>
      <c r="T750">
        <v>311645</v>
      </c>
      <c r="U750" s="2"/>
      <c r="V750">
        <v>5947</v>
      </c>
      <c r="W750" s="2">
        <v>6579000000</v>
      </c>
      <c r="X750" s="6">
        <v>20688.000000000004</v>
      </c>
      <c r="Y750" s="38">
        <v>10010</v>
      </c>
      <c r="Z750" s="86">
        <f>+((DETALLE_GD_1[[#This Row],[VALOR X UN (GD)]]-DETALLE_GD_1[[#This Row],[VALOR PPTO]])/DETALLE_GD_1[[#This Row],[VALOR PPTO]])</f>
        <v>1.5999651972157764E-2</v>
      </c>
      <c r="AA750" s="2">
        <f>+DETALLE_GD_1[[#This Row],[VALOR PPTO]]*DETALLE_GD_1[[#This Row],[CANTIDAD RECIBIDA]]</f>
        <v>20688</v>
      </c>
      <c r="AB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0" s="3">
        <f>+DETALLE_GD_1[[#This Row],[CANTIDAD SOLICITADA]]-DETALLE_GD_1[[#This Row],[DEVOLUCIÓN]]</f>
        <v>24</v>
      </c>
      <c r="AD750" s="38">
        <f>+_xlfn.XLOOKUP(DETALLE_GD_1[[#This Row],[CODIGO]],PRODUCTOS[CODIGO],PRODUCTOS[DESC CORTA],"",0)</f>
        <v>0</v>
      </c>
      <c r="AE750"/>
      <c r="AH750"/>
    </row>
    <row r="751" spans="1:34" x14ac:dyDescent="0.25">
      <c r="A751" s="1">
        <v>46120</v>
      </c>
      <c r="B751" s="1">
        <v>46120</v>
      </c>
      <c r="C751" s="81" t="s">
        <v>169</v>
      </c>
      <c r="D751" s="38">
        <v>4</v>
      </c>
      <c r="E751" s="81" t="s">
        <v>169</v>
      </c>
      <c r="F751">
        <v>1902003</v>
      </c>
      <c r="G751" s="81" t="s">
        <v>155</v>
      </c>
      <c r="H751" s="81" t="s">
        <v>47</v>
      </c>
      <c r="I751" s="3">
        <v>6</v>
      </c>
      <c r="J751" s="3"/>
      <c r="K751" s="26">
        <v>6</v>
      </c>
      <c r="L751" s="2">
        <v>150752.3333</v>
      </c>
      <c r="M751" s="2">
        <v>904514</v>
      </c>
      <c r="N751" s="2">
        <v>904514</v>
      </c>
      <c r="O751" s="2">
        <v>150703.9755</v>
      </c>
      <c r="P751" s="2">
        <v>-48.357900000000001</v>
      </c>
      <c r="Q751" s="2">
        <v>-290.1472</v>
      </c>
      <c r="R751" s="4">
        <v>-3.2087987848880881E-4</v>
      </c>
      <c r="T751">
        <v>311645</v>
      </c>
      <c r="U751" s="2"/>
      <c r="V751">
        <v>5947</v>
      </c>
      <c r="W751" s="2">
        <v>6579000000</v>
      </c>
      <c r="X751" s="6">
        <v>904223.85275999969</v>
      </c>
      <c r="Y751" s="38">
        <v>10010</v>
      </c>
      <c r="Z751" s="86">
        <f>+((DETALLE_GD_1[[#This Row],[VALOR X UN (GD)]]-DETALLE_GD_1[[#This Row],[VALOR PPTO]])/DETALLE_GD_1[[#This Row],[VALOR PPTO]])</f>
        <v>3.208793917981145E-4</v>
      </c>
      <c r="AA751" s="2">
        <f>+DETALLE_GD_1[[#This Row],[VALOR PPTO]]*DETALLE_GD_1[[#This Row],[CANTIDAD RECIBIDA]]</f>
        <v>904223.853</v>
      </c>
      <c r="AB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1" s="3">
        <f>+DETALLE_GD_1[[#This Row],[CANTIDAD SOLICITADA]]-DETALLE_GD_1[[#This Row],[DEVOLUCIÓN]]</f>
        <v>6</v>
      </c>
      <c r="AD751" s="38">
        <f>+_xlfn.XLOOKUP(DETALLE_GD_1[[#This Row],[CODIGO]],PRODUCTOS[CODIGO],PRODUCTOS[DESC CORTA],"",0)</f>
        <v>0</v>
      </c>
      <c r="AE751"/>
      <c r="AH751"/>
    </row>
    <row r="752" spans="1:34" x14ac:dyDescent="0.25">
      <c r="A752" s="1">
        <v>46120</v>
      </c>
      <c r="B752" s="1">
        <v>46120</v>
      </c>
      <c r="C752" s="81" t="s">
        <v>169</v>
      </c>
      <c r="D752" s="38">
        <v>4</v>
      </c>
      <c r="E752" s="81" t="s">
        <v>169</v>
      </c>
      <c r="F752">
        <v>307031</v>
      </c>
      <c r="G752" s="81" t="s">
        <v>65</v>
      </c>
      <c r="H752" s="81" t="s">
        <v>31</v>
      </c>
      <c r="I752" s="3">
        <v>4</v>
      </c>
      <c r="J752" s="3"/>
      <c r="K752" s="26">
        <v>4</v>
      </c>
      <c r="L752" s="2">
        <v>2700</v>
      </c>
      <c r="M752" s="2">
        <v>10800</v>
      </c>
      <c r="N752" s="2">
        <v>10800</v>
      </c>
      <c r="O752" s="2">
        <v>2699.9985999999999</v>
      </c>
      <c r="P752" s="2">
        <v>-1.4E-3</v>
      </c>
      <c r="Q752" s="2">
        <v>-5.5999999999999999E-3</v>
      </c>
      <c r="R752" s="4">
        <v>-5.1666693335944687E-7</v>
      </c>
      <c r="T752">
        <v>311645</v>
      </c>
      <c r="U752" s="2"/>
      <c r="V752">
        <v>5947</v>
      </c>
      <c r="W752" s="2">
        <v>6579000000</v>
      </c>
      <c r="X752" s="6">
        <v>10799.994420000005</v>
      </c>
      <c r="Y752" s="38">
        <v>10010</v>
      </c>
      <c r="Z752" s="86">
        <f>+((DETALLE_GD_1[[#This Row],[VALOR X UN (GD)]]-DETALLE_GD_1[[#This Row],[VALOR PPTO]])/DETALLE_GD_1[[#This Row],[VALOR PPTO]])</f>
        <v>5.1851878741837811E-7</v>
      </c>
      <c r="AA752" s="2">
        <f>+DETALLE_GD_1[[#This Row],[VALOR PPTO]]*DETALLE_GD_1[[#This Row],[CANTIDAD RECIBIDA]]</f>
        <v>10799.9944</v>
      </c>
      <c r="AB7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2" s="3">
        <f>+DETALLE_GD_1[[#This Row],[CANTIDAD SOLICITADA]]-DETALLE_GD_1[[#This Row],[DEVOLUCIÓN]]</f>
        <v>4</v>
      </c>
      <c r="AD752" s="38" t="str">
        <f>+_xlfn.XLOOKUP(DETALLE_GD_1[[#This Row],[CODIGO]],PRODUCTOS[CODIGO],PRODUCTOS[DESC CORTA],"",0)</f>
        <v>CORNIZA BLANCA</v>
      </c>
      <c r="AE752"/>
      <c r="AH752"/>
    </row>
    <row r="753" spans="1:34" x14ac:dyDescent="0.25">
      <c r="A753" s="1">
        <v>46120</v>
      </c>
      <c r="B753" s="1">
        <v>46120</v>
      </c>
      <c r="C753" s="81" t="s">
        <v>169</v>
      </c>
      <c r="D753" s="38">
        <v>4</v>
      </c>
      <c r="E753" s="81" t="s">
        <v>169</v>
      </c>
      <c r="F753">
        <v>704022</v>
      </c>
      <c r="G753" s="81" t="s">
        <v>330</v>
      </c>
      <c r="H753" s="81" t="s">
        <v>31</v>
      </c>
      <c r="I753" s="3">
        <v>5</v>
      </c>
      <c r="J753" s="3"/>
      <c r="K753" s="26">
        <v>5</v>
      </c>
      <c r="L753" s="2">
        <v>258.39999999999998</v>
      </c>
      <c r="M753" s="2">
        <v>1292</v>
      </c>
      <c r="N753" s="2">
        <v>1292</v>
      </c>
      <c r="O753" s="2">
        <v>306</v>
      </c>
      <c r="P753" s="2">
        <v>47.6</v>
      </c>
      <c r="Q753" s="2">
        <v>238</v>
      </c>
      <c r="R753" s="4">
        <v>0.15555555555555578</v>
      </c>
      <c r="T753">
        <v>311645</v>
      </c>
      <c r="U753" s="2"/>
      <c r="V753">
        <v>5947</v>
      </c>
      <c r="W753" s="2">
        <v>6579000000</v>
      </c>
      <c r="X753" s="6">
        <v>1530.0000000000002</v>
      </c>
      <c r="Y753" s="38">
        <v>10010</v>
      </c>
      <c r="Z753" s="86">
        <f>+((DETALLE_GD_1[[#This Row],[VALOR X UN (GD)]]-DETALLE_GD_1[[#This Row],[VALOR PPTO]])/DETALLE_GD_1[[#This Row],[VALOR PPTO]])</f>
        <v>-0.15555555555555564</v>
      </c>
      <c r="AA753" s="2">
        <f>+DETALLE_GD_1[[#This Row],[VALOR PPTO]]*DETALLE_GD_1[[#This Row],[CANTIDAD RECIBIDA]]</f>
        <v>1530</v>
      </c>
      <c r="AB7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3" s="3">
        <f>+DETALLE_GD_1[[#This Row],[CANTIDAD SOLICITADA]]-DETALLE_GD_1[[#This Row],[DEVOLUCIÓN]]</f>
        <v>5</v>
      </c>
      <c r="AD753" s="38" t="str">
        <f>+_xlfn.XLOOKUP(DETALLE_GD_1[[#This Row],[CODIGO]],PRODUCTOS[CODIGO],PRODUCTOS[DESC CORTA],"",0)</f>
        <v>ESQUINERO CORNIZA INTERIOR</v>
      </c>
      <c r="AE753"/>
      <c r="AH753"/>
    </row>
    <row r="754" spans="1:34" x14ac:dyDescent="0.25">
      <c r="A754" s="1">
        <v>46120</v>
      </c>
      <c r="B754" s="1">
        <v>46120</v>
      </c>
      <c r="C754" s="81" t="s">
        <v>169</v>
      </c>
      <c r="D754" s="38">
        <v>4</v>
      </c>
      <c r="E754" s="81" t="s">
        <v>169</v>
      </c>
      <c r="F754">
        <v>704024</v>
      </c>
      <c r="G754" s="81" t="s">
        <v>332</v>
      </c>
      <c r="H754" s="81" t="s">
        <v>31</v>
      </c>
      <c r="I754" s="3">
        <v>1</v>
      </c>
      <c r="J754" s="3"/>
      <c r="K754" s="26">
        <v>1</v>
      </c>
      <c r="L754" s="2">
        <v>318</v>
      </c>
      <c r="M754" s="2">
        <v>318</v>
      </c>
      <c r="N754" s="2">
        <v>318</v>
      </c>
      <c r="O754" s="2">
        <v>363</v>
      </c>
      <c r="P754" s="2">
        <v>45</v>
      </c>
      <c r="Q754" s="2">
        <v>45</v>
      </c>
      <c r="R754" s="4">
        <v>0.12396694214876032</v>
      </c>
      <c r="T754">
        <v>311645</v>
      </c>
      <c r="U754" s="2"/>
      <c r="V754">
        <v>5947</v>
      </c>
      <c r="W754" s="2">
        <v>6579000000</v>
      </c>
      <c r="X754" s="6">
        <v>363</v>
      </c>
      <c r="Y754" s="38">
        <v>10010</v>
      </c>
      <c r="Z754" s="86">
        <f>+((DETALLE_GD_1[[#This Row],[VALOR X UN (GD)]]-DETALLE_GD_1[[#This Row],[VALOR PPTO]])/DETALLE_GD_1[[#This Row],[VALOR PPTO]])</f>
        <v>-0.12396694214876033</v>
      </c>
      <c r="AA754" s="2">
        <f>+DETALLE_GD_1[[#This Row],[VALOR PPTO]]*DETALLE_GD_1[[#This Row],[CANTIDAD RECIBIDA]]</f>
        <v>363</v>
      </c>
      <c r="AB7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4" s="3">
        <f>+DETALLE_GD_1[[#This Row],[CANTIDAD SOLICITADA]]-DETALLE_GD_1[[#This Row],[DEVOLUCIÓN]]</f>
        <v>1</v>
      </c>
      <c r="AD754" s="38" t="str">
        <f>+_xlfn.XLOOKUP(DETALLE_GD_1[[#This Row],[CODIGO]],PRODUCTOS[CODIGO],PRODUCTOS[DESC CORTA],"",0)</f>
        <v>ESQUINERO CORNIZA EXTERIOR</v>
      </c>
      <c r="AE754"/>
      <c r="AH754"/>
    </row>
    <row r="755" spans="1:34" x14ac:dyDescent="0.25">
      <c r="A755" s="1">
        <v>46120</v>
      </c>
      <c r="B755" s="1">
        <v>46120</v>
      </c>
      <c r="C755" s="81" t="s">
        <v>169</v>
      </c>
      <c r="D755" s="38">
        <v>4</v>
      </c>
      <c r="E755" s="81" t="s">
        <v>169</v>
      </c>
      <c r="F755">
        <v>601047</v>
      </c>
      <c r="G755" s="81" t="s">
        <v>129</v>
      </c>
      <c r="H755" s="81" t="s">
        <v>25</v>
      </c>
      <c r="I755" s="3">
        <v>1</v>
      </c>
      <c r="J755" s="3"/>
      <c r="K755" s="26">
        <v>1</v>
      </c>
      <c r="L755" s="2">
        <v>49620</v>
      </c>
      <c r="M755" s="2">
        <v>49620</v>
      </c>
      <c r="N755" s="2">
        <v>49620</v>
      </c>
      <c r="O755" s="2">
        <v>50286.86</v>
      </c>
      <c r="P755" s="2">
        <v>666.86</v>
      </c>
      <c r="Q755" s="2">
        <v>666.86</v>
      </c>
      <c r="R755" s="4">
        <v>1.3261118312020289E-2</v>
      </c>
      <c r="T755">
        <v>311645</v>
      </c>
      <c r="U755" s="2"/>
      <c r="V755">
        <v>5947</v>
      </c>
      <c r="W755" s="2">
        <v>6579000000</v>
      </c>
      <c r="X755" s="6">
        <v>50286.86</v>
      </c>
      <c r="Y755" s="38">
        <v>10010</v>
      </c>
      <c r="Z755" s="86">
        <f>+((DETALLE_GD_1[[#This Row],[VALOR X UN (GD)]]-DETALLE_GD_1[[#This Row],[VALOR PPTO]])/DETALLE_GD_1[[#This Row],[VALOR PPTO]])</f>
        <v>-1.3261118312020289E-2</v>
      </c>
      <c r="AA755" s="2">
        <f>+DETALLE_GD_1[[#This Row],[VALOR PPTO]]*DETALLE_GD_1[[#This Row],[CANTIDAD RECIBIDA]]</f>
        <v>50286.86</v>
      </c>
      <c r="AB7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5" s="3">
        <f>+DETALLE_GD_1[[#This Row],[CANTIDAD SOLICITADA]]-DETALLE_GD_1[[#This Row],[DEVOLUCIÓN]]</f>
        <v>1</v>
      </c>
      <c r="AD755" s="38" t="str">
        <f>+_xlfn.XLOOKUP(DETALLE_GD_1[[#This Row],[CODIGO]],PRODUCTOS[CODIGO],PRODUCTOS[DESC CORTA],"",0)</f>
        <v>ESMALTE AL AGUA</v>
      </c>
      <c r="AE755"/>
      <c r="AH755"/>
    </row>
    <row r="756" spans="1:34" x14ac:dyDescent="0.25">
      <c r="A756" s="1">
        <v>46120</v>
      </c>
      <c r="B756" s="1">
        <v>46120</v>
      </c>
      <c r="C756" s="81" t="s">
        <v>169</v>
      </c>
      <c r="D756" s="38">
        <v>4</v>
      </c>
      <c r="E756" s="81" t="s">
        <v>169</v>
      </c>
      <c r="F756">
        <v>304002</v>
      </c>
      <c r="G756" s="81" t="s">
        <v>37</v>
      </c>
      <c r="H756" s="81" t="s">
        <v>18</v>
      </c>
      <c r="I756" s="3">
        <v>144</v>
      </c>
      <c r="J756" s="3"/>
      <c r="K756" s="26">
        <v>144</v>
      </c>
      <c r="L756" s="2">
        <v>21611.3681</v>
      </c>
      <c r="M756" s="2">
        <v>3112037</v>
      </c>
      <c r="N756" s="2">
        <v>3112037</v>
      </c>
      <c r="O756" s="2">
        <v>21246.5072</v>
      </c>
      <c r="P756" s="2">
        <v>-364.86090000000002</v>
      </c>
      <c r="Q756" s="2">
        <v>-52539.97</v>
      </c>
      <c r="R756" s="4">
        <v>-1.7172747498123905E-2</v>
      </c>
      <c r="T756">
        <v>311717</v>
      </c>
      <c r="U756" s="2">
        <v>3112037</v>
      </c>
      <c r="V756">
        <v>5947</v>
      </c>
      <c r="W756" s="2">
        <v>6579000000</v>
      </c>
      <c r="X756" s="6">
        <v>3059497.0300320005</v>
      </c>
      <c r="Y756" s="38">
        <v>10010</v>
      </c>
      <c r="Z756" s="86">
        <f>+((DETALLE_GD_1[[#This Row],[VALOR X UN (GD)]]-DETALLE_GD_1[[#This Row],[VALOR PPTO]])/DETALLE_GD_1[[#This Row],[VALOR PPTO]])</f>
        <v>1.7172747339854508E-2</v>
      </c>
      <c r="AA756" s="2">
        <f>+DETALLE_GD_1[[#This Row],[VALOR PPTO]]*DETALLE_GD_1[[#This Row],[CANTIDAD RECIBIDA]]</f>
        <v>3059497.0367999999</v>
      </c>
      <c r="AB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56" s="3">
        <f>+DETALLE_GD_1[[#This Row],[CANTIDAD SOLICITADA]]-DETALLE_GD_1[[#This Row],[DEVOLUCIÓN]]</f>
        <v>144</v>
      </c>
      <c r="AD756" s="38" t="str">
        <f>+_xlfn.XLOOKUP(DETALLE_GD_1[[#This Row],[CODIGO]],PRODUCTOS[CODIGO],PRODUCTOS[DESC CORTA],"",0)</f>
        <v>SMARTPANEL</v>
      </c>
      <c r="AE756"/>
      <c r="AH756"/>
    </row>
    <row r="757" spans="1:34" x14ac:dyDescent="0.25">
      <c r="A757" s="1">
        <v>46121</v>
      </c>
      <c r="B757" s="1">
        <v>46121</v>
      </c>
      <c r="C757" s="81" t="s">
        <v>169</v>
      </c>
      <c r="D757" s="38">
        <v>4</v>
      </c>
      <c r="E757" s="81" t="s">
        <v>169</v>
      </c>
      <c r="F757">
        <v>1902014</v>
      </c>
      <c r="G757" s="81" t="s">
        <v>316</v>
      </c>
      <c r="H757" s="81" t="s">
        <v>18</v>
      </c>
      <c r="I757" s="3">
        <v>40</v>
      </c>
      <c r="J757" s="3"/>
      <c r="K757" s="26">
        <v>40</v>
      </c>
      <c r="L757" s="2">
        <v>29778.924999999999</v>
      </c>
      <c r="M757" s="2">
        <v>1191157</v>
      </c>
      <c r="N757" s="2">
        <v>1191157</v>
      </c>
      <c r="O757" s="2">
        <v>29779</v>
      </c>
      <c r="P757" s="2">
        <v>7.4999999999999997E-2</v>
      </c>
      <c r="Q757" s="2">
        <v>3</v>
      </c>
      <c r="R757" s="4">
        <v>2.5185533431064028E-6</v>
      </c>
      <c r="T757">
        <v>311748</v>
      </c>
      <c r="U757" s="2">
        <v>2205325</v>
      </c>
      <c r="V757">
        <v>5947</v>
      </c>
      <c r="W757" s="2">
        <v>6579000000</v>
      </c>
      <c r="X757" s="6">
        <v>1191160.0000000002</v>
      </c>
      <c r="Y757" s="38">
        <v>10010</v>
      </c>
      <c r="Z757" s="86">
        <f>+((DETALLE_GD_1[[#This Row],[VALOR X UN (GD)]]-DETALLE_GD_1[[#This Row],[VALOR PPTO]])/DETALLE_GD_1[[#This Row],[VALOR PPTO]])</f>
        <v>-2.5185533429842369E-6</v>
      </c>
      <c r="AA757" s="2">
        <f>+DETALLE_GD_1[[#This Row],[VALOR PPTO]]*DETALLE_GD_1[[#This Row],[CANTIDAD RECIBIDA]]</f>
        <v>1191160</v>
      </c>
      <c r="AB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57" s="3">
        <f>+DETALLE_GD_1[[#This Row],[CANTIDAD SOLICITADA]]-DETALLE_GD_1[[#This Row],[DEVOLUCIÓN]]</f>
        <v>40</v>
      </c>
      <c r="AD757" s="38" t="str">
        <f>+_xlfn.XLOOKUP(DETALLE_GD_1[[#This Row],[CODIGO]],PRODUCTOS[CODIGO],PRODUCTOS[DESC CORTA],"",0)</f>
        <v>VOLCOGLASS</v>
      </c>
      <c r="AE757"/>
      <c r="AH757"/>
    </row>
    <row r="758" spans="1:34" x14ac:dyDescent="0.25">
      <c r="A758" s="1">
        <v>46121</v>
      </c>
      <c r="B758" s="1">
        <v>46121</v>
      </c>
      <c r="C758" s="81" t="s">
        <v>169</v>
      </c>
      <c r="D758" s="38">
        <v>4</v>
      </c>
      <c r="E758" s="81" t="s">
        <v>169</v>
      </c>
      <c r="F758">
        <v>408017</v>
      </c>
      <c r="G758" s="81" t="s">
        <v>445</v>
      </c>
      <c r="H758" s="81" t="s">
        <v>36</v>
      </c>
      <c r="I758" s="3">
        <v>2</v>
      </c>
      <c r="J758" s="3"/>
      <c r="K758" s="26">
        <v>2</v>
      </c>
      <c r="L758" s="2">
        <v>17300</v>
      </c>
      <c r="M758" s="2">
        <v>34600</v>
      </c>
      <c r="N758" s="2">
        <v>34600</v>
      </c>
      <c r="O758" s="2"/>
      <c r="P758" s="2"/>
      <c r="Q758" s="2">
        <v>-34600</v>
      </c>
      <c r="R758" s="4"/>
      <c r="T758">
        <v>311748</v>
      </c>
      <c r="U758" s="2"/>
      <c r="V758">
        <v>5947</v>
      </c>
      <c r="W758" s="2">
        <v>6579000000</v>
      </c>
      <c r="X758" s="6" t="s">
        <v>355</v>
      </c>
      <c r="Y758" s="38">
        <v>10010</v>
      </c>
      <c r="Z758" s="86" t="e">
        <f>+((DETALLE_GD_1[[#This Row],[VALOR X UN (GD)]]-DETALLE_GD_1[[#This Row],[VALOR PPTO]])/DETALLE_GD_1[[#This Row],[VALOR PPTO]])</f>
        <v>#DIV/0!</v>
      </c>
      <c r="AA758" s="2">
        <f>+DETALLE_GD_1[[#This Row],[VALOR PPTO]]*DETALLE_GD_1[[#This Row],[CANTIDAD RECIBIDA]]</f>
        <v>0</v>
      </c>
      <c r="AB7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8" s="3">
        <f>+DETALLE_GD_1[[#This Row],[CANTIDAD SOLICITADA]]-DETALLE_GD_1[[#This Row],[DEVOLUCIÓN]]</f>
        <v>2</v>
      </c>
      <c r="AD758" s="38" t="str">
        <f>+_xlfn.XLOOKUP(DETALLE_GD_1[[#This Row],[CODIGO]],PRODUCTOS[CODIGO],PRODUCTOS[DESC CORTA],"",0)</f>
        <v/>
      </c>
      <c r="AE758"/>
      <c r="AH758"/>
    </row>
    <row r="759" spans="1:34" x14ac:dyDescent="0.25">
      <c r="A759" s="1">
        <v>46121</v>
      </c>
      <c r="B759" s="1">
        <v>46121</v>
      </c>
      <c r="C759" s="81" t="s">
        <v>169</v>
      </c>
      <c r="D759" s="38">
        <v>4</v>
      </c>
      <c r="E759" s="81" t="s">
        <v>169</v>
      </c>
      <c r="F759">
        <v>701043</v>
      </c>
      <c r="G759" s="81" t="s">
        <v>197</v>
      </c>
      <c r="H759" s="81" t="s">
        <v>18</v>
      </c>
      <c r="I759" s="3">
        <v>40</v>
      </c>
      <c r="J759" s="3"/>
      <c r="K759" s="26">
        <v>40</v>
      </c>
      <c r="L759" s="2">
        <v>22739.200000000001</v>
      </c>
      <c r="M759" s="2">
        <v>909568</v>
      </c>
      <c r="N759" s="2">
        <v>909568</v>
      </c>
      <c r="O759" s="2">
        <v>22146.362799999999</v>
      </c>
      <c r="P759" s="2">
        <v>-592.83720000000005</v>
      </c>
      <c r="Q759" s="2">
        <v>-23713.489099999999</v>
      </c>
      <c r="R759" s="4">
        <v>-2.6769056124626201E-2</v>
      </c>
      <c r="T759">
        <v>311748</v>
      </c>
      <c r="U759" s="2"/>
      <c r="V759">
        <v>5947</v>
      </c>
      <c r="W759" s="2">
        <v>6579000000</v>
      </c>
      <c r="X759" s="6">
        <v>885854.51087999996</v>
      </c>
      <c r="Y759" s="38">
        <v>10010</v>
      </c>
      <c r="Z759" s="86">
        <f>+((DETALLE_GD_1[[#This Row],[VALOR X UN (GD)]]-DETALLE_GD_1[[#This Row],[VALOR PPTO]])/DETALLE_GD_1[[#This Row],[VALOR PPTO]])</f>
        <v>2.6769054826465761E-2</v>
      </c>
      <c r="AA759" s="2">
        <f>+DETALLE_GD_1[[#This Row],[VALOR PPTO]]*DETALLE_GD_1[[#This Row],[CANTIDAD RECIBIDA]]</f>
        <v>885854.51199999999</v>
      </c>
      <c r="AB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59" s="3">
        <f>+DETALLE_GD_1[[#This Row],[CANTIDAD SOLICITADA]]-DETALLE_GD_1[[#This Row],[DEVOLUCIÓN]]</f>
        <v>40</v>
      </c>
      <c r="AD759" s="38" t="str">
        <f>+_xlfn.XLOOKUP(DETALLE_GD_1[[#This Row],[CODIGO]],PRODUCTOS[CODIGO],PRODUCTOS[DESC CORTA],"",0)</f>
        <v>VOLCANITA EMPAPELADA CIELO</v>
      </c>
      <c r="AE759"/>
      <c r="AH759"/>
    </row>
    <row r="760" spans="1:34" x14ac:dyDescent="0.25">
      <c r="A760" s="1">
        <v>46121</v>
      </c>
      <c r="B760" s="1">
        <v>46121</v>
      </c>
      <c r="C760" s="81" t="s">
        <v>169</v>
      </c>
      <c r="D760" s="38">
        <v>4</v>
      </c>
      <c r="E760" s="81" t="s">
        <v>169</v>
      </c>
      <c r="F760">
        <v>408042</v>
      </c>
      <c r="G760" s="81" t="s">
        <v>144</v>
      </c>
      <c r="H760" s="81" t="s">
        <v>36</v>
      </c>
      <c r="I760" s="3">
        <v>2</v>
      </c>
      <c r="J760" s="3"/>
      <c r="K760" s="26">
        <v>2</v>
      </c>
      <c r="L760" s="2">
        <v>35000</v>
      </c>
      <c r="M760" s="2">
        <v>70000</v>
      </c>
      <c r="N760" s="2">
        <v>70000</v>
      </c>
      <c r="O760" s="2">
        <v>35000</v>
      </c>
      <c r="P760" s="2">
        <v>0</v>
      </c>
      <c r="Q760" s="2">
        <v>0</v>
      </c>
      <c r="R760" s="4">
        <v>8.3153801304950006E-16</v>
      </c>
      <c r="T760">
        <v>311748</v>
      </c>
      <c r="U760" s="2"/>
      <c r="V760">
        <v>5947</v>
      </c>
      <c r="W760" s="2">
        <v>6579000000</v>
      </c>
      <c r="X760" s="6">
        <v>70000.000000000058</v>
      </c>
      <c r="Y760" s="38">
        <v>10010</v>
      </c>
      <c r="Z760" s="86">
        <f>+((DETALLE_GD_1[[#This Row],[VALOR X UN (GD)]]-DETALLE_GD_1[[#This Row],[VALOR PPTO]])/DETALLE_GD_1[[#This Row],[VALOR PPTO]])</f>
        <v>0</v>
      </c>
      <c r="AA760" s="2">
        <f>+DETALLE_GD_1[[#This Row],[VALOR PPTO]]*DETALLE_GD_1[[#This Row],[CANTIDAD RECIBIDA]]</f>
        <v>70000</v>
      </c>
      <c r="AB7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0" s="3">
        <f>+DETALLE_GD_1[[#This Row],[CANTIDAD SOLICITADA]]-DETALLE_GD_1[[#This Row],[DEVOLUCIÓN]]</f>
        <v>2</v>
      </c>
      <c r="AD760" s="38" t="str">
        <f>+_xlfn.XLOOKUP(DETALLE_GD_1[[#This Row],[CODIGO]],PRODUCTOS[CODIGO],PRODUCTOS[DESC CORTA],"",0)</f>
        <v>CLAVO HELICOIDAL PROFIX</v>
      </c>
      <c r="AE760"/>
      <c r="AH760"/>
    </row>
    <row r="761" spans="1:34" x14ac:dyDescent="0.25">
      <c r="A761" s="1">
        <v>46121</v>
      </c>
      <c r="B761" s="1">
        <v>46121</v>
      </c>
      <c r="C761" s="81" t="s">
        <v>169</v>
      </c>
      <c r="D761" s="38">
        <v>4</v>
      </c>
      <c r="E761" s="81" t="s">
        <v>169</v>
      </c>
      <c r="F761">
        <v>1610023</v>
      </c>
      <c r="G761" s="81" t="s">
        <v>351</v>
      </c>
      <c r="H761" s="81" t="s">
        <v>28</v>
      </c>
      <c r="I761" s="3">
        <v>5</v>
      </c>
      <c r="J761" s="3"/>
      <c r="K761" s="26">
        <v>5</v>
      </c>
      <c r="L761" s="2">
        <v>2278.1999999999998</v>
      </c>
      <c r="M761" s="2">
        <v>11391</v>
      </c>
      <c r="N761" s="2">
        <v>11391</v>
      </c>
      <c r="O761" s="2">
        <v>2109.0585000000001</v>
      </c>
      <c r="P761" s="2">
        <v>-169.14150000000001</v>
      </c>
      <c r="Q761" s="2">
        <v>-845.70730000000003</v>
      </c>
      <c r="R761" s="4">
        <v>-8.0197611698158158E-2</v>
      </c>
      <c r="T761">
        <v>311863</v>
      </c>
      <c r="U761" s="2">
        <v>11299664</v>
      </c>
      <c r="V761">
        <v>5947</v>
      </c>
      <c r="W761" s="2">
        <v>6579000000</v>
      </c>
      <c r="X761" s="6">
        <v>10545.292710000002</v>
      </c>
      <c r="Y761" s="38">
        <v>10010</v>
      </c>
      <c r="Z761" s="86">
        <f>+((DETALLE_GD_1[[#This Row],[VALOR X UN (GD)]]-DETALLE_GD_1[[#This Row],[VALOR PPTO]])/DETALLE_GD_1[[#This Row],[VALOR PPTO]])</f>
        <v>8.0197633209320524E-2</v>
      </c>
      <c r="AA761" s="2">
        <f>+DETALLE_GD_1[[#This Row],[VALOR PPTO]]*DETALLE_GD_1[[#This Row],[CANTIDAD RECIBIDA]]</f>
        <v>10545.2925</v>
      </c>
      <c r="AB7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1" s="3">
        <f>+DETALLE_GD_1[[#This Row],[CANTIDAD SOLICITADA]]-DETALLE_GD_1[[#This Row],[DEVOLUCIÓN]]</f>
        <v>5</v>
      </c>
      <c r="AD761" s="38" t="str">
        <f>+_xlfn.XLOOKUP(DETALLE_GD_1[[#This Row],[CODIGO]],PRODUCTOS[CODIGO],PRODUCTOS[DESC CORTA],"",0)</f>
        <v>TRAPOS DE ASEO</v>
      </c>
      <c r="AE761"/>
      <c r="AH761"/>
    </row>
    <row r="762" spans="1:34" x14ac:dyDescent="0.25">
      <c r="A762" s="1">
        <v>46121</v>
      </c>
      <c r="B762" s="1">
        <v>46121</v>
      </c>
      <c r="C762" s="81" t="s">
        <v>169</v>
      </c>
      <c r="D762" s="38">
        <v>4</v>
      </c>
      <c r="E762" s="81" t="s">
        <v>169</v>
      </c>
      <c r="F762">
        <v>1610007</v>
      </c>
      <c r="G762" s="81" t="s">
        <v>334</v>
      </c>
      <c r="H762" s="81" t="s">
        <v>28</v>
      </c>
      <c r="I762" s="3">
        <v>5</v>
      </c>
      <c r="J762" s="3"/>
      <c r="K762" s="26">
        <v>5</v>
      </c>
      <c r="L762" s="2">
        <v>1624.4</v>
      </c>
      <c r="M762" s="2">
        <v>8122</v>
      </c>
      <c r="N762" s="2">
        <v>8122</v>
      </c>
      <c r="O762" s="2">
        <v>1624.4739999999999</v>
      </c>
      <c r="P762" s="2">
        <v>7.3999999999999996E-2</v>
      </c>
      <c r="Q762" s="2">
        <v>0.37019999999999997</v>
      </c>
      <c r="R762" s="4">
        <v>4.5575982326310345E-5</v>
      </c>
      <c r="T762">
        <v>311863</v>
      </c>
      <c r="U762" s="2"/>
      <c r="V762">
        <v>5947</v>
      </c>
      <c r="W762" s="2">
        <v>6579000000</v>
      </c>
      <c r="X762" s="6">
        <v>8122.3701849999998</v>
      </c>
      <c r="Y762" s="38">
        <v>10010</v>
      </c>
      <c r="Z762" s="86">
        <f>+((DETALLE_GD_1[[#This Row],[VALOR X UN (GD)]]-DETALLE_GD_1[[#This Row],[VALOR PPTO]])/DETALLE_GD_1[[#This Row],[VALOR PPTO]])</f>
        <v>-4.5553206760983405E-5</v>
      </c>
      <c r="AA762" s="2">
        <f>+DETALLE_GD_1[[#This Row],[VALOR PPTO]]*DETALLE_GD_1[[#This Row],[CANTIDAD RECIBIDA]]</f>
        <v>8122.37</v>
      </c>
      <c r="AB7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2" s="3">
        <f>+DETALLE_GD_1[[#This Row],[CANTIDAD SOLICITADA]]-DETALLE_GD_1[[#This Row],[DEVOLUCIÓN]]</f>
        <v>5</v>
      </c>
      <c r="AD762" s="38" t="str">
        <f>+_xlfn.XLOOKUP(DETALLE_GD_1[[#This Row],[CODIGO]],PRODUCTOS[CODIGO],PRODUCTOS[DESC CORTA],"",0)</f>
        <v>HUAIPE BLANCO BOLSA</v>
      </c>
      <c r="AE762"/>
      <c r="AH762"/>
    </row>
    <row r="763" spans="1:34" x14ac:dyDescent="0.25">
      <c r="A763" s="1">
        <v>46121</v>
      </c>
      <c r="B763" s="1">
        <v>46121</v>
      </c>
      <c r="C763" s="81" t="s">
        <v>169</v>
      </c>
      <c r="D763" s="38">
        <v>4</v>
      </c>
      <c r="E763" s="81" t="s">
        <v>169</v>
      </c>
      <c r="F763">
        <v>302249</v>
      </c>
      <c r="G763" s="81" t="s">
        <v>178</v>
      </c>
      <c r="H763" s="81" t="s">
        <v>20</v>
      </c>
      <c r="I763" s="3">
        <v>240</v>
      </c>
      <c r="J763" s="3"/>
      <c r="K763" s="26">
        <v>240</v>
      </c>
      <c r="L763" s="2">
        <v>2226.3083000000001</v>
      </c>
      <c r="M763" s="2">
        <v>534314</v>
      </c>
      <c r="N763" s="2">
        <v>534314</v>
      </c>
      <c r="O763" s="2">
        <v>2226.3090999999999</v>
      </c>
      <c r="P763" s="2">
        <v>8.0000000000000004E-4</v>
      </c>
      <c r="Q763" s="2">
        <v>0.19550000000000001</v>
      </c>
      <c r="R763" s="4">
        <v>3.659270174408054E-7</v>
      </c>
      <c r="T763">
        <v>311863</v>
      </c>
      <c r="U763" s="2"/>
      <c r="V763">
        <v>5947</v>
      </c>
      <c r="W763" s="2">
        <v>6579000000</v>
      </c>
      <c r="X763" s="6">
        <v>534314.19551999995</v>
      </c>
      <c r="Y763" s="38">
        <v>10010</v>
      </c>
      <c r="Z763" s="86">
        <f>+((DETALLE_GD_1[[#This Row],[VALOR X UN (GD)]]-DETALLE_GD_1[[#This Row],[VALOR PPTO]])/DETALLE_GD_1[[#This Row],[VALOR PPTO]])</f>
        <v>-3.5933914109194611E-7</v>
      </c>
      <c r="AA763" s="2">
        <f>+DETALLE_GD_1[[#This Row],[VALOR PPTO]]*DETALLE_GD_1[[#This Row],[CANTIDAD RECIBIDA]]</f>
        <v>534314.18400000001</v>
      </c>
      <c r="AB7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3" s="3">
        <f>+DETALLE_GD_1[[#This Row],[CANTIDAD SOLICITADA]]-DETALLE_GD_1[[#This Row],[DEVOLUCIÓN]]</f>
        <v>240</v>
      </c>
      <c r="AD763" s="38">
        <f>+_xlfn.XLOOKUP(DETALLE_GD_1[[#This Row],[CODIGO]],PRODUCTOS[CODIGO],PRODUCTOS[DESC CORTA],"",0)</f>
        <v>0</v>
      </c>
      <c r="AE763"/>
      <c r="AH763"/>
    </row>
    <row r="764" spans="1:34" x14ac:dyDescent="0.25">
      <c r="A764" s="1">
        <v>46121</v>
      </c>
      <c r="B764" s="1">
        <v>46121</v>
      </c>
      <c r="C764" s="81" t="s">
        <v>169</v>
      </c>
      <c r="D764" s="38">
        <v>4</v>
      </c>
      <c r="E764" s="81" t="s">
        <v>169</v>
      </c>
      <c r="F764">
        <v>412313</v>
      </c>
      <c r="G764" s="81" t="s">
        <v>253</v>
      </c>
      <c r="H764" s="81" t="s">
        <v>36</v>
      </c>
      <c r="I764" s="3">
        <v>6</v>
      </c>
      <c r="J764" s="3"/>
      <c r="K764" s="26">
        <v>6</v>
      </c>
      <c r="L764" s="2">
        <v>23724</v>
      </c>
      <c r="M764" s="2">
        <v>142344</v>
      </c>
      <c r="N764" s="2">
        <v>142344</v>
      </c>
      <c r="O764" s="2">
        <v>23724.0674</v>
      </c>
      <c r="P764" s="2">
        <v>6.7400000000000002E-2</v>
      </c>
      <c r="Q764" s="2">
        <v>0.40429999999999999</v>
      </c>
      <c r="R764" s="4">
        <v>2.8403645506871342E-6</v>
      </c>
      <c r="T764">
        <v>311863</v>
      </c>
      <c r="U764" s="2"/>
      <c r="V764">
        <v>5947</v>
      </c>
      <c r="W764" s="2">
        <v>6579000000</v>
      </c>
      <c r="X764" s="6">
        <v>142344.40430999998</v>
      </c>
      <c r="Y764" s="38">
        <v>10010</v>
      </c>
      <c r="Z764" s="86">
        <f>+((DETALLE_GD_1[[#This Row],[VALOR X UN (GD)]]-DETALLE_GD_1[[#This Row],[VALOR PPTO]])/DETALLE_GD_1[[#This Row],[VALOR PPTO]])</f>
        <v>-2.8409968182735337E-6</v>
      </c>
      <c r="AA764" s="2">
        <f>+DETALLE_GD_1[[#This Row],[VALOR PPTO]]*DETALLE_GD_1[[#This Row],[CANTIDAD RECIBIDA]]</f>
        <v>142344.4044</v>
      </c>
      <c r="AB7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4" s="3">
        <f>+DETALLE_GD_1[[#This Row],[CANTIDAD SOLICITADA]]-DETALLE_GD_1[[#This Row],[DEVOLUCIÓN]]</f>
        <v>6</v>
      </c>
      <c r="AD764" s="38">
        <f>+_xlfn.XLOOKUP(DETALLE_GD_1[[#This Row],[CODIGO]],PRODUCTOS[CODIGO],PRODUCTOS[DESC CORTA],"",0)</f>
        <v>0</v>
      </c>
      <c r="AE764"/>
      <c r="AH764"/>
    </row>
    <row r="765" spans="1:34" x14ac:dyDescent="0.25">
      <c r="A765" s="1">
        <v>46121</v>
      </c>
      <c r="B765" s="1">
        <v>46121</v>
      </c>
      <c r="C765" s="81" t="s">
        <v>169</v>
      </c>
      <c r="D765" s="38">
        <v>4</v>
      </c>
      <c r="E765" s="81" t="s">
        <v>169</v>
      </c>
      <c r="F765">
        <v>407185</v>
      </c>
      <c r="G765" s="81" t="s">
        <v>43</v>
      </c>
      <c r="H765" s="81" t="s">
        <v>31</v>
      </c>
      <c r="I765" s="3">
        <v>4500</v>
      </c>
      <c r="J765" s="3"/>
      <c r="K765" s="26">
        <v>4500</v>
      </c>
      <c r="L765" s="2">
        <v>6.8781999999999996</v>
      </c>
      <c r="M765" s="2">
        <v>30952</v>
      </c>
      <c r="N765" s="2">
        <v>30952</v>
      </c>
      <c r="O765" s="2">
        <v>6.8783000000000003</v>
      </c>
      <c r="P765" s="2">
        <v>1E-4</v>
      </c>
      <c r="Q765" s="2">
        <v>0.44</v>
      </c>
      <c r="R765" s="4">
        <v>1.4215357496949594E-5</v>
      </c>
      <c r="T765">
        <v>311863</v>
      </c>
      <c r="U765" s="2"/>
      <c r="V765">
        <v>5947</v>
      </c>
      <c r="W765" s="2">
        <v>6579000000</v>
      </c>
      <c r="X765" s="6">
        <v>30952.44</v>
      </c>
      <c r="Y765" s="38">
        <v>10010</v>
      </c>
      <c r="Z765" s="86">
        <f>+((DETALLE_GD_1[[#This Row],[VALOR X UN (GD)]]-DETALLE_GD_1[[#This Row],[VALOR PPTO]])/DETALLE_GD_1[[#This Row],[VALOR PPTO]])</f>
        <v>-1.453847607703286E-5</v>
      </c>
      <c r="AA765" s="2">
        <f>+DETALLE_GD_1[[#This Row],[VALOR PPTO]]*DETALLE_GD_1[[#This Row],[CANTIDAD RECIBIDA]]</f>
        <v>30952.350000000002</v>
      </c>
      <c r="AB7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5" s="3">
        <f>+DETALLE_GD_1[[#This Row],[CANTIDAD SOLICITADA]]-DETALLE_GD_1[[#This Row],[DEVOLUCIÓN]]</f>
        <v>4500</v>
      </c>
      <c r="AD765" s="38">
        <f>+_xlfn.XLOOKUP(DETALLE_GD_1[[#This Row],[CODIGO]],PRODUCTOS[CODIGO],PRODUCTOS[DESC CORTA],"",0)</f>
        <v>0</v>
      </c>
      <c r="AE765"/>
      <c r="AH765"/>
    </row>
    <row r="766" spans="1:34" x14ac:dyDescent="0.25">
      <c r="A766" s="1">
        <v>46121</v>
      </c>
      <c r="B766" s="1">
        <v>46121</v>
      </c>
      <c r="C766" s="81" t="s">
        <v>169</v>
      </c>
      <c r="D766" s="38">
        <v>4</v>
      </c>
      <c r="E766" s="81" t="s">
        <v>169</v>
      </c>
      <c r="F766">
        <v>407423</v>
      </c>
      <c r="G766" s="81" t="s">
        <v>106</v>
      </c>
      <c r="H766" s="81" t="s">
        <v>31</v>
      </c>
      <c r="I766" s="3">
        <v>9000</v>
      </c>
      <c r="J766" s="3"/>
      <c r="K766" s="26">
        <v>9000</v>
      </c>
      <c r="L766" s="2">
        <v>3.3879999999999999</v>
      </c>
      <c r="M766" s="2">
        <v>30492</v>
      </c>
      <c r="N766" s="2">
        <v>30492</v>
      </c>
      <c r="O766" s="2">
        <v>106.6405</v>
      </c>
      <c r="P766" s="2">
        <v>103.2525</v>
      </c>
      <c r="Q766" s="2">
        <v>929272.51789999998</v>
      </c>
      <c r="R766" s="4">
        <v>0.96822970694084709</v>
      </c>
      <c r="T766">
        <v>311863</v>
      </c>
      <c r="U766" s="2"/>
      <c r="V766">
        <v>5947</v>
      </c>
      <c r="W766" s="2">
        <v>6579000000</v>
      </c>
      <c r="X766" s="6">
        <v>959764.51785405388</v>
      </c>
      <c r="Y766" s="38">
        <v>10010</v>
      </c>
      <c r="Z766" s="86">
        <f>+((DETALLE_GD_1[[#This Row],[VALOR X UN (GD)]]-DETALLE_GD_1[[#This Row],[VALOR PPTO]])/DETALLE_GD_1[[#This Row],[VALOR PPTO]])</f>
        <v>-0.96822970634983885</v>
      </c>
      <c r="AA766" s="2">
        <f>+DETALLE_GD_1[[#This Row],[VALOR PPTO]]*DETALLE_GD_1[[#This Row],[CANTIDAD RECIBIDA]]</f>
        <v>959764.5</v>
      </c>
      <c r="AB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6" s="3">
        <f>+DETALLE_GD_1[[#This Row],[CANTIDAD SOLICITADA]]-DETALLE_GD_1[[#This Row],[DEVOLUCIÓN]]</f>
        <v>9000</v>
      </c>
      <c r="AD766" s="38" t="str">
        <f>+_xlfn.XLOOKUP(DETALLE_GD_1[[#This Row],[CODIGO]],PRODUCTOS[CODIGO],PRODUCTOS[DESC CORTA],"",0)</f>
        <v>TORNILLO CRS 6X1 5/8</v>
      </c>
      <c r="AE766"/>
      <c r="AH766"/>
    </row>
    <row r="767" spans="1:34" x14ac:dyDescent="0.25">
      <c r="A767" s="1">
        <v>46121</v>
      </c>
      <c r="B767" s="1">
        <v>46121</v>
      </c>
      <c r="C767" s="81" t="s">
        <v>169</v>
      </c>
      <c r="D767" s="38">
        <v>4</v>
      </c>
      <c r="E767" s="81" t="s">
        <v>169</v>
      </c>
      <c r="F767">
        <v>1901086</v>
      </c>
      <c r="G767" s="81" t="s">
        <v>279</v>
      </c>
      <c r="H767" s="81" t="s">
        <v>26</v>
      </c>
      <c r="I767" s="3">
        <v>162</v>
      </c>
      <c r="J767" s="3"/>
      <c r="K767" s="26">
        <v>162</v>
      </c>
      <c r="L767" s="2">
        <v>3652.3209999999999</v>
      </c>
      <c r="M767" s="2">
        <v>591676</v>
      </c>
      <c r="N767" s="2">
        <v>591676</v>
      </c>
      <c r="O767" s="2">
        <v>3711.587</v>
      </c>
      <c r="P767" s="2">
        <v>59.266100000000002</v>
      </c>
      <c r="Q767" s="2">
        <v>9601.1005999999998</v>
      </c>
      <c r="R767" s="4">
        <v>1.5967846824282306E-2</v>
      </c>
      <c r="T767">
        <v>311863</v>
      </c>
      <c r="U767" s="2"/>
      <c r="V767">
        <v>5947</v>
      </c>
      <c r="W767" s="2">
        <v>6579000000</v>
      </c>
      <c r="X767" s="6">
        <v>601277.10064200009</v>
      </c>
      <c r="Y767" s="38">
        <v>10010</v>
      </c>
      <c r="Z767" s="86">
        <f>+((DETALLE_GD_1[[#This Row],[VALOR X UN (GD)]]-DETALLE_GD_1[[#This Row],[VALOR PPTO]])/DETALLE_GD_1[[#This Row],[VALOR PPTO]])</f>
        <v>-1.59678326279298E-2</v>
      </c>
      <c r="AA767" s="2">
        <f>+DETALLE_GD_1[[#This Row],[VALOR PPTO]]*DETALLE_GD_1[[#This Row],[CANTIDAD RECIBIDA]]</f>
        <v>601277.09400000004</v>
      </c>
      <c r="AB7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67" s="3">
        <f>+DETALLE_GD_1[[#This Row],[CANTIDAD SOLICITADA]]-DETALLE_GD_1[[#This Row],[DEVOLUCIÓN]]</f>
        <v>162</v>
      </c>
      <c r="AD767" s="38" t="str">
        <f>+_xlfn.XLOOKUP(DETALLE_GD_1[[#This Row],[CODIGO]],PRODUCTOS[CODIGO],PRODUCTOS[DESC CORTA],"",0)</f>
        <v>AISLAN GLASS 140MM</v>
      </c>
      <c r="AE767"/>
      <c r="AH767"/>
    </row>
    <row r="768" spans="1:34" x14ac:dyDescent="0.25">
      <c r="A768" s="1">
        <v>46121</v>
      </c>
      <c r="B768" s="1">
        <v>46121</v>
      </c>
      <c r="C768" s="81" t="s">
        <v>169</v>
      </c>
      <c r="D768" s="38">
        <v>4</v>
      </c>
      <c r="E768" s="81" t="s">
        <v>169</v>
      </c>
      <c r="F768">
        <v>1901038</v>
      </c>
      <c r="G768" s="81" t="s">
        <v>39</v>
      </c>
      <c r="H768" s="81" t="s">
        <v>26</v>
      </c>
      <c r="I768" s="3">
        <v>108</v>
      </c>
      <c r="J768" s="3"/>
      <c r="K768" s="26">
        <v>108</v>
      </c>
      <c r="L768" s="2">
        <v>4480.6574000000001</v>
      </c>
      <c r="M768" s="2">
        <v>483911</v>
      </c>
      <c r="N768" s="2">
        <v>483911</v>
      </c>
      <c r="O768" s="2">
        <v>4197.4179000000004</v>
      </c>
      <c r="P768" s="2">
        <v>-283.23950000000002</v>
      </c>
      <c r="Q768" s="2">
        <v>-30589.869500000001</v>
      </c>
      <c r="R768" s="4">
        <v>-6.7479469722181704E-2</v>
      </c>
      <c r="T768">
        <v>311863</v>
      </c>
      <c r="U768" s="2"/>
      <c r="V768">
        <v>5947</v>
      </c>
      <c r="W768" s="2">
        <v>6579000000</v>
      </c>
      <c r="X768" s="6">
        <v>453321.13050000009</v>
      </c>
      <c r="Y768" s="38">
        <v>10010</v>
      </c>
      <c r="Z768" s="86">
        <f>+((DETALLE_GD_1[[#This Row],[VALOR X UN (GD)]]-DETALLE_GD_1[[#This Row],[VALOR PPTO]])/DETALLE_GD_1[[#This Row],[VALOR PPTO]])</f>
        <v>6.7479461599475155E-2</v>
      </c>
      <c r="AA768" s="2">
        <f>+DETALLE_GD_1[[#This Row],[VALOR PPTO]]*DETALLE_GD_1[[#This Row],[CANTIDAD RECIBIDA]]</f>
        <v>453321.13320000004</v>
      </c>
      <c r="AB7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68" s="3">
        <f>+DETALLE_GD_1[[#This Row],[CANTIDAD SOLICITADA]]-DETALLE_GD_1[[#This Row],[DEVOLUCIÓN]]</f>
        <v>108</v>
      </c>
      <c r="AD768" s="38" t="str">
        <f>+_xlfn.XLOOKUP(DETALLE_GD_1[[#This Row],[CODIGO]],PRODUCTOS[CODIGO],PRODUCTOS[DESC CORTA],"",0)</f>
        <v>AISLAN ROCA 90MM</v>
      </c>
      <c r="AE768"/>
      <c r="AH768"/>
    </row>
    <row r="769" spans="1:34" x14ac:dyDescent="0.25">
      <c r="A769" s="1">
        <v>46121</v>
      </c>
      <c r="B769" s="1">
        <v>46121</v>
      </c>
      <c r="C769" s="81" t="s">
        <v>169</v>
      </c>
      <c r="D769" s="38">
        <v>4</v>
      </c>
      <c r="E769" s="81" t="s">
        <v>169</v>
      </c>
      <c r="F769">
        <v>1901008</v>
      </c>
      <c r="G769" s="81" t="s">
        <v>278</v>
      </c>
      <c r="H769" s="81" t="s">
        <v>26</v>
      </c>
      <c r="I769" s="3">
        <v>270</v>
      </c>
      <c r="J769" s="3"/>
      <c r="K769" s="26">
        <v>270</v>
      </c>
      <c r="L769" s="2">
        <v>2049.8332999999998</v>
      </c>
      <c r="M769" s="2">
        <v>553455</v>
      </c>
      <c r="N769" s="2">
        <v>553455</v>
      </c>
      <c r="O769" s="2">
        <v>2112.7957999999999</v>
      </c>
      <c r="P769" s="2">
        <v>62.962400000000002</v>
      </c>
      <c r="Q769" s="2">
        <v>16999.8603</v>
      </c>
      <c r="R769" s="4">
        <v>2.9800535523820049E-2</v>
      </c>
      <c r="T769">
        <v>311863</v>
      </c>
      <c r="U769" s="2"/>
      <c r="V769">
        <v>5947</v>
      </c>
      <c r="W769" s="2">
        <v>6579000000</v>
      </c>
      <c r="X769" s="6">
        <v>570454.86033000005</v>
      </c>
      <c r="Y769" s="38">
        <v>10010</v>
      </c>
      <c r="Z769" s="86">
        <f>+((DETALLE_GD_1[[#This Row],[VALOR X UN (GD)]]-DETALLE_GD_1[[#This Row],[VALOR PPTO]])/DETALLE_GD_1[[#This Row],[VALOR PPTO]])</f>
        <v>-2.9800560943939822E-2</v>
      </c>
      <c r="AA769" s="2">
        <f>+DETALLE_GD_1[[#This Row],[VALOR PPTO]]*DETALLE_GD_1[[#This Row],[CANTIDAD RECIBIDA]]</f>
        <v>570454.86599999992</v>
      </c>
      <c r="AB7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69" s="3">
        <f>+DETALLE_GD_1[[#This Row],[CANTIDAD SOLICITADA]]-DETALLE_GD_1[[#This Row],[DEVOLUCIÓN]]</f>
        <v>270</v>
      </c>
      <c r="AD769" s="38" t="str">
        <f>+_xlfn.XLOOKUP(DETALLE_GD_1[[#This Row],[CODIGO]],PRODUCTOS[CODIGO],PRODUCTOS[DESC CORTA],"",0)</f>
        <v>AISLAN GLASS 90MM</v>
      </c>
      <c r="AE769"/>
      <c r="AH769"/>
    </row>
    <row r="770" spans="1:34" x14ac:dyDescent="0.25">
      <c r="A770" s="1">
        <v>46121</v>
      </c>
      <c r="B770" s="1">
        <v>46121</v>
      </c>
      <c r="C770" s="81" t="s">
        <v>169</v>
      </c>
      <c r="D770" s="38">
        <v>4</v>
      </c>
      <c r="E770" s="81" t="s">
        <v>169</v>
      </c>
      <c r="F770">
        <v>602258</v>
      </c>
      <c r="G770" s="81" t="s">
        <v>497</v>
      </c>
      <c r="H770" s="81" t="s">
        <v>25</v>
      </c>
      <c r="I770" s="3">
        <v>4</v>
      </c>
      <c r="J770" s="3"/>
      <c r="K770" s="26">
        <v>4</v>
      </c>
      <c r="L770" s="2">
        <v>84000</v>
      </c>
      <c r="M770" s="2">
        <v>336000</v>
      </c>
      <c r="N770" s="2">
        <v>336000</v>
      </c>
      <c r="O770" s="2">
        <v>84000</v>
      </c>
      <c r="P770" s="2">
        <v>0</v>
      </c>
      <c r="Q770" s="2">
        <v>0</v>
      </c>
      <c r="R770" s="4">
        <v>0</v>
      </c>
      <c r="T770">
        <v>311863</v>
      </c>
      <c r="U770" s="2"/>
      <c r="V770">
        <v>5947</v>
      </c>
      <c r="W770" s="2">
        <v>6579000000</v>
      </c>
      <c r="X770" s="6">
        <v>336000</v>
      </c>
      <c r="Y770" s="38">
        <v>10010</v>
      </c>
      <c r="Z770" s="86">
        <f>+((DETALLE_GD_1[[#This Row],[VALOR X UN (GD)]]-DETALLE_GD_1[[#This Row],[VALOR PPTO]])/DETALLE_GD_1[[#This Row],[VALOR PPTO]])</f>
        <v>0</v>
      </c>
      <c r="AA770" s="2">
        <f>+DETALLE_GD_1[[#This Row],[VALOR PPTO]]*DETALLE_GD_1[[#This Row],[CANTIDAD RECIBIDA]]</f>
        <v>336000</v>
      </c>
      <c r="AB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0" s="3">
        <f>+DETALLE_GD_1[[#This Row],[CANTIDAD SOLICITADA]]-DETALLE_GD_1[[#This Row],[DEVOLUCIÓN]]</f>
        <v>4</v>
      </c>
      <c r="AD770" s="38" t="str">
        <f>+_xlfn.XLOOKUP(DETALLE_GD_1[[#This Row],[CODIGO]],PRODUCTOS[CODIGO],PRODUCTOS[DESC CORTA],"",0)</f>
        <v>TERMINACION TOP COAT</v>
      </c>
      <c r="AE770"/>
      <c r="AH770"/>
    </row>
    <row r="771" spans="1:34" x14ac:dyDescent="0.25">
      <c r="A771" s="1">
        <v>46121</v>
      </c>
      <c r="B771" s="1">
        <v>46121</v>
      </c>
      <c r="C771" s="81" t="s">
        <v>169</v>
      </c>
      <c r="D771" s="38">
        <v>4</v>
      </c>
      <c r="E771" s="81" t="s">
        <v>169</v>
      </c>
      <c r="F771">
        <v>602257</v>
      </c>
      <c r="G771" s="81" t="s">
        <v>496</v>
      </c>
      <c r="H771" s="81" t="s">
        <v>25</v>
      </c>
      <c r="I771" s="3">
        <v>4</v>
      </c>
      <c r="J771" s="3"/>
      <c r="K771" s="26">
        <v>4</v>
      </c>
      <c r="L771" s="2">
        <v>118000</v>
      </c>
      <c r="M771" s="2">
        <v>472000</v>
      </c>
      <c r="N771" s="2">
        <v>472000</v>
      </c>
      <c r="O771" s="2">
        <v>118000</v>
      </c>
      <c r="P771" s="2">
        <v>0</v>
      </c>
      <c r="Q771" s="2">
        <v>0</v>
      </c>
      <c r="R771" s="4">
        <v>1.233213154946E-16</v>
      </c>
      <c r="T771">
        <v>311863</v>
      </c>
      <c r="U771" s="2"/>
      <c r="V771">
        <v>5947</v>
      </c>
      <c r="W771" s="2">
        <v>6579000000</v>
      </c>
      <c r="X771" s="6">
        <v>472000.00000000006</v>
      </c>
      <c r="Y771" s="38">
        <v>10010</v>
      </c>
      <c r="Z771" s="86">
        <f>+((DETALLE_GD_1[[#This Row],[VALOR X UN (GD)]]-DETALLE_GD_1[[#This Row],[VALOR PPTO]])/DETALLE_GD_1[[#This Row],[VALOR PPTO]])</f>
        <v>0</v>
      </c>
      <c r="AA771" s="2">
        <f>+DETALLE_GD_1[[#This Row],[VALOR PPTO]]*DETALLE_GD_1[[#This Row],[CANTIDAD RECIBIDA]]</f>
        <v>472000</v>
      </c>
      <c r="AB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1" s="3">
        <f>+DETALLE_GD_1[[#This Row],[CANTIDAD SOLICITADA]]-DETALLE_GD_1[[#This Row],[DEVOLUCIÓN]]</f>
        <v>4</v>
      </c>
      <c r="AD771" s="38" t="str">
        <f>+_xlfn.XLOOKUP(DETALLE_GD_1[[#This Row],[CODIGO]],PRODUCTOS[CODIGO],PRODUCTOS[DESC CORTA],"",0)</f>
        <v>RECUBRIMIENTO INTERMEDIO TEXTURADA</v>
      </c>
      <c r="AE771"/>
      <c r="AH771"/>
    </row>
    <row r="772" spans="1:34" x14ac:dyDescent="0.25">
      <c r="A772" s="1">
        <v>46121</v>
      </c>
      <c r="B772" s="1">
        <v>46121</v>
      </c>
      <c r="C772" s="81" t="s">
        <v>169</v>
      </c>
      <c r="D772" s="38">
        <v>4</v>
      </c>
      <c r="E772" s="81" t="s">
        <v>169</v>
      </c>
      <c r="F772">
        <v>602256</v>
      </c>
      <c r="G772" s="81" t="s">
        <v>495</v>
      </c>
      <c r="H772" s="81" t="s">
        <v>25</v>
      </c>
      <c r="I772" s="3">
        <v>2</v>
      </c>
      <c r="J772" s="3"/>
      <c r="K772" s="26">
        <v>2</v>
      </c>
      <c r="L772" s="2">
        <v>59000</v>
      </c>
      <c r="M772" s="2">
        <v>118000</v>
      </c>
      <c r="N772" s="2">
        <v>118000</v>
      </c>
      <c r="O772" s="2">
        <v>59000</v>
      </c>
      <c r="P772" s="2">
        <v>0</v>
      </c>
      <c r="Q772" s="2">
        <v>0</v>
      </c>
      <c r="R772" s="4">
        <v>0</v>
      </c>
      <c r="T772">
        <v>311863</v>
      </c>
      <c r="U772" s="2"/>
      <c r="V772">
        <v>5947</v>
      </c>
      <c r="W772" s="2">
        <v>6579000000</v>
      </c>
      <c r="X772" s="6">
        <v>118000</v>
      </c>
      <c r="Y772" s="38">
        <v>10010</v>
      </c>
      <c r="Z772" s="86">
        <f>+((DETALLE_GD_1[[#This Row],[VALOR X UN (GD)]]-DETALLE_GD_1[[#This Row],[VALOR PPTO]])/DETALLE_GD_1[[#This Row],[VALOR PPTO]])</f>
        <v>0</v>
      </c>
      <c r="AA772" s="2">
        <f>+DETALLE_GD_1[[#This Row],[VALOR PPTO]]*DETALLE_GD_1[[#This Row],[CANTIDAD RECIBIDA]]</f>
        <v>118000</v>
      </c>
      <c r="AB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2" s="3">
        <f>+DETALLE_GD_1[[#This Row],[CANTIDAD SOLICITADA]]-DETALLE_GD_1[[#This Row],[DEVOLUCIÓN]]</f>
        <v>2</v>
      </c>
      <c r="AD772" s="38">
        <f>+_xlfn.XLOOKUP(DETALLE_GD_1[[#This Row],[CODIGO]],PRODUCTOS[CODIGO],PRODUCTOS[DESC CORTA],"",0)</f>
        <v>0</v>
      </c>
      <c r="AE772"/>
      <c r="AH772"/>
    </row>
    <row r="773" spans="1:34" x14ac:dyDescent="0.25">
      <c r="A773" s="1">
        <v>46121</v>
      </c>
      <c r="B773" s="1">
        <v>46121</v>
      </c>
      <c r="C773" s="81" t="s">
        <v>169</v>
      </c>
      <c r="D773" s="38">
        <v>4</v>
      </c>
      <c r="E773" s="81" t="s">
        <v>169</v>
      </c>
      <c r="F773">
        <v>302054</v>
      </c>
      <c r="G773" s="81" t="s">
        <v>356</v>
      </c>
      <c r="H773" s="81" t="s">
        <v>20</v>
      </c>
      <c r="I773" s="3">
        <v>624</v>
      </c>
      <c r="J773" s="3"/>
      <c r="K773" s="26">
        <v>624</v>
      </c>
      <c r="L773" s="2">
        <v>5239.2788</v>
      </c>
      <c r="M773" s="2">
        <v>3269310</v>
      </c>
      <c r="N773" s="2">
        <v>3269310</v>
      </c>
      <c r="O773" s="2">
        <v>5713</v>
      </c>
      <c r="P773" s="2">
        <v>473.72120000000001</v>
      </c>
      <c r="Q773" s="2">
        <v>295602</v>
      </c>
      <c r="R773" s="4">
        <v>8.2919858891327539E-2</v>
      </c>
      <c r="T773">
        <v>311863</v>
      </c>
      <c r="U773" s="2"/>
      <c r="V773">
        <v>5947</v>
      </c>
      <c r="W773" s="2">
        <v>6579000000</v>
      </c>
      <c r="X773" s="6">
        <v>3564912</v>
      </c>
      <c r="Y773" s="38">
        <v>10010</v>
      </c>
      <c r="Z773" s="86">
        <f>+((DETALLE_GD_1[[#This Row],[VALOR X UN (GD)]]-DETALLE_GD_1[[#This Row],[VALOR PPTO]])/DETALLE_GD_1[[#This Row],[VALOR PPTO]])</f>
        <v>-8.2919866970068257E-2</v>
      </c>
      <c r="AA773" s="2">
        <f>+DETALLE_GD_1[[#This Row],[VALOR PPTO]]*DETALLE_GD_1[[#This Row],[CANTIDAD RECIBIDA]]</f>
        <v>3564912</v>
      </c>
      <c r="AB7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73" s="3">
        <f>+DETALLE_GD_1[[#This Row],[CANTIDAD SOLICITADA]]-DETALLE_GD_1[[#This Row],[DEVOLUCIÓN]]</f>
        <v>624</v>
      </c>
      <c r="AD773" s="38">
        <f>+_xlfn.XLOOKUP(DETALLE_GD_1[[#This Row],[CODIGO]],PRODUCTOS[CODIGO],PRODUCTOS[DESC CORTA],"",0)</f>
        <v>0</v>
      </c>
      <c r="AE773"/>
      <c r="AH773"/>
    </row>
    <row r="774" spans="1:34" x14ac:dyDescent="0.25">
      <c r="A774" s="1">
        <v>46121</v>
      </c>
      <c r="B774" s="1">
        <v>46121</v>
      </c>
      <c r="C774" s="81" t="s">
        <v>169</v>
      </c>
      <c r="D774" s="38">
        <v>4</v>
      </c>
      <c r="E774" s="81" t="s">
        <v>169</v>
      </c>
      <c r="F774">
        <v>302028</v>
      </c>
      <c r="G774" s="81" t="s">
        <v>246</v>
      </c>
      <c r="H774" s="81" t="s">
        <v>20</v>
      </c>
      <c r="I774" s="3">
        <v>240</v>
      </c>
      <c r="J774" s="3"/>
      <c r="K774" s="26">
        <v>240</v>
      </c>
      <c r="L774" s="2">
        <v>4955.3999999999996</v>
      </c>
      <c r="M774" s="2">
        <v>1189296</v>
      </c>
      <c r="N774" s="2">
        <v>1189296</v>
      </c>
      <c r="O774" s="2">
        <v>5123.8024999999998</v>
      </c>
      <c r="P774" s="2">
        <v>168.4025</v>
      </c>
      <c r="Q774" s="2">
        <v>40416.606500000002</v>
      </c>
      <c r="R774" s="4">
        <v>3.2866709072529789E-2</v>
      </c>
      <c r="T774">
        <v>311863</v>
      </c>
      <c r="U774" s="2"/>
      <c r="V774">
        <v>5947</v>
      </c>
      <c r="W774" s="2">
        <v>6579000000</v>
      </c>
      <c r="X774" s="6">
        <v>1229712.6064800003</v>
      </c>
      <c r="Y774" s="38">
        <v>10010</v>
      </c>
      <c r="Z774" s="86">
        <f>+((DETALLE_GD_1[[#This Row],[VALOR X UN (GD)]]-DETALLE_GD_1[[#This Row],[VALOR PPTO]])/DETALLE_GD_1[[#This Row],[VALOR PPTO]])</f>
        <v>-3.2866703976197398E-2</v>
      </c>
      <c r="AA774" s="2">
        <f>+DETALLE_GD_1[[#This Row],[VALOR PPTO]]*DETALLE_GD_1[[#This Row],[CANTIDAD RECIBIDA]]</f>
        <v>1229712.5999999999</v>
      </c>
      <c r="AB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74" s="3">
        <f>+DETALLE_GD_1[[#This Row],[CANTIDAD SOLICITADA]]-DETALLE_GD_1[[#This Row],[DEVOLUCIÓN]]</f>
        <v>240</v>
      </c>
      <c r="AD774" s="38" t="str">
        <f>+_xlfn.XLOOKUP(DETALLE_GD_1[[#This Row],[CODIGO]],PRODUCTOS[CODIGO],PRODUCTOS[DESC CORTA],"",0)</f>
        <v>PINO 2X4X320</v>
      </c>
      <c r="AE774"/>
      <c r="AH774"/>
    </row>
    <row r="775" spans="1:34" x14ac:dyDescent="0.25">
      <c r="A775" s="1">
        <v>46121</v>
      </c>
      <c r="B775" s="1">
        <v>46121</v>
      </c>
      <c r="C775" s="81" t="s">
        <v>169</v>
      </c>
      <c r="D775" s="38">
        <v>4</v>
      </c>
      <c r="E775" s="81" t="s">
        <v>169</v>
      </c>
      <c r="F775">
        <v>302048</v>
      </c>
      <c r="G775" s="81" t="s">
        <v>126</v>
      </c>
      <c r="H775" s="81" t="s">
        <v>20</v>
      </c>
      <c r="I775" s="3">
        <v>216</v>
      </c>
      <c r="J775" s="3"/>
      <c r="K775" s="26">
        <v>216</v>
      </c>
      <c r="L775" s="2">
        <v>12921.9213</v>
      </c>
      <c r="M775" s="2">
        <v>2791135</v>
      </c>
      <c r="N775" s="2">
        <v>2791135</v>
      </c>
      <c r="O775" s="2">
        <v>13710.695</v>
      </c>
      <c r="P775" s="2">
        <v>788.77369999999996</v>
      </c>
      <c r="Q775" s="2">
        <v>170375.1116</v>
      </c>
      <c r="R775" s="4">
        <v>5.7529809170677799E-2</v>
      </c>
      <c r="T775">
        <v>311863</v>
      </c>
      <c r="U775" s="2"/>
      <c r="V775">
        <v>5947</v>
      </c>
      <c r="W775" s="2">
        <v>6579000000</v>
      </c>
      <c r="X775" s="6">
        <v>2961510.1115760002</v>
      </c>
      <c r="Y775" s="38">
        <v>10010</v>
      </c>
      <c r="Z775" s="86">
        <f>+((DETALLE_GD_1[[#This Row],[VALOR X UN (GD)]]-DETALLE_GD_1[[#This Row],[VALOR PPTO]])/DETALLE_GD_1[[#This Row],[VALOR PPTO]])</f>
        <v>-5.7529811581396841E-2</v>
      </c>
      <c r="AA775" s="2">
        <f>+DETALLE_GD_1[[#This Row],[VALOR PPTO]]*DETALLE_GD_1[[#This Row],[CANTIDAD RECIBIDA]]</f>
        <v>2961510.12</v>
      </c>
      <c r="AB7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75" s="3">
        <f>+DETALLE_GD_1[[#This Row],[CANTIDAD SOLICITADA]]-DETALLE_GD_1[[#This Row],[DEVOLUCIÓN]]</f>
        <v>216</v>
      </c>
      <c r="AD775" s="38" t="str">
        <f>+_xlfn.XLOOKUP(DETALLE_GD_1[[#This Row],[CODIGO]],PRODUCTOS[CODIGO],PRODUCTOS[DESC CORTA],"",0)</f>
        <v>PINO 2X8X4</v>
      </c>
      <c r="AE775"/>
      <c r="AH775"/>
    </row>
    <row r="776" spans="1:34" x14ac:dyDescent="0.25">
      <c r="A776" s="1">
        <v>46121</v>
      </c>
      <c r="B776" s="1">
        <v>46121</v>
      </c>
      <c r="C776" s="81" t="s">
        <v>169</v>
      </c>
      <c r="D776" s="38">
        <v>4</v>
      </c>
      <c r="E776" s="81" t="s">
        <v>169</v>
      </c>
      <c r="F776" t="s">
        <v>21</v>
      </c>
      <c r="G776" s="81" t="s">
        <v>22</v>
      </c>
      <c r="H776" s="81" t="s">
        <v>20</v>
      </c>
      <c r="I776" s="3">
        <v>48</v>
      </c>
      <c r="J776" s="3"/>
      <c r="K776" s="26">
        <v>48</v>
      </c>
      <c r="L776" s="2">
        <v>15359.7083</v>
      </c>
      <c r="M776" s="2">
        <v>737266</v>
      </c>
      <c r="N776" s="2">
        <v>737266</v>
      </c>
      <c r="O776" s="2">
        <v>15359.702799999999</v>
      </c>
      <c r="P776" s="2">
        <v>-5.4999999999999997E-3</v>
      </c>
      <c r="Q776" s="2">
        <v>-0.26629999999999998</v>
      </c>
      <c r="R776" s="4">
        <v>-3.6122660760245355E-7</v>
      </c>
      <c r="T776">
        <v>311863</v>
      </c>
      <c r="U776" s="2"/>
      <c r="V776">
        <v>5947</v>
      </c>
      <c r="W776" s="2">
        <v>6579000000</v>
      </c>
      <c r="X776" s="6">
        <v>737265.73368000018</v>
      </c>
      <c r="Y776" s="38">
        <v>10010</v>
      </c>
      <c r="Z776" s="86">
        <f>+((DETALLE_GD_1[[#This Row],[VALOR X UN (GD)]]-DETALLE_GD_1[[#This Row],[VALOR PPTO]])/DETALLE_GD_1[[#This Row],[VALOR PPTO]])</f>
        <v>3.5807984521162076E-7</v>
      </c>
      <c r="AA776" s="2">
        <f>+DETALLE_GD_1[[#This Row],[VALOR PPTO]]*DETALLE_GD_1[[#This Row],[CANTIDAD RECIBIDA]]</f>
        <v>737265.73439999996</v>
      </c>
      <c r="AB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76" s="3">
        <f>+DETALLE_GD_1[[#This Row],[CANTIDAD SOLICITADA]]-DETALLE_GD_1[[#This Row],[DEVOLUCIÓN]]</f>
        <v>48</v>
      </c>
      <c r="AD776" s="38" t="str">
        <f>+_xlfn.XLOOKUP(DETALLE_GD_1[[#This Row],[CODIGO]],PRODUCTOS[CODIGO],PRODUCTOS[DESC CORTA],"",0)</f>
        <v>PINO 3X8X320</v>
      </c>
      <c r="AE776"/>
      <c r="AH776"/>
    </row>
    <row r="777" spans="1:34" x14ac:dyDescent="0.25">
      <c r="A777" s="1">
        <v>46121</v>
      </c>
      <c r="B777" s="1">
        <v>46121</v>
      </c>
      <c r="C777" s="81" t="s">
        <v>169</v>
      </c>
      <c r="D777" s="38">
        <v>4</v>
      </c>
      <c r="E777" s="81" t="s">
        <v>169</v>
      </c>
      <c r="F777">
        <v>1103105</v>
      </c>
      <c r="G777" s="81" t="s">
        <v>558</v>
      </c>
      <c r="H777" s="81" t="s">
        <v>140</v>
      </c>
      <c r="I777" s="3">
        <v>72</v>
      </c>
      <c r="J777" s="3"/>
      <c r="K777" s="26">
        <v>72</v>
      </c>
      <c r="L777" s="2">
        <v>1200</v>
      </c>
      <c r="M777" s="2">
        <v>86400</v>
      </c>
      <c r="N777" s="2">
        <v>86400</v>
      </c>
      <c r="O777" s="2">
        <v>5092</v>
      </c>
      <c r="P777" s="2">
        <v>3892</v>
      </c>
      <c r="Q777" s="2">
        <v>280224</v>
      </c>
      <c r="R777" s="4">
        <v>0.76433621366849946</v>
      </c>
      <c r="T777">
        <v>311897</v>
      </c>
      <c r="U777" s="2">
        <v>172800</v>
      </c>
      <c r="V777">
        <v>6000</v>
      </c>
      <c r="W777" s="2">
        <v>6579000000</v>
      </c>
      <c r="X777" s="6">
        <v>366624</v>
      </c>
      <c r="Y777" s="38">
        <v>10010</v>
      </c>
      <c r="Z777" s="86">
        <f>+((DETALLE_GD_1[[#This Row],[VALOR X UN (GD)]]-DETALLE_GD_1[[#This Row],[VALOR PPTO]])/DETALLE_GD_1[[#This Row],[VALOR PPTO]])</f>
        <v>-0.76433621366849958</v>
      </c>
      <c r="AA777" s="2">
        <f>+DETALLE_GD_1[[#This Row],[VALOR PPTO]]*DETALLE_GD_1[[#This Row],[CANTIDAD RECIBIDA]]</f>
        <v>366624</v>
      </c>
      <c r="AB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7" s="3">
        <f>+DETALLE_GD_1[[#This Row],[CANTIDAD SOLICITADA]]-DETALLE_GD_1[[#This Row],[DEVOLUCIÓN]]</f>
        <v>72</v>
      </c>
      <c r="AD777" s="38" t="str">
        <f>+_xlfn.XLOOKUP(DETALLE_GD_1[[#This Row],[CODIGO]],PRODUCTOS[CODIGO],PRODUCTOS[DESC CORTA],"",0)</f>
        <v/>
      </c>
      <c r="AE777"/>
      <c r="AH777"/>
    </row>
    <row r="778" spans="1:34" x14ac:dyDescent="0.25">
      <c r="A778" s="1">
        <v>46121</v>
      </c>
      <c r="B778" s="1">
        <v>46121</v>
      </c>
      <c r="C778" s="81" t="s">
        <v>169</v>
      </c>
      <c r="D778" s="38">
        <v>4</v>
      </c>
      <c r="E778" s="81" t="s">
        <v>169</v>
      </c>
      <c r="F778">
        <v>1103107</v>
      </c>
      <c r="G778" s="81" t="s">
        <v>559</v>
      </c>
      <c r="H778" s="81" t="s">
        <v>140</v>
      </c>
      <c r="I778" s="3">
        <v>72</v>
      </c>
      <c r="J778" s="3"/>
      <c r="K778" s="26">
        <v>72</v>
      </c>
      <c r="L778" s="2">
        <v>1200</v>
      </c>
      <c r="M778" s="2">
        <v>86400</v>
      </c>
      <c r="N778" s="2">
        <v>86400</v>
      </c>
      <c r="O778" s="2">
        <v>5092</v>
      </c>
      <c r="P778" s="2">
        <v>3892</v>
      </c>
      <c r="Q778" s="2">
        <v>280224</v>
      </c>
      <c r="R778" s="4">
        <v>0.76433621366849946</v>
      </c>
      <c r="T778">
        <v>311897</v>
      </c>
      <c r="U778" s="2"/>
      <c r="V778">
        <v>6000</v>
      </c>
      <c r="W778" s="2">
        <v>6579000000</v>
      </c>
      <c r="X778" s="6">
        <v>366624</v>
      </c>
      <c r="Y778" s="38">
        <v>10010</v>
      </c>
      <c r="Z778" s="86">
        <f>+((DETALLE_GD_1[[#This Row],[VALOR X UN (GD)]]-DETALLE_GD_1[[#This Row],[VALOR PPTO]])/DETALLE_GD_1[[#This Row],[VALOR PPTO]])</f>
        <v>-0.76433621366849958</v>
      </c>
      <c r="AA778" s="2">
        <f>+DETALLE_GD_1[[#This Row],[VALOR PPTO]]*DETALLE_GD_1[[#This Row],[CANTIDAD RECIBIDA]]</f>
        <v>366624</v>
      </c>
      <c r="AB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8" s="3">
        <f>+DETALLE_GD_1[[#This Row],[CANTIDAD SOLICITADA]]-DETALLE_GD_1[[#This Row],[DEVOLUCIÓN]]</f>
        <v>72</v>
      </c>
      <c r="AD778" s="38" t="str">
        <f>+_xlfn.XLOOKUP(DETALLE_GD_1[[#This Row],[CODIGO]],PRODUCTOS[CODIGO],PRODUCTOS[DESC CORTA],"",0)</f>
        <v/>
      </c>
      <c r="AE778"/>
      <c r="AH778"/>
    </row>
    <row r="779" spans="1:34" x14ac:dyDescent="0.25">
      <c r="A779" s="1">
        <v>46121</v>
      </c>
      <c r="B779" s="1">
        <v>46121</v>
      </c>
      <c r="C779" s="81" t="s">
        <v>169</v>
      </c>
      <c r="D779" s="38">
        <v>4</v>
      </c>
      <c r="E779" s="81" t="s">
        <v>169</v>
      </c>
      <c r="F779">
        <v>1103086</v>
      </c>
      <c r="G779" s="81" t="s">
        <v>560</v>
      </c>
      <c r="H779" s="81" t="s">
        <v>31</v>
      </c>
      <c r="I779" s="3">
        <v>25</v>
      </c>
      <c r="J779" s="3"/>
      <c r="K779" s="26">
        <v>25</v>
      </c>
      <c r="L779" s="2">
        <v>10466</v>
      </c>
      <c r="M779" s="2">
        <v>261650</v>
      </c>
      <c r="N779" s="2">
        <v>261650</v>
      </c>
      <c r="O779" s="2">
        <v>10466</v>
      </c>
      <c r="P779" s="2">
        <v>0</v>
      </c>
      <c r="Q779" s="2">
        <v>0</v>
      </c>
      <c r="R779" s="4">
        <v>0</v>
      </c>
      <c r="T779">
        <v>311900</v>
      </c>
      <c r="U779" s="2">
        <v>507675</v>
      </c>
      <c r="V779">
        <v>6000</v>
      </c>
      <c r="W779" s="2">
        <v>6579000000</v>
      </c>
      <c r="X779" s="6">
        <v>261650</v>
      </c>
      <c r="Y779" s="38">
        <v>10010</v>
      </c>
      <c r="Z779" s="86">
        <f>+((DETALLE_GD_1[[#This Row],[VALOR X UN (GD)]]-DETALLE_GD_1[[#This Row],[VALOR PPTO]])/DETALLE_GD_1[[#This Row],[VALOR PPTO]])</f>
        <v>0</v>
      </c>
      <c r="AA779" s="2">
        <f>+DETALLE_GD_1[[#This Row],[VALOR PPTO]]*DETALLE_GD_1[[#This Row],[CANTIDAD RECIBIDA]]</f>
        <v>261650</v>
      </c>
      <c r="AB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9" s="3">
        <f>+DETALLE_GD_1[[#This Row],[CANTIDAD SOLICITADA]]-DETALLE_GD_1[[#This Row],[DEVOLUCIÓN]]</f>
        <v>25</v>
      </c>
      <c r="AD779" s="38" t="str">
        <f>+_xlfn.XLOOKUP(DETALLE_GD_1[[#This Row],[CODIGO]],PRODUCTOS[CODIGO],PRODUCTOS[DESC CORTA],"",0)</f>
        <v>E</v>
      </c>
      <c r="AE779"/>
      <c r="AH779"/>
    </row>
    <row r="780" spans="1:34" x14ac:dyDescent="0.25">
      <c r="A780" s="1">
        <v>46121</v>
      </c>
      <c r="B780" s="1">
        <v>46121</v>
      </c>
      <c r="C780" s="81" t="s">
        <v>169</v>
      </c>
      <c r="D780" s="38">
        <v>4</v>
      </c>
      <c r="E780" s="81" t="s">
        <v>169</v>
      </c>
      <c r="F780">
        <v>1103087</v>
      </c>
      <c r="G780" s="81" t="s">
        <v>561</v>
      </c>
      <c r="H780" s="81" t="s">
        <v>31</v>
      </c>
      <c r="I780" s="3">
        <v>25</v>
      </c>
      <c r="J780" s="3"/>
      <c r="K780" s="26">
        <v>25</v>
      </c>
      <c r="L780" s="2">
        <v>9841</v>
      </c>
      <c r="M780" s="2">
        <v>246025</v>
      </c>
      <c r="N780" s="2">
        <v>246025</v>
      </c>
      <c r="O780" s="2">
        <v>9841</v>
      </c>
      <c r="P780" s="2">
        <v>0</v>
      </c>
      <c r="Q780" s="2">
        <v>0</v>
      </c>
      <c r="R780" s="4">
        <v>0</v>
      </c>
      <c r="T780">
        <v>311900</v>
      </c>
      <c r="U780" s="2"/>
      <c r="V780">
        <v>6000</v>
      </c>
      <c r="W780" s="2">
        <v>6579000000</v>
      </c>
      <c r="X780" s="6">
        <v>246025</v>
      </c>
      <c r="Y780" s="38">
        <v>10010</v>
      </c>
      <c r="Z780" s="86">
        <f>+((DETALLE_GD_1[[#This Row],[VALOR X UN (GD)]]-DETALLE_GD_1[[#This Row],[VALOR PPTO]])/DETALLE_GD_1[[#This Row],[VALOR PPTO]])</f>
        <v>0</v>
      </c>
      <c r="AA780" s="2">
        <f>+DETALLE_GD_1[[#This Row],[VALOR PPTO]]*DETALLE_GD_1[[#This Row],[CANTIDAD RECIBIDA]]</f>
        <v>246025</v>
      </c>
      <c r="AB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0" s="3">
        <f>+DETALLE_GD_1[[#This Row],[CANTIDAD SOLICITADA]]-DETALLE_GD_1[[#This Row],[DEVOLUCIÓN]]</f>
        <v>25</v>
      </c>
      <c r="AD780" s="38" t="str">
        <f>+_xlfn.XLOOKUP(DETALLE_GD_1[[#This Row],[CODIGO]],PRODUCTOS[CODIGO],PRODUCTOS[DESC CORTA],"",0)</f>
        <v>E</v>
      </c>
      <c r="AE780"/>
      <c r="AH780"/>
    </row>
    <row r="781" spans="1:34" x14ac:dyDescent="0.25">
      <c r="A781" s="1">
        <v>46122</v>
      </c>
      <c r="B781" s="1">
        <v>46122</v>
      </c>
      <c r="C781" s="81" t="s">
        <v>169</v>
      </c>
      <c r="D781" s="38">
        <v>4</v>
      </c>
      <c r="E781" s="81" t="s">
        <v>169</v>
      </c>
      <c r="F781">
        <v>2304008</v>
      </c>
      <c r="G781" s="81" t="s">
        <v>707</v>
      </c>
      <c r="H781" s="81" t="s">
        <v>31</v>
      </c>
      <c r="I781" s="3">
        <v>24</v>
      </c>
      <c r="J781" s="3"/>
      <c r="K781" s="26">
        <v>24</v>
      </c>
      <c r="L781" s="2">
        <v>1651.9167</v>
      </c>
      <c r="M781" s="2">
        <v>39646</v>
      </c>
      <c r="N781" s="2">
        <v>39646</v>
      </c>
      <c r="O781" s="2"/>
      <c r="P781" s="2"/>
      <c r="Q781" s="2">
        <v>-39646</v>
      </c>
      <c r="R781" s="4"/>
      <c r="T781">
        <v>311946</v>
      </c>
      <c r="U781" s="2">
        <v>2282650</v>
      </c>
      <c r="V781">
        <v>5947</v>
      </c>
      <c r="W781" s="2">
        <v>6579000000</v>
      </c>
      <c r="X781" s="6" t="s">
        <v>355</v>
      </c>
      <c r="Y781" s="38">
        <v>10010</v>
      </c>
      <c r="Z781" s="86" t="e">
        <f>+((DETALLE_GD_1[[#This Row],[VALOR X UN (GD)]]-DETALLE_GD_1[[#This Row],[VALOR PPTO]])/DETALLE_GD_1[[#This Row],[VALOR PPTO]])</f>
        <v>#DIV/0!</v>
      </c>
      <c r="AA781" s="2">
        <f>+DETALLE_GD_1[[#This Row],[VALOR PPTO]]*DETALLE_GD_1[[#This Row],[CANTIDAD RECIBIDA]]</f>
        <v>0</v>
      </c>
      <c r="AB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1" s="3">
        <f>+DETALLE_GD_1[[#This Row],[CANTIDAD SOLICITADA]]-DETALLE_GD_1[[#This Row],[DEVOLUCIÓN]]</f>
        <v>24</v>
      </c>
      <c r="AD781" s="38" t="str">
        <f>+_xlfn.XLOOKUP(DETALLE_GD_1[[#This Row],[CODIGO]],PRODUCTOS[CODIGO],PRODUCTOS[DESC CORTA],"",0)</f>
        <v/>
      </c>
      <c r="AE781"/>
      <c r="AH781"/>
    </row>
    <row r="782" spans="1:34" x14ac:dyDescent="0.25">
      <c r="A782" s="1">
        <v>46122</v>
      </c>
      <c r="B782" s="1">
        <v>46122</v>
      </c>
      <c r="C782" s="81" t="s">
        <v>169</v>
      </c>
      <c r="D782" s="38">
        <v>4</v>
      </c>
      <c r="E782" s="81" t="s">
        <v>169</v>
      </c>
      <c r="F782">
        <v>304002</v>
      </c>
      <c r="G782" s="81" t="s">
        <v>37</v>
      </c>
      <c r="H782" s="81" t="s">
        <v>18</v>
      </c>
      <c r="I782" s="3">
        <v>72</v>
      </c>
      <c r="J782" s="3"/>
      <c r="K782" s="26">
        <v>72</v>
      </c>
      <c r="L782" s="2">
        <v>21611.361099999998</v>
      </c>
      <c r="M782" s="2">
        <v>1556018</v>
      </c>
      <c r="N782" s="2">
        <v>1556018</v>
      </c>
      <c r="O782" s="2">
        <v>21246.5072</v>
      </c>
      <c r="P782" s="2">
        <v>-364.85399999999998</v>
      </c>
      <c r="Q782" s="2">
        <v>-26269.485000000001</v>
      </c>
      <c r="R782" s="4">
        <v>-1.7172420647013967E-2</v>
      </c>
      <c r="T782">
        <v>311946</v>
      </c>
      <c r="U782" s="2"/>
      <c r="V782">
        <v>5947</v>
      </c>
      <c r="W782" s="2">
        <v>6579000000</v>
      </c>
      <c r="X782" s="6">
        <v>1529748.5150160005</v>
      </c>
      <c r="Y782" s="38">
        <v>10010</v>
      </c>
      <c r="Z782" s="86">
        <f>+((DETALLE_GD_1[[#This Row],[VALOR X UN (GD)]]-DETALLE_GD_1[[#This Row],[VALOR PPTO]])/DETALLE_GD_1[[#This Row],[VALOR PPTO]])</f>
        <v>1.7172417873936391E-2</v>
      </c>
      <c r="AA782" s="2">
        <f>+DETALLE_GD_1[[#This Row],[VALOR PPTO]]*DETALLE_GD_1[[#This Row],[CANTIDAD RECIBIDA]]</f>
        <v>1529748.5183999999</v>
      </c>
      <c r="AB7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82" s="3">
        <f>+DETALLE_GD_1[[#This Row],[CANTIDAD SOLICITADA]]-DETALLE_GD_1[[#This Row],[DEVOLUCIÓN]]</f>
        <v>72</v>
      </c>
      <c r="AD782" s="38" t="str">
        <f>+_xlfn.XLOOKUP(DETALLE_GD_1[[#This Row],[CODIGO]],PRODUCTOS[CODIGO],PRODUCTOS[DESC CORTA],"",0)</f>
        <v>SMARTPANEL</v>
      </c>
      <c r="AE782"/>
      <c r="AH782"/>
    </row>
    <row r="783" spans="1:34" x14ac:dyDescent="0.25">
      <c r="A783" s="1">
        <v>46122</v>
      </c>
      <c r="B783" s="1">
        <v>46122</v>
      </c>
      <c r="C783" s="81" t="s">
        <v>169</v>
      </c>
      <c r="D783" s="38">
        <v>4</v>
      </c>
      <c r="E783" s="81" t="s">
        <v>169</v>
      </c>
      <c r="F783">
        <v>407185</v>
      </c>
      <c r="G783" s="81" t="s">
        <v>43</v>
      </c>
      <c r="H783" s="81" t="s">
        <v>31</v>
      </c>
      <c r="I783" s="3">
        <v>5000</v>
      </c>
      <c r="J783" s="3"/>
      <c r="K783" s="26">
        <v>5000</v>
      </c>
      <c r="L783" s="2">
        <v>6.8784000000000001</v>
      </c>
      <c r="M783" s="2">
        <v>34392</v>
      </c>
      <c r="N783" s="2">
        <v>34392</v>
      </c>
      <c r="O783" s="2">
        <v>6.8783000000000003</v>
      </c>
      <c r="P783" s="2">
        <v>-1E-4</v>
      </c>
      <c r="Q783" s="2">
        <v>-0.4</v>
      </c>
      <c r="R783" s="4">
        <v>-1.1630747042829632E-5</v>
      </c>
      <c r="T783">
        <v>311946</v>
      </c>
      <c r="U783" s="2"/>
      <c r="V783">
        <v>5947</v>
      </c>
      <c r="W783" s="2">
        <v>6579000000</v>
      </c>
      <c r="X783" s="6">
        <v>34391.599999999999</v>
      </c>
      <c r="Y783" s="38">
        <v>10010</v>
      </c>
      <c r="Z783" s="86">
        <f>+((DETALLE_GD_1[[#This Row],[VALOR X UN (GD)]]-DETALLE_GD_1[[#This Row],[VALOR PPTO]])/DETALLE_GD_1[[#This Row],[VALOR PPTO]])</f>
        <v>1.4538476076903731E-5</v>
      </c>
      <c r="AA783" s="2">
        <f>+DETALLE_GD_1[[#This Row],[VALOR PPTO]]*DETALLE_GD_1[[#This Row],[CANTIDAD RECIBIDA]]</f>
        <v>34391.5</v>
      </c>
      <c r="AB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3" s="3">
        <f>+DETALLE_GD_1[[#This Row],[CANTIDAD SOLICITADA]]-DETALLE_GD_1[[#This Row],[DEVOLUCIÓN]]</f>
        <v>5000</v>
      </c>
      <c r="AD783" s="38">
        <f>+_xlfn.XLOOKUP(DETALLE_GD_1[[#This Row],[CODIGO]],PRODUCTOS[CODIGO],PRODUCTOS[DESC CORTA],"",0)</f>
        <v>0</v>
      </c>
      <c r="AE783"/>
      <c r="AH783"/>
    </row>
    <row r="784" spans="1:34" x14ac:dyDescent="0.25">
      <c r="A784" s="1">
        <v>46122</v>
      </c>
      <c r="B784" s="1">
        <v>46122</v>
      </c>
      <c r="C784" s="81" t="s">
        <v>169</v>
      </c>
      <c r="D784" s="38">
        <v>4</v>
      </c>
      <c r="E784" s="81" t="s">
        <v>169</v>
      </c>
      <c r="F784">
        <v>907031</v>
      </c>
      <c r="G784" s="81" t="s">
        <v>256</v>
      </c>
      <c r="H784" s="81" t="s">
        <v>47</v>
      </c>
      <c r="I784" s="3">
        <v>4</v>
      </c>
      <c r="J784" s="3"/>
      <c r="K784" s="26">
        <v>4</v>
      </c>
      <c r="L784" s="2">
        <v>154915.75</v>
      </c>
      <c r="M784" s="2">
        <v>619663</v>
      </c>
      <c r="N784" s="2">
        <v>619663</v>
      </c>
      <c r="O784" s="2">
        <v>156269.1667</v>
      </c>
      <c r="P784" s="2">
        <v>1353.4167</v>
      </c>
      <c r="Q784" s="2">
        <v>5413.6666999999998</v>
      </c>
      <c r="R784" s="4">
        <v>8.6608042767904996E-3</v>
      </c>
      <c r="T784">
        <v>311946</v>
      </c>
      <c r="U784" s="2"/>
      <c r="V784">
        <v>5947</v>
      </c>
      <c r="W784" s="2">
        <v>6579000000</v>
      </c>
      <c r="X784" s="6">
        <v>625076.66666800017</v>
      </c>
      <c r="Y784" s="38">
        <v>10010</v>
      </c>
      <c r="Z784" s="86">
        <f>+((DETALLE_GD_1[[#This Row],[VALOR X UN (GD)]]-DETALLE_GD_1[[#This Row],[VALOR PPTO]])/DETALLE_GD_1[[#This Row],[VALOR PPTO]])</f>
        <v>-8.6608044861354056E-3</v>
      </c>
      <c r="AA784" s="2">
        <f>+DETALLE_GD_1[[#This Row],[VALOR PPTO]]*DETALLE_GD_1[[#This Row],[CANTIDAD RECIBIDA]]</f>
        <v>625076.66680000001</v>
      </c>
      <c r="AB7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84" s="3">
        <f>+DETALLE_GD_1[[#This Row],[CANTIDAD SOLICITADA]]-DETALLE_GD_1[[#This Row],[DEVOLUCIÓN]]</f>
        <v>4</v>
      </c>
      <c r="AD784" s="38" t="str">
        <f>+_xlfn.XLOOKUP(DETALLE_GD_1[[#This Row],[CODIGO]],PRODUCTOS[CODIGO],PRODUCTOS[DESC CORTA],"",0)</f>
        <v>MEMBRANA PVC</v>
      </c>
      <c r="AE784"/>
      <c r="AH784"/>
    </row>
    <row r="785" spans="1:34" x14ac:dyDescent="0.25">
      <c r="A785" s="1">
        <v>46122</v>
      </c>
      <c r="B785" s="1">
        <v>46122</v>
      </c>
      <c r="C785" s="81" t="s">
        <v>169</v>
      </c>
      <c r="D785" s="38">
        <v>4</v>
      </c>
      <c r="E785" s="81" t="s">
        <v>169</v>
      </c>
      <c r="F785">
        <v>2304002</v>
      </c>
      <c r="G785" s="81" t="s">
        <v>212</v>
      </c>
      <c r="H785" s="81" t="s">
        <v>31</v>
      </c>
      <c r="I785" s="3">
        <v>12</v>
      </c>
      <c r="J785" s="3"/>
      <c r="K785" s="26">
        <v>12</v>
      </c>
      <c r="L785" s="2">
        <v>1376.5</v>
      </c>
      <c r="M785" s="2">
        <v>16518</v>
      </c>
      <c r="N785" s="2">
        <v>16518</v>
      </c>
      <c r="O785" s="2">
        <v>1376.4717000000001</v>
      </c>
      <c r="P785" s="2">
        <v>-2.8299999999999999E-2</v>
      </c>
      <c r="Q785" s="2">
        <v>-0.33929999999999999</v>
      </c>
      <c r="R785" s="4">
        <v>-2.0542376212302997E-5</v>
      </c>
      <c r="T785">
        <v>311946</v>
      </c>
      <c r="U785" s="2"/>
      <c r="V785">
        <v>5947</v>
      </c>
      <c r="W785" s="2">
        <v>6579000000</v>
      </c>
      <c r="X785" s="6">
        <v>16517.660688</v>
      </c>
      <c r="Y785" s="38">
        <v>10010</v>
      </c>
      <c r="Z785" s="86">
        <f>+((DETALLE_GD_1[[#This Row],[VALOR X UN (GD)]]-DETALLE_GD_1[[#This Row],[VALOR PPTO]])/DETALLE_GD_1[[#This Row],[VALOR PPTO]])</f>
        <v>2.0559812453786519E-5</v>
      </c>
      <c r="AA785" s="2">
        <f>+DETALLE_GD_1[[#This Row],[VALOR PPTO]]*DETALLE_GD_1[[#This Row],[CANTIDAD RECIBIDA]]</f>
        <v>16517.660400000001</v>
      </c>
      <c r="AB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5" s="3">
        <f>+DETALLE_GD_1[[#This Row],[CANTIDAD SOLICITADA]]-DETALLE_GD_1[[#This Row],[DEVOLUCIÓN]]</f>
        <v>12</v>
      </c>
      <c r="AD785" s="38">
        <f>+_xlfn.XLOOKUP(DETALLE_GD_1[[#This Row],[CODIGO]],PRODUCTOS[CODIGO],PRODUCTOS[DESC CORTA],"",0)</f>
        <v>0</v>
      </c>
      <c r="AE785"/>
      <c r="AH785"/>
    </row>
    <row r="786" spans="1:34" x14ac:dyDescent="0.25">
      <c r="A786" s="1">
        <v>46122</v>
      </c>
      <c r="B786" s="1">
        <v>46122</v>
      </c>
      <c r="C786" s="81" t="s">
        <v>169</v>
      </c>
      <c r="D786" s="38">
        <v>4</v>
      </c>
      <c r="E786" s="81" t="s">
        <v>169</v>
      </c>
      <c r="F786" t="s">
        <v>562</v>
      </c>
      <c r="G786" s="81" t="s">
        <v>708</v>
      </c>
      <c r="H786" s="81" t="s">
        <v>47</v>
      </c>
      <c r="I786" s="3">
        <v>50</v>
      </c>
      <c r="J786" s="3"/>
      <c r="K786" s="26">
        <v>50</v>
      </c>
      <c r="L786" s="2">
        <v>328.26</v>
      </c>
      <c r="M786" s="2">
        <v>16413</v>
      </c>
      <c r="N786" s="2">
        <v>16413</v>
      </c>
      <c r="O786" s="2"/>
      <c r="P786" s="2"/>
      <c r="Q786" s="2">
        <v>-16413</v>
      </c>
      <c r="R786" s="4"/>
      <c r="T786">
        <v>311946</v>
      </c>
      <c r="U786" s="2"/>
      <c r="V786">
        <v>5947</v>
      </c>
      <c r="W786" s="2">
        <v>6579000000</v>
      </c>
      <c r="X786" s="6" t="s">
        <v>355</v>
      </c>
      <c r="Y786" s="38">
        <v>10010</v>
      </c>
      <c r="Z786" s="86" t="e">
        <f>+((DETALLE_GD_1[[#This Row],[VALOR X UN (GD)]]-DETALLE_GD_1[[#This Row],[VALOR PPTO]])/DETALLE_GD_1[[#This Row],[VALOR PPTO]])</f>
        <v>#DIV/0!</v>
      </c>
      <c r="AA786" s="2">
        <f>+DETALLE_GD_1[[#This Row],[VALOR PPTO]]*DETALLE_GD_1[[#This Row],[CANTIDAD RECIBIDA]]</f>
        <v>0</v>
      </c>
      <c r="AB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6" s="3">
        <f>+DETALLE_GD_1[[#This Row],[CANTIDAD SOLICITADA]]-DETALLE_GD_1[[#This Row],[DEVOLUCIÓN]]</f>
        <v>50</v>
      </c>
      <c r="AD786" s="38" t="str">
        <f>+_xlfn.XLOOKUP(DETALLE_GD_1[[#This Row],[CODIGO]],PRODUCTOS[CODIGO],PRODUCTOS[DESC CORTA],"",0)</f>
        <v/>
      </c>
      <c r="AE786"/>
      <c r="AH786"/>
    </row>
    <row r="787" spans="1:34" x14ac:dyDescent="0.25">
      <c r="A787" s="1">
        <v>46122</v>
      </c>
      <c r="B787" s="1">
        <v>46122</v>
      </c>
      <c r="C787" s="81" t="s">
        <v>169</v>
      </c>
      <c r="D787" s="38">
        <v>4</v>
      </c>
      <c r="E787" s="81" t="s">
        <v>169</v>
      </c>
      <c r="F787">
        <v>408042</v>
      </c>
      <c r="G787" s="81" t="s">
        <v>144</v>
      </c>
      <c r="H787" s="81" t="s">
        <v>36</v>
      </c>
      <c r="I787" s="3">
        <v>6</v>
      </c>
      <c r="J787" s="3"/>
      <c r="K787" s="26">
        <v>6</v>
      </c>
      <c r="L787" s="2">
        <v>35000</v>
      </c>
      <c r="M787" s="2">
        <v>210000</v>
      </c>
      <c r="N787" s="2">
        <v>210000</v>
      </c>
      <c r="O787" s="2">
        <v>35000</v>
      </c>
      <c r="P787" s="2">
        <v>0</v>
      </c>
      <c r="Q787" s="2">
        <v>0</v>
      </c>
      <c r="R787" s="4">
        <v>8.3153801304950006E-16</v>
      </c>
      <c r="T787">
        <v>312024</v>
      </c>
      <c r="U787" s="2">
        <v>5354918</v>
      </c>
      <c r="V787">
        <v>6000</v>
      </c>
      <c r="W787" s="2">
        <v>6579000000</v>
      </c>
      <c r="X787" s="6">
        <v>210000.00000000015</v>
      </c>
      <c r="Y787" s="38">
        <v>10010</v>
      </c>
      <c r="Z787" s="86">
        <f>+((DETALLE_GD_1[[#This Row],[VALOR X UN (GD)]]-DETALLE_GD_1[[#This Row],[VALOR PPTO]])/DETALLE_GD_1[[#This Row],[VALOR PPTO]])</f>
        <v>0</v>
      </c>
      <c r="AA787" s="2">
        <f>+DETALLE_GD_1[[#This Row],[VALOR PPTO]]*DETALLE_GD_1[[#This Row],[CANTIDAD RECIBIDA]]</f>
        <v>210000</v>
      </c>
      <c r="AB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7" s="3">
        <f>+DETALLE_GD_1[[#This Row],[CANTIDAD SOLICITADA]]-DETALLE_GD_1[[#This Row],[DEVOLUCIÓN]]</f>
        <v>6</v>
      </c>
      <c r="AD787" s="38" t="str">
        <f>+_xlfn.XLOOKUP(DETALLE_GD_1[[#This Row],[CODIGO]],PRODUCTOS[CODIGO],PRODUCTOS[DESC CORTA],"",0)</f>
        <v>CLAVO HELICOIDAL PROFIX</v>
      </c>
      <c r="AE787"/>
      <c r="AH787"/>
    </row>
    <row r="788" spans="1:34" x14ac:dyDescent="0.25">
      <c r="A788" s="1">
        <v>46122</v>
      </c>
      <c r="B788" s="1">
        <v>46122</v>
      </c>
      <c r="C788" s="81" t="s">
        <v>169</v>
      </c>
      <c r="D788" s="38">
        <v>4</v>
      </c>
      <c r="E788" s="81" t="s">
        <v>169</v>
      </c>
      <c r="F788">
        <v>407011</v>
      </c>
      <c r="G788" s="81" t="s">
        <v>30</v>
      </c>
      <c r="H788" s="81" t="s">
        <v>31</v>
      </c>
      <c r="I788" s="3">
        <v>2500</v>
      </c>
      <c r="J788" s="3"/>
      <c r="K788" s="26">
        <v>2500</v>
      </c>
      <c r="L788" s="2">
        <v>473.17520000000002</v>
      </c>
      <c r="M788" s="2">
        <v>1182938</v>
      </c>
      <c r="N788" s="2">
        <v>1182938</v>
      </c>
      <c r="O788" s="2">
        <v>473.17520000000002</v>
      </c>
      <c r="P788" s="2">
        <v>0</v>
      </c>
      <c r="Q788" s="2">
        <v>0.1</v>
      </c>
      <c r="R788" s="4">
        <v>8.4535276822620125E-8</v>
      </c>
      <c r="T788">
        <v>312024</v>
      </c>
      <c r="U788" s="2"/>
      <c r="V788">
        <v>6000</v>
      </c>
      <c r="W788" s="2">
        <v>6579000000</v>
      </c>
      <c r="X788" s="6">
        <v>1182938.1000000001</v>
      </c>
      <c r="Y788" s="38">
        <v>10010</v>
      </c>
      <c r="Z788" s="86">
        <f>+((DETALLE_GD_1[[#This Row],[VALOR X UN (GD)]]-DETALLE_GD_1[[#This Row],[VALOR PPTO]])/DETALLE_GD_1[[#This Row],[VALOR PPTO]])</f>
        <v>0</v>
      </c>
      <c r="AA788" s="2">
        <f>+DETALLE_GD_1[[#This Row],[VALOR PPTO]]*DETALLE_GD_1[[#This Row],[CANTIDAD RECIBIDA]]</f>
        <v>1182938</v>
      </c>
      <c r="AB7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88" s="3">
        <f>+DETALLE_GD_1[[#This Row],[CANTIDAD SOLICITADA]]-DETALLE_GD_1[[#This Row],[DEVOLUCIÓN]]</f>
        <v>2500</v>
      </c>
      <c r="AD788" s="38" t="str">
        <f>+_xlfn.XLOOKUP(DETALLE_GD_1[[#This Row],[CODIGO]],PRODUCTOS[CODIGO],PRODUCTOS[DESC CORTA],"",0)</f>
        <v>TORNILLO SIMPSON 6"</v>
      </c>
      <c r="AE788"/>
      <c r="AH788"/>
    </row>
    <row r="789" spans="1:34" x14ac:dyDescent="0.25">
      <c r="A789" s="1">
        <v>46122</v>
      </c>
      <c r="B789" s="1">
        <v>46122</v>
      </c>
      <c r="C789" s="81" t="s">
        <v>169</v>
      </c>
      <c r="D789" s="38">
        <v>4</v>
      </c>
      <c r="E789" s="81" t="s">
        <v>169</v>
      </c>
      <c r="F789">
        <v>304101</v>
      </c>
      <c r="G789" s="81" t="s">
        <v>17</v>
      </c>
      <c r="H789" s="81" t="s">
        <v>18</v>
      </c>
      <c r="I789" s="3">
        <v>168</v>
      </c>
      <c r="J789" s="3"/>
      <c r="K789" s="26">
        <v>168</v>
      </c>
      <c r="L789" s="2">
        <v>9614.2320999999993</v>
      </c>
      <c r="M789" s="2">
        <v>1615191</v>
      </c>
      <c r="N789" s="2">
        <v>1615191</v>
      </c>
      <c r="O789" s="2">
        <v>9657.5879999999997</v>
      </c>
      <c r="P789" s="2">
        <v>43.355800000000002</v>
      </c>
      <c r="Q789" s="2">
        <v>7283.7755999999999</v>
      </c>
      <c r="R789" s="4">
        <v>4.4892997472377669E-3</v>
      </c>
      <c r="T789">
        <v>312024</v>
      </c>
      <c r="U789" s="2"/>
      <c r="V789">
        <v>6000</v>
      </c>
      <c r="W789" s="2">
        <v>6579000000</v>
      </c>
      <c r="X789" s="6">
        <v>1622474.7756000008</v>
      </c>
      <c r="Y789" s="38">
        <v>10010</v>
      </c>
      <c r="Z789" s="86">
        <f>+((DETALLE_GD_1[[#This Row],[VALOR X UN (GD)]]-DETALLE_GD_1[[#This Row],[VALOR PPTO]])/DETALLE_GD_1[[#This Row],[VALOR PPTO]])</f>
        <v>-4.4893093389364383E-3</v>
      </c>
      <c r="AA789" s="2">
        <f>+DETALLE_GD_1[[#This Row],[VALOR PPTO]]*DETALLE_GD_1[[#This Row],[CANTIDAD RECIBIDA]]</f>
        <v>1622474.784</v>
      </c>
      <c r="AB7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89" s="3">
        <f>+DETALLE_GD_1[[#This Row],[CANTIDAD SOLICITADA]]-DETALLE_GD_1[[#This Row],[DEVOLUCIÓN]]</f>
        <v>168</v>
      </c>
      <c r="AD789" s="38" t="str">
        <f>+_xlfn.XLOOKUP(DETALLE_GD_1[[#This Row],[CODIGO]],PRODUCTOS[CODIGO],PRODUCTOS[DESC CORTA],"",0)</f>
        <v>OSB 9.5</v>
      </c>
      <c r="AE789"/>
      <c r="AH789"/>
    </row>
    <row r="790" spans="1:34" x14ac:dyDescent="0.25">
      <c r="A790" s="1">
        <v>46122</v>
      </c>
      <c r="B790" s="1">
        <v>46122</v>
      </c>
      <c r="C790" s="81" t="s">
        <v>169</v>
      </c>
      <c r="D790" s="38">
        <v>4</v>
      </c>
      <c r="E790" s="81" t="s">
        <v>169</v>
      </c>
      <c r="F790">
        <v>304049</v>
      </c>
      <c r="G790" s="81" t="s">
        <v>318</v>
      </c>
      <c r="H790" s="81" t="s">
        <v>18</v>
      </c>
      <c r="I790" s="3">
        <v>130</v>
      </c>
      <c r="J790" s="3"/>
      <c r="K790" s="26">
        <v>130</v>
      </c>
      <c r="L790" s="2">
        <v>14981.223099999999</v>
      </c>
      <c r="M790" s="2">
        <v>1947559</v>
      </c>
      <c r="N790" s="2">
        <v>1947559</v>
      </c>
      <c r="O790" s="2">
        <v>14982</v>
      </c>
      <c r="P790" s="2">
        <v>0.77690000000000003</v>
      </c>
      <c r="Q790" s="2">
        <v>101</v>
      </c>
      <c r="R790" s="4">
        <v>5.1857100314738323E-5</v>
      </c>
      <c r="T790">
        <v>312024</v>
      </c>
      <c r="U790" s="2"/>
      <c r="V790">
        <v>6000</v>
      </c>
      <c r="W790" s="2">
        <v>6579000000</v>
      </c>
      <c r="X790" s="6">
        <v>1947659.9999999993</v>
      </c>
      <c r="Y790" s="38">
        <v>10010</v>
      </c>
      <c r="Z790" s="86">
        <f>+((DETALLE_GD_1[[#This Row],[VALOR X UN (GD)]]-DETALLE_GD_1[[#This Row],[VALOR PPTO]])/DETALLE_GD_1[[#This Row],[VALOR PPTO]])</f>
        <v>-5.1855560005389863E-5</v>
      </c>
      <c r="AA790" s="2">
        <f>+DETALLE_GD_1[[#This Row],[VALOR PPTO]]*DETALLE_GD_1[[#This Row],[CANTIDAD RECIBIDA]]</f>
        <v>1947660</v>
      </c>
      <c r="AB7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90" s="3">
        <f>+DETALLE_GD_1[[#This Row],[CANTIDAD SOLICITADA]]-DETALLE_GD_1[[#This Row],[DEVOLUCIÓN]]</f>
        <v>130</v>
      </c>
      <c r="AD790" s="38" t="str">
        <f>+_xlfn.XLOOKUP(DETALLE_GD_1[[#This Row],[CODIGO]],PRODUCTOS[CODIGO],PRODUCTOS[DESC CORTA],"",0)</f>
        <v>TERCIADO FENOLICO</v>
      </c>
      <c r="AE790"/>
      <c r="AH790"/>
    </row>
    <row r="791" spans="1:34" x14ac:dyDescent="0.25">
      <c r="A791" s="1">
        <v>46122</v>
      </c>
      <c r="B791" s="1">
        <v>46122</v>
      </c>
      <c r="C791" s="81" t="s">
        <v>169</v>
      </c>
      <c r="D791" s="38">
        <v>4</v>
      </c>
      <c r="E791" s="81" t="s">
        <v>169</v>
      </c>
      <c r="F791">
        <v>1405006</v>
      </c>
      <c r="G791" s="81" t="s">
        <v>199</v>
      </c>
      <c r="H791" s="81" t="s">
        <v>31</v>
      </c>
      <c r="I791" s="3">
        <v>500</v>
      </c>
      <c r="J791" s="3"/>
      <c r="K791" s="26">
        <v>500</v>
      </c>
      <c r="L791" s="2">
        <v>35.198</v>
      </c>
      <c r="M791" s="2">
        <v>17599</v>
      </c>
      <c r="N791" s="2">
        <v>17599</v>
      </c>
      <c r="O791" s="2">
        <v>35.197499999999998</v>
      </c>
      <c r="P791" s="2">
        <v>-5.0000000000000001E-4</v>
      </c>
      <c r="Q791" s="2">
        <v>-0.27</v>
      </c>
      <c r="R791" s="4">
        <v>-1.5342016156670612E-5</v>
      </c>
      <c r="T791">
        <v>312024</v>
      </c>
      <c r="U791" s="2"/>
      <c r="V791">
        <v>6000</v>
      </c>
      <c r="W791" s="2">
        <v>6579000000</v>
      </c>
      <c r="X791" s="6">
        <v>17598.730000000003</v>
      </c>
      <c r="Y791" s="38">
        <v>10010</v>
      </c>
      <c r="Z791" s="86">
        <f>+((DETALLE_GD_1[[#This Row],[VALOR X UN (GD)]]-DETALLE_GD_1[[#This Row],[VALOR PPTO]])/DETALLE_GD_1[[#This Row],[VALOR PPTO]])</f>
        <v>1.4205554371827188E-5</v>
      </c>
      <c r="AA791" s="2">
        <f>+DETALLE_GD_1[[#This Row],[VALOR PPTO]]*DETALLE_GD_1[[#This Row],[CANTIDAD RECIBIDA]]</f>
        <v>17598.75</v>
      </c>
      <c r="AB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1" s="3">
        <f>+DETALLE_GD_1[[#This Row],[CANTIDAD SOLICITADA]]-DETALLE_GD_1[[#This Row],[DEVOLUCIÓN]]</f>
        <v>500</v>
      </c>
      <c r="AD791" s="38">
        <f>+_xlfn.XLOOKUP(DETALLE_GD_1[[#This Row],[CODIGO]],PRODUCTOS[CODIGO],PRODUCTOS[DESC CORTA],"",0)</f>
        <v>0</v>
      </c>
      <c r="AE791"/>
      <c r="AH791"/>
    </row>
    <row r="792" spans="1:34" x14ac:dyDescent="0.25">
      <c r="A792" s="1">
        <v>46122</v>
      </c>
      <c r="B792" s="1">
        <v>46122</v>
      </c>
      <c r="C792" s="81" t="s">
        <v>169</v>
      </c>
      <c r="D792" s="38">
        <v>4</v>
      </c>
      <c r="E792" s="81" t="s">
        <v>169</v>
      </c>
      <c r="F792">
        <v>2302118</v>
      </c>
      <c r="G792" s="81" t="s">
        <v>228</v>
      </c>
      <c r="H792" s="81" t="s">
        <v>25</v>
      </c>
      <c r="I792" s="3">
        <v>3</v>
      </c>
      <c r="J792" s="3"/>
      <c r="K792" s="26">
        <v>3</v>
      </c>
      <c r="L792" s="2">
        <v>80876</v>
      </c>
      <c r="M792" s="2">
        <v>242628</v>
      </c>
      <c r="N792" s="2">
        <v>242628</v>
      </c>
      <c r="O792" s="2">
        <v>101250</v>
      </c>
      <c r="P792" s="2">
        <v>20374</v>
      </c>
      <c r="Q792" s="2">
        <v>61122</v>
      </c>
      <c r="R792" s="4">
        <v>0.2012246913580247</v>
      </c>
      <c r="T792">
        <v>312024</v>
      </c>
      <c r="U792" s="2"/>
      <c r="V792">
        <v>6000</v>
      </c>
      <c r="W792" s="2">
        <v>6579000000</v>
      </c>
      <c r="X792" s="6">
        <v>303750</v>
      </c>
      <c r="Y792" s="38">
        <v>10010</v>
      </c>
      <c r="Z792" s="86">
        <f>+((DETALLE_GD_1[[#This Row],[VALOR X UN (GD)]]-DETALLE_GD_1[[#This Row],[VALOR PPTO]])/DETALLE_GD_1[[#This Row],[VALOR PPTO]])</f>
        <v>-0.2012246913580247</v>
      </c>
      <c r="AA792" s="2">
        <f>+DETALLE_GD_1[[#This Row],[VALOR PPTO]]*DETALLE_GD_1[[#This Row],[CANTIDAD RECIBIDA]]</f>
        <v>303750</v>
      </c>
      <c r="AB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2" s="3">
        <f>+DETALLE_GD_1[[#This Row],[CANTIDAD SOLICITADA]]-DETALLE_GD_1[[#This Row],[DEVOLUCIÓN]]</f>
        <v>3</v>
      </c>
      <c r="AD792" s="38">
        <f>+_xlfn.XLOOKUP(DETALLE_GD_1[[#This Row],[CODIGO]],PRODUCTOS[CODIGO],PRODUCTOS[DESC CORTA],"",0)</f>
        <v>0</v>
      </c>
      <c r="AE792"/>
      <c r="AH792"/>
    </row>
    <row r="793" spans="1:34" x14ac:dyDescent="0.25">
      <c r="A793" s="1">
        <v>46122</v>
      </c>
      <c r="B793" s="1">
        <v>46122</v>
      </c>
      <c r="C793" s="81" t="s">
        <v>169</v>
      </c>
      <c r="D793" s="38">
        <v>4</v>
      </c>
      <c r="E793" s="81" t="s">
        <v>169</v>
      </c>
      <c r="F793">
        <v>1901229</v>
      </c>
      <c r="G793" s="81" t="s">
        <v>125</v>
      </c>
      <c r="H793" s="81" t="s">
        <v>28</v>
      </c>
      <c r="I793" s="3">
        <v>50</v>
      </c>
      <c r="J793" s="3"/>
      <c r="K793" s="26">
        <v>50</v>
      </c>
      <c r="L793" s="2">
        <v>1895.84</v>
      </c>
      <c r="M793" s="2">
        <v>94792</v>
      </c>
      <c r="N793" s="2">
        <v>94792</v>
      </c>
      <c r="O793" s="2">
        <v>1896.2317</v>
      </c>
      <c r="P793" s="2">
        <v>0.39169999999999999</v>
      </c>
      <c r="Q793" s="2">
        <v>19.5869</v>
      </c>
      <c r="R793" s="4">
        <v>2.0658709183926516E-4</v>
      </c>
      <c r="T793">
        <v>312024</v>
      </c>
      <c r="U793" s="2"/>
      <c r="V793">
        <v>6000</v>
      </c>
      <c r="W793" s="2">
        <v>6579000000</v>
      </c>
      <c r="X793" s="6">
        <v>94811.586850000007</v>
      </c>
      <c r="Y793" s="38">
        <v>10010</v>
      </c>
      <c r="Z793" s="86">
        <f>+((DETALLE_GD_1[[#This Row],[VALOR X UN (GD)]]-DETALLE_GD_1[[#This Row],[VALOR PPTO]])/DETALLE_GD_1[[#This Row],[VALOR PPTO]])</f>
        <v>-2.0656758348683237E-4</v>
      </c>
      <c r="AA793" s="2">
        <f>+DETALLE_GD_1[[#This Row],[VALOR PPTO]]*DETALLE_GD_1[[#This Row],[CANTIDAD RECIBIDA]]</f>
        <v>94811.585000000006</v>
      </c>
      <c r="AB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3" s="3">
        <f>+DETALLE_GD_1[[#This Row],[CANTIDAD SOLICITADA]]-DETALLE_GD_1[[#This Row],[DEVOLUCIÓN]]</f>
        <v>50</v>
      </c>
      <c r="AD793" s="38" t="str">
        <f>+_xlfn.XLOOKUP(DETALLE_GD_1[[#This Row],[CODIGO]],PRODUCTOS[CODIGO],PRODUCTOS[DESC CORTA],"",0)</f>
        <v>POLIETILENO</v>
      </c>
      <c r="AE793"/>
      <c r="AH793"/>
    </row>
    <row r="794" spans="1:34" x14ac:dyDescent="0.25">
      <c r="A794" s="1">
        <v>46122</v>
      </c>
      <c r="B794" s="1">
        <v>46122</v>
      </c>
      <c r="C794" s="81" t="s">
        <v>169</v>
      </c>
      <c r="D794" s="38">
        <v>4</v>
      </c>
      <c r="E794" s="81" t="s">
        <v>169</v>
      </c>
      <c r="F794">
        <v>2302119</v>
      </c>
      <c r="G794" s="81" t="s">
        <v>74</v>
      </c>
      <c r="H794" s="81" t="s">
        <v>31</v>
      </c>
      <c r="I794" s="3">
        <v>12</v>
      </c>
      <c r="J794" s="3"/>
      <c r="K794" s="26">
        <v>12</v>
      </c>
      <c r="L794" s="2">
        <v>3684.25</v>
      </c>
      <c r="M794" s="2">
        <v>44211</v>
      </c>
      <c r="N794" s="2">
        <v>44211</v>
      </c>
      <c r="O794" s="2">
        <v>3671</v>
      </c>
      <c r="P794" s="2">
        <v>-13.25</v>
      </c>
      <c r="Q794" s="2">
        <v>-159</v>
      </c>
      <c r="R794" s="4">
        <v>-3.609370743666576E-3</v>
      </c>
      <c r="T794">
        <v>312024</v>
      </c>
      <c r="U794" s="2"/>
      <c r="V794">
        <v>6000</v>
      </c>
      <c r="W794" s="2">
        <v>6579000000</v>
      </c>
      <c r="X794" s="6">
        <v>44052</v>
      </c>
      <c r="Y794" s="38">
        <v>10010</v>
      </c>
      <c r="Z794" s="86">
        <f>+((DETALLE_GD_1[[#This Row],[VALOR X UN (GD)]]-DETALLE_GD_1[[#This Row],[VALOR PPTO]])/DETALLE_GD_1[[#This Row],[VALOR PPTO]])</f>
        <v>3.609370743666576E-3</v>
      </c>
      <c r="AA794" s="2">
        <f>+DETALLE_GD_1[[#This Row],[VALOR PPTO]]*DETALLE_GD_1[[#This Row],[CANTIDAD RECIBIDA]]</f>
        <v>44052</v>
      </c>
      <c r="AB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4" s="3">
        <f>+DETALLE_GD_1[[#This Row],[CANTIDAD SOLICITADA]]-DETALLE_GD_1[[#This Row],[DEVOLUCIÓN]]</f>
        <v>12</v>
      </c>
      <c r="AD794" s="38" t="str">
        <f>+_xlfn.XLOOKUP(DETALLE_GD_1[[#This Row],[CODIGO]],PRODUCTOS[CODIGO],PRODUCTOS[DESC CORTA],"",0)</f>
        <v>SELLO</v>
      </c>
      <c r="AE794"/>
      <c r="AH794"/>
    </row>
    <row r="795" spans="1:34" x14ac:dyDescent="0.25">
      <c r="A795" s="1">
        <v>46122</v>
      </c>
      <c r="B795" s="1">
        <v>46122</v>
      </c>
      <c r="C795" s="81" t="s">
        <v>169</v>
      </c>
      <c r="D795" s="38">
        <v>4</v>
      </c>
      <c r="E795" s="81" t="s">
        <v>169</v>
      </c>
      <c r="F795">
        <v>307031</v>
      </c>
      <c r="G795" s="81" t="s">
        <v>65</v>
      </c>
      <c r="H795" s="81" t="s">
        <v>31</v>
      </c>
      <c r="I795" s="3">
        <v>20</v>
      </c>
      <c r="J795" s="3"/>
      <c r="K795" s="26">
        <v>20</v>
      </c>
      <c r="L795" s="2">
        <v>2700</v>
      </c>
      <c r="M795" s="2">
        <v>54000</v>
      </c>
      <c r="N795" s="2">
        <v>54000</v>
      </c>
      <c r="O795" s="2">
        <v>2699.9985999999999</v>
      </c>
      <c r="P795" s="2">
        <v>-1.4E-3</v>
      </c>
      <c r="Q795" s="2">
        <v>-2.7900000000000001E-2</v>
      </c>
      <c r="R795" s="4">
        <v>-5.1666693335944687E-7</v>
      </c>
      <c r="T795">
        <v>312028</v>
      </c>
      <c r="U795" s="2">
        <v>214779</v>
      </c>
      <c r="V795">
        <v>6000</v>
      </c>
      <c r="W795" s="2">
        <v>6579000000</v>
      </c>
      <c r="X795" s="6">
        <v>53999.972100000014</v>
      </c>
      <c r="Y795" s="38">
        <v>10010</v>
      </c>
      <c r="Z795" s="86">
        <f>+((DETALLE_GD_1[[#This Row],[VALOR X UN (GD)]]-DETALLE_GD_1[[#This Row],[VALOR PPTO]])/DETALLE_GD_1[[#This Row],[VALOR PPTO]])</f>
        <v>5.1851878741837811E-7</v>
      </c>
      <c r="AA795" s="2">
        <f>+DETALLE_GD_1[[#This Row],[VALOR PPTO]]*DETALLE_GD_1[[#This Row],[CANTIDAD RECIBIDA]]</f>
        <v>53999.971999999994</v>
      </c>
      <c r="AB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5" s="3">
        <f>+DETALLE_GD_1[[#This Row],[CANTIDAD SOLICITADA]]-DETALLE_GD_1[[#This Row],[DEVOLUCIÓN]]</f>
        <v>20</v>
      </c>
      <c r="AD795" s="38" t="str">
        <f>+_xlfn.XLOOKUP(DETALLE_GD_1[[#This Row],[CODIGO]],PRODUCTOS[CODIGO],PRODUCTOS[DESC CORTA],"",0)</f>
        <v>CORNIZA BLANCA</v>
      </c>
      <c r="AE795"/>
      <c r="AH795"/>
    </row>
    <row r="796" spans="1:34" x14ac:dyDescent="0.25">
      <c r="A796" s="1">
        <v>46122</v>
      </c>
      <c r="B796" s="1">
        <v>46122</v>
      </c>
      <c r="C796" s="81" t="s">
        <v>169</v>
      </c>
      <c r="D796" s="38">
        <v>4</v>
      </c>
      <c r="E796" s="81" t="s">
        <v>169</v>
      </c>
      <c r="F796">
        <v>704024</v>
      </c>
      <c r="G796" s="81" t="s">
        <v>332</v>
      </c>
      <c r="H796" s="81" t="s">
        <v>31</v>
      </c>
      <c r="I796" s="3">
        <v>20</v>
      </c>
      <c r="J796" s="3"/>
      <c r="K796" s="26">
        <v>20</v>
      </c>
      <c r="L796" s="2">
        <v>317.95</v>
      </c>
      <c r="M796" s="2">
        <v>6359</v>
      </c>
      <c r="N796" s="2">
        <v>6359</v>
      </c>
      <c r="O796" s="2">
        <v>363</v>
      </c>
      <c r="P796" s="2">
        <v>45.05</v>
      </c>
      <c r="Q796" s="2">
        <v>901</v>
      </c>
      <c r="R796" s="4">
        <v>0.12410468319559231</v>
      </c>
      <c r="T796">
        <v>312028</v>
      </c>
      <c r="U796" s="2"/>
      <c r="V796">
        <v>6000</v>
      </c>
      <c r="W796" s="2">
        <v>6579000000</v>
      </c>
      <c r="X796" s="6">
        <v>7260</v>
      </c>
      <c r="Y796" s="38">
        <v>10010</v>
      </c>
      <c r="Z796" s="86">
        <f>+((DETALLE_GD_1[[#This Row],[VALOR X UN (GD)]]-DETALLE_GD_1[[#This Row],[VALOR PPTO]])/DETALLE_GD_1[[#This Row],[VALOR PPTO]])</f>
        <v>-0.12410468319559231</v>
      </c>
      <c r="AA796" s="2">
        <f>+DETALLE_GD_1[[#This Row],[VALOR PPTO]]*DETALLE_GD_1[[#This Row],[CANTIDAD RECIBIDA]]</f>
        <v>7260</v>
      </c>
      <c r="AB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6" s="3">
        <f>+DETALLE_GD_1[[#This Row],[CANTIDAD SOLICITADA]]-DETALLE_GD_1[[#This Row],[DEVOLUCIÓN]]</f>
        <v>20</v>
      </c>
      <c r="AD796" s="38" t="str">
        <f>+_xlfn.XLOOKUP(DETALLE_GD_1[[#This Row],[CODIGO]],PRODUCTOS[CODIGO],PRODUCTOS[DESC CORTA],"",0)</f>
        <v>ESQUINERO CORNIZA EXTERIOR</v>
      </c>
      <c r="AE796"/>
      <c r="AH796"/>
    </row>
    <row r="797" spans="1:34" x14ac:dyDescent="0.25">
      <c r="A797" s="1">
        <v>46122</v>
      </c>
      <c r="B797" s="1">
        <v>46122</v>
      </c>
      <c r="C797" s="81" t="s">
        <v>169</v>
      </c>
      <c r="D797" s="38">
        <v>4</v>
      </c>
      <c r="E797" s="81" t="s">
        <v>169</v>
      </c>
      <c r="F797">
        <v>704022</v>
      </c>
      <c r="G797" s="81" t="s">
        <v>330</v>
      </c>
      <c r="H797" s="81" t="s">
        <v>31</v>
      </c>
      <c r="I797" s="3">
        <v>20</v>
      </c>
      <c r="J797" s="3"/>
      <c r="K797" s="26">
        <v>20</v>
      </c>
      <c r="L797" s="2">
        <v>258.39999999999998</v>
      </c>
      <c r="M797" s="2">
        <v>5168</v>
      </c>
      <c r="N797" s="2">
        <v>5168</v>
      </c>
      <c r="O797" s="2">
        <v>306</v>
      </c>
      <c r="P797" s="2">
        <v>47.6</v>
      </c>
      <c r="Q797" s="2">
        <v>952</v>
      </c>
      <c r="R797" s="4">
        <v>0.15555555555555578</v>
      </c>
      <c r="T797">
        <v>312028</v>
      </c>
      <c r="U797" s="2"/>
      <c r="V797">
        <v>6000</v>
      </c>
      <c r="W797" s="2">
        <v>6579000000</v>
      </c>
      <c r="X797" s="6">
        <v>6120.0000000000009</v>
      </c>
      <c r="Y797" s="38">
        <v>10010</v>
      </c>
      <c r="Z797" s="86">
        <f>+((DETALLE_GD_1[[#This Row],[VALOR X UN (GD)]]-DETALLE_GD_1[[#This Row],[VALOR PPTO]])/DETALLE_GD_1[[#This Row],[VALOR PPTO]])</f>
        <v>-0.15555555555555564</v>
      </c>
      <c r="AA797" s="2">
        <f>+DETALLE_GD_1[[#This Row],[VALOR PPTO]]*DETALLE_GD_1[[#This Row],[CANTIDAD RECIBIDA]]</f>
        <v>6120</v>
      </c>
      <c r="AB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7" s="3">
        <f>+DETALLE_GD_1[[#This Row],[CANTIDAD SOLICITADA]]-DETALLE_GD_1[[#This Row],[DEVOLUCIÓN]]</f>
        <v>20</v>
      </c>
      <c r="AD797" s="38" t="str">
        <f>+_xlfn.XLOOKUP(DETALLE_GD_1[[#This Row],[CODIGO]],PRODUCTOS[CODIGO],PRODUCTOS[DESC CORTA],"",0)</f>
        <v>ESQUINERO CORNIZA INTERIOR</v>
      </c>
      <c r="AE797"/>
      <c r="AH797"/>
    </row>
    <row r="798" spans="1:34" x14ac:dyDescent="0.25">
      <c r="A798" s="1">
        <v>46122</v>
      </c>
      <c r="B798" s="1">
        <v>46122</v>
      </c>
      <c r="C798" s="81" t="s">
        <v>169</v>
      </c>
      <c r="D798" s="38">
        <v>4</v>
      </c>
      <c r="E798" s="81" t="s">
        <v>169</v>
      </c>
      <c r="F798">
        <v>407185</v>
      </c>
      <c r="G798" s="81" t="s">
        <v>43</v>
      </c>
      <c r="H798" s="81" t="s">
        <v>31</v>
      </c>
      <c r="I798" s="3">
        <v>5000</v>
      </c>
      <c r="J798" s="3"/>
      <c r="K798" s="26">
        <v>5000</v>
      </c>
      <c r="L798" s="2">
        <v>6.8784000000000001</v>
      </c>
      <c r="M798" s="2">
        <v>34392</v>
      </c>
      <c r="N798" s="2">
        <v>34392</v>
      </c>
      <c r="O798" s="2">
        <v>6.8783000000000003</v>
      </c>
      <c r="P798" s="2">
        <v>-1E-4</v>
      </c>
      <c r="Q798" s="2">
        <v>-0.4</v>
      </c>
      <c r="R798" s="4">
        <v>-1.1630747042829632E-5</v>
      </c>
      <c r="T798">
        <v>312028</v>
      </c>
      <c r="U798" s="2"/>
      <c r="V798">
        <v>6000</v>
      </c>
      <c r="W798" s="2">
        <v>6579000000</v>
      </c>
      <c r="X798" s="6">
        <v>34391.599999999999</v>
      </c>
      <c r="Y798" s="38">
        <v>10010</v>
      </c>
      <c r="Z798" s="86">
        <f>+((DETALLE_GD_1[[#This Row],[VALOR X UN (GD)]]-DETALLE_GD_1[[#This Row],[VALOR PPTO]])/DETALLE_GD_1[[#This Row],[VALOR PPTO]])</f>
        <v>1.4538476076903731E-5</v>
      </c>
      <c r="AA798" s="2">
        <f>+DETALLE_GD_1[[#This Row],[VALOR PPTO]]*DETALLE_GD_1[[#This Row],[CANTIDAD RECIBIDA]]</f>
        <v>34391.5</v>
      </c>
      <c r="AB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8" s="3">
        <f>+DETALLE_GD_1[[#This Row],[CANTIDAD SOLICITADA]]-DETALLE_GD_1[[#This Row],[DEVOLUCIÓN]]</f>
        <v>5000</v>
      </c>
      <c r="AD798" s="38">
        <f>+_xlfn.XLOOKUP(DETALLE_GD_1[[#This Row],[CODIGO]],PRODUCTOS[CODIGO],PRODUCTOS[DESC CORTA],"",0)</f>
        <v>0</v>
      </c>
      <c r="AE798"/>
      <c r="AH798"/>
    </row>
    <row r="799" spans="1:34" x14ac:dyDescent="0.25">
      <c r="A799" s="1">
        <v>46122</v>
      </c>
      <c r="B799" s="1">
        <v>46122</v>
      </c>
      <c r="C799" s="81" t="s">
        <v>169</v>
      </c>
      <c r="D799" s="38">
        <v>4</v>
      </c>
      <c r="E799" s="81" t="s">
        <v>169</v>
      </c>
      <c r="F799">
        <v>609008</v>
      </c>
      <c r="G799" s="81" t="s">
        <v>57</v>
      </c>
      <c r="H799" s="81" t="s">
        <v>58</v>
      </c>
      <c r="I799" s="3">
        <v>3</v>
      </c>
      <c r="J799" s="3"/>
      <c r="K799" s="26">
        <v>3</v>
      </c>
      <c r="L799" s="2">
        <v>2308.6667000000002</v>
      </c>
      <c r="M799" s="2">
        <v>6926</v>
      </c>
      <c r="N799" s="2">
        <v>6926</v>
      </c>
      <c r="O799" s="2">
        <v>2130.7573000000002</v>
      </c>
      <c r="P799" s="2">
        <v>-177.90940000000001</v>
      </c>
      <c r="Q799" s="2">
        <v>-533.72810000000004</v>
      </c>
      <c r="R799" s="4">
        <v>-8.3495833069166636E-2</v>
      </c>
      <c r="T799">
        <v>312028</v>
      </c>
      <c r="U799" s="2"/>
      <c r="V799">
        <v>6000</v>
      </c>
      <c r="W799" s="2">
        <v>6579000000</v>
      </c>
      <c r="X799" s="6">
        <v>6392.2719299999999</v>
      </c>
      <c r="Y799" s="38">
        <v>10010</v>
      </c>
      <c r="Z799" s="86">
        <f>+((DETALLE_GD_1[[#This Row],[VALOR X UN (GD)]]-DETALLE_GD_1[[#This Row],[VALOR PPTO]])/DETALLE_GD_1[[#This Row],[VALOR PPTO]])</f>
        <v>8.3495853798083899E-2</v>
      </c>
      <c r="AA799" s="2">
        <f>+DETALLE_GD_1[[#This Row],[VALOR PPTO]]*DETALLE_GD_1[[#This Row],[CANTIDAD RECIBIDA]]</f>
        <v>6392.2719000000006</v>
      </c>
      <c r="AB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9" s="3">
        <f>+DETALLE_GD_1[[#This Row],[CANTIDAD SOLICITADA]]-DETALLE_GD_1[[#This Row],[DEVOLUCIÓN]]</f>
        <v>3</v>
      </c>
      <c r="AD799" s="38" t="str">
        <f>+_xlfn.XLOOKUP(DETALLE_GD_1[[#This Row],[CODIGO]],PRODUCTOS[CODIGO],PRODUCTOS[DESC CORTA],"",0)</f>
        <v>DUCO</v>
      </c>
      <c r="AE799"/>
      <c r="AH799"/>
    </row>
    <row r="800" spans="1:34" x14ac:dyDescent="0.25">
      <c r="A800" s="1">
        <v>46122</v>
      </c>
      <c r="B800" s="1">
        <v>46122</v>
      </c>
      <c r="C800" s="81" t="s">
        <v>169</v>
      </c>
      <c r="D800" s="38">
        <v>4</v>
      </c>
      <c r="E800" s="81" t="s">
        <v>169</v>
      </c>
      <c r="F800">
        <v>1610023</v>
      </c>
      <c r="G800" s="81" t="s">
        <v>351</v>
      </c>
      <c r="H800" s="81" t="s">
        <v>28</v>
      </c>
      <c r="I800" s="3">
        <v>3</v>
      </c>
      <c r="J800" s="3"/>
      <c r="K800" s="26">
        <v>3</v>
      </c>
      <c r="L800" s="2">
        <v>2278</v>
      </c>
      <c r="M800" s="2">
        <v>6834</v>
      </c>
      <c r="N800" s="2">
        <v>6834</v>
      </c>
      <c r="O800" s="2">
        <v>2109.0585000000001</v>
      </c>
      <c r="P800" s="2">
        <v>-168.94149999999999</v>
      </c>
      <c r="Q800" s="2">
        <v>-506.82440000000003</v>
      </c>
      <c r="R800" s="4">
        <v>-8.0102782656660737E-2</v>
      </c>
      <c r="T800">
        <v>312028</v>
      </c>
      <c r="U800" s="2"/>
      <c r="V800">
        <v>6000</v>
      </c>
      <c r="W800" s="2">
        <v>6579000000</v>
      </c>
      <c r="X800" s="6">
        <v>6327.1756260000002</v>
      </c>
      <c r="Y800" s="38">
        <v>10010</v>
      </c>
      <c r="Z800" s="86">
        <f>+((DETALLE_GD_1[[#This Row],[VALOR X UN (GD)]]-DETALLE_GD_1[[#This Row],[VALOR PPTO]])/DETALLE_GD_1[[#This Row],[VALOR PPTO]])</f>
        <v>8.0102804165934655E-2</v>
      </c>
      <c r="AA800" s="2">
        <f>+DETALLE_GD_1[[#This Row],[VALOR PPTO]]*DETALLE_GD_1[[#This Row],[CANTIDAD RECIBIDA]]</f>
        <v>6327.1755000000003</v>
      </c>
      <c r="AB8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0" s="3">
        <f>+DETALLE_GD_1[[#This Row],[CANTIDAD SOLICITADA]]-DETALLE_GD_1[[#This Row],[DEVOLUCIÓN]]</f>
        <v>3</v>
      </c>
      <c r="AD800" s="38" t="str">
        <f>+_xlfn.XLOOKUP(DETALLE_GD_1[[#This Row],[CODIGO]],PRODUCTOS[CODIGO],PRODUCTOS[DESC CORTA],"",0)</f>
        <v>TRAPOS DE ASEO</v>
      </c>
      <c r="AE800"/>
      <c r="AH800"/>
    </row>
    <row r="801" spans="1:34" x14ac:dyDescent="0.25">
      <c r="A801" s="1">
        <v>46122</v>
      </c>
      <c r="B801" s="1">
        <v>46122</v>
      </c>
      <c r="C801" s="81" t="s">
        <v>169</v>
      </c>
      <c r="D801" s="38">
        <v>4</v>
      </c>
      <c r="E801" s="81" t="s">
        <v>169</v>
      </c>
      <c r="F801">
        <v>617016</v>
      </c>
      <c r="G801" s="81" t="s">
        <v>133</v>
      </c>
      <c r="H801" s="81" t="s">
        <v>31</v>
      </c>
      <c r="I801" s="3">
        <v>5</v>
      </c>
      <c r="J801" s="3"/>
      <c r="K801" s="26">
        <v>5</v>
      </c>
      <c r="L801" s="2">
        <v>2864.2</v>
      </c>
      <c r="M801" s="2">
        <v>14321</v>
      </c>
      <c r="N801" s="2">
        <v>14321</v>
      </c>
      <c r="O801" s="2">
        <v>2857.5133000000001</v>
      </c>
      <c r="P801" s="2">
        <v>-6.6867000000000001</v>
      </c>
      <c r="Q801" s="2">
        <v>-33.433599999999998</v>
      </c>
      <c r="R801" s="4">
        <v>-2.3400507220180662E-3</v>
      </c>
      <c r="T801">
        <v>312028</v>
      </c>
      <c r="U801" s="2"/>
      <c r="V801">
        <v>6000</v>
      </c>
      <c r="W801" s="2">
        <v>6579000000</v>
      </c>
      <c r="X801" s="6">
        <v>14287.56637</v>
      </c>
      <c r="Y801" s="38">
        <v>10010</v>
      </c>
      <c r="Z801" s="86">
        <f>+((DETALLE_GD_1[[#This Row],[VALOR X UN (GD)]]-DETALLE_GD_1[[#This Row],[VALOR PPTO]])/DETALLE_GD_1[[#This Row],[VALOR PPTO]])</f>
        <v>2.3400416019060161E-3</v>
      </c>
      <c r="AA801" s="2">
        <f>+DETALLE_GD_1[[#This Row],[VALOR PPTO]]*DETALLE_GD_1[[#This Row],[CANTIDAD RECIBIDA]]</f>
        <v>14287.566500000001</v>
      </c>
      <c r="AB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1" s="3">
        <f>+DETALLE_GD_1[[#This Row],[CANTIDAD SOLICITADA]]-DETALLE_GD_1[[#This Row],[DEVOLUCIÓN]]</f>
        <v>5</v>
      </c>
      <c r="AD801" s="38" t="str">
        <f>+_xlfn.XLOOKUP(DETALLE_GD_1[[#This Row],[CODIGO]],PRODUCTOS[CODIGO],PRODUCTOS[DESC CORTA],"",0)</f>
        <v>RODILLO CHIPORRO</v>
      </c>
      <c r="AE801"/>
      <c r="AH801"/>
    </row>
    <row r="802" spans="1:34" x14ac:dyDescent="0.25">
      <c r="A802" s="1">
        <v>46122</v>
      </c>
      <c r="B802" s="1">
        <v>46122</v>
      </c>
      <c r="C802" s="81" t="s">
        <v>169</v>
      </c>
      <c r="D802" s="38">
        <v>4</v>
      </c>
      <c r="E802" s="81" t="s">
        <v>169</v>
      </c>
      <c r="F802">
        <v>617057</v>
      </c>
      <c r="G802" s="81" t="s">
        <v>134</v>
      </c>
      <c r="H802" s="81" t="s">
        <v>31</v>
      </c>
      <c r="I802" s="3">
        <v>5</v>
      </c>
      <c r="J802" s="3"/>
      <c r="K802" s="26">
        <v>5</v>
      </c>
      <c r="L802" s="2">
        <v>2042.2</v>
      </c>
      <c r="M802" s="2">
        <v>10211</v>
      </c>
      <c r="N802" s="2">
        <v>10211</v>
      </c>
      <c r="O802" s="2">
        <v>2042.1197</v>
      </c>
      <c r="P802" s="2">
        <v>-8.0299999999999996E-2</v>
      </c>
      <c r="Q802" s="2">
        <v>-0.40150000000000002</v>
      </c>
      <c r="R802" s="4">
        <v>-3.9318948719891769E-5</v>
      </c>
      <c r="T802">
        <v>312028</v>
      </c>
      <c r="U802" s="2"/>
      <c r="V802">
        <v>6000</v>
      </c>
      <c r="W802" s="2">
        <v>6579000000</v>
      </c>
      <c r="X802" s="6">
        <v>10210.598529999999</v>
      </c>
      <c r="Y802" s="38">
        <v>10010</v>
      </c>
      <c r="Z802" s="86">
        <f>+((DETALLE_GD_1[[#This Row],[VALOR X UN (GD)]]-DETALLE_GD_1[[#This Row],[VALOR PPTO]])/DETALLE_GD_1[[#This Row],[VALOR PPTO]])</f>
        <v>3.9321886958966856E-5</v>
      </c>
      <c r="AA802" s="2">
        <f>+DETALLE_GD_1[[#This Row],[VALOR PPTO]]*DETALLE_GD_1[[#This Row],[CANTIDAD RECIBIDA]]</f>
        <v>10210.5985</v>
      </c>
      <c r="AB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2" s="3">
        <f>+DETALLE_GD_1[[#This Row],[CANTIDAD SOLICITADA]]-DETALLE_GD_1[[#This Row],[DEVOLUCIÓN]]</f>
        <v>5</v>
      </c>
      <c r="AD802" s="38" t="str">
        <f>+_xlfn.XLOOKUP(DETALLE_GD_1[[#This Row],[CODIGO]],PRODUCTOS[CODIGO],PRODUCTOS[DESC CORTA],"",0)</f>
        <v>BROCHA 5/8 X4</v>
      </c>
      <c r="AE802"/>
      <c r="AH802"/>
    </row>
    <row r="803" spans="1:34" x14ac:dyDescent="0.25">
      <c r="A803" s="1">
        <v>46122</v>
      </c>
      <c r="B803" s="1">
        <v>46122</v>
      </c>
      <c r="C803" s="81" t="s">
        <v>169</v>
      </c>
      <c r="D803" s="38">
        <v>4</v>
      </c>
      <c r="E803" s="81" t="s">
        <v>169</v>
      </c>
      <c r="F803">
        <v>617055</v>
      </c>
      <c r="G803" s="81" t="s">
        <v>182</v>
      </c>
      <c r="H803" s="81" t="s">
        <v>31</v>
      </c>
      <c r="I803" s="3">
        <v>5</v>
      </c>
      <c r="J803" s="3"/>
      <c r="K803" s="26">
        <v>5</v>
      </c>
      <c r="L803" s="2">
        <v>949.4</v>
      </c>
      <c r="M803" s="2">
        <v>4747</v>
      </c>
      <c r="N803" s="2">
        <v>4747</v>
      </c>
      <c r="O803" s="2">
        <v>920.35379999999998</v>
      </c>
      <c r="P803" s="2">
        <v>-29.046199999999999</v>
      </c>
      <c r="Q803" s="2">
        <v>-145.2311</v>
      </c>
      <c r="R803" s="4">
        <v>-3.1559841008574015E-2</v>
      </c>
      <c r="T803">
        <v>312028</v>
      </c>
      <c r="U803" s="2"/>
      <c r="V803">
        <v>6000</v>
      </c>
      <c r="W803" s="2">
        <v>6579000000</v>
      </c>
      <c r="X803" s="6">
        <v>4601.7689049999999</v>
      </c>
      <c r="Y803" s="38">
        <v>10010</v>
      </c>
      <c r="Z803" s="86">
        <f>+((DETALLE_GD_1[[#This Row],[VALOR X UN (GD)]]-DETALLE_GD_1[[#This Row],[VALOR PPTO]])/DETALLE_GD_1[[#This Row],[VALOR PPTO]])</f>
        <v>3.1559819712810445E-2</v>
      </c>
      <c r="AA803" s="2">
        <f>+DETALLE_GD_1[[#This Row],[VALOR PPTO]]*DETALLE_GD_1[[#This Row],[CANTIDAD RECIBIDA]]</f>
        <v>4601.7690000000002</v>
      </c>
      <c r="AB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3" s="3">
        <f>+DETALLE_GD_1[[#This Row],[CANTIDAD SOLICITADA]]-DETALLE_GD_1[[#This Row],[DEVOLUCIÓN]]</f>
        <v>5</v>
      </c>
      <c r="AD803" s="38">
        <f>+_xlfn.XLOOKUP(DETALLE_GD_1[[#This Row],[CODIGO]],PRODUCTOS[CODIGO],PRODUCTOS[DESC CORTA],"",0)</f>
        <v>0</v>
      </c>
      <c r="AE803"/>
      <c r="AH803"/>
    </row>
    <row r="804" spans="1:34" x14ac:dyDescent="0.25">
      <c r="A804" s="1">
        <v>46122</v>
      </c>
      <c r="B804" s="1">
        <v>46122</v>
      </c>
      <c r="C804" s="81" t="s">
        <v>169</v>
      </c>
      <c r="D804" s="38">
        <v>4</v>
      </c>
      <c r="E804" s="81" t="s">
        <v>169</v>
      </c>
      <c r="F804">
        <v>601047</v>
      </c>
      <c r="G804" s="81" t="s">
        <v>129</v>
      </c>
      <c r="H804" s="81" t="s">
        <v>25</v>
      </c>
      <c r="I804" s="3">
        <v>1</v>
      </c>
      <c r="J804" s="3"/>
      <c r="K804" s="26">
        <v>1</v>
      </c>
      <c r="L804" s="2">
        <v>49620</v>
      </c>
      <c r="M804" s="2">
        <v>49620</v>
      </c>
      <c r="N804" s="2">
        <v>49620</v>
      </c>
      <c r="O804" s="2">
        <v>50286.86</v>
      </c>
      <c r="P804" s="2">
        <v>666.86</v>
      </c>
      <c r="Q804" s="2">
        <v>666.86</v>
      </c>
      <c r="R804" s="4">
        <v>1.3261118312020289E-2</v>
      </c>
      <c r="T804">
        <v>312028</v>
      </c>
      <c r="U804" s="2"/>
      <c r="V804">
        <v>6000</v>
      </c>
      <c r="W804" s="2">
        <v>6579000000</v>
      </c>
      <c r="X804" s="6">
        <v>50286.86</v>
      </c>
      <c r="Y804" s="38">
        <v>10010</v>
      </c>
      <c r="Z804" s="86">
        <f>+((DETALLE_GD_1[[#This Row],[VALOR X UN (GD)]]-DETALLE_GD_1[[#This Row],[VALOR PPTO]])/DETALLE_GD_1[[#This Row],[VALOR PPTO]])</f>
        <v>-1.3261118312020289E-2</v>
      </c>
      <c r="AA804" s="2">
        <f>+DETALLE_GD_1[[#This Row],[VALOR PPTO]]*DETALLE_GD_1[[#This Row],[CANTIDAD RECIBIDA]]</f>
        <v>50286.86</v>
      </c>
      <c r="AB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4" s="3">
        <f>+DETALLE_GD_1[[#This Row],[CANTIDAD SOLICITADA]]-DETALLE_GD_1[[#This Row],[DEVOLUCIÓN]]</f>
        <v>1</v>
      </c>
      <c r="AD804" s="38" t="str">
        <f>+_xlfn.XLOOKUP(DETALLE_GD_1[[#This Row],[CODIGO]],PRODUCTOS[CODIGO],PRODUCTOS[DESC CORTA],"",0)</f>
        <v>ESMALTE AL AGUA</v>
      </c>
      <c r="AE804"/>
      <c r="AH804"/>
    </row>
    <row r="805" spans="1:34" x14ac:dyDescent="0.25">
      <c r="A805" s="1">
        <v>46122</v>
      </c>
      <c r="B805" s="1">
        <v>46122</v>
      </c>
      <c r="C805" s="81" t="s">
        <v>169</v>
      </c>
      <c r="D805" s="38">
        <v>4</v>
      </c>
      <c r="E805" s="81" t="s">
        <v>169</v>
      </c>
      <c r="F805">
        <v>404252</v>
      </c>
      <c r="G805" s="81" t="s">
        <v>181</v>
      </c>
      <c r="H805" s="81" t="s">
        <v>31</v>
      </c>
      <c r="I805" s="3">
        <v>20</v>
      </c>
      <c r="J805" s="3"/>
      <c r="K805" s="26">
        <v>20</v>
      </c>
      <c r="L805" s="2">
        <v>1110.05</v>
      </c>
      <c r="M805" s="2">
        <v>22201</v>
      </c>
      <c r="N805" s="2">
        <v>22201</v>
      </c>
      <c r="O805" s="2">
        <v>1110.0438999999999</v>
      </c>
      <c r="P805" s="2">
        <v>-6.1000000000000004E-3</v>
      </c>
      <c r="Q805" s="2">
        <v>-0.1225</v>
      </c>
      <c r="R805" s="4">
        <v>-5.5168990455290766E-6</v>
      </c>
      <c r="T805">
        <v>312028</v>
      </c>
      <c r="U805" s="2"/>
      <c r="V805">
        <v>6000</v>
      </c>
      <c r="W805" s="2">
        <v>6579000000</v>
      </c>
      <c r="X805" s="6">
        <v>22200.877519999998</v>
      </c>
      <c r="Y805" s="38">
        <v>10010</v>
      </c>
      <c r="Z805" s="86">
        <f>+((DETALLE_GD_1[[#This Row],[VALOR X UN (GD)]]-DETALLE_GD_1[[#This Row],[VALOR PPTO]])/DETALLE_GD_1[[#This Row],[VALOR PPTO]])</f>
        <v>5.4952781597740329E-6</v>
      </c>
      <c r="AA805" s="2">
        <f>+DETALLE_GD_1[[#This Row],[VALOR PPTO]]*DETALLE_GD_1[[#This Row],[CANTIDAD RECIBIDA]]</f>
        <v>22200.877999999997</v>
      </c>
      <c r="AB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5" s="3">
        <f>+DETALLE_GD_1[[#This Row],[CANTIDAD SOLICITADA]]-DETALLE_GD_1[[#This Row],[DEVOLUCIÓN]]</f>
        <v>20</v>
      </c>
      <c r="AD805" s="38">
        <f>+_xlfn.XLOOKUP(DETALLE_GD_1[[#This Row],[CODIGO]],PRODUCTOS[CODIGO],PRODUCTOS[DESC CORTA],"",0)</f>
        <v>0</v>
      </c>
      <c r="AE805"/>
      <c r="AH805"/>
    </row>
    <row r="806" spans="1:34" x14ac:dyDescent="0.25">
      <c r="A806" s="1">
        <v>46125</v>
      </c>
      <c r="B806" s="1">
        <v>46125</v>
      </c>
      <c r="C806" s="81" t="s">
        <v>169</v>
      </c>
      <c r="D806" s="38">
        <v>4</v>
      </c>
      <c r="E806" s="81" t="s">
        <v>169</v>
      </c>
      <c r="F806">
        <v>307096</v>
      </c>
      <c r="G806" s="81" t="s">
        <v>249</v>
      </c>
      <c r="H806" s="81" t="s">
        <v>137</v>
      </c>
      <c r="I806" s="3">
        <v>50</v>
      </c>
      <c r="J806" s="3"/>
      <c r="K806" s="26">
        <v>50</v>
      </c>
      <c r="L806" s="2">
        <v>1795.6</v>
      </c>
      <c r="M806" s="2">
        <v>89780</v>
      </c>
      <c r="N806" s="2">
        <v>89780</v>
      </c>
      <c r="O806" s="2">
        <v>2095.3501000000001</v>
      </c>
      <c r="P806" s="2">
        <v>299.75009999999997</v>
      </c>
      <c r="Q806" s="2">
        <v>14987.5064</v>
      </c>
      <c r="R806" s="4">
        <v>0.14305491232773293</v>
      </c>
      <c r="T806">
        <v>312075</v>
      </c>
      <c r="U806" s="2">
        <v>279873</v>
      </c>
      <c r="V806">
        <v>6000</v>
      </c>
      <c r="W806" s="2">
        <v>6579000000</v>
      </c>
      <c r="X806" s="6">
        <v>104767.50644999991</v>
      </c>
      <c r="Y806" s="38">
        <v>10010</v>
      </c>
      <c r="Z806" s="86">
        <f>+((DETALLE_GD_1[[#This Row],[VALOR X UN (GD)]]-DETALLE_GD_1[[#This Row],[VALOR PPTO]])/DETALLE_GD_1[[#This Row],[VALOR PPTO]])</f>
        <v>-0.14305490046746852</v>
      </c>
      <c r="AA806" s="2">
        <f>+DETALLE_GD_1[[#This Row],[VALOR PPTO]]*DETALLE_GD_1[[#This Row],[CANTIDAD RECIBIDA]]</f>
        <v>104767.505</v>
      </c>
      <c r="AB8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06" s="3">
        <f>+DETALLE_GD_1[[#This Row],[CANTIDAD SOLICITADA]]-DETALLE_GD_1[[#This Row],[DEVOLUCIÓN]]</f>
        <v>50</v>
      </c>
      <c r="AD806" s="38" t="str">
        <f>+_xlfn.XLOOKUP(DETALLE_GD_1[[#This Row],[CODIGO]],PRODUCTOS[CODIGO],PRODUCTOS[DESC CORTA],"",0)</f>
        <v>CUBREJUNTA</v>
      </c>
      <c r="AE806"/>
      <c r="AH806"/>
    </row>
    <row r="807" spans="1:34" x14ac:dyDescent="0.25">
      <c r="A807" s="1">
        <v>46125</v>
      </c>
      <c r="B807" s="1">
        <v>46125</v>
      </c>
      <c r="C807" s="81" t="s">
        <v>169</v>
      </c>
      <c r="D807" s="38">
        <v>4</v>
      </c>
      <c r="E807" s="81" t="s">
        <v>169</v>
      </c>
      <c r="F807">
        <v>2304053</v>
      </c>
      <c r="G807" s="81" t="s">
        <v>213</v>
      </c>
      <c r="H807" s="81" t="s">
        <v>31</v>
      </c>
      <c r="I807" s="3">
        <v>48</v>
      </c>
      <c r="J807" s="3"/>
      <c r="K807" s="26">
        <v>48</v>
      </c>
      <c r="L807" s="2">
        <v>969.22919999999999</v>
      </c>
      <c r="M807" s="2">
        <v>46523</v>
      </c>
      <c r="N807" s="2">
        <v>46523</v>
      </c>
      <c r="O807" s="2">
        <v>862</v>
      </c>
      <c r="P807" s="2">
        <v>-107.22920000000001</v>
      </c>
      <c r="Q807" s="2">
        <v>-5147</v>
      </c>
      <c r="R807" s="4">
        <v>-0.12439578499613284</v>
      </c>
      <c r="T807">
        <v>312075</v>
      </c>
      <c r="U807" s="2"/>
      <c r="V807">
        <v>6000</v>
      </c>
      <c r="W807" s="2">
        <v>6579000000</v>
      </c>
      <c r="X807" s="6">
        <v>41376.000000000007</v>
      </c>
      <c r="Y807" s="38">
        <v>10010</v>
      </c>
      <c r="Z807" s="86">
        <f>+((DETALLE_GD_1[[#This Row],[VALOR X UN (GD)]]-DETALLE_GD_1[[#This Row],[VALOR PPTO]])/DETALLE_GD_1[[#This Row],[VALOR PPTO]])</f>
        <v>0.12439582366589326</v>
      </c>
      <c r="AA807" s="2">
        <f>+DETALLE_GD_1[[#This Row],[VALOR PPTO]]*DETALLE_GD_1[[#This Row],[CANTIDAD RECIBIDA]]</f>
        <v>41376</v>
      </c>
      <c r="AB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7" s="3">
        <f>+DETALLE_GD_1[[#This Row],[CANTIDAD SOLICITADA]]-DETALLE_GD_1[[#This Row],[DEVOLUCIÓN]]</f>
        <v>48</v>
      </c>
      <c r="AD807" s="38">
        <f>+_xlfn.XLOOKUP(DETALLE_GD_1[[#This Row],[CODIGO]],PRODUCTOS[CODIGO],PRODUCTOS[DESC CORTA],"",0)</f>
        <v>0</v>
      </c>
      <c r="AE807"/>
      <c r="AH807"/>
    </row>
    <row r="808" spans="1:34" x14ac:dyDescent="0.25">
      <c r="A808" s="1">
        <v>46125</v>
      </c>
      <c r="B808" s="1">
        <v>46125</v>
      </c>
      <c r="C808" s="81" t="s">
        <v>169</v>
      </c>
      <c r="D808" s="38">
        <v>4</v>
      </c>
      <c r="E808" s="81" t="s">
        <v>169</v>
      </c>
      <c r="F808">
        <v>602254</v>
      </c>
      <c r="G808" s="81" t="s">
        <v>214</v>
      </c>
      <c r="H808" s="81" t="s">
        <v>25</v>
      </c>
      <c r="I808" s="3">
        <v>1</v>
      </c>
      <c r="J808" s="3"/>
      <c r="K808" s="26">
        <v>1</v>
      </c>
      <c r="L808" s="2">
        <v>46060</v>
      </c>
      <c r="M808" s="2">
        <v>46060</v>
      </c>
      <c r="N808" s="2">
        <v>46060</v>
      </c>
      <c r="O808" s="2">
        <v>46060</v>
      </c>
      <c r="P808" s="2">
        <v>0</v>
      </c>
      <c r="Q808" s="2">
        <v>0</v>
      </c>
      <c r="R808" s="4">
        <v>0</v>
      </c>
      <c r="T808">
        <v>312075</v>
      </c>
      <c r="U808" s="2"/>
      <c r="V808">
        <v>6000</v>
      </c>
      <c r="W808" s="2">
        <v>6579000000</v>
      </c>
      <c r="X808" s="6">
        <v>46060</v>
      </c>
      <c r="Y808" s="38">
        <v>10010</v>
      </c>
      <c r="Z808" s="86">
        <f>+((DETALLE_GD_1[[#This Row],[VALOR X UN (GD)]]-DETALLE_GD_1[[#This Row],[VALOR PPTO]])/DETALLE_GD_1[[#This Row],[VALOR PPTO]])</f>
        <v>0</v>
      </c>
      <c r="AA808" s="2">
        <f>+DETALLE_GD_1[[#This Row],[VALOR PPTO]]*DETALLE_GD_1[[#This Row],[CANTIDAD RECIBIDA]]</f>
        <v>46060</v>
      </c>
      <c r="AB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8" s="3">
        <f>+DETALLE_GD_1[[#This Row],[CANTIDAD SOLICITADA]]-DETALLE_GD_1[[#This Row],[DEVOLUCIÓN]]</f>
        <v>1</v>
      </c>
      <c r="AD808" s="38">
        <f>+_xlfn.XLOOKUP(DETALLE_GD_1[[#This Row],[CODIGO]],PRODUCTOS[CODIGO],PRODUCTOS[DESC CORTA],"",0)</f>
        <v>0</v>
      </c>
      <c r="AE808"/>
      <c r="AH808"/>
    </row>
    <row r="809" spans="1:34" x14ac:dyDescent="0.25">
      <c r="A809" s="1">
        <v>46125</v>
      </c>
      <c r="B809" s="1">
        <v>46125</v>
      </c>
      <c r="C809" s="81" t="s">
        <v>169</v>
      </c>
      <c r="D809" s="38">
        <v>4</v>
      </c>
      <c r="E809" s="81" t="s">
        <v>169</v>
      </c>
      <c r="F809">
        <v>602255</v>
      </c>
      <c r="G809" s="81" t="s">
        <v>203</v>
      </c>
      <c r="H809" s="81" t="s">
        <v>25</v>
      </c>
      <c r="I809" s="3">
        <v>1</v>
      </c>
      <c r="J809" s="3"/>
      <c r="K809" s="26">
        <v>1</v>
      </c>
      <c r="L809" s="2">
        <v>47890</v>
      </c>
      <c r="M809" s="2">
        <v>47890</v>
      </c>
      <c r="N809" s="2">
        <v>47890</v>
      </c>
      <c r="O809" s="2">
        <v>47889.5</v>
      </c>
      <c r="P809" s="2">
        <v>-0.5</v>
      </c>
      <c r="Q809" s="2">
        <v>-0.5</v>
      </c>
      <c r="R809" s="4">
        <v>-1.0440702032804683E-5</v>
      </c>
      <c r="T809">
        <v>312075</v>
      </c>
      <c r="U809" s="2"/>
      <c r="V809">
        <v>6000</v>
      </c>
      <c r="W809" s="2">
        <v>6579000000</v>
      </c>
      <c r="X809" s="6">
        <v>47889.5</v>
      </c>
      <c r="Y809" s="38">
        <v>10010</v>
      </c>
      <c r="Z809" s="86">
        <f>+((DETALLE_GD_1[[#This Row],[VALOR X UN (GD)]]-DETALLE_GD_1[[#This Row],[VALOR PPTO]])/DETALLE_GD_1[[#This Row],[VALOR PPTO]])</f>
        <v>1.0440702032804685E-5</v>
      </c>
      <c r="AA809" s="2">
        <f>+DETALLE_GD_1[[#This Row],[VALOR PPTO]]*DETALLE_GD_1[[#This Row],[CANTIDAD RECIBIDA]]</f>
        <v>47889.5</v>
      </c>
      <c r="AB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9" s="3">
        <f>+DETALLE_GD_1[[#This Row],[CANTIDAD SOLICITADA]]-DETALLE_GD_1[[#This Row],[DEVOLUCIÓN]]</f>
        <v>1</v>
      </c>
      <c r="AD809" s="38">
        <f>+_xlfn.XLOOKUP(DETALLE_GD_1[[#This Row],[CODIGO]],PRODUCTOS[CODIGO],PRODUCTOS[DESC CORTA],"",0)</f>
        <v>0</v>
      </c>
      <c r="AE809"/>
      <c r="AH809"/>
    </row>
    <row r="810" spans="1:34" x14ac:dyDescent="0.25">
      <c r="A810" s="1">
        <v>46125</v>
      </c>
      <c r="B810" s="1">
        <v>46125</v>
      </c>
      <c r="C810" s="81" t="s">
        <v>169</v>
      </c>
      <c r="D810" s="38">
        <v>4</v>
      </c>
      <c r="E810" s="81" t="s">
        <v>169</v>
      </c>
      <c r="F810">
        <v>601047</v>
      </c>
      <c r="G810" s="81" t="s">
        <v>129</v>
      </c>
      <c r="H810" s="81" t="s">
        <v>25</v>
      </c>
      <c r="I810" s="3">
        <v>1</v>
      </c>
      <c r="J810" s="3"/>
      <c r="K810" s="26">
        <v>1</v>
      </c>
      <c r="L810" s="2">
        <v>49620</v>
      </c>
      <c r="M810" s="2">
        <v>49620</v>
      </c>
      <c r="N810" s="2">
        <v>49620</v>
      </c>
      <c r="O810" s="2">
        <v>50286.86</v>
      </c>
      <c r="P810" s="2">
        <v>666.86</v>
      </c>
      <c r="Q810" s="2">
        <v>666.86</v>
      </c>
      <c r="R810" s="4">
        <v>1.3261118312020289E-2</v>
      </c>
      <c r="T810">
        <v>312075</v>
      </c>
      <c r="U810" s="2"/>
      <c r="V810">
        <v>6000</v>
      </c>
      <c r="W810" s="2">
        <v>6579000000</v>
      </c>
      <c r="X810" s="6">
        <v>50286.86</v>
      </c>
      <c r="Y810" s="38">
        <v>10010</v>
      </c>
      <c r="Z810" s="86">
        <f>+((DETALLE_GD_1[[#This Row],[VALOR X UN (GD)]]-DETALLE_GD_1[[#This Row],[VALOR PPTO]])/DETALLE_GD_1[[#This Row],[VALOR PPTO]])</f>
        <v>-1.3261118312020289E-2</v>
      </c>
      <c r="AA810" s="2">
        <f>+DETALLE_GD_1[[#This Row],[VALOR PPTO]]*DETALLE_GD_1[[#This Row],[CANTIDAD RECIBIDA]]</f>
        <v>50286.86</v>
      </c>
      <c r="AB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0" s="3">
        <f>+DETALLE_GD_1[[#This Row],[CANTIDAD SOLICITADA]]-DETALLE_GD_1[[#This Row],[DEVOLUCIÓN]]</f>
        <v>1</v>
      </c>
      <c r="AD810" s="38" t="str">
        <f>+_xlfn.XLOOKUP(DETALLE_GD_1[[#This Row],[CODIGO]],PRODUCTOS[CODIGO],PRODUCTOS[DESC CORTA],"",0)</f>
        <v>ESMALTE AL AGUA</v>
      </c>
      <c r="AE810"/>
      <c r="AH810"/>
    </row>
    <row r="811" spans="1:34" x14ac:dyDescent="0.25">
      <c r="A811" s="1">
        <v>46125</v>
      </c>
      <c r="B811" s="1">
        <v>46125</v>
      </c>
      <c r="C811" s="81" t="s">
        <v>169</v>
      </c>
      <c r="D811" s="38">
        <v>4</v>
      </c>
      <c r="E811" s="81" t="s">
        <v>169</v>
      </c>
      <c r="F811">
        <v>2508986</v>
      </c>
      <c r="G811" s="81" t="s">
        <v>709</v>
      </c>
      <c r="H811" s="81" t="s">
        <v>90</v>
      </c>
      <c r="I811" s="3">
        <v>1</v>
      </c>
      <c r="J811" s="3"/>
      <c r="K811" s="26">
        <v>1</v>
      </c>
      <c r="L811" s="2">
        <v>102622</v>
      </c>
      <c r="M811" s="2">
        <v>102622</v>
      </c>
      <c r="N811" s="2">
        <v>102622</v>
      </c>
      <c r="O811" s="2"/>
      <c r="P811" s="2"/>
      <c r="Q811" s="2">
        <v>-102622</v>
      </c>
      <c r="R811" s="4"/>
      <c r="T811">
        <v>312173</v>
      </c>
      <c r="U811" s="2">
        <v>202728</v>
      </c>
      <c r="V811">
        <v>6000</v>
      </c>
      <c r="W811" s="2">
        <v>6579000000</v>
      </c>
      <c r="X811" s="6" t="s">
        <v>355</v>
      </c>
      <c r="Y811" s="38">
        <v>10010</v>
      </c>
      <c r="Z811" s="86" t="e">
        <f>+((DETALLE_GD_1[[#This Row],[VALOR X UN (GD)]]-DETALLE_GD_1[[#This Row],[VALOR PPTO]])/DETALLE_GD_1[[#This Row],[VALOR PPTO]])</f>
        <v>#DIV/0!</v>
      </c>
      <c r="AA811" s="2">
        <f>+DETALLE_GD_1[[#This Row],[VALOR PPTO]]*DETALLE_GD_1[[#This Row],[CANTIDAD RECIBIDA]]</f>
        <v>0</v>
      </c>
      <c r="AB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1" s="3">
        <f>+DETALLE_GD_1[[#This Row],[CANTIDAD SOLICITADA]]-DETALLE_GD_1[[#This Row],[DEVOLUCIÓN]]</f>
        <v>1</v>
      </c>
      <c r="AD811" s="38" t="str">
        <f>+_xlfn.XLOOKUP(DETALLE_GD_1[[#This Row],[CODIGO]],PRODUCTOS[CODIGO],PRODUCTOS[DESC CORTA],"",0)</f>
        <v/>
      </c>
      <c r="AE811"/>
      <c r="AH811"/>
    </row>
    <row r="812" spans="1:34" x14ac:dyDescent="0.25">
      <c r="A812" s="1">
        <v>46125</v>
      </c>
      <c r="B812" s="1">
        <v>46125</v>
      </c>
      <c r="C812" s="81" t="s">
        <v>169</v>
      </c>
      <c r="D812" s="38">
        <v>4</v>
      </c>
      <c r="E812" s="81" t="s">
        <v>169</v>
      </c>
      <c r="F812">
        <v>2508990</v>
      </c>
      <c r="G812" s="81" t="s">
        <v>484</v>
      </c>
      <c r="H812" s="81" t="s">
        <v>31</v>
      </c>
      <c r="I812" s="3">
        <v>2</v>
      </c>
      <c r="J812" s="3"/>
      <c r="K812" s="26">
        <v>2</v>
      </c>
      <c r="L812" s="2">
        <v>6638.5</v>
      </c>
      <c r="M812" s="2">
        <v>13277</v>
      </c>
      <c r="N812" s="2">
        <v>13277</v>
      </c>
      <c r="O812" s="2">
        <v>6738</v>
      </c>
      <c r="P812" s="2">
        <v>99.5</v>
      </c>
      <c r="Q812" s="2">
        <v>199</v>
      </c>
      <c r="R812" s="4">
        <v>1.4766993173048382E-2</v>
      </c>
      <c r="T812">
        <v>312173</v>
      </c>
      <c r="U812" s="2"/>
      <c r="V812">
        <v>6000</v>
      </c>
      <c r="W812" s="2">
        <v>6579000000</v>
      </c>
      <c r="X812" s="6">
        <v>13476</v>
      </c>
      <c r="Y812" s="38">
        <v>10010</v>
      </c>
      <c r="Z812" s="86">
        <f>+((DETALLE_GD_1[[#This Row],[VALOR X UN (GD)]]-DETALLE_GD_1[[#This Row],[VALOR PPTO]])/DETALLE_GD_1[[#This Row],[VALOR PPTO]])</f>
        <v>-1.4766993173048382E-2</v>
      </c>
      <c r="AA812" s="2">
        <f>+DETALLE_GD_1[[#This Row],[VALOR PPTO]]*DETALLE_GD_1[[#This Row],[CANTIDAD RECIBIDA]]</f>
        <v>13476</v>
      </c>
      <c r="AB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2" s="3">
        <f>+DETALLE_GD_1[[#This Row],[CANTIDAD SOLICITADA]]-DETALLE_GD_1[[#This Row],[DEVOLUCIÓN]]</f>
        <v>2</v>
      </c>
      <c r="AD812" s="38" t="str">
        <f>+_xlfn.XLOOKUP(DETALLE_GD_1[[#This Row],[CODIGO]],PRODUCTOS[CODIGO],PRODUCTOS[DESC CORTA],"",0)</f>
        <v>CERRADURA DE EMB</v>
      </c>
      <c r="AE812"/>
      <c r="AH812"/>
    </row>
    <row r="813" spans="1:34" x14ac:dyDescent="0.25">
      <c r="A813" s="1">
        <v>46125</v>
      </c>
      <c r="B813" s="1">
        <v>46125</v>
      </c>
      <c r="C813" s="81" t="s">
        <v>169</v>
      </c>
      <c r="D813" s="38">
        <v>4</v>
      </c>
      <c r="E813" s="81" t="s">
        <v>169</v>
      </c>
      <c r="F813">
        <v>2508991</v>
      </c>
      <c r="G813" s="81" t="s">
        <v>485</v>
      </c>
      <c r="H813" s="81" t="s">
        <v>31</v>
      </c>
      <c r="I813" s="3">
        <v>2</v>
      </c>
      <c r="J813" s="3"/>
      <c r="K813" s="26">
        <v>2</v>
      </c>
      <c r="L813" s="2">
        <v>4773</v>
      </c>
      <c r="M813" s="2">
        <v>9546</v>
      </c>
      <c r="N813" s="2">
        <v>9546</v>
      </c>
      <c r="O813" s="2">
        <v>4798</v>
      </c>
      <c r="P813" s="2">
        <v>25</v>
      </c>
      <c r="Q813" s="2">
        <v>50</v>
      </c>
      <c r="R813" s="4">
        <v>5.2105043768236768E-3</v>
      </c>
      <c r="T813">
        <v>312173</v>
      </c>
      <c r="U813" s="2"/>
      <c r="V813">
        <v>6000</v>
      </c>
      <c r="W813" s="2">
        <v>6579000000</v>
      </c>
      <c r="X813" s="6">
        <v>9596</v>
      </c>
      <c r="Y813" s="38">
        <v>10010</v>
      </c>
      <c r="Z813" s="86">
        <f>+((DETALLE_GD_1[[#This Row],[VALOR X UN (GD)]]-DETALLE_GD_1[[#This Row],[VALOR PPTO]])/DETALLE_GD_1[[#This Row],[VALOR PPTO]])</f>
        <v>-5.2105043768236768E-3</v>
      </c>
      <c r="AA813" s="2">
        <f>+DETALLE_GD_1[[#This Row],[VALOR PPTO]]*DETALLE_GD_1[[#This Row],[CANTIDAD RECIBIDA]]</f>
        <v>9596</v>
      </c>
      <c r="AB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3" s="3">
        <f>+DETALLE_GD_1[[#This Row],[CANTIDAD SOLICITADA]]-DETALLE_GD_1[[#This Row],[DEVOLUCIÓN]]</f>
        <v>2</v>
      </c>
      <c r="AD813" s="38" t="str">
        <f>+_xlfn.XLOOKUP(DETALLE_GD_1[[#This Row],[CODIGO]],PRODUCTOS[CODIGO],PRODUCTOS[DESC CORTA],"",0)</f>
        <v>CILINDRO 03 LLAVE/LLAVE</v>
      </c>
      <c r="AE813"/>
      <c r="AH813"/>
    </row>
    <row r="814" spans="1:34" x14ac:dyDescent="0.25">
      <c r="A814" s="1">
        <v>46125</v>
      </c>
      <c r="B814" s="1">
        <v>46125</v>
      </c>
      <c r="C814" s="81" t="s">
        <v>169</v>
      </c>
      <c r="D814" s="38">
        <v>4</v>
      </c>
      <c r="E814" s="81" t="s">
        <v>169</v>
      </c>
      <c r="F814">
        <v>2508992</v>
      </c>
      <c r="G814" s="81" t="s">
        <v>486</v>
      </c>
      <c r="H814" s="81" t="s">
        <v>31</v>
      </c>
      <c r="I814" s="3">
        <v>4</v>
      </c>
      <c r="J814" s="3"/>
      <c r="K814" s="26">
        <v>4</v>
      </c>
      <c r="L814" s="2">
        <v>5052.75</v>
      </c>
      <c r="M814" s="2">
        <v>20211</v>
      </c>
      <c r="N814" s="2">
        <v>20211</v>
      </c>
      <c r="O814" s="2">
        <v>5084</v>
      </c>
      <c r="P814" s="2">
        <v>31.25</v>
      </c>
      <c r="Q814" s="2">
        <v>125</v>
      </c>
      <c r="R814" s="4">
        <v>6.1467348544453184E-3</v>
      </c>
      <c r="T814">
        <v>312173</v>
      </c>
      <c r="U814" s="2"/>
      <c r="V814">
        <v>6000</v>
      </c>
      <c r="W814" s="2">
        <v>6579000000</v>
      </c>
      <c r="X814" s="6">
        <v>20336</v>
      </c>
      <c r="Y814" s="38">
        <v>10010</v>
      </c>
      <c r="Z814" s="86">
        <f>+((DETALLE_GD_1[[#This Row],[VALOR X UN (GD)]]-DETALLE_GD_1[[#This Row],[VALOR PPTO]])/DETALLE_GD_1[[#This Row],[VALOR PPTO]])</f>
        <v>-6.1467348544453184E-3</v>
      </c>
      <c r="AA814" s="2">
        <f>+DETALLE_GD_1[[#This Row],[VALOR PPTO]]*DETALLE_GD_1[[#This Row],[CANTIDAD RECIBIDA]]</f>
        <v>20336</v>
      </c>
      <c r="AB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4" s="3">
        <f>+DETALLE_GD_1[[#This Row],[CANTIDAD SOLICITADA]]-DETALLE_GD_1[[#This Row],[DEVOLUCIÓN]]</f>
        <v>4</v>
      </c>
      <c r="AD814" s="38" t="str">
        <f>+_xlfn.XLOOKUP(DETALLE_GD_1[[#This Row],[CODIGO]],PRODUCTOS[CODIGO],PRODUCTOS[DESC CORTA],"",0)</f>
        <v>MANILLA JUEGO</v>
      </c>
      <c r="AE814"/>
      <c r="AH814"/>
    </row>
    <row r="815" spans="1:34" x14ac:dyDescent="0.25">
      <c r="A815" s="1">
        <v>46125</v>
      </c>
      <c r="B815" s="1">
        <v>46125</v>
      </c>
      <c r="C815" s="81" t="s">
        <v>169</v>
      </c>
      <c r="D815" s="38">
        <v>4</v>
      </c>
      <c r="E815" s="81" t="s">
        <v>169</v>
      </c>
      <c r="F815">
        <v>2508993</v>
      </c>
      <c r="G815" s="81" t="s">
        <v>487</v>
      </c>
      <c r="H815" s="81" t="s">
        <v>31</v>
      </c>
      <c r="I815" s="3">
        <v>2</v>
      </c>
      <c r="J815" s="3"/>
      <c r="K815" s="26">
        <v>2</v>
      </c>
      <c r="L815" s="2">
        <v>1514.5</v>
      </c>
      <c r="M815" s="2">
        <v>3029</v>
      </c>
      <c r="N815" s="2">
        <v>3029</v>
      </c>
      <c r="O815" s="2">
        <v>1410</v>
      </c>
      <c r="P815" s="2">
        <v>-104.5</v>
      </c>
      <c r="Q815" s="2">
        <v>-209</v>
      </c>
      <c r="R815" s="4">
        <v>-7.411347517730496E-2</v>
      </c>
      <c r="T815">
        <v>312173</v>
      </c>
      <c r="U815" s="2"/>
      <c r="V815">
        <v>6000</v>
      </c>
      <c r="W815" s="2">
        <v>6579000000</v>
      </c>
      <c r="X815" s="6">
        <v>2820</v>
      </c>
      <c r="Y815" s="38">
        <v>10010</v>
      </c>
      <c r="Z815" s="86">
        <f>+((DETALLE_GD_1[[#This Row],[VALOR X UN (GD)]]-DETALLE_GD_1[[#This Row],[VALOR PPTO]])/DETALLE_GD_1[[#This Row],[VALOR PPTO]])</f>
        <v>7.411347517730496E-2</v>
      </c>
      <c r="AA815" s="2">
        <f>+DETALLE_GD_1[[#This Row],[VALOR PPTO]]*DETALLE_GD_1[[#This Row],[CANTIDAD RECIBIDA]]</f>
        <v>2820</v>
      </c>
      <c r="AB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5" s="3">
        <f>+DETALLE_GD_1[[#This Row],[CANTIDAD SOLICITADA]]-DETALLE_GD_1[[#This Row],[DEVOLUCIÓN]]</f>
        <v>2</v>
      </c>
      <c r="AD815" s="38" t="str">
        <f>+_xlfn.XLOOKUP(DETALLE_GD_1[[#This Row],[CODIGO]],PRODUCTOS[CODIGO],PRODUCTOS[DESC CORTA],"",0)</f>
        <v>BOCALLAVE B1 800 ACCESO</v>
      </c>
      <c r="AE815"/>
      <c r="AH815"/>
    </row>
    <row r="816" spans="1:34" x14ac:dyDescent="0.25">
      <c r="A816" s="1">
        <v>46125</v>
      </c>
      <c r="B816" s="1">
        <v>46125</v>
      </c>
      <c r="C816" s="81" t="s">
        <v>169</v>
      </c>
      <c r="D816" s="38">
        <v>4</v>
      </c>
      <c r="E816" s="81" t="s">
        <v>169</v>
      </c>
      <c r="F816">
        <v>2508994</v>
      </c>
      <c r="G816" s="81" t="s">
        <v>488</v>
      </c>
      <c r="H816" s="81" t="s">
        <v>31</v>
      </c>
      <c r="I816" s="3">
        <v>2</v>
      </c>
      <c r="J816" s="3"/>
      <c r="K816" s="26">
        <v>2</v>
      </c>
      <c r="L816" s="2">
        <v>1785.5</v>
      </c>
      <c r="M816" s="2">
        <v>3571</v>
      </c>
      <c r="N816" s="2">
        <v>3571</v>
      </c>
      <c r="O816" s="2">
        <v>1598</v>
      </c>
      <c r="P816" s="2">
        <v>-187.5</v>
      </c>
      <c r="Q816" s="2">
        <v>-375</v>
      </c>
      <c r="R816" s="4">
        <v>-0.11733416770963705</v>
      </c>
      <c r="T816">
        <v>312173</v>
      </c>
      <c r="U816" s="2"/>
      <c r="V816">
        <v>6000</v>
      </c>
      <c r="W816" s="2">
        <v>6579000000</v>
      </c>
      <c r="X816" s="6">
        <v>3196</v>
      </c>
      <c r="Y816" s="38">
        <v>10010</v>
      </c>
      <c r="Z816" s="86">
        <f>+((DETALLE_GD_1[[#This Row],[VALOR X UN (GD)]]-DETALLE_GD_1[[#This Row],[VALOR PPTO]])/DETALLE_GD_1[[#This Row],[VALOR PPTO]])</f>
        <v>0.11733416770963705</v>
      </c>
      <c r="AA816" s="2">
        <f>+DETALLE_GD_1[[#This Row],[VALOR PPTO]]*DETALLE_GD_1[[#This Row],[CANTIDAD RECIBIDA]]</f>
        <v>3196</v>
      </c>
      <c r="AB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6" s="3">
        <f>+DETALLE_GD_1[[#This Row],[CANTIDAD SOLICITADA]]-DETALLE_GD_1[[#This Row],[DEVOLUCIÓN]]</f>
        <v>2</v>
      </c>
      <c r="AD816" s="38" t="str">
        <f>+_xlfn.XLOOKUP(DETALLE_GD_1[[#This Row],[CODIGO]],PRODUCTOS[CODIGO],PRODUCTOS[DESC CORTA],"",0)</f>
        <v>CUADRADILLO EXPANSION 8X</v>
      </c>
      <c r="AE816"/>
      <c r="AH816"/>
    </row>
    <row r="817" spans="1:34" x14ac:dyDescent="0.25">
      <c r="A817" s="1">
        <v>46125</v>
      </c>
      <c r="B817" s="1">
        <v>46125</v>
      </c>
      <c r="C817" s="81" t="s">
        <v>169</v>
      </c>
      <c r="D817" s="38">
        <v>4</v>
      </c>
      <c r="E817" s="81" t="s">
        <v>169</v>
      </c>
      <c r="F817">
        <v>307032</v>
      </c>
      <c r="G817" s="81" t="s">
        <v>186</v>
      </c>
      <c r="H817" s="81" t="s">
        <v>137</v>
      </c>
      <c r="I817" s="3">
        <v>20</v>
      </c>
      <c r="J817" s="3"/>
      <c r="K817" s="26">
        <v>20</v>
      </c>
      <c r="L817" s="2">
        <v>2280.1</v>
      </c>
      <c r="M817" s="2">
        <v>45602</v>
      </c>
      <c r="N817" s="2">
        <v>45602</v>
      </c>
      <c r="O817" s="2">
        <v>2378.375</v>
      </c>
      <c r="P817" s="2">
        <v>98.275000000000006</v>
      </c>
      <c r="Q817" s="2">
        <v>1965.5008</v>
      </c>
      <c r="R817" s="4">
        <v>4.1320245674407875E-2</v>
      </c>
      <c r="T817">
        <v>312173</v>
      </c>
      <c r="U817" s="2"/>
      <c r="V817">
        <v>6000</v>
      </c>
      <c r="W817" s="2">
        <v>6579000000</v>
      </c>
      <c r="X817" s="6">
        <v>47567.500819999994</v>
      </c>
      <c r="Y817" s="38">
        <v>10010</v>
      </c>
      <c r="Z817" s="86">
        <f>+((DETALLE_GD_1[[#This Row],[VALOR X UN (GD)]]-DETALLE_GD_1[[#This Row],[VALOR PPTO]])/DETALLE_GD_1[[#This Row],[VALOR PPTO]])</f>
        <v>-4.1320229148052806E-2</v>
      </c>
      <c r="AA817" s="2">
        <f>+DETALLE_GD_1[[#This Row],[VALOR PPTO]]*DETALLE_GD_1[[#This Row],[CANTIDAD RECIBIDA]]</f>
        <v>47567.5</v>
      </c>
      <c r="AB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7" s="3">
        <f>+DETALLE_GD_1[[#This Row],[CANTIDAD SOLICITADA]]-DETALLE_GD_1[[#This Row],[DEVOLUCIÓN]]</f>
        <v>20</v>
      </c>
      <c r="AD817" s="38">
        <f>+_xlfn.XLOOKUP(DETALLE_GD_1[[#This Row],[CODIGO]],PRODUCTOS[CODIGO],PRODUCTOS[DESC CORTA],"",0)</f>
        <v>0</v>
      </c>
      <c r="AE817"/>
      <c r="AH817"/>
    </row>
    <row r="818" spans="1:34" x14ac:dyDescent="0.25">
      <c r="A818" s="1">
        <v>46125</v>
      </c>
      <c r="B818" s="1">
        <v>46125</v>
      </c>
      <c r="C818" s="81" t="s">
        <v>169</v>
      </c>
      <c r="D818" s="38">
        <v>4</v>
      </c>
      <c r="E818" s="81" t="s">
        <v>169</v>
      </c>
      <c r="F818">
        <v>704021</v>
      </c>
      <c r="G818" s="81" t="s">
        <v>329</v>
      </c>
      <c r="H818" s="81" t="s">
        <v>31</v>
      </c>
      <c r="I818" s="3">
        <v>10</v>
      </c>
      <c r="J818" s="3"/>
      <c r="K818" s="26">
        <v>10</v>
      </c>
      <c r="L818" s="2">
        <v>487</v>
      </c>
      <c r="M818" s="2">
        <v>4870</v>
      </c>
      <c r="N818" s="2">
        <v>4870</v>
      </c>
      <c r="O818" s="2">
        <v>487</v>
      </c>
      <c r="P818" s="2">
        <v>0</v>
      </c>
      <c r="Q818" s="2">
        <v>0</v>
      </c>
      <c r="R818" s="4">
        <v>0</v>
      </c>
      <c r="T818">
        <v>312173</v>
      </c>
      <c r="U818" s="2"/>
      <c r="V818">
        <v>6000</v>
      </c>
      <c r="W818" s="2">
        <v>6579000000</v>
      </c>
      <c r="X818" s="6">
        <v>4870</v>
      </c>
      <c r="Y818" s="38">
        <v>10010</v>
      </c>
      <c r="Z818" s="86">
        <f>+((DETALLE_GD_1[[#This Row],[VALOR X UN (GD)]]-DETALLE_GD_1[[#This Row],[VALOR PPTO]])/DETALLE_GD_1[[#This Row],[VALOR PPTO]])</f>
        <v>0</v>
      </c>
      <c r="AA818" s="2">
        <f>+DETALLE_GD_1[[#This Row],[VALOR PPTO]]*DETALLE_GD_1[[#This Row],[CANTIDAD RECIBIDA]]</f>
        <v>4870</v>
      </c>
      <c r="AB8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8" s="3">
        <f>+DETALLE_GD_1[[#This Row],[CANTIDAD SOLICITADA]]-DETALLE_GD_1[[#This Row],[DEVOLUCIÓN]]</f>
        <v>10</v>
      </c>
      <c r="AD818" s="38" t="str">
        <f>+_xlfn.XLOOKUP(DETALLE_GD_1[[#This Row],[CODIGO]],PRODUCTOS[CODIGO],PRODUCTOS[DESC CORTA],"",0)</f>
        <v>ESQUINERO PILASTRA PVC</v>
      </c>
      <c r="AE818"/>
      <c r="AH818"/>
    </row>
    <row r="819" spans="1:34" x14ac:dyDescent="0.25">
      <c r="A819" s="1">
        <v>46125</v>
      </c>
      <c r="B819" s="1">
        <v>46125</v>
      </c>
      <c r="C819" s="81" t="s">
        <v>169</v>
      </c>
      <c r="D819" s="38">
        <v>4</v>
      </c>
      <c r="E819" s="81" t="s">
        <v>169</v>
      </c>
      <c r="F819">
        <v>307030</v>
      </c>
      <c r="G819" s="81" t="s">
        <v>64</v>
      </c>
      <c r="H819" s="81" t="s">
        <v>31</v>
      </c>
      <c r="I819" s="3">
        <v>50</v>
      </c>
      <c r="J819" s="3"/>
      <c r="K819" s="26">
        <v>50</v>
      </c>
      <c r="L819" s="2">
        <v>2730</v>
      </c>
      <c r="M819" s="2">
        <v>136500</v>
      </c>
      <c r="N819" s="2">
        <v>136500</v>
      </c>
      <c r="O819" s="2">
        <v>2729.9989</v>
      </c>
      <c r="P819" s="2">
        <v>-1.1000000000000001E-3</v>
      </c>
      <c r="Q819" s="2">
        <v>-5.7200000000000001E-2</v>
      </c>
      <c r="R819" s="4">
        <v>-4.190477945900508E-7</v>
      </c>
      <c r="T819">
        <v>312174</v>
      </c>
      <c r="U819" s="2">
        <v>284522</v>
      </c>
      <c r="V819">
        <v>6000</v>
      </c>
      <c r="W819" s="2">
        <v>6579000000</v>
      </c>
      <c r="X819" s="6">
        <v>136499.94280000002</v>
      </c>
      <c r="Y819" s="38">
        <v>10010</v>
      </c>
      <c r="Z819" s="86">
        <f>+((DETALLE_GD_1[[#This Row],[VALOR X UN (GD)]]-DETALLE_GD_1[[#This Row],[VALOR PPTO]])/DETALLE_GD_1[[#This Row],[VALOR PPTO]])</f>
        <v>4.0293056526552117E-7</v>
      </c>
      <c r="AA819" s="2">
        <f>+DETALLE_GD_1[[#This Row],[VALOR PPTO]]*DETALLE_GD_1[[#This Row],[CANTIDAD RECIBIDA]]</f>
        <v>136499.94500000001</v>
      </c>
      <c r="AB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9" s="3">
        <f>+DETALLE_GD_1[[#This Row],[CANTIDAD SOLICITADA]]-DETALLE_GD_1[[#This Row],[DEVOLUCIÓN]]</f>
        <v>50</v>
      </c>
      <c r="AD819" s="38" t="str">
        <f>+_xlfn.XLOOKUP(DETALLE_GD_1[[#This Row],[CODIGO]],PRODUCTOS[CODIGO],PRODUCTOS[DESC CORTA],"",0)</f>
        <v>GUARDAPOLVO BLANCO</v>
      </c>
      <c r="AE819"/>
      <c r="AH819"/>
    </row>
    <row r="820" spans="1:34" x14ac:dyDescent="0.25">
      <c r="A820" s="1">
        <v>46125</v>
      </c>
      <c r="B820" s="1">
        <v>46125</v>
      </c>
      <c r="C820" s="81" t="s">
        <v>169</v>
      </c>
      <c r="D820" s="38">
        <v>4</v>
      </c>
      <c r="E820" s="81" t="s">
        <v>169</v>
      </c>
      <c r="F820">
        <v>704024</v>
      </c>
      <c r="G820" s="81" t="s">
        <v>332</v>
      </c>
      <c r="H820" s="81" t="s">
        <v>31</v>
      </c>
      <c r="I820" s="3">
        <v>100</v>
      </c>
      <c r="J820" s="3"/>
      <c r="K820" s="26">
        <v>100</v>
      </c>
      <c r="L820" s="2">
        <v>317.93</v>
      </c>
      <c r="M820" s="2">
        <v>31793</v>
      </c>
      <c r="N820" s="2">
        <v>31793</v>
      </c>
      <c r="O820" s="2">
        <v>363</v>
      </c>
      <c r="P820" s="2">
        <v>45.07</v>
      </c>
      <c r="Q820" s="2">
        <v>4507</v>
      </c>
      <c r="R820" s="4">
        <v>0.12415977961432503</v>
      </c>
      <c r="T820">
        <v>312174</v>
      </c>
      <c r="U820" s="2"/>
      <c r="V820">
        <v>6000</v>
      </c>
      <c r="W820" s="2">
        <v>6579000000</v>
      </c>
      <c r="X820" s="6">
        <v>36300</v>
      </c>
      <c r="Y820" s="38">
        <v>10010</v>
      </c>
      <c r="Z820" s="86">
        <f>+((DETALLE_GD_1[[#This Row],[VALOR X UN (GD)]]-DETALLE_GD_1[[#This Row],[VALOR PPTO]])/DETALLE_GD_1[[#This Row],[VALOR PPTO]])</f>
        <v>-0.12415977961432505</v>
      </c>
      <c r="AA820" s="2">
        <f>+DETALLE_GD_1[[#This Row],[VALOR PPTO]]*DETALLE_GD_1[[#This Row],[CANTIDAD RECIBIDA]]</f>
        <v>36300</v>
      </c>
      <c r="AB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0" s="3">
        <f>+DETALLE_GD_1[[#This Row],[CANTIDAD SOLICITADA]]-DETALLE_GD_1[[#This Row],[DEVOLUCIÓN]]</f>
        <v>100</v>
      </c>
      <c r="AD820" s="38" t="str">
        <f>+_xlfn.XLOOKUP(DETALLE_GD_1[[#This Row],[CODIGO]],PRODUCTOS[CODIGO],PRODUCTOS[DESC CORTA],"",0)</f>
        <v>ESQUINERO CORNIZA EXTERIOR</v>
      </c>
      <c r="AE820"/>
      <c r="AH820"/>
    </row>
    <row r="821" spans="1:34" x14ac:dyDescent="0.25">
      <c r="A821" s="1">
        <v>46125</v>
      </c>
      <c r="B821" s="1">
        <v>46125</v>
      </c>
      <c r="C821" s="81" t="s">
        <v>169</v>
      </c>
      <c r="D821" s="38">
        <v>4</v>
      </c>
      <c r="E821" s="81" t="s">
        <v>169</v>
      </c>
      <c r="F821">
        <v>704022</v>
      </c>
      <c r="G821" s="81" t="s">
        <v>330</v>
      </c>
      <c r="H821" s="81" t="s">
        <v>31</v>
      </c>
      <c r="I821" s="3">
        <v>100</v>
      </c>
      <c r="J821" s="3"/>
      <c r="K821" s="26">
        <v>100</v>
      </c>
      <c r="L821" s="2">
        <v>258.39</v>
      </c>
      <c r="M821" s="2">
        <v>25839</v>
      </c>
      <c r="N821" s="2">
        <v>25839</v>
      </c>
      <c r="O821" s="2">
        <v>306</v>
      </c>
      <c r="P821" s="2">
        <v>47.61</v>
      </c>
      <c r="Q821" s="2">
        <v>4761</v>
      </c>
      <c r="R821" s="4">
        <v>0.15558823529411786</v>
      </c>
      <c r="T821">
        <v>312174</v>
      </c>
      <c r="U821" s="2"/>
      <c r="V821">
        <v>6000</v>
      </c>
      <c r="W821" s="2">
        <v>6579000000</v>
      </c>
      <c r="X821" s="6">
        <v>30600.000000000007</v>
      </c>
      <c r="Y821" s="38">
        <v>10010</v>
      </c>
      <c r="Z821" s="86">
        <f>+((DETALLE_GD_1[[#This Row],[VALOR X UN (GD)]]-DETALLE_GD_1[[#This Row],[VALOR PPTO]])/DETALLE_GD_1[[#This Row],[VALOR PPTO]])</f>
        <v>-0.15558823529411769</v>
      </c>
      <c r="AA821" s="2">
        <f>+DETALLE_GD_1[[#This Row],[VALOR PPTO]]*DETALLE_GD_1[[#This Row],[CANTIDAD RECIBIDA]]</f>
        <v>30600</v>
      </c>
      <c r="AB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1" s="3">
        <f>+DETALLE_GD_1[[#This Row],[CANTIDAD SOLICITADA]]-DETALLE_GD_1[[#This Row],[DEVOLUCIÓN]]</f>
        <v>100</v>
      </c>
      <c r="AD821" s="38" t="str">
        <f>+_xlfn.XLOOKUP(DETALLE_GD_1[[#This Row],[CODIGO]],PRODUCTOS[CODIGO],PRODUCTOS[DESC CORTA],"",0)</f>
        <v>ESQUINERO CORNIZA INTERIOR</v>
      </c>
      <c r="AE821"/>
      <c r="AH821"/>
    </row>
    <row r="822" spans="1:34" x14ac:dyDescent="0.25">
      <c r="A822" s="1">
        <v>46125</v>
      </c>
      <c r="B822" s="1">
        <v>46125</v>
      </c>
      <c r="C822" s="81" t="s">
        <v>169</v>
      </c>
      <c r="D822" s="38">
        <v>4</v>
      </c>
      <c r="E822" s="81" t="s">
        <v>169</v>
      </c>
      <c r="F822">
        <v>704025</v>
      </c>
      <c r="G822" s="81" t="s">
        <v>333</v>
      </c>
      <c r="H822" s="81" t="s">
        <v>31</v>
      </c>
      <c r="I822" s="3">
        <v>100</v>
      </c>
      <c r="J822" s="3"/>
      <c r="K822" s="26">
        <v>100</v>
      </c>
      <c r="L822" s="2">
        <v>579.9</v>
      </c>
      <c r="M822" s="2">
        <v>57990</v>
      </c>
      <c r="N822" s="2">
        <v>57990</v>
      </c>
      <c r="O822" s="2">
        <v>580</v>
      </c>
      <c r="P822" s="2">
        <v>0.1</v>
      </c>
      <c r="Q822" s="2">
        <v>10</v>
      </c>
      <c r="R822" s="4">
        <v>1.7241379310348748E-4</v>
      </c>
      <c r="T822">
        <v>312174</v>
      </c>
      <c r="U822" s="2"/>
      <c r="V822">
        <v>6000</v>
      </c>
      <c r="W822" s="2">
        <v>6579000000</v>
      </c>
      <c r="X822" s="6">
        <v>58000</v>
      </c>
      <c r="Y822" s="38">
        <v>10010</v>
      </c>
      <c r="Z822" s="86">
        <f>+((DETALLE_GD_1[[#This Row],[VALOR X UN (GD)]]-DETALLE_GD_1[[#This Row],[VALOR PPTO]])/DETALLE_GD_1[[#This Row],[VALOR PPTO]])</f>
        <v>-1.7241379310348748E-4</v>
      </c>
      <c r="AA822" s="2">
        <f>+DETALLE_GD_1[[#This Row],[VALOR PPTO]]*DETALLE_GD_1[[#This Row],[CANTIDAD RECIBIDA]]</f>
        <v>58000</v>
      </c>
      <c r="AB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2" s="3">
        <f>+DETALLE_GD_1[[#This Row],[CANTIDAD SOLICITADA]]-DETALLE_GD_1[[#This Row],[DEVOLUCIÓN]]</f>
        <v>100</v>
      </c>
      <c r="AD822" s="38" t="str">
        <f>+_xlfn.XLOOKUP(DETALLE_GD_1[[#This Row],[CODIGO]],PRODUCTOS[CODIGO],PRODUCTOS[DESC CORTA],"",0)</f>
        <v>ESQUINERO GUARDAPOLVO EXTERIOR</v>
      </c>
      <c r="AE822"/>
      <c r="AH822"/>
    </row>
    <row r="823" spans="1:34" x14ac:dyDescent="0.25">
      <c r="A823" s="1">
        <v>46125</v>
      </c>
      <c r="B823" s="1">
        <v>46125</v>
      </c>
      <c r="C823" s="81" t="s">
        <v>169</v>
      </c>
      <c r="D823" s="38">
        <v>4</v>
      </c>
      <c r="E823" s="81" t="s">
        <v>169</v>
      </c>
      <c r="F823">
        <v>704023</v>
      </c>
      <c r="G823" s="81" t="s">
        <v>331</v>
      </c>
      <c r="H823" s="81" t="s">
        <v>31</v>
      </c>
      <c r="I823" s="3">
        <v>100</v>
      </c>
      <c r="J823" s="3"/>
      <c r="K823" s="26">
        <v>100</v>
      </c>
      <c r="L823" s="2">
        <v>324</v>
      </c>
      <c r="M823" s="2">
        <v>32400</v>
      </c>
      <c r="N823" s="2">
        <v>32400</v>
      </c>
      <c r="O823" s="2">
        <v>324</v>
      </c>
      <c r="P823" s="2">
        <v>0</v>
      </c>
      <c r="Q823" s="2">
        <v>0</v>
      </c>
      <c r="R823" s="4">
        <v>0</v>
      </c>
      <c r="T823">
        <v>312174</v>
      </c>
      <c r="U823" s="2"/>
      <c r="V823">
        <v>6000</v>
      </c>
      <c r="W823" s="2">
        <v>6579000000</v>
      </c>
      <c r="X823" s="6">
        <v>32400</v>
      </c>
      <c r="Y823" s="38">
        <v>10010</v>
      </c>
      <c r="Z823" s="86">
        <f>+((DETALLE_GD_1[[#This Row],[VALOR X UN (GD)]]-DETALLE_GD_1[[#This Row],[VALOR PPTO]])/DETALLE_GD_1[[#This Row],[VALOR PPTO]])</f>
        <v>0</v>
      </c>
      <c r="AA823" s="2">
        <f>+DETALLE_GD_1[[#This Row],[VALOR PPTO]]*DETALLE_GD_1[[#This Row],[CANTIDAD RECIBIDA]]</f>
        <v>32400</v>
      </c>
      <c r="AB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3" s="3">
        <f>+DETALLE_GD_1[[#This Row],[CANTIDAD SOLICITADA]]-DETALLE_GD_1[[#This Row],[DEVOLUCIÓN]]</f>
        <v>100</v>
      </c>
      <c r="AD823" s="38" t="str">
        <f>+_xlfn.XLOOKUP(DETALLE_GD_1[[#This Row],[CODIGO]],PRODUCTOS[CODIGO],PRODUCTOS[DESC CORTA],"",0)</f>
        <v>ESQUINERO GUARDAPOLVO INTERIOR</v>
      </c>
      <c r="AE823"/>
      <c r="AH823"/>
    </row>
    <row r="824" spans="1:34" x14ac:dyDescent="0.25">
      <c r="A824" s="1">
        <v>46125</v>
      </c>
      <c r="B824" s="1">
        <v>46125</v>
      </c>
      <c r="C824" s="81" t="s">
        <v>169</v>
      </c>
      <c r="D824" s="38">
        <v>4</v>
      </c>
      <c r="E824" s="81" t="s">
        <v>169</v>
      </c>
      <c r="F824">
        <v>407115</v>
      </c>
      <c r="G824" s="81" t="s">
        <v>282</v>
      </c>
      <c r="H824" s="81" t="s">
        <v>31</v>
      </c>
      <c r="I824" s="3">
        <v>100</v>
      </c>
      <c r="J824" s="3"/>
      <c r="K824" s="26">
        <v>100</v>
      </c>
      <c r="L824" s="2">
        <v>547.98</v>
      </c>
      <c r="M824" s="2">
        <v>54798</v>
      </c>
      <c r="N824" s="2">
        <v>54798</v>
      </c>
      <c r="O824" s="2">
        <v>567</v>
      </c>
      <c r="P824" s="2">
        <v>19.02</v>
      </c>
      <c r="Q824" s="2">
        <v>1902</v>
      </c>
      <c r="R824" s="4">
        <v>3.354497354497351E-2</v>
      </c>
      <c r="T824">
        <v>312176</v>
      </c>
      <c r="U824" s="2">
        <v>1428674</v>
      </c>
      <c r="V824">
        <v>6000</v>
      </c>
      <c r="W824" s="2">
        <v>6579000000</v>
      </c>
      <c r="X824" s="6">
        <v>56700</v>
      </c>
      <c r="Y824" s="38">
        <v>10010</v>
      </c>
      <c r="Z824" s="86">
        <f>+((DETALLE_GD_1[[#This Row],[VALOR X UN (GD)]]-DETALLE_GD_1[[#This Row],[VALOR PPTO]])/DETALLE_GD_1[[#This Row],[VALOR PPTO]])</f>
        <v>-3.354497354497351E-2</v>
      </c>
      <c r="AA824" s="2">
        <f>+DETALLE_GD_1[[#This Row],[VALOR PPTO]]*DETALLE_GD_1[[#This Row],[CANTIDAD RECIBIDA]]</f>
        <v>56700</v>
      </c>
      <c r="AB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4" s="3">
        <f>+DETALLE_GD_1[[#This Row],[CANTIDAD SOLICITADA]]-DETALLE_GD_1[[#This Row],[DEVOLUCIÓN]]</f>
        <v>100</v>
      </c>
      <c r="AD824" s="38">
        <f>+_xlfn.XLOOKUP(DETALLE_GD_1[[#This Row],[CODIGO]],PRODUCTOS[CODIGO],PRODUCTOS[DESC CORTA],"",0)</f>
        <v>0</v>
      </c>
      <c r="AE824"/>
      <c r="AH824"/>
    </row>
    <row r="825" spans="1:34" x14ac:dyDescent="0.25">
      <c r="A825" s="1">
        <v>46125</v>
      </c>
      <c r="B825" s="1">
        <v>46125</v>
      </c>
      <c r="C825" s="81" t="s">
        <v>169</v>
      </c>
      <c r="D825" s="38">
        <v>4</v>
      </c>
      <c r="E825" s="81" t="s">
        <v>169</v>
      </c>
      <c r="F825">
        <v>701084</v>
      </c>
      <c r="G825" s="81" t="s">
        <v>38</v>
      </c>
      <c r="H825" s="81" t="s">
        <v>18</v>
      </c>
      <c r="I825" s="3">
        <v>20</v>
      </c>
      <c r="J825" s="3"/>
      <c r="K825" s="26">
        <v>20</v>
      </c>
      <c r="L825" s="2">
        <v>39110</v>
      </c>
      <c r="M825" s="2">
        <v>782200</v>
      </c>
      <c r="N825" s="2">
        <v>782200</v>
      </c>
      <c r="O825" s="2">
        <v>38182.916700000002</v>
      </c>
      <c r="P825" s="2">
        <v>-927.08330000000001</v>
      </c>
      <c r="Q825" s="2">
        <v>-18541.666700000002</v>
      </c>
      <c r="R825" s="4">
        <v>-2.428005542597127E-2</v>
      </c>
      <c r="T825">
        <v>312176</v>
      </c>
      <c r="U825" s="2"/>
      <c r="V825">
        <v>6000</v>
      </c>
      <c r="W825" s="2">
        <v>6579000000</v>
      </c>
      <c r="X825" s="6">
        <v>763658.3333399999</v>
      </c>
      <c r="Y825" s="38">
        <v>10010</v>
      </c>
      <c r="Z825" s="86">
        <f>+((DETALLE_GD_1[[#This Row],[VALOR X UN (GD)]]-DETALLE_GD_1[[#This Row],[VALOR PPTO]])/DETALLE_GD_1[[#This Row],[VALOR PPTO]])</f>
        <v>2.4280054540726018E-2</v>
      </c>
      <c r="AA825" s="2">
        <f>+DETALLE_GD_1[[#This Row],[VALOR PPTO]]*DETALLE_GD_1[[#This Row],[CANTIDAD RECIBIDA]]</f>
        <v>763658.33400000003</v>
      </c>
      <c r="AB8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5" s="3">
        <f>+DETALLE_GD_1[[#This Row],[CANTIDAD SOLICITADA]]-DETALLE_GD_1[[#This Row],[DEVOLUCIÓN]]</f>
        <v>20</v>
      </c>
      <c r="AD825" s="38" t="str">
        <f>+_xlfn.XLOOKUP(DETALLE_GD_1[[#This Row],[CODIGO]],PRODUCTOS[CODIGO],PRODUCTOS[DESC CORTA],"",0)</f>
        <v>FIBROCEMENTO BALCON</v>
      </c>
      <c r="AE825"/>
      <c r="AH825"/>
    </row>
    <row r="826" spans="1:34" x14ac:dyDescent="0.25">
      <c r="A826" s="1">
        <v>46125</v>
      </c>
      <c r="B826" s="1">
        <v>46125</v>
      </c>
      <c r="C826" s="81" t="s">
        <v>169</v>
      </c>
      <c r="D826" s="38">
        <v>4</v>
      </c>
      <c r="E826" s="81" t="s">
        <v>169</v>
      </c>
      <c r="F826">
        <v>1901086</v>
      </c>
      <c r="G826" s="81" t="s">
        <v>279</v>
      </c>
      <c r="H826" s="81" t="s">
        <v>26</v>
      </c>
      <c r="I826" s="3">
        <v>162</v>
      </c>
      <c r="J826" s="3"/>
      <c r="K826" s="26">
        <v>162</v>
      </c>
      <c r="L826" s="2">
        <v>3652.3209999999999</v>
      </c>
      <c r="M826" s="2">
        <v>591676</v>
      </c>
      <c r="N826" s="2">
        <v>591676</v>
      </c>
      <c r="O826" s="2">
        <v>3711.587</v>
      </c>
      <c r="P826" s="2">
        <v>59.266100000000002</v>
      </c>
      <c r="Q826" s="2">
        <v>9601.1005999999998</v>
      </c>
      <c r="R826" s="4">
        <v>1.5967846824282306E-2</v>
      </c>
      <c r="T826">
        <v>312176</v>
      </c>
      <c r="U826" s="2"/>
      <c r="V826">
        <v>6000</v>
      </c>
      <c r="W826" s="2">
        <v>6579000000</v>
      </c>
      <c r="X826" s="6">
        <v>601277.10064200009</v>
      </c>
      <c r="Y826" s="38">
        <v>10010</v>
      </c>
      <c r="Z826" s="86">
        <f>+((DETALLE_GD_1[[#This Row],[VALOR X UN (GD)]]-DETALLE_GD_1[[#This Row],[VALOR PPTO]])/DETALLE_GD_1[[#This Row],[VALOR PPTO]])</f>
        <v>-1.59678326279298E-2</v>
      </c>
      <c r="AA826" s="2">
        <f>+DETALLE_GD_1[[#This Row],[VALOR PPTO]]*DETALLE_GD_1[[#This Row],[CANTIDAD RECIBIDA]]</f>
        <v>601277.09400000004</v>
      </c>
      <c r="AB8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26" s="3">
        <f>+DETALLE_GD_1[[#This Row],[CANTIDAD SOLICITADA]]-DETALLE_GD_1[[#This Row],[DEVOLUCIÓN]]</f>
        <v>162</v>
      </c>
      <c r="AD826" s="38" t="str">
        <f>+_xlfn.XLOOKUP(DETALLE_GD_1[[#This Row],[CODIGO]],PRODUCTOS[CODIGO],PRODUCTOS[DESC CORTA],"",0)</f>
        <v>AISLAN GLASS 140MM</v>
      </c>
      <c r="AE826"/>
      <c r="AH826"/>
    </row>
    <row r="827" spans="1:34" x14ac:dyDescent="0.25">
      <c r="A827" s="1">
        <v>46126</v>
      </c>
      <c r="B827" s="1">
        <v>46126</v>
      </c>
      <c r="C827" s="81" t="s">
        <v>169</v>
      </c>
      <c r="D827" s="38">
        <v>4</v>
      </c>
      <c r="E827" s="81" t="s">
        <v>169</v>
      </c>
      <c r="F827">
        <v>704092</v>
      </c>
      <c r="G827" s="81" t="s">
        <v>116</v>
      </c>
      <c r="H827" s="81" t="s">
        <v>31</v>
      </c>
      <c r="I827" s="3">
        <v>4</v>
      </c>
      <c r="J827" s="3"/>
      <c r="K827" s="26">
        <v>4</v>
      </c>
      <c r="L827" s="2">
        <v>273.5</v>
      </c>
      <c r="M827" s="2">
        <v>1094</v>
      </c>
      <c r="N827" s="2">
        <v>1094</v>
      </c>
      <c r="O827" s="2">
        <v>273.47430000000003</v>
      </c>
      <c r="P827" s="2">
        <v>-2.5700000000000001E-2</v>
      </c>
      <c r="Q827" s="2">
        <v>-0.10290000000000001</v>
      </c>
      <c r="R827" s="4">
        <v>-9.4081976728306371E-5</v>
      </c>
      <c r="T827">
        <v>312204</v>
      </c>
      <c r="U827" s="2">
        <v>8074</v>
      </c>
      <c r="V827">
        <v>6000</v>
      </c>
      <c r="W827" s="2">
        <v>6579000000</v>
      </c>
      <c r="X827" s="6">
        <v>1093.8970839999999</v>
      </c>
      <c r="Y827" s="38">
        <v>10010</v>
      </c>
      <c r="Z827" s="86">
        <f>+((DETALLE_GD_1[[#This Row],[VALOR X UN (GD)]]-DETALLE_GD_1[[#This Row],[VALOR PPTO]])/DETALLE_GD_1[[#This Row],[VALOR PPTO]])</f>
        <v>9.397592388013088E-5</v>
      </c>
      <c r="AA827" s="2">
        <f>+DETALLE_GD_1[[#This Row],[VALOR PPTO]]*DETALLE_GD_1[[#This Row],[CANTIDAD RECIBIDA]]</f>
        <v>1093.8972000000001</v>
      </c>
      <c r="AB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7" s="3">
        <f>+DETALLE_GD_1[[#This Row],[CANTIDAD SOLICITADA]]-DETALLE_GD_1[[#This Row],[DEVOLUCIÓN]]</f>
        <v>4</v>
      </c>
      <c r="AD827" s="38" t="str">
        <f>+_xlfn.XLOOKUP(DETALLE_GD_1[[#This Row],[CODIGO]],PRODUCTOS[CODIGO],PRODUCTOS[DESC CORTA],"",0)</f>
        <v>ESQUINERO GUARDAPOLVO</v>
      </c>
      <c r="AE827"/>
      <c r="AH827"/>
    </row>
    <row r="828" spans="1:34" x14ac:dyDescent="0.25">
      <c r="A828" s="1">
        <v>46126</v>
      </c>
      <c r="B828" s="1">
        <v>46126</v>
      </c>
      <c r="C828" s="81" t="s">
        <v>169</v>
      </c>
      <c r="D828" s="38">
        <v>4</v>
      </c>
      <c r="E828" s="81" t="s">
        <v>169</v>
      </c>
      <c r="F828">
        <v>1405025</v>
      </c>
      <c r="G828" s="81" t="s">
        <v>189</v>
      </c>
      <c r="H828" s="81" t="s">
        <v>31</v>
      </c>
      <c r="I828" s="3">
        <v>1</v>
      </c>
      <c r="J828" s="3"/>
      <c r="K828" s="26">
        <v>1</v>
      </c>
      <c r="L828" s="2">
        <v>6980</v>
      </c>
      <c r="M828" s="2">
        <v>6980</v>
      </c>
      <c r="N828" s="2">
        <v>6980</v>
      </c>
      <c r="O828" s="2">
        <v>6758.5333000000001</v>
      </c>
      <c r="P828" s="2">
        <v>-221.4667</v>
      </c>
      <c r="Q828" s="2">
        <v>-221.4667</v>
      </c>
      <c r="R828" s="4">
        <v>-3.2768450799619618E-2</v>
      </c>
      <c r="T828">
        <v>312204</v>
      </c>
      <c r="U828" s="2"/>
      <c r="V828">
        <v>6000</v>
      </c>
      <c r="W828" s="2">
        <v>6579000000</v>
      </c>
      <c r="X828" s="6">
        <v>6758.5333330000003</v>
      </c>
      <c r="Y828" s="38">
        <v>10010</v>
      </c>
      <c r="Z828" s="86">
        <f>+((DETALLE_GD_1[[#This Row],[VALOR X UN (GD)]]-DETALLE_GD_1[[#This Row],[VALOR PPTO]])/DETALLE_GD_1[[#This Row],[VALOR PPTO]])</f>
        <v>3.2768455842334898E-2</v>
      </c>
      <c r="AA828" s="2">
        <f>+DETALLE_GD_1[[#This Row],[VALOR PPTO]]*DETALLE_GD_1[[#This Row],[CANTIDAD RECIBIDA]]</f>
        <v>6758.5333000000001</v>
      </c>
      <c r="AB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8" s="3">
        <f>+DETALLE_GD_1[[#This Row],[CANTIDAD SOLICITADA]]-DETALLE_GD_1[[#This Row],[DEVOLUCIÓN]]</f>
        <v>1</v>
      </c>
      <c r="AD828" s="38">
        <f>+_xlfn.XLOOKUP(DETALLE_GD_1[[#This Row],[CODIGO]],PRODUCTOS[CODIGO],PRODUCTOS[DESC CORTA],"",0)</f>
        <v>0</v>
      </c>
      <c r="AE828"/>
      <c r="AH828"/>
    </row>
    <row r="829" spans="1:34" x14ac:dyDescent="0.25">
      <c r="A829" s="1">
        <v>46126</v>
      </c>
      <c r="B829" s="1">
        <v>46126</v>
      </c>
      <c r="C829" s="81" t="s">
        <v>169</v>
      </c>
      <c r="D829" s="38">
        <v>4</v>
      </c>
      <c r="E829" s="81" t="s">
        <v>169</v>
      </c>
      <c r="F829">
        <v>304012</v>
      </c>
      <c r="G829" s="81" t="s">
        <v>710</v>
      </c>
      <c r="H829" s="81" t="s">
        <v>18</v>
      </c>
      <c r="I829" s="3">
        <v>20</v>
      </c>
      <c r="J829" s="3"/>
      <c r="K829" s="26">
        <v>20</v>
      </c>
      <c r="L829" s="2">
        <v>6004.45</v>
      </c>
      <c r="M829" s="2">
        <v>120089</v>
      </c>
      <c r="N829" s="2">
        <v>120089</v>
      </c>
      <c r="O829" s="2">
        <v>0</v>
      </c>
      <c r="P829" s="2">
        <v>-6004.45</v>
      </c>
      <c r="Q829" s="2">
        <v>-120089</v>
      </c>
      <c r="R829" s="4"/>
      <c r="T829">
        <v>312294</v>
      </c>
      <c r="U829" s="2">
        <v>120089</v>
      </c>
      <c r="V829">
        <v>6000</v>
      </c>
      <c r="W829" s="2">
        <v>6579000000</v>
      </c>
      <c r="X829" s="6">
        <v>0</v>
      </c>
      <c r="Y829" s="38">
        <v>10010</v>
      </c>
      <c r="Z829" s="86" t="e">
        <f>+((DETALLE_GD_1[[#This Row],[VALOR X UN (GD)]]-DETALLE_GD_1[[#This Row],[VALOR PPTO]])/DETALLE_GD_1[[#This Row],[VALOR PPTO]])</f>
        <v>#DIV/0!</v>
      </c>
      <c r="AA829" s="2">
        <f>+DETALLE_GD_1[[#This Row],[VALOR PPTO]]*DETALLE_GD_1[[#This Row],[CANTIDAD RECIBIDA]]</f>
        <v>0</v>
      </c>
      <c r="AB8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9" s="3">
        <f>+DETALLE_GD_1[[#This Row],[CANTIDAD SOLICITADA]]-DETALLE_GD_1[[#This Row],[DEVOLUCIÓN]]</f>
        <v>20</v>
      </c>
      <c r="AD829" s="38" t="str">
        <f>+_xlfn.XLOOKUP(DETALLE_GD_1[[#This Row],[CODIGO]],PRODUCTOS[CODIGO],PRODUCTOS[DESC CORTA],"",0)</f>
        <v/>
      </c>
      <c r="AE829"/>
      <c r="AH829"/>
    </row>
    <row r="830" spans="1:34" x14ac:dyDescent="0.25">
      <c r="A830" s="1">
        <v>46126</v>
      </c>
      <c r="B830" s="1">
        <v>46126</v>
      </c>
      <c r="C830" s="81" t="s">
        <v>169</v>
      </c>
      <c r="D830" s="38">
        <v>4</v>
      </c>
      <c r="E830" s="81" t="s">
        <v>169</v>
      </c>
      <c r="F830">
        <v>701096</v>
      </c>
      <c r="G830" s="81" t="s">
        <v>204</v>
      </c>
      <c r="H830" s="81" t="s">
        <v>18</v>
      </c>
      <c r="I830" s="3">
        <v>70</v>
      </c>
      <c r="J830" s="3"/>
      <c r="K830" s="26">
        <v>70</v>
      </c>
      <c r="L830" s="2">
        <v>16352.828600000001</v>
      </c>
      <c r="M830" s="2">
        <v>1144698</v>
      </c>
      <c r="N830" s="2">
        <v>1144698</v>
      </c>
      <c r="O830" s="2">
        <v>16019.885700000001</v>
      </c>
      <c r="P830" s="2">
        <v>-332.94290000000001</v>
      </c>
      <c r="Q830" s="2">
        <v>-23306.002</v>
      </c>
      <c r="R830" s="4">
        <v>-2.0783100015521062E-2</v>
      </c>
      <c r="T830">
        <v>312301</v>
      </c>
      <c r="U830" s="2">
        <v>17884466</v>
      </c>
      <c r="V830">
        <v>6000</v>
      </c>
      <c r="W830" s="2">
        <v>6579000000</v>
      </c>
      <c r="X830" s="6">
        <v>1121391.9979500002</v>
      </c>
      <c r="Y830" s="38">
        <v>10010</v>
      </c>
      <c r="Z830" s="86">
        <f>+((DETALLE_GD_1[[#This Row],[VALOR X UN (GD)]]-DETALLE_GD_1[[#This Row],[VALOR PPTO]])/DETALLE_GD_1[[#This Row],[VALOR PPTO]])</f>
        <v>2.0783100843222619E-2</v>
      </c>
      <c r="AA830" s="2">
        <f>+DETALLE_GD_1[[#This Row],[VALOR PPTO]]*DETALLE_GD_1[[#This Row],[CANTIDAD RECIBIDA]]</f>
        <v>1121391.9990000001</v>
      </c>
      <c r="AB8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0" s="3">
        <f>+DETALLE_GD_1[[#This Row],[CANTIDAD SOLICITADA]]-DETALLE_GD_1[[#This Row],[DEVOLUCIÓN]]</f>
        <v>70</v>
      </c>
      <c r="AD830" s="38" t="str">
        <f>+_xlfn.XLOOKUP(DETALLE_GD_1[[#This Row],[CODIGO]],PRODUCTOS[CODIGO],PRODUCTOS[DESC CORTA],"",0)</f>
        <v>VOCANITA EMPAPELADA MURO</v>
      </c>
      <c r="AE830"/>
      <c r="AH830"/>
    </row>
    <row r="831" spans="1:34" x14ac:dyDescent="0.25">
      <c r="A831" s="1">
        <v>46126</v>
      </c>
      <c r="B831" s="1">
        <v>46126</v>
      </c>
      <c r="C831" s="81" t="s">
        <v>169</v>
      </c>
      <c r="D831" s="38">
        <v>4</v>
      </c>
      <c r="E831" s="81" t="s">
        <v>169</v>
      </c>
      <c r="F831">
        <v>408042</v>
      </c>
      <c r="G831" s="81" t="s">
        <v>144</v>
      </c>
      <c r="H831" s="81" t="s">
        <v>36</v>
      </c>
      <c r="I831" s="3">
        <v>4</v>
      </c>
      <c r="J831" s="3"/>
      <c r="K831" s="26">
        <v>4</v>
      </c>
      <c r="L831" s="2">
        <v>35000</v>
      </c>
      <c r="M831" s="2">
        <v>140000</v>
      </c>
      <c r="N831" s="2">
        <v>140000</v>
      </c>
      <c r="O831" s="2">
        <v>35000</v>
      </c>
      <c r="P831" s="2">
        <v>0</v>
      </c>
      <c r="Q831" s="2">
        <v>0</v>
      </c>
      <c r="R831" s="4">
        <v>8.3153801304950006E-16</v>
      </c>
      <c r="T831">
        <v>312301</v>
      </c>
      <c r="U831" s="2"/>
      <c r="V831">
        <v>6000</v>
      </c>
      <c r="W831" s="2">
        <v>6579000000</v>
      </c>
      <c r="X831" s="6">
        <v>140000.00000000012</v>
      </c>
      <c r="Y831" s="38">
        <v>10010</v>
      </c>
      <c r="Z831" s="86">
        <f>+((DETALLE_GD_1[[#This Row],[VALOR X UN (GD)]]-DETALLE_GD_1[[#This Row],[VALOR PPTO]])/DETALLE_GD_1[[#This Row],[VALOR PPTO]])</f>
        <v>0</v>
      </c>
      <c r="AA831" s="2">
        <f>+DETALLE_GD_1[[#This Row],[VALOR PPTO]]*DETALLE_GD_1[[#This Row],[CANTIDAD RECIBIDA]]</f>
        <v>140000</v>
      </c>
      <c r="AB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1" s="3">
        <f>+DETALLE_GD_1[[#This Row],[CANTIDAD SOLICITADA]]-DETALLE_GD_1[[#This Row],[DEVOLUCIÓN]]</f>
        <v>4</v>
      </c>
      <c r="AD831" s="38" t="str">
        <f>+_xlfn.XLOOKUP(DETALLE_GD_1[[#This Row],[CODIGO]],PRODUCTOS[CODIGO],PRODUCTOS[DESC CORTA],"",0)</f>
        <v>CLAVO HELICOIDAL PROFIX</v>
      </c>
      <c r="AE831"/>
      <c r="AH831"/>
    </row>
    <row r="832" spans="1:34" x14ac:dyDescent="0.25">
      <c r="A832" s="1">
        <v>46126</v>
      </c>
      <c r="B832" s="1">
        <v>46126</v>
      </c>
      <c r="C832" s="81" t="s">
        <v>169</v>
      </c>
      <c r="D832" s="38">
        <v>4</v>
      </c>
      <c r="E832" s="81" t="s">
        <v>169</v>
      </c>
      <c r="F832">
        <v>2302045</v>
      </c>
      <c r="G832" s="81" t="s">
        <v>443</v>
      </c>
      <c r="H832" s="81" t="s">
        <v>25</v>
      </c>
      <c r="I832" s="3">
        <v>1</v>
      </c>
      <c r="J832" s="3"/>
      <c r="K832" s="26">
        <v>1</v>
      </c>
      <c r="L832" s="2">
        <v>25156</v>
      </c>
      <c r="M832" s="2">
        <v>25156</v>
      </c>
      <c r="N832" s="2">
        <v>25156</v>
      </c>
      <c r="O832" s="2"/>
      <c r="P832" s="2"/>
      <c r="Q832" s="2">
        <v>-25156</v>
      </c>
      <c r="R832" s="4"/>
      <c r="T832">
        <v>312301</v>
      </c>
      <c r="U832" s="2"/>
      <c r="V832">
        <v>6000</v>
      </c>
      <c r="W832" s="2">
        <v>6579000000</v>
      </c>
      <c r="X832" s="6" t="s">
        <v>355</v>
      </c>
      <c r="Y832" s="38">
        <v>10010</v>
      </c>
      <c r="Z832" s="86" t="e">
        <f>+((DETALLE_GD_1[[#This Row],[VALOR X UN (GD)]]-DETALLE_GD_1[[#This Row],[VALOR PPTO]])/DETALLE_GD_1[[#This Row],[VALOR PPTO]])</f>
        <v>#DIV/0!</v>
      </c>
      <c r="AA832" s="2">
        <f>+DETALLE_GD_1[[#This Row],[VALOR PPTO]]*DETALLE_GD_1[[#This Row],[CANTIDAD RECIBIDA]]</f>
        <v>0</v>
      </c>
      <c r="AB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2" s="3">
        <f>+DETALLE_GD_1[[#This Row],[CANTIDAD SOLICITADA]]-DETALLE_GD_1[[#This Row],[DEVOLUCIÓN]]</f>
        <v>1</v>
      </c>
      <c r="AD832" s="38" t="str">
        <f>+_xlfn.XLOOKUP(DETALLE_GD_1[[#This Row],[CODIGO]],PRODUCTOS[CODIGO],PRODUCTOS[DESC CORTA],"",0)</f>
        <v/>
      </c>
      <c r="AE832"/>
      <c r="AH832"/>
    </row>
    <row r="833" spans="1:34" x14ac:dyDescent="0.25">
      <c r="A833" s="1">
        <v>46126</v>
      </c>
      <c r="B833" s="1">
        <v>46126</v>
      </c>
      <c r="C833" s="81" t="s">
        <v>169</v>
      </c>
      <c r="D833" s="38">
        <v>4</v>
      </c>
      <c r="E833" s="81" t="s">
        <v>169</v>
      </c>
      <c r="F833">
        <v>2302044</v>
      </c>
      <c r="G833" s="81" t="s">
        <v>441</v>
      </c>
      <c r="H833" s="81" t="s">
        <v>442</v>
      </c>
      <c r="I833" s="3">
        <v>1</v>
      </c>
      <c r="J833" s="3"/>
      <c r="K833" s="26">
        <v>1</v>
      </c>
      <c r="L833" s="2">
        <v>13092</v>
      </c>
      <c r="M833" s="2">
        <v>13092</v>
      </c>
      <c r="N833" s="2">
        <v>13092</v>
      </c>
      <c r="O833" s="2"/>
      <c r="P833" s="2"/>
      <c r="Q833" s="2">
        <v>-13092</v>
      </c>
      <c r="R833" s="4"/>
      <c r="T833">
        <v>312301</v>
      </c>
      <c r="U833" s="2"/>
      <c r="V833">
        <v>6000</v>
      </c>
      <c r="W833" s="2">
        <v>6579000000</v>
      </c>
      <c r="X833" s="6" t="s">
        <v>355</v>
      </c>
      <c r="Y833" s="38">
        <v>10010</v>
      </c>
      <c r="Z833" s="86" t="e">
        <f>+((DETALLE_GD_1[[#This Row],[VALOR X UN (GD)]]-DETALLE_GD_1[[#This Row],[VALOR PPTO]])/DETALLE_GD_1[[#This Row],[VALOR PPTO]])</f>
        <v>#DIV/0!</v>
      </c>
      <c r="AA833" s="2">
        <f>+DETALLE_GD_1[[#This Row],[VALOR PPTO]]*DETALLE_GD_1[[#This Row],[CANTIDAD RECIBIDA]]</f>
        <v>0</v>
      </c>
      <c r="AB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3" s="3">
        <f>+DETALLE_GD_1[[#This Row],[CANTIDAD SOLICITADA]]-DETALLE_GD_1[[#This Row],[DEVOLUCIÓN]]</f>
        <v>1</v>
      </c>
      <c r="AD833" s="38" t="str">
        <f>+_xlfn.XLOOKUP(DETALLE_GD_1[[#This Row],[CODIGO]],PRODUCTOS[CODIGO],PRODUCTOS[DESC CORTA],"",0)</f>
        <v/>
      </c>
      <c r="AE833"/>
      <c r="AH833"/>
    </row>
    <row r="834" spans="1:34" x14ac:dyDescent="0.25">
      <c r="A834" s="1">
        <v>46126</v>
      </c>
      <c r="B834" s="1">
        <v>46126</v>
      </c>
      <c r="C834" s="81" t="s">
        <v>169</v>
      </c>
      <c r="D834" s="38">
        <v>4</v>
      </c>
      <c r="E834" s="81" t="s">
        <v>169</v>
      </c>
      <c r="F834">
        <v>304101</v>
      </c>
      <c r="G834" s="81" t="s">
        <v>17</v>
      </c>
      <c r="H834" s="81" t="s">
        <v>18</v>
      </c>
      <c r="I834" s="3">
        <v>252</v>
      </c>
      <c r="J834" s="3"/>
      <c r="K834" s="26">
        <v>252</v>
      </c>
      <c r="L834" s="2">
        <v>9614.2340999999997</v>
      </c>
      <c r="M834" s="2">
        <v>2422787</v>
      </c>
      <c r="N834" s="2">
        <v>2422787</v>
      </c>
      <c r="O834" s="2">
        <v>9657.5879999999997</v>
      </c>
      <c r="P834" s="2">
        <v>43.3538</v>
      </c>
      <c r="Q834" s="2">
        <v>10925.163399999999</v>
      </c>
      <c r="R834" s="4">
        <v>4.4890942997705139E-3</v>
      </c>
      <c r="T834">
        <v>312301</v>
      </c>
      <c r="U834" s="2"/>
      <c r="V834">
        <v>6000</v>
      </c>
      <c r="W834" s="2">
        <v>6579000000</v>
      </c>
      <c r="X834" s="6">
        <v>2433712.1634000018</v>
      </c>
      <c r="Y834" s="38">
        <v>10010</v>
      </c>
      <c r="Z834" s="86">
        <f>+((DETALLE_GD_1[[#This Row],[VALOR X UN (GD)]]-DETALLE_GD_1[[#This Row],[VALOR PPTO]])/DETALLE_GD_1[[#This Row],[VALOR PPTO]])</f>
        <v>-4.4891022478904738E-3</v>
      </c>
      <c r="AA834" s="2">
        <f>+DETALLE_GD_1[[#This Row],[VALOR PPTO]]*DETALLE_GD_1[[#This Row],[CANTIDAD RECIBIDA]]</f>
        <v>2433712.176</v>
      </c>
      <c r="AB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4" s="3">
        <f>+DETALLE_GD_1[[#This Row],[CANTIDAD SOLICITADA]]-DETALLE_GD_1[[#This Row],[DEVOLUCIÓN]]</f>
        <v>252</v>
      </c>
      <c r="AD834" s="38" t="str">
        <f>+_xlfn.XLOOKUP(DETALLE_GD_1[[#This Row],[CODIGO]],PRODUCTOS[CODIGO],PRODUCTOS[DESC CORTA],"",0)</f>
        <v>OSB 9.5</v>
      </c>
      <c r="AE834"/>
      <c r="AH834"/>
    </row>
    <row r="835" spans="1:34" x14ac:dyDescent="0.25">
      <c r="A835" s="1">
        <v>46126</v>
      </c>
      <c r="B835" s="1">
        <v>46126</v>
      </c>
      <c r="C835" s="81" t="s">
        <v>169</v>
      </c>
      <c r="D835" s="38">
        <v>4</v>
      </c>
      <c r="E835" s="81" t="s">
        <v>169</v>
      </c>
      <c r="F835">
        <v>412280</v>
      </c>
      <c r="G835" s="81" t="s">
        <v>40</v>
      </c>
      <c r="H835" s="81" t="s">
        <v>31</v>
      </c>
      <c r="I835" s="3">
        <v>32</v>
      </c>
      <c r="J835" s="3"/>
      <c r="K835" s="26">
        <v>32</v>
      </c>
      <c r="L835" s="2">
        <v>39389.843800000002</v>
      </c>
      <c r="M835" s="2">
        <v>1260475</v>
      </c>
      <c r="N835" s="2">
        <v>1260475</v>
      </c>
      <c r="O835" s="2">
        <v>40002.920100000003</v>
      </c>
      <c r="P835" s="2">
        <v>613.07629999999995</v>
      </c>
      <c r="Q835" s="2">
        <v>19618.442999999999</v>
      </c>
      <c r="R835" s="4">
        <v>1.5325789756715317E-2</v>
      </c>
      <c r="T835">
        <v>312301</v>
      </c>
      <c r="U835" s="2"/>
      <c r="V835">
        <v>6000</v>
      </c>
      <c r="W835" s="2">
        <v>6579000000</v>
      </c>
      <c r="X835" s="6">
        <v>1280093.442976</v>
      </c>
      <c r="Y835" s="38">
        <v>10010</v>
      </c>
      <c r="Z835" s="86">
        <f>+((DETALLE_GD_1[[#This Row],[VALOR X UN (GD)]]-DETALLE_GD_1[[#This Row],[VALOR PPTO]])/DETALLE_GD_1[[#This Row],[VALOR PPTO]])</f>
        <v>-1.5325788679111968E-2</v>
      </c>
      <c r="AA835" s="2">
        <f>+DETALLE_GD_1[[#This Row],[VALOR PPTO]]*DETALLE_GD_1[[#This Row],[CANTIDAD RECIBIDA]]</f>
        <v>1280093.4432000001</v>
      </c>
      <c r="AB8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5" s="3">
        <f>+DETALLE_GD_1[[#This Row],[CANTIDAD SOLICITADA]]-DETALLE_GD_1[[#This Row],[DEVOLUCIÓN]]</f>
        <v>32</v>
      </c>
      <c r="AD835" s="38" t="str">
        <f>+_xlfn.XLOOKUP(DETALLE_GD_1[[#This Row],[CODIGO]],PRODUCTOS[CODIGO],PRODUCTOS[DESC CORTA],"",0)</f>
        <v>PB2</v>
      </c>
      <c r="AE835"/>
      <c r="AH835"/>
    </row>
    <row r="836" spans="1:34" x14ac:dyDescent="0.25">
      <c r="A836" s="1">
        <v>46126</v>
      </c>
      <c r="B836" s="1">
        <v>46126</v>
      </c>
      <c r="C836" s="81" t="s">
        <v>169</v>
      </c>
      <c r="D836" s="38">
        <v>4</v>
      </c>
      <c r="E836" s="81" t="s">
        <v>169</v>
      </c>
      <c r="F836">
        <v>412260</v>
      </c>
      <c r="G836" s="81" t="s">
        <v>41</v>
      </c>
      <c r="H836" s="81" t="s">
        <v>31</v>
      </c>
      <c r="I836" s="3">
        <v>128</v>
      </c>
      <c r="J836" s="3"/>
      <c r="K836" s="26">
        <v>128</v>
      </c>
      <c r="L836" s="2">
        <v>86746.898400000005</v>
      </c>
      <c r="M836" s="2">
        <v>11103603</v>
      </c>
      <c r="N836" s="2">
        <v>11103603</v>
      </c>
      <c r="O836" s="2">
        <v>87567.442500000005</v>
      </c>
      <c r="P836" s="2">
        <v>820.54399999999998</v>
      </c>
      <c r="Q836" s="2">
        <v>105029.6372</v>
      </c>
      <c r="R836" s="4">
        <v>9.3704237246181096E-3</v>
      </c>
      <c r="T836">
        <v>312301</v>
      </c>
      <c r="U836" s="2"/>
      <c r="V836">
        <v>6000</v>
      </c>
      <c r="W836" s="2">
        <v>6579000000</v>
      </c>
      <c r="X836" s="6">
        <v>11208632.637183998</v>
      </c>
      <c r="Y836" s="38">
        <v>10010</v>
      </c>
      <c r="Z836" s="86">
        <f>+((DETALLE_GD_1[[#This Row],[VALOR X UN (GD)]]-DETALLE_GD_1[[#This Row],[VALOR PPTO]])/DETALLE_GD_1[[#This Row],[VALOR PPTO]])</f>
        <v>-9.3704244017403966E-3</v>
      </c>
      <c r="AA836" s="2">
        <f>+DETALLE_GD_1[[#This Row],[VALOR PPTO]]*DETALLE_GD_1[[#This Row],[CANTIDAD RECIBIDA]]</f>
        <v>11208632.640000001</v>
      </c>
      <c r="AB8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6" s="3">
        <f>+DETALLE_GD_1[[#This Row],[CANTIDAD SOLICITADA]]-DETALLE_GD_1[[#This Row],[DEVOLUCIÓN]]</f>
        <v>128</v>
      </c>
      <c r="AD836" s="38" t="str">
        <f>+_xlfn.XLOOKUP(DETALLE_GD_1[[#This Row],[CODIGO]],PRODUCTOS[CODIGO],PRODUCTOS[DESC CORTA],"",0)</f>
        <v>PB1</v>
      </c>
      <c r="AE836"/>
      <c r="AH836"/>
    </row>
    <row r="837" spans="1:34" x14ac:dyDescent="0.25">
      <c r="A837" s="1">
        <v>46126</v>
      </c>
      <c r="B837" s="1">
        <v>46126</v>
      </c>
      <c r="C837" s="81" t="s">
        <v>169</v>
      </c>
      <c r="D837" s="38">
        <v>4</v>
      </c>
      <c r="E837" s="81" t="s">
        <v>169</v>
      </c>
      <c r="F837">
        <v>302054</v>
      </c>
      <c r="G837" s="81" t="s">
        <v>356</v>
      </c>
      <c r="H837" s="81" t="s">
        <v>20</v>
      </c>
      <c r="I837" s="3">
        <v>312</v>
      </c>
      <c r="J837" s="3"/>
      <c r="K837" s="26">
        <v>312</v>
      </c>
      <c r="L837" s="2">
        <v>5239.2788</v>
      </c>
      <c r="M837" s="2">
        <v>1634655</v>
      </c>
      <c r="N837" s="2">
        <v>1634655</v>
      </c>
      <c r="O837" s="2">
        <v>5713</v>
      </c>
      <c r="P837" s="2">
        <v>473.72120000000001</v>
      </c>
      <c r="Q837" s="2">
        <v>147801</v>
      </c>
      <c r="R837" s="4">
        <v>8.2919858891327539E-2</v>
      </c>
      <c r="T837">
        <v>312301</v>
      </c>
      <c r="U837" s="2"/>
      <c r="V837">
        <v>6000</v>
      </c>
      <c r="W837" s="2">
        <v>6579000000</v>
      </c>
      <c r="X837" s="6">
        <v>1782456</v>
      </c>
      <c r="Y837" s="38">
        <v>10010</v>
      </c>
      <c r="Z837" s="86">
        <f>+((DETALLE_GD_1[[#This Row],[VALOR X UN (GD)]]-DETALLE_GD_1[[#This Row],[VALOR PPTO]])/DETALLE_GD_1[[#This Row],[VALOR PPTO]])</f>
        <v>-8.2919866970068257E-2</v>
      </c>
      <c r="AA837" s="2">
        <f>+DETALLE_GD_1[[#This Row],[VALOR PPTO]]*DETALLE_GD_1[[#This Row],[CANTIDAD RECIBIDA]]</f>
        <v>1782456</v>
      </c>
      <c r="AB8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7" s="3">
        <f>+DETALLE_GD_1[[#This Row],[CANTIDAD SOLICITADA]]-DETALLE_GD_1[[#This Row],[DEVOLUCIÓN]]</f>
        <v>312</v>
      </c>
      <c r="AD837" s="38">
        <f>+_xlfn.XLOOKUP(DETALLE_GD_1[[#This Row],[CODIGO]],PRODUCTOS[CODIGO],PRODUCTOS[DESC CORTA],"",0)</f>
        <v>0</v>
      </c>
      <c r="AE837"/>
      <c r="AH837"/>
    </row>
    <row r="838" spans="1:34" x14ac:dyDescent="0.25">
      <c r="A838" s="1">
        <v>46126</v>
      </c>
      <c r="B838" s="1">
        <v>46126</v>
      </c>
      <c r="C838" s="81" t="s">
        <v>169</v>
      </c>
      <c r="D838" s="38">
        <v>4</v>
      </c>
      <c r="E838" s="81" t="s">
        <v>169</v>
      </c>
      <c r="F838">
        <v>5309018</v>
      </c>
      <c r="G838" s="81" t="s">
        <v>112</v>
      </c>
      <c r="H838" s="81" t="s">
        <v>113</v>
      </c>
      <c r="I838" s="3">
        <v>200</v>
      </c>
      <c r="J838" s="3"/>
      <c r="K838" s="26">
        <v>200</v>
      </c>
      <c r="L838" s="2">
        <v>700</v>
      </c>
      <c r="M838" s="2">
        <v>140000</v>
      </c>
      <c r="N838" s="2">
        <v>140000</v>
      </c>
      <c r="O838" s="2">
        <v>699.99919999999997</v>
      </c>
      <c r="P838" s="2">
        <v>-8.0000000000000004E-4</v>
      </c>
      <c r="Q838" s="2">
        <v>-0.15359999999999999</v>
      </c>
      <c r="R838" s="4">
        <v>-1.0971440602079328E-6</v>
      </c>
      <c r="T838">
        <v>312301</v>
      </c>
      <c r="U838" s="2"/>
      <c r="V838">
        <v>6000</v>
      </c>
      <c r="W838" s="2">
        <v>6579000000</v>
      </c>
      <c r="X838" s="6">
        <v>139999.8464000001</v>
      </c>
      <c r="Y838" s="38">
        <v>10010</v>
      </c>
      <c r="Z838" s="86">
        <f>+((DETALLE_GD_1[[#This Row],[VALOR X UN (GD)]]-DETALLE_GD_1[[#This Row],[VALOR PPTO]])/DETALLE_GD_1[[#This Row],[VALOR PPTO]])</f>
        <v>1.1428584490190236E-6</v>
      </c>
      <c r="AA838" s="2">
        <f>+DETALLE_GD_1[[#This Row],[VALOR PPTO]]*DETALLE_GD_1[[#This Row],[CANTIDAD RECIBIDA]]</f>
        <v>139999.84</v>
      </c>
      <c r="AB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8" s="3">
        <f>+DETALLE_GD_1[[#This Row],[CANTIDAD SOLICITADA]]-DETALLE_GD_1[[#This Row],[DEVOLUCIÓN]]</f>
        <v>200</v>
      </c>
      <c r="AD838" s="38">
        <f>+_xlfn.XLOOKUP(DETALLE_GD_1[[#This Row],[CODIGO]],PRODUCTOS[CODIGO],PRODUCTOS[DESC CORTA],"",0)</f>
        <v>0</v>
      </c>
      <c r="AE838"/>
      <c r="AH838"/>
    </row>
    <row r="839" spans="1:34" x14ac:dyDescent="0.25">
      <c r="A839" s="1">
        <v>46126</v>
      </c>
      <c r="B839" s="1">
        <v>46126</v>
      </c>
      <c r="C839" s="81" t="s">
        <v>169</v>
      </c>
      <c r="D839" s="38">
        <v>4</v>
      </c>
      <c r="E839" s="81" t="s">
        <v>169</v>
      </c>
      <c r="F839">
        <v>304002</v>
      </c>
      <c r="G839" s="81" t="s">
        <v>37</v>
      </c>
      <c r="H839" s="81" t="s">
        <v>18</v>
      </c>
      <c r="I839" s="3">
        <v>144</v>
      </c>
      <c r="J839" s="3"/>
      <c r="K839" s="26">
        <v>144</v>
      </c>
      <c r="L839" s="2">
        <v>21611.3681</v>
      </c>
      <c r="M839" s="2">
        <v>3112037</v>
      </c>
      <c r="N839" s="2">
        <v>3112037</v>
      </c>
      <c r="O839" s="2">
        <v>21246.5072</v>
      </c>
      <c r="P839" s="2">
        <v>-364.86090000000002</v>
      </c>
      <c r="Q839" s="2">
        <v>-52539.97</v>
      </c>
      <c r="R839" s="4">
        <v>-1.7172747498123905E-2</v>
      </c>
      <c r="T839">
        <v>312203</v>
      </c>
      <c r="U839" s="2">
        <v>3112037</v>
      </c>
      <c r="V839">
        <v>6000</v>
      </c>
      <c r="W839" s="2">
        <v>6579000000</v>
      </c>
      <c r="X839" s="6">
        <v>3059497.0300320005</v>
      </c>
      <c r="Y839" s="38">
        <v>10010</v>
      </c>
      <c r="Z839" s="86">
        <f>+((DETALLE_GD_1[[#This Row],[VALOR X UN (GD)]]-DETALLE_GD_1[[#This Row],[VALOR PPTO]])/DETALLE_GD_1[[#This Row],[VALOR PPTO]])</f>
        <v>1.7172747339854508E-2</v>
      </c>
      <c r="AA839" s="2">
        <f>+DETALLE_GD_1[[#This Row],[VALOR PPTO]]*DETALLE_GD_1[[#This Row],[CANTIDAD RECIBIDA]]</f>
        <v>3059497.0367999999</v>
      </c>
      <c r="AB8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9" s="3">
        <f>+DETALLE_GD_1[[#This Row],[CANTIDAD SOLICITADA]]-DETALLE_GD_1[[#This Row],[DEVOLUCIÓN]]</f>
        <v>144</v>
      </c>
      <c r="AD839" s="38" t="str">
        <f>+_xlfn.XLOOKUP(DETALLE_GD_1[[#This Row],[CODIGO]],PRODUCTOS[CODIGO],PRODUCTOS[DESC CORTA],"",0)</f>
        <v>SMARTPANEL</v>
      </c>
      <c r="AE839"/>
      <c r="AH839"/>
    </row>
    <row r="840" spans="1:34" x14ac:dyDescent="0.25">
      <c r="A840" s="1">
        <v>46126</v>
      </c>
      <c r="B840" s="1">
        <v>46126</v>
      </c>
      <c r="C840" s="81" t="s">
        <v>169</v>
      </c>
      <c r="D840" s="38">
        <v>4</v>
      </c>
      <c r="E840" s="81" t="s">
        <v>169</v>
      </c>
      <c r="F840">
        <v>5316509</v>
      </c>
      <c r="G840" s="81" t="s">
        <v>56</v>
      </c>
      <c r="H840" s="81" t="s">
        <v>31</v>
      </c>
      <c r="I840" s="3">
        <v>4</v>
      </c>
      <c r="J840" s="3"/>
      <c r="K840" s="26">
        <v>4</v>
      </c>
      <c r="L840" s="2">
        <v>14578</v>
      </c>
      <c r="M840" s="2">
        <v>58312</v>
      </c>
      <c r="N840" s="2">
        <v>58312</v>
      </c>
      <c r="O840" s="2">
        <v>15433.3333</v>
      </c>
      <c r="P840" s="2">
        <v>855.33330000000001</v>
      </c>
      <c r="Q840" s="2">
        <v>3421.3332999999998</v>
      </c>
      <c r="R840" s="4">
        <v>5.5421166286294225E-2</v>
      </c>
      <c r="T840">
        <v>312317</v>
      </c>
      <c r="U840" s="2">
        <v>800594</v>
      </c>
      <c r="V840">
        <v>6000</v>
      </c>
      <c r="W840" s="2">
        <v>6579000000</v>
      </c>
      <c r="X840" s="6">
        <v>61733.333332000002</v>
      </c>
      <c r="Y840" s="38">
        <v>10010</v>
      </c>
      <c r="Z840" s="86">
        <f>+((DETALLE_GD_1[[#This Row],[VALOR X UN (GD)]]-DETALLE_GD_1[[#This Row],[VALOR PPTO]])/DETALLE_GD_1[[#This Row],[VALOR PPTO]])</f>
        <v>-5.5421164266568401E-2</v>
      </c>
      <c r="AA840" s="2">
        <f>+DETALLE_GD_1[[#This Row],[VALOR PPTO]]*DETALLE_GD_1[[#This Row],[CANTIDAD RECIBIDA]]</f>
        <v>61733.333200000001</v>
      </c>
      <c r="AB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0" s="3">
        <f>+DETALLE_GD_1[[#This Row],[CANTIDAD SOLICITADA]]-DETALLE_GD_1[[#This Row],[DEVOLUCIÓN]]</f>
        <v>4</v>
      </c>
      <c r="AD840" s="38" t="str">
        <f>+_xlfn.XLOOKUP(DETALLE_GD_1[[#This Row],[CODIGO]],PRODUCTOS[CODIGO],PRODUCTOS[DESC CORTA],"",0)</f>
        <v>LAVAPLATOS</v>
      </c>
      <c r="AE840"/>
      <c r="AH840"/>
    </row>
    <row r="841" spans="1:34" x14ac:dyDescent="0.25">
      <c r="A841" s="1">
        <v>46126</v>
      </c>
      <c r="B841" s="1">
        <v>46126</v>
      </c>
      <c r="C841" s="81" t="s">
        <v>169</v>
      </c>
      <c r="D841" s="38">
        <v>4</v>
      </c>
      <c r="E841" s="81" t="s">
        <v>169</v>
      </c>
      <c r="F841">
        <v>5316507</v>
      </c>
      <c r="G841" s="81" t="s">
        <v>55</v>
      </c>
      <c r="H841" s="81" t="s">
        <v>31</v>
      </c>
      <c r="I841" s="3">
        <v>4</v>
      </c>
      <c r="J841" s="3"/>
      <c r="K841" s="26">
        <v>4</v>
      </c>
      <c r="L841" s="2">
        <v>41419.75</v>
      </c>
      <c r="M841" s="2">
        <v>165679</v>
      </c>
      <c r="N841" s="2">
        <v>165679</v>
      </c>
      <c r="O841" s="2">
        <v>41419.666700000002</v>
      </c>
      <c r="P841" s="2">
        <v>-8.3299999999999999E-2</v>
      </c>
      <c r="Q841" s="2">
        <v>-0.33329999999999999</v>
      </c>
      <c r="R841" s="4">
        <v>-2.0119186538192447E-6</v>
      </c>
      <c r="T841">
        <v>312317</v>
      </c>
      <c r="U841" s="2"/>
      <c r="V841">
        <v>6000</v>
      </c>
      <c r="W841" s="2">
        <v>6579000000</v>
      </c>
      <c r="X841" s="6">
        <v>165678.66666799999</v>
      </c>
      <c r="Y841" s="38">
        <v>10010</v>
      </c>
      <c r="Z841" s="86">
        <f>+((DETALLE_GD_1[[#This Row],[VALOR X UN (GD)]]-DETALLE_GD_1[[#This Row],[VALOR PPTO]])/DETALLE_GD_1[[#This Row],[VALOR PPTO]])</f>
        <v>2.0111219291491002E-6</v>
      </c>
      <c r="AA841" s="2">
        <f>+DETALLE_GD_1[[#This Row],[VALOR PPTO]]*DETALLE_GD_1[[#This Row],[CANTIDAD RECIBIDA]]</f>
        <v>165678.66680000001</v>
      </c>
      <c r="AB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1" s="3">
        <f>+DETALLE_GD_1[[#This Row],[CANTIDAD SOLICITADA]]-DETALLE_GD_1[[#This Row],[DEVOLUCIÓN]]</f>
        <v>4</v>
      </c>
      <c r="AD841" s="38" t="str">
        <f>+_xlfn.XLOOKUP(DETALLE_GD_1[[#This Row],[CODIGO]],PRODUCTOS[CODIGO],PRODUCTOS[DESC CORTA],"",0)</f>
        <v>MUEBLE LAVAPLATOS</v>
      </c>
      <c r="AE841"/>
      <c r="AH841"/>
    </row>
    <row r="842" spans="1:34" x14ac:dyDescent="0.25">
      <c r="A842" s="1">
        <v>46126</v>
      </c>
      <c r="B842" s="1">
        <v>46126</v>
      </c>
      <c r="C842" s="81" t="s">
        <v>169</v>
      </c>
      <c r="D842" s="38">
        <v>4</v>
      </c>
      <c r="E842" s="81" t="s">
        <v>169</v>
      </c>
      <c r="F842">
        <v>5316484</v>
      </c>
      <c r="G842" s="81" t="s">
        <v>96</v>
      </c>
      <c r="H842" s="81" t="s">
        <v>31</v>
      </c>
      <c r="I842" s="3">
        <v>4</v>
      </c>
      <c r="J842" s="3"/>
      <c r="K842" s="26">
        <v>4</v>
      </c>
      <c r="L842" s="2">
        <v>4283.5</v>
      </c>
      <c r="M842" s="2">
        <v>17134</v>
      </c>
      <c r="N842" s="2">
        <v>17134</v>
      </c>
      <c r="O842" s="2">
        <v>4372.7272999999996</v>
      </c>
      <c r="P842" s="2">
        <v>89.2273</v>
      </c>
      <c r="Q842" s="2">
        <v>356.90910000000002</v>
      </c>
      <c r="R842" s="4">
        <v>2.0405405466502876E-2</v>
      </c>
      <c r="T842">
        <v>312317</v>
      </c>
      <c r="U842" s="2"/>
      <c r="V842">
        <v>6000</v>
      </c>
      <c r="W842" s="2">
        <v>6579000000</v>
      </c>
      <c r="X842" s="6">
        <v>17490.909092000002</v>
      </c>
      <c r="Y842" s="38">
        <v>10010</v>
      </c>
      <c r="Z842" s="86">
        <f>+((DETALLE_GD_1[[#This Row],[VALOR X UN (GD)]]-DETALLE_GD_1[[#This Row],[VALOR PPTO]])/DETALLE_GD_1[[#This Row],[VALOR PPTO]])</f>
        <v>-2.0405411515142864E-2</v>
      </c>
      <c r="AA842" s="2">
        <f>+DETALLE_GD_1[[#This Row],[VALOR PPTO]]*DETALLE_GD_1[[#This Row],[CANTIDAD RECIBIDA]]</f>
        <v>17490.909199999998</v>
      </c>
      <c r="AB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2" s="3">
        <f>+DETALLE_GD_1[[#This Row],[CANTIDAD SOLICITADA]]-DETALLE_GD_1[[#This Row],[DEVOLUCIÓN]]</f>
        <v>4</v>
      </c>
      <c r="AD842" s="38" t="str">
        <f>+_xlfn.XLOOKUP(DETALLE_GD_1[[#This Row],[CODIGO]],PRODUCTOS[CODIGO],PRODUCTOS[DESC CORTA],"",0)</f>
        <v>LLAVE DE BOLA AC</v>
      </c>
      <c r="AE842"/>
      <c r="AH842"/>
    </row>
    <row r="843" spans="1:34" x14ac:dyDescent="0.25">
      <c r="A843" s="1">
        <v>46126</v>
      </c>
      <c r="B843" s="1">
        <v>46126</v>
      </c>
      <c r="C843" s="81" t="s">
        <v>169</v>
      </c>
      <c r="D843" s="38">
        <v>4</v>
      </c>
      <c r="E843" s="81" t="s">
        <v>169</v>
      </c>
      <c r="F843">
        <v>5316483</v>
      </c>
      <c r="G843" s="81" t="s">
        <v>97</v>
      </c>
      <c r="H843" s="81" t="s">
        <v>31</v>
      </c>
      <c r="I843" s="3">
        <v>4</v>
      </c>
      <c r="J843" s="3"/>
      <c r="K843" s="26">
        <v>4</v>
      </c>
      <c r="L843" s="2">
        <v>2984.25</v>
      </c>
      <c r="M843" s="2">
        <v>11937</v>
      </c>
      <c r="N843" s="2">
        <v>11937</v>
      </c>
      <c r="O843" s="2">
        <v>3237.6071000000002</v>
      </c>
      <c r="P843" s="2">
        <v>253.3571</v>
      </c>
      <c r="Q843" s="2">
        <v>1013.4286</v>
      </c>
      <c r="R843" s="4">
        <v>7.8254442805941196E-2</v>
      </c>
      <c r="T843">
        <v>312317</v>
      </c>
      <c r="U843" s="2"/>
      <c r="V843">
        <v>6000</v>
      </c>
      <c r="W843" s="2">
        <v>6579000000</v>
      </c>
      <c r="X843" s="6">
        <v>12950.428572000001</v>
      </c>
      <c r="Y843" s="38">
        <v>10010</v>
      </c>
      <c r="Z843" s="86">
        <f>+((DETALLE_GD_1[[#This Row],[VALOR X UN (GD)]]-DETALLE_GD_1[[#This Row],[VALOR PPTO]])/DETALLE_GD_1[[#This Row],[VALOR PPTO]])</f>
        <v>-7.8254430563856919E-2</v>
      </c>
      <c r="AA843" s="2">
        <f>+DETALLE_GD_1[[#This Row],[VALOR PPTO]]*DETALLE_GD_1[[#This Row],[CANTIDAD RECIBIDA]]</f>
        <v>12950.428400000001</v>
      </c>
      <c r="AB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3" s="3">
        <f>+DETALLE_GD_1[[#This Row],[CANTIDAD SOLICITADA]]-DETALLE_GD_1[[#This Row],[DEVOLUCIÓN]]</f>
        <v>4</v>
      </c>
      <c r="AD843" s="38" t="str">
        <f>+_xlfn.XLOOKUP(DETALLE_GD_1[[#This Row],[CODIGO]],PRODUCTOS[CODIGO],PRODUCTOS[DESC CORTA],"",0)</f>
        <v>LLAVE DE BOLA AF</v>
      </c>
      <c r="AE843"/>
      <c r="AH843"/>
    </row>
    <row r="844" spans="1:34" x14ac:dyDescent="0.25">
      <c r="A844" s="1">
        <v>46126</v>
      </c>
      <c r="B844" s="1">
        <v>46126</v>
      </c>
      <c r="C844" s="81" t="s">
        <v>169</v>
      </c>
      <c r="D844" s="38">
        <v>4</v>
      </c>
      <c r="E844" s="81" t="s">
        <v>169</v>
      </c>
      <c r="F844">
        <v>2505426</v>
      </c>
      <c r="G844" s="81" t="s">
        <v>711</v>
      </c>
      <c r="H844" s="81" t="s">
        <v>31</v>
      </c>
      <c r="I844" s="3">
        <v>8</v>
      </c>
      <c r="J844" s="3"/>
      <c r="K844" s="26">
        <v>8</v>
      </c>
      <c r="L844" s="2">
        <v>1683.875</v>
      </c>
      <c r="M844" s="2">
        <v>13471</v>
      </c>
      <c r="N844" s="2">
        <v>13471</v>
      </c>
      <c r="O844" s="2">
        <v>1684</v>
      </c>
      <c r="P844" s="2">
        <v>0.125</v>
      </c>
      <c r="Q844" s="2">
        <v>1</v>
      </c>
      <c r="R844" s="4">
        <v>7.4228028503562949E-5</v>
      </c>
      <c r="T844">
        <v>312317</v>
      </c>
      <c r="U844" s="2"/>
      <c r="V844">
        <v>6000</v>
      </c>
      <c r="W844" s="2">
        <v>6579000000</v>
      </c>
      <c r="X844" s="6">
        <v>13472</v>
      </c>
      <c r="Y844" s="38">
        <v>10010</v>
      </c>
      <c r="Z844" s="86">
        <f>+((DETALLE_GD_1[[#This Row],[VALOR X UN (GD)]]-DETALLE_GD_1[[#This Row],[VALOR PPTO]])/DETALLE_GD_1[[#This Row],[VALOR PPTO]])</f>
        <v>-7.4228028503562949E-5</v>
      </c>
      <c r="AA844" s="2">
        <f>+DETALLE_GD_1[[#This Row],[VALOR PPTO]]*DETALLE_GD_1[[#This Row],[CANTIDAD RECIBIDA]]</f>
        <v>13472</v>
      </c>
      <c r="AB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4" s="3">
        <f>+DETALLE_GD_1[[#This Row],[CANTIDAD SOLICITADA]]-DETALLE_GD_1[[#This Row],[DEVOLUCIÓN]]</f>
        <v>8</v>
      </c>
      <c r="AD844" s="38" t="str">
        <f>+_xlfn.XLOOKUP(DETALLE_GD_1[[#This Row],[CODIGO]],PRODUCTOS[CODIGO],PRODUCTOS[DESC CORTA],"",0)</f>
        <v/>
      </c>
      <c r="AE844"/>
      <c r="AH844"/>
    </row>
    <row r="845" spans="1:34" x14ac:dyDescent="0.25">
      <c r="A845" s="1">
        <v>46126</v>
      </c>
      <c r="B845" s="1">
        <v>46126</v>
      </c>
      <c r="C845" s="81" t="s">
        <v>169</v>
      </c>
      <c r="D845" s="38">
        <v>4</v>
      </c>
      <c r="E845" s="81" t="s">
        <v>169</v>
      </c>
      <c r="F845">
        <v>1808147</v>
      </c>
      <c r="G845" s="81" t="s">
        <v>275</v>
      </c>
      <c r="H845" s="81" t="s">
        <v>31</v>
      </c>
      <c r="I845" s="3">
        <v>4</v>
      </c>
      <c r="J845" s="3"/>
      <c r="K845" s="26">
        <v>4</v>
      </c>
      <c r="L845" s="2">
        <v>2219.5</v>
      </c>
      <c r="M845" s="2">
        <v>8878</v>
      </c>
      <c r="N845" s="2">
        <v>8878</v>
      </c>
      <c r="O845" s="2">
        <v>2293</v>
      </c>
      <c r="P845" s="2">
        <v>73.5</v>
      </c>
      <c r="Q845" s="2">
        <v>294</v>
      </c>
      <c r="R845" s="4">
        <v>3.2054077627562148E-2</v>
      </c>
      <c r="T845">
        <v>312317</v>
      </c>
      <c r="U845" s="2"/>
      <c r="V845">
        <v>6000</v>
      </c>
      <c r="W845" s="2">
        <v>6579000000</v>
      </c>
      <c r="X845" s="6">
        <v>9172</v>
      </c>
      <c r="Y845" s="38">
        <v>10010</v>
      </c>
      <c r="Z845" s="86">
        <f>+((DETALLE_GD_1[[#This Row],[VALOR X UN (GD)]]-DETALLE_GD_1[[#This Row],[VALOR PPTO]])/DETALLE_GD_1[[#This Row],[VALOR PPTO]])</f>
        <v>-3.2054077627562148E-2</v>
      </c>
      <c r="AA845" s="2">
        <f>+DETALLE_GD_1[[#This Row],[VALOR PPTO]]*DETALLE_GD_1[[#This Row],[CANTIDAD RECIBIDA]]</f>
        <v>9172</v>
      </c>
      <c r="AB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5" s="3">
        <f>+DETALLE_GD_1[[#This Row],[CANTIDAD SOLICITADA]]-DETALLE_GD_1[[#This Row],[DEVOLUCIÓN]]</f>
        <v>4</v>
      </c>
      <c r="AD845" s="38" t="str">
        <f>+_xlfn.XLOOKUP(DETALLE_GD_1[[#This Row],[CODIGO]],PRODUCTOS[CODIGO],PRODUCTOS[DESC CORTA],"",0)</f>
        <v>LLAVE ANGULAR 1/2X</v>
      </c>
      <c r="AE845"/>
      <c r="AH845"/>
    </row>
    <row r="846" spans="1:34" x14ac:dyDescent="0.25">
      <c r="A846" s="1">
        <v>46126</v>
      </c>
      <c r="B846" s="1">
        <v>46126</v>
      </c>
      <c r="C846" s="81" t="s">
        <v>169</v>
      </c>
      <c r="D846" s="38">
        <v>4</v>
      </c>
      <c r="E846" s="81" t="s">
        <v>169</v>
      </c>
      <c r="F846">
        <v>1808146</v>
      </c>
      <c r="G846" s="81" t="s">
        <v>274</v>
      </c>
      <c r="H846" s="81" t="s">
        <v>31</v>
      </c>
      <c r="I846" s="3">
        <v>6</v>
      </c>
      <c r="J846" s="3"/>
      <c r="K846" s="26">
        <v>6</v>
      </c>
      <c r="L846" s="2">
        <v>3325.3332999999998</v>
      </c>
      <c r="M846" s="2">
        <v>19952</v>
      </c>
      <c r="N846" s="2">
        <v>19952</v>
      </c>
      <c r="O846" s="2">
        <v>3404</v>
      </c>
      <c r="P846" s="2">
        <v>78.666700000000006</v>
      </c>
      <c r="Q846" s="2">
        <v>472</v>
      </c>
      <c r="R846" s="4">
        <v>2.3110066588327413E-2</v>
      </c>
      <c r="T846">
        <v>312317</v>
      </c>
      <c r="U846" s="2"/>
      <c r="V846">
        <v>6000</v>
      </c>
      <c r="W846" s="2">
        <v>6579000000</v>
      </c>
      <c r="X846" s="6">
        <v>20424</v>
      </c>
      <c r="Y846" s="38">
        <v>10010</v>
      </c>
      <c r="Z846" s="86">
        <f>+((DETALLE_GD_1[[#This Row],[VALOR X UN (GD)]]-DETALLE_GD_1[[#This Row],[VALOR PPTO]])/DETALLE_GD_1[[#This Row],[VALOR PPTO]])</f>
        <v>-2.3110076380728619E-2</v>
      </c>
      <c r="AA846" s="2">
        <f>+DETALLE_GD_1[[#This Row],[VALOR PPTO]]*DETALLE_GD_1[[#This Row],[CANTIDAD RECIBIDA]]</f>
        <v>20424</v>
      </c>
      <c r="AB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6" s="3">
        <f>+DETALLE_GD_1[[#This Row],[CANTIDAD SOLICITADA]]-DETALLE_GD_1[[#This Row],[DEVOLUCIÓN]]</f>
        <v>6</v>
      </c>
      <c r="AD846" s="38" t="str">
        <f>+_xlfn.XLOOKUP(DETALLE_GD_1[[#This Row],[CODIGO]],PRODUCTOS[CODIGO],PRODUCTOS[DESC CORTA],"",0)</f>
        <v>NUEVA</v>
      </c>
      <c r="AE846"/>
      <c r="AH846"/>
    </row>
    <row r="847" spans="1:34" x14ac:dyDescent="0.25">
      <c r="A847" s="1">
        <v>46126</v>
      </c>
      <c r="B847" s="1">
        <v>46126</v>
      </c>
      <c r="C847" s="81" t="s">
        <v>169</v>
      </c>
      <c r="D847" s="38">
        <v>4</v>
      </c>
      <c r="E847" s="81" t="s">
        <v>169</v>
      </c>
      <c r="F847">
        <v>1808145</v>
      </c>
      <c r="G847" s="81" t="s">
        <v>273</v>
      </c>
      <c r="H847" s="81" t="s">
        <v>31</v>
      </c>
      <c r="I847" s="3">
        <v>4</v>
      </c>
      <c r="J847" s="3"/>
      <c r="K847" s="26">
        <v>4</v>
      </c>
      <c r="L847" s="2">
        <v>16269.75</v>
      </c>
      <c r="M847" s="2">
        <v>65079</v>
      </c>
      <c r="N847" s="2">
        <v>65079</v>
      </c>
      <c r="O847" s="2">
        <v>17145</v>
      </c>
      <c r="P847" s="2">
        <v>875.25</v>
      </c>
      <c r="Q847" s="2">
        <v>3501</v>
      </c>
      <c r="R847" s="4">
        <v>5.1049868766404202E-2</v>
      </c>
      <c r="T847">
        <v>312317</v>
      </c>
      <c r="U847" s="2"/>
      <c r="V847">
        <v>6000</v>
      </c>
      <c r="W847" s="2">
        <v>6579000000</v>
      </c>
      <c r="X847" s="6">
        <v>68580</v>
      </c>
      <c r="Y847" s="38">
        <v>10010</v>
      </c>
      <c r="Z847" s="86">
        <f>+((DETALLE_GD_1[[#This Row],[VALOR X UN (GD)]]-DETALLE_GD_1[[#This Row],[VALOR PPTO]])/DETALLE_GD_1[[#This Row],[VALOR PPTO]])</f>
        <v>-5.1049868766404202E-2</v>
      </c>
      <c r="AA847" s="2">
        <f>+DETALLE_GD_1[[#This Row],[VALOR PPTO]]*DETALLE_GD_1[[#This Row],[CANTIDAD RECIBIDA]]</f>
        <v>68580</v>
      </c>
      <c r="AB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7" s="3">
        <f>+DETALLE_GD_1[[#This Row],[CANTIDAD SOLICITADA]]-DETALLE_GD_1[[#This Row],[DEVOLUCIÓN]]</f>
        <v>4</v>
      </c>
      <c r="AD847" s="38" t="str">
        <f>+_xlfn.XLOOKUP(DETALLE_GD_1[[#This Row],[CODIGO]],PRODUCTOS[CODIGO],PRODUCTOS[DESC CORTA],"",0)</f>
        <v>ESTANQUE WC AURA</v>
      </c>
      <c r="AE847"/>
      <c r="AH847"/>
    </row>
    <row r="848" spans="1:34" x14ac:dyDescent="0.25">
      <c r="A848" s="1">
        <v>46126</v>
      </c>
      <c r="B848" s="1">
        <v>46126</v>
      </c>
      <c r="C848" s="81" t="s">
        <v>169</v>
      </c>
      <c r="D848" s="38">
        <v>4</v>
      </c>
      <c r="E848" s="81" t="s">
        <v>169</v>
      </c>
      <c r="F848">
        <v>1808144</v>
      </c>
      <c r="G848" s="81" t="s">
        <v>272</v>
      </c>
      <c r="H848" s="81" t="s">
        <v>31</v>
      </c>
      <c r="I848" s="3">
        <v>4</v>
      </c>
      <c r="J848" s="3"/>
      <c r="K848" s="26">
        <v>4</v>
      </c>
      <c r="L848" s="2">
        <v>23316.75</v>
      </c>
      <c r="M848" s="2">
        <v>93267</v>
      </c>
      <c r="N848" s="2">
        <v>93267</v>
      </c>
      <c r="O848" s="2">
        <v>23228</v>
      </c>
      <c r="P848" s="2">
        <v>-88.75</v>
      </c>
      <c r="Q848" s="2">
        <v>-355</v>
      </c>
      <c r="R848" s="4">
        <v>-3.820819700361632E-3</v>
      </c>
      <c r="T848">
        <v>312317</v>
      </c>
      <c r="U848" s="2"/>
      <c r="V848">
        <v>6000</v>
      </c>
      <c r="W848" s="2">
        <v>6579000000</v>
      </c>
      <c r="X848" s="6">
        <v>92912</v>
      </c>
      <c r="Y848" s="38">
        <v>10010</v>
      </c>
      <c r="Z848" s="86">
        <f>+((DETALLE_GD_1[[#This Row],[VALOR X UN (GD)]]-DETALLE_GD_1[[#This Row],[VALOR PPTO]])/DETALLE_GD_1[[#This Row],[VALOR PPTO]])</f>
        <v>3.8208197003616324E-3</v>
      </c>
      <c r="AA848" s="2">
        <f>+DETALLE_GD_1[[#This Row],[VALOR PPTO]]*DETALLE_GD_1[[#This Row],[CANTIDAD RECIBIDA]]</f>
        <v>92912</v>
      </c>
      <c r="AB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8" s="3">
        <f>+DETALLE_GD_1[[#This Row],[CANTIDAD SOLICITADA]]-DETALLE_GD_1[[#This Row],[DEVOLUCIÓN]]</f>
        <v>4</v>
      </c>
      <c r="AD848" s="38" t="str">
        <f>+_xlfn.XLOOKUP(DETALLE_GD_1[[#This Row],[CODIGO]],PRODUCTOS[CODIGO],PRODUCTOS[DESC CORTA],"",0)</f>
        <v>TAZA WC AURA</v>
      </c>
      <c r="AE848"/>
      <c r="AH848"/>
    </row>
    <row r="849" spans="1:34" x14ac:dyDescent="0.25">
      <c r="A849" s="1">
        <v>46126</v>
      </c>
      <c r="B849" s="1">
        <v>46126</v>
      </c>
      <c r="C849" s="81" t="s">
        <v>169</v>
      </c>
      <c r="D849" s="38">
        <v>4</v>
      </c>
      <c r="E849" s="81" t="s">
        <v>169</v>
      </c>
      <c r="F849">
        <v>1802176</v>
      </c>
      <c r="G849" s="81" t="s">
        <v>196</v>
      </c>
      <c r="H849" s="81" t="s">
        <v>31</v>
      </c>
      <c r="I849" s="3">
        <v>4</v>
      </c>
      <c r="J849" s="3"/>
      <c r="K849" s="26">
        <v>4</v>
      </c>
      <c r="L849" s="2">
        <v>2199</v>
      </c>
      <c r="M849" s="2">
        <v>8796</v>
      </c>
      <c r="N849" s="2">
        <v>8796</v>
      </c>
      <c r="O849" s="2">
        <v>2199</v>
      </c>
      <c r="P849" s="2">
        <v>0</v>
      </c>
      <c r="Q849" s="2">
        <v>0</v>
      </c>
      <c r="R849" s="4">
        <v>0</v>
      </c>
      <c r="T849">
        <v>312317</v>
      </c>
      <c r="U849" s="2"/>
      <c r="V849">
        <v>6000</v>
      </c>
      <c r="W849" s="2">
        <v>6579000000</v>
      </c>
      <c r="X849" s="6">
        <v>8796</v>
      </c>
      <c r="Y849" s="38">
        <v>10010</v>
      </c>
      <c r="Z849" s="86">
        <f>+((DETALLE_GD_1[[#This Row],[VALOR X UN (GD)]]-DETALLE_GD_1[[#This Row],[VALOR PPTO]])/DETALLE_GD_1[[#This Row],[VALOR PPTO]])</f>
        <v>0</v>
      </c>
      <c r="AA849" s="2">
        <f>+DETALLE_GD_1[[#This Row],[VALOR PPTO]]*DETALLE_GD_1[[#This Row],[CANTIDAD RECIBIDA]]</f>
        <v>8796</v>
      </c>
      <c r="AB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9" s="3">
        <f>+DETALLE_GD_1[[#This Row],[CANTIDAD SOLICITADA]]-DETALLE_GD_1[[#This Row],[DEVOLUCIÓN]]</f>
        <v>4</v>
      </c>
      <c r="AD849" s="38">
        <f>+_xlfn.XLOOKUP(DETALLE_GD_1[[#This Row],[CODIGO]],PRODUCTOS[CODIGO],PRODUCTOS[DESC CORTA],"",0)</f>
        <v>0</v>
      </c>
      <c r="AE849"/>
      <c r="AH849"/>
    </row>
    <row r="850" spans="1:34" x14ac:dyDescent="0.25">
      <c r="A850" s="1">
        <v>46126</v>
      </c>
      <c r="B850" s="1">
        <v>46126</v>
      </c>
      <c r="C850" s="81" t="s">
        <v>169</v>
      </c>
      <c r="D850" s="38">
        <v>4</v>
      </c>
      <c r="E850" s="81" t="s">
        <v>169</v>
      </c>
      <c r="F850">
        <v>1802175</v>
      </c>
      <c r="G850" s="81" t="s">
        <v>269</v>
      </c>
      <c r="H850" s="81" t="s">
        <v>31</v>
      </c>
      <c r="I850" s="3">
        <v>4</v>
      </c>
      <c r="J850" s="3"/>
      <c r="K850" s="26">
        <v>4</v>
      </c>
      <c r="L850" s="2">
        <v>1079</v>
      </c>
      <c r="M850" s="2">
        <v>4316</v>
      </c>
      <c r="N850" s="2">
        <v>4316</v>
      </c>
      <c r="O850" s="2">
        <v>1079</v>
      </c>
      <c r="P850" s="2">
        <v>0</v>
      </c>
      <c r="Q850" s="2">
        <v>0</v>
      </c>
      <c r="R850" s="4">
        <v>0</v>
      </c>
      <c r="T850">
        <v>312317</v>
      </c>
      <c r="U850" s="2"/>
      <c r="V850">
        <v>6000</v>
      </c>
      <c r="W850" s="2">
        <v>6579000000</v>
      </c>
      <c r="X850" s="6">
        <v>4316</v>
      </c>
      <c r="Y850" s="38">
        <v>10010</v>
      </c>
      <c r="Z850" s="86">
        <f>+((DETALLE_GD_1[[#This Row],[VALOR X UN (GD)]]-DETALLE_GD_1[[#This Row],[VALOR PPTO]])/DETALLE_GD_1[[#This Row],[VALOR PPTO]])</f>
        <v>0</v>
      </c>
      <c r="AA850" s="2">
        <f>+DETALLE_GD_1[[#This Row],[VALOR PPTO]]*DETALLE_GD_1[[#This Row],[CANTIDAD RECIBIDA]]</f>
        <v>4316</v>
      </c>
      <c r="AB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0" s="3">
        <f>+DETALLE_GD_1[[#This Row],[CANTIDAD SOLICITADA]]-DETALLE_GD_1[[#This Row],[DEVOLUCIÓN]]</f>
        <v>4</v>
      </c>
      <c r="AD850" s="38" t="str">
        <f>+_xlfn.XLOOKUP(DETALLE_GD_1[[#This Row],[CODIGO]],PRODUCTOS[CODIGO],PRODUCTOS[DESC CORTA],"",0)</f>
        <v>UÑETAS INSTLACION LAVAMANOS</v>
      </c>
      <c r="AE850"/>
      <c r="AH850"/>
    </row>
    <row r="851" spans="1:34" x14ac:dyDescent="0.25">
      <c r="A851" s="1">
        <v>46126</v>
      </c>
      <c r="B851" s="1">
        <v>46126</v>
      </c>
      <c r="C851" s="81" t="s">
        <v>169</v>
      </c>
      <c r="D851" s="38">
        <v>4</v>
      </c>
      <c r="E851" s="81" t="s">
        <v>169</v>
      </c>
      <c r="F851">
        <v>1802174</v>
      </c>
      <c r="G851" s="81" t="s">
        <v>268</v>
      </c>
      <c r="H851" s="81" t="s">
        <v>31</v>
      </c>
      <c r="I851" s="3">
        <v>4</v>
      </c>
      <c r="J851" s="3"/>
      <c r="K851" s="26">
        <v>4</v>
      </c>
      <c r="L851" s="2">
        <v>7701.75</v>
      </c>
      <c r="M851" s="2">
        <v>30807</v>
      </c>
      <c r="N851" s="2">
        <v>30807</v>
      </c>
      <c r="O851" s="2">
        <v>7709</v>
      </c>
      <c r="P851" s="2">
        <v>7.25</v>
      </c>
      <c r="Q851" s="2">
        <v>29</v>
      </c>
      <c r="R851" s="4">
        <v>9.4045920352834353E-4</v>
      </c>
      <c r="T851">
        <v>312317</v>
      </c>
      <c r="U851" s="2"/>
      <c r="V851">
        <v>6000</v>
      </c>
      <c r="W851" s="2">
        <v>6579000000</v>
      </c>
      <c r="X851" s="6">
        <v>30836</v>
      </c>
      <c r="Y851" s="38">
        <v>10010</v>
      </c>
      <c r="Z851" s="86">
        <f>+((DETALLE_GD_1[[#This Row],[VALOR X UN (GD)]]-DETALLE_GD_1[[#This Row],[VALOR PPTO]])/DETALLE_GD_1[[#This Row],[VALOR PPTO]])</f>
        <v>-9.4045920352834353E-4</v>
      </c>
      <c r="AA851" s="2">
        <f>+DETALLE_GD_1[[#This Row],[VALOR PPTO]]*DETALLE_GD_1[[#This Row],[CANTIDAD RECIBIDA]]</f>
        <v>30836</v>
      </c>
      <c r="AB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1" s="3">
        <f>+DETALLE_GD_1[[#This Row],[CANTIDAD SOLICITADA]]-DETALLE_GD_1[[#This Row],[DEVOLUCIÓN]]</f>
        <v>4</v>
      </c>
      <c r="AD851" s="38" t="str">
        <f>+_xlfn.XLOOKUP(DETALLE_GD_1[[#This Row],[CODIGO]],PRODUCTOS[CODIGO],PRODUCTOS[DESC CORTA],"",0)</f>
        <v>PEDESTAL DS THEOS</v>
      </c>
      <c r="AE851"/>
      <c r="AH851"/>
    </row>
    <row r="852" spans="1:34" x14ac:dyDescent="0.25">
      <c r="A852" s="1">
        <v>46126</v>
      </c>
      <c r="B852" s="1">
        <v>46126</v>
      </c>
      <c r="C852" s="81" t="s">
        <v>169</v>
      </c>
      <c r="D852" s="38">
        <v>4</v>
      </c>
      <c r="E852" s="81" t="s">
        <v>169</v>
      </c>
      <c r="F852">
        <v>1802173</v>
      </c>
      <c r="G852" s="81" t="s">
        <v>267</v>
      </c>
      <c r="H852" s="81" t="s">
        <v>31</v>
      </c>
      <c r="I852" s="3">
        <v>4</v>
      </c>
      <c r="J852" s="3"/>
      <c r="K852" s="26">
        <v>4</v>
      </c>
      <c r="L852" s="2">
        <v>11984.5</v>
      </c>
      <c r="M852" s="2">
        <v>47938</v>
      </c>
      <c r="N852" s="2">
        <v>47938</v>
      </c>
      <c r="O852" s="2">
        <v>11996</v>
      </c>
      <c r="P852" s="2">
        <v>11.5</v>
      </c>
      <c r="Q852" s="2">
        <v>46</v>
      </c>
      <c r="R852" s="4">
        <v>9.5865288429476496E-4</v>
      </c>
      <c r="T852">
        <v>312317</v>
      </c>
      <c r="U852" s="2"/>
      <c r="V852">
        <v>6000</v>
      </c>
      <c r="W852" s="2">
        <v>6579000000</v>
      </c>
      <c r="X852" s="6">
        <v>47984</v>
      </c>
      <c r="Y852" s="38">
        <v>10010</v>
      </c>
      <c r="Z852" s="86">
        <f>+((DETALLE_GD_1[[#This Row],[VALOR X UN (GD)]]-DETALLE_GD_1[[#This Row],[VALOR PPTO]])/DETALLE_GD_1[[#This Row],[VALOR PPTO]])</f>
        <v>-9.5865288429476496E-4</v>
      </c>
      <c r="AA852" s="2">
        <f>+DETALLE_GD_1[[#This Row],[VALOR PPTO]]*DETALLE_GD_1[[#This Row],[CANTIDAD RECIBIDA]]</f>
        <v>47984</v>
      </c>
      <c r="AB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2" s="3">
        <f>+DETALLE_GD_1[[#This Row],[CANTIDAD SOLICITADA]]-DETALLE_GD_1[[#This Row],[DEVOLUCIÓN]]</f>
        <v>4</v>
      </c>
      <c r="AD852" s="38" t="str">
        <f>+_xlfn.XLOOKUP(DETALLE_GD_1[[#This Row],[CODIGO]],PRODUCTOS[CODIGO],PRODUCTOS[DESC CORTA],"",0)</f>
        <v>LAVAMANOS DS THEOS</v>
      </c>
      <c r="AE852"/>
      <c r="AH852"/>
    </row>
    <row r="853" spans="1:34" x14ac:dyDescent="0.25">
      <c r="A853" s="1">
        <v>46126</v>
      </c>
      <c r="B853" s="1">
        <v>46126</v>
      </c>
      <c r="C853" s="81" t="s">
        <v>169</v>
      </c>
      <c r="D853" s="38">
        <v>4</v>
      </c>
      <c r="E853" s="81" t="s">
        <v>169</v>
      </c>
      <c r="F853">
        <v>1802169</v>
      </c>
      <c r="G853" s="81" t="s">
        <v>263</v>
      </c>
      <c r="H853" s="81" t="s">
        <v>31</v>
      </c>
      <c r="I853" s="3">
        <v>4</v>
      </c>
      <c r="J853" s="3"/>
      <c r="K853" s="26">
        <v>4</v>
      </c>
      <c r="L853" s="2">
        <v>10730</v>
      </c>
      <c r="M853" s="2">
        <v>42920</v>
      </c>
      <c r="N853" s="2">
        <v>42920</v>
      </c>
      <c r="O853" s="2">
        <v>10741</v>
      </c>
      <c r="P853" s="2">
        <v>11</v>
      </c>
      <c r="Q853" s="2">
        <v>44</v>
      </c>
      <c r="R853" s="4">
        <v>1.0241132110604227E-3</v>
      </c>
      <c r="T853">
        <v>312317</v>
      </c>
      <c r="U853" s="2"/>
      <c r="V853">
        <v>6000</v>
      </c>
      <c r="W853" s="2">
        <v>6579000000</v>
      </c>
      <c r="X853" s="6">
        <v>42964</v>
      </c>
      <c r="Y853" s="38">
        <v>10010</v>
      </c>
      <c r="Z853" s="86">
        <f>+((DETALLE_GD_1[[#This Row],[VALOR X UN (GD)]]-DETALLE_GD_1[[#This Row],[VALOR PPTO]])/DETALLE_GD_1[[#This Row],[VALOR PPTO]])</f>
        <v>-1.0241132110604227E-3</v>
      </c>
      <c r="AA853" s="2">
        <f>+DETALLE_GD_1[[#This Row],[VALOR PPTO]]*DETALLE_GD_1[[#This Row],[CANTIDAD RECIBIDA]]</f>
        <v>42964</v>
      </c>
      <c r="AB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3" s="3">
        <f>+DETALLE_GD_1[[#This Row],[CANTIDAD SOLICITADA]]-DETALLE_GD_1[[#This Row],[DEVOLUCIÓN]]</f>
        <v>4</v>
      </c>
      <c r="AD853" s="38" t="str">
        <f>+_xlfn.XLOOKUP(DETALLE_GD_1[[#This Row],[CODIGO]],PRODUCTOS[CODIGO],PRODUCTOS[DESC CORTA],"",0)</f>
        <v>LAVARROPA PLATICO DS</v>
      </c>
      <c r="AE853"/>
      <c r="AH853"/>
    </row>
    <row r="854" spans="1:34" x14ac:dyDescent="0.25">
      <c r="A854" s="1">
        <v>46126</v>
      </c>
      <c r="B854" s="1">
        <v>46126</v>
      </c>
      <c r="C854" s="81" t="s">
        <v>169</v>
      </c>
      <c r="D854" s="38">
        <v>4</v>
      </c>
      <c r="E854" s="81" t="s">
        <v>169</v>
      </c>
      <c r="F854">
        <v>1802167</v>
      </c>
      <c r="G854" s="81" t="s">
        <v>262</v>
      </c>
      <c r="H854" s="81" t="s">
        <v>31</v>
      </c>
      <c r="I854" s="3">
        <v>4</v>
      </c>
      <c r="J854" s="3"/>
      <c r="K854" s="26">
        <v>4</v>
      </c>
      <c r="L854" s="2">
        <v>14972</v>
      </c>
      <c r="M854" s="2">
        <v>59888</v>
      </c>
      <c r="N854" s="2">
        <v>59888</v>
      </c>
      <c r="O854" s="2">
        <v>14972</v>
      </c>
      <c r="P854" s="2">
        <v>0</v>
      </c>
      <c r="Q854" s="2">
        <v>0</v>
      </c>
      <c r="R854" s="4">
        <v>0</v>
      </c>
      <c r="T854">
        <v>312317</v>
      </c>
      <c r="U854" s="2"/>
      <c r="V854">
        <v>6000</v>
      </c>
      <c r="W854" s="2">
        <v>6579000000</v>
      </c>
      <c r="X854" s="6">
        <v>59888</v>
      </c>
      <c r="Y854" s="38">
        <v>10010</v>
      </c>
      <c r="Z854" s="86">
        <f>+((DETALLE_GD_1[[#This Row],[VALOR X UN (GD)]]-DETALLE_GD_1[[#This Row],[VALOR PPTO]])/DETALLE_GD_1[[#This Row],[VALOR PPTO]])</f>
        <v>0</v>
      </c>
      <c r="AA854" s="2">
        <f>+DETALLE_GD_1[[#This Row],[VALOR PPTO]]*DETALLE_GD_1[[#This Row],[CANTIDAD RECIBIDA]]</f>
        <v>59888</v>
      </c>
      <c r="AB8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4" s="3">
        <f>+DETALLE_GD_1[[#This Row],[CANTIDAD SOLICITADA]]-DETALLE_GD_1[[#This Row],[DEVOLUCIÓN]]</f>
        <v>4</v>
      </c>
      <c r="AD854" s="38" t="str">
        <f>+_xlfn.XLOOKUP(DETALLE_GD_1[[#This Row],[CODIGO]],PRODUCTOS[CODIGO],PRODUCTOS[DESC CORTA],"",0)</f>
        <v>NEW DUCHA SIMPLE, SOPORTE Y FLEXIBLE 1.5M 8LPM, ESTIU (TS2024020)</v>
      </c>
      <c r="AE854"/>
      <c r="AH854"/>
    </row>
    <row r="855" spans="1:34" x14ac:dyDescent="0.25">
      <c r="A855" s="1">
        <v>46126</v>
      </c>
      <c r="B855" s="1">
        <v>46126</v>
      </c>
      <c r="C855" s="81" t="s">
        <v>169</v>
      </c>
      <c r="D855" s="38">
        <v>4</v>
      </c>
      <c r="E855" s="81" t="s">
        <v>169</v>
      </c>
      <c r="F855">
        <v>1802166</v>
      </c>
      <c r="G855" s="81" t="s">
        <v>283</v>
      </c>
      <c r="H855" s="81" t="s">
        <v>31</v>
      </c>
      <c r="I855" s="3">
        <v>4</v>
      </c>
      <c r="J855" s="3"/>
      <c r="K855" s="26">
        <v>4</v>
      </c>
      <c r="L855" s="2">
        <v>13869</v>
      </c>
      <c r="M855" s="2">
        <v>55476</v>
      </c>
      <c r="N855" s="2">
        <v>55476</v>
      </c>
      <c r="O855" s="2">
        <v>13869</v>
      </c>
      <c r="P855" s="2">
        <v>0</v>
      </c>
      <c r="Q855" s="2">
        <v>0</v>
      </c>
      <c r="R855" s="4">
        <v>0</v>
      </c>
      <c r="T855">
        <v>312317</v>
      </c>
      <c r="U855" s="2"/>
      <c r="V855">
        <v>6000</v>
      </c>
      <c r="W855" s="2">
        <v>6579000000</v>
      </c>
      <c r="X855" s="6">
        <v>55476</v>
      </c>
      <c r="Y855" s="38">
        <v>10010</v>
      </c>
      <c r="Z855" s="86">
        <f>+((DETALLE_GD_1[[#This Row],[VALOR X UN (GD)]]-DETALLE_GD_1[[#This Row],[VALOR PPTO]])/DETALLE_GD_1[[#This Row],[VALOR PPTO]])</f>
        <v>0</v>
      </c>
      <c r="AA855" s="2">
        <f>+DETALLE_GD_1[[#This Row],[VALOR PPTO]]*DETALLE_GD_1[[#This Row],[CANTIDAD RECIBIDA]]</f>
        <v>55476</v>
      </c>
      <c r="AB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5" s="3">
        <f>+DETALLE_GD_1[[#This Row],[CANTIDAD SOLICITADA]]-DETALLE_GD_1[[#This Row],[DEVOLUCIÓN]]</f>
        <v>4</v>
      </c>
      <c r="AD855" s="38" t="str">
        <f>+_xlfn.XLOOKUP(DETALLE_GD_1[[#This Row],[CODIGO]],PRODUCTOS[CODIGO],PRODUCTOS[DESC CORTA],"",0)</f>
        <v>NEW TS2024022)</v>
      </c>
      <c r="AE855"/>
      <c r="AH855"/>
    </row>
    <row r="856" spans="1:34" x14ac:dyDescent="0.25">
      <c r="A856" s="1">
        <v>46126</v>
      </c>
      <c r="B856" s="1">
        <v>46126</v>
      </c>
      <c r="C856" s="81" t="s">
        <v>169</v>
      </c>
      <c r="D856" s="38">
        <v>4</v>
      </c>
      <c r="E856" s="81" t="s">
        <v>169</v>
      </c>
      <c r="F856">
        <v>1802165</v>
      </c>
      <c r="G856" s="81" t="s">
        <v>261</v>
      </c>
      <c r="H856" s="81" t="s">
        <v>31</v>
      </c>
      <c r="I856" s="3">
        <v>4</v>
      </c>
      <c r="J856" s="3"/>
      <c r="K856" s="26">
        <v>4</v>
      </c>
      <c r="L856" s="2">
        <v>9122</v>
      </c>
      <c r="M856" s="2">
        <v>36488</v>
      </c>
      <c r="N856" s="2">
        <v>36488</v>
      </c>
      <c r="O856" s="2">
        <v>9122</v>
      </c>
      <c r="P856" s="2">
        <v>0</v>
      </c>
      <c r="Q856" s="2">
        <v>0</v>
      </c>
      <c r="R856" s="4">
        <v>0</v>
      </c>
      <c r="T856">
        <v>312317</v>
      </c>
      <c r="U856" s="2"/>
      <c r="V856">
        <v>6000</v>
      </c>
      <c r="W856" s="2">
        <v>6579000000</v>
      </c>
      <c r="X856" s="6">
        <v>36488</v>
      </c>
      <c r="Y856" s="38">
        <v>10010</v>
      </c>
      <c r="Z856" s="86">
        <f>+((DETALLE_GD_1[[#This Row],[VALOR X UN (GD)]]-DETALLE_GD_1[[#This Row],[VALOR PPTO]])/DETALLE_GD_1[[#This Row],[VALOR PPTO]])</f>
        <v>0</v>
      </c>
      <c r="AA856" s="2">
        <f>+DETALLE_GD_1[[#This Row],[VALOR PPTO]]*DETALLE_GD_1[[#This Row],[CANTIDAD RECIBIDA]]</f>
        <v>36488</v>
      </c>
      <c r="AB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6" s="3">
        <f>+DETALLE_GD_1[[#This Row],[CANTIDAD SOLICITADA]]-DETALLE_GD_1[[#This Row],[DEVOLUCIÓN]]</f>
        <v>4</v>
      </c>
      <c r="AD856" s="38" t="str">
        <f>+_xlfn.XLOOKUP(DETALLE_GD_1[[#This Row],[CODIGO]],PRODUCTOS[CODIGO],PRODUCTOS[DESC CORTA],"",0)</f>
        <v>NEW TS2024019)</v>
      </c>
      <c r="AE856"/>
      <c r="AH856"/>
    </row>
    <row r="857" spans="1:34" x14ac:dyDescent="0.25">
      <c r="A857" s="1">
        <v>46126</v>
      </c>
      <c r="B857" s="1">
        <v>46126</v>
      </c>
      <c r="C857" s="81" t="s">
        <v>169</v>
      </c>
      <c r="D857" s="38">
        <v>4</v>
      </c>
      <c r="E857" s="81" t="s">
        <v>169</v>
      </c>
      <c r="F857">
        <v>1801229</v>
      </c>
      <c r="G857" s="81" t="s">
        <v>259</v>
      </c>
      <c r="H857" s="81" t="s">
        <v>31</v>
      </c>
      <c r="I857" s="3">
        <v>4</v>
      </c>
      <c r="J857" s="3"/>
      <c r="K857" s="26">
        <v>4</v>
      </c>
      <c r="L857" s="2">
        <v>5011.5</v>
      </c>
      <c r="M857" s="2">
        <v>20046</v>
      </c>
      <c r="N857" s="2">
        <v>20046</v>
      </c>
      <c r="O857" s="2">
        <v>4675.5185000000001</v>
      </c>
      <c r="P857" s="2">
        <v>-335.98149999999998</v>
      </c>
      <c r="Q857" s="2">
        <v>-1343.9259</v>
      </c>
      <c r="R857" s="4">
        <v>-7.1859726281623099E-2</v>
      </c>
      <c r="T857">
        <v>312317</v>
      </c>
      <c r="U857" s="2"/>
      <c r="V857">
        <v>6000</v>
      </c>
      <c r="W857" s="2">
        <v>6579000000</v>
      </c>
      <c r="X857" s="6">
        <v>18702.074076000001</v>
      </c>
      <c r="Y857" s="38">
        <v>10010</v>
      </c>
      <c r="Z857" s="86">
        <f>+((DETALLE_GD_1[[#This Row],[VALOR X UN (GD)]]-DETALLE_GD_1[[#This Row],[VALOR PPTO]])/DETALLE_GD_1[[#This Row],[VALOR PPTO]])</f>
        <v>7.1859730637361369E-2</v>
      </c>
      <c r="AA857" s="2">
        <f>+DETALLE_GD_1[[#This Row],[VALOR PPTO]]*DETALLE_GD_1[[#This Row],[CANTIDAD RECIBIDA]]</f>
        <v>18702.074000000001</v>
      </c>
      <c r="AB8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7" s="3">
        <f>+DETALLE_GD_1[[#This Row],[CANTIDAD SOLICITADA]]-DETALLE_GD_1[[#This Row],[DEVOLUCIÓN]]</f>
        <v>4</v>
      </c>
      <c r="AD857" s="38" t="str">
        <f>+_xlfn.XLOOKUP(DETALLE_GD_1[[#This Row],[CODIGO]],PRODUCTOS[CODIGO],PRODUCTOS[DESC CORTA],"",0)</f>
        <v>KIT DESAGUE TINA</v>
      </c>
      <c r="AE857"/>
      <c r="AH857"/>
    </row>
    <row r="858" spans="1:34" x14ac:dyDescent="0.25">
      <c r="A858" s="1">
        <v>46126</v>
      </c>
      <c r="B858" s="1">
        <v>46126</v>
      </c>
      <c r="C858" s="81" t="s">
        <v>169</v>
      </c>
      <c r="D858" s="38">
        <v>4</v>
      </c>
      <c r="E858" s="81" t="s">
        <v>169</v>
      </c>
      <c r="F858">
        <v>1801161</v>
      </c>
      <c r="G858" s="81" t="s">
        <v>712</v>
      </c>
      <c r="H858" s="81" t="s">
        <v>31</v>
      </c>
      <c r="I858" s="3">
        <v>3</v>
      </c>
      <c r="J858" s="3"/>
      <c r="K858" s="26">
        <v>3</v>
      </c>
      <c r="L858" s="2">
        <v>5760</v>
      </c>
      <c r="M858" s="2">
        <v>17280</v>
      </c>
      <c r="N858" s="2">
        <v>17280</v>
      </c>
      <c r="O858" s="2">
        <v>5760</v>
      </c>
      <c r="P858" s="2">
        <v>0</v>
      </c>
      <c r="Q858" s="2">
        <v>0</v>
      </c>
      <c r="R858" s="4">
        <v>0</v>
      </c>
      <c r="T858">
        <v>312317</v>
      </c>
      <c r="U858" s="2"/>
      <c r="V858">
        <v>6000</v>
      </c>
      <c r="W858" s="2">
        <v>6579000000</v>
      </c>
      <c r="X858" s="6">
        <v>17280</v>
      </c>
      <c r="Y858" s="38">
        <v>10010</v>
      </c>
      <c r="Z858" s="86">
        <f>+((DETALLE_GD_1[[#This Row],[VALOR X UN (GD)]]-DETALLE_GD_1[[#This Row],[VALOR PPTO]])/DETALLE_GD_1[[#This Row],[VALOR PPTO]])</f>
        <v>0</v>
      </c>
      <c r="AA858" s="2">
        <f>+DETALLE_GD_1[[#This Row],[VALOR PPTO]]*DETALLE_GD_1[[#This Row],[CANTIDAD RECIBIDA]]</f>
        <v>17280</v>
      </c>
      <c r="AB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8" s="3">
        <f>+DETALLE_GD_1[[#This Row],[CANTIDAD SOLICITADA]]-DETALLE_GD_1[[#This Row],[DEVOLUCIÓN]]</f>
        <v>3</v>
      </c>
      <c r="AD858" s="38" t="str">
        <f>+_xlfn.XLOOKUP(DETALLE_GD_1[[#This Row],[CODIGO]],PRODUCTOS[CODIGO],PRODUCTOS[DESC CORTA],"",0)</f>
        <v/>
      </c>
      <c r="AE858"/>
      <c r="AH858"/>
    </row>
    <row r="859" spans="1:34" x14ac:dyDescent="0.25">
      <c r="A859" s="1">
        <v>46126</v>
      </c>
      <c r="B859" s="1">
        <v>46126</v>
      </c>
      <c r="C859" s="81" t="s">
        <v>169</v>
      </c>
      <c r="D859" s="38">
        <v>4</v>
      </c>
      <c r="E859" s="81" t="s">
        <v>169</v>
      </c>
      <c r="F859">
        <v>1703006</v>
      </c>
      <c r="G859" s="81" t="s">
        <v>48</v>
      </c>
      <c r="H859" s="81" t="s">
        <v>31</v>
      </c>
      <c r="I859" s="3">
        <v>4</v>
      </c>
      <c r="J859" s="3"/>
      <c r="K859" s="26">
        <v>4</v>
      </c>
      <c r="L859" s="2">
        <v>1662.25</v>
      </c>
      <c r="M859" s="2">
        <v>6649</v>
      </c>
      <c r="N859" s="2">
        <v>6649</v>
      </c>
      <c r="O859" s="2">
        <v>1662</v>
      </c>
      <c r="P859" s="2">
        <v>-0.25</v>
      </c>
      <c r="Q859" s="2">
        <v>-1</v>
      </c>
      <c r="R859" s="4">
        <v>-1.5042117930204573E-4</v>
      </c>
      <c r="T859">
        <v>312317</v>
      </c>
      <c r="U859" s="2"/>
      <c r="V859">
        <v>6000</v>
      </c>
      <c r="W859" s="2">
        <v>6579000000</v>
      </c>
      <c r="X859" s="6">
        <v>6648</v>
      </c>
      <c r="Y859" s="38">
        <v>10010</v>
      </c>
      <c r="Z859" s="86">
        <f>+((DETALLE_GD_1[[#This Row],[VALOR X UN (GD)]]-DETALLE_GD_1[[#This Row],[VALOR PPTO]])/DETALLE_GD_1[[#This Row],[VALOR PPTO]])</f>
        <v>1.5042117930204573E-4</v>
      </c>
      <c r="AA859" s="2">
        <f>+DETALLE_GD_1[[#This Row],[VALOR PPTO]]*DETALLE_GD_1[[#This Row],[CANTIDAD RECIBIDA]]</f>
        <v>6648</v>
      </c>
      <c r="AB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9" s="3">
        <f>+DETALLE_GD_1[[#This Row],[CANTIDAD SOLICITADA]]-DETALLE_GD_1[[#This Row],[DEVOLUCIÓN]]</f>
        <v>4</v>
      </c>
      <c r="AD859" s="38" t="str">
        <f>+_xlfn.XLOOKUP(DETALLE_GD_1[[#This Row],[CODIGO]],PRODUCTOS[CODIGO],PRODUCTOS[DESC CORTA],"",0)</f>
        <v>SIFON LAVAPLATO</v>
      </c>
      <c r="AE859"/>
      <c r="AH859"/>
    </row>
    <row r="860" spans="1:34" x14ac:dyDescent="0.25">
      <c r="A860" s="1">
        <v>46126</v>
      </c>
      <c r="B860" s="1">
        <v>46126</v>
      </c>
      <c r="C860" s="81" t="s">
        <v>169</v>
      </c>
      <c r="D860" s="38">
        <v>4</v>
      </c>
      <c r="E860" s="81" t="s">
        <v>169</v>
      </c>
      <c r="F860">
        <v>1701154</v>
      </c>
      <c r="G860" s="81" t="s">
        <v>713</v>
      </c>
      <c r="H860" s="81" t="s">
        <v>31</v>
      </c>
      <c r="I860" s="3">
        <v>8</v>
      </c>
      <c r="J860" s="3"/>
      <c r="K860" s="26">
        <v>8</v>
      </c>
      <c r="L860" s="2">
        <v>1229.625</v>
      </c>
      <c r="M860" s="2">
        <v>9837</v>
      </c>
      <c r="N860" s="2">
        <v>9837</v>
      </c>
      <c r="O860" s="2">
        <v>1230</v>
      </c>
      <c r="P860" s="2">
        <v>0.375</v>
      </c>
      <c r="Q860" s="2">
        <v>3</v>
      </c>
      <c r="R860" s="4">
        <v>3.048780487804878E-4</v>
      </c>
      <c r="T860">
        <v>312317</v>
      </c>
      <c r="U860" s="2"/>
      <c r="V860">
        <v>6000</v>
      </c>
      <c r="W860" s="2">
        <v>6579000000</v>
      </c>
      <c r="X860" s="6">
        <v>9840</v>
      </c>
      <c r="Y860" s="38">
        <v>10010</v>
      </c>
      <c r="Z860" s="86">
        <f>+((DETALLE_GD_1[[#This Row],[VALOR X UN (GD)]]-DETALLE_GD_1[[#This Row],[VALOR PPTO]])/DETALLE_GD_1[[#This Row],[VALOR PPTO]])</f>
        <v>-3.048780487804878E-4</v>
      </c>
      <c r="AA860" s="2">
        <f>+DETALLE_GD_1[[#This Row],[VALOR PPTO]]*DETALLE_GD_1[[#This Row],[CANTIDAD RECIBIDA]]</f>
        <v>9840</v>
      </c>
      <c r="AB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0" s="3">
        <f>+DETALLE_GD_1[[#This Row],[CANTIDAD SOLICITADA]]-DETALLE_GD_1[[#This Row],[DEVOLUCIÓN]]</f>
        <v>8</v>
      </c>
      <c r="AD860" s="38" t="str">
        <f>+_xlfn.XLOOKUP(DETALLE_GD_1[[#This Row],[CODIGO]],PRODUCTOS[CODIGO],PRODUCTOS[DESC CORTA],"",0)</f>
        <v/>
      </c>
      <c r="AE860"/>
      <c r="AH860"/>
    </row>
    <row r="861" spans="1:34" x14ac:dyDescent="0.25">
      <c r="A861" s="1">
        <v>46126</v>
      </c>
      <c r="B861" s="1">
        <v>46126</v>
      </c>
      <c r="C861" s="81" t="s">
        <v>169</v>
      </c>
      <c r="D861" s="38">
        <v>4</v>
      </c>
      <c r="E861" s="81" t="s">
        <v>169</v>
      </c>
      <c r="F861">
        <v>407795</v>
      </c>
      <c r="G861" s="81" t="s">
        <v>325</v>
      </c>
      <c r="H861" s="81" t="s">
        <v>31</v>
      </c>
      <c r="I861" s="3">
        <v>4</v>
      </c>
      <c r="J861" s="3"/>
      <c r="K861" s="26">
        <v>4</v>
      </c>
      <c r="L861" s="2">
        <v>1611</v>
      </c>
      <c r="M861" s="2">
        <v>6444</v>
      </c>
      <c r="N861" s="2">
        <v>6444</v>
      </c>
      <c r="O861" s="2">
        <v>1610.9336000000001</v>
      </c>
      <c r="P861" s="2">
        <v>-6.6400000000000001E-2</v>
      </c>
      <c r="Q861" s="2">
        <v>-0.2656</v>
      </c>
      <c r="R861" s="4">
        <v>-4.1212126674764554E-5</v>
      </c>
      <c r="T861">
        <v>312317</v>
      </c>
      <c r="U861" s="2"/>
      <c r="V861">
        <v>6000</v>
      </c>
      <c r="W861" s="2">
        <v>6579000000</v>
      </c>
      <c r="X861" s="6">
        <v>6443.7344400000002</v>
      </c>
      <c r="Y861" s="38">
        <v>10010</v>
      </c>
      <c r="Z861" s="86">
        <f>+((DETALLE_GD_1[[#This Row],[VALOR X UN (GD)]]-DETALLE_GD_1[[#This Row],[VALOR PPTO]])/DETALLE_GD_1[[#This Row],[VALOR PPTO]])</f>
        <v>4.1218334511075141E-5</v>
      </c>
      <c r="AA861" s="2">
        <f>+DETALLE_GD_1[[#This Row],[VALOR PPTO]]*DETALLE_GD_1[[#This Row],[CANTIDAD RECIBIDA]]</f>
        <v>6443.7344000000003</v>
      </c>
      <c r="AB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1" s="3">
        <f>+DETALLE_GD_1[[#This Row],[CANTIDAD SOLICITADA]]-DETALLE_GD_1[[#This Row],[DEVOLUCIÓN]]</f>
        <v>4</v>
      </c>
      <c r="AD861" s="38" t="str">
        <f>+_xlfn.XLOOKUP(DETALLE_GD_1[[#This Row],[CODIGO]],PRODUCTOS[CODIGO],PRODUCTOS[DESC CORTA],"",0)</f>
        <v>SET BALCON</v>
      </c>
      <c r="AE861"/>
      <c r="AH861"/>
    </row>
    <row r="862" spans="1:34" x14ac:dyDescent="0.25">
      <c r="A862" s="1">
        <v>46127</v>
      </c>
      <c r="B862" s="1">
        <v>46127</v>
      </c>
      <c r="C862" s="81" t="s">
        <v>169</v>
      </c>
      <c r="D862" s="38">
        <v>4</v>
      </c>
      <c r="E862" s="81" t="s">
        <v>169</v>
      </c>
      <c r="F862" t="s">
        <v>94</v>
      </c>
      <c r="G862" s="81" t="s">
        <v>95</v>
      </c>
      <c r="H862" s="81" t="s">
        <v>31</v>
      </c>
      <c r="I862" s="3">
        <v>8</v>
      </c>
      <c r="J862" s="3"/>
      <c r="K862" s="26">
        <v>8</v>
      </c>
      <c r="L862" s="2">
        <v>3021.25</v>
      </c>
      <c r="M862" s="2">
        <v>24170</v>
      </c>
      <c r="N862" s="2">
        <v>24170</v>
      </c>
      <c r="O862" s="2">
        <v>3021.2829000000002</v>
      </c>
      <c r="P862" s="2">
        <v>3.2899999999999999E-2</v>
      </c>
      <c r="Q862" s="2">
        <v>0.26300000000000001</v>
      </c>
      <c r="R862" s="4">
        <v>1.0879153467497972E-5</v>
      </c>
      <c r="T862">
        <v>312350</v>
      </c>
      <c r="U862" s="2">
        <v>661966</v>
      </c>
      <c r="V862">
        <v>6000</v>
      </c>
      <c r="W862" s="2">
        <v>6579000000</v>
      </c>
      <c r="X862" s="6">
        <v>24170.262952000005</v>
      </c>
      <c r="Y862" s="38">
        <v>10010</v>
      </c>
      <c r="Z862" s="86">
        <f>+((DETALLE_GD_1[[#This Row],[VALOR X UN (GD)]]-DETALLE_GD_1[[#This Row],[VALOR PPTO]])/DETALLE_GD_1[[#This Row],[VALOR PPTO]])</f>
        <v>-1.0889413897703603E-5</v>
      </c>
      <c r="AA862" s="2">
        <f>+DETALLE_GD_1[[#This Row],[VALOR PPTO]]*DETALLE_GD_1[[#This Row],[CANTIDAD RECIBIDA]]</f>
        <v>24170.263200000001</v>
      </c>
      <c r="AB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2" s="3">
        <f>+DETALLE_GD_1[[#This Row],[CANTIDAD SOLICITADA]]-DETALLE_GD_1[[#This Row],[DEVOLUCIÓN]]</f>
        <v>8</v>
      </c>
      <c r="AD862" s="38" t="str">
        <f>+_xlfn.XLOOKUP(DETALLE_GD_1[[#This Row],[CODIGO]],PRODUCTOS[CODIGO],PRODUCTOS[DESC CORTA],"",0)</f>
        <v>TOPE DE PUERTA</v>
      </c>
      <c r="AE862"/>
      <c r="AH862"/>
    </row>
    <row r="863" spans="1:34" x14ac:dyDescent="0.25">
      <c r="A863" s="1">
        <v>46127</v>
      </c>
      <c r="B863" s="1">
        <v>46127</v>
      </c>
      <c r="C863" s="81" t="s">
        <v>169</v>
      </c>
      <c r="D863" s="38">
        <v>4</v>
      </c>
      <c r="E863" s="81" t="s">
        <v>169</v>
      </c>
      <c r="F863">
        <v>1405040</v>
      </c>
      <c r="G863" s="81" t="s">
        <v>451</v>
      </c>
      <c r="H863" s="81" t="s">
        <v>31</v>
      </c>
      <c r="I863" s="3">
        <v>6</v>
      </c>
      <c r="J863" s="3"/>
      <c r="K863" s="26">
        <v>6</v>
      </c>
      <c r="L863" s="2">
        <v>7577.3333000000002</v>
      </c>
      <c r="M863" s="2">
        <v>45464</v>
      </c>
      <c r="N863" s="2">
        <v>45464</v>
      </c>
      <c r="O863" s="2">
        <v>7568</v>
      </c>
      <c r="P863" s="2">
        <v>-9.3332999999999995</v>
      </c>
      <c r="Q863" s="2">
        <v>-56</v>
      </c>
      <c r="R863" s="4">
        <v>-1.233262861169798E-3</v>
      </c>
      <c r="T863">
        <v>312350</v>
      </c>
      <c r="U863" s="2"/>
      <c r="V863">
        <v>6000</v>
      </c>
      <c r="W863" s="2">
        <v>6579000000</v>
      </c>
      <c r="X863" s="6">
        <v>45408</v>
      </c>
      <c r="Y863" s="38">
        <v>10010</v>
      </c>
      <c r="Z863" s="86">
        <f>+((DETALLE_GD_1[[#This Row],[VALOR X UN (GD)]]-DETALLE_GD_1[[#This Row],[VALOR PPTO]])/DETALLE_GD_1[[#This Row],[VALOR PPTO]])</f>
        <v>1.2332584566596505E-3</v>
      </c>
      <c r="AA863" s="2">
        <f>+DETALLE_GD_1[[#This Row],[VALOR PPTO]]*DETALLE_GD_1[[#This Row],[CANTIDAD RECIBIDA]]</f>
        <v>45408</v>
      </c>
      <c r="AB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3" s="3">
        <f>+DETALLE_GD_1[[#This Row],[CANTIDAD SOLICITADA]]-DETALLE_GD_1[[#This Row],[DEVOLUCIÓN]]</f>
        <v>6</v>
      </c>
      <c r="AD863" s="38" t="str">
        <f>+_xlfn.XLOOKUP(DETALLE_GD_1[[#This Row],[CODIGO]],PRODUCTOS[CODIGO],PRODUCTOS[DESC CORTA],"",0)</f>
        <v>CEERRADURA BAÑO 815 TUBULAR</v>
      </c>
      <c r="AE863"/>
      <c r="AH863"/>
    </row>
    <row r="864" spans="1:34" x14ac:dyDescent="0.25">
      <c r="A864" s="1">
        <v>46127</v>
      </c>
      <c r="B864" s="1">
        <v>46127</v>
      </c>
      <c r="C864" s="81" t="s">
        <v>169</v>
      </c>
      <c r="D864" s="38">
        <v>4</v>
      </c>
      <c r="E864" s="81" t="s">
        <v>169</v>
      </c>
      <c r="F864">
        <v>617016</v>
      </c>
      <c r="G864" s="81" t="s">
        <v>133</v>
      </c>
      <c r="H864" s="81" t="s">
        <v>31</v>
      </c>
      <c r="I864" s="3">
        <v>10</v>
      </c>
      <c r="J864" s="3"/>
      <c r="K864" s="26">
        <v>10</v>
      </c>
      <c r="L864" s="2">
        <v>2864.2</v>
      </c>
      <c r="M864" s="2">
        <v>28642</v>
      </c>
      <c r="N864" s="2">
        <v>28642</v>
      </c>
      <c r="O864" s="2">
        <v>2857.5133000000001</v>
      </c>
      <c r="P864" s="2">
        <v>-6.6867000000000001</v>
      </c>
      <c r="Q864" s="2">
        <v>-66.8673</v>
      </c>
      <c r="R864" s="4">
        <v>-2.3400507220180662E-3</v>
      </c>
      <c r="T864">
        <v>312350</v>
      </c>
      <c r="U864" s="2"/>
      <c r="V864">
        <v>6000</v>
      </c>
      <c r="W864" s="2">
        <v>6579000000</v>
      </c>
      <c r="X864" s="6">
        <v>28575.132740000001</v>
      </c>
      <c r="Y864" s="38">
        <v>10010</v>
      </c>
      <c r="Z864" s="86">
        <f>+((DETALLE_GD_1[[#This Row],[VALOR X UN (GD)]]-DETALLE_GD_1[[#This Row],[VALOR PPTO]])/DETALLE_GD_1[[#This Row],[VALOR PPTO]])</f>
        <v>2.3400416019060161E-3</v>
      </c>
      <c r="AA864" s="2">
        <f>+DETALLE_GD_1[[#This Row],[VALOR PPTO]]*DETALLE_GD_1[[#This Row],[CANTIDAD RECIBIDA]]</f>
        <v>28575.133000000002</v>
      </c>
      <c r="AB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4" s="3">
        <f>+DETALLE_GD_1[[#This Row],[CANTIDAD SOLICITADA]]-DETALLE_GD_1[[#This Row],[DEVOLUCIÓN]]</f>
        <v>10</v>
      </c>
      <c r="AD864" s="38" t="str">
        <f>+_xlfn.XLOOKUP(DETALLE_GD_1[[#This Row],[CODIGO]],PRODUCTOS[CODIGO],PRODUCTOS[DESC CORTA],"",0)</f>
        <v>RODILLO CHIPORRO</v>
      </c>
      <c r="AE864"/>
      <c r="AH864"/>
    </row>
    <row r="865" spans="1:34" x14ac:dyDescent="0.25">
      <c r="A865" s="1">
        <v>46127</v>
      </c>
      <c r="B865" s="1">
        <v>46127</v>
      </c>
      <c r="C865" s="81" t="s">
        <v>169</v>
      </c>
      <c r="D865" s="38">
        <v>4</v>
      </c>
      <c r="E865" s="81" t="s">
        <v>169</v>
      </c>
      <c r="F865">
        <v>617057</v>
      </c>
      <c r="G865" s="81" t="s">
        <v>134</v>
      </c>
      <c r="H865" s="81" t="s">
        <v>31</v>
      </c>
      <c r="I865" s="3">
        <v>10</v>
      </c>
      <c r="J865" s="3"/>
      <c r="K865" s="26">
        <v>10</v>
      </c>
      <c r="L865" s="2">
        <v>2042.1</v>
      </c>
      <c r="M865" s="2">
        <v>20421</v>
      </c>
      <c r="N865" s="2">
        <v>20421</v>
      </c>
      <c r="O865" s="2">
        <v>2042.1197</v>
      </c>
      <c r="P865" s="2">
        <v>1.9699999999999999E-2</v>
      </c>
      <c r="Q865" s="2">
        <v>0.1971</v>
      </c>
      <c r="R865" s="4">
        <v>9.6497771125479603E-6</v>
      </c>
      <c r="T865">
        <v>312350</v>
      </c>
      <c r="U865" s="2"/>
      <c r="V865">
        <v>6000</v>
      </c>
      <c r="W865" s="2">
        <v>6579000000</v>
      </c>
      <c r="X865" s="6">
        <v>20421.197059999999</v>
      </c>
      <c r="Y865" s="38">
        <v>10010</v>
      </c>
      <c r="Z865" s="86">
        <f>+((DETALLE_GD_1[[#This Row],[VALOR X UN (GD)]]-DETALLE_GD_1[[#This Row],[VALOR PPTO]])/DETALLE_GD_1[[#This Row],[VALOR PPTO]])</f>
        <v>-9.6468390173490395E-6</v>
      </c>
      <c r="AA865" s="2">
        <f>+DETALLE_GD_1[[#This Row],[VALOR PPTO]]*DETALLE_GD_1[[#This Row],[CANTIDAD RECIBIDA]]</f>
        <v>20421.197</v>
      </c>
      <c r="AB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5" s="3">
        <f>+DETALLE_GD_1[[#This Row],[CANTIDAD SOLICITADA]]-DETALLE_GD_1[[#This Row],[DEVOLUCIÓN]]</f>
        <v>10</v>
      </c>
      <c r="AD865" s="38" t="str">
        <f>+_xlfn.XLOOKUP(DETALLE_GD_1[[#This Row],[CODIGO]],PRODUCTOS[CODIGO],PRODUCTOS[DESC CORTA],"",0)</f>
        <v>BROCHA 5/8 X4</v>
      </c>
      <c r="AE865"/>
      <c r="AH865"/>
    </row>
    <row r="866" spans="1:34" x14ac:dyDescent="0.25">
      <c r="A866" s="1">
        <v>46127</v>
      </c>
      <c r="B866" s="1">
        <v>46127</v>
      </c>
      <c r="C866" s="81" t="s">
        <v>169</v>
      </c>
      <c r="D866" s="38">
        <v>4</v>
      </c>
      <c r="E866" s="81" t="s">
        <v>169</v>
      </c>
      <c r="F866">
        <v>1610023</v>
      </c>
      <c r="G866" s="81" t="s">
        <v>351</v>
      </c>
      <c r="H866" s="81" t="s">
        <v>28</v>
      </c>
      <c r="I866" s="3">
        <v>5</v>
      </c>
      <c r="J866" s="3"/>
      <c r="K866" s="26">
        <v>5</v>
      </c>
      <c r="L866" s="2">
        <v>2278.1999999999998</v>
      </c>
      <c r="M866" s="2">
        <v>11391</v>
      </c>
      <c r="N866" s="2">
        <v>11391</v>
      </c>
      <c r="O866" s="2">
        <v>2109.0585000000001</v>
      </c>
      <c r="P866" s="2">
        <v>-169.14150000000001</v>
      </c>
      <c r="Q866" s="2">
        <v>-845.70730000000003</v>
      </c>
      <c r="R866" s="4">
        <v>-8.0197611698158158E-2</v>
      </c>
      <c r="T866">
        <v>312350</v>
      </c>
      <c r="U866" s="2"/>
      <c r="V866">
        <v>6000</v>
      </c>
      <c r="W866" s="2">
        <v>6579000000</v>
      </c>
      <c r="X866" s="6">
        <v>10545.292710000002</v>
      </c>
      <c r="Y866" s="38">
        <v>10010</v>
      </c>
      <c r="Z866" s="86">
        <f>+((DETALLE_GD_1[[#This Row],[VALOR X UN (GD)]]-DETALLE_GD_1[[#This Row],[VALOR PPTO]])/DETALLE_GD_1[[#This Row],[VALOR PPTO]])</f>
        <v>8.0197633209320524E-2</v>
      </c>
      <c r="AA866" s="2">
        <f>+DETALLE_GD_1[[#This Row],[VALOR PPTO]]*DETALLE_GD_1[[#This Row],[CANTIDAD RECIBIDA]]</f>
        <v>10545.2925</v>
      </c>
      <c r="AB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6" s="3">
        <f>+DETALLE_GD_1[[#This Row],[CANTIDAD SOLICITADA]]-DETALLE_GD_1[[#This Row],[DEVOLUCIÓN]]</f>
        <v>5</v>
      </c>
      <c r="AD866" s="38" t="str">
        <f>+_xlfn.XLOOKUP(DETALLE_GD_1[[#This Row],[CODIGO]],PRODUCTOS[CODIGO],PRODUCTOS[DESC CORTA],"",0)</f>
        <v>TRAPOS DE ASEO</v>
      </c>
      <c r="AE866"/>
      <c r="AH866"/>
    </row>
    <row r="867" spans="1:34" x14ac:dyDescent="0.25">
      <c r="A867" s="1">
        <v>46127</v>
      </c>
      <c r="B867" s="1">
        <v>46127</v>
      </c>
      <c r="C867" s="81" t="s">
        <v>169</v>
      </c>
      <c r="D867" s="38">
        <v>4</v>
      </c>
      <c r="E867" s="81" t="s">
        <v>169</v>
      </c>
      <c r="F867">
        <v>307031</v>
      </c>
      <c r="G867" s="81" t="s">
        <v>65</v>
      </c>
      <c r="H867" s="81" t="s">
        <v>31</v>
      </c>
      <c r="I867" s="3">
        <v>20</v>
      </c>
      <c r="J867" s="3"/>
      <c r="K867" s="26">
        <v>20</v>
      </c>
      <c r="L867" s="2">
        <v>2700</v>
      </c>
      <c r="M867" s="2">
        <v>54000</v>
      </c>
      <c r="N867" s="2">
        <v>54000</v>
      </c>
      <c r="O867" s="2">
        <v>2699.9985999999999</v>
      </c>
      <c r="P867" s="2">
        <v>-1.4E-3</v>
      </c>
      <c r="Q867" s="2">
        <v>-2.7900000000000001E-2</v>
      </c>
      <c r="R867" s="4">
        <v>-5.1666693335944687E-7</v>
      </c>
      <c r="T867">
        <v>312350</v>
      </c>
      <c r="U867" s="2"/>
      <c r="V867">
        <v>6000</v>
      </c>
      <c r="W867" s="2">
        <v>6579000000</v>
      </c>
      <c r="X867" s="6">
        <v>53999.972100000014</v>
      </c>
      <c r="Y867" s="38">
        <v>10010</v>
      </c>
      <c r="Z867" s="86">
        <f>+((DETALLE_GD_1[[#This Row],[VALOR X UN (GD)]]-DETALLE_GD_1[[#This Row],[VALOR PPTO]])/DETALLE_GD_1[[#This Row],[VALOR PPTO]])</f>
        <v>5.1851878741837811E-7</v>
      </c>
      <c r="AA867" s="2">
        <f>+DETALLE_GD_1[[#This Row],[VALOR PPTO]]*DETALLE_GD_1[[#This Row],[CANTIDAD RECIBIDA]]</f>
        <v>53999.971999999994</v>
      </c>
      <c r="AB8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7" s="3">
        <f>+DETALLE_GD_1[[#This Row],[CANTIDAD SOLICITADA]]-DETALLE_GD_1[[#This Row],[DEVOLUCIÓN]]</f>
        <v>20</v>
      </c>
      <c r="AD867" s="38" t="str">
        <f>+_xlfn.XLOOKUP(DETALLE_GD_1[[#This Row],[CODIGO]],PRODUCTOS[CODIGO],PRODUCTOS[DESC CORTA],"",0)</f>
        <v>CORNIZA BLANCA</v>
      </c>
      <c r="AE867"/>
      <c r="AH867"/>
    </row>
    <row r="868" spans="1:34" x14ac:dyDescent="0.25">
      <c r="A868" s="1">
        <v>46127</v>
      </c>
      <c r="B868" s="1">
        <v>46127</v>
      </c>
      <c r="C868" s="81" t="s">
        <v>169</v>
      </c>
      <c r="D868" s="38">
        <v>4</v>
      </c>
      <c r="E868" s="81" t="s">
        <v>169</v>
      </c>
      <c r="F868">
        <v>307096</v>
      </c>
      <c r="G868" s="81" t="s">
        <v>249</v>
      </c>
      <c r="H868" s="81" t="s">
        <v>137</v>
      </c>
      <c r="I868" s="3">
        <v>50</v>
      </c>
      <c r="J868" s="3"/>
      <c r="K868" s="26">
        <v>50</v>
      </c>
      <c r="L868" s="2">
        <v>1795.6</v>
      </c>
      <c r="M868" s="2">
        <v>89780</v>
      </c>
      <c r="N868" s="2">
        <v>89780</v>
      </c>
      <c r="O868" s="2">
        <v>2095.3501000000001</v>
      </c>
      <c r="P868" s="2">
        <v>299.75009999999997</v>
      </c>
      <c r="Q868" s="2">
        <v>14987.5064</v>
      </c>
      <c r="R868" s="4">
        <v>0.14305491232773293</v>
      </c>
      <c r="T868">
        <v>312350</v>
      </c>
      <c r="U868" s="2"/>
      <c r="V868">
        <v>6000</v>
      </c>
      <c r="W868" s="2">
        <v>6579000000</v>
      </c>
      <c r="X868" s="6">
        <v>104767.50644999991</v>
      </c>
      <c r="Y868" s="38">
        <v>10010</v>
      </c>
      <c r="Z868" s="86">
        <f>+((DETALLE_GD_1[[#This Row],[VALOR X UN (GD)]]-DETALLE_GD_1[[#This Row],[VALOR PPTO]])/DETALLE_GD_1[[#This Row],[VALOR PPTO]])</f>
        <v>-0.14305490046746852</v>
      </c>
      <c r="AA868" s="2">
        <f>+DETALLE_GD_1[[#This Row],[VALOR PPTO]]*DETALLE_GD_1[[#This Row],[CANTIDAD RECIBIDA]]</f>
        <v>104767.505</v>
      </c>
      <c r="AB8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68" s="3">
        <f>+DETALLE_GD_1[[#This Row],[CANTIDAD SOLICITADA]]-DETALLE_GD_1[[#This Row],[DEVOLUCIÓN]]</f>
        <v>50</v>
      </c>
      <c r="AD868" s="38" t="str">
        <f>+_xlfn.XLOOKUP(DETALLE_GD_1[[#This Row],[CODIGO]],PRODUCTOS[CODIGO],PRODUCTOS[DESC CORTA],"",0)</f>
        <v>CUBREJUNTA</v>
      </c>
      <c r="AE868"/>
      <c r="AH868"/>
    </row>
    <row r="869" spans="1:34" x14ac:dyDescent="0.25">
      <c r="A869" s="1">
        <v>46127</v>
      </c>
      <c r="B869" s="1">
        <v>46127</v>
      </c>
      <c r="C869" s="81" t="s">
        <v>169</v>
      </c>
      <c r="D869" s="38">
        <v>4</v>
      </c>
      <c r="E869" s="81" t="s">
        <v>169</v>
      </c>
      <c r="F869">
        <v>2508994</v>
      </c>
      <c r="G869" s="81" t="s">
        <v>488</v>
      </c>
      <c r="H869" s="81" t="s">
        <v>31</v>
      </c>
      <c r="I869" s="3">
        <v>3</v>
      </c>
      <c r="J869" s="3"/>
      <c r="K869" s="26">
        <v>3</v>
      </c>
      <c r="L869" s="2">
        <v>1785.3333</v>
      </c>
      <c r="M869" s="2">
        <v>5356</v>
      </c>
      <c r="N869" s="2">
        <v>5356</v>
      </c>
      <c r="O869" s="2">
        <v>1598</v>
      </c>
      <c r="P869" s="2">
        <v>-187.33330000000001</v>
      </c>
      <c r="Q869" s="2">
        <v>-562</v>
      </c>
      <c r="R869" s="4">
        <v>-0.11722987067167288</v>
      </c>
      <c r="T869">
        <v>312350</v>
      </c>
      <c r="U869" s="2"/>
      <c r="V869">
        <v>6000</v>
      </c>
      <c r="W869" s="2">
        <v>6579000000</v>
      </c>
      <c r="X869" s="6">
        <v>4794</v>
      </c>
      <c r="Y869" s="38">
        <v>10010</v>
      </c>
      <c r="Z869" s="86">
        <f>+((DETALLE_GD_1[[#This Row],[VALOR X UN (GD)]]-DETALLE_GD_1[[#This Row],[VALOR PPTO]])/DETALLE_GD_1[[#This Row],[VALOR PPTO]])</f>
        <v>0.11722984981226534</v>
      </c>
      <c r="AA869" s="2">
        <f>+DETALLE_GD_1[[#This Row],[VALOR PPTO]]*DETALLE_GD_1[[#This Row],[CANTIDAD RECIBIDA]]</f>
        <v>4794</v>
      </c>
      <c r="AB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9" s="3">
        <f>+DETALLE_GD_1[[#This Row],[CANTIDAD SOLICITADA]]-DETALLE_GD_1[[#This Row],[DEVOLUCIÓN]]</f>
        <v>3</v>
      </c>
      <c r="AD869" s="38" t="str">
        <f>+_xlfn.XLOOKUP(DETALLE_GD_1[[#This Row],[CODIGO]],PRODUCTOS[CODIGO],PRODUCTOS[DESC CORTA],"",0)</f>
        <v>CUADRADILLO EXPANSION 8X</v>
      </c>
      <c r="AE869"/>
      <c r="AH869"/>
    </row>
    <row r="870" spans="1:34" x14ac:dyDescent="0.25">
      <c r="A870" s="1">
        <v>46127</v>
      </c>
      <c r="B870" s="1">
        <v>46127</v>
      </c>
      <c r="C870" s="81" t="s">
        <v>169</v>
      </c>
      <c r="D870" s="38">
        <v>4</v>
      </c>
      <c r="E870" s="81" t="s">
        <v>169</v>
      </c>
      <c r="F870">
        <v>2508993</v>
      </c>
      <c r="G870" s="81" t="s">
        <v>487</v>
      </c>
      <c r="H870" s="81" t="s">
        <v>31</v>
      </c>
      <c r="I870" s="3">
        <v>3</v>
      </c>
      <c r="J870" s="3"/>
      <c r="K870" s="26">
        <v>3</v>
      </c>
      <c r="L870" s="2">
        <v>1514.3333</v>
      </c>
      <c r="M870" s="2">
        <v>4543</v>
      </c>
      <c r="N870" s="2">
        <v>4543</v>
      </c>
      <c r="O870" s="2">
        <v>1410</v>
      </c>
      <c r="P870" s="2">
        <v>-104.33329999999999</v>
      </c>
      <c r="Q870" s="2">
        <v>-313</v>
      </c>
      <c r="R870" s="4">
        <v>-7.3995271867612233E-2</v>
      </c>
      <c r="T870">
        <v>312350</v>
      </c>
      <c r="U870" s="2"/>
      <c r="V870">
        <v>6000</v>
      </c>
      <c r="W870" s="2">
        <v>6579000000</v>
      </c>
      <c r="X870" s="6">
        <v>4230</v>
      </c>
      <c r="Y870" s="38">
        <v>10010</v>
      </c>
      <c r="Z870" s="86">
        <f>+((DETALLE_GD_1[[#This Row],[VALOR X UN (GD)]]-DETALLE_GD_1[[#This Row],[VALOR PPTO]])/DETALLE_GD_1[[#This Row],[VALOR PPTO]])</f>
        <v>7.3995248226950361E-2</v>
      </c>
      <c r="AA870" s="2">
        <f>+DETALLE_GD_1[[#This Row],[VALOR PPTO]]*DETALLE_GD_1[[#This Row],[CANTIDAD RECIBIDA]]</f>
        <v>4230</v>
      </c>
      <c r="AB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0" s="3">
        <f>+DETALLE_GD_1[[#This Row],[CANTIDAD SOLICITADA]]-DETALLE_GD_1[[#This Row],[DEVOLUCIÓN]]</f>
        <v>3</v>
      </c>
      <c r="AD870" s="38" t="str">
        <f>+_xlfn.XLOOKUP(DETALLE_GD_1[[#This Row],[CODIGO]],PRODUCTOS[CODIGO],PRODUCTOS[DESC CORTA],"",0)</f>
        <v>BOCALLAVE B1 800 ACCESO</v>
      </c>
      <c r="AE870"/>
      <c r="AH870"/>
    </row>
    <row r="871" spans="1:34" x14ac:dyDescent="0.25">
      <c r="A871" s="1">
        <v>46127</v>
      </c>
      <c r="B871" s="1">
        <v>46127</v>
      </c>
      <c r="C871" s="81" t="s">
        <v>169</v>
      </c>
      <c r="D871" s="38">
        <v>4</v>
      </c>
      <c r="E871" s="81" t="s">
        <v>169</v>
      </c>
      <c r="F871">
        <v>2508992</v>
      </c>
      <c r="G871" s="81" t="s">
        <v>486</v>
      </c>
      <c r="H871" s="81" t="s">
        <v>31</v>
      </c>
      <c r="I871" s="3">
        <v>3</v>
      </c>
      <c r="J871" s="3"/>
      <c r="K871" s="26">
        <v>3</v>
      </c>
      <c r="L871" s="2">
        <v>5053</v>
      </c>
      <c r="M871" s="2">
        <v>15159</v>
      </c>
      <c r="N871" s="2">
        <v>15159</v>
      </c>
      <c r="O871" s="2">
        <v>5084</v>
      </c>
      <c r="P871" s="2">
        <v>31</v>
      </c>
      <c r="Q871" s="2">
        <v>93</v>
      </c>
      <c r="R871" s="4">
        <v>6.0975609756097563E-3</v>
      </c>
      <c r="T871">
        <v>312350</v>
      </c>
      <c r="U871" s="2"/>
      <c r="V871">
        <v>6000</v>
      </c>
      <c r="W871" s="2">
        <v>6579000000</v>
      </c>
      <c r="X871" s="6">
        <v>15252</v>
      </c>
      <c r="Y871" s="38">
        <v>10010</v>
      </c>
      <c r="Z871" s="86">
        <f>+((DETALLE_GD_1[[#This Row],[VALOR X UN (GD)]]-DETALLE_GD_1[[#This Row],[VALOR PPTO]])/DETALLE_GD_1[[#This Row],[VALOR PPTO]])</f>
        <v>-6.0975609756097563E-3</v>
      </c>
      <c r="AA871" s="2">
        <f>+DETALLE_GD_1[[#This Row],[VALOR PPTO]]*DETALLE_GD_1[[#This Row],[CANTIDAD RECIBIDA]]</f>
        <v>15252</v>
      </c>
      <c r="AB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1" s="3">
        <f>+DETALLE_GD_1[[#This Row],[CANTIDAD SOLICITADA]]-DETALLE_GD_1[[#This Row],[DEVOLUCIÓN]]</f>
        <v>3</v>
      </c>
      <c r="AD871" s="38" t="str">
        <f>+_xlfn.XLOOKUP(DETALLE_GD_1[[#This Row],[CODIGO]],PRODUCTOS[CODIGO],PRODUCTOS[DESC CORTA],"",0)</f>
        <v>MANILLA JUEGO</v>
      </c>
      <c r="AE871"/>
      <c r="AH871"/>
    </row>
    <row r="872" spans="1:34" x14ac:dyDescent="0.25">
      <c r="A872" s="1">
        <v>46127</v>
      </c>
      <c r="B872" s="1">
        <v>46127</v>
      </c>
      <c r="C872" s="81" t="s">
        <v>169</v>
      </c>
      <c r="D872" s="38">
        <v>4</v>
      </c>
      <c r="E872" s="81" t="s">
        <v>169</v>
      </c>
      <c r="F872">
        <v>2508991</v>
      </c>
      <c r="G872" s="81" t="s">
        <v>485</v>
      </c>
      <c r="H872" s="81" t="s">
        <v>31</v>
      </c>
      <c r="I872" s="3">
        <v>3</v>
      </c>
      <c r="J872" s="3"/>
      <c r="K872" s="26">
        <v>3</v>
      </c>
      <c r="L872" s="2">
        <v>4772.6666999999998</v>
      </c>
      <c r="M872" s="2">
        <v>14318</v>
      </c>
      <c r="N872" s="2">
        <v>14318</v>
      </c>
      <c r="O872" s="2">
        <v>4798</v>
      </c>
      <c r="P872" s="2">
        <v>25.333300000000001</v>
      </c>
      <c r="Q872" s="2">
        <v>76</v>
      </c>
      <c r="R872" s="4">
        <v>5.2799777685145948E-3</v>
      </c>
      <c r="T872">
        <v>312350</v>
      </c>
      <c r="U872" s="2"/>
      <c r="V872">
        <v>6000</v>
      </c>
      <c r="W872" s="2">
        <v>6579000000</v>
      </c>
      <c r="X872" s="6">
        <v>14394</v>
      </c>
      <c r="Y872" s="38">
        <v>10010</v>
      </c>
      <c r="Z872" s="86">
        <f>+((DETALLE_GD_1[[#This Row],[VALOR X UN (GD)]]-DETALLE_GD_1[[#This Row],[VALOR PPTO]])/DETALLE_GD_1[[#This Row],[VALOR PPTO]])</f>
        <v>-5.2799708211755392E-3</v>
      </c>
      <c r="AA872" s="2">
        <f>+DETALLE_GD_1[[#This Row],[VALOR PPTO]]*DETALLE_GD_1[[#This Row],[CANTIDAD RECIBIDA]]</f>
        <v>14394</v>
      </c>
      <c r="AB8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2" s="3">
        <f>+DETALLE_GD_1[[#This Row],[CANTIDAD SOLICITADA]]-DETALLE_GD_1[[#This Row],[DEVOLUCIÓN]]</f>
        <v>3</v>
      </c>
      <c r="AD872" s="38" t="str">
        <f>+_xlfn.XLOOKUP(DETALLE_GD_1[[#This Row],[CODIGO]],PRODUCTOS[CODIGO],PRODUCTOS[DESC CORTA],"",0)</f>
        <v>CILINDRO 03 LLAVE/LLAVE</v>
      </c>
      <c r="AE872"/>
      <c r="AH872"/>
    </row>
    <row r="873" spans="1:34" x14ac:dyDescent="0.25">
      <c r="A873" s="1">
        <v>46127</v>
      </c>
      <c r="B873" s="1">
        <v>46127</v>
      </c>
      <c r="C873" s="81" t="s">
        <v>169</v>
      </c>
      <c r="D873" s="38">
        <v>4</v>
      </c>
      <c r="E873" s="81" t="s">
        <v>169</v>
      </c>
      <c r="F873">
        <v>2508990</v>
      </c>
      <c r="G873" s="81" t="s">
        <v>484</v>
      </c>
      <c r="H873" s="81" t="s">
        <v>31</v>
      </c>
      <c r="I873" s="3">
        <v>3</v>
      </c>
      <c r="J873" s="3"/>
      <c r="K873" s="26">
        <v>3</v>
      </c>
      <c r="L873" s="2">
        <v>6638.6666999999998</v>
      </c>
      <c r="M873" s="2">
        <v>19916</v>
      </c>
      <c r="N873" s="2">
        <v>19916</v>
      </c>
      <c r="O873" s="2">
        <v>6738</v>
      </c>
      <c r="P873" s="2">
        <v>99.333299999999994</v>
      </c>
      <c r="Q873" s="2">
        <v>298</v>
      </c>
      <c r="R873" s="4">
        <v>1.4742257841100182E-2</v>
      </c>
      <c r="T873">
        <v>312350</v>
      </c>
      <c r="U873" s="2"/>
      <c r="V873">
        <v>6000</v>
      </c>
      <c r="W873" s="2">
        <v>6579000000</v>
      </c>
      <c r="X873" s="6">
        <v>20214</v>
      </c>
      <c r="Y873" s="38">
        <v>10010</v>
      </c>
      <c r="Z873" s="86">
        <f>+((DETALLE_GD_1[[#This Row],[VALOR X UN (GD)]]-DETALLE_GD_1[[#This Row],[VALOR PPTO]])/DETALLE_GD_1[[#This Row],[VALOR PPTO]])</f>
        <v>-1.4742252894033872E-2</v>
      </c>
      <c r="AA873" s="2">
        <f>+DETALLE_GD_1[[#This Row],[VALOR PPTO]]*DETALLE_GD_1[[#This Row],[CANTIDAD RECIBIDA]]</f>
        <v>20214</v>
      </c>
      <c r="AB8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3" s="3">
        <f>+DETALLE_GD_1[[#This Row],[CANTIDAD SOLICITADA]]-DETALLE_GD_1[[#This Row],[DEVOLUCIÓN]]</f>
        <v>3</v>
      </c>
      <c r="AD873" s="38" t="str">
        <f>+_xlfn.XLOOKUP(DETALLE_GD_1[[#This Row],[CODIGO]],PRODUCTOS[CODIGO],PRODUCTOS[DESC CORTA],"",0)</f>
        <v>CERRADURA DE EMB</v>
      </c>
      <c r="AE873"/>
      <c r="AH873"/>
    </row>
    <row r="874" spans="1:34" x14ac:dyDescent="0.25">
      <c r="A874" s="1">
        <v>46127</v>
      </c>
      <c r="B874" s="1">
        <v>46127</v>
      </c>
      <c r="C874" s="81" t="s">
        <v>169</v>
      </c>
      <c r="D874" s="38">
        <v>4</v>
      </c>
      <c r="E874" s="81" t="s">
        <v>169</v>
      </c>
      <c r="F874">
        <v>1405025</v>
      </c>
      <c r="G874" s="81" t="s">
        <v>189</v>
      </c>
      <c r="H874" s="81" t="s">
        <v>31</v>
      </c>
      <c r="I874" s="3">
        <v>3</v>
      </c>
      <c r="J874" s="3"/>
      <c r="K874" s="26">
        <v>3</v>
      </c>
      <c r="L874" s="2">
        <v>6980</v>
      </c>
      <c r="M874" s="2">
        <v>20940</v>
      </c>
      <c r="N874" s="2">
        <v>20940</v>
      </c>
      <c r="O874" s="2">
        <v>6758.5333000000001</v>
      </c>
      <c r="P874" s="2">
        <v>-221.4667</v>
      </c>
      <c r="Q874" s="2">
        <v>-664.4</v>
      </c>
      <c r="R874" s="4">
        <v>-3.2768450799619618E-2</v>
      </c>
      <c r="T874">
        <v>312350</v>
      </c>
      <c r="U874" s="2"/>
      <c r="V874">
        <v>6000</v>
      </c>
      <c r="W874" s="2">
        <v>6579000000</v>
      </c>
      <c r="X874" s="6">
        <v>20275.599998999998</v>
      </c>
      <c r="Y874" s="38">
        <v>10010</v>
      </c>
      <c r="Z874" s="86">
        <f>+((DETALLE_GD_1[[#This Row],[VALOR X UN (GD)]]-DETALLE_GD_1[[#This Row],[VALOR PPTO]])/DETALLE_GD_1[[#This Row],[VALOR PPTO]])</f>
        <v>3.2768455842334898E-2</v>
      </c>
      <c r="AA874" s="2">
        <f>+DETALLE_GD_1[[#This Row],[VALOR PPTO]]*DETALLE_GD_1[[#This Row],[CANTIDAD RECIBIDA]]</f>
        <v>20275.599900000001</v>
      </c>
      <c r="AB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4" s="3">
        <f>+DETALLE_GD_1[[#This Row],[CANTIDAD SOLICITADA]]-DETALLE_GD_1[[#This Row],[DEVOLUCIÓN]]</f>
        <v>3</v>
      </c>
      <c r="AD874" s="38">
        <f>+_xlfn.XLOOKUP(DETALLE_GD_1[[#This Row],[CODIGO]],PRODUCTOS[CODIGO],PRODUCTOS[DESC CORTA],"",0)</f>
        <v>0</v>
      </c>
      <c r="AE874"/>
      <c r="AH874"/>
    </row>
    <row r="875" spans="1:34" x14ac:dyDescent="0.25">
      <c r="A875" s="1">
        <v>46127</v>
      </c>
      <c r="B875" s="1">
        <v>46127</v>
      </c>
      <c r="C875" s="81" t="s">
        <v>169</v>
      </c>
      <c r="D875" s="38">
        <v>4</v>
      </c>
      <c r="E875" s="81" t="s">
        <v>169</v>
      </c>
      <c r="F875">
        <v>2508986</v>
      </c>
      <c r="G875" s="81" t="s">
        <v>709</v>
      </c>
      <c r="H875" s="81" t="s">
        <v>90</v>
      </c>
      <c r="I875" s="3">
        <v>1</v>
      </c>
      <c r="J875" s="3"/>
      <c r="K875" s="26">
        <v>1</v>
      </c>
      <c r="L875" s="2">
        <v>102622</v>
      </c>
      <c r="M875" s="2">
        <v>102622</v>
      </c>
      <c r="N875" s="2">
        <v>102622</v>
      </c>
      <c r="O875" s="2"/>
      <c r="P875" s="2"/>
      <c r="Q875" s="2">
        <v>-102622</v>
      </c>
      <c r="R875" s="4"/>
      <c r="T875">
        <v>312350</v>
      </c>
      <c r="U875" s="2"/>
      <c r="V875">
        <v>6000</v>
      </c>
      <c r="W875" s="2">
        <v>6579000000</v>
      </c>
      <c r="X875" s="6" t="s">
        <v>355</v>
      </c>
      <c r="Y875" s="38">
        <v>10010</v>
      </c>
      <c r="Z875" s="86" t="e">
        <f>+((DETALLE_GD_1[[#This Row],[VALOR X UN (GD)]]-DETALLE_GD_1[[#This Row],[VALOR PPTO]])/DETALLE_GD_1[[#This Row],[VALOR PPTO]])</f>
        <v>#DIV/0!</v>
      </c>
      <c r="AA875" s="2">
        <f>+DETALLE_GD_1[[#This Row],[VALOR PPTO]]*DETALLE_GD_1[[#This Row],[CANTIDAD RECIBIDA]]</f>
        <v>0</v>
      </c>
      <c r="AB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5" s="3">
        <f>+DETALLE_GD_1[[#This Row],[CANTIDAD SOLICITADA]]-DETALLE_GD_1[[#This Row],[DEVOLUCIÓN]]</f>
        <v>1</v>
      </c>
      <c r="AD875" s="38" t="str">
        <f>+_xlfn.XLOOKUP(DETALLE_GD_1[[#This Row],[CODIGO]],PRODUCTOS[CODIGO],PRODUCTOS[DESC CORTA],"",0)</f>
        <v/>
      </c>
      <c r="AE875"/>
      <c r="AH875"/>
    </row>
    <row r="876" spans="1:34" x14ac:dyDescent="0.25">
      <c r="A876" s="1">
        <v>46127</v>
      </c>
      <c r="B876" s="1">
        <v>46127</v>
      </c>
      <c r="C876" s="81" t="s">
        <v>169</v>
      </c>
      <c r="D876" s="38">
        <v>4</v>
      </c>
      <c r="E876" s="81" t="s">
        <v>169</v>
      </c>
      <c r="F876">
        <v>2508985</v>
      </c>
      <c r="G876" s="81" t="s">
        <v>304</v>
      </c>
      <c r="H876" s="81" t="s">
        <v>90</v>
      </c>
      <c r="I876" s="3">
        <v>2</v>
      </c>
      <c r="J876" s="3"/>
      <c r="K876" s="26">
        <v>2</v>
      </c>
      <c r="L876" s="2">
        <v>102622</v>
      </c>
      <c r="M876" s="2">
        <v>205244</v>
      </c>
      <c r="N876" s="2">
        <v>205244</v>
      </c>
      <c r="O876" s="2">
        <v>102622</v>
      </c>
      <c r="P876" s="2">
        <v>0</v>
      </c>
      <c r="Q876" s="2">
        <v>0</v>
      </c>
      <c r="R876" s="4">
        <v>0</v>
      </c>
      <c r="T876">
        <v>312350</v>
      </c>
      <c r="U876" s="2"/>
      <c r="V876">
        <v>6000</v>
      </c>
      <c r="W876" s="2">
        <v>6579000000</v>
      </c>
      <c r="X876" s="6">
        <v>205244</v>
      </c>
      <c r="Y876" s="38">
        <v>10010</v>
      </c>
      <c r="Z876" s="86">
        <f>+((DETALLE_GD_1[[#This Row],[VALOR X UN (GD)]]-DETALLE_GD_1[[#This Row],[VALOR PPTO]])/DETALLE_GD_1[[#This Row],[VALOR PPTO]])</f>
        <v>0</v>
      </c>
      <c r="AA876" s="2">
        <f>+DETALLE_GD_1[[#This Row],[VALOR PPTO]]*DETALLE_GD_1[[#This Row],[CANTIDAD RECIBIDA]]</f>
        <v>205244</v>
      </c>
      <c r="AB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6" s="3">
        <f>+DETALLE_GD_1[[#This Row],[CANTIDAD SOLICITADA]]-DETALLE_GD_1[[#This Row],[DEVOLUCIÓN]]</f>
        <v>2</v>
      </c>
      <c r="AD876" s="38" t="str">
        <f>+_xlfn.XLOOKUP(DETALLE_GD_1[[#This Row],[CODIGO]],PRODUCTOS[CODIGO],PRODUCTOS[DESC CORTA],"",0)</f>
        <v>KIT PRECOLGADO</v>
      </c>
      <c r="AE876"/>
      <c r="AH876"/>
    </row>
    <row r="877" spans="1:34" x14ac:dyDescent="0.25">
      <c r="A877" s="1">
        <v>46127</v>
      </c>
      <c r="B877" s="1">
        <v>46127</v>
      </c>
      <c r="C877" s="81" t="s">
        <v>169</v>
      </c>
      <c r="D877" s="38">
        <v>4</v>
      </c>
      <c r="E877" s="81" t="s">
        <v>169</v>
      </c>
      <c r="F877">
        <v>407307</v>
      </c>
      <c r="G877" s="81" t="s">
        <v>163</v>
      </c>
      <c r="H877" s="81" t="s">
        <v>31</v>
      </c>
      <c r="I877" s="3">
        <v>1000</v>
      </c>
      <c r="J877" s="3"/>
      <c r="K877" s="26">
        <v>1000</v>
      </c>
      <c r="L877" s="2">
        <v>68.873000000000005</v>
      </c>
      <c r="M877" s="2">
        <v>68873</v>
      </c>
      <c r="N877" s="2">
        <v>68873</v>
      </c>
      <c r="O877" s="2">
        <v>69.472800000000007</v>
      </c>
      <c r="P877" s="2">
        <v>0.5998</v>
      </c>
      <c r="Q877" s="2">
        <v>599.77499999999998</v>
      </c>
      <c r="R877" s="4">
        <v>8.6332379842318663E-3</v>
      </c>
      <c r="T877">
        <v>312412</v>
      </c>
      <c r="U877" s="2">
        <v>4491098</v>
      </c>
      <c r="V877">
        <v>6000</v>
      </c>
      <c r="W877" s="2">
        <v>6579000000</v>
      </c>
      <c r="X877" s="6">
        <v>69472.774999999994</v>
      </c>
      <c r="Y877" s="38">
        <v>10010</v>
      </c>
      <c r="Z877" s="86">
        <f>+((DETALLE_GD_1[[#This Row],[VALOR X UN (GD)]]-DETALLE_GD_1[[#This Row],[VALOR PPTO]])/DETALLE_GD_1[[#This Row],[VALOR PPTO]])</f>
        <v>-8.6335947305996273E-3</v>
      </c>
      <c r="AA877" s="2">
        <f>+DETALLE_GD_1[[#This Row],[VALOR PPTO]]*DETALLE_GD_1[[#This Row],[CANTIDAD RECIBIDA]]</f>
        <v>69472.800000000003</v>
      </c>
      <c r="AB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7" s="3">
        <f>+DETALLE_GD_1[[#This Row],[CANTIDAD SOLICITADA]]-DETALLE_GD_1[[#This Row],[DEVOLUCIÓN]]</f>
        <v>1000</v>
      </c>
      <c r="AD877" s="38">
        <f>+_xlfn.XLOOKUP(DETALLE_GD_1[[#This Row],[CODIGO]],PRODUCTOS[CODIGO],PRODUCTOS[DESC CORTA],"",0)</f>
        <v>0</v>
      </c>
      <c r="AE877"/>
      <c r="AH877"/>
    </row>
    <row r="878" spans="1:34" x14ac:dyDescent="0.25">
      <c r="A878" s="1">
        <v>46127</v>
      </c>
      <c r="B878" s="1">
        <v>46127</v>
      </c>
      <c r="C878" s="81" t="s">
        <v>169</v>
      </c>
      <c r="D878" s="38">
        <v>4</v>
      </c>
      <c r="E878" s="81" t="s">
        <v>169</v>
      </c>
      <c r="F878">
        <v>1901086</v>
      </c>
      <c r="G878" s="81" t="s">
        <v>279</v>
      </c>
      <c r="H878" s="81" t="s">
        <v>26</v>
      </c>
      <c r="I878" s="3">
        <v>162</v>
      </c>
      <c r="J878" s="3"/>
      <c r="K878" s="26">
        <v>162</v>
      </c>
      <c r="L878" s="2">
        <v>3652.3209999999999</v>
      </c>
      <c r="M878" s="2">
        <v>591676</v>
      </c>
      <c r="N878" s="2">
        <v>591676</v>
      </c>
      <c r="O878" s="2">
        <v>3711.587</v>
      </c>
      <c r="P878" s="2">
        <v>59.266100000000002</v>
      </c>
      <c r="Q878" s="2">
        <v>9601.1005999999998</v>
      </c>
      <c r="R878" s="4">
        <v>1.5967846824282306E-2</v>
      </c>
      <c r="T878">
        <v>312412</v>
      </c>
      <c r="U878" s="2"/>
      <c r="V878">
        <v>6000</v>
      </c>
      <c r="W878" s="2">
        <v>6579000000</v>
      </c>
      <c r="X878" s="6">
        <v>601277.10064200009</v>
      </c>
      <c r="Y878" s="38">
        <v>10010</v>
      </c>
      <c r="Z878" s="86">
        <f>+((DETALLE_GD_1[[#This Row],[VALOR X UN (GD)]]-DETALLE_GD_1[[#This Row],[VALOR PPTO]])/DETALLE_GD_1[[#This Row],[VALOR PPTO]])</f>
        <v>-1.59678326279298E-2</v>
      </c>
      <c r="AA878" s="2">
        <f>+DETALLE_GD_1[[#This Row],[VALOR PPTO]]*DETALLE_GD_1[[#This Row],[CANTIDAD RECIBIDA]]</f>
        <v>601277.09400000004</v>
      </c>
      <c r="AB8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78" s="3">
        <f>+DETALLE_GD_1[[#This Row],[CANTIDAD SOLICITADA]]-DETALLE_GD_1[[#This Row],[DEVOLUCIÓN]]</f>
        <v>162</v>
      </c>
      <c r="AD878" s="38" t="str">
        <f>+_xlfn.XLOOKUP(DETALLE_GD_1[[#This Row],[CODIGO]],PRODUCTOS[CODIGO],PRODUCTOS[DESC CORTA],"",0)</f>
        <v>AISLAN GLASS 140MM</v>
      </c>
      <c r="AE878"/>
      <c r="AH878"/>
    </row>
    <row r="879" spans="1:34" x14ac:dyDescent="0.25">
      <c r="A879" s="1">
        <v>46127</v>
      </c>
      <c r="B879" s="1">
        <v>46127</v>
      </c>
      <c r="C879" s="81" t="s">
        <v>169</v>
      </c>
      <c r="D879" s="38">
        <v>4</v>
      </c>
      <c r="E879" s="81" t="s">
        <v>169</v>
      </c>
      <c r="F879">
        <v>1901038</v>
      </c>
      <c r="G879" s="81" t="s">
        <v>39</v>
      </c>
      <c r="H879" s="81" t="s">
        <v>26</v>
      </c>
      <c r="I879" s="3">
        <v>108</v>
      </c>
      <c r="J879" s="3"/>
      <c r="K879" s="26">
        <v>108</v>
      </c>
      <c r="L879" s="2">
        <v>4480.6574000000001</v>
      </c>
      <c r="M879" s="2">
        <v>483911</v>
      </c>
      <c r="N879" s="2">
        <v>483911</v>
      </c>
      <c r="O879" s="2">
        <v>4197.4179000000004</v>
      </c>
      <c r="P879" s="2">
        <v>-283.23950000000002</v>
      </c>
      <c r="Q879" s="2">
        <v>-30589.869500000001</v>
      </c>
      <c r="R879" s="4">
        <v>-6.7479469722181704E-2</v>
      </c>
      <c r="T879">
        <v>312412</v>
      </c>
      <c r="U879" s="2"/>
      <c r="V879">
        <v>6000</v>
      </c>
      <c r="W879" s="2">
        <v>6579000000</v>
      </c>
      <c r="X879" s="6">
        <v>453321.13050000009</v>
      </c>
      <c r="Y879" s="38">
        <v>10010</v>
      </c>
      <c r="Z879" s="86">
        <f>+((DETALLE_GD_1[[#This Row],[VALOR X UN (GD)]]-DETALLE_GD_1[[#This Row],[VALOR PPTO]])/DETALLE_GD_1[[#This Row],[VALOR PPTO]])</f>
        <v>6.7479461599475155E-2</v>
      </c>
      <c r="AA879" s="2">
        <f>+DETALLE_GD_1[[#This Row],[VALOR PPTO]]*DETALLE_GD_1[[#This Row],[CANTIDAD RECIBIDA]]</f>
        <v>453321.13320000004</v>
      </c>
      <c r="AB8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79" s="3">
        <f>+DETALLE_GD_1[[#This Row],[CANTIDAD SOLICITADA]]-DETALLE_GD_1[[#This Row],[DEVOLUCIÓN]]</f>
        <v>108</v>
      </c>
      <c r="AD879" s="38" t="str">
        <f>+_xlfn.XLOOKUP(DETALLE_GD_1[[#This Row],[CODIGO]],PRODUCTOS[CODIGO],PRODUCTOS[DESC CORTA],"",0)</f>
        <v>AISLAN ROCA 90MM</v>
      </c>
      <c r="AE879"/>
      <c r="AH879"/>
    </row>
    <row r="880" spans="1:34" x14ac:dyDescent="0.25">
      <c r="A880" s="1">
        <v>46127</v>
      </c>
      <c r="B880" s="1">
        <v>46127</v>
      </c>
      <c r="C880" s="81" t="s">
        <v>169</v>
      </c>
      <c r="D880" s="38">
        <v>4</v>
      </c>
      <c r="E880" s="81" t="s">
        <v>169</v>
      </c>
      <c r="F880">
        <v>1901008</v>
      </c>
      <c r="G880" s="81" t="s">
        <v>278</v>
      </c>
      <c r="H880" s="81" t="s">
        <v>26</v>
      </c>
      <c r="I880" s="3">
        <v>270</v>
      </c>
      <c r="J880" s="3"/>
      <c r="K880" s="26">
        <v>270</v>
      </c>
      <c r="L880" s="2">
        <v>2042.8518999999999</v>
      </c>
      <c r="M880" s="2">
        <v>551570</v>
      </c>
      <c r="N880" s="2">
        <v>551570</v>
      </c>
      <c r="O880" s="2">
        <v>2112.7957999999999</v>
      </c>
      <c r="P880" s="2">
        <v>69.943899999999999</v>
      </c>
      <c r="Q880" s="2">
        <v>18884.8603</v>
      </c>
      <c r="R880" s="4">
        <v>3.3104916170010996E-2</v>
      </c>
      <c r="T880">
        <v>312412</v>
      </c>
      <c r="U880" s="2"/>
      <c r="V880">
        <v>6000</v>
      </c>
      <c r="W880" s="2">
        <v>6579000000</v>
      </c>
      <c r="X880" s="6">
        <v>570454.86033000005</v>
      </c>
      <c r="Y880" s="38">
        <v>10010</v>
      </c>
      <c r="Z880" s="86">
        <f>+((DETALLE_GD_1[[#This Row],[VALOR X UN (GD)]]-DETALLE_GD_1[[#This Row],[VALOR PPTO]])/DETALLE_GD_1[[#This Row],[VALOR PPTO]])</f>
        <v>-3.3104902991571636E-2</v>
      </c>
      <c r="AA880" s="2">
        <f>+DETALLE_GD_1[[#This Row],[VALOR PPTO]]*DETALLE_GD_1[[#This Row],[CANTIDAD RECIBIDA]]</f>
        <v>570454.86599999992</v>
      </c>
      <c r="AB8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80" s="3">
        <f>+DETALLE_GD_1[[#This Row],[CANTIDAD SOLICITADA]]-DETALLE_GD_1[[#This Row],[DEVOLUCIÓN]]</f>
        <v>270</v>
      </c>
      <c r="AD880" s="38" t="str">
        <f>+_xlfn.XLOOKUP(DETALLE_GD_1[[#This Row],[CODIGO]],PRODUCTOS[CODIGO],PRODUCTOS[DESC CORTA],"",0)</f>
        <v>AISLAN GLASS 90MM</v>
      </c>
      <c r="AE880"/>
      <c r="AH880"/>
    </row>
    <row r="881" spans="1:34" x14ac:dyDescent="0.25">
      <c r="A881" s="1">
        <v>46127</v>
      </c>
      <c r="B881" s="1">
        <v>46127</v>
      </c>
      <c r="C881" s="81" t="s">
        <v>169</v>
      </c>
      <c r="D881" s="38">
        <v>4</v>
      </c>
      <c r="E881" s="81" t="s">
        <v>169</v>
      </c>
      <c r="F881">
        <v>1902003</v>
      </c>
      <c r="G881" s="81" t="s">
        <v>155</v>
      </c>
      <c r="H881" s="81" t="s">
        <v>47</v>
      </c>
      <c r="I881" s="3">
        <v>1</v>
      </c>
      <c r="J881" s="3"/>
      <c r="K881" s="26">
        <v>1</v>
      </c>
      <c r="L881" s="2">
        <v>150752</v>
      </c>
      <c r="M881" s="2">
        <v>150752</v>
      </c>
      <c r="N881" s="2">
        <v>150752</v>
      </c>
      <c r="O881" s="2">
        <v>150703.9755</v>
      </c>
      <c r="P881" s="2">
        <v>-48.024500000000003</v>
      </c>
      <c r="Q881" s="2">
        <v>-48.024500000000003</v>
      </c>
      <c r="R881" s="4">
        <v>-3.1866803681492077E-4</v>
      </c>
      <c r="T881">
        <v>312412</v>
      </c>
      <c r="U881" s="2"/>
      <c r="V881">
        <v>6000</v>
      </c>
      <c r="W881" s="2">
        <v>6579000000</v>
      </c>
      <c r="X881" s="6">
        <v>150703.97545999996</v>
      </c>
      <c r="Y881" s="38">
        <v>10010</v>
      </c>
      <c r="Z881" s="86">
        <f>+((DETALLE_GD_1[[#This Row],[VALOR X UN (GD)]]-DETALLE_GD_1[[#This Row],[VALOR PPTO]])/DETALLE_GD_1[[#This Row],[VALOR PPTO]])</f>
        <v>3.186677713090557E-4</v>
      </c>
      <c r="AA881" s="2">
        <f>+DETALLE_GD_1[[#This Row],[VALOR PPTO]]*DETALLE_GD_1[[#This Row],[CANTIDAD RECIBIDA]]</f>
        <v>150703.9755</v>
      </c>
      <c r="AB8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1" s="3">
        <f>+DETALLE_GD_1[[#This Row],[CANTIDAD SOLICITADA]]-DETALLE_GD_1[[#This Row],[DEVOLUCIÓN]]</f>
        <v>1</v>
      </c>
      <c r="AD881" s="38">
        <f>+_xlfn.XLOOKUP(DETALLE_GD_1[[#This Row],[CODIGO]],PRODUCTOS[CODIGO],PRODUCTOS[DESC CORTA],"",0)</f>
        <v>0</v>
      </c>
      <c r="AE881"/>
      <c r="AH881"/>
    </row>
    <row r="882" spans="1:34" x14ac:dyDescent="0.25">
      <c r="A882" s="1">
        <v>46127</v>
      </c>
      <c r="B882" s="1">
        <v>46127</v>
      </c>
      <c r="C882" s="81" t="s">
        <v>169</v>
      </c>
      <c r="D882" s="38">
        <v>4</v>
      </c>
      <c r="E882" s="81" t="s">
        <v>169</v>
      </c>
      <c r="F882">
        <v>1902013</v>
      </c>
      <c r="G882" s="81" t="s">
        <v>338</v>
      </c>
      <c r="H882" s="81" t="s">
        <v>47</v>
      </c>
      <c r="I882" s="3">
        <v>10</v>
      </c>
      <c r="J882" s="3"/>
      <c r="K882" s="26">
        <v>10</v>
      </c>
      <c r="L882" s="2">
        <v>39045.300000000003</v>
      </c>
      <c r="M882" s="2">
        <v>390453</v>
      </c>
      <c r="N882" s="2">
        <v>390453</v>
      </c>
      <c r="O882" s="2">
        <v>29779</v>
      </c>
      <c r="P882" s="2">
        <v>-9266.2999999999993</v>
      </c>
      <c r="Q882" s="2">
        <v>-92663</v>
      </c>
      <c r="R882" s="4">
        <v>-0.31116894455824584</v>
      </c>
      <c r="T882">
        <v>312412</v>
      </c>
      <c r="U882" s="2"/>
      <c r="V882">
        <v>6000</v>
      </c>
      <c r="W882" s="2">
        <v>6579000000</v>
      </c>
      <c r="X882" s="6">
        <v>297790</v>
      </c>
      <c r="Y882" s="38">
        <v>10010</v>
      </c>
      <c r="Z882" s="86">
        <f>+((DETALLE_GD_1[[#This Row],[VALOR X UN (GD)]]-DETALLE_GD_1[[#This Row],[VALOR PPTO]])/DETALLE_GD_1[[#This Row],[VALOR PPTO]])</f>
        <v>0.31116894455824584</v>
      </c>
      <c r="AA882" s="2">
        <f>+DETALLE_GD_1[[#This Row],[VALOR PPTO]]*DETALLE_GD_1[[#This Row],[CANTIDAD RECIBIDA]]</f>
        <v>297790</v>
      </c>
      <c r="AB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82" s="3">
        <f>+DETALLE_GD_1[[#This Row],[CANTIDAD SOLICITADA]]-DETALLE_GD_1[[#This Row],[DEVOLUCIÓN]]</f>
        <v>10</v>
      </c>
      <c r="AD882" s="38">
        <f>+_xlfn.XLOOKUP(DETALLE_GD_1[[#This Row],[CODIGO]],PRODUCTOS[CODIGO],PRODUCTOS[DESC CORTA],"",0)</f>
        <v>0</v>
      </c>
      <c r="AE882"/>
      <c r="AH882"/>
    </row>
    <row r="883" spans="1:34" x14ac:dyDescent="0.25">
      <c r="A883" s="1">
        <v>46127</v>
      </c>
      <c r="B883" s="1">
        <v>46127</v>
      </c>
      <c r="C883" s="81" t="s">
        <v>169</v>
      </c>
      <c r="D883" s="38">
        <v>4</v>
      </c>
      <c r="E883" s="81" t="s">
        <v>169</v>
      </c>
      <c r="F883">
        <v>2304016</v>
      </c>
      <c r="G883" s="81" t="s">
        <v>464</v>
      </c>
      <c r="H883" s="81" t="s">
        <v>31</v>
      </c>
      <c r="I883" s="3">
        <v>24</v>
      </c>
      <c r="J883" s="3"/>
      <c r="K883" s="26">
        <v>24</v>
      </c>
      <c r="L883" s="2">
        <v>3479.0417000000002</v>
      </c>
      <c r="M883" s="2">
        <v>83497</v>
      </c>
      <c r="N883" s="2">
        <v>83497</v>
      </c>
      <c r="O883" s="2"/>
      <c r="P883" s="2"/>
      <c r="Q883" s="2">
        <v>-83497</v>
      </c>
      <c r="R883" s="4"/>
      <c r="T883">
        <v>312412</v>
      </c>
      <c r="U883" s="2"/>
      <c r="V883">
        <v>6000</v>
      </c>
      <c r="W883" s="2">
        <v>6579000000</v>
      </c>
      <c r="X883" s="6" t="s">
        <v>355</v>
      </c>
      <c r="Y883" s="38">
        <v>10010</v>
      </c>
      <c r="Z883" s="86" t="e">
        <f>+((DETALLE_GD_1[[#This Row],[VALOR X UN (GD)]]-DETALLE_GD_1[[#This Row],[VALOR PPTO]])/DETALLE_GD_1[[#This Row],[VALOR PPTO]])</f>
        <v>#DIV/0!</v>
      </c>
      <c r="AA883" s="2">
        <f>+DETALLE_GD_1[[#This Row],[VALOR PPTO]]*DETALLE_GD_1[[#This Row],[CANTIDAD RECIBIDA]]</f>
        <v>0</v>
      </c>
      <c r="AB8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3" s="3">
        <f>+DETALLE_GD_1[[#This Row],[CANTIDAD SOLICITADA]]-DETALLE_GD_1[[#This Row],[DEVOLUCIÓN]]</f>
        <v>24</v>
      </c>
      <c r="AD883" s="38" t="str">
        <f>+_xlfn.XLOOKUP(DETALLE_GD_1[[#This Row],[CODIGO]],PRODUCTOS[CODIGO],PRODUCTOS[DESC CORTA],"",0)</f>
        <v/>
      </c>
      <c r="AE883"/>
      <c r="AH883"/>
    </row>
    <row r="884" spans="1:34" x14ac:dyDescent="0.25">
      <c r="A884" s="1">
        <v>46127</v>
      </c>
      <c r="B884" s="1">
        <v>46127</v>
      </c>
      <c r="C884" s="81" t="s">
        <v>169</v>
      </c>
      <c r="D884" s="38">
        <v>4</v>
      </c>
      <c r="E884" s="81" t="s">
        <v>169</v>
      </c>
      <c r="F884">
        <v>2302119</v>
      </c>
      <c r="G884" s="81" t="s">
        <v>74</v>
      </c>
      <c r="H884" s="81" t="s">
        <v>31</v>
      </c>
      <c r="I884" s="3">
        <v>24</v>
      </c>
      <c r="J884" s="3"/>
      <c r="K884" s="26">
        <v>24</v>
      </c>
      <c r="L884" s="2">
        <v>3664.2082999999998</v>
      </c>
      <c r="M884" s="2">
        <v>87941</v>
      </c>
      <c r="N884" s="2">
        <v>87941</v>
      </c>
      <c r="O884" s="2">
        <v>3671</v>
      </c>
      <c r="P884" s="2">
        <v>6.7916999999999996</v>
      </c>
      <c r="Q884" s="2">
        <v>163</v>
      </c>
      <c r="R884" s="4">
        <v>1.8500862616906879E-3</v>
      </c>
      <c r="T884">
        <v>312412</v>
      </c>
      <c r="U884" s="2"/>
      <c r="V884">
        <v>6000</v>
      </c>
      <c r="W884" s="2">
        <v>6579000000</v>
      </c>
      <c r="X884" s="6">
        <v>88104</v>
      </c>
      <c r="Y884" s="38">
        <v>10010</v>
      </c>
      <c r="Z884" s="86">
        <f>+((DETALLE_GD_1[[#This Row],[VALOR X UN (GD)]]-DETALLE_GD_1[[#This Row],[VALOR PPTO]])/DETALLE_GD_1[[#This Row],[VALOR PPTO]])</f>
        <v>-1.8500953418687602E-3</v>
      </c>
      <c r="AA884" s="2">
        <f>+DETALLE_GD_1[[#This Row],[VALOR PPTO]]*DETALLE_GD_1[[#This Row],[CANTIDAD RECIBIDA]]</f>
        <v>88104</v>
      </c>
      <c r="AB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4" s="3">
        <f>+DETALLE_GD_1[[#This Row],[CANTIDAD SOLICITADA]]-DETALLE_GD_1[[#This Row],[DEVOLUCIÓN]]</f>
        <v>24</v>
      </c>
      <c r="AD884" s="38" t="str">
        <f>+_xlfn.XLOOKUP(DETALLE_GD_1[[#This Row],[CODIGO]],PRODUCTOS[CODIGO],PRODUCTOS[DESC CORTA],"",0)</f>
        <v>SELLO</v>
      </c>
      <c r="AE884"/>
      <c r="AH884"/>
    </row>
    <row r="885" spans="1:34" x14ac:dyDescent="0.25">
      <c r="A885" s="1">
        <v>46127</v>
      </c>
      <c r="B885" s="1">
        <v>46127</v>
      </c>
      <c r="C885" s="81" t="s">
        <v>169</v>
      </c>
      <c r="D885" s="38">
        <v>4</v>
      </c>
      <c r="E885" s="81" t="s">
        <v>169</v>
      </c>
      <c r="F885">
        <v>410126</v>
      </c>
      <c r="G885" s="81" t="s">
        <v>159</v>
      </c>
      <c r="H885" s="81" t="s">
        <v>31</v>
      </c>
      <c r="I885" s="3">
        <v>88</v>
      </c>
      <c r="J885" s="3"/>
      <c r="K885" s="26">
        <v>88</v>
      </c>
      <c r="L885" s="2">
        <v>983.85230000000001</v>
      </c>
      <c r="M885" s="2">
        <v>86579</v>
      </c>
      <c r="N885" s="2">
        <v>86579</v>
      </c>
      <c r="O885" s="2">
        <v>983.61890000000005</v>
      </c>
      <c r="P885" s="2">
        <v>-0.2334</v>
      </c>
      <c r="Q885" s="2">
        <v>-20.538499999999999</v>
      </c>
      <c r="R885" s="4">
        <v>-2.3727861652611632E-4</v>
      </c>
      <c r="T885">
        <v>312412</v>
      </c>
      <c r="U885" s="2"/>
      <c r="V885">
        <v>6000</v>
      </c>
      <c r="W885" s="2">
        <v>6579000000</v>
      </c>
      <c r="X885" s="6">
        <v>86558.461528000014</v>
      </c>
      <c r="Y885" s="38">
        <v>10010</v>
      </c>
      <c r="Z885" s="86">
        <f>+((DETALLE_GD_1[[#This Row],[VALOR X UN (GD)]]-DETALLE_GD_1[[#This Row],[VALOR PPTO]])/DETALLE_GD_1[[#This Row],[VALOR PPTO]])</f>
        <v>2.3728702244330655E-4</v>
      </c>
      <c r="AA885" s="2">
        <f>+DETALLE_GD_1[[#This Row],[VALOR PPTO]]*DETALLE_GD_1[[#This Row],[CANTIDAD RECIBIDA]]</f>
        <v>86558.463199999998</v>
      </c>
      <c r="AB8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5" s="3">
        <f>+DETALLE_GD_1[[#This Row],[CANTIDAD SOLICITADA]]-DETALLE_GD_1[[#This Row],[DEVOLUCIÓN]]</f>
        <v>88</v>
      </c>
      <c r="AD885" s="38">
        <f>+_xlfn.XLOOKUP(DETALLE_GD_1[[#This Row],[CODIGO]],PRODUCTOS[CODIGO],PRODUCTOS[DESC CORTA],"",0)</f>
        <v>0</v>
      </c>
      <c r="AE885"/>
      <c r="AH885"/>
    </row>
    <row r="886" spans="1:34" x14ac:dyDescent="0.25">
      <c r="A886" s="1">
        <v>46127</v>
      </c>
      <c r="B886" s="1">
        <v>46127</v>
      </c>
      <c r="C886" s="81" t="s">
        <v>169</v>
      </c>
      <c r="D886" s="38">
        <v>4</v>
      </c>
      <c r="E886" s="81" t="s">
        <v>169</v>
      </c>
      <c r="F886">
        <v>410046</v>
      </c>
      <c r="G886" s="81" t="s">
        <v>361</v>
      </c>
      <c r="H886" s="81" t="s">
        <v>31</v>
      </c>
      <c r="I886" s="3">
        <v>129</v>
      </c>
      <c r="J886" s="3"/>
      <c r="K886" s="26">
        <v>129</v>
      </c>
      <c r="L886" s="2">
        <v>746</v>
      </c>
      <c r="M886" s="2">
        <v>96234</v>
      </c>
      <c r="N886" s="2">
        <v>96234</v>
      </c>
      <c r="O886" s="2">
        <v>746</v>
      </c>
      <c r="P886" s="2">
        <v>0</v>
      </c>
      <c r="Q886" s="2">
        <v>0</v>
      </c>
      <c r="R886" s="4">
        <v>0</v>
      </c>
      <c r="T886">
        <v>312412</v>
      </c>
      <c r="U886" s="2"/>
      <c r="V886">
        <v>6000</v>
      </c>
      <c r="W886" s="2">
        <v>6579000000</v>
      </c>
      <c r="X886" s="6">
        <v>96234</v>
      </c>
      <c r="Y886" s="38">
        <v>10010</v>
      </c>
      <c r="Z886" s="86">
        <f>+((DETALLE_GD_1[[#This Row],[VALOR X UN (GD)]]-DETALLE_GD_1[[#This Row],[VALOR PPTO]])/DETALLE_GD_1[[#This Row],[VALOR PPTO]])</f>
        <v>0</v>
      </c>
      <c r="AA886" s="2">
        <f>+DETALLE_GD_1[[#This Row],[VALOR PPTO]]*DETALLE_GD_1[[#This Row],[CANTIDAD RECIBIDA]]</f>
        <v>96234</v>
      </c>
      <c r="AB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6" s="3">
        <f>+DETALLE_GD_1[[#This Row],[CANTIDAD SOLICITADA]]-DETALLE_GD_1[[#This Row],[DEVOLUCIÓN]]</f>
        <v>129</v>
      </c>
      <c r="AD886" s="38">
        <f>+_xlfn.XLOOKUP(DETALLE_GD_1[[#This Row],[CODIGO]],PRODUCTOS[CODIGO],PRODUCTOS[DESC CORTA],"",0)</f>
        <v>0</v>
      </c>
      <c r="AE886"/>
      <c r="AH886"/>
    </row>
    <row r="887" spans="1:34" x14ac:dyDescent="0.25">
      <c r="A887" s="1">
        <v>46127</v>
      </c>
      <c r="B887" s="1">
        <v>46127</v>
      </c>
      <c r="C887" s="81" t="s">
        <v>169</v>
      </c>
      <c r="D887" s="38">
        <v>4</v>
      </c>
      <c r="E887" s="81" t="s">
        <v>169</v>
      </c>
      <c r="F887">
        <v>410045</v>
      </c>
      <c r="G887" s="81" t="s">
        <v>110</v>
      </c>
      <c r="H887" s="81" t="s">
        <v>31</v>
      </c>
      <c r="I887" s="3">
        <v>232</v>
      </c>
      <c r="J887" s="3"/>
      <c r="K887" s="26">
        <v>232</v>
      </c>
      <c r="L887" s="2">
        <v>346.90519999999998</v>
      </c>
      <c r="M887" s="2">
        <v>80482</v>
      </c>
      <c r="N887" s="2">
        <v>80482</v>
      </c>
      <c r="O887" s="2">
        <v>368.00139999999999</v>
      </c>
      <c r="P887" s="2">
        <v>21.0962</v>
      </c>
      <c r="Q887" s="2">
        <v>4894.3158000000003</v>
      </c>
      <c r="R887" s="4">
        <v>5.7326387404873863E-2</v>
      </c>
      <c r="T887">
        <v>312412</v>
      </c>
      <c r="U887" s="2"/>
      <c r="V887">
        <v>6000</v>
      </c>
      <c r="W887" s="2">
        <v>6579000000</v>
      </c>
      <c r="X887" s="6">
        <v>85376.31575199998</v>
      </c>
      <c r="Y887" s="38">
        <v>10010</v>
      </c>
      <c r="Z887" s="86">
        <f>+((DETALLE_GD_1[[#This Row],[VALOR X UN (GD)]]-DETALLE_GD_1[[#This Row],[VALOR PPTO]])/DETALLE_GD_1[[#This Row],[VALOR PPTO]])</f>
        <v>-5.7326412345170455E-2</v>
      </c>
      <c r="AA887" s="2">
        <f>+DETALLE_GD_1[[#This Row],[VALOR PPTO]]*DETALLE_GD_1[[#This Row],[CANTIDAD RECIBIDA]]</f>
        <v>85376.324800000002</v>
      </c>
      <c r="AB8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7" s="3">
        <f>+DETALLE_GD_1[[#This Row],[CANTIDAD SOLICITADA]]-DETALLE_GD_1[[#This Row],[DEVOLUCIÓN]]</f>
        <v>232</v>
      </c>
      <c r="AD887" s="38" t="str">
        <f>+_xlfn.XLOOKUP(DETALLE_GD_1[[#This Row],[CODIGO]],PRODUCTOS[CODIGO],PRODUCTOS[DESC CORTA],"",0)</f>
        <v>CONECTOR DENTADO</v>
      </c>
      <c r="AE887"/>
      <c r="AH887"/>
    </row>
    <row r="888" spans="1:34" x14ac:dyDescent="0.25">
      <c r="A888" s="1">
        <v>46127</v>
      </c>
      <c r="B888" s="1">
        <v>46127</v>
      </c>
      <c r="C888" s="81" t="s">
        <v>169</v>
      </c>
      <c r="D888" s="38">
        <v>4</v>
      </c>
      <c r="E888" s="81" t="s">
        <v>169</v>
      </c>
      <c r="F888">
        <v>701043</v>
      </c>
      <c r="G888" s="81" t="s">
        <v>197</v>
      </c>
      <c r="H888" s="81" t="s">
        <v>18</v>
      </c>
      <c r="I888" s="3">
        <v>80</v>
      </c>
      <c r="J888" s="3"/>
      <c r="K888" s="26">
        <v>80</v>
      </c>
      <c r="L888" s="2">
        <v>22739.125</v>
      </c>
      <c r="M888" s="2">
        <v>1819130</v>
      </c>
      <c r="N888" s="2">
        <v>1819130</v>
      </c>
      <c r="O888" s="2">
        <v>22146.362799999999</v>
      </c>
      <c r="P888" s="2">
        <v>-592.76220000000001</v>
      </c>
      <c r="Q888" s="2">
        <v>-47420.978199999998</v>
      </c>
      <c r="R888" s="4">
        <v>-2.6765669564007971E-2</v>
      </c>
      <c r="T888">
        <v>312412</v>
      </c>
      <c r="U888" s="2"/>
      <c r="V888">
        <v>6000</v>
      </c>
      <c r="W888" s="2">
        <v>6579000000</v>
      </c>
      <c r="X888" s="6">
        <v>1771709.0217599999</v>
      </c>
      <c r="Y888" s="38">
        <v>10010</v>
      </c>
      <c r="Z888" s="86">
        <f>+((DETALLE_GD_1[[#This Row],[VALOR X UN (GD)]]-DETALLE_GD_1[[#This Row],[VALOR PPTO]])/DETALLE_GD_1[[#This Row],[VALOR PPTO]])</f>
        <v>2.6765668265851812E-2</v>
      </c>
      <c r="AA888" s="2">
        <f>+DETALLE_GD_1[[#This Row],[VALOR PPTO]]*DETALLE_GD_1[[#This Row],[CANTIDAD RECIBIDA]]</f>
        <v>1771709.024</v>
      </c>
      <c r="AB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88" s="3">
        <f>+DETALLE_GD_1[[#This Row],[CANTIDAD SOLICITADA]]-DETALLE_GD_1[[#This Row],[DEVOLUCIÓN]]</f>
        <v>80</v>
      </c>
      <c r="AD888" s="38" t="str">
        <f>+_xlfn.XLOOKUP(DETALLE_GD_1[[#This Row],[CODIGO]],PRODUCTOS[CODIGO],PRODUCTOS[DESC CORTA],"",0)</f>
        <v>VOLCANITA EMPAPELADA CIELO</v>
      </c>
      <c r="AE888"/>
      <c r="AH888"/>
    </row>
    <row r="889" spans="1:34" x14ac:dyDescent="0.25">
      <c r="A889" s="1">
        <v>46128</v>
      </c>
      <c r="B889" s="1">
        <v>46128</v>
      </c>
      <c r="C889" s="81" t="s">
        <v>169</v>
      </c>
      <c r="D889" s="38">
        <v>4</v>
      </c>
      <c r="E889" s="81" t="s">
        <v>169</v>
      </c>
      <c r="F889">
        <v>304002</v>
      </c>
      <c r="G889" s="81" t="s">
        <v>37</v>
      </c>
      <c r="H889" s="81" t="s">
        <v>18</v>
      </c>
      <c r="I889" s="3">
        <v>72</v>
      </c>
      <c r="J889" s="3"/>
      <c r="K889" s="26">
        <v>72</v>
      </c>
      <c r="L889" s="2">
        <v>21611.375</v>
      </c>
      <c r="M889" s="2">
        <v>1556019</v>
      </c>
      <c r="N889" s="2">
        <v>1556019</v>
      </c>
      <c r="O889" s="2">
        <v>21246.5072</v>
      </c>
      <c r="P889" s="2">
        <v>-364.86779999999999</v>
      </c>
      <c r="Q889" s="2">
        <v>-26270.485000000001</v>
      </c>
      <c r="R889" s="4">
        <v>-1.7173074349233843E-2</v>
      </c>
      <c r="T889">
        <v>312565</v>
      </c>
      <c r="U889" s="2">
        <v>2189074</v>
      </c>
      <c r="V889">
        <v>6000</v>
      </c>
      <c r="W889" s="2">
        <v>6579000000</v>
      </c>
      <c r="X889" s="6">
        <v>1529748.5150160005</v>
      </c>
      <c r="Y889" s="38">
        <v>10010</v>
      </c>
      <c r="Z889" s="86">
        <f>+((DETALLE_GD_1[[#This Row],[VALOR X UN (GD)]]-DETALLE_GD_1[[#This Row],[VALOR PPTO]])/DETALLE_GD_1[[#This Row],[VALOR PPTO]])</f>
        <v>1.7173072099116601E-2</v>
      </c>
      <c r="AA889" s="2">
        <f>+DETALLE_GD_1[[#This Row],[VALOR PPTO]]*DETALLE_GD_1[[#This Row],[CANTIDAD RECIBIDA]]</f>
        <v>1529748.5183999999</v>
      </c>
      <c r="AB8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89" s="3">
        <f>+DETALLE_GD_1[[#This Row],[CANTIDAD SOLICITADA]]-DETALLE_GD_1[[#This Row],[DEVOLUCIÓN]]</f>
        <v>72</v>
      </c>
      <c r="AD889" s="38" t="str">
        <f>+_xlfn.XLOOKUP(DETALLE_GD_1[[#This Row],[CODIGO]],PRODUCTOS[CODIGO],PRODUCTOS[DESC CORTA],"",0)</f>
        <v>SMARTPANEL</v>
      </c>
      <c r="AE889"/>
      <c r="AG889" s="3"/>
      <c r="AH889"/>
    </row>
    <row r="890" spans="1:34" x14ac:dyDescent="0.25">
      <c r="A890" s="1">
        <v>46128</v>
      </c>
      <c r="B890" s="1">
        <v>46128</v>
      </c>
      <c r="C890" s="81" t="s">
        <v>169</v>
      </c>
      <c r="D890" s="38">
        <v>4</v>
      </c>
      <c r="E890" s="81" t="s">
        <v>169</v>
      </c>
      <c r="F890">
        <v>307096</v>
      </c>
      <c r="G890" s="81" t="s">
        <v>249</v>
      </c>
      <c r="H890" s="81" t="s">
        <v>137</v>
      </c>
      <c r="I890" s="3">
        <v>2</v>
      </c>
      <c r="J890" s="3"/>
      <c r="K890" s="26">
        <v>2</v>
      </c>
      <c r="L890" s="2">
        <v>1795.5</v>
      </c>
      <c r="M890" s="2">
        <v>3591</v>
      </c>
      <c r="N890" s="2">
        <v>3591</v>
      </c>
      <c r="O890" s="2">
        <v>2095.3501000000001</v>
      </c>
      <c r="P890" s="2">
        <v>299.8501</v>
      </c>
      <c r="Q890" s="2">
        <v>599.70029999999997</v>
      </c>
      <c r="R890" s="4">
        <v>0.14310263704858786</v>
      </c>
      <c r="T890">
        <v>312565</v>
      </c>
      <c r="U890" s="2"/>
      <c r="V890">
        <v>6000</v>
      </c>
      <c r="W890" s="2">
        <v>6579000000</v>
      </c>
      <c r="X890" s="6">
        <v>4190.7002579999971</v>
      </c>
      <c r="Y890" s="38">
        <v>10010</v>
      </c>
      <c r="Z890" s="86">
        <f>+((DETALLE_GD_1[[#This Row],[VALOR X UN (GD)]]-DETALLE_GD_1[[#This Row],[VALOR PPTO]])/DETALLE_GD_1[[#This Row],[VALOR PPTO]])</f>
        <v>-0.14310262518898398</v>
      </c>
      <c r="AA890" s="2">
        <f>+DETALLE_GD_1[[#This Row],[VALOR PPTO]]*DETALLE_GD_1[[#This Row],[CANTIDAD RECIBIDA]]</f>
        <v>4190.7002000000002</v>
      </c>
      <c r="AB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90" s="3">
        <f>+DETALLE_GD_1[[#This Row],[CANTIDAD SOLICITADA]]-DETALLE_GD_1[[#This Row],[DEVOLUCIÓN]]</f>
        <v>2</v>
      </c>
      <c r="AD890" s="38" t="str">
        <f>+_xlfn.XLOOKUP(DETALLE_GD_1[[#This Row],[CODIGO]],PRODUCTOS[CODIGO],PRODUCTOS[DESC CORTA],"",0)</f>
        <v>CUBREJUNTA</v>
      </c>
      <c r="AE890"/>
      <c r="AG890" s="3"/>
      <c r="AH890"/>
    </row>
    <row r="891" spans="1:34" x14ac:dyDescent="0.25">
      <c r="A891" s="1">
        <v>46128</v>
      </c>
      <c r="B891" s="1">
        <v>46128</v>
      </c>
      <c r="C891" s="81" t="s">
        <v>169</v>
      </c>
      <c r="D891" s="38">
        <v>4</v>
      </c>
      <c r="E891" s="81" t="s">
        <v>169</v>
      </c>
      <c r="F891">
        <v>704021</v>
      </c>
      <c r="G891" s="81" t="s">
        <v>329</v>
      </c>
      <c r="H891" s="81" t="s">
        <v>31</v>
      </c>
      <c r="I891" s="3">
        <v>30</v>
      </c>
      <c r="J891" s="3"/>
      <c r="K891" s="26">
        <v>30</v>
      </c>
      <c r="L891" s="2">
        <v>487</v>
      </c>
      <c r="M891" s="2">
        <v>14610</v>
      </c>
      <c r="N891" s="2">
        <v>14610</v>
      </c>
      <c r="O891" s="2">
        <v>487</v>
      </c>
      <c r="P891" s="2">
        <v>0</v>
      </c>
      <c r="Q891" s="2">
        <v>0</v>
      </c>
      <c r="R891" s="4">
        <v>0</v>
      </c>
      <c r="T891">
        <v>312565</v>
      </c>
      <c r="U891" s="2"/>
      <c r="V891">
        <v>6000</v>
      </c>
      <c r="W891" s="2">
        <v>6579000000</v>
      </c>
      <c r="X891" s="6">
        <v>14610</v>
      </c>
      <c r="Y891" s="38">
        <v>10010</v>
      </c>
      <c r="Z891" s="86">
        <f>+((DETALLE_GD_1[[#This Row],[VALOR X UN (GD)]]-DETALLE_GD_1[[#This Row],[VALOR PPTO]])/DETALLE_GD_1[[#This Row],[VALOR PPTO]])</f>
        <v>0</v>
      </c>
      <c r="AA891" s="2">
        <f>+DETALLE_GD_1[[#This Row],[VALOR PPTO]]*DETALLE_GD_1[[#This Row],[CANTIDAD RECIBIDA]]</f>
        <v>14610</v>
      </c>
      <c r="AB8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1" s="3">
        <f>+DETALLE_GD_1[[#This Row],[CANTIDAD SOLICITADA]]-DETALLE_GD_1[[#This Row],[DEVOLUCIÓN]]</f>
        <v>30</v>
      </c>
      <c r="AD891" s="38" t="str">
        <f>+_xlfn.XLOOKUP(DETALLE_GD_1[[#This Row],[CODIGO]],PRODUCTOS[CODIGO],PRODUCTOS[DESC CORTA],"",0)</f>
        <v>ESQUINERO PILASTRA PVC</v>
      </c>
      <c r="AE891"/>
      <c r="AG891" s="3"/>
      <c r="AH891"/>
    </row>
    <row r="892" spans="1:34" x14ac:dyDescent="0.25">
      <c r="A892" s="1">
        <v>46128</v>
      </c>
      <c r="B892" s="1">
        <v>46128</v>
      </c>
      <c r="C892" s="81" t="s">
        <v>169</v>
      </c>
      <c r="D892" s="38">
        <v>4</v>
      </c>
      <c r="E892" s="81" t="s">
        <v>169</v>
      </c>
      <c r="F892">
        <v>602255</v>
      </c>
      <c r="G892" s="81" t="s">
        <v>203</v>
      </c>
      <c r="H892" s="81" t="s">
        <v>25</v>
      </c>
      <c r="I892" s="3">
        <v>3</v>
      </c>
      <c r="J892" s="3"/>
      <c r="K892" s="26">
        <v>3</v>
      </c>
      <c r="L892" s="2">
        <v>47890</v>
      </c>
      <c r="M892" s="2">
        <v>143670</v>
      </c>
      <c r="N892" s="2">
        <v>143670</v>
      </c>
      <c r="O892" s="2">
        <v>47889.5</v>
      </c>
      <c r="P892" s="2">
        <v>-0.5</v>
      </c>
      <c r="Q892" s="2">
        <v>-1.5</v>
      </c>
      <c r="R892" s="4">
        <v>-1.0440702032804683E-5</v>
      </c>
      <c r="T892">
        <v>312565</v>
      </c>
      <c r="U892" s="2"/>
      <c r="V892">
        <v>6000</v>
      </c>
      <c r="W892" s="2">
        <v>6579000000</v>
      </c>
      <c r="X892" s="6">
        <v>143668.5</v>
      </c>
      <c r="Y892" s="38">
        <v>10010</v>
      </c>
      <c r="Z892" s="86">
        <f>+((DETALLE_GD_1[[#This Row],[VALOR X UN (GD)]]-DETALLE_GD_1[[#This Row],[VALOR PPTO]])/DETALLE_GD_1[[#This Row],[VALOR PPTO]])</f>
        <v>1.0440702032804685E-5</v>
      </c>
      <c r="AA892" s="2">
        <f>+DETALLE_GD_1[[#This Row],[VALOR PPTO]]*DETALLE_GD_1[[#This Row],[CANTIDAD RECIBIDA]]</f>
        <v>143668.5</v>
      </c>
      <c r="AB8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2" s="3">
        <f>+DETALLE_GD_1[[#This Row],[CANTIDAD SOLICITADA]]-DETALLE_GD_1[[#This Row],[DEVOLUCIÓN]]</f>
        <v>3</v>
      </c>
      <c r="AD892" s="38">
        <f>+_xlfn.XLOOKUP(DETALLE_GD_1[[#This Row],[CODIGO]],PRODUCTOS[CODIGO],PRODUCTOS[DESC CORTA],"",0)</f>
        <v>0</v>
      </c>
      <c r="AE892"/>
      <c r="AG892" s="3"/>
      <c r="AH892"/>
    </row>
    <row r="893" spans="1:34" x14ac:dyDescent="0.25">
      <c r="A893" s="1">
        <v>46128</v>
      </c>
      <c r="B893" s="1">
        <v>46128</v>
      </c>
      <c r="C893" s="81" t="s">
        <v>169</v>
      </c>
      <c r="D893" s="38">
        <v>4</v>
      </c>
      <c r="E893" s="81" t="s">
        <v>169</v>
      </c>
      <c r="F893">
        <v>602254</v>
      </c>
      <c r="G893" s="81" t="s">
        <v>214</v>
      </c>
      <c r="H893" s="81" t="s">
        <v>25</v>
      </c>
      <c r="I893" s="3">
        <v>3</v>
      </c>
      <c r="J893" s="3"/>
      <c r="K893" s="26">
        <v>3</v>
      </c>
      <c r="L893" s="2">
        <v>46060</v>
      </c>
      <c r="M893" s="2">
        <v>138180</v>
      </c>
      <c r="N893" s="2">
        <v>138180</v>
      </c>
      <c r="O893" s="2">
        <v>46060</v>
      </c>
      <c r="P893" s="2">
        <v>0</v>
      </c>
      <c r="Q893" s="2">
        <v>0</v>
      </c>
      <c r="R893" s="4">
        <v>0</v>
      </c>
      <c r="T893">
        <v>312565</v>
      </c>
      <c r="U893" s="2"/>
      <c r="V893">
        <v>6000</v>
      </c>
      <c r="W893" s="2">
        <v>6579000000</v>
      </c>
      <c r="X893" s="6">
        <v>138180</v>
      </c>
      <c r="Y893" s="38">
        <v>10010</v>
      </c>
      <c r="Z893" s="86">
        <f>+((DETALLE_GD_1[[#This Row],[VALOR X UN (GD)]]-DETALLE_GD_1[[#This Row],[VALOR PPTO]])/DETALLE_GD_1[[#This Row],[VALOR PPTO]])</f>
        <v>0</v>
      </c>
      <c r="AA893" s="2">
        <f>+DETALLE_GD_1[[#This Row],[VALOR PPTO]]*DETALLE_GD_1[[#This Row],[CANTIDAD RECIBIDA]]</f>
        <v>138180</v>
      </c>
      <c r="AB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3" s="3">
        <f>+DETALLE_GD_1[[#This Row],[CANTIDAD SOLICITADA]]-DETALLE_GD_1[[#This Row],[DEVOLUCIÓN]]</f>
        <v>3</v>
      </c>
      <c r="AD893" s="38">
        <f>+_xlfn.XLOOKUP(DETALLE_GD_1[[#This Row],[CODIGO]],PRODUCTOS[CODIGO],PRODUCTOS[DESC CORTA],"",0)</f>
        <v>0</v>
      </c>
      <c r="AE893"/>
      <c r="AG893" s="3"/>
      <c r="AH893"/>
    </row>
    <row r="894" spans="1:34" x14ac:dyDescent="0.25">
      <c r="A894" s="1">
        <v>46128</v>
      </c>
      <c r="B894" s="1">
        <v>46128</v>
      </c>
      <c r="C894" s="81" t="s">
        <v>169</v>
      </c>
      <c r="D894" s="38">
        <v>4</v>
      </c>
      <c r="E894" s="81" t="s">
        <v>169</v>
      </c>
      <c r="F894">
        <v>2505058</v>
      </c>
      <c r="G894" s="81" t="s">
        <v>142</v>
      </c>
      <c r="H894" s="81" t="s">
        <v>31</v>
      </c>
      <c r="I894" s="3">
        <v>9</v>
      </c>
      <c r="J894" s="3"/>
      <c r="K894" s="26">
        <v>9</v>
      </c>
      <c r="L894" s="2">
        <v>16650.4444</v>
      </c>
      <c r="M894" s="2">
        <v>149854</v>
      </c>
      <c r="N894" s="2">
        <v>149854</v>
      </c>
      <c r="O894" s="2">
        <v>17870.144100000001</v>
      </c>
      <c r="P894" s="2">
        <v>1219.6995999999999</v>
      </c>
      <c r="Q894" s="2">
        <v>10977.2966</v>
      </c>
      <c r="R894" s="4">
        <v>6.8253485753350343E-2</v>
      </c>
      <c r="T894">
        <v>312565</v>
      </c>
      <c r="U894" s="2"/>
      <c r="V894">
        <v>6000</v>
      </c>
      <c r="W894" s="2">
        <v>6579000000</v>
      </c>
      <c r="X894" s="6">
        <v>160831.29661200001</v>
      </c>
      <c r="Y894" s="38">
        <v>10010</v>
      </c>
      <c r="Z894" s="86">
        <f>+((DETALLE_GD_1[[#This Row],[VALOR X UN (GD)]]-DETALLE_GD_1[[#This Row],[VALOR PPTO]])/DETALLE_GD_1[[#This Row],[VALOR PPTO]])</f>
        <v>-6.8253489908903467E-2</v>
      </c>
      <c r="AA894" s="2">
        <f>+DETALLE_GD_1[[#This Row],[VALOR PPTO]]*DETALLE_GD_1[[#This Row],[CANTIDAD RECIBIDA]]</f>
        <v>160831.29690000002</v>
      </c>
      <c r="AB8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4" s="3">
        <f>+DETALLE_GD_1[[#This Row],[CANTIDAD SOLICITADA]]-DETALLE_GD_1[[#This Row],[DEVOLUCIÓN]]</f>
        <v>9</v>
      </c>
      <c r="AD894" s="38" t="str">
        <f>+_xlfn.XLOOKUP(DETALLE_GD_1[[#This Row],[CODIGO]],PRODUCTOS[CODIGO],PRODUCTOS[DESC CORTA],"",0)</f>
        <v>VENTILACIÓN PASIVA</v>
      </c>
      <c r="AE894"/>
      <c r="AG894" s="3"/>
      <c r="AH894"/>
    </row>
    <row r="895" spans="1:34" x14ac:dyDescent="0.25">
      <c r="A895" s="1">
        <v>46128</v>
      </c>
      <c r="B895" s="1">
        <v>46128</v>
      </c>
      <c r="C895" s="81" t="s">
        <v>169</v>
      </c>
      <c r="D895" s="38">
        <v>4</v>
      </c>
      <c r="E895" s="81" t="s">
        <v>169</v>
      </c>
      <c r="F895">
        <v>412016</v>
      </c>
      <c r="G895" s="81" t="s">
        <v>722</v>
      </c>
      <c r="H895" s="81" t="s">
        <v>31</v>
      </c>
      <c r="I895" s="3">
        <v>10</v>
      </c>
      <c r="J895" s="3"/>
      <c r="K895" s="26">
        <v>10</v>
      </c>
      <c r="L895" s="2">
        <v>4210.3</v>
      </c>
      <c r="M895" s="2">
        <v>42103</v>
      </c>
      <c r="N895" s="2">
        <v>42103</v>
      </c>
      <c r="O895" s="2"/>
      <c r="P895" s="2"/>
      <c r="Q895" s="2">
        <v>-42103</v>
      </c>
      <c r="R895" s="4"/>
      <c r="T895">
        <v>312565</v>
      </c>
      <c r="U895" s="2"/>
      <c r="V895">
        <v>6000</v>
      </c>
      <c r="W895" s="2">
        <v>6579000000</v>
      </c>
      <c r="X895" s="6" t="s">
        <v>355</v>
      </c>
      <c r="Y895" s="38">
        <v>10010</v>
      </c>
      <c r="Z895" s="86" t="e">
        <f>+((DETALLE_GD_1[[#This Row],[VALOR X UN (GD)]]-DETALLE_GD_1[[#This Row],[VALOR PPTO]])/DETALLE_GD_1[[#This Row],[VALOR PPTO]])</f>
        <v>#DIV/0!</v>
      </c>
      <c r="AA895" s="2">
        <f>+DETALLE_GD_1[[#This Row],[VALOR PPTO]]*DETALLE_GD_1[[#This Row],[CANTIDAD RECIBIDA]]</f>
        <v>0</v>
      </c>
      <c r="AB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5" s="3">
        <f>+DETALLE_GD_1[[#This Row],[CANTIDAD SOLICITADA]]-DETALLE_GD_1[[#This Row],[DEVOLUCIÓN]]</f>
        <v>10</v>
      </c>
      <c r="AD895" s="38" t="str">
        <f>+_xlfn.XLOOKUP(DETALLE_GD_1[[#This Row],[CODIGO]],PRODUCTOS[CODIGO],PRODUCTOS[DESC CORTA],"",0)</f>
        <v/>
      </c>
      <c r="AE895"/>
      <c r="AG895" s="3"/>
      <c r="AH895"/>
    </row>
    <row r="896" spans="1:34" x14ac:dyDescent="0.25">
      <c r="A896" s="1">
        <v>46128</v>
      </c>
      <c r="B896" s="1">
        <v>46128</v>
      </c>
      <c r="C896" s="81" t="s">
        <v>169</v>
      </c>
      <c r="D896" s="38">
        <v>4</v>
      </c>
      <c r="E896" s="81" t="s">
        <v>169</v>
      </c>
      <c r="F896">
        <v>2302119</v>
      </c>
      <c r="G896" s="81" t="s">
        <v>74</v>
      </c>
      <c r="H896" s="81" t="s">
        <v>31</v>
      </c>
      <c r="I896" s="3">
        <v>24</v>
      </c>
      <c r="J896" s="3"/>
      <c r="K896" s="26">
        <v>24</v>
      </c>
      <c r="L896" s="2">
        <v>3664.2082999999998</v>
      </c>
      <c r="M896" s="2">
        <v>87941</v>
      </c>
      <c r="N896" s="2">
        <v>87941</v>
      </c>
      <c r="O896" s="2">
        <v>3671</v>
      </c>
      <c r="P896" s="2">
        <v>6.7916999999999996</v>
      </c>
      <c r="Q896" s="2">
        <v>163</v>
      </c>
      <c r="R896" s="4">
        <v>1.8500862616906879E-3</v>
      </c>
      <c r="T896">
        <v>312565</v>
      </c>
      <c r="U896" s="2"/>
      <c r="V896">
        <v>6000</v>
      </c>
      <c r="W896" s="2">
        <v>6579000000</v>
      </c>
      <c r="X896" s="6">
        <v>88104</v>
      </c>
      <c r="Y896" s="38">
        <v>10010</v>
      </c>
      <c r="Z896" s="86">
        <f>+((DETALLE_GD_1[[#This Row],[VALOR X UN (GD)]]-DETALLE_GD_1[[#This Row],[VALOR PPTO]])/DETALLE_GD_1[[#This Row],[VALOR PPTO]])</f>
        <v>-1.8500953418687602E-3</v>
      </c>
      <c r="AA896" s="2">
        <f>+DETALLE_GD_1[[#This Row],[VALOR PPTO]]*DETALLE_GD_1[[#This Row],[CANTIDAD RECIBIDA]]</f>
        <v>88104</v>
      </c>
      <c r="AB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6" s="3">
        <f>+DETALLE_GD_1[[#This Row],[CANTIDAD SOLICITADA]]-DETALLE_GD_1[[#This Row],[DEVOLUCIÓN]]</f>
        <v>24</v>
      </c>
      <c r="AD896" s="38" t="str">
        <f>+_xlfn.XLOOKUP(DETALLE_GD_1[[#This Row],[CODIGO]],PRODUCTOS[CODIGO],PRODUCTOS[DESC CORTA],"",0)</f>
        <v>SELLO</v>
      </c>
      <c r="AE896"/>
      <c r="AG896" s="3"/>
      <c r="AH896"/>
    </row>
    <row r="897" spans="1:34" x14ac:dyDescent="0.25">
      <c r="A897" s="1">
        <v>46128</v>
      </c>
      <c r="B897" s="1">
        <v>46128</v>
      </c>
      <c r="C897" s="81" t="s">
        <v>169</v>
      </c>
      <c r="D897" s="38">
        <v>4</v>
      </c>
      <c r="E897" s="81" t="s">
        <v>169</v>
      </c>
      <c r="F897">
        <v>2304003</v>
      </c>
      <c r="G897" s="81" t="s">
        <v>132</v>
      </c>
      <c r="H897" s="81" t="s">
        <v>31</v>
      </c>
      <c r="I897" s="3">
        <v>2</v>
      </c>
      <c r="J897" s="3"/>
      <c r="K897" s="26">
        <v>2</v>
      </c>
      <c r="L897" s="2">
        <v>1297</v>
      </c>
      <c r="M897" s="2">
        <v>2594</v>
      </c>
      <c r="N897" s="2">
        <v>2594</v>
      </c>
      <c r="O897" s="2">
        <v>1297.1352999999999</v>
      </c>
      <c r="P897" s="2">
        <v>0.1353</v>
      </c>
      <c r="Q897" s="2">
        <v>0.27050000000000002</v>
      </c>
      <c r="R897" s="4">
        <v>1.0427748282122604E-4</v>
      </c>
      <c r="T897">
        <v>312565</v>
      </c>
      <c r="U897" s="2"/>
      <c r="V897">
        <v>6000</v>
      </c>
      <c r="W897" s="2">
        <v>6579000000</v>
      </c>
      <c r="X897" s="6">
        <v>2594.270524</v>
      </c>
      <c r="Y897" s="38">
        <v>10010</v>
      </c>
      <c r="Z897" s="86">
        <f>+((DETALLE_GD_1[[#This Row],[VALOR X UN (GD)]]-DETALLE_GD_1[[#This Row],[VALOR PPTO]])/DETALLE_GD_1[[#This Row],[VALOR PPTO]])</f>
        <v>-1.0430677509116867E-4</v>
      </c>
      <c r="AA897" s="2">
        <f>+DETALLE_GD_1[[#This Row],[VALOR PPTO]]*DETALLE_GD_1[[#This Row],[CANTIDAD RECIBIDA]]</f>
        <v>2594.2705999999998</v>
      </c>
      <c r="AB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7" s="3">
        <f>+DETALLE_GD_1[[#This Row],[CANTIDAD SOLICITADA]]-DETALLE_GD_1[[#This Row],[DEVOLUCIÓN]]</f>
        <v>2</v>
      </c>
      <c r="AD897" s="38" t="str">
        <f>+_xlfn.XLOOKUP(DETALLE_GD_1[[#This Row],[CODIGO]],PRODUCTOS[CODIGO],PRODUCTOS[DESC CORTA],"",0)</f>
        <v>SELLO FUNGICIDA</v>
      </c>
      <c r="AE897"/>
      <c r="AG897" s="3"/>
      <c r="AH897"/>
    </row>
    <row r="898" spans="1:34" x14ac:dyDescent="0.25">
      <c r="A898" s="1">
        <v>46128</v>
      </c>
      <c r="B898" s="1">
        <v>46128</v>
      </c>
      <c r="C898" s="81" t="s">
        <v>169</v>
      </c>
      <c r="D898" s="38">
        <v>4</v>
      </c>
      <c r="E898" s="81" t="s">
        <v>169</v>
      </c>
      <c r="F898">
        <v>2304053</v>
      </c>
      <c r="G898" s="81" t="s">
        <v>213</v>
      </c>
      <c r="H898" s="81" t="s">
        <v>31</v>
      </c>
      <c r="I898" s="3">
        <v>24</v>
      </c>
      <c r="J898" s="3"/>
      <c r="K898" s="26">
        <v>24</v>
      </c>
      <c r="L898" s="2">
        <v>984.125</v>
      </c>
      <c r="M898" s="2">
        <v>23619</v>
      </c>
      <c r="N898" s="2">
        <v>23619</v>
      </c>
      <c r="O898" s="2">
        <v>862</v>
      </c>
      <c r="P898" s="2">
        <v>-122.125</v>
      </c>
      <c r="Q898" s="2">
        <v>-2931</v>
      </c>
      <c r="R898" s="4">
        <v>-0.14167633410672839</v>
      </c>
      <c r="T898">
        <v>312565</v>
      </c>
      <c r="U898" s="2"/>
      <c r="V898">
        <v>6000</v>
      </c>
      <c r="W898" s="2">
        <v>6579000000</v>
      </c>
      <c r="X898" s="6">
        <v>20688.000000000004</v>
      </c>
      <c r="Y898" s="38">
        <v>10010</v>
      </c>
      <c r="Z898" s="86">
        <f>+((DETALLE_GD_1[[#This Row],[VALOR X UN (GD)]]-DETALLE_GD_1[[#This Row],[VALOR PPTO]])/DETALLE_GD_1[[#This Row],[VALOR PPTO]])</f>
        <v>0.14167633410672853</v>
      </c>
      <c r="AA898" s="2">
        <f>+DETALLE_GD_1[[#This Row],[VALOR PPTO]]*DETALLE_GD_1[[#This Row],[CANTIDAD RECIBIDA]]</f>
        <v>20688</v>
      </c>
      <c r="AB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8" s="3">
        <f>+DETALLE_GD_1[[#This Row],[CANTIDAD SOLICITADA]]-DETALLE_GD_1[[#This Row],[DEVOLUCIÓN]]</f>
        <v>24</v>
      </c>
      <c r="AD898" s="38">
        <f>+_xlfn.XLOOKUP(DETALLE_GD_1[[#This Row],[CODIGO]],PRODUCTOS[CODIGO],PRODUCTOS[DESC CORTA],"",0)</f>
        <v>0</v>
      </c>
      <c r="AE898"/>
      <c r="AG898" s="3"/>
      <c r="AH898"/>
    </row>
    <row r="899" spans="1:34" x14ac:dyDescent="0.25">
      <c r="A899" s="1">
        <v>46128</v>
      </c>
      <c r="B899" s="1">
        <v>46128</v>
      </c>
      <c r="C899" s="81" t="s">
        <v>169</v>
      </c>
      <c r="D899" s="38">
        <v>4</v>
      </c>
      <c r="E899" s="81" t="s">
        <v>169</v>
      </c>
      <c r="F899">
        <v>2304002</v>
      </c>
      <c r="G899" s="81" t="s">
        <v>212</v>
      </c>
      <c r="H899" s="81" t="s">
        <v>31</v>
      </c>
      <c r="I899" s="3">
        <v>12</v>
      </c>
      <c r="J899" s="3"/>
      <c r="K899" s="26">
        <v>12</v>
      </c>
      <c r="L899" s="2">
        <v>1376.5</v>
      </c>
      <c r="M899" s="2">
        <v>16518</v>
      </c>
      <c r="N899" s="2">
        <v>16518</v>
      </c>
      <c r="O899" s="2">
        <v>1376.4717000000001</v>
      </c>
      <c r="P899" s="2">
        <v>-2.8299999999999999E-2</v>
      </c>
      <c r="Q899" s="2">
        <v>-0.33929999999999999</v>
      </c>
      <c r="R899" s="4">
        <v>-2.0542376212302997E-5</v>
      </c>
      <c r="T899">
        <v>312565</v>
      </c>
      <c r="U899" s="2"/>
      <c r="V899">
        <v>6000</v>
      </c>
      <c r="W899" s="2">
        <v>6579000000</v>
      </c>
      <c r="X899" s="6">
        <v>16517.660688</v>
      </c>
      <c r="Y899" s="38">
        <v>10010</v>
      </c>
      <c r="Z899" s="86">
        <f>+((DETALLE_GD_1[[#This Row],[VALOR X UN (GD)]]-DETALLE_GD_1[[#This Row],[VALOR PPTO]])/DETALLE_GD_1[[#This Row],[VALOR PPTO]])</f>
        <v>2.0559812453786519E-5</v>
      </c>
      <c r="AA899" s="2">
        <f>+DETALLE_GD_1[[#This Row],[VALOR PPTO]]*DETALLE_GD_1[[#This Row],[CANTIDAD RECIBIDA]]</f>
        <v>16517.660400000001</v>
      </c>
      <c r="AB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9" s="3">
        <f>+DETALLE_GD_1[[#This Row],[CANTIDAD SOLICITADA]]-DETALLE_GD_1[[#This Row],[DEVOLUCIÓN]]</f>
        <v>12</v>
      </c>
      <c r="AD899" s="38">
        <f>+_xlfn.XLOOKUP(DETALLE_GD_1[[#This Row],[CODIGO]],PRODUCTOS[CODIGO],PRODUCTOS[DESC CORTA],"",0)</f>
        <v>0</v>
      </c>
      <c r="AE899"/>
      <c r="AG899" s="3"/>
      <c r="AH899"/>
    </row>
    <row r="900" spans="1:34" x14ac:dyDescent="0.25">
      <c r="A900" s="1">
        <v>46128</v>
      </c>
      <c r="B900" s="1">
        <v>46128</v>
      </c>
      <c r="C900" s="81" t="s">
        <v>169</v>
      </c>
      <c r="D900" s="38">
        <v>4</v>
      </c>
      <c r="E900" s="81" t="s">
        <v>169</v>
      </c>
      <c r="F900">
        <v>412132</v>
      </c>
      <c r="G900" s="81" t="s">
        <v>741</v>
      </c>
      <c r="H900" s="81" t="s">
        <v>31</v>
      </c>
      <c r="I900" s="3">
        <v>10</v>
      </c>
      <c r="J900" s="3"/>
      <c r="K900" s="26">
        <v>10</v>
      </c>
      <c r="L900" s="2">
        <v>1037.5</v>
      </c>
      <c r="M900" s="2">
        <v>10375</v>
      </c>
      <c r="N900" s="2">
        <v>10375</v>
      </c>
      <c r="O900" s="2"/>
      <c r="P900" s="2"/>
      <c r="Q900" s="2">
        <v>-10375</v>
      </c>
      <c r="R900" s="4"/>
      <c r="T900">
        <v>312565</v>
      </c>
      <c r="U900" s="2"/>
      <c r="V900">
        <v>6000</v>
      </c>
      <c r="W900" s="2">
        <v>6579000000</v>
      </c>
      <c r="X900" s="6" t="s">
        <v>355</v>
      </c>
      <c r="Y900" s="38">
        <v>10010</v>
      </c>
      <c r="Z900" s="86" t="e">
        <f>+((DETALLE_GD_1[[#This Row],[VALOR X UN (GD)]]-DETALLE_GD_1[[#This Row],[VALOR PPTO]])/DETALLE_GD_1[[#This Row],[VALOR PPTO]])</f>
        <v>#DIV/0!</v>
      </c>
      <c r="AA900" s="2">
        <f>+DETALLE_GD_1[[#This Row],[VALOR PPTO]]*DETALLE_GD_1[[#This Row],[CANTIDAD RECIBIDA]]</f>
        <v>0</v>
      </c>
      <c r="AB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0" s="3">
        <f>+DETALLE_GD_1[[#This Row],[CANTIDAD SOLICITADA]]-DETALLE_GD_1[[#This Row],[DEVOLUCIÓN]]</f>
        <v>10</v>
      </c>
      <c r="AD900" s="38" t="str">
        <f>+_xlfn.XLOOKUP(DETALLE_GD_1[[#This Row],[CODIGO]],PRODUCTOS[CODIGO],PRODUCTOS[DESC CORTA],"",0)</f>
        <v/>
      </c>
      <c r="AE900"/>
      <c r="AG900" s="3"/>
      <c r="AH900"/>
    </row>
    <row r="901" spans="1:34" x14ac:dyDescent="0.25">
      <c r="A901" s="1">
        <v>46128</v>
      </c>
      <c r="B901" s="1">
        <v>46128</v>
      </c>
      <c r="C901" s="81" t="s">
        <v>169</v>
      </c>
      <c r="D901" s="38">
        <v>4</v>
      </c>
      <c r="E901" s="81" t="s">
        <v>169</v>
      </c>
      <c r="F901">
        <v>302028</v>
      </c>
      <c r="G901" s="81" t="s">
        <v>246</v>
      </c>
      <c r="H901" s="81" t="s">
        <v>20</v>
      </c>
      <c r="I901" s="3">
        <v>480</v>
      </c>
      <c r="J901" s="3"/>
      <c r="K901" s="26">
        <v>480</v>
      </c>
      <c r="L901" s="2">
        <v>4955.3978999999999</v>
      </c>
      <c r="M901" s="2">
        <v>2378591</v>
      </c>
      <c r="N901" s="2">
        <v>2378591</v>
      </c>
      <c r="O901" s="2">
        <v>5123.8024999999998</v>
      </c>
      <c r="P901" s="2">
        <v>168.40459999999999</v>
      </c>
      <c r="Q901" s="2">
        <v>80834.213000000003</v>
      </c>
      <c r="R901" s="4">
        <v>3.2867115671597932E-2</v>
      </c>
      <c r="T901">
        <v>312556</v>
      </c>
      <c r="U901" s="2">
        <v>7161558</v>
      </c>
      <c r="V901">
        <v>6000</v>
      </c>
      <c r="W901" s="2">
        <v>6579000000</v>
      </c>
      <c r="X901" s="6">
        <v>2459425.2129600006</v>
      </c>
      <c r="Y901" s="38">
        <v>10010</v>
      </c>
      <c r="Z901" s="86">
        <f>+((DETALLE_GD_1[[#This Row],[VALOR X UN (GD)]]-DETALLE_GD_1[[#This Row],[VALOR PPTO]])/DETALLE_GD_1[[#This Row],[VALOR PPTO]])</f>
        <v>-3.2867113828060283E-2</v>
      </c>
      <c r="AA901" s="2">
        <f>+DETALLE_GD_1[[#This Row],[VALOR PPTO]]*DETALLE_GD_1[[#This Row],[CANTIDAD RECIBIDA]]</f>
        <v>2459425.1999999997</v>
      </c>
      <c r="AB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01" s="3">
        <f>+DETALLE_GD_1[[#This Row],[CANTIDAD SOLICITADA]]-DETALLE_GD_1[[#This Row],[DEVOLUCIÓN]]</f>
        <v>480</v>
      </c>
      <c r="AD901" s="38" t="str">
        <f>+_xlfn.XLOOKUP(DETALLE_GD_1[[#This Row],[CODIGO]],PRODUCTOS[CODIGO],PRODUCTOS[DESC CORTA],"",0)</f>
        <v>PINO 2X4X320</v>
      </c>
      <c r="AE901"/>
      <c r="AG901" s="3"/>
      <c r="AH901"/>
    </row>
    <row r="902" spans="1:34" x14ac:dyDescent="0.25">
      <c r="A902" s="1">
        <v>46128</v>
      </c>
      <c r="B902" s="1">
        <v>46128</v>
      </c>
      <c r="C902" s="81" t="s">
        <v>169</v>
      </c>
      <c r="D902" s="38">
        <v>4</v>
      </c>
      <c r="E902" s="81" t="s">
        <v>169</v>
      </c>
      <c r="F902">
        <v>302054</v>
      </c>
      <c r="G902" s="81" t="s">
        <v>356</v>
      </c>
      <c r="H902" s="81" t="s">
        <v>20</v>
      </c>
      <c r="I902" s="3">
        <v>624</v>
      </c>
      <c r="J902" s="3"/>
      <c r="K902" s="26">
        <v>624</v>
      </c>
      <c r="L902" s="2">
        <v>5239.2788</v>
      </c>
      <c r="M902" s="2">
        <v>3269310</v>
      </c>
      <c r="N902" s="2">
        <v>3269310</v>
      </c>
      <c r="O902" s="2">
        <v>5713</v>
      </c>
      <c r="P902" s="2">
        <v>473.72120000000001</v>
      </c>
      <c r="Q902" s="2">
        <v>295602</v>
      </c>
      <c r="R902" s="4">
        <v>8.2919858891327539E-2</v>
      </c>
      <c r="T902">
        <v>312556</v>
      </c>
      <c r="U902" s="2"/>
      <c r="V902">
        <v>6000</v>
      </c>
      <c r="W902" s="2">
        <v>6579000000</v>
      </c>
      <c r="X902" s="6">
        <v>3564912</v>
      </c>
      <c r="Y902" s="38">
        <v>10010</v>
      </c>
      <c r="Z902" s="86">
        <f>+((DETALLE_GD_1[[#This Row],[VALOR X UN (GD)]]-DETALLE_GD_1[[#This Row],[VALOR PPTO]])/DETALLE_GD_1[[#This Row],[VALOR PPTO]])</f>
        <v>-8.2919866970068257E-2</v>
      </c>
      <c r="AA902" s="2">
        <f>+DETALLE_GD_1[[#This Row],[VALOR PPTO]]*DETALLE_GD_1[[#This Row],[CANTIDAD RECIBIDA]]</f>
        <v>3564912</v>
      </c>
      <c r="AB9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02" s="3">
        <f>+DETALLE_GD_1[[#This Row],[CANTIDAD SOLICITADA]]-DETALLE_GD_1[[#This Row],[DEVOLUCIÓN]]</f>
        <v>624</v>
      </c>
      <c r="AD902" s="38">
        <f>+_xlfn.XLOOKUP(DETALLE_GD_1[[#This Row],[CODIGO]],PRODUCTOS[CODIGO],PRODUCTOS[DESC CORTA],"",0)</f>
        <v>0</v>
      </c>
      <c r="AE902"/>
      <c r="AG902" s="3"/>
      <c r="AH902"/>
    </row>
    <row r="903" spans="1:34" x14ac:dyDescent="0.25">
      <c r="A903" s="1">
        <v>46128</v>
      </c>
      <c r="B903" s="1">
        <v>46128</v>
      </c>
      <c r="C903" s="81" t="s">
        <v>169</v>
      </c>
      <c r="D903" s="38">
        <v>4</v>
      </c>
      <c r="E903" s="81" t="s">
        <v>169</v>
      </c>
      <c r="F903">
        <v>407423</v>
      </c>
      <c r="G903" s="81" t="s">
        <v>106</v>
      </c>
      <c r="H903" s="81" t="s">
        <v>31</v>
      </c>
      <c r="I903" s="3">
        <v>9000</v>
      </c>
      <c r="J903" s="3"/>
      <c r="K903" s="26">
        <v>9000</v>
      </c>
      <c r="L903" s="2">
        <v>3.3879999999999999</v>
      </c>
      <c r="M903" s="2">
        <v>30492</v>
      </c>
      <c r="N903" s="2">
        <v>30492</v>
      </c>
      <c r="O903" s="2">
        <v>106.6405</v>
      </c>
      <c r="P903" s="2">
        <v>103.2525</v>
      </c>
      <c r="Q903" s="2">
        <v>929272.51789999998</v>
      </c>
      <c r="R903" s="4">
        <v>0.96822970694084709</v>
      </c>
      <c r="T903">
        <v>312556</v>
      </c>
      <c r="U903" s="2"/>
      <c r="V903">
        <v>6000</v>
      </c>
      <c r="W903" s="2">
        <v>6579000000</v>
      </c>
      <c r="X903" s="6">
        <v>959764.51785405388</v>
      </c>
      <c r="Y903" s="38">
        <v>10010</v>
      </c>
      <c r="Z903" s="86">
        <f>+((DETALLE_GD_1[[#This Row],[VALOR X UN (GD)]]-DETALLE_GD_1[[#This Row],[VALOR PPTO]])/DETALLE_GD_1[[#This Row],[VALOR PPTO]])</f>
        <v>-0.96822970634983885</v>
      </c>
      <c r="AA903" s="2">
        <f>+DETALLE_GD_1[[#This Row],[VALOR PPTO]]*DETALLE_GD_1[[#This Row],[CANTIDAD RECIBIDA]]</f>
        <v>959764.5</v>
      </c>
      <c r="AB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3" s="3">
        <f>+DETALLE_GD_1[[#This Row],[CANTIDAD SOLICITADA]]-DETALLE_GD_1[[#This Row],[DEVOLUCIÓN]]</f>
        <v>9000</v>
      </c>
      <c r="AD903" s="38" t="str">
        <f>+_xlfn.XLOOKUP(DETALLE_GD_1[[#This Row],[CODIGO]],PRODUCTOS[CODIGO],PRODUCTOS[DESC CORTA],"",0)</f>
        <v>TORNILLO CRS 6X1 5/8</v>
      </c>
      <c r="AE903"/>
      <c r="AG903" s="3"/>
      <c r="AH903"/>
    </row>
    <row r="904" spans="1:34" x14ac:dyDescent="0.25">
      <c r="A904" s="1">
        <v>46128</v>
      </c>
      <c r="B904" s="1">
        <v>46128</v>
      </c>
      <c r="C904" s="81" t="s">
        <v>169</v>
      </c>
      <c r="D904" s="38">
        <v>4</v>
      </c>
      <c r="E904" s="81" t="s">
        <v>169</v>
      </c>
      <c r="F904">
        <v>407011</v>
      </c>
      <c r="G904" s="81" t="s">
        <v>30</v>
      </c>
      <c r="H904" s="81" t="s">
        <v>31</v>
      </c>
      <c r="I904" s="3">
        <v>3000</v>
      </c>
      <c r="J904" s="3"/>
      <c r="K904" s="26">
        <v>3000</v>
      </c>
      <c r="L904" s="2">
        <v>473.17529999999999</v>
      </c>
      <c r="M904" s="2">
        <v>1419526</v>
      </c>
      <c r="N904" s="2">
        <v>1419526</v>
      </c>
      <c r="O904" s="2">
        <v>473.17520000000002</v>
      </c>
      <c r="P904" s="2">
        <v>-1E-4</v>
      </c>
      <c r="Q904" s="2">
        <v>-0.28000000000000003</v>
      </c>
      <c r="R904" s="4">
        <v>-1.9724897997357141E-7</v>
      </c>
      <c r="T904">
        <v>312556</v>
      </c>
      <c r="U904" s="2"/>
      <c r="V904">
        <v>6000</v>
      </c>
      <c r="W904" s="2">
        <v>6579000000</v>
      </c>
      <c r="X904" s="6">
        <v>1419525.7199999995</v>
      </c>
      <c r="Y904" s="38">
        <v>10010</v>
      </c>
      <c r="Z904" s="86">
        <f>+((DETALLE_GD_1[[#This Row],[VALOR X UN (GD)]]-DETALLE_GD_1[[#This Row],[VALOR PPTO]])/DETALLE_GD_1[[#This Row],[VALOR PPTO]])</f>
        <v>2.1133821040261184E-7</v>
      </c>
      <c r="AA904" s="2">
        <f>+DETALLE_GD_1[[#This Row],[VALOR PPTO]]*DETALLE_GD_1[[#This Row],[CANTIDAD RECIBIDA]]</f>
        <v>1419525.6</v>
      </c>
      <c r="AB9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04" s="3">
        <f>+DETALLE_GD_1[[#This Row],[CANTIDAD SOLICITADA]]-DETALLE_GD_1[[#This Row],[DEVOLUCIÓN]]</f>
        <v>3000</v>
      </c>
      <c r="AD904" s="38" t="str">
        <f>+_xlfn.XLOOKUP(DETALLE_GD_1[[#This Row],[CODIGO]],PRODUCTOS[CODIGO],PRODUCTOS[DESC CORTA],"",0)</f>
        <v>TORNILLO SIMPSON 6"</v>
      </c>
      <c r="AE904"/>
      <c r="AG904" s="3"/>
      <c r="AH904"/>
    </row>
    <row r="905" spans="1:34" x14ac:dyDescent="0.25">
      <c r="A905" s="1">
        <v>46128</v>
      </c>
      <c r="B905" s="1">
        <v>46128</v>
      </c>
      <c r="C905" s="81" t="s">
        <v>169</v>
      </c>
      <c r="D905" s="38">
        <v>4</v>
      </c>
      <c r="E905" s="81" t="s">
        <v>169</v>
      </c>
      <c r="F905">
        <v>2302098</v>
      </c>
      <c r="G905" s="81" t="s">
        <v>24</v>
      </c>
      <c r="H905" s="81" t="s">
        <v>25</v>
      </c>
      <c r="I905" s="3">
        <v>3</v>
      </c>
      <c r="J905" s="3"/>
      <c r="K905" s="26">
        <v>3</v>
      </c>
      <c r="L905" s="2">
        <v>21213</v>
      </c>
      <c r="M905" s="2">
        <v>63639</v>
      </c>
      <c r="N905" s="2">
        <v>63639</v>
      </c>
      <c r="O905" s="2">
        <v>21213</v>
      </c>
      <c r="P905" s="2">
        <v>0</v>
      </c>
      <c r="Q905" s="2">
        <v>0</v>
      </c>
      <c r="R905" s="4">
        <v>-1.7149761029050001E-16</v>
      </c>
      <c r="T905">
        <v>312556</v>
      </c>
      <c r="U905" s="2"/>
      <c r="V905">
        <v>6000</v>
      </c>
      <c r="W905" s="2">
        <v>6579000000</v>
      </c>
      <c r="X905" s="6">
        <v>63638.999999999985</v>
      </c>
      <c r="Y905" s="38">
        <v>10010</v>
      </c>
      <c r="Z905" s="86">
        <f>+((DETALLE_GD_1[[#This Row],[VALOR X UN (GD)]]-DETALLE_GD_1[[#This Row],[VALOR PPTO]])/DETALLE_GD_1[[#This Row],[VALOR PPTO]])</f>
        <v>0</v>
      </c>
      <c r="AA905" s="2">
        <f>+DETALLE_GD_1[[#This Row],[VALOR PPTO]]*DETALLE_GD_1[[#This Row],[CANTIDAD RECIBIDA]]</f>
        <v>63639</v>
      </c>
      <c r="AB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5" s="3">
        <f>+DETALLE_GD_1[[#This Row],[CANTIDAD SOLICITADA]]-DETALLE_GD_1[[#This Row],[DEVOLUCIÓN]]</f>
        <v>3</v>
      </c>
      <c r="AD905" s="38" t="str">
        <f>+_xlfn.XLOOKUP(DETALLE_GD_1[[#This Row],[CODIGO]],PRODUCTOS[CODIGO],PRODUCTOS[DESC CORTA],"",0)</f>
        <v>COLA FRIA</v>
      </c>
      <c r="AE905"/>
      <c r="AG905" s="3"/>
      <c r="AH905"/>
    </row>
    <row r="906" spans="1:34" x14ac:dyDescent="0.25">
      <c r="A906" s="1">
        <v>46128</v>
      </c>
      <c r="B906" s="1">
        <v>46128</v>
      </c>
      <c r="C906" s="81" t="s">
        <v>169</v>
      </c>
      <c r="D906" s="38">
        <v>4</v>
      </c>
      <c r="E906" s="81" t="s">
        <v>169</v>
      </c>
      <c r="F906" t="s">
        <v>166</v>
      </c>
      <c r="G906" s="81" t="s">
        <v>167</v>
      </c>
      <c r="H906" s="81" t="s">
        <v>26</v>
      </c>
      <c r="I906" s="3">
        <v>40</v>
      </c>
      <c r="J906" s="3"/>
      <c r="K906" s="26">
        <v>40</v>
      </c>
      <c r="L906" s="2">
        <v>12991.95</v>
      </c>
      <c r="M906" s="2">
        <v>519678</v>
      </c>
      <c r="N906" s="2">
        <v>519678</v>
      </c>
      <c r="O906" s="2">
        <v>11882.3879</v>
      </c>
      <c r="P906" s="2">
        <v>-1109.5621000000001</v>
      </c>
      <c r="Q906" s="2">
        <v>-44382.4833</v>
      </c>
      <c r="R906" s="4">
        <v>-9.337871232200412E-2</v>
      </c>
      <c r="T906">
        <v>312622</v>
      </c>
      <c r="U906" s="2">
        <v>562070</v>
      </c>
      <c r="V906">
        <v>6000</v>
      </c>
      <c r="W906" s="2">
        <v>6579000000</v>
      </c>
      <c r="X906" s="6">
        <v>475295.51668</v>
      </c>
      <c r="Y906" s="38">
        <v>10010</v>
      </c>
      <c r="Z906" s="86">
        <f>+((DETALLE_GD_1[[#This Row],[VALOR X UN (GD)]]-DETALLE_GD_1[[#This Row],[VALOR PPTO]])/DETALLE_GD_1[[#This Row],[VALOR PPTO]])</f>
        <v>9.3378713886288892E-2</v>
      </c>
      <c r="AA906" s="2">
        <f>+DETALLE_GD_1[[#This Row],[VALOR PPTO]]*DETALLE_GD_1[[#This Row],[CANTIDAD RECIBIDA]]</f>
        <v>475295.516</v>
      </c>
      <c r="AB9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06" s="3">
        <f>+DETALLE_GD_1[[#This Row],[CANTIDAD SOLICITADA]]-DETALLE_GD_1[[#This Row],[DEVOLUCIÓN]]</f>
        <v>40</v>
      </c>
      <c r="AD906" s="38" t="str">
        <f>+_xlfn.XLOOKUP(DETALLE_GD_1[[#This Row],[CODIGO]],PRODUCTOS[CODIGO],PRODUCTOS[DESC CORTA],"",0)</f>
        <v>PISO TARKET</v>
      </c>
      <c r="AE906"/>
      <c r="AG906" s="3"/>
      <c r="AH906"/>
    </row>
    <row r="907" spans="1:34" x14ac:dyDescent="0.25">
      <c r="A907" s="1">
        <v>46128</v>
      </c>
      <c r="B907" s="1">
        <v>46128</v>
      </c>
      <c r="C907" s="81" t="s">
        <v>169</v>
      </c>
      <c r="D907" s="38">
        <v>4</v>
      </c>
      <c r="E907" s="81" t="s">
        <v>169</v>
      </c>
      <c r="F907">
        <v>2302024</v>
      </c>
      <c r="G907" s="81" t="s">
        <v>234</v>
      </c>
      <c r="H907" s="81" t="s">
        <v>68</v>
      </c>
      <c r="I907" s="3">
        <v>1</v>
      </c>
      <c r="J907" s="3"/>
      <c r="K907" s="26">
        <v>1</v>
      </c>
      <c r="L907" s="2">
        <v>21730</v>
      </c>
      <c r="M907" s="2">
        <v>21730</v>
      </c>
      <c r="N907" s="2">
        <v>21730</v>
      </c>
      <c r="O907" s="2">
        <v>22292</v>
      </c>
      <c r="P907" s="2">
        <v>562</v>
      </c>
      <c r="Q907" s="2">
        <v>562</v>
      </c>
      <c r="R907" s="4">
        <v>2.5210837968778037E-2</v>
      </c>
      <c r="T907">
        <v>312622</v>
      </c>
      <c r="U907" s="2"/>
      <c r="V907">
        <v>6000</v>
      </c>
      <c r="W907" s="2">
        <v>6579000000</v>
      </c>
      <c r="X907" s="6">
        <v>22292</v>
      </c>
      <c r="Y907" s="38">
        <v>10010</v>
      </c>
      <c r="Z907" s="86">
        <f>+((DETALLE_GD_1[[#This Row],[VALOR X UN (GD)]]-DETALLE_GD_1[[#This Row],[VALOR PPTO]])/DETALLE_GD_1[[#This Row],[VALOR PPTO]])</f>
        <v>-2.5210837968778037E-2</v>
      </c>
      <c r="AA907" s="2">
        <f>+DETALLE_GD_1[[#This Row],[VALOR PPTO]]*DETALLE_GD_1[[#This Row],[CANTIDAD RECIBIDA]]</f>
        <v>22292</v>
      </c>
      <c r="AB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7" s="3">
        <f>+DETALLE_GD_1[[#This Row],[CANTIDAD SOLICITADA]]-DETALLE_GD_1[[#This Row],[DEVOLUCIÓN]]</f>
        <v>1</v>
      </c>
      <c r="AD907" s="38">
        <f>+_xlfn.XLOOKUP(DETALLE_GD_1[[#This Row],[CODIGO]],PRODUCTOS[CODIGO],PRODUCTOS[DESC CORTA],"",0)</f>
        <v>0</v>
      </c>
      <c r="AE907"/>
      <c r="AG907" s="3"/>
      <c r="AH907"/>
    </row>
    <row r="908" spans="1:34" x14ac:dyDescent="0.25">
      <c r="A908" s="1">
        <v>46128</v>
      </c>
      <c r="B908" s="1">
        <v>46128</v>
      </c>
      <c r="C908" s="81" t="s">
        <v>169</v>
      </c>
      <c r="D908" s="38">
        <v>4</v>
      </c>
      <c r="E908" s="81" t="s">
        <v>169</v>
      </c>
      <c r="F908">
        <v>704079</v>
      </c>
      <c r="G908" s="81" t="s">
        <v>209</v>
      </c>
      <c r="H908" s="81" t="s">
        <v>47</v>
      </c>
      <c r="I908" s="3">
        <v>5</v>
      </c>
      <c r="J908" s="3"/>
      <c r="K908" s="26">
        <v>5</v>
      </c>
      <c r="L908" s="2">
        <v>722.2</v>
      </c>
      <c r="M908" s="2">
        <v>3611</v>
      </c>
      <c r="N908" s="2">
        <v>3611</v>
      </c>
      <c r="O908" s="2">
        <v>755.70489999999995</v>
      </c>
      <c r="P908" s="2">
        <v>33.504899999999999</v>
      </c>
      <c r="Q908" s="2">
        <v>167.52440000000001</v>
      </c>
      <c r="R908" s="4">
        <v>4.4335934301930259E-2</v>
      </c>
      <c r="T908">
        <v>312622</v>
      </c>
      <c r="U908" s="2"/>
      <c r="V908">
        <v>6000</v>
      </c>
      <c r="W908" s="2">
        <v>6579000000</v>
      </c>
      <c r="X908" s="6">
        <v>3778.52441</v>
      </c>
      <c r="Y908" s="38">
        <v>10010</v>
      </c>
      <c r="Z908" s="86">
        <f>+((DETALLE_GD_1[[#This Row],[VALOR X UN (GD)]]-DETALLE_GD_1[[#This Row],[VALOR PPTO]])/DETALLE_GD_1[[#This Row],[VALOR PPTO]])</f>
        <v>-4.4335957064721834E-2</v>
      </c>
      <c r="AA908" s="2">
        <f>+DETALLE_GD_1[[#This Row],[VALOR PPTO]]*DETALLE_GD_1[[#This Row],[CANTIDAD RECIBIDA]]</f>
        <v>3778.5244999999995</v>
      </c>
      <c r="AB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8" s="3">
        <f>+DETALLE_GD_1[[#This Row],[CANTIDAD SOLICITADA]]-DETALLE_GD_1[[#This Row],[DEVOLUCIÓN]]</f>
        <v>5</v>
      </c>
      <c r="AD908" s="38">
        <f>+_xlfn.XLOOKUP(DETALLE_GD_1[[#This Row],[CODIGO]],PRODUCTOS[CODIGO],PRODUCTOS[DESC CORTA],"",0)</f>
        <v>0</v>
      </c>
      <c r="AE908"/>
      <c r="AG908" s="3"/>
      <c r="AH908"/>
    </row>
    <row r="909" spans="1:34" x14ac:dyDescent="0.25">
      <c r="A909" s="1">
        <v>46128</v>
      </c>
      <c r="B909" s="1">
        <v>46128</v>
      </c>
      <c r="C909" s="81" t="s">
        <v>169</v>
      </c>
      <c r="D909" s="38">
        <v>4</v>
      </c>
      <c r="E909" s="81" t="s">
        <v>169</v>
      </c>
      <c r="F909">
        <v>617007</v>
      </c>
      <c r="G909" s="81" t="s">
        <v>188</v>
      </c>
      <c r="H909" s="81" t="s">
        <v>31</v>
      </c>
      <c r="I909" s="3">
        <v>4</v>
      </c>
      <c r="J909" s="3"/>
      <c r="K909" s="26">
        <v>4</v>
      </c>
      <c r="L909" s="2">
        <v>100</v>
      </c>
      <c r="M909" s="2">
        <v>400</v>
      </c>
      <c r="N909" s="2">
        <v>400</v>
      </c>
      <c r="O909" s="2">
        <v>99.963800000000006</v>
      </c>
      <c r="P909" s="2">
        <v>-3.6200000000000003E-2</v>
      </c>
      <c r="Q909" s="2">
        <v>-0.1447</v>
      </c>
      <c r="R909" s="4">
        <v>-3.6192093937669894E-4</v>
      </c>
      <c r="T909">
        <v>312622</v>
      </c>
      <c r="U909" s="2"/>
      <c r="V909">
        <v>6000</v>
      </c>
      <c r="W909" s="2">
        <v>6579000000</v>
      </c>
      <c r="X909" s="6">
        <v>399.85528399999998</v>
      </c>
      <c r="Y909" s="38">
        <v>10010</v>
      </c>
      <c r="Z909" s="86">
        <f>+((DETALLE_GD_1[[#This Row],[VALOR X UN (GD)]]-DETALLE_GD_1[[#This Row],[VALOR PPTO]])/DETALLE_GD_1[[#This Row],[VALOR PPTO]])</f>
        <v>3.6213109145504462E-4</v>
      </c>
      <c r="AA909" s="2">
        <f>+DETALLE_GD_1[[#This Row],[VALOR PPTO]]*DETALLE_GD_1[[#This Row],[CANTIDAD RECIBIDA]]</f>
        <v>399.85520000000002</v>
      </c>
      <c r="AB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9" s="3">
        <f>+DETALLE_GD_1[[#This Row],[CANTIDAD SOLICITADA]]-DETALLE_GD_1[[#This Row],[DEVOLUCIÓN]]</f>
        <v>4</v>
      </c>
      <c r="AD909" s="38">
        <f>+_xlfn.XLOOKUP(DETALLE_GD_1[[#This Row],[CODIGO]],PRODUCTOS[CODIGO],PRODUCTOS[DESC CORTA],"",0)</f>
        <v>0</v>
      </c>
      <c r="AE909"/>
      <c r="AG909" s="3"/>
      <c r="AH909"/>
    </row>
    <row r="910" spans="1:34" x14ac:dyDescent="0.25">
      <c r="A910" s="1">
        <v>46128</v>
      </c>
      <c r="B910" s="1">
        <v>46128</v>
      </c>
      <c r="C910" s="81" t="s">
        <v>169</v>
      </c>
      <c r="D910" s="38">
        <v>4</v>
      </c>
      <c r="E910" s="81" t="s">
        <v>169</v>
      </c>
      <c r="F910">
        <v>404252</v>
      </c>
      <c r="G910" s="81" t="s">
        <v>181</v>
      </c>
      <c r="H910" s="81" t="s">
        <v>31</v>
      </c>
      <c r="I910" s="3">
        <v>15</v>
      </c>
      <c r="J910" s="3"/>
      <c r="K910" s="26">
        <v>15</v>
      </c>
      <c r="L910" s="2">
        <v>1110.0667000000001</v>
      </c>
      <c r="M910" s="2">
        <v>16651</v>
      </c>
      <c r="N910" s="2">
        <v>16651</v>
      </c>
      <c r="O910" s="2">
        <v>1110.0438999999999</v>
      </c>
      <c r="P910" s="2">
        <v>-2.2800000000000001E-2</v>
      </c>
      <c r="Q910" s="2">
        <v>-0.34189999999999998</v>
      </c>
      <c r="R910" s="4">
        <v>-2.0531320571558476E-5</v>
      </c>
      <c r="T910">
        <v>312622</v>
      </c>
      <c r="U910" s="2"/>
      <c r="V910">
        <v>6000</v>
      </c>
      <c r="W910" s="2">
        <v>6579000000</v>
      </c>
      <c r="X910" s="6">
        <v>16650.65814</v>
      </c>
      <c r="Y910" s="38">
        <v>10010</v>
      </c>
      <c r="Z910" s="86">
        <f>+((DETALLE_GD_1[[#This Row],[VALOR X UN (GD)]]-DETALLE_GD_1[[#This Row],[VALOR PPTO]])/DETALLE_GD_1[[#This Row],[VALOR PPTO]])</f>
        <v>2.0539728203711989E-5</v>
      </c>
      <c r="AA910" s="2">
        <f>+DETALLE_GD_1[[#This Row],[VALOR PPTO]]*DETALLE_GD_1[[#This Row],[CANTIDAD RECIBIDA]]</f>
        <v>16650.658499999998</v>
      </c>
      <c r="AB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0" s="3">
        <f>+DETALLE_GD_1[[#This Row],[CANTIDAD SOLICITADA]]-DETALLE_GD_1[[#This Row],[DEVOLUCIÓN]]</f>
        <v>15</v>
      </c>
      <c r="AD910" s="38">
        <f>+_xlfn.XLOOKUP(DETALLE_GD_1[[#This Row],[CODIGO]],PRODUCTOS[CODIGO],PRODUCTOS[DESC CORTA],"",0)</f>
        <v>0</v>
      </c>
      <c r="AE910"/>
      <c r="AG910" s="3"/>
      <c r="AH910"/>
    </row>
    <row r="911" spans="1:34" x14ac:dyDescent="0.25">
      <c r="A911" s="1">
        <v>46129</v>
      </c>
      <c r="B911" s="1">
        <v>46129</v>
      </c>
      <c r="C911" s="81" t="s">
        <v>169</v>
      </c>
      <c r="D911" s="38">
        <v>4</v>
      </c>
      <c r="E911" s="81" t="s">
        <v>169</v>
      </c>
      <c r="F911">
        <v>1405025</v>
      </c>
      <c r="G911" s="81" t="s">
        <v>189</v>
      </c>
      <c r="H911" s="81" t="s">
        <v>31</v>
      </c>
      <c r="I911" s="3">
        <v>1</v>
      </c>
      <c r="J911" s="3"/>
      <c r="K911" s="26">
        <v>1</v>
      </c>
      <c r="L911" s="2">
        <v>6980</v>
      </c>
      <c r="M911" s="2">
        <v>6980</v>
      </c>
      <c r="N911" s="2">
        <v>6980</v>
      </c>
      <c r="O911" s="2">
        <v>6758.5333000000001</v>
      </c>
      <c r="P911" s="2">
        <v>-221.4667</v>
      </c>
      <c r="Q911" s="2">
        <v>-221.4667</v>
      </c>
      <c r="R911" s="4">
        <v>-3.2768450799619618E-2</v>
      </c>
      <c r="T911">
        <v>312693</v>
      </c>
      <c r="U911" s="2">
        <v>86890</v>
      </c>
      <c r="V911">
        <v>6000</v>
      </c>
      <c r="W911" s="2">
        <v>6579000000</v>
      </c>
      <c r="X911" s="6">
        <v>6758.5333330000003</v>
      </c>
      <c r="Y911" s="38">
        <v>10010</v>
      </c>
      <c r="Z911" s="86">
        <f>+((DETALLE_GD_1[[#This Row],[VALOR X UN (GD)]]-DETALLE_GD_1[[#This Row],[VALOR PPTO]])/DETALLE_GD_1[[#This Row],[VALOR PPTO]])</f>
        <v>3.2768455842334898E-2</v>
      </c>
      <c r="AA911" s="2">
        <f>+DETALLE_GD_1[[#This Row],[VALOR PPTO]]*DETALLE_GD_1[[#This Row],[CANTIDAD RECIBIDA]]</f>
        <v>6758.5333000000001</v>
      </c>
      <c r="AB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1" s="3">
        <f>+DETALLE_GD_1[[#This Row],[CANTIDAD SOLICITADA]]-DETALLE_GD_1[[#This Row],[DEVOLUCIÓN]]</f>
        <v>1</v>
      </c>
      <c r="AD911" s="38">
        <f>+_xlfn.XLOOKUP(DETALLE_GD_1[[#This Row],[CODIGO]],PRODUCTOS[CODIGO],PRODUCTOS[DESC CORTA],"",0)</f>
        <v>0</v>
      </c>
      <c r="AE911"/>
      <c r="AG911" s="3"/>
      <c r="AH911"/>
    </row>
    <row r="912" spans="1:34" x14ac:dyDescent="0.25">
      <c r="A912" s="1">
        <v>46129</v>
      </c>
      <c r="B912" s="1">
        <v>46129</v>
      </c>
      <c r="C912" s="81" t="s">
        <v>169</v>
      </c>
      <c r="D912" s="38">
        <v>4</v>
      </c>
      <c r="E912" s="81" t="s">
        <v>169</v>
      </c>
      <c r="F912">
        <v>2508990</v>
      </c>
      <c r="G912" s="81" t="s">
        <v>484</v>
      </c>
      <c r="H912" s="81" t="s">
        <v>31</v>
      </c>
      <c r="I912" s="3">
        <v>2</v>
      </c>
      <c r="J912" s="3"/>
      <c r="K912" s="26">
        <v>2</v>
      </c>
      <c r="L912" s="2">
        <v>6638.5</v>
      </c>
      <c r="M912" s="2">
        <v>13277</v>
      </c>
      <c r="N912" s="2">
        <v>13277</v>
      </c>
      <c r="O912" s="2">
        <v>6738</v>
      </c>
      <c r="P912" s="2">
        <v>99.5</v>
      </c>
      <c r="Q912" s="2">
        <v>199</v>
      </c>
      <c r="R912" s="4">
        <v>1.4766993173048382E-2</v>
      </c>
      <c r="T912">
        <v>312693</v>
      </c>
      <c r="U912" s="2"/>
      <c r="V912">
        <v>6000</v>
      </c>
      <c r="W912" s="2">
        <v>6579000000</v>
      </c>
      <c r="X912" s="6">
        <v>13476</v>
      </c>
      <c r="Y912" s="38">
        <v>10010</v>
      </c>
      <c r="Z912" s="86">
        <f>+((DETALLE_GD_1[[#This Row],[VALOR X UN (GD)]]-DETALLE_GD_1[[#This Row],[VALOR PPTO]])/DETALLE_GD_1[[#This Row],[VALOR PPTO]])</f>
        <v>-1.4766993173048382E-2</v>
      </c>
      <c r="AA912" s="2">
        <f>+DETALLE_GD_1[[#This Row],[VALOR PPTO]]*DETALLE_GD_1[[#This Row],[CANTIDAD RECIBIDA]]</f>
        <v>13476</v>
      </c>
      <c r="AB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2" s="3">
        <f>+DETALLE_GD_1[[#This Row],[CANTIDAD SOLICITADA]]-DETALLE_GD_1[[#This Row],[DEVOLUCIÓN]]</f>
        <v>2</v>
      </c>
      <c r="AD912" s="38" t="str">
        <f>+_xlfn.XLOOKUP(DETALLE_GD_1[[#This Row],[CODIGO]],PRODUCTOS[CODIGO],PRODUCTOS[DESC CORTA],"",0)</f>
        <v>CERRADURA DE EMB</v>
      </c>
      <c r="AE912"/>
      <c r="AG912" s="3"/>
      <c r="AH912"/>
    </row>
    <row r="913" spans="1:34" x14ac:dyDescent="0.25">
      <c r="A913" s="1">
        <v>46129</v>
      </c>
      <c r="B913" s="1">
        <v>46129</v>
      </c>
      <c r="C913" s="81" t="s">
        <v>169</v>
      </c>
      <c r="D913" s="38">
        <v>4</v>
      </c>
      <c r="E913" s="81" t="s">
        <v>169</v>
      </c>
      <c r="F913">
        <v>2508991</v>
      </c>
      <c r="G913" s="81" t="s">
        <v>485</v>
      </c>
      <c r="H913" s="81" t="s">
        <v>31</v>
      </c>
      <c r="I913" s="3">
        <v>2</v>
      </c>
      <c r="J913" s="3"/>
      <c r="K913" s="26">
        <v>2</v>
      </c>
      <c r="L913" s="2">
        <v>4773</v>
      </c>
      <c r="M913" s="2">
        <v>9546</v>
      </c>
      <c r="N913" s="2">
        <v>9546</v>
      </c>
      <c r="O913" s="2">
        <v>4798</v>
      </c>
      <c r="P913" s="2">
        <v>25</v>
      </c>
      <c r="Q913" s="2">
        <v>50</v>
      </c>
      <c r="R913" s="4">
        <v>5.2105043768236768E-3</v>
      </c>
      <c r="T913">
        <v>312693</v>
      </c>
      <c r="U913" s="2"/>
      <c r="V913">
        <v>6000</v>
      </c>
      <c r="W913" s="2">
        <v>6579000000</v>
      </c>
      <c r="X913" s="6">
        <v>9596</v>
      </c>
      <c r="Y913" s="38">
        <v>10010</v>
      </c>
      <c r="Z913" s="86">
        <f>+((DETALLE_GD_1[[#This Row],[VALOR X UN (GD)]]-DETALLE_GD_1[[#This Row],[VALOR PPTO]])/DETALLE_GD_1[[#This Row],[VALOR PPTO]])</f>
        <v>-5.2105043768236768E-3</v>
      </c>
      <c r="AA913" s="2">
        <f>+DETALLE_GD_1[[#This Row],[VALOR PPTO]]*DETALLE_GD_1[[#This Row],[CANTIDAD RECIBIDA]]</f>
        <v>9596</v>
      </c>
      <c r="AB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3" s="3">
        <f>+DETALLE_GD_1[[#This Row],[CANTIDAD SOLICITADA]]-DETALLE_GD_1[[#This Row],[DEVOLUCIÓN]]</f>
        <v>2</v>
      </c>
      <c r="AD913" s="38" t="str">
        <f>+_xlfn.XLOOKUP(DETALLE_GD_1[[#This Row],[CODIGO]],PRODUCTOS[CODIGO],PRODUCTOS[DESC CORTA],"",0)</f>
        <v>CILINDRO 03 LLAVE/LLAVE</v>
      </c>
      <c r="AE913"/>
      <c r="AG913" s="3"/>
      <c r="AH913"/>
    </row>
    <row r="914" spans="1:34" x14ac:dyDescent="0.25">
      <c r="A914" s="1">
        <v>46129</v>
      </c>
      <c r="B914" s="1">
        <v>46129</v>
      </c>
      <c r="C914" s="81" t="s">
        <v>169</v>
      </c>
      <c r="D914" s="38">
        <v>4</v>
      </c>
      <c r="E914" s="81" t="s">
        <v>169</v>
      </c>
      <c r="F914">
        <v>2508992</v>
      </c>
      <c r="G914" s="81" t="s">
        <v>486</v>
      </c>
      <c r="H914" s="81" t="s">
        <v>31</v>
      </c>
      <c r="I914" s="3">
        <v>2</v>
      </c>
      <c r="J914" s="3"/>
      <c r="K914" s="26">
        <v>2</v>
      </c>
      <c r="L914" s="2">
        <v>5053</v>
      </c>
      <c r="M914" s="2">
        <v>10106</v>
      </c>
      <c r="N914" s="2">
        <v>10106</v>
      </c>
      <c r="O914" s="2">
        <v>5084</v>
      </c>
      <c r="P914" s="2">
        <v>31</v>
      </c>
      <c r="Q914" s="2">
        <v>62</v>
      </c>
      <c r="R914" s="4">
        <v>6.0975609756097563E-3</v>
      </c>
      <c r="T914">
        <v>312693</v>
      </c>
      <c r="U914" s="2"/>
      <c r="V914">
        <v>6000</v>
      </c>
      <c r="W914" s="2">
        <v>6579000000</v>
      </c>
      <c r="X914" s="6">
        <v>10168</v>
      </c>
      <c r="Y914" s="38">
        <v>10010</v>
      </c>
      <c r="Z914" s="86">
        <f>+((DETALLE_GD_1[[#This Row],[VALOR X UN (GD)]]-DETALLE_GD_1[[#This Row],[VALOR PPTO]])/DETALLE_GD_1[[#This Row],[VALOR PPTO]])</f>
        <v>-6.0975609756097563E-3</v>
      </c>
      <c r="AA914" s="2">
        <f>+DETALLE_GD_1[[#This Row],[VALOR PPTO]]*DETALLE_GD_1[[#This Row],[CANTIDAD RECIBIDA]]</f>
        <v>10168</v>
      </c>
      <c r="AB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4" s="3">
        <f>+DETALLE_GD_1[[#This Row],[CANTIDAD SOLICITADA]]-DETALLE_GD_1[[#This Row],[DEVOLUCIÓN]]</f>
        <v>2</v>
      </c>
      <c r="AD914" s="38" t="str">
        <f>+_xlfn.XLOOKUP(DETALLE_GD_1[[#This Row],[CODIGO]],PRODUCTOS[CODIGO],PRODUCTOS[DESC CORTA],"",0)</f>
        <v>MANILLA JUEGO</v>
      </c>
      <c r="AE914"/>
      <c r="AG914" s="3"/>
      <c r="AH914"/>
    </row>
    <row r="915" spans="1:34" x14ac:dyDescent="0.25">
      <c r="A915" s="1">
        <v>46129</v>
      </c>
      <c r="B915" s="1">
        <v>46129</v>
      </c>
      <c r="C915" s="81" t="s">
        <v>169</v>
      </c>
      <c r="D915" s="38">
        <v>4</v>
      </c>
      <c r="E915" s="81" t="s">
        <v>169</v>
      </c>
      <c r="F915">
        <v>2508993</v>
      </c>
      <c r="G915" s="81" t="s">
        <v>487</v>
      </c>
      <c r="H915" s="81" t="s">
        <v>31</v>
      </c>
      <c r="I915" s="3">
        <v>2</v>
      </c>
      <c r="J915" s="3"/>
      <c r="K915" s="26">
        <v>2</v>
      </c>
      <c r="L915" s="2">
        <v>1514.5</v>
      </c>
      <c r="M915" s="2">
        <v>3029</v>
      </c>
      <c r="N915" s="2">
        <v>3029</v>
      </c>
      <c r="O915" s="2">
        <v>1410</v>
      </c>
      <c r="P915" s="2">
        <v>-104.5</v>
      </c>
      <c r="Q915" s="2">
        <v>-209</v>
      </c>
      <c r="R915" s="4">
        <v>-7.411347517730496E-2</v>
      </c>
      <c r="T915">
        <v>312693</v>
      </c>
      <c r="U915" s="2"/>
      <c r="V915">
        <v>6000</v>
      </c>
      <c r="W915" s="2">
        <v>6579000000</v>
      </c>
      <c r="X915" s="6">
        <v>2820</v>
      </c>
      <c r="Y915" s="38">
        <v>10010</v>
      </c>
      <c r="Z915" s="86">
        <f>+((DETALLE_GD_1[[#This Row],[VALOR X UN (GD)]]-DETALLE_GD_1[[#This Row],[VALOR PPTO]])/DETALLE_GD_1[[#This Row],[VALOR PPTO]])</f>
        <v>7.411347517730496E-2</v>
      </c>
      <c r="AA915" s="2">
        <f>+DETALLE_GD_1[[#This Row],[VALOR PPTO]]*DETALLE_GD_1[[#This Row],[CANTIDAD RECIBIDA]]</f>
        <v>2820</v>
      </c>
      <c r="AB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5" s="3">
        <f>+DETALLE_GD_1[[#This Row],[CANTIDAD SOLICITADA]]-DETALLE_GD_1[[#This Row],[DEVOLUCIÓN]]</f>
        <v>2</v>
      </c>
      <c r="AD915" s="38" t="str">
        <f>+_xlfn.XLOOKUP(DETALLE_GD_1[[#This Row],[CODIGO]],PRODUCTOS[CODIGO],PRODUCTOS[DESC CORTA],"",0)</f>
        <v>BOCALLAVE B1 800 ACCESO</v>
      </c>
      <c r="AE915"/>
      <c r="AG915" s="3"/>
      <c r="AH915"/>
    </row>
    <row r="916" spans="1:34" x14ac:dyDescent="0.25">
      <c r="A916" s="1">
        <v>46129</v>
      </c>
      <c r="B916" s="1">
        <v>46129</v>
      </c>
      <c r="C916" s="81" t="s">
        <v>169</v>
      </c>
      <c r="D916" s="38">
        <v>4</v>
      </c>
      <c r="E916" s="81" t="s">
        <v>169</v>
      </c>
      <c r="F916">
        <v>2508994</v>
      </c>
      <c r="G916" s="81" t="s">
        <v>488</v>
      </c>
      <c r="H916" s="81" t="s">
        <v>31</v>
      </c>
      <c r="I916" s="3">
        <v>1</v>
      </c>
      <c r="J916" s="3"/>
      <c r="K916" s="26">
        <v>1</v>
      </c>
      <c r="L916" s="2">
        <v>1785</v>
      </c>
      <c r="M916" s="2">
        <v>1785</v>
      </c>
      <c r="N916" s="2">
        <v>1785</v>
      </c>
      <c r="O916" s="2">
        <v>1598</v>
      </c>
      <c r="P916" s="2">
        <v>-187</v>
      </c>
      <c r="Q916" s="2">
        <v>-187</v>
      </c>
      <c r="R916" s="4">
        <v>-0.11702127659574468</v>
      </c>
      <c r="T916">
        <v>312693</v>
      </c>
      <c r="U916" s="2"/>
      <c r="V916">
        <v>6000</v>
      </c>
      <c r="W916" s="2">
        <v>6579000000</v>
      </c>
      <c r="X916" s="6">
        <v>1598</v>
      </c>
      <c r="Y916" s="38">
        <v>10010</v>
      </c>
      <c r="Z916" s="86">
        <f>+((DETALLE_GD_1[[#This Row],[VALOR X UN (GD)]]-DETALLE_GD_1[[#This Row],[VALOR PPTO]])/DETALLE_GD_1[[#This Row],[VALOR PPTO]])</f>
        <v>0.11702127659574468</v>
      </c>
      <c r="AA916" s="2">
        <f>+DETALLE_GD_1[[#This Row],[VALOR PPTO]]*DETALLE_GD_1[[#This Row],[CANTIDAD RECIBIDA]]</f>
        <v>1598</v>
      </c>
      <c r="AB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6" s="3">
        <f>+DETALLE_GD_1[[#This Row],[CANTIDAD SOLICITADA]]-DETALLE_GD_1[[#This Row],[DEVOLUCIÓN]]</f>
        <v>1</v>
      </c>
      <c r="AD916" s="38" t="str">
        <f>+_xlfn.XLOOKUP(DETALLE_GD_1[[#This Row],[CODIGO]],PRODUCTOS[CODIGO],PRODUCTOS[DESC CORTA],"",0)</f>
        <v>CUADRADILLO EXPANSION 8X</v>
      </c>
      <c r="AE916"/>
      <c r="AG916" s="3"/>
      <c r="AH916"/>
    </row>
    <row r="917" spans="1:34" x14ac:dyDescent="0.25">
      <c r="A917" s="1">
        <v>46129</v>
      </c>
      <c r="B917" s="1">
        <v>46129</v>
      </c>
      <c r="C917" s="81" t="s">
        <v>169</v>
      </c>
      <c r="D917" s="38">
        <v>4</v>
      </c>
      <c r="E917" s="81" t="s">
        <v>169</v>
      </c>
      <c r="F917">
        <v>609008</v>
      </c>
      <c r="G917" s="81" t="s">
        <v>57</v>
      </c>
      <c r="H917" s="81" t="s">
        <v>58</v>
      </c>
      <c r="I917" s="3">
        <v>2</v>
      </c>
      <c r="J917" s="3"/>
      <c r="K917" s="26">
        <v>2</v>
      </c>
      <c r="L917" s="2">
        <v>2187</v>
      </c>
      <c r="M917" s="2">
        <v>4374</v>
      </c>
      <c r="N917" s="2">
        <v>4374</v>
      </c>
      <c r="O917" s="2">
        <v>2130.7573000000002</v>
      </c>
      <c r="P917" s="2">
        <v>-56.242699999999999</v>
      </c>
      <c r="Q917" s="2">
        <v>-112.4854</v>
      </c>
      <c r="R917" s="4">
        <v>-2.6395633954201959E-2</v>
      </c>
      <c r="T917">
        <v>312693</v>
      </c>
      <c r="U917" s="2"/>
      <c r="V917">
        <v>6000</v>
      </c>
      <c r="W917" s="2">
        <v>6579000000</v>
      </c>
      <c r="X917" s="6">
        <v>4261.5146199999999</v>
      </c>
      <c r="Y917" s="38">
        <v>10010</v>
      </c>
      <c r="Z917" s="86">
        <f>+((DETALLE_GD_1[[#This Row],[VALOR X UN (GD)]]-DETALLE_GD_1[[#This Row],[VALOR PPTO]])/DETALLE_GD_1[[#This Row],[VALOR PPTO]])</f>
        <v>2.6395638771248033E-2</v>
      </c>
      <c r="AA917" s="2">
        <f>+DETALLE_GD_1[[#This Row],[VALOR PPTO]]*DETALLE_GD_1[[#This Row],[CANTIDAD RECIBIDA]]</f>
        <v>4261.5146000000004</v>
      </c>
      <c r="AB9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7" s="3">
        <f>+DETALLE_GD_1[[#This Row],[CANTIDAD SOLICITADA]]-DETALLE_GD_1[[#This Row],[DEVOLUCIÓN]]</f>
        <v>2</v>
      </c>
      <c r="AD917" s="38" t="str">
        <f>+_xlfn.XLOOKUP(DETALLE_GD_1[[#This Row],[CODIGO]],PRODUCTOS[CODIGO],PRODUCTOS[DESC CORTA],"",0)</f>
        <v>DUCO</v>
      </c>
      <c r="AE917"/>
      <c r="AG917" s="3"/>
      <c r="AH917"/>
    </row>
    <row r="918" spans="1:34" x14ac:dyDescent="0.25">
      <c r="A918" s="1">
        <v>46129</v>
      </c>
      <c r="B918" s="1">
        <v>46129</v>
      </c>
      <c r="C918" s="81" t="s">
        <v>169</v>
      </c>
      <c r="D918" s="38">
        <v>4</v>
      </c>
      <c r="E918" s="81" t="s">
        <v>169</v>
      </c>
      <c r="F918">
        <v>307033</v>
      </c>
      <c r="G918" s="81" t="s">
        <v>248</v>
      </c>
      <c r="H918" s="81" t="s">
        <v>31</v>
      </c>
      <c r="I918" s="3">
        <v>20</v>
      </c>
      <c r="J918" s="3"/>
      <c r="K918" s="26">
        <v>20</v>
      </c>
      <c r="L918" s="2">
        <v>1889.65</v>
      </c>
      <c r="M918" s="2">
        <v>37793</v>
      </c>
      <c r="N918" s="2">
        <v>37793</v>
      </c>
      <c r="O918" s="2">
        <v>1889.0535</v>
      </c>
      <c r="P918" s="2">
        <v>-0.59650000000000003</v>
      </c>
      <c r="Q918" s="2">
        <v>-11.9291</v>
      </c>
      <c r="R918" s="4">
        <v>-3.1574330007462016E-4</v>
      </c>
      <c r="T918">
        <v>312693</v>
      </c>
      <c r="U918" s="2"/>
      <c r="V918">
        <v>6000</v>
      </c>
      <c r="W918" s="2">
        <v>6579000000</v>
      </c>
      <c r="X918" s="6">
        <v>37781.070879999999</v>
      </c>
      <c r="Y918" s="38">
        <v>10010</v>
      </c>
      <c r="Z918" s="86">
        <f>+((DETALLE_GD_1[[#This Row],[VALOR X UN (GD)]]-DETALLE_GD_1[[#This Row],[VALOR PPTO]])/DETALLE_GD_1[[#This Row],[VALOR PPTO]])</f>
        <v>3.1576659951669208E-4</v>
      </c>
      <c r="AA918" s="2">
        <f>+DETALLE_GD_1[[#This Row],[VALOR PPTO]]*DETALLE_GD_1[[#This Row],[CANTIDAD RECIBIDA]]</f>
        <v>37781.07</v>
      </c>
      <c r="AB9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8" s="3">
        <f>+DETALLE_GD_1[[#This Row],[CANTIDAD SOLICITADA]]-DETALLE_GD_1[[#This Row],[DEVOLUCIÓN]]</f>
        <v>20</v>
      </c>
      <c r="AD918" s="38">
        <f>+_xlfn.XLOOKUP(DETALLE_GD_1[[#This Row],[CODIGO]],PRODUCTOS[CODIGO],PRODUCTOS[DESC CORTA],"",0)</f>
        <v>0</v>
      </c>
      <c r="AE918"/>
      <c r="AG918" s="3"/>
      <c r="AH918"/>
    </row>
    <row r="919" spans="1:34" x14ac:dyDescent="0.25">
      <c r="A919" s="1">
        <v>46129</v>
      </c>
      <c r="B919" s="1">
        <v>46129</v>
      </c>
      <c r="C919" s="81" t="s">
        <v>169</v>
      </c>
      <c r="D919" s="38">
        <v>4</v>
      </c>
      <c r="E919" s="81" t="s">
        <v>169</v>
      </c>
      <c r="F919">
        <v>704079</v>
      </c>
      <c r="G919" s="81" t="s">
        <v>209</v>
      </c>
      <c r="H919" s="81" t="s">
        <v>47</v>
      </c>
      <c r="I919" s="3">
        <v>5</v>
      </c>
      <c r="J919" s="3"/>
      <c r="K919" s="26">
        <v>5</v>
      </c>
      <c r="L919" s="2">
        <v>722.2</v>
      </c>
      <c r="M919" s="2">
        <v>3611</v>
      </c>
      <c r="N919" s="2">
        <v>3611</v>
      </c>
      <c r="O919" s="2">
        <v>755.70489999999995</v>
      </c>
      <c r="P919" s="2">
        <v>33.504899999999999</v>
      </c>
      <c r="Q919" s="2">
        <v>167.52440000000001</v>
      </c>
      <c r="R919" s="4">
        <v>4.4335934301930259E-2</v>
      </c>
      <c r="T919">
        <v>312706</v>
      </c>
      <c r="U919" s="2">
        <v>12567741</v>
      </c>
      <c r="V919">
        <v>6000</v>
      </c>
      <c r="W919" s="2">
        <v>6579000000</v>
      </c>
      <c r="X919" s="6">
        <v>3778.52441</v>
      </c>
      <c r="Y919" s="38">
        <v>10010</v>
      </c>
      <c r="Z919" s="86">
        <f>+((DETALLE_GD_1[[#This Row],[VALOR X UN (GD)]]-DETALLE_GD_1[[#This Row],[VALOR PPTO]])/DETALLE_GD_1[[#This Row],[VALOR PPTO]])</f>
        <v>-4.4335957064721834E-2</v>
      </c>
      <c r="AA919" s="2">
        <f>+DETALLE_GD_1[[#This Row],[VALOR PPTO]]*DETALLE_GD_1[[#This Row],[CANTIDAD RECIBIDA]]</f>
        <v>3778.5244999999995</v>
      </c>
      <c r="AB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9" s="3">
        <f>+DETALLE_GD_1[[#This Row],[CANTIDAD SOLICITADA]]-DETALLE_GD_1[[#This Row],[DEVOLUCIÓN]]</f>
        <v>5</v>
      </c>
      <c r="AD919" s="38">
        <f>+_xlfn.XLOOKUP(DETALLE_GD_1[[#This Row],[CODIGO]],PRODUCTOS[CODIGO],PRODUCTOS[DESC CORTA],"",0)</f>
        <v>0</v>
      </c>
      <c r="AE919"/>
      <c r="AG919" s="3"/>
      <c r="AH919"/>
    </row>
    <row r="920" spans="1:34" x14ac:dyDescent="0.25">
      <c r="A920" s="1">
        <v>46129</v>
      </c>
      <c r="B920" s="1">
        <v>46129</v>
      </c>
      <c r="C920" s="81" t="s">
        <v>169</v>
      </c>
      <c r="D920" s="38">
        <v>4</v>
      </c>
      <c r="E920" s="81" t="s">
        <v>169</v>
      </c>
      <c r="F920">
        <v>5314002</v>
      </c>
      <c r="G920" s="81" t="s">
        <v>342</v>
      </c>
      <c r="H920" s="81" t="s">
        <v>31</v>
      </c>
      <c r="I920" s="3">
        <v>5</v>
      </c>
      <c r="J920" s="3"/>
      <c r="K920" s="26">
        <v>5</v>
      </c>
      <c r="L920" s="2">
        <v>312</v>
      </c>
      <c r="M920" s="2">
        <v>1560</v>
      </c>
      <c r="N920" s="2">
        <v>1560</v>
      </c>
      <c r="O920" s="2">
        <v>311.91989999999998</v>
      </c>
      <c r="P920" s="2">
        <v>-8.0100000000000005E-2</v>
      </c>
      <c r="Q920" s="2">
        <v>-0.4007</v>
      </c>
      <c r="R920" s="4">
        <v>-2.569057271907998E-4</v>
      </c>
      <c r="T920">
        <v>312706</v>
      </c>
      <c r="U920" s="2"/>
      <c r="V920">
        <v>6000</v>
      </c>
      <c r="W920" s="2">
        <v>6579000000</v>
      </c>
      <c r="X920" s="6">
        <v>1559.59933</v>
      </c>
      <c r="Y920" s="38">
        <v>10010</v>
      </c>
      <c r="Z920" s="86">
        <f>+((DETALLE_GD_1[[#This Row],[VALOR X UN (GD)]]-DETALLE_GD_1[[#This Row],[VALOR PPTO]])/DETALLE_GD_1[[#This Row],[VALOR PPTO]])</f>
        <v>2.5679669684433674E-4</v>
      </c>
      <c r="AA920" s="2">
        <f>+DETALLE_GD_1[[#This Row],[VALOR PPTO]]*DETALLE_GD_1[[#This Row],[CANTIDAD RECIBIDA]]</f>
        <v>1559.5994999999998</v>
      </c>
      <c r="AB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0" s="3">
        <f>+DETALLE_GD_1[[#This Row],[CANTIDAD SOLICITADA]]-DETALLE_GD_1[[#This Row],[DEVOLUCIÓN]]</f>
        <v>5</v>
      </c>
      <c r="AD920" s="38" t="str">
        <f>+_xlfn.XLOOKUP(DETALLE_GD_1[[#This Row],[CODIGO]],PRODUCTOS[CODIGO],PRODUCTOS[DESC CORTA],"",0)</f>
        <v>CINTA EMBALAJE TRANSPARENTE</v>
      </c>
      <c r="AE920"/>
      <c r="AG920" s="3"/>
      <c r="AH920"/>
    </row>
    <row r="921" spans="1:34" x14ac:dyDescent="0.25">
      <c r="A921" s="1">
        <v>46129</v>
      </c>
      <c r="B921" s="1">
        <v>46129</v>
      </c>
      <c r="C921" s="81" t="s">
        <v>169</v>
      </c>
      <c r="D921" s="38">
        <v>4</v>
      </c>
      <c r="E921" s="81" t="s">
        <v>169</v>
      </c>
      <c r="F921">
        <v>302054</v>
      </c>
      <c r="G921" s="81" t="s">
        <v>356</v>
      </c>
      <c r="H921" s="81" t="s">
        <v>20</v>
      </c>
      <c r="I921" s="3">
        <v>624</v>
      </c>
      <c r="J921" s="3"/>
      <c r="K921" s="26">
        <v>624</v>
      </c>
      <c r="L921" s="2">
        <v>5239.2788</v>
      </c>
      <c r="M921" s="2">
        <v>3269310</v>
      </c>
      <c r="N921" s="2">
        <v>3269310</v>
      </c>
      <c r="O921" s="2">
        <v>5713</v>
      </c>
      <c r="P921" s="2">
        <v>473.72120000000001</v>
      </c>
      <c r="Q921" s="2">
        <v>295602</v>
      </c>
      <c r="R921" s="4">
        <v>8.2919858891327539E-2</v>
      </c>
      <c r="T921">
        <v>312706</v>
      </c>
      <c r="U921" s="2"/>
      <c r="V921">
        <v>6000</v>
      </c>
      <c r="W921" s="2">
        <v>6579000000</v>
      </c>
      <c r="X921" s="6">
        <v>3564912</v>
      </c>
      <c r="Y921" s="38">
        <v>10010</v>
      </c>
      <c r="Z921" s="86">
        <f>+((DETALLE_GD_1[[#This Row],[VALOR X UN (GD)]]-DETALLE_GD_1[[#This Row],[VALOR PPTO]])/DETALLE_GD_1[[#This Row],[VALOR PPTO]])</f>
        <v>-8.2919866970068257E-2</v>
      </c>
      <c r="AA921" s="2">
        <f>+DETALLE_GD_1[[#This Row],[VALOR PPTO]]*DETALLE_GD_1[[#This Row],[CANTIDAD RECIBIDA]]</f>
        <v>3564912</v>
      </c>
      <c r="AB9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1" s="3">
        <f>+DETALLE_GD_1[[#This Row],[CANTIDAD SOLICITADA]]-DETALLE_GD_1[[#This Row],[DEVOLUCIÓN]]</f>
        <v>624</v>
      </c>
      <c r="AD921" s="38">
        <f>+_xlfn.XLOOKUP(DETALLE_GD_1[[#This Row],[CODIGO]],PRODUCTOS[CODIGO],PRODUCTOS[DESC CORTA],"",0)</f>
        <v>0</v>
      </c>
      <c r="AE921"/>
      <c r="AG921" s="3"/>
      <c r="AH921"/>
    </row>
    <row r="922" spans="1:34" x14ac:dyDescent="0.25">
      <c r="A922" s="1">
        <v>46129</v>
      </c>
      <c r="B922" s="1">
        <v>46129</v>
      </c>
      <c r="C922" s="81" t="s">
        <v>169</v>
      </c>
      <c r="D922" s="38">
        <v>4</v>
      </c>
      <c r="E922" s="81" t="s">
        <v>169</v>
      </c>
      <c r="F922">
        <v>304101</v>
      </c>
      <c r="G922" s="81" t="s">
        <v>17</v>
      </c>
      <c r="H922" s="81" t="s">
        <v>18</v>
      </c>
      <c r="I922" s="3">
        <v>252</v>
      </c>
      <c r="J922" s="3"/>
      <c r="K922" s="26">
        <v>252</v>
      </c>
      <c r="L922" s="2">
        <v>9614.2340999999997</v>
      </c>
      <c r="M922" s="2">
        <v>2422787</v>
      </c>
      <c r="N922" s="2">
        <v>2422787</v>
      </c>
      <c r="O922" s="2">
        <v>9657.5879999999997</v>
      </c>
      <c r="P922" s="2">
        <v>43.3538</v>
      </c>
      <c r="Q922" s="2">
        <v>10925.163399999999</v>
      </c>
      <c r="R922" s="4">
        <v>4.4890942997705139E-3</v>
      </c>
      <c r="T922">
        <v>312706</v>
      </c>
      <c r="U922" s="2"/>
      <c r="V922">
        <v>6000</v>
      </c>
      <c r="W922" s="2">
        <v>6579000000</v>
      </c>
      <c r="X922" s="6">
        <v>2433712.1634000018</v>
      </c>
      <c r="Y922" s="38">
        <v>10010</v>
      </c>
      <c r="Z922" s="86">
        <f>+((DETALLE_GD_1[[#This Row],[VALOR X UN (GD)]]-DETALLE_GD_1[[#This Row],[VALOR PPTO]])/DETALLE_GD_1[[#This Row],[VALOR PPTO]])</f>
        <v>-4.4891022478904738E-3</v>
      </c>
      <c r="AA922" s="2">
        <f>+DETALLE_GD_1[[#This Row],[VALOR PPTO]]*DETALLE_GD_1[[#This Row],[CANTIDAD RECIBIDA]]</f>
        <v>2433712.176</v>
      </c>
      <c r="AB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2" s="3">
        <f>+DETALLE_GD_1[[#This Row],[CANTIDAD SOLICITADA]]-DETALLE_GD_1[[#This Row],[DEVOLUCIÓN]]</f>
        <v>252</v>
      </c>
      <c r="AD922" s="38" t="str">
        <f>+_xlfn.XLOOKUP(DETALLE_GD_1[[#This Row],[CODIGO]],PRODUCTOS[CODIGO],PRODUCTOS[DESC CORTA],"",0)</f>
        <v>OSB 9.5</v>
      </c>
      <c r="AE922"/>
      <c r="AG922" s="3"/>
      <c r="AH922"/>
    </row>
    <row r="923" spans="1:34" x14ac:dyDescent="0.25">
      <c r="A923" s="1">
        <v>46129</v>
      </c>
      <c r="B923" s="1">
        <v>46129</v>
      </c>
      <c r="C923" s="81" t="s">
        <v>169</v>
      </c>
      <c r="D923" s="38">
        <v>4</v>
      </c>
      <c r="E923" s="81" t="s">
        <v>169</v>
      </c>
      <c r="F923">
        <v>4212234</v>
      </c>
      <c r="G923" s="81" t="s">
        <v>54</v>
      </c>
      <c r="H923" s="81" t="s">
        <v>31</v>
      </c>
      <c r="I923" s="3">
        <v>4</v>
      </c>
      <c r="J923" s="3"/>
      <c r="K923" s="26">
        <v>4</v>
      </c>
      <c r="L923" s="2">
        <v>124909</v>
      </c>
      <c r="M923" s="2">
        <v>499636</v>
      </c>
      <c r="N923" s="2">
        <v>499636</v>
      </c>
      <c r="O923" s="2">
        <v>124909</v>
      </c>
      <c r="P923" s="2">
        <v>0</v>
      </c>
      <c r="Q923" s="2">
        <v>0</v>
      </c>
      <c r="R923" s="4">
        <v>0</v>
      </c>
      <c r="T923">
        <v>312706</v>
      </c>
      <c r="U923" s="2"/>
      <c r="V923">
        <v>6000</v>
      </c>
      <c r="W923" s="2">
        <v>6579000000</v>
      </c>
      <c r="X923" s="6">
        <v>499636</v>
      </c>
      <c r="Y923" s="38">
        <v>10010</v>
      </c>
      <c r="Z923" s="86">
        <f>+((DETALLE_GD_1[[#This Row],[VALOR X UN (GD)]]-DETALLE_GD_1[[#This Row],[VALOR PPTO]])/DETALLE_GD_1[[#This Row],[VALOR PPTO]])</f>
        <v>0</v>
      </c>
      <c r="AA923" s="2">
        <f>+DETALLE_GD_1[[#This Row],[VALOR PPTO]]*DETALLE_GD_1[[#This Row],[CANTIDAD RECIBIDA]]</f>
        <v>499636</v>
      </c>
      <c r="AB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3" s="3">
        <f>+DETALLE_GD_1[[#This Row],[CANTIDAD SOLICITADA]]-DETALLE_GD_1[[#This Row],[DEVOLUCIÓN]]</f>
        <v>4</v>
      </c>
      <c r="AD923" s="38" t="str">
        <f>+_xlfn.XLOOKUP(DETALLE_GD_1[[#This Row],[CODIGO]],PRODUCTOS[CODIGO],PRODUCTOS[DESC CORTA],"",0)</f>
        <v>BARANDA BALCON</v>
      </c>
      <c r="AE923"/>
      <c r="AG923" s="3"/>
      <c r="AH923"/>
    </row>
    <row r="924" spans="1:34" x14ac:dyDescent="0.25">
      <c r="A924" s="1">
        <v>46129</v>
      </c>
      <c r="B924" s="1">
        <v>46129</v>
      </c>
      <c r="C924" s="81" t="s">
        <v>169</v>
      </c>
      <c r="D924" s="38">
        <v>4</v>
      </c>
      <c r="E924" s="81" t="s">
        <v>169</v>
      </c>
      <c r="F924">
        <v>412630</v>
      </c>
      <c r="G924" s="81" t="s">
        <v>284</v>
      </c>
      <c r="H924" s="81" t="s">
        <v>31</v>
      </c>
      <c r="I924" s="3">
        <v>10</v>
      </c>
      <c r="J924" s="3"/>
      <c r="K924" s="26">
        <v>10</v>
      </c>
      <c r="L924" s="2">
        <v>150300</v>
      </c>
      <c r="M924" s="2">
        <v>1503000</v>
      </c>
      <c r="N924" s="2">
        <v>1503000</v>
      </c>
      <c r="O924" s="2">
        <v>148200</v>
      </c>
      <c r="P924" s="2">
        <v>-2100</v>
      </c>
      <c r="Q924" s="2">
        <v>-21000</v>
      </c>
      <c r="R924" s="4">
        <v>-1.417004048582996E-2</v>
      </c>
      <c r="T924">
        <v>312706</v>
      </c>
      <c r="U924" s="2"/>
      <c r="V924">
        <v>6000</v>
      </c>
      <c r="W924" s="2">
        <v>6579000000</v>
      </c>
      <c r="X924" s="6">
        <v>1482000</v>
      </c>
      <c r="Y924" s="38">
        <v>10010</v>
      </c>
      <c r="Z924" s="86">
        <f>+((DETALLE_GD_1[[#This Row],[VALOR X UN (GD)]]-DETALLE_GD_1[[#This Row],[VALOR PPTO]])/DETALLE_GD_1[[#This Row],[VALOR PPTO]])</f>
        <v>1.417004048582996E-2</v>
      </c>
      <c r="AA924" s="2">
        <f>+DETALLE_GD_1[[#This Row],[VALOR PPTO]]*DETALLE_GD_1[[#This Row],[CANTIDAD RECIBIDA]]</f>
        <v>1482000</v>
      </c>
      <c r="AB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4" s="3">
        <f>+DETALLE_GD_1[[#This Row],[CANTIDAD SOLICITADA]]-DETALLE_GD_1[[#This Row],[DEVOLUCIÓN]]</f>
        <v>10</v>
      </c>
      <c r="AD924" s="38">
        <f>+_xlfn.XLOOKUP(DETALLE_GD_1[[#This Row],[CODIGO]],PRODUCTOS[CODIGO],PRODUCTOS[DESC CORTA],"",0)</f>
        <v>0</v>
      </c>
      <c r="AE924"/>
      <c r="AG924" s="3"/>
      <c r="AH924"/>
    </row>
    <row r="925" spans="1:34" x14ac:dyDescent="0.25">
      <c r="A925" s="1">
        <v>46129</v>
      </c>
      <c r="B925" s="1">
        <v>46129</v>
      </c>
      <c r="C925" s="81" t="s">
        <v>169</v>
      </c>
      <c r="D925" s="38">
        <v>4</v>
      </c>
      <c r="E925" s="81" t="s">
        <v>169</v>
      </c>
      <c r="F925">
        <v>304049</v>
      </c>
      <c r="G925" s="81" t="s">
        <v>318</v>
      </c>
      <c r="H925" s="81" t="s">
        <v>18</v>
      </c>
      <c r="I925" s="3">
        <v>130</v>
      </c>
      <c r="J925" s="3"/>
      <c r="K925" s="26">
        <v>130</v>
      </c>
      <c r="L925" s="2">
        <v>14981.223099999999</v>
      </c>
      <c r="M925" s="2">
        <v>1947559</v>
      </c>
      <c r="N925" s="2">
        <v>1947559</v>
      </c>
      <c r="O925" s="2">
        <v>14982</v>
      </c>
      <c r="P925" s="2">
        <v>0.77690000000000003</v>
      </c>
      <c r="Q925" s="2">
        <v>101</v>
      </c>
      <c r="R925" s="4">
        <v>5.1857100314738323E-5</v>
      </c>
      <c r="T925">
        <v>312706</v>
      </c>
      <c r="U925" s="2"/>
      <c r="V925">
        <v>6000</v>
      </c>
      <c r="W925" s="2">
        <v>6579000000</v>
      </c>
      <c r="X925" s="6">
        <v>1947659.9999999993</v>
      </c>
      <c r="Y925" s="38">
        <v>10010</v>
      </c>
      <c r="Z925" s="86">
        <f>+((DETALLE_GD_1[[#This Row],[VALOR X UN (GD)]]-DETALLE_GD_1[[#This Row],[VALOR PPTO]])/DETALLE_GD_1[[#This Row],[VALOR PPTO]])</f>
        <v>-5.1855560005389863E-5</v>
      </c>
      <c r="AA925" s="2">
        <f>+DETALLE_GD_1[[#This Row],[VALOR PPTO]]*DETALLE_GD_1[[#This Row],[CANTIDAD RECIBIDA]]</f>
        <v>1947660</v>
      </c>
      <c r="AB9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5" s="3">
        <f>+DETALLE_GD_1[[#This Row],[CANTIDAD SOLICITADA]]-DETALLE_GD_1[[#This Row],[DEVOLUCIÓN]]</f>
        <v>130</v>
      </c>
      <c r="AD925" s="38" t="str">
        <f>+_xlfn.XLOOKUP(DETALLE_GD_1[[#This Row],[CODIGO]],PRODUCTOS[CODIGO],PRODUCTOS[DESC CORTA],"",0)</f>
        <v>TERCIADO FENOLICO</v>
      </c>
      <c r="AE925"/>
      <c r="AG925" s="3"/>
      <c r="AH925"/>
    </row>
    <row r="926" spans="1:34" x14ac:dyDescent="0.25">
      <c r="A926" s="1">
        <v>46129</v>
      </c>
      <c r="B926" s="1">
        <v>46129</v>
      </c>
      <c r="C926" s="81" t="s">
        <v>169</v>
      </c>
      <c r="D926" s="38">
        <v>4</v>
      </c>
      <c r="E926" s="81" t="s">
        <v>169</v>
      </c>
      <c r="F926">
        <v>701096</v>
      </c>
      <c r="G926" s="81" t="s">
        <v>204</v>
      </c>
      <c r="H926" s="81" t="s">
        <v>18</v>
      </c>
      <c r="I926" s="3">
        <v>140</v>
      </c>
      <c r="J926" s="3"/>
      <c r="K926" s="26">
        <v>140</v>
      </c>
      <c r="L926" s="2">
        <v>16352.821400000001</v>
      </c>
      <c r="M926" s="2">
        <v>2289395</v>
      </c>
      <c r="N926" s="2">
        <v>2289395</v>
      </c>
      <c r="O926" s="2">
        <v>16019.885700000001</v>
      </c>
      <c r="P926" s="2">
        <v>-332.9357</v>
      </c>
      <c r="Q926" s="2">
        <v>-46611.004099999998</v>
      </c>
      <c r="R926" s="4">
        <v>-2.0782654141107023E-2</v>
      </c>
      <c r="T926">
        <v>312706</v>
      </c>
      <c r="U926" s="2"/>
      <c r="V926">
        <v>6000</v>
      </c>
      <c r="W926" s="2">
        <v>6579000000</v>
      </c>
      <c r="X926" s="6">
        <v>2242783.9959000004</v>
      </c>
      <c r="Y926" s="38">
        <v>10010</v>
      </c>
      <c r="Z926" s="86">
        <f>+((DETALLE_GD_1[[#This Row],[VALOR X UN (GD)]]-DETALLE_GD_1[[#This Row],[VALOR PPTO]])/DETALLE_GD_1[[#This Row],[VALOR PPTO]])</f>
        <v>2.0782651401813682E-2</v>
      </c>
      <c r="AA926" s="2">
        <f>+DETALLE_GD_1[[#This Row],[VALOR PPTO]]*DETALLE_GD_1[[#This Row],[CANTIDAD RECIBIDA]]</f>
        <v>2242783.9980000001</v>
      </c>
      <c r="AB9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6" s="3">
        <f>+DETALLE_GD_1[[#This Row],[CANTIDAD SOLICITADA]]-DETALLE_GD_1[[#This Row],[DEVOLUCIÓN]]</f>
        <v>140</v>
      </c>
      <c r="AD926" s="38" t="str">
        <f>+_xlfn.XLOOKUP(DETALLE_GD_1[[#This Row],[CODIGO]],PRODUCTOS[CODIGO],PRODUCTOS[DESC CORTA],"",0)</f>
        <v>VOCANITA EMPAPELADA MURO</v>
      </c>
      <c r="AE926"/>
      <c r="AG926" s="3"/>
      <c r="AH926"/>
    </row>
    <row r="927" spans="1:34" x14ac:dyDescent="0.25">
      <c r="A927" s="1">
        <v>46129</v>
      </c>
      <c r="B927" s="1">
        <v>46129</v>
      </c>
      <c r="C927" s="81" t="s">
        <v>169</v>
      </c>
      <c r="D927" s="38">
        <v>4</v>
      </c>
      <c r="E927" s="81" t="s">
        <v>169</v>
      </c>
      <c r="F927">
        <v>701040</v>
      </c>
      <c r="G927" s="81" t="s">
        <v>19</v>
      </c>
      <c r="H927" s="81" t="s">
        <v>18</v>
      </c>
      <c r="I927" s="3">
        <v>80</v>
      </c>
      <c r="J927" s="3"/>
      <c r="K927" s="26">
        <v>80</v>
      </c>
      <c r="L927" s="2">
        <v>7886.0375000000004</v>
      </c>
      <c r="M927" s="2">
        <v>630883</v>
      </c>
      <c r="N927" s="2">
        <v>630883</v>
      </c>
      <c r="O927" s="2">
        <v>7835.7259999999997</v>
      </c>
      <c r="P927" s="2">
        <v>-50.311500000000002</v>
      </c>
      <c r="Q927" s="2">
        <v>-4024.9236999999998</v>
      </c>
      <c r="R927" s="4">
        <v>-6.42078938127226E-3</v>
      </c>
      <c r="T927">
        <v>312706</v>
      </c>
      <c r="U927" s="2"/>
      <c r="V927">
        <v>6000</v>
      </c>
      <c r="W927" s="2">
        <v>6579000000</v>
      </c>
      <c r="X927" s="6">
        <v>626858.07631999976</v>
      </c>
      <c r="Y927" s="38">
        <v>10010</v>
      </c>
      <c r="Z927" s="86">
        <f>+((DETALLE_GD_1[[#This Row],[VALOR X UN (GD)]]-DETALLE_GD_1[[#This Row],[VALOR PPTO]])/DETALLE_GD_1[[#This Row],[VALOR PPTO]])</f>
        <v>6.4207834730311787E-3</v>
      </c>
      <c r="AA927" s="2">
        <f>+DETALLE_GD_1[[#This Row],[VALOR PPTO]]*DETALLE_GD_1[[#This Row],[CANTIDAD RECIBIDA]]</f>
        <v>626858.07999999996</v>
      </c>
      <c r="AB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7" s="3">
        <f>+DETALLE_GD_1[[#This Row],[CANTIDAD SOLICITADA]]-DETALLE_GD_1[[#This Row],[DEVOLUCIÓN]]</f>
        <v>80</v>
      </c>
      <c r="AD927" s="38" t="str">
        <f>+_xlfn.XLOOKUP(DETALLE_GD_1[[#This Row],[CODIGO]],PRODUCTOS[CODIGO],PRODUCTOS[DESC CORTA],"",0)</f>
        <v>VOLCANITA RF</v>
      </c>
      <c r="AE927"/>
      <c r="AG927" s="3"/>
      <c r="AH927"/>
    </row>
    <row r="928" spans="1:34" x14ac:dyDescent="0.25">
      <c r="A928" s="1">
        <v>46129</v>
      </c>
      <c r="B928" s="1">
        <v>46129</v>
      </c>
      <c r="C928" s="81" t="s">
        <v>169</v>
      </c>
      <c r="D928" s="38">
        <v>4</v>
      </c>
      <c r="E928" s="81" t="s">
        <v>169</v>
      </c>
      <c r="F928" t="s">
        <v>296</v>
      </c>
      <c r="G928" s="81" t="s">
        <v>297</v>
      </c>
      <c r="H928" s="81" t="s">
        <v>31</v>
      </c>
      <c r="I928" s="3">
        <v>27</v>
      </c>
      <c r="J928" s="3"/>
      <c r="K928" s="26">
        <v>27</v>
      </c>
      <c r="L928" s="2">
        <v>202875.81479999999</v>
      </c>
      <c r="M928" s="2">
        <v>5477647</v>
      </c>
      <c r="N928" s="2">
        <v>5477647</v>
      </c>
      <c r="O928" s="2">
        <v>205500</v>
      </c>
      <c r="P928" s="2">
        <v>2624.1851999999999</v>
      </c>
      <c r="Q928" s="2">
        <v>70853</v>
      </c>
      <c r="R928" s="4">
        <v>1.2769757592142078E-2</v>
      </c>
      <c r="U928" s="2">
        <v>9988928</v>
      </c>
      <c r="V928">
        <v>6014</v>
      </c>
      <c r="W928" s="2">
        <v>6579000000</v>
      </c>
      <c r="X928" s="6">
        <v>5548500</v>
      </c>
      <c r="Y928" s="38">
        <v>10010</v>
      </c>
      <c r="Z928" s="86">
        <f>+((DETALLE_GD_1[[#This Row],[VALOR X UN (GD)]]-DETALLE_GD_1[[#This Row],[VALOR PPTO]])/DETALLE_GD_1[[#This Row],[VALOR PPTO]])</f>
        <v>-1.2769757664233612E-2</v>
      </c>
      <c r="AA928" s="2">
        <f>+DETALLE_GD_1[[#This Row],[VALOR PPTO]]*DETALLE_GD_1[[#This Row],[CANTIDAD RECIBIDA]]</f>
        <v>5548500</v>
      </c>
      <c r="AB9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8" s="3">
        <f>+DETALLE_GD_1[[#This Row],[CANTIDAD SOLICITADA]]-DETALLE_GD_1[[#This Row],[DEVOLUCIÓN]]</f>
        <v>27</v>
      </c>
      <c r="AD928" s="38" t="str">
        <f>+_xlfn.XLOOKUP(DETALLE_GD_1[[#This Row],[CODIGO]],PRODUCTOS[CODIGO],PRODUCTOS[DESC CORTA],"",0)</f>
        <v>VENTANA V-01</v>
      </c>
      <c r="AE928"/>
      <c r="AG928" s="3"/>
      <c r="AH928"/>
    </row>
    <row r="929" spans="1:34" x14ac:dyDescent="0.25">
      <c r="A929" s="1">
        <v>46129</v>
      </c>
      <c r="B929" s="1">
        <v>46129</v>
      </c>
      <c r="C929" s="81" t="s">
        <v>169</v>
      </c>
      <c r="D929" s="38">
        <v>4</v>
      </c>
      <c r="E929" s="81" t="s">
        <v>169</v>
      </c>
      <c r="F929" t="s">
        <v>288</v>
      </c>
      <c r="G929" s="81" t="s">
        <v>289</v>
      </c>
      <c r="H929" s="81" t="s">
        <v>31</v>
      </c>
      <c r="I929" s="3">
        <v>9</v>
      </c>
      <c r="J929" s="3"/>
      <c r="K929" s="26">
        <v>9</v>
      </c>
      <c r="L929" s="2">
        <v>119752.3333</v>
      </c>
      <c r="M929" s="2">
        <v>1077771</v>
      </c>
      <c r="N929" s="2">
        <v>1077771</v>
      </c>
      <c r="O929" s="2">
        <v>101229</v>
      </c>
      <c r="P929" s="2">
        <v>-18523.333299999998</v>
      </c>
      <c r="Q929" s="2">
        <v>-166710</v>
      </c>
      <c r="R929" s="4">
        <v>-0.18298445438889377</v>
      </c>
      <c r="U929" s="2"/>
      <c r="V929">
        <v>6014</v>
      </c>
      <c r="W929" s="2">
        <v>6579000000</v>
      </c>
      <c r="X929" s="6">
        <v>911061</v>
      </c>
      <c r="Y929" s="38">
        <v>10010</v>
      </c>
      <c r="Z929" s="86">
        <f>+((DETALLE_GD_1[[#This Row],[VALOR X UN (GD)]]-DETALLE_GD_1[[#This Row],[VALOR PPTO]])/DETALLE_GD_1[[#This Row],[VALOR PPTO]])</f>
        <v>0.18298445405960742</v>
      </c>
      <c r="AA929" s="2">
        <f>+DETALLE_GD_1[[#This Row],[VALOR PPTO]]*DETALLE_GD_1[[#This Row],[CANTIDAD RECIBIDA]]</f>
        <v>911061</v>
      </c>
      <c r="AB9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9" s="3">
        <f>+DETALLE_GD_1[[#This Row],[CANTIDAD SOLICITADA]]-DETALLE_GD_1[[#This Row],[DEVOLUCIÓN]]</f>
        <v>9</v>
      </c>
      <c r="AD929" s="38">
        <f>+_xlfn.XLOOKUP(DETALLE_GD_1[[#This Row],[CODIGO]],PRODUCTOS[CODIGO],PRODUCTOS[DESC CORTA],"",0)</f>
        <v>0</v>
      </c>
      <c r="AE929"/>
      <c r="AG929" s="3"/>
      <c r="AH929"/>
    </row>
    <row r="930" spans="1:34" x14ac:dyDescent="0.25">
      <c r="A930" s="1">
        <v>46129</v>
      </c>
      <c r="B930" s="1">
        <v>46129</v>
      </c>
      <c r="C930" s="81" t="s">
        <v>169</v>
      </c>
      <c r="D930" s="38">
        <v>4</v>
      </c>
      <c r="E930" s="81" t="s">
        <v>169</v>
      </c>
      <c r="F930" t="s">
        <v>286</v>
      </c>
      <c r="G930" s="81" t="s">
        <v>287</v>
      </c>
      <c r="H930" s="81" t="s">
        <v>31</v>
      </c>
      <c r="I930" s="3">
        <v>9</v>
      </c>
      <c r="J930" s="3"/>
      <c r="K930" s="26">
        <v>9</v>
      </c>
      <c r="L930" s="2">
        <v>381501.11109999998</v>
      </c>
      <c r="M930" s="2">
        <v>3433510</v>
      </c>
      <c r="N930" s="2">
        <v>3433510</v>
      </c>
      <c r="O930" s="2">
        <v>350139</v>
      </c>
      <c r="P930" s="2">
        <v>-31362.111099999998</v>
      </c>
      <c r="Q930" s="2">
        <v>-282259</v>
      </c>
      <c r="R930" s="4">
        <v>-8.9570459477839162E-2</v>
      </c>
      <c r="U930" s="2"/>
      <c r="V930">
        <v>6014</v>
      </c>
      <c r="W930" s="2">
        <v>6579000000</v>
      </c>
      <c r="X930" s="6">
        <v>3151251</v>
      </c>
      <c r="Y930" s="38">
        <v>10010</v>
      </c>
      <c r="Z930" s="86">
        <f>+((DETALLE_GD_1[[#This Row],[VALOR X UN (GD)]]-DETALLE_GD_1[[#This Row],[VALOR PPTO]])/DETALLE_GD_1[[#This Row],[VALOR PPTO]])</f>
        <v>8.957045944610563E-2</v>
      </c>
      <c r="AA930" s="2">
        <f>+DETALLE_GD_1[[#This Row],[VALOR PPTO]]*DETALLE_GD_1[[#This Row],[CANTIDAD RECIBIDA]]</f>
        <v>3151251</v>
      </c>
      <c r="AB9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30" s="3">
        <f>+DETALLE_GD_1[[#This Row],[CANTIDAD SOLICITADA]]-DETALLE_GD_1[[#This Row],[DEVOLUCIÓN]]</f>
        <v>9</v>
      </c>
      <c r="AD930" s="38" t="str">
        <f>+_xlfn.XLOOKUP(DETALLE_GD_1[[#This Row],[CODIGO]],PRODUCTOS[CODIGO],PRODUCTOS[DESC CORTA],"",0)</f>
        <v>VENTANA V.05</v>
      </c>
      <c r="AE930"/>
      <c r="AG930" s="3"/>
      <c r="AH930"/>
    </row>
    <row r="931" spans="1:34" x14ac:dyDescent="0.25">
      <c r="A931" s="1">
        <v>46129</v>
      </c>
      <c r="B931" s="1">
        <v>46129</v>
      </c>
      <c r="C931" s="81" t="s">
        <v>169</v>
      </c>
      <c r="D931" s="38">
        <v>4</v>
      </c>
      <c r="E931" s="81" t="s">
        <v>169</v>
      </c>
      <c r="F931">
        <v>302046</v>
      </c>
      <c r="G931" s="81" t="s">
        <v>115</v>
      </c>
      <c r="H931" s="81" t="s">
        <v>20</v>
      </c>
      <c r="I931" s="3">
        <v>336</v>
      </c>
      <c r="J931" s="3"/>
      <c r="K931" s="26">
        <v>336</v>
      </c>
      <c r="L931" s="2">
        <v>10122.2798</v>
      </c>
      <c r="M931" s="2">
        <v>3401086</v>
      </c>
      <c r="N931" s="2">
        <v>3401086</v>
      </c>
      <c r="O931" s="2">
        <v>10156.5985</v>
      </c>
      <c r="P931" s="2">
        <v>34.3187</v>
      </c>
      <c r="Q931" s="2">
        <v>11531.0849</v>
      </c>
      <c r="R931" s="4">
        <v>3.3789565676683696E-3</v>
      </c>
      <c r="T931">
        <v>312760</v>
      </c>
      <c r="U931" s="2">
        <v>7700013</v>
      </c>
      <c r="V931">
        <v>6000</v>
      </c>
      <c r="W931" s="2">
        <v>6579000000</v>
      </c>
      <c r="X931" s="6">
        <v>3412617.0849120007</v>
      </c>
      <c r="Y931" s="38">
        <v>10010</v>
      </c>
      <c r="Z931" s="86">
        <f>+((DETALLE_GD_1[[#This Row],[VALOR X UN (GD)]]-DETALLE_GD_1[[#This Row],[VALOR PPTO]])/DETALLE_GD_1[[#This Row],[VALOR PPTO]])</f>
        <v>-3.3789560550217482E-3</v>
      </c>
      <c r="AA931" s="2">
        <f>+DETALLE_GD_1[[#This Row],[VALOR PPTO]]*DETALLE_GD_1[[#This Row],[CANTIDAD RECIBIDA]]</f>
        <v>3412617.0959999999</v>
      </c>
      <c r="AB9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31" s="3">
        <f>+DETALLE_GD_1[[#This Row],[CANTIDAD SOLICITADA]]-DETALLE_GD_1[[#This Row],[DEVOLUCIÓN]]</f>
        <v>336</v>
      </c>
      <c r="AD931" s="38" t="str">
        <f>+_xlfn.XLOOKUP(DETALLE_GD_1[[#This Row],[CODIGO]],PRODUCTOS[CODIGO],PRODUCTOS[DESC CORTA],"",0)</f>
        <v>PINO 2X6X400</v>
      </c>
      <c r="AE931"/>
      <c r="AG931" s="3"/>
      <c r="AH931"/>
    </row>
    <row r="932" spans="1:34" x14ac:dyDescent="0.25">
      <c r="A932" s="1">
        <v>46129</v>
      </c>
      <c r="B932" s="1">
        <v>46129</v>
      </c>
      <c r="C932" s="81" t="s">
        <v>169</v>
      </c>
      <c r="D932" s="38">
        <v>4</v>
      </c>
      <c r="E932" s="81" t="s">
        <v>169</v>
      </c>
      <c r="F932">
        <v>302048</v>
      </c>
      <c r="G932" s="81" t="s">
        <v>126</v>
      </c>
      <c r="H932" s="81" t="s">
        <v>20</v>
      </c>
      <c r="I932" s="3">
        <v>216</v>
      </c>
      <c r="J932" s="3"/>
      <c r="K932" s="26">
        <v>216</v>
      </c>
      <c r="L932" s="2">
        <v>12921.9213</v>
      </c>
      <c r="M932" s="2">
        <v>2791135</v>
      </c>
      <c r="N932" s="2">
        <v>2791135</v>
      </c>
      <c r="O932" s="2">
        <v>13710.695</v>
      </c>
      <c r="P932" s="2">
        <v>788.77369999999996</v>
      </c>
      <c r="Q932" s="2">
        <v>170375.1116</v>
      </c>
      <c r="R932" s="4">
        <v>5.7529809170677799E-2</v>
      </c>
      <c r="T932">
        <v>312760</v>
      </c>
      <c r="U932" s="2"/>
      <c r="V932">
        <v>6000</v>
      </c>
      <c r="W932" s="2">
        <v>6579000000</v>
      </c>
      <c r="X932" s="6">
        <v>2961510.1115760002</v>
      </c>
      <c r="Y932" s="38">
        <v>10010</v>
      </c>
      <c r="Z932" s="86">
        <f>+((DETALLE_GD_1[[#This Row],[VALOR X UN (GD)]]-DETALLE_GD_1[[#This Row],[VALOR PPTO]])/DETALLE_GD_1[[#This Row],[VALOR PPTO]])</f>
        <v>-5.7529811581396841E-2</v>
      </c>
      <c r="AA932" s="2">
        <f>+DETALLE_GD_1[[#This Row],[VALOR PPTO]]*DETALLE_GD_1[[#This Row],[CANTIDAD RECIBIDA]]</f>
        <v>2961510.12</v>
      </c>
      <c r="AB9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32" s="3">
        <f>+DETALLE_GD_1[[#This Row],[CANTIDAD SOLICITADA]]-DETALLE_GD_1[[#This Row],[DEVOLUCIÓN]]</f>
        <v>216</v>
      </c>
      <c r="AD932" s="38" t="str">
        <f>+_xlfn.XLOOKUP(DETALLE_GD_1[[#This Row],[CODIGO]],PRODUCTOS[CODIGO],PRODUCTOS[DESC CORTA],"",0)</f>
        <v>PINO 2X8X4</v>
      </c>
      <c r="AE932"/>
      <c r="AG932" s="3"/>
      <c r="AH932"/>
    </row>
    <row r="933" spans="1:34" x14ac:dyDescent="0.25">
      <c r="A933" s="1">
        <v>46129</v>
      </c>
      <c r="B933" s="1">
        <v>46129</v>
      </c>
      <c r="C933" s="81" t="s">
        <v>169</v>
      </c>
      <c r="D933" s="38">
        <v>4</v>
      </c>
      <c r="E933" s="81" t="s">
        <v>169</v>
      </c>
      <c r="F933">
        <v>1901008</v>
      </c>
      <c r="G933" s="81" t="s">
        <v>278</v>
      </c>
      <c r="H933" s="81" t="s">
        <v>26</v>
      </c>
      <c r="I933" s="3">
        <v>270</v>
      </c>
      <c r="J933" s="3"/>
      <c r="K933" s="26">
        <v>270</v>
      </c>
      <c r="L933" s="2">
        <v>2042.8518999999999</v>
      </c>
      <c r="M933" s="2">
        <v>551570</v>
      </c>
      <c r="N933" s="2">
        <v>551570</v>
      </c>
      <c r="O933" s="2">
        <v>2112.7957999999999</v>
      </c>
      <c r="P933" s="2">
        <v>69.943899999999999</v>
      </c>
      <c r="Q933" s="2">
        <v>18884.8603</v>
      </c>
      <c r="R933" s="4">
        <v>3.3104916170010996E-2</v>
      </c>
      <c r="T933">
        <v>312760</v>
      </c>
      <c r="U933" s="2"/>
      <c r="V933">
        <v>6000</v>
      </c>
      <c r="W933" s="2">
        <v>6579000000</v>
      </c>
      <c r="X933" s="6">
        <v>570454.86033000005</v>
      </c>
      <c r="Y933" s="38">
        <v>10010</v>
      </c>
      <c r="Z933" s="86">
        <f>+((DETALLE_GD_1[[#This Row],[VALOR X UN (GD)]]-DETALLE_GD_1[[#This Row],[VALOR PPTO]])/DETALLE_GD_1[[#This Row],[VALOR PPTO]])</f>
        <v>-3.3104902991571636E-2</v>
      </c>
      <c r="AA933" s="2">
        <f>+DETALLE_GD_1[[#This Row],[VALOR PPTO]]*DETALLE_GD_1[[#This Row],[CANTIDAD RECIBIDA]]</f>
        <v>570454.86599999992</v>
      </c>
      <c r="AB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33" s="3">
        <f>+DETALLE_GD_1[[#This Row],[CANTIDAD SOLICITADA]]-DETALLE_GD_1[[#This Row],[DEVOLUCIÓN]]</f>
        <v>270</v>
      </c>
      <c r="AD933" s="38" t="str">
        <f>+_xlfn.XLOOKUP(DETALLE_GD_1[[#This Row],[CODIGO]],PRODUCTOS[CODIGO],PRODUCTOS[DESC CORTA],"",0)</f>
        <v>AISLAN GLASS 90MM</v>
      </c>
      <c r="AE933"/>
      <c r="AG933" s="3"/>
      <c r="AH933"/>
    </row>
    <row r="934" spans="1:34" x14ac:dyDescent="0.25">
      <c r="A934" s="1">
        <v>46129</v>
      </c>
      <c r="B934" s="1">
        <v>46129</v>
      </c>
      <c r="C934" s="81" t="s">
        <v>169</v>
      </c>
      <c r="D934" s="38">
        <v>4</v>
      </c>
      <c r="E934" s="81" t="s">
        <v>169</v>
      </c>
      <c r="F934">
        <v>5309018</v>
      </c>
      <c r="G934" s="81" t="s">
        <v>112</v>
      </c>
      <c r="H934" s="81" t="s">
        <v>113</v>
      </c>
      <c r="I934" s="3">
        <v>200</v>
      </c>
      <c r="J934" s="3"/>
      <c r="K934" s="26">
        <v>200</v>
      </c>
      <c r="L934" s="2">
        <v>700</v>
      </c>
      <c r="M934" s="2">
        <v>140000</v>
      </c>
      <c r="N934" s="2">
        <v>140000</v>
      </c>
      <c r="O934" s="2">
        <v>699.99919999999997</v>
      </c>
      <c r="P934" s="2">
        <v>-8.0000000000000004E-4</v>
      </c>
      <c r="Q934" s="2">
        <v>-0.15359999999999999</v>
      </c>
      <c r="R934" s="4">
        <v>-1.0971440602079328E-6</v>
      </c>
      <c r="T934">
        <v>312760</v>
      </c>
      <c r="U934" s="2"/>
      <c r="V934">
        <v>6000</v>
      </c>
      <c r="W934" s="2">
        <v>6579000000</v>
      </c>
      <c r="X934" s="6">
        <v>139999.8464000001</v>
      </c>
      <c r="Y934" s="38">
        <v>10010</v>
      </c>
      <c r="Z934" s="86">
        <f>+((DETALLE_GD_1[[#This Row],[VALOR X UN (GD)]]-DETALLE_GD_1[[#This Row],[VALOR PPTO]])/DETALLE_GD_1[[#This Row],[VALOR PPTO]])</f>
        <v>1.1428584490190236E-6</v>
      </c>
      <c r="AA934" s="2">
        <f>+DETALLE_GD_1[[#This Row],[VALOR PPTO]]*DETALLE_GD_1[[#This Row],[CANTIDAD RECIBIDA]]</f>
        <v>139999.84</v>
      </c>
      <c r="AB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4" s="3">
        <f>+DETALLE_GD_1[[#This Row],[CANTIDAD SOLICITADA]]-DETALLE_GD_1[[#This Row],[DEVOLUCIÓN]]</f>
        <v>200</v>
      </c>
      <c r="AD934" s="38">
        <f>+_xlfn.XLOOKUP(DETALLE_GD_1[[#This Row],[CODIGO]],PRODUCTOS[CODIGO],PRODUCTOS[DESC CORTA],"",0)</f>
        <v>0</v>
      </c>
      <c r="AE934"/>
      <c r="AG934" s="3"/>
      <c r="AH934"/>
    </row>
    <row r="935" spans="1:34" x14ac:dyDescent="0.25">
      <c r="A935" s="1">
        <v>46129</v>
      </c>
      <c r="B935" s="1">
        <v>46129</v>
      </c>
      <c r="C935" s="81" t="s">
        <v>169</v>
      </c>
      <c r="D935" s="38">
        <v>4</v>
      </c>
      <c r="E935" s="81" t="s">
        <v>169</v>
      </c>
      <c r="F935">
        <v>304007</v>
      </c>
      <c r="G935" s="81" t="s">
        <v>80</v>
      </c>
      <c r="H935" s="81" t="s">
        <v>18</v>
      </c>
      <c r="I935" s="3">
        <v>72</v>
      </c>
      <c r="J935" s="3"/>
      <c r="K935" s="26">
        <v>72</v>
      </c>
      <c r="L935" s="2">
        <v>11336.4167</v>
      </c>
      <c r="M935" s="2">
        <v>816222</v>
      </c>
      <c r="N935" s="2">
        <v>816222</v>
      </c>
      <c r="O935" s="2">
        <v>11444.352999999999</v>
      </c>
      <c r="P935" s="2">
        <v>107.93640000000001</v>
      </c>
      <c r="Q935" s="2">
        <v>7771.4175999999998</v>
      </c>
      <c r="R935" s="4">
        <v>9.4314073609787028E-3</v>
      </c>
      <c r="T935">
        <v>312760</v>
      </c>
      <c r="U935" s="2"/>
      <c r="V935">
        <v>6000</v>
      </c>
      <c r="W935" s="2">
        <v>6579000000</v>
      </c>
      <c r="X935" s="6">
        <v>823993.41758399969</v>
      </c>
      <c r="Y935" s="38">
        <v>10010</v>
      </c>
      <c r="Z935" s="86">
        <f>+((DETALLE_GD_1[[#This Row],[VALOR X UN (GD)]]-DETALLE_GD_1[[#This Row],[VALOR PPTO]])/DETALLE_GD_1[[#This Row],[VALOR PPTO]])</f>
        <v>-9.4314025441193054E-3</v>
      </c>
      <c r="AA935" s="2">
        <f>+DETALLE_GD_1[[#This Row],[VALOR PPTO]]*DETALLE_GD_1[[#This Row],[CANTIDAD RECIBIDA]]</f>
        <v>823993.41599999997</v>
      </c>
      <c r="AB9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35" s="3">
        <f>+DETALLE_GD_1[[#This Row],[CANTIDAD SOLICITADA]]-DETALLE_GD_1[[#This Row],[DEVOLUCIÓN]]</f>
        <v>72</v>
      </c>
      <c r="AD935" s="38" t="str">
        <f>+_xlfn.XLOOKUP(DETALLE_GD_1[[#This Row],[CODIGO]],PRODUCTOS[CODIGO],PRODUCTOS[DESC CORTA],"",0)</f>
        <v>OSB 11MM</v>
      </c>
      <c r="AE935"/>
      <c r="AG935" s="3"/>
      <c r="AH935"/>
    </row>
    <row r="936" spans="1:34" x14ac:dyDescent="0.25">
      <c r="A936" s="1">
        <v>46132</v>
      </c>
      <c r="B936" s="1">
        <v>46132</v>
      </c>
      <c r="C936" s="81" t="s">
        <v>169</v>
      </c>
      <c r="D936" s="38">
        <v>4</v>
      </c>
      <c r="E936" s="81" t="s">
        <v>169</v>
      </c>
      <c r="F936">
        <v>2508985</v>
      </c>
      <c r="G936" s="81" t="s">
        <v>304</v>
      </c>
      <c r="H936" s="81" t="s">
        <v>90</v>
      </c>
      <c r="I936" s="3">
        <v>1</v>
      </c>
      <c r="J936" s="3"/>
      <c r="K936" s="26">
        <v>1</v>
      </c>
      <c r="L936" s="2">
        <v>102622</v>
      </c>
      <c r="M936" s="2">
        <v>102622</v>
      </c>
      <c r="N936" s="2">
        <v>102622</v>
      </c>
      <c r="O936" s="2">
        <v>102622</v>
      </c>
      <c r="P936" s="2">
        <v>0</v>
      </c>
      <c r="Q936" s="2">
        <v>0</v>
      </c>
      <c r="R936" s="4">
        <v>0</v>
      </c>
      <c r="T936">
        <v>312883</v>
      </c>
      <c r="U936" s="2">
        <v>628026</v>
      </c>
      <c r="V936">
        <v>6045</v>
      </c>
      <c r="W936" s="2">
        <v>6579000000</v>
      </c>
      <c r="X936" s="6">
        <v>102622</v>
      </c>
      <c r="Y936" s="38">
        <v>10010</v>
      </c>
      <c r="Z936" s="86">
        <f>+((DETALLE_GD_1[[#This Row],[VALOR X UN (GD)]]-DETALLE_GD_1[[#This Row],[VALOR PPTO]])/DETALLE_GD_1[[#This Row],[VALOR PPTO]])</f>
        <v>0</v>
      </c>
      <c r="AA936" s="2">
        <f>+DETALLE_GD_1[[#This Row],[VALOR PPTO]]*DETALLE_GD_1[[#This Row],[CANTIDAD RECIBIDA]]</f>
        <v>102622</v>
      </c>
      <c r="AB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6" s="3">
        <f>+DETALLE_GD_1[[#This Row],[CANTIDAD SOLICITADA]]-DETALLE_GD_1[[#This Row],[DEVOLUCIÓN]]</f>
        <v>1</v>
      </c>
      <c r="AD936" s="38" t="str">
        <f>+_xlfn.XLOOKUP(DETALLE_GD_1[[#This Row],[CODIGO]],PRODUCTOS[CODIGO],PRODUCTOS[DESC CORTA],"",0)</f>
        <v>KIT PRECOLGADO</v>
      </c>
      <c r="AE936"/>
      <c r="AG936" s="3"/>
      <c r="AH936"/>
    </row>
    <row r="937" spans="1:34" x14ac:dyDescent="0.25">
      <c r="A937" s="1">
        <v>46132</v>
      </c>
      <c r="B937" s="1">
        <v>46132</v>
      </c>
      <c r="C937" s="81" t="s">
        <v>169</v>
      </c>
      <c r="D937" s="38">
        <v>4</v>
      </c>
      <c r="E937" s="81" t="s">
        <v>169</v>
      </c>
      <c r="F937">
        <v>2508987</v>
      </c>
      <c r="G937" s="81" t="s">
        <v>305</v>
      </c>
      <c r="H937" s="81" t="s">
        <v>31</v>
      </c>
      <c r="I937" s="3">
        <v>1</v>
      </c>
      <c r="J937" s="3"/>
      <c r="K937" s="26">
        <v>1</v>
      </c>
      <c r="L937" s="2">
        <v>142532</v>
      </c>
      <c r="M937" s="2">
        <v>142532</v>
      </c>
      <c r="N937" s="2">
        <v>142532</v>
      </c>
      <c r="O937" s="2">
        <v>145847</v>
      </c>
      <c r="P937" s="2">
        <v>3315</v>
      </c>
      <c r="Q937" s="2">
        <v>3315</v>
      </c>
      <c r="R937" s="4">
        <v>2.2729298511453784E-2</v>
      </c>
      <c r="T937">
        <v>312883</v>
      </c>
      <c r="U937" s="2"/>
      <c r="V937">
        <v>6045</v>
      </c>
      <c r="W937" s="2">
        <v>6579000000</v>
      </c>
      <c r="X937" s="6">
        <v>145847</v>
      </c>
      <c r="Y937" s="38">
        <v>10010</v>
      </c>
      <c r="Z937" s="86">
        <f>+((DETALLE_GD_1[[#This Row],[VALOR X UN (GD)]]-DETALLE_GD_1[[#This Row],[VALOR PPTO]])/DETALLE_GD_1[[#This Row],[VALOR PPTO]])</f>
        <v>-2.2729298511453784E-2</v>
      </c>
      <c r="AA937" s="2">
        <f>+DETALLE_GD_1[[#This Row],[VALOR PPTO]]*DETALLE_GD_1[[#This Row],[CANTIDAD RECIBIDA]]</f>
        <v>145847</v>
      </c>
      <c r="AB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7" s="3">
        <f>+DETALLE_GD_1[[#This Row],[CANTIDAD SOLICITADA]]-DETALLE_GD_1[[#This Row],[DEVOLUCIÓN]]</f>
        <v>1</v>
      </c>
      <c r="AD937" s="38" t="str">
        <f>+_xlfn.XLOOKUP(DETALLE_GD_1[[#This Row],[CODIGO]],PRODUCTOS[CODIGO],PRODUCTOS[DESC CORTA],"",0)</f>
        <v>KIT PREC</v>
      </c>
      <c r="AE937"/>
      <c r="AG937" s="3"/>
      <c r="AH937"/>
    </row>
    <row r="938" spans="1:34" x14ac:dyDescent="0.25">
      <c r="A938" s="1">
        <v>46132</v>
      </c>
      <c r="B938" s="1">
        <v>46132</v>
      </c>
      <c r="C938" s="81" t="s">
        <v>169</v>
      </c>
      <c r="D938" s="38">
        <v>4</v>
      </c>
      <c r="E938" s="81" t="s">
        <v>169</v>
      </c>
      <c r="F938">
        <v>1802517</v>
      </c>
      <c r="G938" s="81" t="s">
        <v>141</v>
      </c>
      <c r="H938" s="81" t="s">
        <v>31</v>
      </c>
      <c r="I938" s="3">
        <v>2</v>
      </c>
      <c r="J938" s="3"/>
      <c r="K938" s="26">
        <v>2</v>
      </c>
      <c r="L938" s="2">
        <v>2312.5</v>
      </c>
      <c r="M938" s="2">
        <v>4625</v>
      </c>
      <c r="N938" s="2">
        <v>4625</v>
      </c>
      <c r="O938" s="2">
        <v>2312</v>
      </c>
      <c r="P938" s="2">
        <v>-0.5</v>
      </c>
      <c r="Q938" s="2">
        <v>-1</v>
      </c>
      <c r="R938" s="4">
        <v>-2.1626297577854672E-4</v>
      </c>
      <c r="T938">
        <v>312883</v>
      </c>
      <c r="U938" s="2"/>
      <c r="V938">
        <v>6045</v>
      </c>
      <c r="W938" s="2">
        <v>6579000000</v>
      </c>
      <c r="X938" s="6">
        <v>4624</v>
      </c>
      <c r="Y938" s="38">
        <v>10010</v>
      </c>
      <c r="Z938" s="86">
        <f>+((DETALLE_GD_1[[#This Row],[VALOR X UN (GD)]]-DETALLE_GD_1[[#This Row],[VALOR PPTO]])/DETALLE_GD_1[[#This Row],[VALOR PPTO]])</f>
        <v>2.1626297577854672E-4</v>
      </c>
      <c r="AA938" s="2">
        <f>+DETALLE_GD_1[[#This Row],[VALOR PPTO]]*DETALLE_GD_1[[#This Row],[CANTIDAD RECIBIDA]]</f>
        <v>4624</v>
      </c>
      <c r="AB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8" s="3">
        <f>+DETALLE_GD_1[[#This Row],[CANTIDAD SOLICITADA]]-DETALLE_GD_1[[#This Row],[DEVOLUCIÓN]]</f>
        <v>2</v>
      </c>
      <c r="AD938" s="38" t="str">
        <f>+_xlfn.XLOOKUP(DETALLE_GD_1[[#This Row],[CODIGO]],PRODUCTOS[CODIGO],PRODUCTOS[DESC CORTA],"",0)</f>
        <v>CELOSIA ALUMINIO 25X25</v>
      </c>
      <c r="AE938"/>
      <c r="AG938" s="3"/>
      <c r="AH938"/>
    </row>
    <row r="939" spans="1:34" x14ac:dyDescent="0.25">
      <c r="A939" s="1">
        <v>46132</v>
      </c>
      <c r="B939" s="1">
        <v>46132</v>
      </c>
      <c r="C939" s="81" t="s">
        <v>169</v>
      </c>
      <c r="D939" s="38">
        <v>4</v>
      </c>
      <c r="E939" s="81" t="s">
        <v>169</v>
      </c>
      <c r="F939">
        <v>2304008</v>
      </c>
      <c r="G939" s="81" t="s">
        <v>707</v>
      </c>
      <c r="H939" s="81" t="s">
        <v>31</v>
      </c>
      <c r="I939" s="3">
        <v>12</v>
      </c>
      <c r="J939" s="3"/>
      <c r="K939" s="26">
        <v>12</v>
      </c>
      <c r="L939" s="2">
        <v>2397.5832999999998</v>
      </c>
      <c r="M939" s="2">
        <v>28771</v>
      </c>
      <c r="N939" s="2">
        <v>28771</v>
      </c>
      <c r="O939" s="2"/>
      <c r="P939" s="2"/>
      <c r="Q939" s="2">
        <v>-28771</v>
      </c>
      <c r="R939" s="4"/>
      <c r="T939">
        <v>312883</v>
      </c>
      <c r="U939" s="2"/>
      <c r="V939">
        <v>6045</v>
      </c>
      <c r="W939" s="2">
        <v>6579000000</v>
      </c>
      <c r="X939" s="6" t="s">
        <v>355</v>
      </c>
      <c r="Y939" s="38">
        <v>10010</v>
      </c>
      <c r="Z939" s="86" t="e">
        <f>+((DETALLE_GD_1[[#This Row],[VALOR X UN (GD)]]-DETALLE_GD_1[[#This Row],[VALOR PPTO]])/DETALLE_GD_1[[#This Row],[VALOR PPTO]])</f>
        <v>#DIV/0!</v>
      </c>
      <c r="AA939" s="2">
        <f>+DETALLE_GD_1[[#This Row],[VALOR PPTO]]*DETALLE_GD_1[[#This Row],[CANTIDAD RECIBIDA]]</f>
        <v>0</v>
      </c>
      <c r="AB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9" s="3">
        <f>+DETALLE_GD_1[[#This Row],[CANTIDAD SOLICITADA]]-DETALLE_GD_1[[#This Row],[DEVOLUCIÓN]]</f>
        <v>12</v>
      </c>
      <c r="AD939" s="38" t="str">
        <f>+_xlfn.XLOOKUP(DETALLE_GD_1[[#This Row],[CODIGO]],PRODUCTOS[CODIGO],PRODUCTOS[DESC CORTA],"",0)</f>
        <v/>
      </c>
      <c r="AE939"/>
      <c r="AG939" s="3"/>
      <c r="AH939"/>
    </row>
    <row r="940" spans="1:34" x14ac:dyDescent="0.25">
      <c r="A940" s="1">
        <v>46132</v>
      </c>
      <c r="B940" s="1">
        <v>46132</v>
      </c>
      <c r="C940" s="81" t="s">
        <v>169</v>
      </c>
      <c r="D940" s="38">
        <v>4</v>
      </c>
      <c r="E940" s="81" t="s">
        <v>169</v>
      </c>
      <c r="F940">
        <v>2302119</v>
      </c>
      <c r="G940" s="81" t="s">
        <v>74</v>
      </c>
      <c r="H940" s="81" t="s">
        <v>31</v>
      </c>
      <c r="I940" s="3">
        <v>12</v>
      </c>
      <c r="J940" s="3"/>
      <c r="K940" s="26">
        <v>12</v>
      </c>
      <c r="L940" s="2">
        <v>3664.1667000000002</v>
      </c>
      <c r="M940" s="2">
        <v>43970</v>
      </c>
      <c r="N940" s="2">
        <v>43970</v>
      </c>
      <c r="O940" s="2">
        <v>3671</v>
      </c>
      <c r="P940" s="2">
        <v>6.8333000000000004</v>
      </c>
      <c r="Q940" s="2">
        <v>82</v>
      </c>
      <c r="R940" s="4">
        <v>1.8614364841551309E-3</v>
      </c>
      <c r="T940">
        <v>312883</v>
      </c>
      <c r="U940" s="2"/>
      <c r="V940">
        <v>6045</v>
      </c>
      <c r="W940" s="2">
        <v>6579000000</v>
      </c>
      <c r="X940" s="6">
        <v>44052</v>
      </c>
      <c r="Y940" s="38">
        <v>10010</v>
      </c>
      <c r="Z940" s="86">
        <f>+((DETALLE_GD_1[[#This Row],[VALOR X UN (GD)]]-DETALLE_GD_1[[#This Row],[VALOR PPTO]])/DETALLE_GD_1[[#This Row],[VALOR PPTO]])</f>
        <v>-1.8614274039770583E-3</v>
      </c>
      <c r="AA940" s="2">
        <f>+DETALLE_GD_1[[#This Row],[VALOR PPTO]]*DETALLE_GD_1[[#This Row],[CANTIDAD RECIBIDA]]</f>
        <v>44052</v>
      </c>
      <c r="AB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0" s="3">
        <f>+DETALLE_GD_1[[#This Row],[CANTIDAD SOLICITADA]]-DETALLE_GD_1[[#This Row],[DEVOLUCIÓN]]</f>
        <v>12</v>
      </c>
      <c r="AD940" s="38" t="str">
        <f>+_xlfn.XLOOKUP(DETALLE_GD_1[[#This Row],[CODIGO]],PRODUCTOS[CODIGO],PRODUCTOS[DESC CORTA],"",0)</f>
        <v>SELLO</v>
      </c>
      <c r="AE940"/>
      <c r="AG940" s="3"/>
      <c r="AH940"/>
    </row>
    <row r="941" spans="1:34" x14ac:dyDescent="0.25">
      <c r="A941" s="1">
        <v>46132</v>
      </c>
      <c r="B941" s="1">
        <v>46132</v>
      </c>
      <c r="C941" s="81" t="s">
        <v>169</v>
      </c>
      <c r="D941" s="38">
        <v>4</v>
      </c>
      <c r="E941" s="81" t="s">
        <v>169</v>
      </c>
      <c r="F941">
        <v>307031</v>
      </c>
      <c r="G941" s="81" t="s">
        <v>65</v>
      </c>
      <c r="H941" s="81" t="s">
        <v>31</v>
      </c>
      <c r="I941" s="3">
        <v>30</v>
      </c>
      <c r="J941" s="3"/>
      <c r="K941" s="26">
        <v>30</v>
      </c>
      <c r="L941" s="2">
        <v>2700</v>
      </c>
      <c r="M941" s="2">
        <v>81000</v>
      </c>
      <c r="N941" s="2">
        <v>81000</v>
      </c>
      <c r="O941" s="2">
        <v>2699.9985999999999</v>
      </c>
      <c r="P941" s="2">
        <v>-1.4E-3</v>
      </c>
      <c r="Q941" s="2">
        <v>-4.1799999999999997E-2</v>
      </c>
      <c r="R941" s="4">
        <v>-5.1666693335944687E-7</v>
      </c>
      <c r="T941">
        <v>312883</v>
      </c>
      <c r="U941" s="2"/>
      <c r="V941">
        <v>6045</v>
      </c>
      <c r="W941" s="2">
        <v>6579000000</v>
      </c>
      <c r="X941" s="6">
        <v>80999.95815000002</v>
      </c>
      <c r="Y941" s="38">
        <v>10010</v>
      </c>
      <c r="Z941" s="86">
        <f>+((DETALLE_GD_1[[#This Row],[VALOR X UN (GD)]]-DETALLE_GD_1[[#This Row],[VALOR PPTO]])/DETALLE_GD_1[[#This Row],[VALOR PPTO]])</f>
        <v>5.1851878741837811E-7</v>
      </c>
      <c r="AA941" s="2">
        <f>+DETALLE_GD_1[[#This Row],[VALOR PPTO]]*DETALLE_GD_1[[#This Row],[CANTIDAD RECIBIDA]]</f>
        <v>80999.957999999999</v>
      </c>
      <c r="AB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1" s="3">
        <f>+DETALLE_GD_1[[#This Row],[CANTIDAD SOLICITADA]]-DETALLE_GD_1[[#This Row],[DEVOLUCIÓN]]</f>
        <v>30</v>
      </c>
      <c r="AD941" s="38" t="str">
        <f>+_xlfn.XLOOKUP(DETALLE_GD_1[[#This Row],[CODIGO]],PRODUCTOS[CODIGO],PRODUCTOS[DESC CORTA],"",0)</f>
        <v>CORNIZA BLANCA</v>
      </c>
      <c r="AE941"/>
      <c r="AG941" s="3"/>
      <c r="AH941"/>
    </row>
    <row r="942" spans="1:34" x14ac:dyDescent="0.25">
      <c r="A942" s="1">
        <v>46132</v>
      </c>
      <c r="B942" s="1">
        <v>46132</v>
      </c>
      <c r="C942" s="81" t="s">
        <v>169</v>
      </c>
      <c r="D942" s="38">
        <v>4</v>
      </c>
      <c r="E942" s="81" t="s">
        <v>169</v>
      </c>
      <c r="F942">
        <v>2304002</v>
      </c>
      <c r="G942" s="81" t="s">
        <v>212</v>
      </c>
      <c r="H942" s="81" t="s">
        <v>31</v>
      </c>
      <c r="I942" s="3">
        <v>12</v>
      </c>
      <c r="J942" s="3"/>
      <c r="K942" s="26">
        <v>12</v>
      </c>
      <c r="L942" s="2">
        <v>1376.5</v>
      </c>
      <c r="M942" s="2">
        <v>16518</v>
      </c>
      <c r="N942" s="2">
        <v>16518</v>
      </c>
      <c r="O942" s="2">
        <v>1376.4717000000001</v>
      </c>
      <c r="P942" s="2">
        <v>-2.8299999999999999E-2</v>
      </c>
      <c r="Q942" s="2">
        <v>-0.33929999999999999</v>
      </c>
      <c r="R942" s="4">
        <v>-2.0542376212302997E-5</v>
      </c>
      <c r="T942">
        <v>312883</v>
      </c>
      <c r="U942" s="2"/>
      <c r="V942">
        <v>6045</v>
      </c>
      <c r="W942" s="2">
        <v>6579000000</v>
      </c>
      <c r="X942" s="6">
        <v>16517.660688</v>
      </c>
      <c r="Y942" s="38">
        <v>10010</v>
      </c>
      <c r="Z942" s="86">
        <f>+((DETALLE_GD_1[[#This Row],[VALOR X UN (GD)]]-DETALLE_GD_1[[#This Row],[VALOR PPTO]])/DETALLE_GD_1[[#This Row],[VALOR PPTO]])</f>
        <v>2.0559812453786519E-5</v>
      </c>
      <c r="AA942" s="2">
        <f>+DETALLE_GD_1[[#This Row],[VALOR PPTO]]*DETALLE_GD_1[[#This Row],[CANTIDAD RECIBIDA]]</f>
        <v>16517.660400000001</v>
      </c>
      <c r="AB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2" s="3">
        <f>+DETALLE_GD_1[[#This Row],[CANTIDAD SOLICITADA]]-DETALLE_GD_1[[#This Row],[DEVOLUCIÓN]]</f>
        <v>12</v>
      </c>
      <c r="AD942" s="38">
        <f>+_xlfn.XLOOKUP(DETALLE_GD_1[[#This Row],[CODIGO]],PRODUCTOS[CODIGO],PRODUCTOS[DESC CORTA],"",0)</f>
        <v>0</v>
      </c>
      <c r="AE942"/>
      <c r="AG942" s="3"/>
      <c r="AH942"/>
    </row>
    <row r="943" spans="1:34" x14ac:dyDescent="0.25">
      <c r="A943" s="1">
        <v>46132</v>
      </c>
      <c r="B943" s="1">
        <v>46132</v>
      </c>
      <c r="C943" s="81" t="s">
        <v>169</v>
      </c>
      <c r="D943" s="38">
        <v>4</v>
      </c>
      <c r="E943" s="81" t="s">
        <v>169</v>
      </c>
      <c r="F943">
        <v>2304053</v>
      </c>
      <c r="G943" s="81" t="s">
        <v>213</v>
      </c>
      <c r="H943" s="81" t="s">
        <v>31</v>
      </c>
      <c r="I943" s="3">
        <v>24</v>
      </c>
      <c r="J943" s="3"/>
      <c r="K943" s="26">
        <v>24</v>
      </c>
      <c r="L943" s="2">
        <v>988.625</v>
      </c>
      <c r="M943" s="2">
        <v>23727</v>
      </c>
      <c r="N943" s="2">
        <v>23727</v>
      </c>
      <c r="O943" s="2">
        <v>862</v>
      </c>
      <c r="P943" s="2">
        <v>-126.625</v>
      </c>
      <c r="Q943" s="2">
        <v>-3039</v>
      </c>
      <c r="R943" s="4">
        <v>-0.14689675174013905</v>
      </c>
      <c r="T943">
        <v>312883</v>
      </c>
      <c r="U943" s="2"/>
      <c r="V943">
        <v>6045</v>
      </c>
      <c r="W943" s="2">
        <v>6579000000</v>
      </c>
      <c r="X943" s="6">
        <v>20688.000000000004</v>
      </c>
      <c r="Y943" s="38">
        <v>10010</v>
      </c>
      <c r="Z943" s="86">
        <f>+((DETALLE_GD_1[[#This Row],[VALOR X UN (GD)]]-DETALLE_GD_1[[#This Row],[VALOR PPTO]])/DETALLE_GD_1[[#This Row],[VALOR PPTO]])</f>
        <v>0.14689675174013922</v>
      </c>
      <c r="AA943" s="2">
        <f>+DETALLE_GD_1[[#This Row],[VALOR PPTO]]*DETALLE_GD_1[[#This Row],[CANTIDAD RECIBIDA]]</f>
        <v>20688</v>
      </c>
      <c r="AB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3" s="3">
        <f>+DETALLE_GD_1[[#This Row],[CANTIDAD SOLICITADA]]-DETALLE_GD_1[[#This Row],[DEVOLUCIÓN]]</f>
        <v>24</v>
      </c>
      <c r="AD943" s="38">
        <f>+_xlfn.XLOOKUP(DETALLE_GD_1[[#This Row],[CODIGO]],PRODUCTOS[CODIGO],PRODUCTOS[DESC CORTA],"",0)</f>
        <v>0</v>
      </c>
      <c r="AE943"/>
      <c r="AG943" s="3"/>
      <c r="AH943"/>
    </row>
    <row r="944" spans="1:34" x14ac:dyDescent="0.25">
      <c r="A944" s="1">
        <v>46132</v>
      </c>
      <c r="B944" s="1">
        <v>46132</v>
      </c>
      <c r="C944" s="81" t="s">
        <v>169</v>
      </c>
      <c r="D944" s="38">
        <v>4</v>
      </c>
      <c r="E944" s="81" t="s">
        <v>169</v>
      </c>
      <c r="F944">
        <v>307096</v>
      </c>
      <c r="G944" s="81" t="s">
        <v>249</v>
      </c>
      <c r="H944" s="81" t="s">
        <v>137</v>
      </c>
      <c r="I944" s="3">
        <v>50</v>
      </c>
      <c r="J944" s="3"/>
      <c r="K944" s="26">
        <v>50</v>
      </c>
      <c r="L944" s="2">
        <v>1795.6</v>
      </c>
      <c r="M944" s="2">
        <v>89780</v>
      </c>
      <c r="N944" s="2">
        <v>89780</v>
      </c>
      <c r="O944" s="2">
        <v>2095.3501000000001</v>
      </c>
      <c r="P944" s="2">
        <v>299.75009999999997</v>
      </c>
      <c r="Q944" s="2">
        <v>14987.5064</v>
      </c>
      <c r="R944" s="4">
        <v>0.14305491232773293</v>
      </c>
      <c r="T944">
        <v>312883</v>
      </c>
      <c r="U944" s="2"/>
      <c r="V944">
        <v>6045</v>
      </c>
      <c r="W944" s="2">
        <v>6579000000</v>
      </c>
      <c r="X944" s="6">
        <v>104767.50644999991</v>
      </c>
      <c r="Y944" s="38">
        <v>10010</v>
      </c>
      <c r="Z944" s="86">
        <f>+((DETALLE_GD_1[[#This Row],[VALOR X UN (GD)]]-DETALLE_GD_1[[#This Row],[VALOR PPTO]])/DETALLE_GD_1[[#This Row],[VALOR PPTO]])</f>
        <v>-0.14305490046746852</v>
      </c>
      <c r="AA944" s="2">
        <f>+DETALLE_GD_1[[#This Row],[VALOR PPTO]]*DETALLE_GD_1[[#This Row],[CANTIDAD RECIBIDA]]</f>
        <v>104767.505</v>
      </c>
      <c r="AB9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44" s="3">
        <f>+DETALLE_GD_1[[#This Row],[CANTIDAD SOLICITADA]]-DETALLE_GD_1[[#This Row],[DEVOLUCIÓN]]</f>
        <v>50</v>
      </c>
      <c r="AD944" s="38" t="str">
        <f>+_xlfn.XLOOKUP(DETALLE_GD_1[[#This Row],[CODIGO]],PRODUCTOS[CODIGO],PRODUCTOS[DESC CORTA],"",0)</f>
        <v>CUBREJUNTA</v>
      </c>
      <c r="AE944"/>
      <c r="AG944" s="3"/>
      <c r="AH944"/>
    </row>
    <row r="945" spans="1:34" x14ac:dyDescent="0.25">
      <c r="A945" s="1">
        <v>46132</v>
      </c>
      <c r="B945" s="1">
        <v>46132</v>
      </c>
      <c r="C945" s="81" t="s">
        <v>169</v>
      </c>
      <c r="D945" s="38">
        <v>4</v>
      </c>
      <c r="E945" s="81" t="s">
        <v>169</v>
      </c>
      <c r="F945">
        <v>307033</v>
      </c>
      <c r="G945" s="81" t="s">
        <v>248</v>
      </c>
      <c r="H945" s="81" t="s">
        <v>31</v>
      </c>
      <c r="I945" s="3">
        <v>50</v>
      </c>
      <c r="J945" s="3"/>
      <c r="K945" s="26">
        <v>50</v>
      </c>
      <c r="L945" s="2">
        <v>1889.62</v>
      </c>
      <c r="M945" s="2">
        <v>94481</v>
      </c>
      <c r="N945" s="2">
        <v>94481</v>
      </c>
      <c r="O945" s="2">
        <v>1889.0535</v>
      </c>
      <c r="P945" s="2">
        <v>-0.5665</v>
      </c>
      <c r="Q945" s="2">
        <v>-28.322800000000001</v>
      </c>
      <c r="R945" s="4">
        <v>-2.9986233148297494E-4</v>
      </c>
      <c r="T945">
        <v>312883</v>
      </c>
      <c r="U945" s="2"/>
      <c r="V945">
        <v>6045</v>
      </c>
      <c r="W945" s="2">
        <v>6579000000</v>
      </c>
      <c r="X945" s="6">
        <v>94452.677199999991</v>
      </c>
      <c r="Y945" s="38">
        <v>10010</v>
      </c>
      <c r="Z945" s="86">
        <f>+((DETALLE_GD_1[[#This Row],[VALOR X UN (GD)]]-DETALLE_GD_1[[#This Row],[VALOR PPTO]])/DETALLE_GD_1[[#This Row],[VALOR PPTO]])</f>
        <v>2.9988563055514597E-4</v>
      </c>
      <c r="AA945" s="2">
        <f>+DETALLE_GD_1[[#This Row],[VALOR PPTO]]*DETALLE_GD_1[[#This Row],[CANTIDAD RECIBIDA]]</f>
        <v>94452.675000000003</v>
      </c>
      <c r="AB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5" s="3">
        <f>+DETALLE_GD_1[[#This Row],[CANTIDAD SOLICITADA]]-DETALLE_GD_1[[#This Row],[DEVOLUCIÓN]]</f>
        <v>50</v>
      </c>
      <c r="AD945" s="38">
        <f>+_xlfn.XLOOKUP(DETALLE_GD_1[[#This Row],[CODIGO]],PRODUCTOS[CODIGO],PRODUCTOS[DESC CORTA],"",0)</f>
        <v>0</v>
      </c>
      <c r="AE945"/>
      <c r="AG945" s="3"/>
      <c r="AH945"/>
    </row>
    <row r="946" spans="1:34" x14ac:dyDescent="0.25">
      <c r="A946" s="1">
        <v>46132</v>
      </c>
      <c r="B946" s="1">
        <v>46132</v>
      </c>
      <c r="C946" s="81" t="s">
        <v>169</v>
      </c>
      <c r="D946" s="38">
        <v>4</v>
      </c>
      <c r="E946" s="81" t="s">
        <v>169</v>
      </c>
      <c r="F946">
        <v>2304002</v>
      </c>
      <c r="G946" s="81" t="s">
        <v>212</v>
      </c>
      <c r="H946" s="81" t="s">
        <v>31</v>
      </c>
      <c r="I946" s="3">
        <v>12</v>
      </c>
      <c r="J946" s="3"/>
      <c r="K946" s="26">
        <v>12</v>
      </c>
      <c r="L946" s="2">
        <v>1376.5</v>
      </c>
      <c r="M946" s="2">
        <v>16518</v>
      </c>
      <c r="N946" s="2">
        <v>16518</v>
      </c>
      <c r="O946" s="2">
        <v>1376.4717000000001</v>
      </c>
      <c r="P946" s="2">
        <v>-2.8299999999999999E-2</v>
      </c>
      <c r="Q946" s="2">
        <v>-0.33929999999999999</v>
      </c>
      <c r="R946" s="4">
        <v>-2.0542376212302997E-5</v>
      </c>
      <c r="T946">
        <v>312960</v>
      </c>
      <c r="U946" s="2">
        <v>55399</v>
      </c>
      <c r="V946">
        <v>6045</v>
      </c>
      <c r="W946" s="2">
        <v>6579000000</v>
      </c>
      <c r="X946" s="6">
        <v>16517.660688</v>
      </c>
      <c r="Y946" s="38">
        <v>10010</v>
      </c>
      <c r="Z946" s="86">
        <f>+((DETALLE_GD_1[[#This Row],[VALOR X UN (GD)]]-DETALLE_GD_1[[#This Row],[VALOR PPTO]])/DETALLE_GD_1[[#This Row],[VALOR PPTO]])</f>
        <v>2.0559812453786519E-5</v>
      </c>
      <c r="AA946" s="2">
        <f>+DETALLE_GD_1[[#This Row],[VALOR PPTO]]*DETALLE_GD_1[[#This Row],[CANTIDAD RECIBIDA]]</f>
        <v>16517.660400000001</v>
      </c>
      <c r="AB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6" s="3">
        <f>+DETALLE_GD_1[[#This Row],[CANTIDAD SOLICITADA]]-DETALLE_GD_1[[#This Row],[DEVOLUCIÓN]]</f>
        <v>12</v>
      </c>
      <c r="AD946" s="38">
        <f>+_xlfn.XLOOKUP(DETALLE_GD_1[[#This Row],[CODIGO]],PRODUCTOS[CODIGO],PRODUCTOS[DESC CORTA],"",0)</f>
        <v>0</v>
      </c>
      <c r="AE946"/>
      <c r="AG946" s="3"/>
      <c r="AH946"/>
    </row>
    <row r="947" spans="1:34" x14ac:dyDescent="0.25">
      <c r="A947" s="1">
        <v>46132</v>
      </c>
      <c r="B947" s="1">
        <v>46132</v>
      </c>
      <c r="C947" s="81" t="s">
        <v>169</v>
      </c>
      <c r="D947" s="38">
        <v>4</v>
      </c>
      <c r="E947" s="81" t="s">
        <v>169</v>
      </c>
      <c r="F947">
        <v>407049</v>
      </c>
      <c r="G947" s="81" t="s">
        <v>232</v>
      </c>
      <c r="H947" s="81" t="s">
        <v>31</v>
      </c>
      <c r="I947" s="3">
        <v>400</v>
      </c>
      <c r="J947" s="3"/>
      <c r="K947" s="26">
        <v>400</v>
      </c>
      <c r="L947" s="2">
        <v>16.202500000000001</v>
      </c>
      <c r="M947" s="2">
        <v>6481</v>
      </c>
      <c r="N947" s="2">
        <v>6481</v>
      </c>
      <c r="O947" s="2">
        <v>16.202200000000001</v>
      </c>
      <c r="P947" s="2">
        <v>-2.9999999999999997E-4</v>
      </c>
      <c r="Q947" s="2">
        <v>-0.13519999999999999</v>
      </c>
      <c r="R947" s="4">
        <v>-2.0861413433545681E-5</v>
      </c>
      <c r="T947">
        <v>312960</v>
      </c>
      <c r="U947" s="2"/>
      <c r="V947">
        <v>6045</v>
      </c>
      <c r="W947" s="2">
        <v>6579000000</v>
      </c>
      <c r="X947" s="6">
        <v>6480.8648000000003</v>
      </c>
      <c r="Y947" s="38">
        <v>10010</v>
      </c>
      <c r="Z947" s="86">
        <f>+((DETALLE_GD_1[[#This Row],[VALOR X UN (GD)]]-DETALLE_GD_1[[#This Row],[VALOR PPTO]])/DETALLE_GD_1[[#This Row],[VALOR PPTO]])</f>
        <v>1.8516003999413709E-5</v>
      </c>
      <c r="AA947" s="2">
        <f>+DETALLE_GD_1[[#This Row],[VALOR PPTO]]*DETALLE_GD_1[[#This Row],[CANTIDAD RECIBIDA]]</f>
        <v>6480.88</v>
      </c>
      <c r="AB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7" s="3">
        <f>+DETALLE_GD_1[[#This Row],[CANTIDAD SOLICITADA]]-DETALLE_GD_1[[#This Row],[DEVOLUCIÓN]]</f>
        <v>400</v>
      </c>
      <c r="AD947" s="38">
        <f>+_xlfn.XLOOKUP(DETALLE_GD_1[[#This Row],[CODIGO]],PRODUCTOS[CODIGO],PRODUCTOS[DESC CORTA],"",0)</f>
        <v>0</v>
      </c>
      <c r="AE947"/>
      <c r="AG947" s="3"/>
      <c r="AH947"/>
    </row>
    <row r="948" spans="1:34" x14ac:dyDescent="0.25">
      <c r="A948" s="1">
        <v>46132</v>
      </c>
      <c r="B948" s="1">
        <v>46132</v>
      </c>
      <c r="C948" s="81" t="s">
        <v>169</v>
      </c>
      <c r="D948" s="38">
        <v>4</v>
      </c>
      <c r="E948" s="81" t="s">
        <v>169</v>
      </c>
      <c r="F948">
        <v>704023</v>
      </c>
      <c r="G948" s="81" t="s">
        <v>331</v>
      </c>
      <c r="H948" s="81" t="s">
        <v>31</v>
      </c>
      <c r="I948" s="3">
        <v>100</v>
      </c>
      <c r="J948" s="3"/>
      <c r="K948" s="26">
        <v>100</v>
      </c>
      <c r="L948" s="2">
        <v>324</v>
      </c>
      <c r="M948" s="2">
        <v>32400</v>
      </c>
      <c r="N948" s="2">
        <v>32400</v>
      </c>
      <c r="O948" s="2">
        <v>324</v>
      </c>
      <c r="P948" s="2">
        <v>0</v>
      </c>
      <c r="Q948" s="2">
        <v>0</v>
      </c>
      <c r="R948" s="4">
        <v>0</v>
      </c>
      <c r="T948">
        <v>312960</v>
      </c>
      <c r="U948" s="2"/>
      <c r="V948">
        <v>6045</v>
      </c>
      <c r="W948" s="2">
        <v>6579000000</v>
      </c>
      <c r="X948" s="6">
        <v>32400</v>
      </c>
      <c r="Y948" s="38">
        <v>10010</v>
      </c>
      <c r="Z948" s="86">
        <f>+((DETALLE_GD_1[[#This Row],[VALOR X UN (GD)]]-DETALLE_GD_1[[#This Row],[VALOR PPTO]])/DETALLE_GD_1[[#This Row],[VALOR PPTO]])</f>
        <v>0</v>
      </c>
      <c r="AA948" s="2">
        <f>+DETALLE_GD_1[[#This Row],[VALOR PPTO]]*DETALLE_GD_1[[#This Row],[CANTIDAD RECIBIDA]]</f>
        <v>32400</v>
      </c>
      <c r="AB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8" s="3">
        <f>+DETALLE_GD_1[[#This Row],[CANTIDAD SOLICITADA]]-DETALLE_GD_1[[#This Row],[DEVOLUCIÓN]]</f>
        <v>100</v>
      </c>
      <c r="AD948" s="38" t="str">
        <f>+_xlfn.XLOOKUP(DETALLE_GD_1[[#This Row],[CODIGO]],PRODUCTOS[CODIGO],PRODUCTOS[DESC CORTA],"",0)</f>
        <v>ESQUINERO GUARDAPOLVO INTERIOR</v>
      </c>
      <c r="AE948"/>
      <c r="AG948" s="3"/>
      <c r="AH948"/>
    </row>
    <row r="949" spans="1:34" x14ac:dyDescent="0.25">
      <c r="A949" s="1">
        <v>46132</v>
      </c>
      <c r="B949" s="1">
        <v>46132</v>
      </c>
      <c r="C949" s="81" t="s">
        <v>169</v>
      </c>
      <c r="D949" s="38">
        <v>4</v>
      </c>
      <c r="E949" s="81" t="s">
        <v>169</v>
      </c>
      <c r="F949">
        <v>304012</v>
      </c>
      <c r="G949" s="81" t="s">
        <v>710</v>
      </c>
      <c r="H949" s="81" t="s">
        <v>18</v>
      </c>
      <c r="I949" s="3">
        <v>10</v>
      </c>
      <c r="J949" s="3"/>
      <c r="K949" s="26">
        <v>10</v>
      </c>
      <c r="L949" s="2">
        <v>6004.4</v>
      </c>
      <c r="M949" s="2">
        <v>60044</v>
      </c>
      <c r="N949" s="2">
        <v>60044</v>
      </c>
      <c r="O949" s="2">
        <v>0</v>
      </c>
      <c r="P949" s="2">
        <v>-6004.4</v>
      </c>
      <c r="Q949" s="2">
        <v>-60044</v>
      </c>
      <c r="R949" s="4"/>
      <c r="T949">
        <v>312993</v>
      </c>
      <c r="U949" s="2">
        <v>2283886</v>
      </c>
      <c r="V949">
        <v>6045</v>
      </c>
      <c r="W949" s="2">
        <v>6579000000</v>
      </c>
      <c r="X949" s="6">
        <v>0</v>
      </c>
      <c r="Y949" s="38">
        <v>10010</v>
      </c>
      <c r="Z949" s="86" t="e">
        <f>+((DETALLE_GD_1[[#This Row],[VALOR X UN (GD)]]-DETALLE_GD_1[[#This Row],[VALOR PPTO]])/DETALLE_GD_1[[#This Row],[VALOR PPTO]])</f>
        <v>#DIV/0!</v>
      </c>
      <c r="AA949" s="2">
        <f>+DETALLE_GD_1[[#This Row],[VALOR PPTO]]*DETALLE_GD_1[[#This Row],[CANTIDAD RECIBIDA]]</f>
        <v>0</v>
      </c>
      <c r="AB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9" s="3">
        <f>+DETALLE_GD_1[[#This Row],[CANTIDAD SOLICITADA]]-DETALLE_GD_1[[#This Row],[DEVOLUCIÓN]]</f>
        <v>10</v>
      </c>
      <c r="AD949" s="38" t="str">
        <f>+_xlfn.XLOOKUP(DETALLE_GD_1[[#This Row],[CODIGO]],PRODUCTOS[CODIGO],PRODUCTOS[DESC CORTA],"",0)</f>
        <v/>
      </c>
    </row>
    <row r="950" spans="1:34" x14ac:dyDescent="0.25">
      <c r="A950" s="1">
        <v>46132</v>
      </c>
      <c r="B950" s="1">
        <v>46132</v>
      </c>
      <c r="C950" s="81" t="s">
        <v>169</v>
      </c>
      <c r="D950" s="38">
        <v>4</v>
      </c>
      <c r="E950" s="81" t="s">
        <v>169</v>
      </c>
      <c r="F950">
        <v>1802171</v>
      </c>
      <c r="G950" s="81" t="s">
        <v>265</v>
      </c>
      <c r="H950" s="81" t="s">
        <v>31</v>
      </c>
      <c r="I950" s="3">
        <v>1</v>
      </c>
      <c r="J950" s="3"/>
      <c r="K950" s="26">
        <v>1</v>
      </c>
      <c r="L950" s="2">
        <v>3229</v>
      </c>
      <c r="M950" s="2">
        <v>3229</v>
      </c>
      <c r="N950" s="2">
        <v>3229</v>
      </c>
      <c r="O950" s="2">
        <v>3632</v>
      </c>
      <c r="P950" s="2">
        <v>403</v>
      </c>
      <c r="Q950" s="2">
        <v>403</v>
      </c>
      <c r="R950" s="4">
        <v>0.11095814977973568</v>
      </c>
      <c r="T950">
        <v>312993</v>
      </c>
      <c r="U950" s="2"/>
      <c r="V950">
        <v>6045</v>
      </c>
      <c r="W950" s="2">
        <v>6579000000</v>
      </c>
      <c r="X950" s="6">
        <v>3632</v>
      </c>
      <c r="Y950" s="38">
        <v>10010</v>
      </c>
      <c r="Z950" s="86">
        <f>+((DETALLE_GD_1[[#This Row],[VALOR X UN (GD)]]-DETALLE_GD_1[[#This Row],[VALOR PPTO]])/DETALLE_GD_1[[#This Row],[VALOR PPTO]])</f>
        <v>-0.11095814977973568</v>
      </c>
      <c r="AA950" s="2">
        <f>+DETALLE_GD_1[[#This Row],[VALOR PPTO]]*DETALLE_GD_1[[#This Row],[CANTIDAD RECIBIDA]]</f>
        <v>3632</v>
      </c>
      <c r="AB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0" s="3">
        <f>+DETALLE_GD_1[[#This Row],[CANTIDAD SOLICITADA]]-DETALLE_GD_1[[#This Row],[DEVOLUCIÓN]]</f>
        <v>1</v>
      </c>
      <c r="AD950" s="38" t="str">
        <f>+_xlfn.XLOOKUP(DETALLE_GD_1[[#This Row],[CODIGO]],PRODUCTOS[CODIGO],PRODUCTOS[DESC CORTA],"",0)</f>
        <v>PORTA ROLLO BENTON</v>
      </c>
    </row>
    <row r="951" spans="1:34" x14ac:dyDescent="0.25">
      <c r="A951" s="1">
        <v>46132</v>
      </c>
      <c r="B951" s="1">
        <v>46132</v>
      </c>
      <c r="C951" s="81" t="s">
        <v>169</v>
      </c>
      <c r="D951" s="38">
        <v>4</v>
      </c>
      <c r="E951" s="81" t="s">
        <v>169</v>
      </c>
      <c r="F951">
        <v>2508988</v>
      </c>
      <c r="G951" s="81" t="s">
        <v>469</v>
      </c>
      <c r="H951" s="81" t="s">
        <v>90</v>
      </c>
      <c r="I951" s="3">
        <v>1</v>
      </c>
      <c r="J951" s="3"/>
      <c r="K951" s="26">
        <v>1</v>
      </c>
      <c r="L951" s="2">
        <v>142676</v>
      </c>
      <c r="M951" s="2">
        <v>142676</v>
      </c>
      <c r="N951" s="2">
        <v>142676</v>
      </c>
      <c r="O951" s="2"/>
      <c r="P951" s="2"/>
      <c r="Q951" s="2">
        <v>-142676</v>
      </c>
      <c r="R951" s="4"/>
      <c r="T951">
        <v>312993</v>
      </c>
      <c r="U951" s="2"/>
      <c r="V951">
        <v>6045</v>
      </c>
      <c r="W951" s="2">
        <v>6579000000</v>
      </c>
      <c r="X951" s="6" t="s">
        <v>355</v>
      </c>
      <c r="Y951" s="38">
        <v>10010</v>
      </c>
      <c r="Z951" s="86" t="e">
        <f>+((DETALLE_GD_1[[#This Row],[VALOR X UN (GD)]]-DETALLE_GD_1[[#This Row],[VALOR PPTO]])/DETALLE_GD_1[[#This Row],[VALOR PPTO]])</f>
        <v>#DIV/0!</v>
      </c>
      <c r="AA951" s="2">
        <f>+DETALLE_GD_1[[#This Row],[VALOR PPTO]]*DETALLE_GD_1[[#This Row],[CANTIDAD RECIBIDA]]</f>
        <v>0</v>
      </c>
      <c r="AB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1" s="3">
        <f>+DETALLE_GD_1[[#This Row],[CANTIDAD SOLICITADA]]-DETALLE_GD_1[[#This Row],[DEVOLUCIÓN]]</f>
        <v>1</v>
      </c>
      <c r="AD951" s="38" t="str">
        <f>+_xlfn.XLOOKUP(DETALLE_GD_1[[#This Row],[CODIGO]],PRODUCTOS[CODIGO],PRODUCTOS[DESC CORTA],"",0)</f>
        <v/>
      </c>
    </row>
    <row r="952" spans="1:34" x14ac:dyDescent="0.25">
      <c r="A952" s="1">
        <v>46132</v>
      </c>
      <c r="B952" s="1">
        <v>46132</v>
      </c>
      <c r="C952" s="81" t="s">
        <v>169</v>
      </c>
      <c r="D952" s="38">
        <v>4</v>
      </c>
      <c r="E952" s="81" t="s">
        <v>169</v>
      </c>
      <c r="F952">
        <v>1103076</v>
      </c>
      <c r="G952" s="81" t="s">
        <v>311</v>
      </c>
      <c r="H952" s="81" t="s">
        <v>31</v>
      </c>
      <c r="I952" s="3">
        <v>4</v>
      </c>
      <c r="J952" s="3"/>
      <c r="K952" s="26">
        <v>4</v>
      </c>
      <c r="L952" s="2">
        <v>3190.75</v>
      </c>
      <c r="M952" s="2">
        <v>12763</v>
      </c>
      <c r="N952" s="2">
        <v>12763</v>
      </c>
      <c r="O952" s="2">
        <v>3191</v>
      </c>
      <c r="P952" s="2">
        <v>0.25</v>
      </c>
      <c r="Q952" s="2">
        <v>1</v>
      </c>
      <c r="R952" s="4">
        <v>7.8345346286430597E-5</v>
      </c>
      <c r="T952">
        <v>312993</v>
      </c>
      <c r="U952" s="2"/>
      <c r="V952">
        <v>6045</v>
      </c>
      <c r="W952" s="2">
        <v>6579000000</v>
      </c>
      <c r="X952" s="6">
        <v>12764</v>
      </c>
      <c r="Y952" s="38">
        <v>10010</v>
      </c>
      <c r="Z952" s="86">
        <f>+((DETALLE_GD_1[[#This Row],[VALOR X UN (GD)]]-DETALLE_GD_1[[#This Row],[VALOR PPTO]])/DETALLE_GD_1[[#This Row],[VALOR PPTO]])</f>
        <v>-7.8345346286430584E-5</v>
      </c>
      <c r="AA952" s="2">
        <f>+DETALLE_GD_1[[#This Row],[VALOR PPTO]]*DETALLE_GD_1[[#This Row],[CANTIDAD RECIBIDA]]</f>
        <v>12764</v>
      </c>
      <c r="AB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2" s="3">
        <f>+DETALLE_GD_1[[#This Row],[CANTIDAD SOLICITADA]]-DETALLE_GD_1[[#This Row],[DEVOLUCIÓN]]</f>
        <v>4</v>
      </c>
      <c r="AD952" s="38" t="str">
        <f>+_xlfn.XLOOKUP(DETALLE_GD_1[[#This Row],[CODIGO]],PRODUCTOS[CODIGO],PRODUCTOS[DESC CORTA],"",0)</f>
        <v>PERFIL ESQUINERO INTERIOR</v>
      </c>
    </row>
    <row r="953" spans="1:34" x14ac:dyDescent="0.25">
      <c r="A953" s="1">
        <v>46132</v>
      </c>
      <c r="B953" s="1">
        <v>46132</v>
      </c>
      <c r="C953" s="81" t="s">
        <v>169</v>
      </c>
      <c r="D953" s="38">
        <v>4</v>
      </c>
      <c r="E953" s="81" t="s">
        <v>169</v>
      </c>
      <c r="F953">
        <v>1103074</v>
      </c>
      <c r="G953" s="81" t="s">
        <v>310</v>
      </c>
      <c r="H953" s="81" t="s">
        <v>31</v>
      </c>
      <c r="I953" s="3">
        <v>4</v>
      </c>
      <c r="J953" s="3"/>
      <c r="K953" s="26">
        <v>4</v>
      </c>
      <c r="L953" s="2">
        <v>2427</v>
      </c>
      <c r="M953" s="2">
        <v>9708</v>
      </c>
      <c r="N953" s="2">
        <v>9708</v>
      </c>
      <c r="O953" s="2">
        <v>2427</v>
      </c>
      <c r="P953" s="2">
        <v>0</v>
      </c>
      <c r="Q953" s="2">
        <v>0</v>
      </c>
      <c r="R953" s="4">
        <v>0</v>
      </c>
      <c r="T953">
        <v>312993</v>
      </c>
      <c r="U953" s="2"/>
      <c r="V953">
        <v>6045</v>
      </c>
      <c r="W953" s="2">
        <v>6579000000</v>
      </c>
      <c r="X953" s="6">
        <v>9708</v>
      </c>
      <c r="Y953" s="38">
        <v>10010</v>
      </c>
      <c r="Z953" s="86">
        <f>+((DETALLE_GD_1[[#This Row],[VALOR X UN (GD)]]-DETALLE_GD_1[[#This Row],[VALOR PPTO]])/DETALLE_GD_1[[#This Row],[VALOR PPTO]])</f>
        <v>0</v>
      </c>
      <c r="AA953" s="2">
        <f>+DETALLE_GD_1[[#This Row],[VALOR PPTO]]*DETALLE_GD_1[[#This Row],[CANTIDAD RECIBIDA]]</f>
        <v>9708</v>
      </c>
      <c r="AB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3" s="3">
        <f>+DETALLE_GD_1[[#This Row],[CANTIDAD SOLICITADA]]-DETALLE_GD_1[[#This Row],[DEVOLUCIÓN]]</f>
        <v>4</v>
      </c>
      <c r="AD953" s="38" t="str">
        <f>+_xlfn.XLOOKUP(DETALLE_GD_1[[#This Row],[CODIGO]],PRODUCTOS[CODIGO],PRODUCTOS[DESC CORTA],"",0)</f>
        <v>PERFIL ESQUINERO ENCUENTRO</v>
      </c>
    </row>
    <row r="954" spans="1:34" x14ac:dyDescent="0.25">
      <c r="A954" s="1">
        <v>46132</v>
      </c>
      <c r="B954" s="1">
        <v>46132</v>
      </c>
      <c r="C954" s="81" t="s">
        <v>169</v>
      </c>
      <c r="D954" s="38">
        <v>4</v>
      </c>
      <c r="E954" s="81" t="s">
        <v>169</v>
      </c>
      <c r="F954">
        <v>907031</v>
      </c>
      <c r="G954" s="81" t="s">
        <v>256</v>
      </c>
      <c r="H954" s="81" t="s">
        <v>47</v>
      </c>
      <c r="I954" s="3">
        <v>5</v>
      </c>
      <c r="J954" s="3"/>
      <c r="K954" s="26">
        <v>5</v>
      </c>
      <c r="L954" s="2">
        <v>154915.6</v>
      </c>
      <c r="M954" s="2">
        <v>774578</v>
      </c>
      <c r="N954" s="2">
        <v>774578</v>
      </c>
      <c r="O954" s="2">
        <v>156269.1667</v>
      </c>
      <c r="P954" s="2">
        <v>1353.5667000000001</v>
      </c>
      <c r="Q954" s="2">
        <v>6767.8333000000002</v>
      </c>
      <c r="R954" s="4">
        <v>8.6617641590449046E-3</v>
      </c>
      <c r="T954">
        <v>312993</v>
      </c>
      <c r="U954" s="2"/>
      <c r="V954">
        <v>6045</v>
      </c>
      <c r="W954" s="2">
        <v>6579000000</v>
      </c>
      <c r="X954" s="6">
        <v>781345.83333500021</v>
      </c>
      <c r="Y954" s="38">
        <v>10010</v>
      </c>
      <c r="Z954" s="86">
        <f>+((DETALLE_GD_1[[#This Row],[VALOR X UN (GD)]]-DETALLE_GD_1[[#This Row],[VALOR PPTO]])/DETALLE_GD_1[[#This Row],[VALOR PPTO]])</f>
        <v>-8.6617643683896076E-3</v>
      </c>
      <c r="AA954" s="2">
        <f>+DETALLE_GD_1[[#This Row],[VALOR PPTO]]*DETALLE_GD_1[[#This Row],[CANTIDAD RECIBIDA]]</f>
        <v>781345.83349999995</v>
      </c>
      <c r="AB9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54" s="3">
        <f>+DETALLE_GD_1[[#This Row],[CANTIDAD SOLICITADA]]-DETALLE_GD_1[[#This Row],[DEVOLUCIÓN]]</f>
        <v>5</v>
      </c>
      <c r="AD954" s="38" t="str">
        <f>+_xlfn.XLOOKUP(DETALLE_GD_1[[#This Row],[CODIGO]],PRODUCTOS[CODIGO],PRODUCTOS[DESC CORTA],"",0)</f>
        <v>MEMBRANA PVC</v>
      </c>
    </row>
    <row r="955" spans="1:34" x14ac:dyDescent="0.25">
      <c r="A955" s="1">
        <v>46132</v>
      </c>
      <c r="B955" s="1">
        <v>46132</v>
      </c>
      <c r="C955" s="81" t="s">
        <v>169</v>
      </c>
      <c r="D955" s="38">
        <v>4</v>
      </c>
      <c r="E955" s="81" t="s">
        <v>169</v>
      </c>
      <c r="F955">
        <v>2302017</v>
      </c>
      <c r="G955" s="81" t="s">
        <v>156</v>
      </c>
      <c r="H955" s="81" t="s">
        <v>25</v>
      </c>
      <c r="I955" s="3">
        <v>4</v>
      </c>
      <c r="J955" s="3"/>
      <c r="K955" s="26">
        <v>4</v>
      </c>
      <c r="L955" s="2">
        <v>81199.75</v>
      </c>
      <c r="M955" s="2">
        <v>324799</v>
      </c>
      <c r="N955" s="2">
        <v>324799</v>
      </c>
      <c r="O955" s="2">
        <v>81197.881599999993</v>
      </c>
      <c r="P955" s="2">
        <v>-1.8684000000000001</v>
      </c>
      <c r="Q955" s="2">
        <v>-7.4737</v>
      </c>
      <c r="R955" s="4">
        <v>-2.3010711162497491E-5</v>
      </c>
      <c r="T955">
        <v>312993</v>
      </c>
      <c r="U955" s="2"/>
      <c r="V955">
        <v>6045</v>
      </c>
      <c r="W955" s="2">
        <v>6579000000</v>
      </c>
      <c r="X955" s="6">
        <v>324791.52631599992</v>
      </c>
      <c r="Y955" s="38">
        <v>10010</v>
      </c>
      <c r="Z955" s="86">
        <f>+((DETALLE_GD_1[[#This Row],[VALOR X UN (GD)]]-DETALLE_GD_1[[#This Row],[VALOR PPTO]])/DETALLE_GD_1[[#This Row],[VALOR PPTO]])</f>
        <v>2.3010452528932222E-5</v>
      </c>
      <c r="AA955" s="2">
        <f>+DETALLE_GD_1[[#This Row],[VALOR PPTO]]*DETALLE_GD_1[[#This Row],[CANTIDAD RECIBIDA]]</f>
        <v>324791.52639999997</v>
      </c>
      <c r="AB9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5" s="3">
        <f>+DETALLE_GD_1[[#This Row],[CANTIDAD SOLICITADA]]-DETALLE_GD_1[[#This Row],[DEVOLUCIÓN]]</f>
        <v>4</v>
      </c>
      <c r="AD955" s="38">
        <f>+_xlfn.XLOOKUP(DETALLE_GD_1[[#This Row],[CODIGO]],PRODUCTOS[CODIGO],PRODUCTOS[DESC CORTA],"",0)</f>
        <v>0</v>
      </c>
    </row>
    <row r="956" spans="1:34" x14ac:dyDescent="0.25">
      <c r="A956" s="1">
        <v>46132</v>
      </c>
      <c r="B956" s="1">
        <v>46132</v>
      </c>
      <c r="C956" s="81" t="s">
        <v>169</v>
      </c>
      <c r="D956" s="38">
        <v>4</v>
      </c>
      <c r="E956" s="81" t="s">
        <v>169</v>
      </c>
      <c r="F956">
        <v>1610023</v>
      </c>
      <c r="G956" s="81" t="s">
        <v>351</v>
      </c>
      <c r="H956" s="81" t="s">
        <v>28</v>
      </c>
      <c r="I956" s="3">
        <v>4</v>
      </c>
      <c r="J956" s="3"/>
      <c r="K956" s="26">
        <v>4</v>
      </c>
      <c r="L956" s="2">
        <v>2278.25</v>
      </c>
      <c r="M956" s="2">
        <v>9113</v>
      </c>
      <c r="N956" s="2">
        <v>9113</v>
      </c>
      <c r="O956" s="2">
        <v>2109.0585000000001</v>
      </c>
      <c r="P956" s="2">
        <v>-169.19149999999999</v>
      </c>
      <c r="Q956" s="2">
        <v>-676.76580000000001</v>
      </c>
      <c r="R956" s="4">
        <v>-8.0221318958532614E-2</v>
      </c>
      <c r="T956">
        <v>312993</v>
      </c>
      <c r="U956" s="2"/>
      <c r="V956">
        <v>6045</v>
      </c>
      <c r="W956" s="2">
        <v>6579000000</v>
      </c>
      <c r="X956" s="6">
        <v>8436.2341680000009</v>
      </c>
      <c r="Y956" s="38">
        <v>10010</v>
      </c>
      <c r="Z956" s="86">
        <f>+((DETALLE_GD_1[[#This Row],[VALOR X UN (GD)]]-DETALLE_GD_1[[#This Row],[VALOR PPTO]])/DETALLE_GD_1[[#This Row],[VALOR PPTO]])</f>
        <v>8.0221340470167088E-2</v>
      </c>
      <c r="AA956" s="2">
        <f>+DETALLE_GD_1[[#This Row],[VALOR PPTO]]*DETALLE_GD_1[[#This Row],[CANTIDAD RECIBIDA]]</f>
        <v>8436.2340000000004</v>
      </c>
      <c r="AB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6" s="3">
        <f>+DETALLE_GD_1[[#This Row],[CANTIDAD SOLICITADA]]-DETALLE_GD_1[[#This Row],[DEVOLUCIÓN]]</f>
        <v>4</v>
      </c>
      <c r="AD956" s="38" t="str">
        <f>+_xlfn.XLOOKUP(DETALLE_GD_1[[#This Row],[CODIGO]],PRODUCTOS[CODIGO],PRODUCTOS[DESC CORTA],"",0)</f>
        <v>TRAPOS DE ASEO</v>
      </c>
    </row>
    <row r="957" spans="1:34" x14ac:dyDescent="0.25">
      <c r="A957" s="1">
        <v>46132</v>
      </c>
      <c r="B957" s="1">
        <v>46132</v>
      </c>
      <c r="C957" s="81" t="s">
        <v>169</v>
      </c>
      <c r="D957" s="38">
        <v>4</v>
      </c>
      <c r="E957" s="81" t="s">
        <v>169</v>
      </c>
      <c r="F957">
        <v>609008</v>
      </c>
      <c r="G957" s="81" t="s">
        <v>57</v>
      </c>
      <c r="H957" s="81" t="s">
        <v>58</v>
      </c>
      <c r="I957" s="3">
        <v>4</v>
      </c>
      <c r="J957" s="3"/>
      <c r="K957" s="26">
        <v>4</v>
      </c>
      <c r="L957" s="2">
        <v>2185.25</v>
      </c>
      <c r="M957" s="2">
        <v>8741</v>
      </c>
      <c r="N957" s="2">
        <v>8741</v>
      </c>
      <c r="O957" s="2">
        <v>2130.7573000000002</v>
      </c>
      <c r="P957" s="2">
        <v>-54.492699999999999</v>
      </c>
      <c r="Q957" s="2">
        <v>-217.9708</v>
      </c>
      <c r="R957" s="4">
        <v>-2.557432972035658E-2</v>
      </c>
      <c r="T957">
        <v>312993</v>
      </c>
      <c r="U957" s="2"/>
      <c r="V957">
        <v>6045</v>
      </c>
      <c r="W957" s="2">
        <v>6579000000</v>
      </c>
      <c r="X957" s="6">
        <v>8523.0292399999998</v>
      </c>
      <c r="Y957" s="38">
        <v>10010</v>
      </c>
      <c r="Z957" s="86">
        <f>+((DETALLE_GD_1[[#This Row],[VALOR X UN (GD)]]-DETALLE_GD_1[[#This Row],[VALOR PPTO]])/DETALLE_GD_1[[#This Row],[VALOR PPTO]])</f>
        <v>2.5574334533548133E-2</v>
      </c>
      <c r="AA957" s="2">
        <f>+DETALLE_GD_1[[#This Row],[VALOR PPTO]]*DETALLE_GD_1[[#This Row],[CANTIDAD RECIBIDA]]</f>
        <v>8523.0292000000009</v>
      </c>
      <c r="AB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7" s="3">
        <f>+DETALLE_GD_1[[#This Row],[CANTIDAD SOLICITADA]]-DETALLE_GD_1[[#This Row],[DEVOLUCIÓN]]</f>
        <v>4</v>
      </c>
      <c r="AD957" s="38" t="str">
        <f>+_xlfn.XLOOKUP(DETALLE_GD_1[[#This Row],[CODIGO]],PRODUCTOS[CODIGO],PRODUCTOS[DESC CORTA],"",0)</f>
        <v>DUCO</v>
      </c>
    </row>
    <row r="958" spans="1:34" x14ac:dyDescent="0.25">
      <c r="A958" s="1">
        <v>46132</v>
      </c>
      <c r="B958" s="1">
        <v>46132</v>
      </c>
      <c r="C958" s="81" t="s">
        <v>169</v>
      </c>
      <c r="D958" s="38">
        <v>4</v>
      </c>
      <c r="E958" s="81" t="s">
        <v>169</v>
      </c>
      <c r="F958">
        <v>1902003</v>
      </c>
      <c r="G958" s="81" t="s">
        <v>155</v>
      </c>
      <c r="H958" s="81" t="s">
        <v>47</v>
      </c>
      <c r="I958" s="3">
        <v>6</v>
      </c>
      <c r="J958" s="3"/>
      <c r="K958" s="26">
        <v>6</v>
      </c>
      <c r="L958" s="2">
        <v>150752.3333</v>
      </c>
      <c r="M958" s="2">
        <v>904514</v>
      </c>
      <c r="N958" s="2">
        <v>904514</v>
      </c>
      <c r="O958" s="2">
        <v>150703.9755</v>
      </c>
      <c r="P958" s="2">
        <v>-48.357900000000001</v>
      </c>
      <c r="Q958" s="2">
        <v>-290.1472</v>
      </c>
      <c r="R958" s="4">
        <v>-3.2087987848880881E-4</v>
      </c>
      <c r="T958">
        <v>312993</v>
      </c>
      <c r="U958" s="2"/>
      <c r="V958">
        <v>6045</v>
      </c>
      <c r="W958" s="2">
        <v>6579000000</v>
      </c>
      <c r="X958" s="6">
        <v>904223.85275999969</v>
      </c>
      <c r="Y958" s="38">
        <v>10010</v>
      </c>
      <c r="Z958" s="86">
        <f>+((DETALLE_GD_1[[#This Row],[VALOR X UN (GD)]]-DETALLE_GD_1[[#This Row],[VALOR PPTO]])/DETALLE_GD_1[[#This Row],[VALOR PPTO]])</f>
        <v>3.208793917981145E-4</v>
      </c>
      <c r="AA958" s="2">
        <f>+DETALLE_GD_1[[#This Row],[VALOR PPTO]]*DETALLE_GD_1[[#This Row],[CANTIDAD RECIBIDA]]</f>
        <v>904223.853</v>
      </c>
      <c r="AB9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8" s="3">
        <f>+DETALLE_GD_1[[#This Row],[CANTIDAD SOLICITADA]]-DETALLE_GD_1[[#This Row],[DEVOLUCIÓN]]</f>
        <v>6</v>
      </c>
      <c r="AD958" s="38">
        <f>+_xlfn.XLOOKUP(DETALLE_GD_1[[#This Row],[CODIGO]],PRODUCTOS[CODIGO],PRODUCTOS[DESC CORTA],"",0)</f>
        <v>0</v>
      </c>
    </row>
    <row r="959" spans="1:34" x14ac:dyDescent="0.25">
      <c r="A959" s="1">
        <v>46132</v>
      </c>
      <c r="B959" s="1">
        <v>46132</v>
      </c>
      <c r="C959" s="81" t="s">
        <v>169</v>
      </c>
      <c r="D959" s="38">
        <v>4</v>
      </c>
      <c r="E959" s="81" t="s">
        <v>169</v>
      </c>
      <c r="F959">
        <v>810007</v>
      </c>
      <c r="G959" s="81" t="s">
        <v>235</v>
      </c>
      <c r="H959" s="81" t="s">
        <v>137</v>
      </c>
      <c r="I959" s="3">
        <v>10</v>
      </c>
      <c r="J959" s="3"/>
      <c r="K959" s="26">
        <v>10</v>
      </c>
      <c r="L959" s="2">
        <v>3372.1</v>
      </c>
      <c r="M959" s="2">
        <v>33721</v>
      </c>
      <c r="N959" s="2">
        <v>33721</v>
      </c>
      <c r="O959" s="2">
        <v>3274.7246</v>
      </c>
      <c r="P959" s="2">
        <v>-97.375399999999999</v>
      </c>
      <c r="Q959" s="2">
        <v>-973.75360000000001</v>
      </c>
      <c r="R959" s="4">
        <v>-2.9735435117216644E-2</v>
      </c>
      <c r="T959">
        <v>312993</v>
      </c>
      <c r="U959" s="2"/>
      <c r="V959">
        <v>6045</v>
      </c>
      <c r="W959" s="2">
        <v>6579000000</v>
      </c>
      <c r="X959" s="6">
        <v>32747.24638</v>
      </c>
      <c r="Y959" s="38">
        <v>10010</v>
      </c>
      <c r="Z959" s="86">
        <f>+((DETALLE_GD_1[[#This Row],[VALOR X UN (GD)]]-DETALLE_GD_1[[#This Row],[VALOR PPTO]])/DETALLE_GD_1[[#This Row],[VALOR PPTO]])</f>
        <v>2.9735447066296782E-2</v>
      </c>
      <c r="AA959" s="2">
        <f>+DETALLE_GD_1[[#This Row],[VALOR PPTO]]*DETALLE_GD_1[[#This Row],[CANTIDAD RECIBIDA]]</f>
        <v>32747.245999999999</v>
      </c>
      <c r="AB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9" s="3">
        <f>+DETALLE_GD_1[[#This Row],[CANTIDAD SOLICITADA]]-DETALLE_GD_1[[#This Row],[DEVOLUCIÓN]]</f>
        <v>10</v>
      </c>
      <c r="AD959" s="38">
        <f>+_xlfn.XLOOKUP(DETALLE_GD_1[[#This Row],[CODIGO]],PRODUCTOS[CODIGO],PRODUCTOS[DESC CORTA],"",0)</f>
        <v>0</v>
      </c>
    </row>
    <row r="960" spans="1:34" x14ac:dyDescent="0.25">
      <c r="A960" s="1">
        <v>46133</v>
      </c>
      <c r="B960" s="1">
        <v>46133</v>
      </c>
      <c r="C960" s="81" t="s">
        <v>169</v>
      </c>
      <c r="D960" s="38">
        <v>4</v>
      </c>
      <c r="E960" s="81" t="s">
        <v>169</v>
      </c>
      <c r="F960">
        <v>5316483</v>
      </c>
      <c r="G960" s="81" t="s">
        <v>97</v>
      </c>
      <c r="H960" s="81" t="s">
        <v>31</v>
      </c>
      <c r="I960" s="3">
        <v>8</v>
      </c>
      <c r="J960" s="3"/>
      <c r="K960" s="26">
        <v>8</v>
      </c>
      <c r="L960" s="2">
        <v>2984.125</v>
      </c>
      <c r="M960" s="2">
        <v>23873</v>
      </c>
      <c r="N960" s="2">
        <v>23873</v>
      </c>
      <c r="O960" s="2">
        <v>3237.6071000000002</v>
      </c>
      <c r="P960" s="2">
        <v>253.4821</v>
      </c>
      <c r="Q960" s="2">
        <v>2027.8570999999999</v>
      </c>
      <c r="R960" s="4">
        <v>7.8293051566818886E-2</v>
      </c>
      <c r="T960">
        <v>313025</v>
      </c>
      <c r="U960" s="2">
        <v>58141</v>
      </c>
      <c r="V960">
        <v>6045</v>
      </c>
      <c r="W960" s="2">
        <v>6579000000</v>
      </c>
      <c r="X960" s="6">
        <v>25900.857144000001</v>
      </c>
      <c r="Y960" s="38">
        <v>10010</v>
      </c>
      <c r="Z960" s="86">
        <f>+((DETALLE_GD_1[[#This Row],[VALOR X UN (GD)]]-DETALLE_GD_1[[#This Row],[VALOR PPTO]])/DETALLE_GD_1[[#This Row],[VALOR PPTO]])</f>
        <v>-7.8293039325247393E-2</v>
      </c>
      <c r="AA960" s="2">
        <f>+DETALLE_GD_1[[#This Row],[VALOR PPTO]]*DETALLE_GD_1[[#This Row],[CANTIDAD RECIBIDA]]</f>
        <v>25900.856800000001</v>
      </c>
      <c r="AB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0" s="3">
        <f>+DETALLE_GD_1[[#This Row],[CANTIDAD SOLICITADA]]-DETALLE_GD_1[[#This Row],[DEVOLUCIÓN]]</f>
        <v>8</v>
      </c>
      <c r="AD960" s="38" t="str">
        <f>+_xlfn.XLOOKUP(DETALLE_GD_1[[#This Row],[CODIGO]],PRODUCTOS[CODIGO],PRODUCTOS[DESC CORTA],"",0)</f>
        <v>LLAVE DE BOLA AF</v>
      </c>
    </row>
    <row r="961" spans="1:30" x14ac:dyDescent="0.25">
      <c r="A961" s="1">
        <v>46133</v>
      </c>
      <c r="B961" s="1">
        <v>46133</v>
      </c>
      <c r="C961" s="81" t="s">
        <v>169</v>
      </c>
      <c r="D961" s="38">
        <v>4</v>
      </c>
      <c r="E961" s="81" t="s">
        <v>169</v>
      </c>
      <c r="F961">
        <v>5316484</v>
      </c>
      <c r="G961" s="81" t="s">
        <v>96</v>
      </c>
      <c r="H961" s="81" t="s">
        <v>31</v>
      </c>
      <c r="I961" s="3">
        <v>8</v>
      </c>
      <c r="J961" s="3"/>
      <c r="K961" s="26">
        <v>8</v>
      </c>
      <c r="L961" s="2">
        <v>4283.5</v>
      </c>
      <c r="M961" s="2">
        <v>34268</v>
      </c>
      <c r="N961" s="2">
        <v>34268</v>
      </c>
      <c r="O961" s="2">
        <v>4372.7272999999996</v>
      </c>
      <c r="P961" s="2">
        <v>89.2273</v>
      </c>
      <c r="Q961" s="2">
        <v>713.81820000000005</v>
      </c>
      <c r="R961" s="4">
        <v>2.0405405466502876E-2</v>
      </c>
      <c r="T961">
        <v>313025</v>
      </c>
      <c r="U961" s="2"/>
      <c r="V961">
        <v>6045</v>
      </c>
      <c r="W961" s="2">
        <v>6579000000</v>
      </c>
      <c r="X961" s="6">
        <v>34981.818184000003</v>
      </c>
      <c r="Y961" s="38">
        <v>10010</v>
      </c>
      <c r="Z961" s="86">
        <f>+((DETALLE_GD_1[[#This Row],[VALOR X UN (GD)]]-DETALLE_GD_1[[#This Row],[VALOR PPTO]])/DETALLE_GD_1[[#This Row],[VALOR PPTO]])</f>
        <v>-2.0405411515142864E-2</v>
      </c>
      <c r="AA961" s="2">
        <f>+DETALLE_GD_1[[#This Row],[VALOR PPTO]]*DETALLE_GD_1[[#This Row],[CANTIDAD RECIBIDA]]</f>
        <v>34981.818399999996</v>
      </c>
      <c r="AB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1" s="3">
        <f>+DETALLE_GD_1[[#This Row],[CANTIDAD SOLICITADA]]-DETALLE_GD_1[[#This Row],[DEVOLUCIÓN]]</f>
        <v>8</v>
      </c>
      <c r="AD961" s="38" t="str">
        <f>+_xlfn.XLOOKUP(DETALLE_GD_1[[#This Row],[CODIGO]],PRODUCTOS[CODIGO],PRODUCTOS[DESC CORTA],"",0)</f>
        <v>LLAVE DE BOLA AC</v>
      </c>
    </row>
    <row r="962" spans="1:30" x14ac:dyDescent="0.25">
      <c r="A962" s="1">
        <v>46133</v>
      </c>
      <c r="B962" s="1">
        <v>46133</v>
      </c>
      <c r="C962" s="81" t="s">
        <v>169</v>
      </c>
      <c r="D962" s="38">
        <v>4</v>
      </c>
      <c r="E962" s="81" t="s">
        <v>169</v>
      </c>
      <c r="F962">
        <v>5309018</v>
      </c>
      <c r="G962" s="81" t="s">
        <v>112</v>
      </c>
      <c r="H962" s="81" t="s">
        <v>113</v>
      </c>
      <c r="I962" s="3">
        <v>200</v>
      </c>
      <c r="J962" s="3"/>
      <c r="K962" s="26">
        <v>200</v>
      </c>
      <c r="L962" s="2">
        <v>700</v>
      </c>
      <c r="M962" s="2">
        <v>140000</v>
      </c>
      <c r="N962" s="2">
        <v>140000</v>
      </c>
      <c r="O962" s="2">
        <v>699.99919999999997</v>
      </c>
      <c r="P962" s="2">
        <v>-8.0000000000000004E-4</v>
      </c>
      <c r="Q962" s="2">
        <v>-0.15359999999999999</v>
      </c>
      <c r="R962" s="4">
        <v>-1.0971440602079328E-6</v>
      </c>
      <c r="T962">
        <v>313071</v>
      </c>
      <c r="U962" s="2">
        <v>2922060</v>
      </c>
      <c r="V962">
        <v>6045</v>
      </c>
      <c r="W962" s="2">
        <v>6579000000</v>
      </c>
      <c r="X962" s="6">
        <v>139999.8464000001</v>
      </c>
      <c r="Y962" s="38">
        <v>10010</v>
      </c>
      <c r="Z962" s="86">
        <f>+((DETALLE_GD_1[[#This Row],[VALOR X UN (GD)]]-DETALLE_GD_1[[#This Row],[VALOR PPTO]])/DETALLE_GD_1[[#This Row],[VALOR PPTO]])</f>
        <v>1.1428584490190236E-6</v>
      </c>
      <c r="AA962" s="2">
        <f>+DETALLE_GD_1[[#This Row],[VALOR PPTO]]*DETALLE_GD_1[[#This Row],[CANTIDAD RECIBIDA]]</f>
        <v>139999.84</v>
      </c>
      <c r="AB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2" s="3">
        <f>+DETALLE_GD_1[[#This Row],[CANTIDAD SOLICITADA]]-DETALLE_GD_1[[#This Row],[DEVOLUCIÓN]]</f>
        <v>200</v>
      </c>
      <c r="AD962" s="38">
        <f>+_xlfn.XLOOKUP(DETALLE_GD_1[[#This Row],[CODIGO]],PRODUCTOS[CODIGO],PRODUCTOS[DESC CORTA],"",0)</f>
        <v>0</v>
      </c>
    </row>
    <row r="963" spans="1:30" x14ac:dyDescent="0.25">
      <c r="A963" s="1">
        <v>46133</v>
      </c>
      <c r="B963" s="1">
        <v>46133</v>
      </c>
      <c r="C963" s="81" t="s">
        <v>169</v>
      </c>
      <c r="D963" s="38">
        <v>4</v>
      </c>
      <c r="E963" s="81" t="s">
        <v>169</v>
      </c>
      <c r="F963">
        <v>617019</v>
      </c>
      <c r="G963" s="81" t="s">
        <v>757</v>
      </c>
      <c r="H963" s="81" t="s">
        <v>31</v>
      </c>
      <c r="I963" s="3">
        <v>5</v>
      </c>
      <c r="J963" s="3"/>
      <c r="K963" s="26">
        <v>5</v>
      </c>
      <c r="L963" s="2">
        <v>93</v>
      </c>
      <c r="M963" s="2">
        <v>465</v>
      </c>
      <c r="N963" s="2">
        <v>465</v>
      </c>
      <c r="O963" s="2"/>
      <c r="P963" s="2"/>
      <c r="Q963" s="2">
        <v>-465</v>
      </c>
      <c r="R963" s="4"/>
      <c r="T963">
        <v>313071</v>
      </c>
      <c r="U963" s="2"/>
      <c r="V963">
        <v>6045</v>
      </c>
      <c r="W963" s="2">
        <v>6579000000</v>
      </c>
      <c r="X963" s="6" t="s">
        <v>355</v>
      </c>
      <c r="Y963" s="38">
        <v>10010</v>
      </c>
      <c r="Z963" s="86" t="e">
        <f>+((DETALLE_GD_1[[#This Row],[VALOR X UN (GD)]]-DETALLE_GD_1[[#This Row],[VALOR PPTO]])/DETALLE_GD_1[[#This Row],[VALOR PPTO]])</f>
        <v>#DIV/0!</v>
      </c>
      <c r="AA963" s="2">
        <f>+DETALLE_GD_1[[#This Row],[VALOR PPTO]]*DETALLE_GD_1[[#This Row],[CANTIDAD RECIBIDA]]</f>
        <v>0</v>
      </c>
      <c r="AB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3" s="3">
        <f>+DETALLE_GD_1[[#This Row],[CANTIDAD SOLICITADA]]-DETALLE_GD_1[[#This Row],[DEVOLUCIÓN]]</f>
        <v>5</v>
      </c>
      <c r="AD963" s="38" t="str">
        <f>+_xlfn.XLOOKUP(DETALLE_GD_1[[#This Row],[CODIGO]],PRODUCTOS[CODIGO],PRODUCTOS[DESC CORTA],"",0)</f>
        <v/>
      </c>
    </row>
    <row r="964" spans="1:30" x14ac:dyDescent="0.25">
      <c r="A964" s="1">
        <v>46133</v>
      </c>
      <c r="B964" s="1">
        <v>46133</v>
      </c>
      <c r="C964" s="81" t="s">
        <v>169</v>
      </c>
      <c r="D964" s="38">
        <v>4</v>
      </c>
      <c r="E964" s="81" t="s">
        <v>169</v>
      </c>
      <c r="F964">
        <v>304101</v>
      </c>
      <c r="G964" s="81" t="s">
        <v>17</v>
      </c>
      <c r="H964" s="81" t="s">
        <v>18</v>
      </c>
      <c r="I964" s="3">
        <v>84</v>
      </c>
      <c r="J964" s="3"/>
      <c r="K964" s="26">
        <v>84</v>
      </c>
      <c r="L964" s="2">
        <v>9614.2381000000005</v>
      </c>
      <c r="M964" s="2">
        <v>807596</v>
      </c>
      <c r="N964" s="2">
        <v>807596</v>
      </c>
      <c r="O964" s="2">
        <v>9657.5879999999997</v>
      </c>
      <c r="P964" s="2">
        <v>43.349899999999998</v>
      </c>
      <c r="Q964" s="2">
        <v>3641.3878</v>
      </c>
      <c r="R964" s="4">
        <v>4.4886834048360087E-3</v>
      </c>
      <c r="T964">
        <v>313071</v>
      </c>
      <c r="U964" s="2"/>
      <c r="V964">
        <v>6045</v>
      </c>
      <c r="W964" s="2">
        <v>6579000000</v>
      </c>
      <c r="X964" s="6">
        <v>811237.38780000038</v>
      </c>
      <c r="Y964" s="38">
        <v>10010</v>
      </c>
      <c r="Z964" s="86">
        <f>+((DETALLE_GD_1[[#This Row],[VALOR X UN (GD)]]-DETALLE_GD_1[[#This Row],[VALOR PPTO]])/DETALLE_GD_1[[#This Row],[VALOR PPTO]])</f>
        <v>-4.4886880657985465E-3</v>
      </c>
      <c r="AA964" s="2">
        <f>+DETALLE_GD_1[[#This Row],[VALOR PPTO]]*DETALLE_GD_1[[#This Row],[CANTIDAD RECIBIDA]]</f>
        <v>811237.39199999999</v>
      </c>
      <c r="AB9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64" s="3">
        <f>+DETALLE_GD_1[[#This Row],[CANTIDAD SOLICITADA]]-DETALLE_GD_1[[#This Row],[DEVOLUCIÓN]]</f>
        <v>84</v>
      </c>
      <c r="AD964" s="38" t="str">
        <f>+_xlfn.XLOOKUP(DETALLE_GD_1[[#This Row],[CODIGO]],PRODUCTOS[CODIGO],PRODUCTOS[DESC CORTA],"",0)</f>
        <v>OSB 9.5</v>
      </c>
    </row>
    <row r="965" spans="1:30" x14ac:dyDescent="0.25">
      <c r="A965" s="1">
        <v>46133</v>
      </c>
      <c r="B965" s="1">
        <v>46133</v>
      </c>
      <c r="C965" s="81" t="s">
        <v>169</v>
      </c>
      <c r="D965" s="38">
        <v>4</v>
      </c>
      <c r="E965" s="81" t="s">
        <v>169</v>
      </c>
      <c r="F965" t="s">
        <v>386</v>
      </c>
      <c r="G965" s="81" t="s">
        <v>83</v>
      </c>
      <c r="H965" s="81" t="s">
        <v>36</v>
      </c>
      <c r="I965" s="3">
        <v>2</v>
      </c>
      <c r="J965" s="3"/>
      <c r="K965" s="26">
        <v>2</v>
      </c>
      <c r="L965" s="2">
        <v>36940</v>
      </c>
      <c r="M965" s="2">
        <v>73880</v>
      </c>
      <c r="N965" s="2">
        <v>73880</v>
      </c>
      <c r="O965" s="2">
        <v>36939.818200000002</v>
      </c>
      <c r="P965" s="2">
        <v>-0.18179999999999999</v>
      </c>
      <c r="Q965" s="2">
        <v>-0.36359999999999998</v>
      </c>
      <c r="R965" s="4">
        <v>-4.9220058181131147E-6</v>
      </c>
      <c r="T965">
        <v>313071</v>
      </c>
      <c r="U965" s="2"/>
      <c r="V965">
        <v>6045</v>
      </c>
      <c r="W965" s="2">
        <v>6579000000</v>
      </c>
      <c r="X965" s="6">
        <v>73879.636363999962</v>
      </c>
      <c r="Y965" s="38">
        <v>10010</v>
      </c>
      <c r="Z965" s="86">
        <f>+((DETALLE_GD_1[[#This Row],[VALOR X UN (GD)]]-DETALLE_GD_1[[#This Row],[VALOR PPTO]])/DETALLE_GD_1[[#This Row],[VALOR PPTO]])</f>
        <v>4.92151853628979E-6</v>
      </c>
      <c r="AA965" s="2">
        <f>+DETALLE_GD_1[[#This Row],[VALOR PPTO]]*DETALLE_GD_1[[#This Row],[CANTIDAD RECIBIDA]]</f>
        <v>73879.636400000003</v>
      </c>
      <c r="AB9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65" s="3">
        <f>+DETALLE_GD_1[[#This Row],[CANTIDAD SOLICITADA]]-DETALLE_GD_1[[#This Row],[DEVOLUCIÓN]]</f>
        <v>2</v>
      </c>
      <c r="AD965" s="38" t="str">
        <f>+_xlfn.XLOOKUP(DETALLE_GD_1[[#This Row],[CODIGO]],PRODUCTOS[CODIGO],PRODUCTOS[DESC CORTA],"",0)</f>
        <v>CLAVO R20</v>
      </c>
    </row>
    <row r="966" spans="1:30" x14ac:dyDescent="0.25">
      <c r="A966" s="1">
        <v>46133</v>
      </c>
      <c r="B966" s="1">
        <v>46133</v>
      </c>
      <c r="C966" s="81" t="s">
        <v>169</v>
      </c>
      <c r="D966" s="38">
        <v>4</v>
      </c>
      <c r="E966" s="81" t="s">
        <v>169</v>
      </c>
      <c r="F966">
        <v>2304002</v>
      </c>
      <c r="G966" s="81" t="s">
        <v>212</v>
      </c>
      <c r="H966" s="81" t="s">
        <v>31</v>
      </c>
      <c r="I966" s="3">
        <v>12</v>
      </c>
      <c r="J966" s="3"/>
      <c r="K966" s="26">
        <v>12</v>
      </c>
      <c r="L966" s="2">
        <v>1376.5</v>
      </c>
      <c r="M966" s="2">
        <v>16518</v>
      </c>
      <c r="N966" s="2">
        <v>16518</v>
      </c>
      <c r="O966" s="2">
        <v>1376.4717000000001</v>
      </c>
      <c r="P966" s="2">
        <v>-2.8299999999999999E-2</v>
      </c>
      <c r="Q966" s="2">
        <v>-0.33929999999999999</v>
      </c>
      <c r="R966" s="4">
        <v>-2.0542376212302997E-5</v>
      </c>
      <c r="T966">
        <v>313071</v>
      </c>
      <c r="U966" s="2"/>
      <c r="V966">
        <v>6045</v>
      </c>
      <c r="W966" s="2">
        <v>6579000000</v>
      </c>
      <c r="X966" s="6">
        <v>16517.660688</v>
      </c>
      <c r="Y966" s="38">
        <v>10010</v>
      </c>
      <c r="Z966" s="86">
        <f>+((DETALLE_GD_1[[#This Row],[VALOR X UN (GD)]]-DETALLE_GD_1[[#This Row],[VALOR PPTO]])/DETALLE_GD_1[[#This Row],[VALOR PPTO]])</f>
        <v>2.0559812453786519E-5</v>
      </c>
      <c r="AA966" s="2">
        <f>+DETALLE_GD_1[[#This Row],[VALOR PPTO]]*DETALLE_GD_1[[#This Row],[CANTIDAD RECIBIDA]]</f>
        <v>16517.660400000001</v>
      </c>
      <c r="AB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6" s="3">
        <f>+DETALLE_GD_1[[#This Row],[CANTIDAD SOLICITADA]]-DETALLE_GD_1[[#This Row],[DEVOLUCIÓN]]</f>
        <v>12</v>
      </c>
      <c r="AD966" s="38">
        <f>+_xlfn.XLOOKUP(DETALLE_GD_1[[#This Row],[CODIGO]],PRODUCTOS[CODIGO],PRODUCTOS[DESC CORTA],"",0)</f>
        <v>0</v>
      </c>
    </row>
    <row r="967" spans="1:30" x14ac:dyDescent="0.25">
      <c r="A967" s="1">
        <v>46133</v>
      </c>
      <c r="B967" s="1">
        <v>46133</v>
      </c>
      <c r="C967" s="81" t="s">
        <v>169</v>
      </c>
      <c r="D967" s="38">
        <v>4</v>
      </c>
      <c r="E967" s="81" t="s">
        <v>169</v>
      </c>
      <c r="F967">
        <v>407423</v>
      </c>
      <c r="G967" s="81" t="s">
        <v>106</v>
      </c>
      <c r="H967" s="81" t="s">
        <v>31</v>
      </c>
      <c r="I967" s="3">
        <v>9000</v>
      </c>
      <c r="J967" s="3"/>
      <c r="K967" s="26">
        <v>9000</v>
      </c>
      <c r="L967" s="2">
        <v>3.3879999999999999</v>
      </c>
      <c r="M967" s="2">
        <v>30492</v>
      </c>
      <c r="N967" s="2">
        <v>30492</v>
      </c>
      <c r="O967" s="2">
        <v>106.6405</v>
      </c>
      <c r="P967" s="2">
        <v>103.2525</v>
      </c>
      <c r="Q967" s="2">
        <v>929272.51789999998</v>
      </c>
      <c r="R967" s="4">
        <v>0.96822970694084709</v>
      </c>
      <c r="T967">
        <v>313071</v>
      </c>
      <c r="U967" s="2"/>
      <c r="V967">
        <v>6045</v>
      </c>
      <c r="W967" s="2">
        <v>6579000000</v>
      </c>
      <c r="X967" s="6">
        <v>959764.51785405388</v>
      </c>
      <c r="Y967" s="38">
        <v>10010</v>
      </c>
      <c r="Z967" s="86">
        <f>+((DETALLE_GD_1[[#This Row],[VALOR X UN (GD)]]-DETALLE_GD_1[[#This Row],[VALOR PPTO]])/DETALLE_GD_1[[#This Row],[VALOR PPTO]])</f>
        <v>-0.96822970634983885</v>
      </c>
      <c r="AA967" s="2">
        <f>+DETALLE_GD_1[[#This Row],[VALOR PPTO]]*DETALLE_GD_1[[#This Row],[CANTIDAD RECIBIDA]]</f>
        <v>959764.5</v>
      </c>
      <c r="AB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7" s="3">
        <f>+DETALLE_GD_1[[#This Row],[CANTIDAD SOLICITADA]]-DETALLE_GD_1[[#This Row],[DEVOLUCIÓN]]</f>
        <v>9000</v>
      </c>
      <c r="AD967" s="38" t="str">
        <f>+_xlfn.XLOOKUP(DETALLE_GD_1[[#This Row],[CODIGO]],PRODUCTOS[CODIGO],PRODUCTOS[DESC CORTA],"",0)</f>
        <v>TORNILLO CRS 6X1 5/8</v>
      </c>
    </row>
    <row r="968" spans="1:30" x14ac:dyDescent="0.25">
      <c r="A968" s="1">
        <v>46133</v>
      </c>
      <c r="B968" s="1">
        <v>46133</v>
      </c>
      <c r="C968" s="81" t="s">
        <v>169</v>
      </c>
      <c r="D968" s="38">
        <v>4</v>
      </c>
      <c r="E968" s="81" t="s">
        <v>169</v>
      </c>
      <c r="F968">
        <v>407170</v>
      </c>
      <c r="G968" s="81" t="s">
        <v>107</v>
      </c>
      <c r="H968" s="81" t="s">
        <v>31</v>
      </c>
      <c r="I968" s="3">
        <v>500</v>
      </c>
      <c r="J968" s="3"/>
      <c r="K968" s="26">
        <v>500</v>
      </c>
      <c r="L968" s="2">
        <v>4.88</v>
      </c>
      <c r="M968" s="2">
        <v>2440</v>
      </c>
      <c r="N968" s="2">
        <v>2440</v>
      </c>
      <c r="O968" s="2">
        <v>4.8802000000000003</v>
      </c>
      <c r="P968" s="2">
        <v>2.0000000000000001E-4</v>
      </c>
      <c r="Q968" s="2">
        <v>0.108</v>
      </c>
      <c r="R968" s="4">
        <v>4.4260336018094723E-5</v>
      </c>
      <c r="T968">
        <v>313071</v>
      </c>
      <c r="U968" s="2"/>
      <c r="V968">
        <v>6045</v>
      </c>
      <c r="W968" s="2">
        <v>6579000000</v>
      </c>
      <c r="X968" s="6">
        <v>2440.1080000000002</v>
      </c>
      <c r="Y968" s="38">
        <v>10010</v>
      </c>
      <c r="Z968" s="86">
        <f>+((DETALLE_GD_1[[#This Row],[VALOR X UN (GD)]]-DETALLE_GD_1[[#This Row],[VALOR PPTO]])/DETALLE_GD_1[[#This Row],[VALOR PPTO]])</f>
        <v>-4.0981926970292619E-5</v>
      </c>
      <c r="AA968" s="2">
        <f>+DETALLE_GD_1[[#This Row],[VALOR PPTO]]*DETALLE_GD_1[[#This Row],[CANTIDAD RECIBIDA]]</f>
        <v>2440.1000000000004</v>
      </c>
      <c r="AB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8" s="3">
        <f>+DETALLE_GD_1[[#This Row],[CANTIDAD SOLICITADA]]-DETALLE_GD_1[[#This Row],[DEVOLUCIÓN]]</f>
        <v>500</v>
      </c>
      <c r="AD968" s="38" t="str">
        <f>+_xlfn.XLOOKUP(DETALLE_GD_1[[#This Row],[CODIGO]],PRODUCTOS[CODIGO],PRODUCTOS[DESC CORTA],"",0)</f>
        <v>TORNILLO CRS 6X2 1/4</v>
      </c>
    </row>
    <row r="969" spans="1:30" x14ac:dyDescent="0.25">
      <c r="A969" s="1">
        <v>46133</v>
      </c>
      <c r="B969" s="1">
        <v>46133</v>
      </c>
      <c r="C969" s="81" t="s">
        <v>169</v>
      </c>
      <c r="D969" s="38">
        <v>4</v>
      </c>
      <c r="E969" s="81" t="s">
        <v>169</v>
      </c>
      <c r="F969">
        <v>407011</v>
      </c>
      <c r="G969" s="81" t="s">
        <v>30</v>
      </c>
      <c r="H969" s="81" t="s">
        <v>31</v>
      </c>
      <c r="I969" s="3">
        <v>1500</v>
      </c>
      <c r="J969" s="3"/>
      <c r="K969" s="26">
        <v>1500</v>
      </c>
      <c r="L969" s="2">
        <v>473.17529999999999</v>
      </c>
      <c r="M969" s="2">
        <v>709763</v>
      </c>
      <c r="N969" s="2">
        <v>709763</v>
      </c>
      <c r="O969" s="2">
        <v>473.17520000000002</v>
      </c>
      <c r="P969" s="2">
        <v>-1E-4</v>
      </c>
      <c r="Q969" s="2">
        <v>-0.14000000000000001</v>
      </c>
      <c r="R969" s="4">
        <v>-1.9724897997357141E-7</v>
      </c>
      <c r="T969">
        <v>313071</v>
      </c>
      <c r="U969" s="2"/>
      <c r="V969">
        <v>6045</v>
      </c>
      <c r="W969" s="2">
        <v>6579000000</v>
      </c>
      <c r="X969" s="6">
        <v>709762.85999999987</v>
      </c>
      <c r="Y969" s="38">
        <v>10010</v>
      </c>
      <c r="Z969" s="86">
        <f>+((DETALLE_GD_1[[#This Row],[VALOR X UN (GD)]]-DETALLE_GD_1[[#This Row],[VALOR PPTO]])/DETALLE_GD_1[[#This Row],[VALOR PPTO]])</f>
        <v>2.1133821040261184E-7</v>
      </c>
      <c r="AA969" s="2">
        <f>+DETALLE_GD_1[[#This Row],[VALOR PPTO]]*DETALLE_GD_1[[#This Row],[CANTIDAD RECIBIDA]]</f>
        <v>709762.8</v>
      </c>
      <c r="AB9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69" s="3">
        <f>+DETALLE_GD_1[[#This Row],[CANTIDAD SOLICITADA]]-DETALLE_GD_1[[#This Row],[DEVOLUCIÓN]]</f>
        <v>1500</v>
      </c>
      <c r="AD969" s="38" t="str">
        <f>+_xlfn.XLOOKUP(DETALLE_GD_1[[#This Row],[CODIGO]],PRODUCTOS[CODIGO],PRODUCTOS[DESC CORTA],"",0)</f>
        <v>TORNILLO SIMPSON 6"</v>
      </c>
    </row>
    <row r="970" spans="1:30" x14ac:dyDescent="0.25">
      <c r="A970" s="1">
        <v>46133</v>
      </c>
      <c r="B970" s="1">
        <v>46133</v>
      </c>
      <c r="C970" s="81" t="s">
        <v>169</v>
      </c>
      <c r="D970" s="38">
        <v>4</v>
      </c>
      <c r="E970" s="81" t="s">
        <v>169</v>
      </c>
      <c r="F970">
        <v>1902013</v>
      </c>
      <c r="G970" s="81" t="s">
        <v>338</v>
      </c>
      <c r="H970" s="81" t="s">
        <v>47</v>
      </c>
      <c r="I970" s="3">
        <v>20</v>
      </c>
      <c r="J970" s="3"/>
      <c r="K970" s="26">
        <v>20</v>
      </c>
      <c r="L970" s="2">
        <v>39045.300000000003</v>
      </c>
      <c r="M970" s="2">
        <v>780906</v>
      </c>
      <c r="N970" s="2">
        <v>780906</v>
      </c>
      <c r="O970" s="2">
        <v>29779</v>
      </c>
      <c r="P970" s="2">
        <v>-9266.2999999999993</v>
      </c>
      <c r="Q970" s="2">
        <v>-185326</v>
      </c>
      <c r="R970" s="4">
        <v>-0.31116894455824584</v>
      </c>
      <c r="T970">
        <v>313071</v>
      </c>
      <c r="U970" s="2"/>
      <c r="V970">
        <v>6045</v>
      </c>
      <c r="W970" s="2">
        <v>6579000000</v>
      </c>
      <c r="X970" s="6">
        <v>595580</v>
      </c>
      <c r="Y970" s="38">
        <v>10010</v>
      </c>
      <c r="Z970" s="86">
        <f>+((DETALLE_GD_1[[#This Row],[VALOR X UN (GD)]]-DETALLE_GD_1[[#This Row],[VALOR PPTO]])/DETALLE_GD_1[[#This Row],[VALOR PPTO]])</f>
        <v>0.31116894455824584</v>
      </c>
      <c r="AA970" s="2">
        <f>+DETALLE_GD_1[[#This Row],[VALOR PPTO]]*DETALLE_GD_1[[#This Row],[CANTIDAD RECIBIDA]]</f>
        <v>595580</v>
      </c>
      <c r="AB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70" s="3">
        <f>+DETALLE_GD_1[[#This Row],[CANTIDAD SOLICITADA]]-DETALLE_GD_1[[#This Row],[DEVOLUCIÓN]]</f>
        <v>20</v>
      </c>
      <c r="AD970" s="38">
        <f>+_xlfn.XLOOKUP(DETALLE_GD_1[[#This Row],[CODIGO]],PRODUCTOS[CODIGO],PRODUCTOS[DESC CORTA],"",0)</f>
        <v>0</v>
      </c>
    </row>
    <row r="971" spans="1:30" x14ac:dyDescent="0.25">
      <c r="A971" s="1">
        <v>46133</v>
      </c>
      <c r="B971" s="1">
        <v>46133</v>
      </c>
      <c r="C971" s="81" t="s">
        <v>169</v>
      </c>
      <c r="D971" s="38">
        <v>4</v>
      </c>
      <c r="E971" s="81" t="s">
        <v>169</v>
      </c>
      <c r="F971">
        <v>1103107</v>
      </c>
      <c r="G971" s="81" t="s">
        <v>559</v>
      </c>
      <c r="H971" s="81" t="s">
        <v>140</v>
      </c>
      <c r="I971" s="3">
        <v>150</v>
      </c>
      <c r="J971" s="3"/>
      <c r="K971" s="26">
        <v>150</v>
      </c>
      <c r="L971" s="2">
        <v>1200</v>
      </c>
      <c r="M971" s="2">
        <v>180000</v>
      </c>
      <c r="N971" s="2">
        <v>180000</v>
      </c>
      <c r="O971" s="2">
        <v>5092</v>
      </c>
      <c r="P971" s="2">
        <v>3892</v>
      </c>
      <c r="Q971" s="2">
        <v>583800</v>
      </c>
      <c r="R971" s="4">
        <v>0.76433621366849946</v>
      </c>
      <c r="T971">
        <v>313071</v>
      </c>
      <c r="U971" s="2"/>
      <c r="V971">
        <v>6045</v>
      </c>
      <c r="W971" s="2">
        <v>6579000000</v>
      </c>
      <c r="X971" s="6">
        <v>763800</v>
      </c>
      <c r="Y971" s="38">
        <v>10010</v>
      </c>
      <c r="Z971" s="86">
        <f>+((DETALLE_GD_1[[#This Row],[VALOR X UN (GD)]]-DETALLE_GD_1[[#This Row],[VALOR PPTO]])/DETALLE_GD_1[[#This Row],[VALOR PPTO]])</f>
        <v>-0.76433621366849958</v>
      </c>
      <c r="AA971" s="2">
        <f>+DETALLE_GD_1[[#This Row],[VALOR PPTO]]*DETALLE_GD_1[[#This Row],[CANTIDAD RECIBIDA]]</f>
        <v>763800</v>
      </c>
      <c r="AB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1" s="3">
        <f>+DETALLE_GD_1[[#This Row],[CANTIDAD SOLICITADA]]-DETALLE_GD_1[[#This Row],[DEVOLUCIÓN]]</f>
        <v>150</v>
      </c>
      <c r="AD971" s="38" t="str">
        <f>+_xlfn.XLOOKUP(DETALLE_GD_1[[#This Row],[CODIGO]],PRODUCTOS[CODIGO],PRODUCTOS[DESC CORTA],"",0)</f>
        <v/>
      </c>
    </row>
    <row r="972" spans="1:30" x14ac:dyDescent="0.25">
      <c r="A972" s="1">
        <v>46133</v>
      </c>
      <c r="B972" s="1">
        <v>46133</v>
      </c>
      <c r="C972" s="81" t="s">
        <v>169</v>
      </c>
      <c r="D972" s="38">
        <v>4</v>
      </c>
      <c r="E972" s="81" t="s">
        <v>169</v>
      </c>
      <c r="F972">
        <v>1103105</v>
      </c>
      <c r="G972" s="81" t="s">
        <v>558</v>
      </c>
      <c r="H972" s="81" t="s">
        <v>140</v>
      </c>
      <c r="I972" s="3">
        <v>150</v>
      </c>
      <c r="J972" s="3"/>
      <c r="K972" s="26">
        <v>150</v>
      </c>
      <c r="L972" s="2">
        <v>1200</v>
      </c>
      <c r="M972" s="2">
        <v>180000</v>
      </c>
      <c r="N972" s="2">
        <v>180000</v>
      </c>
      <c r="O972" s="2">
        <v>5092</v>
      </c>
      <c r="P972" s="2">
        <v>3892</v>
      </c>
      <c r="Q972" s="2">
        <v>583800</v>
      </c>
      <c r="R972" s="4">
        <v>0.76433621366849946</v>
      </c>
      <c r="T972">
        <v>313071</v>
      </c>
      <c r="U972" s="2"/>
      <c r="V972">
        <v>6045</v>
      </c>
      <c r="W972" s="2">
        <v>6579000000</v>
      </c>
      <c r="X972" s="6">
        <v>763800</v>
      </c>
      <c r="Y972" s="38">
        <v>10010</v>
      </c>
      <c r="Z972" s="86">
        <f>+((DETALLE_GD_1[[#This Row],[VALOR X UN (GD)]]-DETALLE_GD_1[[#This Row],[VALOR PPTO]])/DETALLE_GD_1[[#This Row],[VALOR PPTO]])</f>
        <v>-0.76433621366849958</v>
      </c>
      <c r="AA972" s="2">
        <f>+DETALLE_GD_1[[#This Row],[VALOR PPTO]]*DETALLE_GD_1[[#This Row],[CANTIDAD RECIBIDA]]</f>
        <v>763800</v>
      </c>
      <c r="AB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2" s="3">
        <f>+DETALLE_GD_1[[#This Row],[CANTIDAD SOLICITADA]]-DETALLE_GD_1[[#This Row],[DEVOLUCIÓN]]</f>
        <v>150</v>
      </c>
      <c r="AD972" s="38" t="str">
        <f>+_xlfn.XLOOKUP(DETALLE_GD_1[[#This Row],[CODIGO]],PRODUCTOS[CODIGO],PRODUCTOS[DESC CORTA],"",0)</f>
        <v/>
      </c>
    </row>
    <row r="973" spans="1:30" x14ac:dyDescent="0.25">
      <c r="A973" s="1">
        <v>46133</v>
      </c>
      <c r="B973" s="1">
        <v>46133</v>
      </c>
      <c r="C973" s="81" t="s">
        <v>169</v>
      </c>
      <c r="D973" s="38">
        <v>4</v>
      </c>
      <c r="E973" s="81" t="s">
        <v>169</v>
      </c>
      <c r="F973">
        <v>408042</v>
      </c>
      <c r="G973" s="81" t="s">
        <v>144</v>
      </c>
      <c r="H973" s="81" t="s">
        <v>36</v>
      </c>
      <c r="I973" s="3">
        <v>10</v>
      </c>
      <c r="J973" s="3"/>
      <c r="K973" s="26">
        <v>10</v>
      </c>
      <c r="L973" s="2">
        <v>35000</v>
      </c>
      <c r="M973" s="2">
        <v>350000</v>
      </c>
      <c r="N973" s="2">
        <v>350000</v>
      </c>
      <c r="O973" s="2">
        <v>35000</v>
      </c>
      <c r="P973" s="2">
        <v>0</v>
      </c>
      <c r="Q973" s="2">
        <v>0</v>
      </c>
      <c r="R973" s="4">
        <v>8.3153801304950006E-16</v>
      </c>
      <c r="T973">
        <v>313101</v>
      </c>
      <c r="U973" s="2">
        <v>844943</v>
      </c>
      <c r="V973">
        <v>6045</v>
      </c>
      <c r="W973" s="2">
        <v>6579000000</v>
      </c>
      <c r="X973" s="6">
        <v>350000.00000000029</v>
      </c>
      <c r="Y973" s="38">
        <v>10010</v>
      </c>
      <c r="Z973" s="86">
        <f>+((DETALLE_GD_1[[#This Row],[VALOR X UN (GD)]]-DETALLE_GD_1[[#This Row],[VALOR PPTO]])/DETALLE_GD_1[[#This Row],[VALOR PPTO]])</f>
        <v>0</v>
      </c>
      <c r="AA973" s="2">
        <f>+DETALLE_GD_1[[#This Row],[VALOR PPTO]]*DETALLE_GD_1[[#This Row],[CANTIDAD RECIBIDA]]</f>
        <v>350000</v>
      </c>
      <c r="AB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3" s="3">
        <f>+DETALLE_GD_1[[#This Row],[CANTIDAD SOLICITADA]]-DETALLE_GD_1[[#This Row],[DEVOLUCIÓN]]</f>
        <v>10</v>
      </c>
      <c r="AD973" s="38" t="str">
        <f>+_xlfn.XLOOKUP(DETALLE_GD_1[[#This Row],[CODIGO]],PRODUCTOS[CODIGO],PRODUCTOS[DESC CORTA],"",0)</f>
        <v>CLAVO HELICOIDAL PROFIX</v>
      </c>
    </row>
    <row r="974" spans="1:30" x14ac:dyDescent="0.25">
      <c r="A974" s="1">
        <v>46133</v>
      </c>
      <c r="B974" s="1">
        <v>46133</v>
      </c>
      <c r="C974" s="81" t="s">
        <v>169</v>
      </c>
      <c r="D974" s="38">
        <v>4</v>
      </c>
      <c r="E974" s="81" t="s">
        <v>169</v>
      </c>
      <c r="F974">
        <v>307096</v>
      </c>
      <c r="G974" s="81" t="s">
        <v>249</v>
      </c>
      <c r="H974" s="81" t="s">
        <v>137</v>
      </c>
      <c r="I974" s="3">
        <v>60</v>
      </c>
      <c r="J974" s="3"/>
      <c r="K974" s="26">
        <v>60</v>
      </c>
      <c r="L974" s="2">
        <v>1795.6</v>
      </c>
      <c r="M974" s="2">
        <v>107736</v>
      </c>
      <c r="N974" s="2">
        <v>107736</v>
      </c>
      <c r="O974" s="2">
        <v>2095.3501000000001</v>
      </c>
      <c r="P974" s="2">
        <v>299.75009999999997</v>
      </c>
      <c r="Q974" s="2">
        <v>17985.007699999998</v>
      </c>
      <c r="R974" s="4">
        <v>0.14305491232773293</v>
      </c>
      <c r="T974">
        <v>313101</v>
      </c>
      <c r="U974" s="2"/>
      <c r="V974">
        <v>6045</v>
      </c>
      <c r="W974" s="2">
        <v>6579000000</v>
      </c>
      <c r="X974" s="6">
        <v>125721.00773999991</v>
      </c>
      <c r="Y974" s="38">
        <v>10010</v>
      </c>
      <c r="Z974" s="86">
        <f>+((DETALLE_GD_1[[#This Row],[VALOR X UN (GD)]]-DETALLE_GD_1[[#This Row],[VALOR PPTO]])/DETALLE_GD_1[[#This Row],[VALOR PPTO]])</f>
        <v>-0.14305490046746852</v>
      </c>
      <c r="AA974" s="2">
        <f>+DETALLE_GD_1[[#This Row],[VALOR PPTO]]*DETALLE_GD_1[[#This Row],[CANTIDAD RECIBIDA]]</f>
        <v>125721.00600000001</v>
      </c>
      <c r="AB9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74" s="3">
        <f>+DETALLE_GD_1[[#This Row],[CANTIDAD SOLICITADA]]-DETALLE_GD_1[[#This Row],[DEVOLUCIÓN]]</f>
        <v>60</v>
      </c>
      <c r="AD974" s="38" t="str">
        <f>+_xlfn.XLOOKUP(DETALLE_GD_1[[#This Row],[CODIGO]],PRODUCTOS[CODIGO],PRODUCTOS[DESC CORTA],"",0)</f>
        <v>CUBREJUNTA</v>
      </c>
    </row>
    <row r="975" spans="1:30" x14ac:dyDescent="0.25">
      <c r="A975" s="1">
        <v>46133</v>
      </c>
      <c r="B975" s="1">
        <v>46133</v>
      </c>
      <c r="C975" s="81" t="s">
        <v>169</v>
      </c>
      <c r="D975" s="38">
        <v>4</v>
      </c>
      <c r="E975" s="81" t="s">
        <v>169</v>
      </c>
      <c r="F975">
        <v>307031</v>
      </c>
      <c r="G975" s="81" t="s">
        <v>65</v>
      </c>
      <c r="H975" s="81" t="s">
        <v>31</v>
      </c>
      <c r="I975" s="3">
        <v>50</v>
      </c>
      <c r="J975" s="3"/>
      <c r="K975" s="26">
        <v>50</v>
      </c>
      <c r="L975" s="2">
        <v>2700</v>
      </c>
      <c r="M975" s="2">
        <v>135000</v>
      </c>
      <c r="N975" s="2">
        <v>135000</v>
      </c>
      <c r="O975" s="2">
        <v>2699.9985999999999</v>
      </c>
      <c r="P975" s="2">
        <v>-1.4E-3</v>
      </c>
      <c r="Q975" s="2">
        <v>-6.9699999999999998E-2</v>
      </c>
      <c r="R975" s="4">
        <v>-5.1666693335944687E-7</v>
      </c>
      <c r="T975">
        <v>313101</v>
      </c>
      <c r="U975" s="2"/>
      <c r="V975">
        <v>6045</v>
      </c>
      <c r="W975" s="2">
        <v>6579000000</v>
      </c>
      <c r="X975" s="6">
        <v>134999.93025000003</v>
      </c>
      <c r="Y975" s="38">
        <v>10010</v>
      </c>
      <c r="Z975" s="86">
        <f>+((DETALLE_GD_1[[#This Row],[VALOR X UN (GD)]]-DETALLE_GD_1[[#This Row],[VALOR PPTO]])/DETALLE_GD_1[[#This Row],[VALOR PPTO]])</f>
        <v>5.1851878741837811E-7</v>
      </c>
      <c r="AA975" s="2">
        <f>+DETALLE_GD_1[[#This Row],[VALOR PPTO]]*DETALLE_GD_1[[#This Row],[CANTIDAD RECIBIDA]]</f>
        <v>134999.93</v>
      </c>
      <c r="AB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5" s="3">
        <f>+DETALLE_GD_1[[#This Row],[CANTIDAD SOLICITADA]]-DETALLE_GD_1[[#This Row],[DEVOLUCIÓN]]</f>
        <v>50</v>
      </c>
      <c r="AD975" s="38" t="str">
        <f>+_xlfn.XLOOKUP(DETALLE_GD_1[[#This Row],[CODIGO]],PRODUCTOS[CODIGO],PRODUCTOS[DESC CORTA],"",0)</f>
        <v>CORNIZA BLANCA</v>
      </c>
    </row>
    <row r="976" spans="1:30" x14ac:dyDescent="0.25">
      <c r="A976" s="1">
        <v>46133</v>
      </c>
      <c r="B976" s="1">
        <v>46133</v>
      </c>
      <c r="C976" s="81" t="s">
        <v>169</v>
      </c>
      <c r="D976" s="38">
        <v>4</v>
      </c>
      <c r="E976" s="81" t="s">
        <v>169</v>
      </c>
      <c r="F976">
        <v>307032</v>
      </c>
      <c r="G976" s="81" t="s">
        <v>186</v>
      </c>
      <c r="H976" s="81" t="s">
        <v>137</v>
      </c>
      <c r="I976" s="3">
        <v>30</v>
      </c>
      <c r="J976" s="3"/>
      <c r="K976" s="26">
        <v>30</v>
      </c>
      <c r="L976" s="2">
        <v>2280.1</v>
      </c>
      <c r="M976" s="2">
        <v>68403</v>
      </c>
      <c r="N976" s="2">
        <v>68403</v>
      </c>
      <c r="O976" s="2">
        <v>2378.375</v>
      </c>
      <c r="P976" s="2">
        <v>98.275000000000006</v>
      </c>
      <c r="Q976" s="2">
        <v>2948.2512000000002</v>
      </c>
      <c r="R976" s="4">
        <v>4.1320245674407875E-2</v>
      </c>
      <c r="T976">
        <v>313101</v>
      </c>
      <c r="U976" s="2"/>
      <c r="V976">
        <v>6045</v>
      </c>
      <c r="W976" s="2">
        <v>6579000000</v>
      </c>
      <c r="X976" s="6">
        <v>71351.251229999994</v>
      </c>
      <c r="Y976" s="38">
        <v>10010</v>
      </c>
      <c r="Z976" s="86">
        <f>+((DETALLE_GD_1[[#This Row],[VALOR X UN (GD)]]-DETALLE_GD_1[[#This Row],[VALOR PPTO]])/DETALLE_GD_1[[#This Row],[VALOR PPTO]])</f>
        <v>-4.1320229148052806E-2</v>
      </c>
      <c r="AA976" s="2">
        <f>+DETALLE_GD_1[[#This Row],[VALOR PPTO]]*DETALLE_GD_1[[#This Row],[CANTIDAD RECIBIDA]]</f>
        <v>71351.25</v>
      </c>
      <c r="AB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6" s="3">
        <f>+DETALLE_GD_1[[#This Row],[CANTIDAD SOLICITADA]]-DETALLE_GD_1[[#This Row],[DEVOLUCIÓN]]</f>
        <v>30</v>
      </c>
      <c r="AD976" s="38">
        <f>+_xlfn.XLOOKUP(DETALLE_GD_1[[#This Row],[CODIGO]],PRODUCTOS[CODIGO],PRODUCTOS[DESC CORTA],"",0)</f>
        <v>0</v>
      </c>
    </row>
    <row r="977" spans="1:30" x14ac:dyDescent="0.25">
      <c r="A977" s="1">
        <v>46133</v>
      </c>
      <c r="B977" s="1">
        <v>46133</v>
      </c>
      <c r="C977" s="81" t="s">
        <v>169</v>
      </c>
      <c r="D977" s="38">
        <v>4</v>
      </c>
      <c r="E977" s="81" t="s">
        <v>169</v>
      </c>
      <c r="F977">
        <v>2508990</v>
      </c>
      <c r="G977" s="81" t="s">
        <v>484</v>
      </c>
      <c r="H977" s="81" t="s">
        <v>31</v>
      </c>
      <c r="I977" s="3">
        <v>1</v>
      </c>
      <c r="J977" s="3"/>
      <c r="K977" s="26">
        <v>1</v>
      </c>
      <c r="L977" s="2">
        <v>6639</v>
      </c>
      <c r="M977" s="2">
        <v>6639</v>
      </c>
      <c r="N977" s="2">
        <v>6639</v>
      </c>
      <c r="O977" s="2">
        <v>6738</v>
      </c>
      <c r="P977" s="2">
        <v>99</v>
      </c>
      <c r="Q977" s="2">
        <v>99</v>
      </c>
      <c r="R977" s="4">
        <v>1.469278717720392E-2</v>
      </c>
      <c r="T977">
        <v>313101</v>
      </c>
      <c r="U977" s="2"/>
      <c r="V977">
        <v>6045</v>
      </c>
      <c r="W977" s="2">
        <v>6579000000</v>
      </c>
      <c r="X977" s="6">
        <v>6738</v>
      </c>
      <c r="Y977" s="38">
        <v>10010</v>
      </c>
      <c r="Z977" s="86">
        <f>+((DETALLE_GD_1[[#This Row],[VALOR X UN (GD)]]-DETALLE_GD_1[[#This Row],[VALOR PPTO]])/DETALLE_GD_1[[#This Row],[VALOR PPTO]])</f>
        <v>-1.4692787177203919E-2</v>
      </c>
      <c r="AA977" s="2">
        <f>+DETALLE_GD_1[[#This Row],[VALOR PPTO]]*DETALLE_GD_1[[#This Row],[CANTIDAD RECIBIDA]]</f>
        <v>6738</v>
      </c>
      <c r="AB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7" s="3">
        <f>+DETALLE_GD_1[[#This Row],[CANTIDAD SOLICITADA]]-DETALLE_GD_1[[#This Row],[DEVOLUCIÓN]]</f>
        <v>1</v>
      </c>
      <c r="AD977" s="38" t="str">
        <f>+_xlfn.XLOOKUP(DETALLE_GD_1[[#This Row],[CODIGO]],PRODUCTOS[CODIGO],PRODUCTOS[DESC CORTA],"",0)</f>
        <v>CERRADURA DE EMB</v>
      </c>
    </row>
    <row r="978" spans="1:30" x14ac:dyDescent="0.25">
      <c r="A978" s="1">
        <v>46133</v>
      </c>
      <c r="B978" s="1">
        <v>46133</v>
      </c>
      <c r="C978" s="81" t="s">
        <v>169</v>
      </c>
      <c r="D978" s="38">
        <v>4</v>
      </c>
      <c r="E978" s="81" t="s">
        <v>169</v>
      </c>
      <c r="F978">
        <v>2508993</v>
      </c>
      <c r="G978" s="81" t="s">
        <v>487</v>
      </c>
      <c r="H978" s="81" t="s">
        <v>31</v>
      </c>
      <c r="I978" s="3">
        <v>3</v>
      </c>
      <c r="J978" s="3"/>
      <c r="K978" s="26">
        <v>3</v>
      </c>
      <c r="L978" s="2">
        <v>1514.3333</v>
      </c>
      <c r="M978" s="2">
        <v>4543</v>
      </c>
      <c r="N978" s="2">
        <v>4543</v>
      </c>
      <c r="O978" s="2">
        <v>1410</v>
      </c>
      <c r="P978" s="2">
        <v>-104.33329999999999</v>
      </c>
      <c r="Q978" s="2">
        <v>-313</v>
      </c>
      <c r="R978" s="4">
        <v>-7.3995271867612233E-2</v>
      </c>
      <c r="T978">
        <v>313101</v>
      </c>
      <c r="U978" s="2"/>
      <c r="V978">
        <v>6045</v>
      </c>
      <c r="W978" s="2">
        <v>6579000000</v>
      </c>
      <c r="X978" s="6">
        <v>4230</v>
      </c>
      <c r="Y978" s="38">
        <v>10010</v>
      </c>
      <c r="Z978" s="86">
        <f>+((DETALLE_GD_1[[#This Row],[VALOR X UN (GD)]]-DETALLE_GD_1[[#This Row],[VALOR PPTO]])/DETALLE_GD_1[[#This Row],[VALOR PPTO]])</f>
        <v>7.3995248226950361E-2</v>
      </c>
      <c r="AA978" s="2">
        <f>+DETALLE_GD_1[[#This Row],[VALOR PPTO]]*DETALLE_GD_1[[#This Row],[CANTIDAD RECIBIDA]]</f>
        <v>4230</v>
      </c>
      <c r="AB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8" s="3">
        <f>+DETALLE_GD_1[[#This Row],[CANTIDAD SOLICITADA]]-DETALLE_GD_1[[#This Row],[DEVOLUCIÓN]]</f>
        <v>3</v>
      </c>
      <c r="AD978" s="38" t="str">
        <f>+_xlfn.XLOOKUP(DETALLE_GD_1[[#This Row],[CODIGO]],PRODUCTOS[CODIGO],PRODUCTOS[DESC CORTA],"",0)</f>
        <v>BOCALLAVE B1 800 ACCESO</v>
      </c>
    </row>
    <row r="979" spans="1:30" x14ac:dyDescent="0.25">
      <c r="A979" s="1">
        <v>46133</v>
      </c>
      <c r="B979" s="1">
        <v>46133</v>
      </c>
      <c r="C979" s="81" t="s">
        <v>169</v>
      </c>
      <c r="D979" s="38">
        <v>4</v>
      </c>
      <c r="E979" s="81" t="s">
        <v>169</v>
      </c>
      <c r="F979">
        <v>2508986</v>
      </c>
      <c r="G979" s="81" t="s">
        <v>709</v>
      </c>
      <c r="H979" s="81" t="s">
        <v>90</v>
      </c>
      <c r="I979" s="3">
        <v>1</v>
      </c>
      <c r="J979" s="3"/>
      <c r="K979" s="26">
        <v>1</v>
      </c>
      <c r="L979" s="2">
        <v>102622</v>
      </c>
      <c r="M979" s="2">
        <v>102622</v>
      </c>
      <c r="N979" s="2">
        <v>102622</v>
      </c>
      <c r="O979" s="2"/>
      <c r="P979" s="2"/>
      <c r="Q979" s="2">
        <v>-102622</v>
      </c>
      <c r="R979" s="4"/>
      <c r="T979">
        <v>313101</v>
      </c>
      <c r="U979" s="2"/>
      <c r="V979">
        <v>6045</v>
      </c>
      <c r="W979" s="2">
        <v>6579000000</v>
      </c>
      <c r="X979" s="6" t="s">
        <v>355</v>
      </c>
      <c r="Y979" s="38">
        <v>10010</v>
      </c>
      <c r="Z979" s="86" t="e">
        <f>+((DETALLE_GD_1[[#This Row],[VALOR X UN (GD)]]-DETALLE_GD_1[[#This Row],[VALOR PPTO]])/DETALLE_GD_1[[#This Row],[VALOR PPTO]])</f>
        <v>#DIV/0!</v>
      </c>
      <c r="AA979" s="2">
        <f>+DETALLE_GD_1[[#This Row],[VALOR PPTO]]*DETALLE_GD_1[[#This Row],[CANTIDAD RECIBIDA]]</f>
        <v>0</v>
      </c>
      <c r="AB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9" s="3">
        <f>+DETALLE_GD_1[[#This Row],[CANTIDAD SOLICITADA]]-DETALLE_GD_1[[#This Row],[DEVOLUCIÓN]]</f>
        <v>1</v>
      </c>
      <c r="AD979" s="38" t="str">
        <f>+_xlfn.XLOOKUP(DETALLE_GD_1[[#This Row],[CODIGO]],PRODUCTOS[CODIGO],PRODUCTOS[DESC CORTA],"",0)</f>
        <v/>
      </c>
    </row>
    <row r="980" spans="1:30" x14ac:dyDescent="0.25">
      <c r="A980" s="1">
        <v>46133</v>
      </c>
      <c r="B980" s="1">
        <v>46133</v>
      </c>
      <c r="C980" s="81" t="s">
        <v>169</v>
      </c>
      <c r="D980" s="38">
        <v>4</v>
      </c>
      <c r="E980" s="81" t="s">
        <v>169</v>
      </c>
      <c r="F980">
        <v>408042</v>
      </c>
      <c r="G980" s="81" t="s">
        <v>144</v>
      </c>
      <c r="H980" s="81" t="s">
        <v>36</v>
      </c>
      <c r="I980" s="3">
        <v>2</v>
      </c>
      <c r="J980" s="3"/>
      <c r="K980" s="26">
        <v>2</v>
      </c>
      <c r="L980" s="2">
        <v>35000</v>
      </c>
      <c r="M980" s="2">
        <v>70000</v>
      </c>
      <c r="N980" s="2">
        <v>70000</v>
      </c>
      <c r="O980" s="2">
        <v>35000</v>
      </c>
      <c r="P980" s="2">
        <v>0</v>
      </c>
      <c r="Q980" s="2">
        <v>0</v>
      </c>
      <c r="R980" s="4">
        <v>8.3153801304950006E-16</v>
      </c>
      <c r="T980">
        <v>313101</v>
      </c>
      <c r="U980" s="2"/>
      <c r="V980">
        <v>6045</v>
      </c>
      <c r="W980" s="2">
        <v>6579000000</v>
      </c>
      <c r="X980" s="6">
        <v>70000.000000000058</v>
      </c>
      <c r="Y980" s="38">
        <v>10010</v>
      </c>
      <c r="Z980" s="86">
        <f>+((DETALLE_GD_1[[#This Row],[VALOR X UN (GD)]]-DETALLE_GD_1[[#This Row],[VALOR PPTO]])/DETALLE_GD_1[[#This Row],[VALOR PPTO]])</f>
        <v>0</v>
      </c>
      <c r="AA980" s="2">
        <f>+DETALLE_GD_1[[#This Row],[VALOR PPTO]]*DETALLE_GD_1[[#This Row],[CANTIDAD RECIBIDA]]</f>
        <v>70000</v>
      </c>
      <c r="AB9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0" s="3">
        <f>+DETALLE_GD_1[[#This Row],[CANTIDAD SOLICITADA]]-DETALLE_GD_1[[#This Row],[DEVOLUCIÓN]]</f>
        <v>2</v>
      </c>
      <c r="AD980" s="38" t="str">
        <f>+_xlfn.XLOOKUP(DETALLE_GD_1[[#This Row],[CODIGO]],PRODUCTOS[CODIGO],PRODUCTOS[DESC CORTA],"",0)</f>
        <v>CLAVO HELICOIDAL PROFIX</v>
      </c>
    </row>
    <row r="981" spans="1:30" x14ac:dyDescent="0.25">
      <c r="A981" s="1">
        <v>46133</v>
      </c>
      <c r="B981" s="1">
        <v>46133</v>
      </c>
      <c r="C981" s="81" t="s">
        <v>169</v>
      </c>
      <c r="D981" s="38">
        <v>4</v>
      </c>
      <c r="E981" s="81" t="s">
        <v>169</v>
      </c>
      <c r="F981">
        <v>1703006</v>
      </c>
      <c r="G981" s="81" t="s">
        <v>48</v>
      </c>
      <c r="H981" s="81" t="s">
        <v>31</v>
      </c>
      <c r="I981" s="3">
        <v>4</v>
      </c>
      <c r="J981" s="3"/>
      <c r="K981" s="26">
        <v>4</v>
      </c>
      <c r="L981" s="2">
        <v>1662.25</v>
      </c>
      <c r="M981" s="2">
        <v>6649</v>
      </c>
      <c r="N981" s="2">
        <v>6649</v>
      </c>
      <c r="O981" s="2">
        <v>1662</v>
      </c>
      <c r="P981" s="2">
        <v>-0.25</v>
      </c>
      <c r="Q981" s="2">
        <v>-1</v>
      </c>
      <c r="R981" s="4">
        <v>-1.5042117930204573E-4</v>
      </c>
      <c r="T981">
        <v>313098</v>
      </c>
      <c r="U981" s="2">
        <v>6649</v>
      </c>
      <c r="V981">
        <v>6045</v>
      </c>
      <c r="W981" s="2">
        <v>6579000000</v>
      </c>
      <c r="X981" s="6">
        <v>6648</v>
      </c>
      <c r="Y981" s="38">
        <v>10010</v>
      </c>
      <c r="Z981" s="86">
        <f>+((DETALLE_GD_1[[#This Row],[VALOR X UN (GD)]]-DETALLE_GD_1[[#This Row],[VALOR PPTO]])/DETALLE_GD_1[[#This Row],[VALOR PPTO]])</f>
        <v>1.5042117930204573E-4</v>
      </c>
      <c r="AA981" s="2">
        <f>+DETALLE_GD_1[[#This Row],[VALOR PPTO]]*DETALLE_GD_1[[#This Row],[CANTIDAD RECIBIDA]]</f>
        <v>6648</v>
      </c>
      <c r="AB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1" s="3">
        <f>+DETALLE_GD_1[[#This Row],[CANTIDAD SOLICITADA]]-DETALLE_GD_1[[#This Row],[DEVOLUCIÓN]]</f>
        <v>4</v>
      </c>
      <c r="AD981" s="38" t="str">
        <f>+_xlfn.XLOOKUP(DETALLE_GD_1[[#This Row],[CODIGO]],PRODUCTOS[CODIGO],PRODUCTOS[DESC CORTA],"",0)</f>
        <v>SIFON LAVAPLATO</v>
      </c>
    </row>
    <row r="982" spans="1:30" x14ac:dyDescent="0.25">
      <c r="A982" s="1">
        <v>46134</v>
      </c>
      <c r="B982" s="1">
        <v>46134</v>
      </c>
      <c r="C982" s="81" t="s">
        <v>169</v>
      </c>
      <c r="D982" s="38">
        <v>4</v>
      </c>
      <c r="E982" s="81" t="s">
        <v>169</v>
      </c>
      <c r="F982">
        <v>410046</v>
      </c>
      <c r="G982" s="81" t="s">
        <v>361</v>
      </c>
      <c r="H982" s="81" t="s">
        <v>31</v>
      </c>
      <c r="I982" s="3">
        <v>129</v>
      </c>
      <c r="J982" s="3"/>
      <c r="K982" s="26">
        <v>129</v>
      </c>
      <c r="L982" s="2">
        <v>746</v>
      </c>
      <c r="M982" s="2">
        <v>96234</v>
      </c>
      <c r="N982" s="2">
        <v>96234</v>
      </c>
      <c r="O982" s="2">
        <v>746</v>
      </c>
      <c r="P982" s="2">
        <v>0</v>
      </c>
      <c r="Q982" s="2">
        <v>0</v>
      </c>
      <c r="R982" s="4">
        <v>0</v>
      </c>
      <c r="T982">
        <v>313172</v>
      </c>
      <c r="U982" s="2">
        <v>4811837</v>
      </c>
      <c r="V982">
        <v>6045</v>
      </c>
      <c r="W982" s="2">
        <v>6579000000</v>
      </c>
      <c r="X982" s="6">
        <v>96234</v>
      </c>
      <c r="Y982" s="38">
        <v>10010</v>
      </c>
      <c r="Z982" s="86">
        <f>+((DETALLE_GD_1[[#This Row],[VALOR X UN (GD)]]-DETALLE_GD_1[[#This Row],[VALOR PPTO]])/DETALLE_GD_1[[#This Row],[VALOR PPTO]])</f>
        <v>0</v>
      </c>
      <c r="AA982" s="2">
        <f>+DETALLE_GD_1[[#This Row],[VALOR PPTO]]*DETALLE_GD_1[[#This Row],[CANTIDAD RECIBIDA]]</f>
        <v>96234</v>
      </c>
      <c r="AB9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2" s="3">
        <f>+DETALLE_GD_1[[#This Row],[CANTIDAD SOLICITADA]]-DETALLE_GD_1[[#This Row],[DEVOLUCIÓN]]</f>
        <v>129</v>
      </c>
      <c r="AD982" s="38">
        <f>+_xlfn.XLOOKUP(DETALLE_GD_1[[#This Row],[CODIGO]],PRODUCTOS[CODIGO],PRODUCTOS[DESC CORTA],"",0)</f>
        <v>0</v>
      </c>
    </row>
    <row r="983" spans="1:30" x14ac:dyDescent="0.25">
      <c r="A983" s="1">
        <v>46134</v>
      </c>
      <c r="B983" s="1">
        <v>46134</v>
      </c>
      <c r="C983" s="81" t="s">
        <v>169</v>
      </c>
      <c r="D983" s="38">
        <v>4</v>
      </c>
      <c r="E983" s="81" t="s">
        <v>169</v>
      </c>
      <c r="F983" t="s">
        <v>21</v>
      </c>
      <c r="G983" s="81" t="s">
        <v>22</v>
      </c>
      <c r="H983" s="81" t="s">
        <v>20</v>
      </c>
      <c r="I983" s="3">
        <v>40</v>
      </c>
      <c r="J983" s="3"/>
      <c r="K983" s="26">
        <v>40</v>
      </c>
      <c r="L983" s="2">
        <v>15359.7</v>
      </c>
      <c r="M983" s="2">
        <v>614388</v>
      </c>
      <c r="N983" s="2">
        <v>614388</v>
      </c>
      <c r="O983" s="2">
        <v>15359.702799999999</v>
      </c>
      <c r="P983" s="2">
        <v>2.8E-3</v>
      </c>
      <c r="Q983" s="2">
        <v>0.1114</v>
      </c>
      <c r="R983" s="4">
        <v>1.81318612826567E-7</v>
      </c>
      <c r="T983">
        <v>313172</v>
      </c>
      <c r="U983" s="2"/>
      <c r="V983">
        <v>6045</v>
      </c>
      <c r="W983" s="2">
        <v>6579000000</v>
      </c>
      <c r="X983" s="6">
        <v>614388.11140000017</v>
      </c>
      <c r="Y983" s="38">
        <v>10010</v>
      </c>
      <c r="Z983" s="86">
        <f>+((DETALLE_GD_1[[#This Row],[VALOR X UN (GD)]]-DETALLE_GD_1[[#This Row],[VALOR PPTO]])/DETALLE_GD_1[[#This Row],[VALOR PPTO]])</f>
        <v>-1.8229519378380471E-7</v>
      </c>
      <c r="AA983" s="2">
        <f>+DETALLE_GD_1[[#This Row],[VALOR PPTO]]*DETALLE_GD_1[[#This Row],[CANTIDAD RECIBIDA]]</f>
        <v>614388.11199999996</v>
      </c>
      <c r="AB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83" s="3">
        <f>+DETALLE_GD_1[[#This Row],[CANTIDAD SOLICITADA]]-DETALLE_GD_1[[#This Row],[DEVOLUCIÓN]]</f>
        <v>40</v>
      </c>
      <c r="AD983" s="38" t="str">
        <f>+_xlfn.XLOOKUP(DETALLE_GD_1[[#This Row],[CODIGO]],PRODUCTOS[CODIGO],PRODUCTOS[DESC CORTA],"",0)</f>
        <v>PINO 3X8X320</v>
      </c>
    </row>
    <row r="984" spans="1:30" x14ac:dyDescent="0.25">
      <c r="A984" s="1">
        <v>46134</v>
      </c>
      <c r="B984" s="1">
        <v>46134</v>
      </c>
      <c r="C984" s="81" t="s">
        <v>169</v>
      </c>
      <c r="D984" s="38">
        <v>4</v>
      </c>
      <c r="E984" s="81" t="s">
        <v>169</v>
      </c>
      <c r="F984">
        <v>302054</v>
      </c>
      <c r="G984" s="81" t="s">
        <v>356</v>
      </c>
      <c r="H984" s="81" t="s">
        <v>20</v>
      </c>
      <c r="I984" s="3">
        <v>312</v>
      </c>
      <c r="J984" s="3"/>
      <c r="K984" s="26">
        <v>312</v>
      </c>
      <c r="L984" s="2">
        <v>5239.2788</v>
      </c>
      <c r="M984" s="2">
        <v>1634655</v>
      </c>
      <c r="N984" s="2">
        <v>1634655</v>
      </c>
      <c r="O984" s="2">
        <v>5713</v>
      </c>
      <c r="P984" s="2">
        <v>473.72120000000001</v>
      </c>
      <c r="Q984" s="2">
        <v>147801</v>
      </c>
      <c r="R984" s="4">
        <v>8.2919858891327539E-2</v>
      </c>
      <c r="T984">
        <v>313172</v>
      </c>
      <c r="U984" s="2"/>
      <c r="V984">
        <v>6045</v>
      </c>
      <c r="W984" s="2">
        <v>6579000000</v>
      </c>
      <c r="X984" s="6">
        <v>1782456</v>
      </c>
      <c r="Y984" s="38">
        <v>10010</v>
      </c>
      <c r="Z984" s="86">
        <f>+((DETALLE_GD_1[[#This Row],[VALOR X UN (GD)]]-DETALLE_GD_1[[#This Row],[VALOR PPTO]])/DETALLE_GD_1[[#This Row],[VALOR PPTO]])</f>
        <v>-8.2919866970068257E-2</v>
      </c>
      <c r="AA984" s="2">
        <f>+DETALLE_GD_1[[#This Row],[VALOR PPTO]]*DETALLE_GD_1[[#This Row],[CANTIDAD RECIBIDA]]</f>
        <v>1782456</v>
      </c>
      <c r="AB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84" s="3">
        <f>+DETALLE_GD_1[[#This Row],[CANTIDAD SOLICITADA]]-DETALLE_GD_1[[#This Row],[DEVOLUCIÓN]]</f>
        <v>312</v>
      </c>
      <c r="AD984" s="38">
        <f>+_xlfn.XLOOKUP(DETALLE_GD_1[[#This Row],[CODIGO]],PRODUCTOS[CODIGO],PRODUCTOS[DESC CORTA],"",0)</f>
        <v>0</v>
      </c>
    </row>
    <row r="985" spans="1:30" x14ac:dyDescent="0.25">
      <c r="A985" s="1">
        <v>46134</v>
      </c>
      <c r="B985" s="1">
        <v>46134</v>
      </c>
      <c r="C985" s="81" t="s">
        <v>169</v>
      </c>
      <c r="D985" s="38">
        <v>4</v>
      </c>
      <c r="E985" s="81" t="s">
        <v>169</v>
      </c>
      <c r="F985" t="s">
        <v>386</v>
      </c>
      <c r="G985" s="81" t="s">
        <v>83</v>
      </c>
      <c r="H985" s="81" t="s">
        <v>36</v>
      </c>
      <c r="I985" s="3">
        <v>1</v>
      </c>
      <c r="J985" s="3"/>
      <c r="K985" s="26">
        <v>1</v>
      </c>
      <c r="L985" s="2">
        <v>36940</v>
      </c>
      <c r="M985" s="2">
        <v>36940</v>
      </c>
      <c r="N985" s="2">
        <v>36940</v>
      </c>
      <c r="O985" s="2">
        <v>36939.818200000002</v>
      </c>
      <c r="P985" s="2">
        <v>-0.18179999999999999</v>
      </c>
      <c r="Q985" s="2">
        <v>-0.18179999999999999</v>
      </c>
      <c r="R985" s="4">
        <v>-4.9220058181131147E-6</v>
      </c>
      <c r="T985">
        <v>313172</v>
      </c>
      <c r="U985" s="2"/>
      <c r="V985">
        <v>6045</v>
      </c>
      <c r="W985" s="2">
        <v>6579000000</v>
      </c>
      <c r="X985" s="6">
        <v>36939.818181999981</v>
      </c>
      <c r="Y985" s="38">
        <v>10010</v>
      </c>
      <c r="Z985" s="86">
        <f>+((DETALLE_GD_1[[#This Row],[VALOR X UN (GD)]]-DETALLE_GD_1[[#This Row],[VALOR PPTO]])/DETALLE_GD_1[[#This Row],[VALOR PPTO]])</f>
        <v>4.92151853628979E-6</v>
      </c>
      <c r="AA985" s="2">
        <f>+DETALLE_GD_1[[#This Row],[VALOR PPTO]]*DETALLE_GD_1[[#This Row],[CANTIDAD RECIBIDA]]</f>
        <v>36939.818200000002</v>
      </c>
      <c r="AB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85" s="3">
        <f>+DETALLE_GD_1[[#This Row],[CANTIDAD SOLICITADA]]-DETALLE_GD_1[[#This Row],[DEVOLUCIÓN]]</f>
        <v>1</v>
      </c>
      <c r="AD985" s="38" t="str">
        <f>+_xlfn.XLOOKUP(DETALLE_GD_1[[#This Row],[CODIGO]],PRODUCTOS[CODIGO],PRODUCTOS[DESC CORTA],"",0)</f>
        <v>CLAVO R20</v>
      </c>
    </row>
    <row r="986" spans="1:30" x14ac:dyDescent="0.25">
      <c r="A986" s="1">
        <v>46134</v>
      </c>
      <c r="B986" s="1">
        <v>46134</v>
      </c>
      <c r="C986" s="81" t="s">
        <v>169</v>
      </c>
      <c r="D986" s="38">
        <v>4</v>
      </c>
      <c r="E986" s="81" t="s">
        <v>169</v>
      </c>
      <c r="F986">
        <v>410045</v>
      </c>
      <c r="G986" s="81" t="s">
        <v>110</v>
      </c>
      <c r="H986" s="81" t="s">
        <v>31</v>
      </c>
      <c r="I986" s="3">
        <v>232</v>
      </c>
      <c r="J986" s="3"/>
      <c r="K986" s="26">
        <v>232</v>
      </c>
      <c r="L986" s="2">
        <v>346.90519999999998</v>
      </c>
      <c r="M986" s="2">
        <v>80482</v>
      </c>
      <c r="N986" s="2">
        <v>80482</v>
      </c>
      <c r="O986" s="2">
        <v>368.00139999999999</v>
      </c>
      <c r="P986" s="2">
        <v>21.0962</v>
      </c>
      <c r="Q986" s="2">
        <v>4894.3158000000003</v>
      </c>
      <c r="R986" s="4">
        <v>5.7326387404873863E-2</v>
      </c>
      <c r="T986">
        <v>313172</v>
      </c>
      <c r="U986" s="2"/>
      <c r="V986">
        <v>6045</v>
      </c>
      <c r="W986" s="2">
        <v>6579000000</v>
      </c>
      <c r="X986" s="6">
        <v>85376.31575199998</v>
      </c>
      <c r="Y986" s="38">
        <v>10010</v>
      </c>
      <c r="Z986" s="86">
        <f>+((DETALLE_GD_1[[#This Row],[VALOR X UN (GD)]]-DETALLE_GD_1[[#This Row],[VALOR PPTO]])/DETALLE_GD_1[[#This Row],[VALOR PPTO]])</f>
        <v>-5.7326412345170455E-2</v>
      </c>
      <c r="AA986" s="2">
        <f>+DETALLE_GD_1[[#This Row],[VALOR PPTO]]*DETALLE_GD_1[[#This Row],[CANTIDAD RECIBIDA]]</f>
        <v>85376.324800000002</v>
      </c>
      <c r="AB9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6" s="3">
        <f>+DETALLE_GD_1[[#This Row],[CANTIDAD SOLICITADA]]-DETALLE_GD_1[[#This Row],[DEVOLUCIÓN]]</f>
        <v>232</v>
      </c>
      <c r="AD986" s="38" t="str">
        <f>+_xlfn.XLOOKUP(DETALLE_GD_1[[#This Row],[CODIGO]],PRODUCTOS[CODIGO],PRODUCTOS[DESC CORTA],"",0)</f>
        <v>CONECTOR DENTADO</v>
      </c>
    </row>
    <row r="987" spans="1:30" x14ac:dyDescent="0.25">
      <c r="A987" s="1">
        <v>46134</v>
      </c>
      <c r="B987" s="1">
        <v>46134</v>
      </c>
      <c r="C987" s="81" t="s">
        <v>169</v>
      </c>
      <c r="D987" s="38">
        <v>4</v>
      </c>
      <c r="E987" s="81" t="s">
        <v>169</v>
      </c>
      <c r="F987">
        <v>410126</v>
      </c>
      <c r="G987" s="81" t="s">
        <v>159</v>
      </c>
      <c r="H987" s="81" t="s">
        <v>31</v>
      </c>
      <c r="I987" s="3">
        <v>88</v>
      </c>
      <c r="J987" s="3"/>
      <c r="K987" s="26">
        <v>88</v>
      </c>
      <c r="L987" s="2">
        <v>983.85230000000001</v>
      </c>
      <c r="M987" s="2">
        <v>86579</v>
      </c>
      <c r="N987" s="2">
        <v>86579</v>
      </c>
      <c r="O987" s="2">
        <v>983.61890000000005</v>
      </c>
      <c r="P987" s="2">
        <v>-0.2334</v>
      </c>
      <c r="Q987" s="2">
        <v>-20.538499999999999</v>
      </c>
      <c r="R987" s="4">
        <v>-2.3727861652611632E-4</v>
      </c>
      <c r="T987">
        <v>313172</v>
      </c>
      <c r="U987" s="2"/>
      <c r="V987">
        <v>6045</v>
      </c>
      <c r="W987" s="2">
        <v>6579000000</v>
      </c>
      <c r="X987" s="6">
        <v>86558.461528000014</v>
      </c>
      <c r="Y987" s="38">
        <v>10010</v>
      </c>
      <c r="Z987" s="86">
        <f>+((DETALLE_GD_1[[#This Row],[VALOR X UN (GD)]]-DETALLE_GD_1[[#This Row],[VALOR PPTO]])/DETALLE_GD_1[[#This Row],[VALOR PPTO]])</f>
        <v>2.3728702244330655E-4</v>
      </c>
      <c r="AA987" s="2">
        <f>+DETALLE_GD_1[[#This Row],[VALOR PPTO]]*DETALLE_GD_1[[#This Row],[CANTIDAD RECIBIDA]]</f>
        <v>86558.463199999998</v>
      </c>
      <c r="AB9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7" s="3">
        <f>+DETALLE_GD_1[[#This Row],[CANTIDAD SOLICITADA]]-DETALLE_GD_1[[#This Row],[DEVOLUCIÓN]]</f>
        <v>88</v>
      </c>
      <c r="AD987" s="38">
        <f>+_xlfn.XLOOKUP(DETALLE_GD_1[[#This Row],[CODIGO]],PRODUCTOS[CODIGO],PRODUCTOS[DESC CORTA],"",0)</f>
        <v>0</v>
      </c>
    </row>
    <row r="988" spans="1:30" x14ac:dyDescent="0.25">
      <c r="A988" s="1">
        <v>46134</v>
      </c>
      <c r="B988" s="1">
        <v>46134</v>
      </c>
      <c r="C988" s="81" t="s">
        <v>169</v>
      </c>
      <c r="D988" s="38">
        <v>4</v>
      </c>
      <c r="E988" s="81" t="s">
        <v>169</v>
      </c>
      <c r="F988">
        <v>304049</v>
      </c>
      <c r="G988" s="81" t="s">
        <v>318</v>
      </c>
      <c r="H988" s="81" t="s">
        <v>18</v>
      </c>
      <c r="I988" s="3">
        <v>130</v>
      </c>
      <c r="J988" s="3"/>
      <c r="K988" s="26">
        <v>130</v>
      </c>
      <c r="L988" s="2">
        <v>14981.223099999999</v>
      </c>
      <c r="M988" s="2">
        <v>1947559</v>
      </c>
      <c r="N988" s="2">
        <v>1947559</v>
      </c>
      <c r="O988" s="2">
        <v>14982</v>
      </c>
      <c r="P988" s="2">
        <v>0.77690000000000003</v>
      </c>
      <c r="Q988" s="2">
        <v>101</v>
      </c>
      <c r="R988" s="4">
        <v>5.1857100314738323E-5</v>
      </c>
      <c r="T988">
        <v>313172</v>
      </c>
      <c r="U988" s="2"/>
      <c r="V988">
        <v>6045</v>
      </c>
      <c r="W988" s="2">
        <v>6579000000</v>
      </c>
      <c r="X988" s="6">
        <v>1947659.9999999993</v>
      </c>
      <c r="Y988" s="38">
        <v>10010</v>
      </c>
      <c r="Z988" s="86">
        <f>+((DETALLE_GD_1[[#This Row],[VALOR X UN (GD)]]-DETALLE_GD_1[[#This Row],[VALOR PPTO]])/DETALLE_GD_1[[#This Row],[VALOR PPTO]])</f>
        <v>-5.1855560005389863E-5</v>
      </c>
      <c r="AA988" s="2">
        <f>+DETALLE_GD_1[[#This Row],[VALOR PPTO]]*DETALLE_GD_1[[#This Row],[CANTIDAD RECIBIDA]]</f>
        <v>1947660</v>
      </c>
      <c r="AB9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88" s="3">
        <f>+DETALLE_GD_1[[#This Row],[CANTIDAD SOLICITADA]]-DETALLE_GD_1[[#This Row],[DEVOLUCIÓN]]</f>
        <v>130</v>
      </c>
      <c r="AD988" s="38" t="str">
        <f>+_xlfn.XLOOKUP(DETALLE_GD_1[[#This Row],[CODIGO]],PRODUCTOS[CODIGO],PRODUCTOS[DESC CORTA],"",0)</f>
        <v>TERCIADO FENOLICO</v>
      </c>
    </row>
    <row r="989" spans="1:30" x14ac:dyDescent="0.25">
      <c r="A989" s="1">
        <v>46134</v>
      </c>
      <c r="B989" s="1">
        <v>46134</v>
      </c>
      <c r="C989" s="81" t="s">
        <v>169</v>
      </c>
      <c r="D989" s="38">
        <v>4</v>
      </c>
      <c r="E989" s="81" t="s">
        <v>169</v>
      </c>
      <c r="F989">
        <v>408042</v>
      </c>
      <c r="G989" s="81" t="s">
        <v>144</v>
      </c>
      <c r="H989" s="81" t="s">
        <v>36</v>
      </c>
      <c r="I989" s="3">
        <v>3</v>
      </c>
      <c r="J989" s="3"/>
      <c r="K989" s="26">
        <v>3</v>
      </c>
      <c r="L989" s="2">
        <v>35000</v>
      </c>
      <c r="M989" s="2">
        <v>105000</v>
      </c>
      <c r="N989" s="2">
        <v>105000</v>
      </c>
      <c r="O989" s="2">
        <v>35000</v>
      </c>
      <c r="P989" s="2">
        <v>0</v>
      </c>
      <c r="Q989" s="2">
        <v>0</v>
      </c>
      <c r="R989" s="4">
        <v>8.3153801304950006E-16</v>
      </c>
      <c r="T989">
        <v>313172</v>
      </c>
      <c r="U989" s="2"/>
      <c r="V989">
        <v>6045</v>
      </c>
      <c r="W989" s="2">
        <v>6579000000</v>
      </c>
      <c r="X989" s="6">
        <v>105000.00000000007</v>
      </c>
      <c r="Y989" s="38">
        <v>10010</v>
      </c>
      <c r="Z989" s="86">
        <f>+((DETALLE_GD_1[[#This Row],[VALOR X UN (GD)]]-DETALLE_GD_1[[#This Row],[VALOR PPTO]])/DETALLE_GD_1[[#This Row],[VALOR PPTO]])</f>
        <v>0</v>
      </c>
      <c r="AA989" s="2">
        <f>+DETALLE_GD_1[[#This Row],[VALOR PPTO]]*DETALLE_GD_1[[#This Row],[CANTIDAD RECIBIDA]]</f>
        <v>105000</v>
      </c>
      <c r="AB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9" s="3">
        <f>+DETALLE_GD_1[[#This Row],[CANTIDAD SOLICITADA]]-DETALLE_GD_1[[#This Row],[DEVOLUCIÓN]]</f>
        <v>3</v>
      </c>
      <c r="AD989" s="38" t="str">
        <f>+_xlfn.XLOOKUP(DETALLE_GD_1[[#This Row],[CODIGO]],PRODUCTOS[CODIGO],PRODUCTOS[DESC CORTA],"",0)</f>
        <v>CLAVO HELICOIDAL PROFIX</v>
      </c>
    </row>
    <row r="990" spans="1:30" x14ac:dyDescent="0.25">
      <c r="A990" s="1">
        <v>46134</v>
      </c>
      <c r="B990" s="1">
        <v>46134</v>
      </c>
      <c r="C990" s="81" t="s">
        <v>169</v>
      </c>
      <c r="D990" s="38">
        <v>4</v>
      </c>
      <c r="E990" s="81" t="s">
        <v>169</v>
      </c>
      <c r="F990">
        <v>408042</v>
      </c>
      <c r="G990" s="81" t="s">
        <v>144</v>
      </c>
      <c r="H990" s="81" t="s">
        <v>36</v>
      </c>
      <c r="I990" s="3">
        <v>6</v>
      </c>
      <c r="J990" s="3"/>
      <c r="K990" s="26">
        <v>6</v>
      </c>
      <c r="L990" s="2">
        <v>35000</v>
      </c>
      <c r="M990" s="2">
        <v>210000</v>
      </c>
      <c r="N990" s="2">
        <v>210000</v>
      </c>
      <c r="O990" s="2">
        <v>35000</v>
      </c>
      <c r="P990" s="2">
        <v>0</v>
      </c>
      <c r="Q990" s="2">
        <v>0</v>
      </c>
      <c r="R990" s="4">
        <v>8.3153801304950006E-16</v>
      </c>
      <c r="T990">
        <v>313172</v>
      </c>
      <c r="U990" s="2"/>
      <c r="V990">
        <v>6045</v>
      </c>
      <c r="W990" s="2">
        <v>6579000000</v>
      </c>
      <c r="X990" s="6">
        <v>210000.00000000015</v>
      </c>
      <c r="Y990" s="38">
        <v>10010</v>
      </c>
      <c r="Z990" s="86">
        <f>+((DETALLE_GD_1[[#This Row],[VALOR X UN (GD)]]-DETALLE_GD_1[[#This Row],[VALOR PPTO]])/DETALLE_GD_1[[#This Row],[VALOR PPTO]])</f>
        <v>0</v>
      </c>
      <c r="AA990" s="2">
        <f>+DETALLE_GD_1[[#This Row],[VALOR PPTO]]*DETALLE_GD_1[[#This Row],[CANTIDAD RECIBIDA]]</f>
        <v>210000</v>
      </c>
      <c r="AB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0" s="3">
        <f>+DETALLE_GD_1[[#This Row],[CANTIDAD SOLICITADA]]-DETALLE_GD_1[[#This Row],[DEVOLUCIÓN]]</f>
        <v>6</v>
      </c>
      <c r="AD990" s="38" t="str">
        <f>+_xlfn.XLOOKUP(DETALLE_GD_1[[#This Row],[CODIGO]],PRODUCTOS[CODIGO],PRODUCTOS[DESC CORTA],"",0)</f>
        <v>CLAVO HELICOIDAL PROFIX</v>
      </c>
    </row>
    <row r="991" spans="1:30" x14ac:dyDescent="0.25">
      <c r="A991" s="1">
        <v>46135</v>
      </c>
      <c r="B991" s="1">
        <v>46135</v>
      </c>
      <c r="C991" s="81" t="s">
        <v>169</v>
      </c>
      <c r="D991" s="38">
        <v>4</v>
      </c>
      <c r="E991" s="81" t="s">
        <v>169</v>
      </c>
      <c r="F991">
        <v>2508993</v>
      </c>
      <c r="G991" s="81" t="s">
        <v>487</v>
      </c>
      <c r="H991" s="81" t="s">
        <v>31</v>
      </c>
      <c r="I991" s="3">
        <v>8</v>
      </c>
      <c r="J991" s="3"/>
      <c r="K991" s="26">
        <v>8</v>
      </c>
      <c r="L991" s="2">
        <v>1514.375</v>
      </c>
      <c r="M991" s="2">
        <v>12115</v>
      </c>
      <c r="N991" s="2">
        <v>12115</v>
      </c>
      <c r="O991" s="2">
        <v>1410</v>
      </c>
      <c r="P991" s="2">
        <v>-104.375</v>
      </c>
      <c r="Q991" s="2">
        <v>-835</v>
      </c>
      <c r="R991" s="4">
        <v>-7.402482269503545E-2</v>
      </c>
      <c r="T991">
        <v>313341</v>
      </c>
      <c r="U991" s="2">
        <v>4080882</v>
      </c>
      <c r="V991">
        <v>6045</v>
      </c>
      <c r="W991" s="2">
        <v>6579000000</v>
      </c>
      <c r="X991" s="6">
        <v>11280</v>
      </c>
      <c r="Y991" s="38">
        <v>10010</v>
      </c>
      <c r="Z991" s="86">
        <f>+((DETALLE_GD_1[[#This Row],[VALOR X UN (GD)]]-DETALLE_GD_1[[#This Row],[VALOR PPTO]])/DETALLE_GD_1[[#This Row],[VALOR PPTO]])</f>
        <v>7.4024822695035464E-2</v>
      </c>
      <c r="AA991" s="2">
        <f>+DETALLE_GD_1[[#This Row],[VALOR PPTO]]*DETALLE_GD_1[[#This Row],[CANTIDAD RECIBIDA]]</f>
        <v>11280</v>
      </c>
      <c r="AB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1" s="3">
        <f>+DETALLE_GD_1[[#This Row],[CANTIDAD SOLICITADA]]-DETALLE_GD_1[[#This Row],[DEVOLUCIÓN]]</f>
        <v>8</v>
      </c>
      <c r="AD991" s="38" t="str">
        <f>+_xlfn.XLOOKUP(DETALLE_GD_1[[#This Row],[CODIGO]],PRODUCTOS[CODIGO],PRODUCTOS[DESC CORTA],"",0)</f>
        <v>BOCALLAVE B1 800 ACCESO</v>
      </c>
    </row>
    <row r="992" spans="1:30" x14ac:dyDescent="0.25">
      <c r="A992" s="1">
        <v>46135</v>
      </c>
      <c r="B992" s="1">
        <v>46135</v>
      </c>
      <c r="C992" s="81" t="s">
        <v>169</v>
      </c>
      <c r="D992" s="38">
        <v>4</v>
      </c>
      <c r="E992" s="81" t="s">
        <v>169</v>
      </c>
      <c r="F992">
        <v>2508992</v>
      </c>
      <c r="G992" s="81" t="s">
        <v>486</v>
      </c>
      <c r="H992" s="81" t="s">
        <v>31</v>
      </c>
      <c r="I992" s="3">
        <v>6</v>
      </c>
      <c r="J992" s="3"/>
      <c r="K992" s="26">
        <v>6</v>
      </c>
      <c r="L992" s="2">
        <v>5052.8333000000002</v>
      </c>
      <c r="M992" s="2">
        <v>30317</v>
      </c>
      <c r="N992" s="2">
        <v>30317</v>
      </c>
      <c r="O992" s="2">
        <v>5084</v>
      </c>
      <c r="P992" s="2">
        <v>31.166699999999999</v>
      </c>
      <c r="Q992" s="2">
        <v>187</v>
      </c>
      <c r="R992" s="4">
        <v>6.1303435615001909E-3</v>
      </c>
      <c r="T992">
        <v>313341</v>
      </c>
      <c r="U992" s="2"/>
      <c r="V992">
        <v>6045</v>
      </c>
      <c r="W992" s="2">
        <v>6579000000</v>
      </c>
      <c r="X992" s="6">
        <v>30504</v>
      </c>
      <c r="Y992" s="38">
        <v>10010</v>
      </c>
      <c r="Z992" s="86">
        <f>+((DETALLE_GD_1[[#This Row],[VALOR X UN (GD)]]-DETALLE_GD_1[[#This Row],[VALOR PPTO]])/DETALLE_GD_1[[#This Row],[VALOR PPTO]])</f>
        <v>-6.1303501180172632E-3</v>
      </c>
      <c r="AA992" s="2">
        <f>+DETALLE_GD_1[[#This Row],[VALOR PPTO]]*DETALLE_GD_1[[#This Row],[CANTIDAD RECIBIDA]]</f>
        <v>30504</v>
      </c>
      <c r="AB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2" s="3">
        <f>+DETALLE_GD_1[[#This Row],[CANTIDAD SOLICITADA]]-DETALLE_GD_1[[#This Row],[DEVOLUCIÓN]]</f>
        <v>6</v>
      </c>
      <c r="AD992" s="38" t="str">
        <f>+_xlfn.XLOOKUP(DETALLE_GD_1[[#This Row],[CODIGO]],PRODUCTOS[CODIGO],PRODUCTOS[DESC CORTA],"",0)</f>
        <v>MANILLA JUEGO</v>
      </c>
    </row>
    <row r="993" spans="1:30" x14ac:dyDescent="0.25">
      <c r="A993" s="1">
        <v>46135</v>
      </c>
      <c r="B993" s="1">
        <v>46135</v>
      </c>
      <c r="C993" s="81" t="s">
        <v>169</v>
      </c>
      <c r="D993" s="38">
        <v>4</v>
      </c>
      <c r="E993" s="81" t="s">
        <v>169</v>
      </c>
      <c r="F993">
        <v>2508991</v>
      </c>
      <c r="G993" s="81" t="s">
        <v>485</v>
      </c>
      <c r="H993" s="81" t="s">
        <v>31</v>
      </c>
      <c r="I993" s="3">
        <v>8</v>
      </c>
      <c r="J993" s="3"/>
      <c r="K993" s="26">
        <v>8</v>
      </c>
      <c r="L993" s="2">
        <v>4772.875</v>
      </c>
      <c r="M993" s="2">
        <v>38183</v>
      </c>
      <c r="N993" s="2">
        <v>38183</v>
      </c>
      <c r="O993" s="2">
        <v>4798</v>
      </c>
      <c r="P993" s="2">
        <v>25.125</v>
      </c>
      <c r="Q993" s="2">
        <v>201</v>
      </c>
      <c r="R993" s="4">
        <v>5.2365568987077947E-3</v>
      </c>
      <c r="T993">
        <v>313341</v>
      </c>
      <c r="U993" s="2"/>
      <c r="V993">
        <v>6045</v>
      </c>
      <c r="W993" s="2">
        <v>6579000000</v>
      </c>
      <c r="X993" s="6">
        <v>38384</v>
      </c>
      <c r="Y993" s="38">
        <v>10010</v>
      </c>
      <c r="Z993" s="86">
        <f>+((DETALLE_GD_1[[#This Row],[VALOR X UN (GD)]]-DETALLE_GD_1[[#This Row],[VALOR PPTO]])/DETALLE_GD_1[[#This Row],[VALOR PPTO]])</f>
        <v>-5.2365568987077947E-3</v>
      </c>
      <c r="AA993" s="2">
        <f>+DETALLE_GD_1[[#This Row],[VALOR PPTO]]*DETALLE_GD_1[[#This Row],[CANTIDAD RECIBIDA]]</f>
        <v>38384</v>
      </c>
      <c r="AB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3" s="3">
        <f>+DETALLE_GD_1[[#This Row],[CANTIDAD SOLICITADA]]-DETALLE_GD_1[[#This Row],[DEVOLUCIÓN]]</f>
        <v>8</v>
      </c>
      <c r="AD993" s="38" t="str">
        <f>+_xlfn.XLOOKUP(DETALLE_GD_1[[#This Row],[CODIGO]],PRODUCTOS[CODIGO],PRODUCTOS[DESC CORTA],"",0)</f>
        <v>CILINDRO 03 LLAVE/LLAVE</v>
      </c>
    </row>
    <row r="994" spans="1:30" x14ac:dyDescent="0.25">
      <c r="A994" s="1">
        <v>46135</v>
      </c>
      <c r="B994" s="1">
        <v>46135</v>
      </c>
      <c r="C994" s="81" t="s">
        <v>169</v>
      </c>
      <c r="D994" s="38">
        <v>4</v>
      </c>
      <c r="E994" s="81" t="s">
        <v>169</v>
      </c>
      <c r="F994">
        <v>2508990</v>
      </c>
      <c r="G994" s="81" t="s">
        <v>484</v>
      </c>
      <c r="H994" s="81" t="s">
        <v>31</v>
      </c>
      <c r="I994" s="3">
        <v>8</v>
      </c>
      <c r="J994" s="3"/>
      <c r="K994" s="26">
        <v>8</v>
      </c>
      <c r="L994" s="2">
        <v>6638.625</v>
      </c>
      <c r="M994" s="2">
        <v>53109</v>
      </c>
      <c r="N994" s="2">
        <v>53109</v>
      </c>
      <c r="O994" s="2">
        <v>6738</v>
      </c>
      <c r="P994" s="2">
        <v>99.375</v>
      </c>
      <c r="Q994" s="2">
        <v>795</v>
      </c>
      <c r="R994" s="4">
        <v>1.4748441674087266E-2</v>
      </c>
      <c r="T994">
        <v>313341</v>
      </c>
      <c r="U994" s="2"/>
      <c r="V994">
        <v>6045</v>
      </c>
      <c r="W994" s="2">
        <v>6579000000</v>
      </c>
      <c r="X994" s="6">
        <v>53904</v>
      </c>
      <c r="Y994" s="38">
        <v>10010</v>
      </c>
      <c r="Z994" s="86">
        <f>+((DETALLE_GD_1[[#This Row],[VALOR X UN (GD)]]-DETALLE_GD_1[[#This Row],[VALOR PPTO]])/DETALLE_GD_1[[#This Row],[VALOR PPTO]])</f>
        <v>-1.4748441674087266E-2</v>
      </c>
      <c r="AA994" s="2">
        <f>+DETALLE_GD_1[[#This Row],[VALOR PPTO]]*DETALLE_GD_1[[#This Row],[CANTIDAD RECIBIDA]]</f>
        <v>53904</v>
      </c>
      <c r="AB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4" s="3">
        <f>+DETALLE_GD_1[[#This Row],[CANTIDAD SOLICITADA]]-DETALLE_GD_1[[#This Row],[DEVOLUCIÓN]]</f>
        <v>8</v>
      </c>
      <c r="AD994" s="38" t="str">
        <f>+_xlfn.XLOOKUP(DETALLE_GD_1[[#This Row],[CODIGO]],PRODUCTOS[CODIGO],PRODUCTOS[DESC CORTA],"",0)</f>
        <v>CERRADURA DE EMB</v>
      </c>
    </row>
    <row r="995" spans="1:30" x14ac:dyDescent="0.25">
      <c r="A995" s="1">
        <v>46135</v>
      </c>
      <c r="B995" s="1">
        <v>46135</v>
      </c>
      <c r="C995" s="81" t="s">
        <v>169</v>
      </c>
      <c r="D995" s="38">
        <v>4</v>
      </c>
      <c r="E995" s="81" t="s">
        <v>169</v>
      </c>
      <c r="F995">
        <v>1405025</v>
      </c>
      <c r="G995" s="81" t="s">
        <v>189</v>
      </c>
      <c r="H995" s="81" t="s">
        <v>31</v>
      </c>
      <c r="I995" s="3">
        <v>4</v>
      </c>
      <c r="J995" s="3"/>
      <c r="K995" s="26">
        <v>4</v>
      </c>
      <c r="L995" s="2">
        <v>6980</v>
      </c>
      <c r="M995" s="2">
        <v>27920</v>
      </c>
      <c r="N995" s="2">
        <v>27920</v>
      </c>
      <c r="O995" s="2">
        <v>6758.5333000000001</v>
      </c>
      <c r="P995" s="2">
        <v>-221.4667</v>
      </c>
      <c r="Q995" s="2">
        <v>-885.86670000000004</v>
      </c>
      <c r="R995" s="4">
        <v>-3.2768450799619618E-2</v>
      </c>
      <c r="T995">
        <v>313341</v>
      </c>
      <c r="U995" s="2"/>
      <c r="V995">
        <v>6045</v>
      </c>
      <c r="W995" s="2">
        <v>6579000000</v>
      </c>
      <c r="X995" s="6">
        <v>27034.133332000001</v>
      </c>
      <c r="Y995" s="38">
        <v>10010</v>
      </c>
      <c r="Z995" s="86">
        <f>+((DETALLE_GD_1[[#This Row],[VALOR X UN (GD)]]-DETALLE_GD_1[[#This Row],[VALOR PPTO]])/DETALLE_GD_1[[#This Row],[VALOR PPTO]])</f>
        <v>3.2768455842334898E-2</v>
      </c>
      <c r="AA995" s="2">
        <f>+DETALLE_GD_1[[#This Row],[VALOR PPTO]]*DETALLE_GD_1[[#This Row],[CANTIDAD RECIBIDA]]</f>
        <v>27034.1332</v>
      </c>
      <c r="AB9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5" s="3">
        <f>+DETALLE_GD_1[[#This Row],[CANTIDAD SOLICITADA]]-DETALLE_GD_1[[#This Row],[DEVOLUCIÓN]]</f>
        <v>4</v>
      </c>
      <c r="AD995" s="38">
        <f>+_xlfn.XLOOKUP(DETALLE_GD_1[[#This Row],[CODIGO]],PRODUCTOS[CODIGO],PRODUCTOS[DESC CORTA],"",0)</f>
        <v>0</v>
      </c>
    </row>
    <row r="996" spans="1:30" x14ac:dyDescent="0.25">
      <c r="A996" s="1">
        <v>46135</v>
      </c>
      <c r="B996" s="1">
        <v>46135</v>
      </c>
      <c r="C996" s="81" t="s">
        <v>169</v>
      </c>
      <c r="D996" s="38">
        <v>4</v>
      </c>
      <c r="E996" s="81" t="s">
        <v>169</v>
      </c>
      <c r="F996">
        <v>1405040</v>
      </c>
      <c r="G996" s="81" t="s">
        <v>451</v>
      </c>
      <c r="H996" s="81" t="s">
        <v>31</v>
      </c>
      <c r="I996" s="3">
        <v>15</v>
      </c>
      <c r="J996" s="3"/>
      <c r="K996" s="26">
        <v>15</v>
      </c>
      <c r="L996" s="2">
        <v>7577.3333000000002</v>
      </c>
      <c r="M996" s="2">
        <v>113660</v>
      </c>
      <c r="N996" s="2">
        <v>113660</v>
      </c>
      <c r="O996" s="2">
        <v>7568</v>
      </c>
      <c r="P996" s="2">
        <v>-9.3332999999999995</v>
      </c>
      <c r="Q996" s="2">
        <v>-140</v>
      </c>
      <c r="R996" s="4">
        <v>-1.233262861169798E-3</v>
      </c>
      <c r="T996">
        <v>313341</v>
      </c>
      <c r="U996" s="2"/>
      <c r="V996">
        <v>6045</v>
      </c>
      <c r="W996" s="2">
        <v>6579000000</v>
      </c>
      <c r="X996" s="6">
        <v>113520</v>
      </c>
      <c r="Y996" s="38">
        <v>10010</v>
      </c>
      <c r="Z996" s="86">
        <f>+((DETALLE_GD_1[[#This Row],[VALOR X UN (GD)]]-DETALLE_GD_1[[#This Row],[VALOR PPTO]])/DETALLE_GD_1[[#This Row],[VALOR PPTO]])</f>
        <v>1.2332584566596505E-3</v>
      </c>
      <c r="AA996" s="2">
        <f>+DETALLE_GD_1[[#This Row],[VALOR PPTO]]*DETALLE_GD_1[[#This Row],[CANTIDAD RECIBIDA]]</f>
        <v>113520</v>
      </c>
      <c r="AB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6" s="3">
        <f>+DETALLE_GD_1[[#This Row],[CANTIDAD SOLICITADA]]-DETALLE_GD_1[[#This Row],[DEVOLUCIÓN]]</f>
        <v>15</v>
      </c>
      <c r="AD996" s="38" t="str">
        <f>+_xlfn.XLOOKUP(DETALLE_GD_1[[#This Row],[CODIGO]],PRODUCTOS[CODIGO],PRODUCTOS[DESC CORTA],"",0)</f>
        <v>CEERRADURA BAÑO 815 TUBULAR</v>
      </c>
    </row>
    <row r="997" spans="1:30" x14ac:dyDescent="0.25">
      <c r="A997" s="1">
        <v>46135</v>
      </c>
      <c r="B997" s="1">
        <v>46135</v>
      </c>
      <c r="C997" s="81" t="s">
        <v>169</v>
      </c>
      <c r="D997" s="38">
        <v>4</v>
      </c>
      <c r="E997" s="81" t="s">
        <v>169</v>
      </c>
      <c r="F997">
        <v>1405039</v>
      </c>
      <c r="G997" s="81" t="s">
        <v>314</v>
      </c>
      <c r="H997" s="81" t="s">
        <v>31</v>
      </c>
      <c r="I997" s="3">
        <v>4</v>
      </c>
      <c r="J997" s="3"/>
      <c r="K997" s="26">
        <v>4</v>
      </c>
      <c r="L997" s="2">
        <v>7660</v>
      </c>
      <c r="M997" s="2">
        <v>30640</v>
      </c>
      <c r="N997" s="2">
        <v>30640</v>
      </c>
      <c r="O997" s="2">
        <v>7596</v>
      </c>
      <c r="P997" s="2">
        <v>-64</v>
      </c>
      <c r="Q997" s="2">
        <v>-256</v>
      </c>
      <c r="R997" s="4">
        <v>-8.4254870984728798E-3</v>
      </c>
      <c r="T997">
        <v>313341</v>
      </c>
      <c r="U997" s="2"/>
      <c r="V997">
        <v>6045</v>
      </c>
      <c r="W997" s="2">
        <v>6579000000</v>
      </c>
      <c r="X997" s="6">
        <v>30384</v>
      </c>
      <c r="Y997" s="38">
        <v>10010</v>
      </c>
      <c r="Z997" s="86">
        <f>+((DETALLE_GD_1[[#This Row],[VALOR X UN (GD)]]-DETALLE_GD_1[[#This Row],[VALOR PPTO]])/DETALLE_GD_1[[#This Row],[VALOR PPTO]])</f>
        <v>8.4254870984728798E-3</v>
      </c>
      <c r="AA997" s="2">
        <f>+DETALLE_GD_1[[#This Row],[VALOR PPTO]]*DETALLE_GD_1[[#This Row],[CANTIDAD RECIBIDA]]</f>
        <v>30384</v>
      </c>
      <c r="AB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7" s="3">
        <f>+DETALLE_GD_1[[#This Row],[CANTIDAD SOLICITADA]]-DETALLE_GD_1[[#This Row],[DEVOLUCIÓN]]</f>
        <v>4</v>
      </c>
      <c r="AD997" s="38" t="str">
        <f>+_xlfn.XLOOKUP(DETALLE_GD_1[[#This Row],[CODIGO]],PRODUCTOS[CODIGO],PRODUCTOS[DESC CORTA],"",0)</f>
        <v>CERRADURA INOX 304</v>
      </c>
    </row>
    <row r="998" spans="1:30" x14ac:dyDescent="0.25">
      <c r="A998" s="1">
        <v>46135</v>
      </c>
      <c r="B998" s="1">
        <v>46135</v>
      </c>
      <c r="C998" s="81" t="s">
        <v>169</v>
      </c>
      <c r="D998" s="38">
        <v>4</v>
      </c>
      <c r="E998" s="81" t="s">
        <v>169</v>
      </c>
      <c r="F998">
        <v>307031</v>
      </c>
      <c r="G998" s="81" t="s">
        <v>65</v>
      </c>
      <c r="H998" s="81" t="s">
        <v>31</v>
      </c>
      <c r="I998" s="3">
        <v>50</v>
      </c>
      <c r="J998" s="3"/>
      <c r="K998" s="26">
        <v>50</v>
      </c>
      <c r="L998" s="2">
        <v>2700</v>
      </c>
      <c r="M998" s="2">
        <v>135000</v>
      </c>
      <c r="N998" s="2">
        <v>135000</v>
      </c>
      <c r="O998" s="2">
        <v>2699.9985999999999</v>
      </c>
      <c r="P998" s="2">
        <v>-1.4E-3</v>
      </c>
      <c r="Q998" s="2">
        <v>-6.9699999999999998E-2</v>
      </c>
      <c r="R998" s="4">
        <v>-5.1666693335944687E-7</v>
      </c>
      <c r="T998">
        <v>313341</v>
      </c>
      <c r="U998" s="2"/>
      <c r="V998">
        <v>6045</v>
      </c>
      <c r="W998" s="2">
        <v>6579000000</v>
      </c>
      <c r="X998" s="6">
        <v>134999.93025000003</v>
      </c>
      <c r="Y998" s="38">
        <v>10010</v>
      </c>
      <c r="Z998" s="86">
        <f>+((DETALLE_GD_1[[#This Row],[VALOR X UN (GD)]]-DETALLE_GD_1[[#This Row],[VALOR PPTO]])/DETALLE_GD_1[[#This Row],[VALOR PPTO]])</f>
        <v>5.1851878741837811E-7</v>
      </c>
      <c r="AA998" s="2">
        <f>+DETALLE_GD_1[[#This Row],[VALOR PPTO]]*DETALLE_GD_1[[#This Row],[CANTIDAD RECIBIDA]]</f>
        <v>134999.93</v>
      </c>
      <c r="AB9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8" s="3">
        <f>+DETALLE_GD_1[[#This Row],[CANTIDAD SOLICITADA]]-DETALLE_GD_1[[#This Row],[DEVOLUCIÓN]]</f>
        <v>50</v>
      </c>
      <c r="AD998" s="38" t="str">
        <f>+_xlfn.XLOOKUP(DETALLE_GD_1[[#This Row],[CODIGO]],PRODUCTOS[CODIGO],PRODUCTOS[DESC CORTA],"",0)</f>
        <v>CORNIZA BLANCA</v>
      </c>
    </row>
    <row r="999" spans="1:30" x14ac:dyDescent="0.25">
      <c r="A999" s="1">
        <v>46135</v>
      </c>
      <c r="B999" s="1">
        <v>46135</v>
      </c>
      <c r="C999" s="81" t="s">
        <v>169</v>
      </c>
      <c r="D999" s="38">
        <v>4</v>
      </c>
      <c r="E999" s="81" t="s">
        <v>169</v>
      </c>
      <c r="F999">
        <v>304002</v>
      </c>
      <c r="G999" s="81" t="s">
        <v>37</v>
      </c>
      <c r="H999" s="81" t="s">
        <v>18</v>
      </c>
      <c r="I999" s="3">
        <v>72</v>
      </c>
      <c r="J999" s="3"/>
      <c r="K999" s="26">
        <v>72</v>
      </c>
      <c r="L999" s="2">
        <v>21611.361099999998</v>
      </c>
      <c r="M999" s="2">
        <v>1556018</v>
      </c>
      <c r="N999" s="2">
        <v>1556018</v>
      </c>
      <c r="O999" s="2">
        <v>21246.5072</v>
      </c>
      <c r="P999" s="2">
        <v>-364.85399999999998</v>
      </c>
      <c r="Q999" s="2">
        <v>-26269.485000000001</v>
      </c>
      <c r="R999" s="4">
        <v>-1.7172420647013967E-2</v>
      </c>
      <c r="T999">
        <v>313341</v>
      </c>
      <c r="U999" s="2"/>
      <c r="V999">
        <v>6045</v>
      </c>
      <c r="W999" s="2">
        <v>6579000000</v>
      </c>
      <c r="X999" s="6">
        <v>1529748.5150160005</v>
      </c>
      <c r="Y999" s="38">
        <v>10010</v>
      </c>
      <c r="Z999" s="86">
        <f>+((DETALLE_GD_1[[#This Row],[VALOR X UN (GD)]]-DETALLE_GD_1[[#This Row],[VALOR PPTO]])/DETALLE_GD_1[[#This Row],[VALOR PPTO]])</f>
        <v>1.7172417873936391E-2</v>
      </c>
      <c r="AA999" s="2">
        <f>+DETALLE_GD_1[[#This Row],[VALOR PPTO]]*DETALLE_GD_1[[#This Row],[CANTIDAD RECIBIDA]]</f>
        <v>1529748.5183999999</v>
      </c>
      <c r="AB9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99" s="3">
        <f>+DETALLE_GD_1[[#This Row],[CANTIDAD SOLICITADA]]-DETALLE_GD_1[[#This Row],[DEVOLUCIÓN]]</f>
        <v>72</v>
      </c>
      <c r="AD999" s="38" t="str">
        <f>+_xlfn.XLOOKUP(DETALLE_GD_1[[#This Row],[CODIGO]],PRODUCTOS[CODIGO],PRODUCTOS[DESC CORTA],"",0)</f>
        <v>SMARTPANEL</v>
      </c>
    </row>
    <row r="1000" spans="1:30" x14ac:dyDescent="0.25">
      <c r="A1000" s="1">
        <v>46135</v>
      </c>
      <c r="B1000" s="1">
        <v>46135</v>
      </c>
      <c r="C1000" s="81" t="s">
        <v>169</v>
      </c>
      <c r="D1000" s="38">
        <v>4</v>
      </c>
      <c r="E1000" s="81" t="s">
        <v>169</v>
      </c>
      <c r="F1000">
        <v>408034</v>
      </c>
      <c r="G1000" s="81" t="s">
        <v>250</v>
      </c>
      <c r="H1000" s="81" t="s">
        <v>36</v>
      </c>
      <c r="I1000" s="3">
        <v>1</v>
      </c>
      <c r="J1000" s="3"/>
      <c r="K1000" s="26">
        <v>1</v>
      </c>
      <c r="L1000" s="2">
        <v>1867</v>
      </c>
      <c r="M1000" s="2">
        <v>1867</v>
      </c>
      <c r="N1000" s="2">
        <v>1867</v>
      </c>
      <c r="O1000" s="2">
        <v>1866.9503999999999</v>
      </c>
      <c r="P1000" s="2">
        <v>-4.9599999999999998E-2</v>
      </c>
      <c r="Q1000" s="2">
        <v>-4.9599999999999998E-2</v>
      </c>
      <c r="R1000" s="4">
        <v>-2.6591494447838636E-5</v>
      </c>
      <c r="T1000">
        <v>313341</v>
      </c>
      <c r="U1000" s="2"/>
      <c r="V1000">
        <v>6045</v>
      </c>
      <c r="W1000" s="2">
        <v>6579000000</v>
      </c>
      <c r="X1000" s="6">
        <v>1866.9503550000009</v>
      </c>
      <c r="Y1000" s="38">
        <v>10010</v>
      </c>
      <c r="Z1000" s="86">
        <f>+((DETALLE_GD_1[[#This Row],[VALOR X UN (GD)]]-DETALLE_GD_1[[#This Row],[VALOR PPTO]])/DETALLE_GD_1[[#This Row],[VALOR PPTO]])</f>
        <v>2.6567390328128124E-5</v>
      </c>
      <c r="AA1000" s="2">
        <f>+DETALLE_GD_1[[#This Row],[VALOR PPTO]]*DETALLE_GD_1[[#This Row],[CANTIDAD RECIBIDA]]</f>
        <v>1866.9503999999999</v>
      </c>
      <c r="AB1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0" s="3">
        <f>+DETALLE_GD_1[[#This Row],[CANTIDAD SOLICITADA]]-DETALLE_GD_1[[#This Row],[DEVOLUCIÓN]]</f>
        <v>1</v>
      </c>
      <c r="AD1000" s="38">
        <f>+_xlfn.XLOOKUP(DETALLE_GD_1[[#This Row],[CODIGO]],PRODUCTOS[CODIGO],PRODUCTOS[DESC CORTA],"",0)</f>
        <v>0</v>
      </c>
    </row>
    <row r="1001" spans="1:30" x14ac:dyDescent="0.25">
      <c r="A1001" s="1">
        <v>46135</v>
      </c>
      <c r="B1001" s="1">
        <v>46135</v>
      </c>
      <c r="C1001" s="81" t="s">
        <v>169</v>
      </c>
      <c r="D1001" s="38">
        <v>4</v>
      </c>
      <c r="E1001" s="81" t="s">
        <v>169</v>
      </c>
      <c r="F1001">
        <v>307033</v>
      </c>
      <c r="G1001" s="81" t="s">
        <v>248</v>
      </c>
      <c r="H1001" s="81" t="s">
        <v>31</v>
      </c>
      <c r="I1001" s="3">
        <v>30</v>
      </c>
      <c r="J1001" s="3"/>
      <c r="K1001" s="26">
        <v>30</v>
      </c>
      <c r="L1001" s="2">
        <v>1889.6333</v>
      </c>
      <c r="M1001" s="2">
        <v>56689</v>
      </c>
      <c r="N1001" s="2">
        <v>56689</v>
      </c>
      <c r="O1001" s="2">
        <v>1889.0535</v>
      </c>
      <c r="P1001" s="2">
        <v>-0.57979999999999998</v>
      </c>
      <c r="Q1001" s="2">
        <v>-17.393699999999999</v>
      </c>
      <c r="R1001" s="4">
        <v>-3.0692053974599521E-4</v>
      </c>
      <c r="T1001">
        <v>313341</v>
      </c>
      <c r="U1001" s="2"/>
      <c r="V1001">
        <v>6045</v>
      </c>
      <c r="W1001" s="2">
        <v>6579000000</v>
      </c>
      <c r="X1001" s="6">
        <v>56671.606319999999</v>
      </c>
      <c r="Y1001" s="38">
        <v>10010</v>
      </c>
      <c r="Z1001" s="86">
        <f>+((DETALLE_GD_1[[#This Row],[VALOR X UN (GD)]]-DETALLE_GD_1[[#This Row],[VALOR PPTO]])/DETALLE_GD_1[[#This Row],[VALOR PPTO]])</f>
        <v>3.0692619346142256E-4</v>
      </c>
      <c r="AA1001" s="2">
        <f>+DETALLE_GD_1[[#This Row],[VALOR PPTO]]*DETALLE_GD_1[[#This Row],[CANTIDAD RECIBIDA]]</f>
        <v>56671.604999999996</v>
      </c>
      <c r="AB1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1" s="3">
        <f>+DETALLE_GD_1[[#This Row],[CANTIDAD SOLICITADA]]-DETALLE_GD_1[[#This Row],[DEVOLUCIÓN]]</f>
        <v>30</v>
      </c>
      <c r="AD1001" s="38">
        <f>+_xlfn.XLOOKUP(DETALLE_GD_1[[#This Row],[CODIGO]],PRODUCTOS[CODIGO],PRODUCTOS[DESC CORTA],"",0)</f>
        <v>0</v>
      </c>
    </row>
    <row r="1002" spans="1:30" x14ac:dyDescent="0.25">
      <c r="A1002" s="1">
        <v>46135</v>
      </c>
      <c r="B1002" s="1">
        <v>46135</v>
      </c>
      <c r="C1002" s="81" t="s">
        <v>169</v>
      </c>
      <c r="D1002" s="38">
        <v>4</v>
      </c>
      <c r="E1002" s="81" t="s">
        <v>169</v>
      </c>
      <c r="F1002">
        <v>1803045</v>
      </c>
      <c r="G1002" s="81" t="s">
        <v>337</v>
      </c>
      <c r="H1002" s="81" t="s">
        <v>90</v>
      </c>
      <c r="I1002" s="3">
        <v>9</v>
      </c>
      <c r="J1002" s="3"/>
      <c r="K1002" s="26">
        <v>9</v>
      </c>
      <c r="L1002" s="2">
        <v>51881.5556</v>
      </c>
      <c r="M1002" s="2">
        <v>466934</v>
      </c>
      <c r="N1002" s="2">
        <v>466934</v>
      </c>
      <c r="O1002" s="2">
        <v>51873</v>
      </c>
      <c r="P1002" s="2">
        <v>-8.5556000000000001</v>
      </c>
      <c r="Q1002" s="2">
        <v>-77</v>
      </c>
      <c r="R1002" s="4">
        <v>-1.6493273100769233E-4</v>
      </c>
      <c r="T1002">
        <v>313341</v>
      </c>
      <c r="U1002" s="2"/>
      <c r="V1002">
        <v>6045</v>
      </c>
      <c r="W1002" s="2">
        <v>6579000000</v>
      </c>
      <c r="X1002" s="6">
        <v>466856.99999999994</v>
      </c>
      <c r="Y1002" s="38">
        <v>10010</v>
      </c>
      <c r="Z1002" s="86">
        <f>+((DETALLE_GD_1[[#This Row],[VALOR X UN (GD)]]-DETALLE_GD_1[[#This Row],[VALOR PPTO]])/DETALLE_GD_1[[#This Row],[VALOR PPTO]])</f>
        <v>1.6493358780096941E-4</v>
      </c>
      <c r="AA1002" s="2">
        <f>+DETALLE_GD_1[[#This Row],[VALOR PPTO]]*DETALLE_GD_1[[#This Row],[CANTIDAD RECIBIDA]]</f>
        <v>466857</v>
      </c>
      <c r="AB10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02" s="3">
        <f>+DETALLE_GD_1[[#This Row],[CANTIDAD SOLICITADA]]-DETALLE_GD_1[[#This Row],[DEVOLUCIÓN]]</f>
        <v>9</v>
      </c>
      <c r="AD1002" s="38" t="str">
        <f>+_xlfn.XLOOKUP(DETALLE_GD_1[[#This Row],[CODIGO]],PRODUCTOS[CODIGO],PRODUCTOS[DESC CORTA],"",0)</f>
        <v>PUERTA INTERIOR</v>
      </c>
    </row>
    <row r="1003" spans="1:30" x14ac:dyDescent="0.25">
      <c r="A1003" s="1">
        <v>46135</v>
      </c>
      <c r="B1003" s="1">
        <v>46135</v>
      </c>
      <c r="C1003" s="81" t="s">
        <v>169</v>
      </c>
      <c r="D1003" s="38">
        <v>4</v>
      </c>
      <c r="E1003" s="81" t="s">
        <v>169</v>
      </c>
      <c r="F1003">
        <v>1803044</v>
      </c>
      <c r="G1003" s="81" t="s">
        <v>336</v>
      </c>
      <c r="H1003" s="81" t="s">
        <v>90</v>
      </c>
      <c r="I1003" s="3">
        <v>9</v>
      </c>
      <c r="J1003" s="3"/>
      <c r="K1003" s="26">
        <v>9</v>
      </c>
      <c r="L1003" s="2">
        <v>51875.888899999998</v>
      </c>
      <c r="M1003" s="2">
        <v>466883</v>
      </c>
      <c r="N1003" s="2">
        <v>466883</v>
      </c>
      <c r="O1003" s="2">
        <v>52920</v>
      </c>
      <c r="P1003" s="2">
        <v>1044.1111000000001</v>
      </c>
      <c r="Q1003" s="2">
        <v>9397</v>
      </c>
      <c r="R1003" s="4">
        <v>1.9729990761736763E-2</v>
      </c>
      <c r="T1003">
        <v>313341</v>
      </c>
      <c r="U1003" s="2"/>
      <c r="V1003">
        <v>6045</v>
      </c>
      <c r="W1003" s="2">
        <v>6579000000</v>
      </c>
      <c r="X1003" s="6">
        <v>476280</v>
      </c>
      <c r="Y1003" s="38">
        <v>10010</v>
      </c>
      <c r="Z1003" s="86">
        <f>+((DETALLE_GD_1[[#This Row],[VALOR X UN (GD)]]-DETALLE_GD_1[[#This Row],[VALOR PPTO]])/DETALLE_GD_1[[#This Row],[VALOR PPTO]])</f>
        <v>-1.9729990551776301E-2</v>
      </c>
      <c r="AA1003" s="2">
        <f>+DETALLE_GD_1[[#This Row],[VALOR PPTO]]*DETALLE_GD_1[[#This Row],[CANTIDAD RECIBIDA]]</f>
        <v>476280</v>
      </c>
      <c r="AB1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3" s="3">
        <f>+DETALLE_GD_1[[#This Row],[CANTIDAD SOLICITADA]]-DETALLE_GD_1[[#This Row],[DEVOLUCIÓN]]</f>
        <v>9</v>
      </c>
      <c r="AD1003" s="38" t="str">
        <f>+_xlfn.XLOOKUP(DETALLE_GD_1[[#This Row],[CODIGO]],PRODUCTOS[CODIGO],PRODUCTOS[DESC CORTA],"",0)</f>
        <v/>
      </c>
    </row>
    <row r="1004" spans="1:30" x14ac:dyDescent="0.25">
      <c r="A1004" s="1">
        <v>46135</v>
      </c>
      <c r="B1004" s="1">
        <v>46135</v>
      </c>
      <c r="C1004" s="81" t="s">
        <v>169</v>
      </c>
      <c r="D1004" s="38">
        <v>4</v>
      </c>
      <c r="E1004" s="81" t="s">
        <v>169</v>
      </c>
      <c r="F1004">
        <v>407423</v>
      </c>
      <c r="G1004" s="81" t="s">
        <v>106</v>
      </c>
      <c r="H1004" s="81" t="s">
        <v>31</v>
      </c>
      <c r="I1004" s="3">
        <v>2000</v>
      </c>
      <c r="J1004" s="3"/>
      <c r="K1004" s="26">
        <v>2000</v>
      </c>
      <c r="L1004" s="2">
        <v>3.3879999999999999</v>
      </c>
      <c r="M1004" s="2">
        <v>6776</v>
      </c>
      <c r="N1004" s="2">
        <v>6776</v>
      </c>
      <c r="O1004" s="2">
        <v>106.6405</v>
      </c>
      <c r="P1004" s="2">
        <v>103.2525</v>
      </c>
      <c r="Q1004" s="2">
        <v>206505.00399999999</v>
      </c>
      <c r="R1004" s="4">
        <v>0.96822970694084709</v>
      </c>
      <c r="T1004">
        <v>313341</v>
      </c>
      <c r="U1004" s="2"/>
      <c r="V1004">
        <v>6045</v>
      </c>
      <c r="W1004" s="2">
        <v>6579000000</v>
      </c>
      <c r="X1004" s="6">
        <v>213281.00396756755</v>
      </c>
      <c r="Y1004" s="38">
        <v>10010</v>
      </c>
      <c r="Z1004" s="86">
        <f>+((DETALLE_GD_1[[#This Row],[VALOR X UN (GD)]]-DETALLE_GD_1[[#This Row],[VALOR PPTO]])/DETALLE_GD_1[[#This Row],[VALOR PPTO]])</f>
        <v>-0.96822970634983885</v>
      </c>
      <c r="AA1004" s="2">
        <f>+DETALLE_GD_1[[#This Row],[VALOR PPTO]]*DETALLE_GD_1[[#This Row],[CANTIDAD RECIBIDA]]</f>
        <v>213281</v>
      </c>
      <c r="AB1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4" s="3">
        <f>+DETALLE_GD_1[[#This Row],[CANTIDAD SOLICITADA]]-DETALLE_GD_1[[#This Row],[DEVOLUCIÓN]]</f>
        <v>2000</v>
      </c>
      <c r="AD1004" s="38" t="str">
        <f>+_xlfn.XLOOKUP(DETALLE_GD_1[[#This Row],[CODIGO]],PRODUCTOS[CODIGO],PRODUCTOS[DESC CORTA],"",0)</f>
        <v>TORNILLO CRS 6X1 5/8</v>
      </c>
    </row>
    <row r="1005" spans="1:30" x14ac:dyDescent="0.25">
      <c r="A1005" s="1">
        <v>46135</v>
      </c>
      <c r="B1005" s="1">
        <v>46135</v>
      </c>
      <c r="C1005" s="81" t="s">
        <v>169</v>
      </c>
      <c r="D1005" s="38">
        <v>4</v>
      </c>
      <c r="E1005" s="81" t="s">
        <v>169</v>
      </c>
      <c r="F1005">
        <v>704079</v>
      </c>
      <c r="G1005" s="81" t="s">
        <v>209</v>
      </c>
      <c r="H1005" s="81" t="s">
        <v>47</v>
      </c>
      <c r="I1005" s="3">
        <v>20</v>
      </c>
      <c r="J1005" s="3"/>
      <c r="K1005" s="26">
        <v>20</v>
      </c>
      <c r="L1005" s="2">
        <v>722.3</v>
      </c>
      <c r="M1005" s="2">
        <v>14446</v>
      </c>
      <c r="N1005" s="2">
        <v>14446</v>
      </c>
      <c r="O1005" s="2">
        <v>755.70489999999995</v>
      </c>
      <c r="P1005" s="2">
        <v>33.404899999999998</v>
      </c>
      <c r="Q1005" s="2">
        <v>668.09760000000006</v>
      </c>
      <c r="R1005" s="4">
        <v>4.4203607513547918E-2</v>
      </c>
      <c r="T1005">
        <v>313341</v>
      </c>
      <c r="U1005" s="2"/>
      <c r="V1005">
        <v>6045</v>
      </c>
      <c r="W1005" s="2">
        <v>6579000000</v>
      </c>
      <c r="X1005" s="6">
        <v>15114.09764</v>
      </c>
      <c r="Y1005" s="38">
        <v>10010</v>
      </c>
      <c r="Z1005" s="86">
        <f>+((DETALLE_GD_1[[#This Row],[VALOR X UN (GD)]]-DETALLE_GD_1[[#This Row],[VALOR PPTO]])/DETALLE_GD_1[[#This Row],[VALOR PPTO]])</f>
        <v>-4.4203630279491375E-2</v>
      </c>
      <c r="AA1005" s="2">
        <f>+DETALLE_GD_1[[#This Row],[VALOR PPTO]]*DETALLE_GD_1[[#This Row],[CANTIDAD RECIBIDA]]</f>
        <v>15114.097999999998</v>
      </c>
      <c r="AB1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5" s="3">
        <f>+DETALLE_GD_1[[#This Row],[CANTIDAD SOLICITADA]]-DETALLE_GD_1[[#This Row],[DEVOLUCIÓN]]</f>
        <v>20</v>
      </c>
      <c r="AD1005" s="38">
        <f>+_xlfn.XLOOKUP(DETALLE_GD_1[[#This Row],[CODIGO]],PRODUCTOS[CODIGO],PRODUCTOS[DESC CORTA],"",0)</f>
        <v>0</v>
      </c>
    </row>
    <row r="1006" spans="1:30" x14ac:dyDescent="0.25">
      <c r="A1006" s="1">
        <v>46135</v>
      </c>
      <c r="B1006" s="1">
        <v>46135</v>
      </c>
      <c r="C1006" s="81" t="s">
        <v>169</v>
      </c>
      <c r="D1006" s="38">
        <v>4</v>
      </c>
      <c r="E1006" s="81" t="s">
        <v>169</v>
      </c>
      <c r="F1006">
        <v>404184</v>
      </c>
      <c r="G1006" s="81" t="s">
        <v>66</v>
      </c>
      <c r="H1006" s="81" t="s">
        <v>31</v>
      </c>
      <c r="I1006" s="3">
        <v>21</v>
      </c>
      <c r="J1006" s="3"/>
      <c r="K1006" s="26">
        <v>21</v>
      </c>
      <c r="L1006" s="2">
        <v>1752.4286</v>
      </c>
      <c r="M1006" s="2">
        <v>36801</v>
      </c>
      <c r="N1006" s="2">
        <v>36801</v>
      </c>
      <c r="O1006" s="2">
        <v>1754.8757000000001</v>
      </c>
      <c r="P1006" s="2">
        <v>2.4472</v>
      </c>
      <c r="Q1006" s="2">
        <v>51.3904</v>
      </c>
      <c r="R1006" s="4">
        <v>1.3944916601212919E-3</v>
      </c>
      <c r="T1006">
        <v>313341</v>
      </c>
      <c r="U1006" s="2"/>
      <c r="V1006">
        <v>6045</v>
      </c>
      <c r="W1006" s="2">
        <v>6579000000</v>
      </c>
      <c r="X1006" s="6">
        <v>36852.390351000002</v>
      </c>
      <c r="Y1006" s="38">
        <v>10010</v>
      </c>
      <c r="Z1006" s="86">
        <f>+((DETALLE_GD_1[[#This Row],[VALOR X UN (GD)]]-DETALLE_GD_1[[#This Row],[VALOR PPTO]])/DETALLE_GD_1[[#This Row],[VALOR PPTO]])</f>
        <v>-1.3944577385168028E-3</v>
      </c>
      <c r="AA1006" s="2">
        <f>+DETALLE_GD_1[[#This Row],[VALOR PPTO]]*DETALLE_GD_1[[#This Row],[CANTIDAD RECIBIDA]]</f>
        <v>36852.3897</v>
      </c>
      <c r="AB1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6" s="3">
        <f>+DETALLE_GD_1[[#This Row],[CANTIDAD SOLICITADA]]-DETALLE_GD_1[[#This Row],[DEVOLUCIÓN]]</f>
        <v>21</v>
      </c>
      <c r="AD1006" s="38" t="str">
        <f>+_xlfn.XLOOKUP(DETALLE_GD_1[[#This Row],[CODIGO]],PRODUCTOS[CODIGO],PRODUCTOS[DESC CORTA],"",0)</f>
        <v>ANGULO BLANCO</v>
      </c>
    </row>
    <row r="1007" spans="1:30" x14ac:dyDescent="0.25">
      <c r="A1007" s="1">
        <v>46135</v>
      </c>
      <c r="B1007" s="1">
        <v>46135</v>
      </c>
      <c r="C1007" s="81" t="s">
        <v>169</v>
      </c>
      <c r="D1007" s="38">
        <v>4</v>
      </c>
      <c r="E1007" s="81" t="s">
        <v>169</v>
      </c>
      <c r="F1007">
        <v>2302119</v>
      </c>
      <c r="G1007" s="81" t="s">
        <v>74</v>
      </c>
      <c r="H1007" s="81" t="s">
        <v>31</v>
      </c>
      <c r="I1007" s="3">
        <v>24</v>
      </c>
      <c r="J1007" s="3"/>
      <c r="K1007" s="26">
        <v>24</v>
      </c>
      <c r="L1007" s="2">
        <v>3679.875</v>
      </c>
      <c r="M1007" s="2">
        <v>88317</v>
      </c>
      <c r="N1007" s="2">
        <v>88317</v>
      </c>
      <c r="O1007" s="2">
        <v>3671</v>
      </c>
      <c r="P1007" s="2">
        <v>-8.875</v>
      </c>
      <c r="Q1007" s="2">
        <v>-213</v>
      </c>
      <c r="R1007" s="4">
        <v>-2.4175973849087443E-3</v>
      </c>
      <c r="T1007">
        <v>313341</v>
      </c>
      <c r="U1007" s="2"/>
      <c r="V1007">
        <v>6045</v>
      </c>
      <c r="W1007" s="2">
        <v>6579000000</v>
      </c>
      <c r="X1007" s="6">
        <v>88104</v>
      </c>
      <c r="Y1007" s="38">
        <v>10010</v>
      </c>
      <c r="Z1007" s="86">
        <f>+((DETALLE_GD_1[[#This Row],[VALOR X UN (GD)]]-DETALLE_GD_1[[#This Row],[VALOR PPTO]])/DETALLE_GD_1[[#This Row],[VALOR PPTO]])</f>
        <v>2.4175973849087443E-3</v>
      </c>
      <c r="AA1007" s="2">
        <f>+DETALLE_GD_1[[#This Row],[VALOR PPTO]]*DETALLE_GD_1[[#This Row],[CANTIDAD RECIBIDA]]</f>
        <v>88104</v>
      </c>
      <c r="AB1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7" s="3">
        <f>+DETALLE_GD_1[[#This Row],[CANTIDAD SOLICITADA]]-DETALLE_GD_1[[#This Row],[DEVOLUCIÓN]]</f>
        <v>24</v>
      </c>
      <c r="AD1007" s="38" t="str">
        <f>+_xlfn.XLOOKUP(DETALLE_GD_1[[#This Row],[CODIGO]],PRODUCTOS[CODIGO],PRODUCTOS[DESC CORTA],"",0)</f>
        <v>SELLO</v>
      </c>
    </row>
    <row r="1008" spans="1:30" x14ac:dyDescent="0.25">
      <c r="A1008" s="1">
        <v>46135</v>
      </c>
      <c r="B1008" s="1">
        <v>46135</v>
      </c>
      <c r="C1008" s="81" t="s">
        <v>169</v>
      </c>
      <c r="D1008" s="38">
        <v>4</v>
      </c>
      <c r="E1008" s="81" t="s">
        <v>169</v>
      </c>
      <c r="F1008">
        <v>1103076</v>
      </c>
      <c r="G1008" s="81" t="s">
        <v>311</v>
      </c>
      <c r="H1008" s="81" t="s">
        <v>31</v>
      </c>
      <c r="I1008" s="3">
        <v>6</v>
      </c>
      <c r="J1008" s="3"/>
      <c r="K1008" s="26">
        <v>6</v>
      </c>
      <c r="L1008" s="2">
        <v>3190.8332999999998</v>
      </c>
      <c r="M1008" s="2">
        <v>19145</v>
      </c>
      <c r="N1008" s="2">
        <v>19145</v>
      </c>
      <c r="O1008" s="2">
        <v>3191</v>
      </c>
      <c r="P1008" s="2">
        <v>0.16669999999999999</v>
      </c>
      <c r="Q1008" s="2">
        <v>1</v>
      </c>
      <c r="R1008" s="4">
        <v>5.2230230857572885E-5</v>
      </c>
      <c r="T1008">
        <v>313341</v>
      </c>
      <c r="U1008" s="2"/>
      <c r="V1008">
        <v>6045</v>
      </c>
      <c r="W1008" s="2">
        <v>6579000000</v>
      </c>
      <c r="X1008" s="6">
        <v>19146</v>
      </c>
      <c r="Y1008" s="38">
        <v>10010</v>
      </c>
      <c r="Z1008" s="86">
        <f>+((DETALLE_GD_1[[#This Row],[VALOR X UN (GD)]]-DETALLE_GD_1[[#This Row],[VALOR PPTO]])/DETALLE_GD_1[[#This Row],[VALOR PPTO]])</f>
        <v>-5.2240676903860547E-5</v>
      </c>
      <c r="AA1008" s="2">
        <f>+DETALLE_GD_1[[#This Row],[VALOR PPTO]]*DETALLE_GD_1[[#This Row],[CANTIDAD RECIBIDA]]</f>
        <v>19146</v>
      </c>
      <c r="AB1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8" s="3">
        <f>+DETALLE_GD_1[[#This Row],[CANTIDAD SOLICITADA]]-DETALLE_GD_1[[#This Row],[DEVOLUCIÓN]]</f>
        <v>6</v>
      </c>
      <c r="AD1008" s="38" t="str">
        <f>+_xlfn.XLOOKUP(DETALLE_GD_1[[#This Row],[CODIGO]],PRODUCTOS[CODIGO],PRODUCTOS[DESC CORTA],"",0)</f>
        <v>PERFIL ESQUINERO INTERIOR</v>
      </c>
    </row>
    <row r="1009" spans="1:30" x14ac:dyDescent="0.25">
      <c r="A1009" s="1">
        <v>46135</v>
      </c>
      <c r="B1009" s="1">
        <v>46135</v>
      </c>
      <c r="C1009" s="81" t="s">
        <v>169</v>
      </c>
      <c r="D1009" s="38">
        <v>4</v>
      </c>
      <c r="E1009" s="81" t="s">
        <v>169</v>
      </c>
      <c r="F1009">
        <v>1103074</v>
      </c>
      <c r="G1009" s="81" t="s">
        <v>310</v>
      </c>
      <c r="H1009" s="81" t="s">
        <v>31</v>
      </c>
      <c r="I1009" s="3">
        <v>6</v>
      </c>
      <c r="J1009" s="3"/>
      <c r="K1009" s="26">
        <v>6</v>
      </c>
      <c r="L1009" s="2">
        <v>2427</v>
      </c>
      <c r="M1009" s="2">
        <v>14562</v>
      </c>
      <c r="N1009" s="2">
        <v>14562</v>
      </c>
      <c r="O1009" s="2">
        <v>2427</v>
      </c>
      <c r="P1009" s="2">
        <v>0</v>
      </c>
      <c r="Q1009" s="2">
        <v>0</v>
      </c>
      <c r="R1009" s="4">
        <v>0</v>
      </c>
      <c r="T1009">
        <v>313341</v>
      </c>
      <c r="U1009" s="2"/>
      <c r="V1009">
        <v>6045</v>
      </c>
      <c r="W1009" s="2">
        <v>6579000000</v>
      </c>
      <c r="X1009" s="6">
        <v>14562</v>
      </c>
      <c r="Y1009" s="38">
        <v>10010</v>
      </c>
      <c r="Z1009" s="86">
        <f>+((DETALLE_GD_1[[#This Row],[VALOR X UN (GD)]]-DETALLE_GD_1[[#This Row],[VALOR PPTO]])/DETALLE_GD_1[[#This Row],[VALOR PPTO]])</f>
        <v>0</v>
      </c>
      <c r="AA1009" s="2">
        <f>+DETALLE_GD_1[[#This Row],[VALOR PPTO]]*DETALLE_GD_1[[#This Row],[CANTIDAD RECIBIDA]]</f>
        <v>14562</v>
      </c>
      <c r="AB10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9" s="3">
        <f>+DETALLE_GD_1[[#This Row],[CANTIDAD SOLICITADA]]-DETALLE_GD_1[[#This Row],[DEVOLUCIÓN]]</f>
        <v>6</v>
      </c>
      <c r="AD1009" s="38" t="str">
        <f>+_xlfn.XLOOKUP(DETALLE_GD_1[[#This Row],[CODIGO]],PRODUCTOS[CODIGO],PRODUCTOS[DESC CORTA],"",0)</f>
        <v>PERFIL ESQUINERO ENCUENTRO</v>
      </c>
    </row>
    <row r="1010" spans="1:30" x14ac:dyDescent="0.25">
      <c r="A1010" s="1">
        <v>46135</v>
      </c>
      <c r="B1010" s="1">
        <v>46135</v>
      </c>
      <c r="C1010" s="81" t="s">
        <v>169</v>
      </c>
      <c r="D1010" s="38">
        <v>4</v>
      </c>
      <c r="E1010" s="81" t="s">
        <v>169</v>
      </c>
      <c r="F1010">
        <v>705028</v>
      </c>
      <c r="G1010" s="81" t="s">
        <v>72</v>
      </c>
      <c r="H1010" s="81" t="s">
        <v>18</v>
      </c>
      <c r="I1010" s="3">
        <v>40</v>
      </c>
      <c r="J1010" s="3"/>
      <c r="K1010" s="26">
        <v>40</v>
      </c>
      <c r="L1010" s="2">
        <v>22787.5</v>
      </c>
      <c r="M1010" s="2">
        <v>911500</v>
      </c>
      <c r="N1010" s="2">
        <v>911500</v>
      </c>
      <c r="O1010" s="2">
        <v>22927.086200000002</v>
      </c>
      <c r="P1010" s="2">
        <v>139.58619999999999</v>
      </c>
      <c r="Q1010" s="2">
        <v>5583.4483</v>
      </c>
      <c r="R1010" s="4">
        <v>6.0882663300398992E-3</v>
      </c>
      <c r="T1010">
        <v>313341</v>
      </c>
      <c r="U1010" s="2"/>
      <c r="V1010">
        <v>6045</v>
      </c>
      <c r="W1010" s="2">
        <v>6579000000</v>
      </c>
      <c r="X1010" s="6">
        <v>917083.44828000001</v>
      </c>
      <c r="Y1010" s="38">
        <v>10010</v>
      </c>
      <c r="Z1010" s="86">
        <f>+((DETALLE_GD_1[[#This Row],[VALOR X UN (GD)]]-DETALLE_GD_1[[#This Row],[VALOR PPTO]])/DETALLE_GD_1[[#This Row],[VALOR PPTO]])</f>
        <v>-6.0882660265830701E-3</v>
      </c>
      <c r="AA1010" s="2">
        <f>+DETALLE_GD_1[[#This Row],[VALOR PPTO]]*DETALLE_GD_1[[#This Row],[CANTIDAD RECIBIDA]]</f>
        <v>917083.44800000009</v>
      </c>
      <c r="AB1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10" s="3">
        <f>+DETALLE_GD_1[[#This Row],[CANTIDAD SOLICITADA]]-DETALLE_GD_1[[#This Row],[DEVOLUCIÓN]]</f>
        <v>40</v>
      </c>
      <c r="AD1010" s="38" t="str">
        <f>+_xlfn.XLOOKUP(DETALLE_GD_1[[#This Row],[CODIGO]],PRODUCTOS[CODIGO],PRODUCTOS[DESC CORTA],"",0)</f>
        <v>SIMPLISIMA</v>
      </c>
    </row>
    <row r="1011" spans="1:30" x14ac:dyDescent="0.25">
      <c r="A1011" s="1">
        <v>46135</v>
      </c>
      <c r="B1011" s="1">
        <v>46135</v>
      </c>
      <c r="C1011" s="81" t="s">
        <v>169</v>
      </c>
      <c r="D1011" s="38">
        <v>4</v>
      </c>
      <c r="E1011" s="81" t="s">
        <v>169</v>
      </c>
      <c r="F1011">
        <v>106022</v>
      </c>
      <c r="G1011" s="81" t="s">
        <v>245</v>
      </c>
      <c r="H1011" s="81" t="s">
        <v>31</v>
      </c>
      <c r="I1011" s="3">
        <v>6</v>
      </c>
      <c r="J1011" s="3"/>
      <c r="K1011" s="26">
        <v>6</v>
      </c>
      <c r="L1011" s="2">
        <v>3800.1667000000002</v>
      </c>
      <c r="M1011" s="2">
        <v>22801</v>
      </c>
      <c r="N1011" s="2">
        <v>22801</v>
      </c>
      <c r="O1011" s="2">
        <v>3800.6911</v>
      </c>
      <c r="P1011" s="2">
        <v>0.52439999999999998</v>
      </c>
      <c r="Q1011" s="2">
        <v>3.1465999999999998</v>
      </c>
      <c r="R1011" s="4">
        <v>1.379834139828004E-4</v>
      </c>
      <c r="T1011">
        <v>313346</v>
      </c>
      <c r="U1011" s="2">
        <v>1198548</v>
      </c>
      <c r="V1011">
        <v>6045</v>
      </c>
      <c r="W1011" s="2">
        <v>6579000000</v>
      </c>
      <c r="X1011" s="6">
        <v>22804.146594000005</v>
      </c>
      <c r="Y1011" s="38">
        <v>10010</v>
      </c>
      <c r="Z1011" s="86">
        <f>+((DETALLE_GD_1[[#This Row],[VALOR X UN (GD)]]-DETALLE_GD_1[[#This Row],[VALOR PPTO]])/DETALLE_GD_1[[#This Row],[VALOR PPTO]])</f>
        <v>-1.3797490672151356E-4</v>
      </c>
      <c r="AA1011" s="2">
        <f>+DETALLE_GD_1[[#This Row],[VALOR PPTO]]*DETALLE_GD_1[[#This Row],[CANTIDAD RECIBIDA]]</f>
        <v>22804.1466</v>
      </c>
      <c r="AB1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1" s="3">
        <f>+DETALLE_GD_1[[#This Row],[CANTIDAD SOLICITADA]]-DETALLE_GD_1[[#This Row],[DEVOLUCIÓN]]</f>
        <v>6</v>
      </c>
      <c r="AD1011" s="38">
        <f>+_xlfn.XLOOKUP(DETALLE_GD_1[[#This Row],[CODIGO]],PRODUCTOS[CODIGO],PRODUCTOS[DESC CORTA],"",0)</f>
        <v>0</v>
      </c>
    </row>
    <row r="1012" spans="1:30" x14ac:dyDescent="0.25">
      <c r="A1012" s="1">
        <v>46135</v>
      </c>
      <c r="B1012" s="1">
        <v>46135</v>
      </c>
      <c r="C1012" s="81" t="s">
        <v>169</v>
      </c>
      <c r="D1012" s="38">
        <v>4</v>
      </c>
      <c r="E1012" s="81" t="s">
        <v>169</v>
      </c>
      <c r="F1012" t="s">
        <v>345</v>
      </c>
      <c r="G1012" s="81" t="s">
        <v>167</v>
      </c>
      <c r="H1012" s="81" t="s">
        <v>26</v>
      </c>
      <c r="I1012" s="3">
        <v>40</v>
      </c>
      <c r="J1012" s="3"/>
      <c r="K1012" s="26">
        <v>40</v>
      </c>
      <c r="L1012" s="2">
        <v>12991.95</v>
      </c>
      <c r="M1012" s="2">
        <v>519678</v>
      </c>
      <c r="N1012" s="2">
        <v>519678</v>
      </c>
      <c r="O1012" s="2">
        <v>11882.3879</v>
      </c>
      <c r="P1012" s="2">
        <v>-1109.5621000000001</v>
      </c>
      <c r="Q1012" s="2">
        <v>-44382.4833</v>
      </c>
      <c r="R1012" s="4">
        <v>-9.337871232200412E-2</v>
      </c>
      <c r="T1012">
        <v>313346</v>
      </c>
      <c r="U1012" s="2"/>
      <c r="V1012">
        <v>6045</v>
      </c>
      <c r="W1012" s="2">
        <v>6579000000</v>
      </c>
      <c r="X1012" s="6">
        <v>475295.51668</v>
      </c>
      <c r="Y1012" s="38">
        <v>10010</v>
      </c>
      <c r="Z1012" s="86">
        <f>+((DETALLE_GD_1[[#This Row],[VALOR X UN (GD)]]-DETALLE_GD_1[[#This Row],[VALOR PPTO]])/DETALLE_GD_1[[#This Row],[VALOR PPTO]])</f>
        <v>9.3378713886288892E-2</v>
      </c>
      <c r="AA1012" s="2">
        <f>+DETALLE_GD_1[[#This Row],[VALOR PPTO]]*DETALLE_GD_1[[#This Row],[CANTIDAD RECIBIDA]]</f>
        <v>475295.516</v>
      </c>
      <c r="AB1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12" s="3">
        <f>+DETALLE_GD_1[[#This Row],[CANTIDAD SOLICITADA]]-DETALLE_GD_1[[#This Row],[DEVOLUCIÓN]]</f>
        <v>40</v>
      </c>
      <c r="AD1012" s="38" t="str">
        <f>+_xlfn.XLOOKUP(DETALLE_GD_1[[#This Row],[CODIGO]],PRODUCTOS[CODIGO],PRODUCTOS[DESC CORTA],"",0)</f>
        <v>PISO TARKET</v>
      </c>
    </row>
    <row r="1013" spans="1:30" x14ac:dyDescent="0.25">
      <c r="A1013" s="1">
        <v>46135</v>
      </c>
      <c r="B1013" s="1">
        <v>46135</v>
      </c>
      <c r="C1013" s="81" t="s">
        <v>169</v>
      </c>
      <c r="D1013" s="38">
        <v>4</v>
      </c>
      <c r="E1013" s="81" t="s">
        <v>169</v>
      </c>
      <c r="F1013">
        <v>601047</v>
      </c>
      <c r="G1013" s="81" t="s">
        <v>129</v>
      </c>
      <c r="H1013" s="81" t="s">
        <v>25</v>
      </c>
      <c r="I1013" s="3">
        <v>1</v>
      </c>
      <c r="J1013" s="3"/>
      <c r="K1013" s="26">
        <v>1</v>
      </c>
      <c r="L1013" s="2">
        <v>49501</v>
      </c>
      <c r="M1013" s="2">
        <v>49501</v>
      </c>
      <c r="N1013" s="2">
        <v>49501</v>
      </c>
      <c r="O1013" s="2">
        <v>50286.86</v>
      </c>
      <c r="P1013" s="2">
        <v>785.86</v>
      </c>
      <c r="Q1013" s="2">
        <v>785.86</v>
      </c>
      <c r="R1013" s="4">
        <v>1.5627541667942689E-2</v>
      </c>
      <c r="T1013">
        <v>313346</v>
      </c>
      <c r="U1013" s="2"/>
      <c r="V1013">
        <v>6045</v>
      </c>
      <c r="W1013" s="2">
        <v>6579000000</v>
      </c>
      <c r="X1013" s="6">
        <v>50286.86</v>
      </c>
      <c r="Y1013" s="38">
        <v>10010</v>
      </c>
      <c r="Z1013" s="86">
        <f>+((DETALLE_GD_1[[#This Row],[VALOR X UN (GD)]]-DETALLE_GD_1[[#This Row],[VALOR PPTO]])/DETALLE_GD_1[[#This Row],[VALOR PPTO]])</f>
        <v>-1.5627541667942689E-2</v>
      </c>
      <c r="AA1013" s="2">
        <f>+DETALLE_GD_1[[#This Row],[VALOR PPTO]]*DETALLE_GD_1[[#This Row],[CANTIDAD RECIBIDA]]</f>
        <v>50286.86</v>
      </c>
      <c r="AB10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3" s="3">
        <f>+DETALLE_GD_1[[#This Row],[CANTIDAD SOLICITADA]]-DETALLE_GD_1[[#This Row],[DEVOLUCIÓN]]</f>
        <v>1</v>
      </c>
      <c r="AD1013" s="38" t="str">
        <f>+_xlfn.XLOOKUP(DETALLE_GD_1[[#This Row],[CODIGO]],PRODUCTOS[CODIGO],PRODUCTOS[DESC CORTA],"",0)</f>
        <v>ESMALTE AL AGUA</v>
      </c>
    </row>
    <row r="1014" spans="1:30" x14ac:dyDescent="0.25">
      <c r="A1014" s="1">
        <v>46135</v>
      </c>
      <c r="B1014" s="1">
        <v>46135</v>
      </c>
      <c r="C1014" s="81" t="s">
        <v>169</v>
      </c>
      <c r="D1014" s="38">
        <v>4</v>
      </c>
      <c r="E1014" s="81" t="s">
        <v>169</v>
      </c>
      <c r="F1014">
        <v>2304002</v>
      </c>
      <c r="G1014" s="81" t="s">
        <v>212</v>
      </c>
      <c r="H1014" s="81" t="s">
        <v>31</v>
      </c>
      <c r="I1014" s="3">
        <v>24</v>
      </c>
      <c r="J1014" s="3"/>
      <c r="K1014" s="26">
        <v>24</v>
      </c>
      <c r="L1014" s="2">
        <v>1376.5</v>
      </c>
      <c r="M1014" s="2">
        <v>33036</v>
      </c>
      <c r="N1014" s="2">
        <v>33036</v>
      </c>
      <c r="O1014" s="2">
        <v>1376.4717000000001</v>
      </c>
      <c r="P1014" s="2">
        <v>-2.8299999999999999E-2</v>
      </c>
      <c r="Q1014" s="2">
        <v>-0.67859999999999998</v>
      </c>
      <c r="R1014" s="4">
        <v>-2.0542376212302997E-5</v>
      </c>
      <c r="T1014">
        <v>313346</v>
      </c>
      <c r="U1014" s="2"/>
      <c r="V1014">
        <v>6045</v>
      </c>
      <c r="W1014" s="2">
        <v>6579000000</v>
      </c>
      <c r="X1014" s="6">
        <v>33035.321376</v>
      </c>
      <c r="Y1014" s="38">
        <v>10010</v>
      </c>
      <c r="Z1014" s="86">
        <f>+((DETALLE_GD_1[[#This Row],[VALOR X UN (GD)]]-DETALLE_GD_1[[#This Row],[VALOR PPTO]])/DETALLE_GD_1[[#This Row],[VALOR PPTO]])</f>
        <v>2.0559812453786519E-5</v>
      </c>
      <c r="AA1014" s="2">
        <f>+DETALLE_GD_1[[#This Row],[VALOR PPTO]]*DETALLE_GD_1[[#This Row],[CANTIDAD RECIBIDA]]</f>
        <v>33035.320800000001</v>
      </c>
      <c r="AB1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4" s="3">
        <f>+DETALLE_GD_1[[#This Row],[CANTIDAD SOLICITADA]]-DETALLE_GD_1[[#This Row],[DEVOLUCIÓN]]</f>
        <v>24</v>
      </c>
      <c r="AD1014" s="38">
        <f>+_xlfn.XLOOKUP(DETALLE_GD_1[[#This Row],[CODIGO]],PRODUCTOS[CODIGO],PRODUCTOS[DESC CORTA],"",0)</f>
        <v>0</v>
      </c>
    </row>
    <row r="1015" spans="1:30" x14ac:dyDescent="0.25">
      <c r="A1015" s="1">
        <v>46135</v>
      </c>
      <c r="B1015" s="1">
        <v>46135</v>
      </c>
      <c r="C1015" s="81" t="s">
        <v>169</v>
      </c>
      <c r="D1015" s="38">
        <v>4</v>
      </c>
      <c r="E1015" s="81" t="s">
        <v>169</v>
      </c>
      <c r="F1015">
        <v>2304053</v>
      </c>
      <c r="G1015" s="81" t="s">
        <v>213</v>
      </c>
      <c r="H1015" s="81" t="s">
        <v>31</v>
      </c>
      <c r="I1015" s="3">
        <v>47</v>
      </c>
      <c r="J1015" s="3"/>
      <c r="K1015" s="26">
        <v>47</v>
      </c>
      <c r="L1015" s="2">
        <v>1003.5744999999999</v>
      </c>
      <c r="M1015" s="2">
        <v>47168</v>
      </c>
      <c r="N1015" s="2">
        <v>47168</v>
      </c>
      <c r="O1015" s="2">
        <v>862</v>
      </c>
      <c r="P1015" s="2">
        <v>-141.5745</v>
      </c>
      <c r="Q1015" s="2">
        <v>-6654</v>
      </c>
      <c r="R1015" s="4">
        <v>-0.16423952214049442</v>
      </c>
      <c r="T1015">
        <v>313346</v>
      </c>
      <c r="U1015" s="2"/>
      <c r="V1015">
        <v>6045</v>
      </c>
      <c r="W1015" s="2">
        <v>6579000000</v>
      </c>
      <c r="X1015" s="6">
        <v>40514.000000000007</v>
      </c>
      <c r="Y1015" s="38">
        <v>10010</v>
      </c>
      <c r="Z1015" s="86">
        <f>+((DETALLE_GD_1[[#This Row],[VALOR X UN (GD)]]-DETALLE_GD_1[[#This Row],[VALOR PPTO]])/DETALLE_GD_1[[#This Row],[VALOR PPTO]])</f>
        <v>0.16423955916473312</v>
      </c>
      <c r="AA1015" s="2">
        <f>+DETALLE_GD_1[[#This Row],[VALOR PPTO]]*DETALLE_GD_1[[#This Row],[CANTIDAD RECIBIDA]]</f>
        <v>40514</v>
      </c>
      <c r="AB10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5" s="3">
        <f>+DETALLE_GD_1[[#This Row],[CANTIDAD SOLICITADA]]-DETALLE_GD_1[[#This Row],[DEVOLUCIÓN]]</f>
        <v>47</v>
      </c>
      <c r="AD1015" s="38">
        <f>+_xlfn.XLOOKUP(DETALLE_GD_1[[#This Row],[CODIGO]],PRODUCTOS[CODIGO],PRODUCTOS[DESC CORTA],"",0)</f>
        <v>0</v>
      </c>
    </row>
    <row r="1016" spans="1:30" x14ac:dyDescent="0.25">
      <c r="A1016" s="1">
        <v>46135</v>
      </c>
      <c r="B1016" s="1">
        <v>46135</v>
      </c>
      <c r="C1016" s="81" t="s">
        <v>169</v>
      </c>
      <c r="D1016" s="38">
        <v>4</v>
      </c>
      <c r="E1016" s="81" t="s">
        <v>169</v>
      </c>
      <c r="F1016">
        <v>2304008</v>
      </c>
      <c r="G1016" s="81" t="s">
        <v>707</v>
      </c>
      <c r="H1016" s="81" t="s">
        <v>31</v>
      </c>
      <c r="I1016" s="3">
        <v>12</v>
      </c>
      <c r="J1016" s="3"/>
      <c r="K1016" s="26">
        <v>12</v>
      </c>
      <c r="L1016" s="2">
        <v>2397.5832999999998</v>
      </c>
      <c r="M1016" s="2">
        <v>28771</v>
      </c>
      <c r="N1016" s="2">
        <v>28771</v>
      </c>
      <c r="O1016" s="2"/>
      <c r="P1016" s="2"/>
      <c r="Q1016" s="2">
        <v>-28771</v>
      </c>
      <c r="R1016" s="4"/>
      <c r="T1016">
        <v>313346</v>
      </c>
      <c r="U1016" s="2"/>
      <c r="V1016">
        <v>6045</v>
      </c>
      <c r="W1016" s="2">
        <v>6579000000</v>
      </c>
      <c r="X1016" s="6" t="s">
        <v>355</v>
      </c>
      <c r="Y1016" s="38">
        <v>10010</v>
      </c>
      <c r="Z1016" s="86" t="e">
        <f>+((DETALLE_GD_1[[#This Row],[VALOR X UN (GD)]]-DETALLE_GD_1[[#This Row],[VALOR PPTO]])/DETALLE_GD_1[[#This Row],[VALOR PPTO]])</f>
        <v>#DIV/0!</v>
      </c>
      <c r="AA1016" s="2">
        <f>+DETALLE_GD_1[[#This Row],[VALOR PPTO]]*DETALLE_GD_1[[#This Row],[CANTIDAD RECIBIDA]]</f>
        <v>0</v>
      </c>
      <c r="AB10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6" s="3">
        <f>+DETALLE_GD_1[[#This Row],[CANTIDAD SOLICITADA]]-DETALLE_GD_1[[#This Row],[DEVOLUCIÓN]]</f>
        <v>12</v>
      </c>
      <c r="AD1016" s="38" t="str">
        <f>+_xlfn.XLOOKUP(DETALLE_GD_1[[#This Row],[CODIGO]],PRODUCTOS[CODIGO],PRODUCTOS[DESC CORTA],"",0)</f>
        <v/>
      </c>
    </row>
    <row r="1017" spans="1:30" x14ac:dyDescent="0.25">
      <c r="A1017" s="1">
        <v>46135</v>
      </c>
      <c r="B1017" s="1">
        <v>46135</v>
      </c>
      <c r="C1017" s="81" t="s">
        <v>169</v>
      </c>
      <c r="D1017" s="38">
        <v>4</v>
      </c>
      <c r="E1017" s="81" t="s">
        <v>169</v>
      </c>
      <c r="F1017">
        <v>2508988</v>
      </c>
      <c r="G1017" s="81" t="s">
        <v>469</v>
      </c>
      <c r="H1017" s="81" t="s">
        <v>90</v>
      </c>
      <c r="I1017" s="3">
        <v>1</v>
      </c>
      <c r="J1017" s="3"/>
      <c r="K1017" s="26">
        <v>1</v>
      </c>
      <c r="L1017" s="2">
        <v>142676</v>
      </c>
      <c r="M1017" s="2">
        <v>142676</v>
      </c>
      <c r="N1017" s="2">
        <v>142676</v>
      </c>
      <c r="O1017" s="2"/>
      <c r="P1017" s="2"/>
      <c r="Q1017" s="2">
        <v>-142676</v>
      </c>
      <c r="R1017" s="4"/>
      <c r="T1017">
        <v>313346</v>
      </c>
      <c r="U1017" s="2"/>
      <c r="V1017">
        <v>6045</v>
      </c>
      <c r="W1017" s="2">
        <v>6579000000</v>
      </c>
      <c r="X1017" s="6" t="s">
        <v>355</v>
      </c>
      <c r="Y1017" s="38">
        <v>10010</v>
      </c>
      <c r="Z1017" s="86" t="e">
        <f>+((DETALLE_GD_1[[#This Row],[VALOR X UN (GD)]]-DETALLE_GD_1[[#This Row],[VALOR PPTO]])/DETALLE_GD_1[[#This Row],[VALOR PPTO]])</f>
        <v>#DIV/0!</v>
      </c>
      <c r="AA1017" s="2">
        <f>+DETALLE_GD_1[[#This Row],[VALOR PPTO]]*DETALLE_GD_1[[#This Row],[CANTIDAD RECIBIDA]]</f>
        <v>0</v>
      </c>
      <c r="AB1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7" s="3">
        <f>+DETALLE_GD_1[[#This Row],[CANTIDAD SOLICITADA]]-DETALLE_GD_1[[#This Row],[DEVOLUCIÓN]]</f>
        <v>1</v>
      </c>
      <c r="AD1017" s="38" t="str">
        <f>+_xlfn.XLOOKUP(DETALLE_GD_1[[#This Row],[CODIGO]],PRODUCTOS[CODIGO],PRODUCTOS[DESC CORTA],"",0)</f>
        <v/>
      </c>
    </row>
    <row r="1018" spans="1:30" x14ac:dyDescent="0.25">
      <c r="A1018" s="1">
        <v>46135</v>
      </c>
      <c r="B1018" s="1">
        <v>46135</v>
      </c>
      <c r="C1018" s="81" t="s">
        <v>169</v>
      </c>
      <c r="D1018" s="38">
        <v>4</v>
      </c>
      <c r="E1018" s="81" t="s">
        <v>169</v>
      </c>
      <c r="F1018">
        <v>2508987</v>
      </c>
      <c r="G1018" s="81" t="s">
        <v>305</v>
      </c>
      <c r="H1018" s="81" t="s">
        <v>31</v>
      </c>
      <c r="I1018" s="3">
        <v>1</v>
      </c>
      <c r="J1018" s="3"/>
      <c r="K1018" s="26">
        <v>1</v>
      </c>
      <c r="L1018" s="2">
        <v>142532</v>
      </c>
      <c r="M1018" s="2">
        <v>142532</v>
      </c>
      <c r="N1018" s="2">
        <v>142532</v>
      </c>
      <c r="O1018" s="2">
        <v>145847</v>
      </c>
      <c r="P1018" s="2">
        <v>3315</v>
      </c>
      <c r="Q1018" s="2">
        <v>3315</v>
      </c>
      <c r="R1018" s="4">
        <v>2.2729298511453784E-2</v>
      </c>
      <c r="T1018">
        <v>313346</v>
      </c>
      <c r="U1018" s="2"/>
      <c r="V1018">
        <v>6045</v>
      </c>
      <c r="W1018" s="2">
        <v>6579000000</v>
      </c>
      <c r="X1018" s="6">
        <v>145847</v>
      </c>
      <c r="Y1018" s="38">
        <v>10010</v>
      </c>
      <c r="Z1018" s="86">
        <f>+((DETALLE_GD_1[[#This Row],[VALOR X UN (GD)]]-DETALLE_GD_1[[#This Row],[VALOR PPTO]])/DETALLE_GD_1[[#This Row],[VALOR PPTO]])</f>
        <v>-2.2729298511453784E-2</v>
      </c>
      <c r="AA1018" s="2">
        <f>+DETALLE_GD_1[[#This Row],[VALOR PPTO]]*DETALLE_GD_1[[#This Row],[CANTIDAD RECIBIDA]]</f>
        <v>145847</v>
      </c>
      <c r="AB10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8" s="3">
        <f>+DETALLE_GD_1[[#This Row],[CANTIDAD SOLICITADA]]-DETALLE_GD_1[[#This Row],[DEVOLUCIÓN]]</f>
        <v>1</v>
      </c>
      <c r="AD1018" s="38" t="str">
        <f>+_xlfn.XLOOKUP(DETALLE_GD_1[[#This Row],[CODIGO]],PRODUCTOS[CODIGO],PRODUCTOS[DESC CORTA],"",0)</f>
        <v>KIT PREC</v>
      </c>
    </row>
    <row r="1019" spans="1:30" x14ac:dyDescent="0.25">
      <c r="A1019" s="1">
        <v>46135</v>
      </c>
      <c r="B1019" s="1">
        <v>46135</v>
      </c>
      <c r="C1019" s="81" t="s">
        <v>169</v>
      </c>
      <c r="D1019" s="38">
        <v>4</v>
      </c>
      <c r="E1019" s="81" t="s">
        <v>169</v>
      </c>
      <c r="F1019">
        <v>2508986</v>
      </c>
      <c r="G1019" s="81" t="s">
        <v>709</v>
      </c>
      <c r="H1019" s="81" t="s">
        <v>90</v>
      </c>
      <c r="I1019" s="3">
        <v>1</v>
      </c>
      <c r="J1019" s="3"/>
      <c r="K1019" s="26">
        <v>1</v>
      </c>
      <c r="L1019" s="2">
        <v>102622</v>
      </c>
      <c r="M1019" s="2">
        <v>102622</v>
      </c>
      <c r="N1019" s="2">
        <v>102622</v>
      </c>
      <c r="O1019" s="2"/>
      <c r="P1019" s="2"/>
      <c r="Q1019" s="2">
        <v>-102622</v>
      </c>
      <c r="R1019" s="4"/>
      <c r="T1019">
        <v>313346</v>
      </c>
      <c r="U1019" s="2"/>
      <c r="V1019">
        <v>6045</v>
      </c>
      <c r="W1019" s="2">
        <v>6579000000</v>
      </c>
      <c r="X1019" s="6" t="s">
        <v>355</v>
      </c>
      <c r="Y1019" s="38">
        <v>10010</v>
      </c>
      <c r="Z1019" s="86" t="e">
        <f>+((DETALLE_GD_1[[#This Row],[VALOR X UN (GD)]]-DETALLE_GD_1[[#This Row],[VALOR PPTO]])/DETALLE_GD_1[[#This Row],[VALOR PPTO]])</f>
        <v>#DIV/0!</v>
      </c>
      <c r="AA1019" s="2">
        <f>+DETALLE_GD_1[[#This Row],[VALOR PPTO]]*DETALLE_GD_1[[#This Row],[CANTIDAD RECIBIDA]]</f>
        <v>0</v>
      </c>
      <c r="AB10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9" s="3">
        <f>+DETALLE_GD_1[[#This Row],[CANTIDAD SOLICITADA]]-DETALLE_GD_1[[#This Row],[DEVOLUCIÓN]]</f>
        <v>1</v>
      </c>
      <c r="AD1019" s="38" t="str">
        <f>+_xlfn.XLOOKUP(DETALLE_GD_1[[#This Row],[CODIGO]],PRODUCTOS[CODIGO],PRODUCTOS[DESC CORTA],"",0)</f>
        <v/>
      </c>
    </row>
    <row r="1020" spans="1:30" x14ac:dyDescent="0.25">
      <c r="A1020" s="1">
        <v>46135</v>
      </c>
      <c r="B1020" s="1">
        <v>46135</v>
      </c>
      <c r="C1020" s="81" t="s">
        <v>169</v>
      </c>
      <c r="D1020" s="38">
        <v>4</v>
      </c>
      <c r="E1020" s="81" t="s">
        <v>169</v>
      </c>
      <c r="F1020">
        <v>2508985</v>
      </c>
      <c r="G1020" s="81" t="s">
        <v>304</v>
      </c>
      <c r="H1020" s="81" t="s">
        <v>90</v>
      </c>
      <c r="I1020" s="3">
        <v>1</v>
      </c>
      <c r="J1020" s="3"/>
      <c r="K1020" s="26">
        <v>1</v>
      </c>
      <c r="L1020" s="2">
        <v>102622</v>
      </c>
      <c r="M1020" s="2">
        <v>102622</v>
      </c>
      <c r="N1020" s="2">
        <v>102622</v>
      </c>
      <c r="O1020" s="2">
        <v>102622</v>
      </c>
      <c r="P1020" s="2">
        <v>0</v>
      </c>
      <c r="Q1020" s="2">
        <v>0</v>
      </c>
      <c r="R1020" s="4">
        <v>0</v>
      </c>
      <c r="T1020">
        <v>313346</v>
      </c>
      <c r="U1020" s="2"/>
      <c r="V1020">
        <v>6045</v>
      </c>
      <c r="W1020" s="2">
        <v>6579000000</v>
      </c>
      <c r="X1020" s="6">
        <v>102622</v>
      </c>
      <c r="Y1020" s="38">
        <v>10010</v>
      </c>
      <c r="Z1020" s="86">
        <f>+((DETALLE_GD_1[[#This Row],[VALOR X UN (GD)]]-DETALLE_GD_1[[#This Row],[VALOR PPTO]])/DETALLE_GD_1[[#This Row],[VALOR PPTO]])</f>
        <v>0</v>
      </c>
      <c r="AA1020" s="2">
        <f>+DETALLE_GD_1[[#This Row],[VALOR PPTO]]*DETALLE_GD_1[[#This Row],[CANTIDAD RECIBIDA]]</f>
        <v>102622</v>
      </c>
      <c r="AB10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0" s="3">
        <f>+DETALLE_GD_1[[#This Row],[CANTIDAD SOLICITADA]]-DETALLE_GD_1[[#This Row],[DEVOLUCIÓN]]</f>
        <v>1</v>
      </c>
      <c r="AD1020" s="38" t="str">
        <f>+_xlfn.XLOOKUP(DETALLE_GD_1[[#This Row],[CODIGO]],PRODUCTOS[CODIGO],PRODUCTOS[DESC CORTA],"",0)</f>
        <v>KIT PRECOLGADO</v>
      </c>
    </row>
    <row r="1021" spans="1:30" x14ac:dyDescent="0.25">
      <c r="A1021" s="1">
        <v>46135</v>
      </c>
      <c r="B1021" s="1">
        <v>46135</v>
      </c>
      <c r="C1021" s="81" t="s">
        <v>169</v>
      </c>
      <c r="D1021" s="38">
        <v>4</v>
      </c>
      <c r="E1021" s="81" t="s">
        <v>169</v>
      </c>
      <c r="F1021">
        <v>2508994</v>
      </c>
      <c r="G1021" s="81" t="s">
        <v>488</v>
      </c>
      <c r="H1021" s="81" t="s">
        <v>31</v>
      </c>
      <c r="I1021" s="3">
        <v>4</v>
      </c>
      <c r="J1021" s="3"/>
      <c r="K1021" s="26">
        <v>4</v>
      </c>
      <c r="L1021" s="2">
        <v>1785.25</v>
      </c>
      <c r="M1021" s="2">
        <v>7141</v>
      </c>
      <c r="N1021" s="2">
        <v>7141</v>
      </c>
      <c r="O1021" s="2">
        <v>1598</v>
      </c>
      <c r="P1021" s="2">
        <v>-187.25</v>
      </c>
      <c r="Q1021" s="2">
        <v>-749</v>
      </c>
      <c r="R1021" s="4">
        <v>-0.11717772215269086</v>
      </c>
      <c r="T1021">
        <v>313346</v>
      </c>
      <c r="U1021" s="2"/>
      <c r="V1021">
        <v>6045</v>
      </c>
      <c r="W1021" s="2">
        <v>6579000000</v>
      </c>
      <c r="X1021" s="6">
        <v>6392</v>
      </c>
      <c r="Y1021" s="38">
        <v>10010</v>
      </c>
      <c r="Z1021" s="86">
        <f>+((DETALLE_GD_1[[#This Row],[VALOR X UN (GD)]]-DETALLE_GD_1[[#This Row],[VALOR PPTO]])/DETALLE_GD_1[[#This Row],[VALOR PPTO]])</f>
        <v>0.11717772215269086</v>
      </c>
      <c r="AA1021" s="2">
        <f>+DETALLE_GD_1[[#This Row],[VALOR PPTO]]*DETALLE_GD_1[[#This Row],[CANTIDAD RECIBIDA]]</f>
        <v>6392</v>
      </c>
      <c r="AB1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1" s="3">
        <f>+DETALLE_GD_1[[#This Row],[CANTIDAD SOLICITADA]]-DETALLE_GD_1[[#This Row],[DEVOLUCIÓN]]</f>
        <v>4</v>
      </c>
      <c r="AD1021" s="38" t="str">
        <f>+_xlfn.XLOOKUP(DETALLE_GD_1[[#This Row],[CODIGO]],PRODUCTOS[CODIGO],PRODUCTOS[DESC CORTA],"",0)</f>
        <v>CUADRADILLO EXPANSION 8X</v>
      </c>
    </row>
    <row r="1022" spans="1:30" x14ac:dyDescent="0.25">
      <c r="A1022" s="1">
        <v>46135</v>
      </c>
      <c r="B1022" s="1">
        <v>46135</v>
      </c>
      <c r="C1022" s="81" t="s">
        <v>169</v>
      </c>
      <c r="D1022" s="38">
        <v>4</v>
      </c>
      <c r="E1022" s="81" t="s">
        <v>169</v>
      </c>
      <c r="F1022">
        <v>1902013</v>
      </c>
      <c r="G1022" s="81" t="s">
        <v>338</v>
      </c>
      <c r="H1022" s="81" t="s">
        <v>47</v>
      </c>
      <c r="I1022" s="3">
        <v>20</v>
      </c>
      <c r="J1022" s="3"/>
      <c r="K1022" s="26">
        <v>20</v>
      </c>
      <c r="L1022" s="2">
        <v>39045.300000000003</v>
      </c>
      <c r="M1022" s="2">
        <v>780906</v>
      </c>
      <c r="N1022" s="2">
        <v>780906</v>
      </c>
      <c r="O1022" s="2">
        <v>29779</v>
      </c>
      <c r="P1022" s="2">
        <v>-9266.2999999999993</v>
      </c>
      <c r="Q1022" s="2">
        <v>-185326</v>
      </c>
      <c r="R1022" s="4">
        <v>-0.31116894455824584</v>
      </c>
      <c r="T1022">
        <v>313349</v>
      </c>
      <c r="U1022" s="2">
        <v>10322887</v>
      </c>
      <c r="V1022">
        <v>6045</v>
      </c>
      <c r="W1022" s="2">
        <v>6579000000</v>
      </c>
      <c r="X1022" s="6">
        <v>595580</v>
      </c>
      <c r="Y1022" s="38">
        <v>10010</v>
      </c>
      <c r="Z1022" s="86">
        <f>+((DETALLE_GD_1[[#This Row],[VALOR X UN (GD)]]-DETALLE_GD_1[[#This Row],[VALOR PPTO]])/DETALLE_GD_1[[#This Row],[VALOR PPTO]])</f>
        <v>0.31116894455824584</v>
      </c>
      <c r="AA1022" s="2">
        <f>+DETALLE_GD_1[[#This Row],[VALOR PPTO]]*DETALLE_GD_1[[#This Row],[CANTIDAD RECIBIDA]]</f>
        <v>595580</v>
      </c>
      <c r="AB10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22" s="3">
        <f>+DETALLE_GD_1[[#This Row],[CANTIDAD SOLICITADA]]-DETALLE_GD_1[[#This Row],[DEVOLUCIÓN]]</f>
        <v>20</v>
      </c>
      <c r="AD1022" s="38">
        <f>+_xlfn.XLOOKUP(DETALLE_GD_1[[#This Row],[CODIGO]],PRODUCTOS[CODIGO],PRODUCTOS[DESC CORTA],"",0)</f>
        <v>0</v>
      </c>
    </row>
    <row r="1023" spans="1:30" x14ac:dyDescent="0.25">
      <c r="A1023" s="1">
        <v>46135</v>
      </c>
      <c r="B1023" s="1">
        <v>46135</v>
      </c>
      <c r="C1023" s="81" t="s">
        <v>169</v>
      </c>
      <c r="D1023" s="38">
        <v>4</v>
      </c>
      <c r="E1023" s="81" t="s">
        <v>169</v>
      </c>
      <c r="F1023">
        <v>1802659</v>
      </c>
      <c r="G1023" s="81" t="s">
        <v>161</v>
      </c>
      <c r="H1023" s="81" t="s">
        <v>31</v>
      </c>
      <c r="I1023" s="3">
        <v>20</v>
      </c>
      <c r="J1023" s="3"/>
      <c r="K1023" s="26">
        <v>20</v>
      </c>
      <c r="L1023" s="2">
        <v>2446.65</v>
      </c>
      <c r="M1023" s="2">
        <v>48933</v>
      </c>
      <c r="N1023" s="2">
        <v>48933</v>
      </c>
      <c r="O1023" s="2">
        <v>2929.4632000000001</v>
      </c>
      <c r="P1023" s="2">
        <v>482.81319999999999</v>
      </c>
      <c r="Q1023" s="2">
        <v>9656.2631999999994</v>
      </c>
      <c r="R1023" s="4">
        <v>0.1648128452073197</v>
      </c>
      <c r="T1023">
        <v>313349</v>
      </c>
      <c r="U1023" s="2"/>
      <c r="V1023">
        <v>6045</v>
      </c>
      <c r="W1023" s="2">
        <v>6579000000</v>
      </c>
      <c r="X1023" s="6">
        <v>58589.263160000002</v>
      </c>
      <c r="Y1023" s="38">
        <v>10010</v>
      </c>
      <c r="Z1023" s="86">
        <f>+((DETALLE_GD_1[[#This Row],[VALOR X UN (GD)]]-DETALLE_GD_1[[#This Row],[VALOR PPTO]])/DETALLE_GD_1[[#This Row],[VALOR PPTO]])</f>
        <v>-0.16481285718147953</v>
      </c>
      <c r="AA1023" s="2">
        <f>+DETALLE_GD_1[[#This Row],[VALOR PPTO]]*DETALLE_GD_1[[#This Row],[CANTIDAD RECIBIDA]]</f>
        <v>58589.264000000003</v>
      </c>
      <c r="AB1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3" s="3">
        <f>+DETALLE_GD_1[[#This Row],[CANTIDAD SOLICITADA]]-DETALLE_GD_1[[#This Row],[DEVOLUCIÓN]]</f>
        <v>20</v>
      </c>
      <c r="AD1023" s="38">
        <f>+_xlfn.XLOOKUP(DETALLE_GD_1[[#This Row],[CODIGO]],PRODUCTOS[CODIGO],PRODUCTOS[DESC CORTA],"",0)</f>
        <v>0</v>
      </c>
    </row>
    <row r="1024" spans="1:30" x14ac:dyDescent="0.25">
      <c r="A1024" s="1">
        <v>46135</v>
      </c>
      <c r="B1024" s="1">
        <v>46135</v>
      </c>
      <c r="C1024" s="81" t="s">
        <v>169</v>
      </c>
      <c r="D1024" s="38">
        <v>4</v>
      </c>
      <c r="E1024" s="81" t="s">
        <v>169</v>
      </c>
      <c r="F1024">
        <v>106022</v>
      </c>
      <c r="G1024" s="81" t="s">
        <v>245</v>
      </c>
      <c r="H1024" s="81" t="s">
        <v>31</v>
      </c>
      <c r="I1024" s="3">
        <v>12</v>
      </c>
      <c r="J1024" s="3"/>
      <c r="K1024" s="26">
        <v>12</v>
      </c>
      <c r="L1024" s="2">
        <v>3800.25</v>
      </c>
      <c r="M1024" s="2">
        <v>45603</v>
      </c>
      <c r="N1024" s="2">
        <v>45603</v>
      </c>
      <c r="O1024" s="2">
        <v>3800.6911</v>
      </c>
      <c r="P1024" s="2">
        <v>0.44109999999999999</v>
      </c>
      <c r="Q1024" s="2">
        <v>5.2931999999999997</v>
      </c>
      <c r="R1024" s="4">
        <v>1.1605757703293336E-4</v>
      </c>
      <c r="T1024">
        <v>313349</v>
      </c>
      <c r="U1024" s="2"/>
      <c r="V1024">
        <v>6045</v>
      </c>
      <c r="W1024" s="2">
        <v>6579000000</v>
      </c>
      <c r="X1024" s="6">
        <v>45608.293188000011</v>
      </c>
      <c r="Y1024" s="38">
        <v>10010</v>
      </c>
      <c r="Z1024" s="86">
        <f>+((DETALLE_GD_1[[#This Row],[VALOR X UN (GD)]]-DETALLE_GD_1[[#This Row],[VALOR PPTO]])/DETALLE_GD_1[[#This Row],[VALOR PPTO]])</f>
        <v>-1.1605784011229058E-4</v>
      </c>
      <c r="AA1024" s="2">
        <f>+DETALLE_GD_1[[#This Row],[VALOR PPTO]]*DETALLE_GD_1[[#This Row],[CANTIDAD RECIBIDA]]</f>
        <v>45608.2932</v>
      </c>
      <c r="AB1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4" s="3">
        <f>+DETALLE_GD_1[[#This Row],[CANTIDAD SOLICITADA]]-DETALLE_GD_1[[#This Row],[DEVOLUCIÓN]]</f>
        <v>12</v>
      </c>
      <c r="AD1024" s="38">
        <f>+_xlfn.XLOOKUP(DETALLE_GD_1[[#This Row],[CODIGO]],PRODUCTOS[CODIGO],PRODUCTOS[DESC CORTA],"",0)</f>
        <v>0</v>
      </c>
    </row>
    <row r="1025" spans="1:30" x14ac:dyDescent="0.25">
      <c r="A1025" s="1">
        <v>46135</v>
      </c>
      <c r="B1025" s="1">
        <v>46135</v>
      </c>
      <c r="C1025" s="81" t="s">
        <v>169</v>
      </c>
      <c r="D1025" s="38">
        <v>4</v>
      </c>
      <c r="E1025" s="81" t="s">
        <v>169</v>
      </c>
      <c r="F1025">
        <v>704041</v>
      </c>
      <c r="G1025" s="81" t="s">
        <v>759</v>
      </c>
      <c r="H1025" s="81" t="s">
        <v>47</v>
      </c>
      <c r="I1025" s="3">
        <v>12</v>
      </c>
      <c r="J1025" s="3"/>
      <c r="K1025" s="26">
        <v>12</v>
      </c>
      <c r="L1025" s="2">
        <v>7993.25</v>
      </c>
      <c r="M1025" s="2">
        <v>95919</v>
      </c>
      <c r="N1025" s="2">
        <v>95919</v>
      </c>
      <c r="O1025" s="2"/>
      <c r="P1025" s="2"/>
      <c r="Q1025" s="2">
        <v>-95919</v>
      </c>
      <c r="R1025" s="4"/>
      <c r="T1025">
        <v>313349</v>
      </c>
      <c r="U1025" s="2"/>
      <c r="V1025">
        <v>6045</v>
      </c>
      <c r="W1025" s="2">
        <v>6579000000</v>
      </c>
      <c r="X1025" s="6" t="s">
        <v>355</v>
      </c>
      <c r="Y1025" s="38">
        <v>10010</v>
      </c>
      <c r="Z1025" s="86" t="e">
        <f>+((DETALLE_GD_1[[#This Row],[VALOR X UN (GD)]]-DETALLE_GD_1[[#This Row],[VALOR PPTO]])/DETALLE_GD_1[[#This Row],[VALOR PPTO]])</f>
        <v>#DIV/0!</v>
      </c>
      <c r="AA1025" s="2">
        <f>+DETALLE_GD_1[[#This Row],[VALOR PPTO]]*DETALLE_GD_1[[#This Row],[CANTIDAD RECIBIDA]]</f>
        <v>0</v>
      </c>
      <c r="AB1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5" s="3">
        <f>+DETALLE_GD_1[[#This Row],[CANTIDAD SOLICITADA]]-DETALLE_GD_1[[#This Row],[DEVOLUCIÓN]]</f>
        <v>12</v>
      </c>
      <c r="AD1025" s="38" t="str">
        <f>+_xlfn.XLOOKUP(DETALLE_GD_1[[#This Row],[CODIGO]],PRODUCTOS[CODIGO],PRODUCTOS[DESC CORTA],"",0)</f>
        <v/>
      </c>
    </row>
    <row r="1026" spans="1:30" x14ac:dyDescent="0.25">
      <c r="A1026" s="1">
        <v>46135</v>
      </c>
      <c r="B1026" s="1">
        <v>46135</v>
      </c>
      <c r="C1026" s="81" t="s">
        <v>169</v>
      </c>
      <c r="D1026" s="38">
        <v>4</v>
      </c>
      <c r="E1026" s="81" t="s">
        <v>169</v>
      </c>
      <c r="F1026">
        <v>407049</v>
      </c>
      <c r="G1026" s="81" t="s">
        <v>232</v>
      </c>
      <c r="H1026" s="81" t="s">
        <v>31</v>
      </c>
      <c r="I1026" s="3">
        <v>600</v>
      </c>
      <c r="J1026" s="3"/>
      <c r="K1026" s="26">
        <v>600</v>
      </c>
      <c r="L1026" s="2">
        <v>16.201699999999999</v>
      </c>
      <c r="M1026" s="2">
        <v>9721</v>
      </c>
      <c r="N1026" s="2">
        <v>9721</v>
      </c>
      <c r="O1026" s="2">
        <v>16.202200000000001</v>
      </c>
      <c r="P1026" s="2">
        <v>5.0000000000000001E-4</v>
      </c>
      <c r="Q1026" s="2">
        <v>0.29720000000000002</v>
      </c>
      <c r="R1026" s="4">
        <v>3.0572051639360971E-5</v>
      </c>
      <c r="T1026">
        <v>313349</v>
      </c>
      <c r="U1026" s="2"/>
      <c r="V1026">
        <v>6045</v>
      </c>
      <c r="W1026" s="2">
        <v>6579000000</v>
      </c>
      <c r="X1026" s="6">
        <v>9721.2972000000009</v>
      </c>
      <c r="Y1026" s="38">
        <v>10010</v>
      </c>
      <c r="Z1026" s="86">
        <f>+((DETALLE_GD_1[[#This Row],[VALOR X UN (GD)]]-DETALLE_GD_1[[#This Row],[VALOR PPTO]])/DETALLE_GD_1[[#This Row],[VALOR PPTO]])</f>
        <v>-3.0860006665908791E-5</v>
      </c>
      <c r="AA1026" s="2">
        <f>+DETALLE_GD_1[[#This Row],[VALOR PPTO]]*DETALLE_GD_1[[#This Row],[CANTIDAD RECIBIDA]]</f>
        <v>9721.3200000000015</v>
      </c>
      <c r="AB10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6" s="3">
        <f>+DETALLE_GD_1[[#This Row],[CANTIDAD SOLICITADA]]-DETALLE_GD_1[[#This Row],[DEVOLUCIÓN]]</f>
        <v>600</v>
      </c>
      <c r="AD1026" s="38">
        <f>+_xlfn.XLOOKUP(DETALLE_GD_1[[#This Row],[CODIGO]],PRODUCTOS[CODIGO],PRODUCTOS[DESC CORTA],"",0)</f>
        <v>0</v>
      </c>
    </row>
    <row r="1027" spans="1:30" x14ac:dyDescent="0.25">
      <c r="A1027" s="1">
        <v>46135</v>
      </c>
      <c r="B1027" s="1">
        <v>46135</v>
      </c>
      <c r="C1027" s="81" t="s">
        <v>169</v>
      </c>
      <c r="D1027" s="38">
        <v>4</v>
      </c>
      <c r="E1027" s="81" t="s">
        <v>169</v>
      </c>
      <c r="F1027" t="s">
        <v>231</v>
      </c>
      <c r="G1027" s="81" t="s">
        <v>180</v>
      </c>
      <c r="H1027" s="81" t="s">
        <v>36</v>
      </c>
      <c r="I1027" s="3">
        <v>6</v>
      </c>
      <c r="J1027" s="3"/>
      <c r="K1027" s="26">
        <v>6</v>
      </c>
      <c r="L1027" s="2">
        <v>61593.833299999998</v>
      </c>
      <c r="M1027" s="2">
        <v>369563</v>
      </c>
      <c r="N1027" s="2">
        <v>369563</v>
      </c>
      <c r="O1027" s="2">
        <v>55858.301899999999</v>
      </c>
      <c r="P1027" s="2">
        <v>-5735.5313999999998</v>
      </c>
      <c r="Q1027" s="2">
        <v>-34413.188699999999</v>
      </c>
      <c r="R1027" s="4">
        <v>-0.10268001805597644</v>
      </c>
      <c r="T1027">
        <v>313349</v>
      </c>
      <c r="U1027" s="2"/>
      <c r="V1027">
        <v>6045</v>
      </c>
      <c r="W1027" s="2">
        <v>6579000000</v>
      </c>
      <c r="X1027" s="6">
        <v>335149.81132199999</v>
      </c>
      <c r="Y1027" s="38">
        <v>10010</v>
      </c>
      <c r="Z1027" s="86">
        <f>+((DETALLE_GD_1[[#This Row],[VALOR X UN (GD)]]-DETALLE_GD_1[[#This Row],[VALOR PPTO]])/DETALLE_GD_1[[#This Row],[VALOR PPTO]])</f>
        <v>0.10268001720259956</v>
      </c>
      <c r="AA1027" s="2">
        <f>+DETALLE_GD_1[[#This Row],[VALOR PPTO]]*DETALLE_GD_1[[#This Row],[CANTIDAD RECIBIDA]]</f>
        <v>335149.81140000001</v>
      </c>
      <c r="AB1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7" s="3">
        <f>+DETALLE_GD_1[[#This Row],[CANTIDAD SOLICITADA]]-DETALLE_GD_1[[#This Row],[DEVOLUCIÓN]]</f>
        <v>6</v>
      </c>
      <c r="AD1027" s="38">
        <f>+_xlfn.XLOOKUP(DETALLE_GD_1[[#This Row],[CODIGO]],PRODUCTOS[CODIGO],PRODUCTOS[DESC CORTA],"",0)</f>
        <v>0</v>
      </c>
    </row>
    <row r="1028" spans="1:30" x14ac:dyDescent="0.25">
      <c r="A1028" s="1">
        <v>46135</v>
      </c>
      <c r="B1028" s="1">
        <v>46135</v>
      </c>
      <c r="C1028" s="81" t="s">
        <v>169</v>
      </c>
      <c r="D1028" s="38">
        <v>4</v>
      </c>
      <c r="E1028" s="81" t="s">
        <v>169</v>
      </c>
      <c r="F1028" t="s">
        <v>760</v>
      </c>
      <c r="G1028" s="81" t="s">
        <v>226</v>
      </c>
      <c r="H1028" s="81" t="s">
        <v>36</v>
      </c>
      <c r="I1028" s="3">
        <v>3</v>
      </c>
      <c r="J1028" s="3"/>
      <c r="K1028" s="26">
        <v>3</v>
      </c>
      <c r="L1028" s="2">
        <v>49030.666700000002</v>
      </c>
      <c r="M1028" s="2">
        <v>147092</v>
      </c>
      <c r="N1028" s="2">
        <v>147092</v>
      </c>
      <c r="O1028" s="2">
        <v>49030.713300000003</v>
      </c>
      <c r="P1028" s="2">
        <v>4.6600000000000003E-2</v>
      </c>
      <c r="Q1028" s="2">
        <v>0.1399</v>
      </c>
      <c r="R1028" s="4">
        <v>9.511657122270364E-7</v>
      </c>
      <c r="T1028">
        <v>313349</v>
      </c>
      <c r="U1028" s="2"/>
      <c r="V1028">
        <v>6045</v>
      </c>
      <c r="W1028" s="2">
        <v>6579000000</v>
      </c>
      <c r="X1028" s="6">
        <v>147092.13990900002</v>
      </c>
      <c r="Y1028" s="38">
        <v>10010</v>
      </c>
      <c r="Z1028" s="86">
        <f>+((DETALLE_GD_1[[#This Row],[VALOR X UN (GD)]]-DETALLE_GD_1[[#This Row],[VALOR PPTO]])/DETALLE_GD_1[[#This Row],[VALOR PPTO]])</f>
        <v>-9.504246800645691E-7</v>
      </c>
      <c r="AA1028" s="2">
        <f>+DETALLE_GD_1[[#This Row],[VALOR PPTO]]*DETALLE_GD_1[[#This Row],[CANTIDAD RECIBIDA]]</f>
        <v>147092.13990000001</v>
      </c>
      <c r="AB1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8" s="3">
        <f>+DETALLE_GD_1[[#This Row],[CANTIDAD SOLICITADA]]-DETALLE_GD_1[[#This Row],[DEVOLUCIÓN]]</f>
        <v>3</v>
      </c>
      <c r="AD1028" s="38">
        <f>+_xlfn.XLOOKUP(DETALLE_GD_1[[#This Row],[CODIGO]],PRODUCTOS[CODIGO],PRODUCTOS[DESC CORTA],"",0)</f>
        <v>0</v>
      </c>
    </row>
    <row r="1029" spans="1:30" x14ac:dyDescent="0.25">
      <c r="A1029" s="1">
        <v>46135</v>
      </c>
      <c r="B1029" s="1">
        <v>46135</v>
      </c>
      <c r="C1029" s="81" t="s">
        <v>169</v>
      </c>
      <c r="D1029" s="38">
        <v>4</v>
      </c>
      <c r="E1029" s="81" t="s">
        <v>169</v>
      </c>
      <c r="F1029">
        <v>412313</v>
      </c>
      <c r="G1029" s="81" t="s">
        <v>253</v>
      </c>
      <c r="H1029" s="81" t="s">
        <v>36</v>
      </c>
      <c r="I1029" s="3">
        <v>6</v>
      </c>
      <c r="J1029" s="3"/>
      <c r="K1029" s="26">
        <v>6</v>
      </c>
      <c r="L1029" s="2">
        <v>23724</v>
      </c>
      <c r="M1029" s="2">
        <v>142344</v>
      </c>
      <c r="N1029" s="2">
        <v>142344</v>
      </c>
      <c r="O1029" s="2">
        <v>23724.0674</v>
      </c>
      <c r="P1029" s="2">
        <v>6.7400000000000002E-2</v>
      </c>
      <c r="Q1029" s="2">
        <v>0.40429999999999999</v>
      </c>
      <c r="R1029" s="4">
        <v>2.8403645506871342E-6</v>
      </c>
      <c r="T1029">
        <v>313349</v>
      </c>
      <c r="U1029" s="2"/>
      <c r="V1029">
        <v>6045</v>
      </c>
      <c r="W1029" s="2">
        <v>6579000000</v>
      </c>
      <c r="X1029" s="6">
        <v>142344.40430999998</v>
      </c>
      <c r="Y1029" s="38">
        <v>10010</v>
      </c>
      <c r="Z1029" s="86">
        <f>+((DETALLE_GD_1[[#This Row],[VALOR X UN (GD)]]-DETALLE_GD_1[[#This Row],[VALOR PPTO]])/DETALLE_GD_1[[#This Row],[VALOR PPTO]])</f>
        <v>-2.8409968182735337E-6</v>
      </c>
      <c r="AA1029" s="2">
        <f>+DETALLE_GD_1[[#This Row],[VALOR PPTO]]*DETALLE_GD_1[[#This Row],[CANTIDAD RECIBIDA]]</f>
        <v>142344.4044</v>
      </c>
      <c r="AB1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9" s="3">
        <f>+DETALLE_GD_1[[#This Row],[CANTIDAD SOLICITADA]]-DETALLE_GD_1[[#This Row],[DEVOLUCIÓN]]</f>
        <v>6</v>
      </c>
      <c r="AD1029" s="38">
        <f>+_xlfn.XLOOKUP(DETALLE_GD_1[[#This Row],[CODIGO]],PRODUCTOS[CODIGO],PRODUCTOS[DESC CORTA],"",0)</f>
        <v>0</v>
      </c>
    </row>
    <row r="1030" spans="1:30" x14ac:dyDescent="0.25">
      <c r="A1030" s="1">
        <v>46135</v>
      </c>
      <c r="B1030" s="1">
        <v>46135</v>
      </c>
      <c r="C1030" s="81" t="s">
        <v>169</v>
      </c>
      <c r="D1030" s="38">
        <v>4</v>
      </c>
      <c r="E1030" s="81" t="s">
        <v>169</v>
      </c>
      <c r="F1030">
        <v>407011</v>
      </c>
      <c r="G1030" s="81" t="s">
        <v>30</v>
      </c>
      <c r="H1030" s="81" t="s">
        <v>31</v>
      </c>
      <c r="I1030" s="3">
        <v>4000</v>
      </c>
      <c r="J1030" s="3"/>
      <c r="K1030" s="26">
        <v>4000</v>
      </c>
      <c r="L1030" s="2">
        <v>473.17529999999999</v>
      </c>
      <c r="M1030" s="2">
        <v>1892701</v>
      </c>
      <c r="N1030" s="2">
        <v>1892701</v>
      </c>
      <c r="O1030" s="2">
        <v>473.17520000000002</v>
      </c>
      <c r="P1030" s="2">
        <v>0</v>
      </c>
      <c r="Q1030" s="2">
        <v>-0.04</v>
      </c>
      <c r="R1030" s="4">
        <v>-2.1133819445918739E-8</v>
      </c>
      <c r="T1030">
        <v>313349</v>
      </c>
      <c r="U1030" s="2"/>
      <c r="V1030">
        <v>6045</v>
      </c>
      <c r="W1030" s="2">
        <v>6579000000</v>
      </c>
      <c r="X1030" s="6">
        <v>1892700.9599999995</v>
      </c>
      <c r="Y1030" s="38">
        <v>10010</v>
      </c>
      <c r="Z1030" s="86">
        <f>+((DETALLE_GD_1[[#This Row],[VALOR X UN (GD)]]-DETALLE_GD_1[[#This Row],[VALOR PPTO]])/DETALLE_GD_1[[#This Row],[VALOR PPTO]])</f>
        <v>2.1133821040261184E-7</v>
      </c>
      <c r="AA1030" s="2">
        <f>+DETALLE_GD_1[[#This Row],[VALOR PPTO]]*DETALLE_GD_1[[#This Row],[CANTIDAD RECIBIDA]]</f>
        <v>1892700.8</v>
      </c>
      <c r="AB1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0" s="3">
        <f>+DETALLE_GD_1[[#This Row],[CANTIDAD SOLICITADA]]-DETALLE_GD_1[[#This Row],[DEVOLUCIÓN]]</f>
        <v>4000</v>
      </c>
      <c r="AD1030" s="38" t="str">
        <f>+_xlfn.XLOOKUP(DETALLE_GD_1[[#This Row],[CODIGO]],PRODUCTOS[CODIGO],PRODUCTOS[DESC CORTA],"",0)</f>
        <v>TORNILLO SIMPSON 6"</v>
      </c>
    </row>
    <row r="1031" spans="1:30" x14ac:dyDescent="0.25">
      <c r="A1031" s="1">
        <v>46135</v>
      </c>
      <c r="B1031" s="1">
        <v>46135</v>
      </c>
      <c r="C1031" s="81" t="s">
        <v>169</v>
      </c>
      <c r="D1031" s="38">
        <v>4</v>
      </c>
      <c r="E1031" s="81" t="s">
        <v>169</v>
      </c>
      <c r="F1031">
        <v>302054</v>
      </c>
      <c r="G1031" s="81" t="s">
        <v>356</v>
      </c>
      <c r="H1031" s="81" t="s">
        <v>20</v>
      </c>
      <c r="I1031" s="3">
        <v>1296</v>
      </c>
      <c r="J1031" s="3"/>
      <c r="K1031" s="26">
        <v>1296</v>
      </c>
      <c r="L1031" s="2">
        <v>5239.2785000000003</v>
      </c>
      <c r="M1031" s="2">
        <v>6790105</v>
      </c>
      <c r="N1031" s="2">
        <v>6790105</v>
      </c>
      <c r="O1031" s="2">
        <v>5713</v>
      </c>
      <c r="P1031" s="2">
        <v>473.72149999999999</v>
      </c>
      <c r="Q1031" s="2">
        <v>613943</v>
      </c>
      <c r="R1031" s="4">
        <v>8.2919910837963254E-2</v>
      </c>
      <c r="T1031">
        <v>313349</v>
      </c>
      <c r="U1031" s="2"/>
      <c r="V1031">
        <v>6045</v>
      </c>
      <c r="W1031" s="2">
        <v>6579000000</v>
      </c>
      <c r="X1031" s="6">
        <v>7404048</v>
      </c>
      <c r="Y1031" s="38">
        <v>10010</v>
      </c>
      <c r="Z1031" s="86">
        <f>+((DETALLE_GD_1[[#This Row],[VALOR X UN (GD)]]-DETALLE_GD_1[[#This Row],[VALOR PPTO]])/DETALLE_GD_1[[#This Row],[VALOR PPTO]])</f>
        <v>-8.2919919481883361E-2</v>
      </c>
      <c r="AA1031" s="2">
        <f>+DETALLE_GD_1[[#This Row],[VALOR PPTO]]*DETALLE_GD_1[[#This Row],[CANTIDAD RECIBIDA]]</f>
        <v>7404048</v>
      </c>
      <c r="AB10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1" s="3">
        <f>+DETALLE_GD_1[[#This Row],[CANTIDAD SOLICITADA]]-DETALLE_GD_1[[#This Row],[DEVOLUCIÓN]]</f>
        <v>1296</v>
      </c>
      <c r="AD1031" s="38">
        <f>+_xlfn.XLOOKUP(DETALLE_GD_1[[#This Row],[CODIGO]],PRODUCTOS[CODIGO],PRODUCTOS[DESC CORTA],"",0)</f>
        <v>0</v>
      </c>
    </row>
    <row r="1032" spans="1:30" x14ac:dyDescent="0.25">
      <c r="A1032" s="1">
        <v>46135</v>
      </c>
      <c r="B1032" s="1">
        <v>46135</v>
      </c>
      <c r="C1032" s="81" t="s">
        <v>169</v>
      </c>
      <c r="D1032" s="38">
        <v>4</v>
      </c>
      <c r="E1032" s="81" t="s">
        <v>169</v>
      </c>
      <c r="F1032">
        <v>701096</v>
      </c>
      <c r="G1032" s="81" t="s">
        <v>204</v>
      </c>
      <c r="H1032" s="81" t="s">
        <v>18</v>
      </c>
      <c r="I1032" s="3">
        <v>140</v>
      </c>
      <c r="J1032" s="3"/>
      <c r="K1032" s="26">
        <v>140</v>
      </c>
      <c r="L1032" s="2">
        <v>16352.821400000001</v>
      </c>
      <c r="M1032" s="2">
        <v>2289395</v>
      </c>
      <c r="N1032" s="2">
        <v>2289395</v>
      </c>
      <c r="O1032" s="2">
        <v>16019.885700000001</v>
      </c>
      <c r="P1032" s="2">
        <v>-332.9357</v>
      </c>
      <c r="Q1032" s="2">
        <v>-46611.004099999998</v>
      </c>
      <c r="R1032" s="4">
        <v>-2.0782654141107023E-2</v>
      </c>
      <c r="T1032">
        <v>313354</v>
      </c>
      <c r="U1032" s="2">
        <v>6899890</v>
      </c>
      <c r="V1032">
        <v>6045</v>
      </c>
      <c r="W1032" s="2">
        <v>6579000000</v>
      </c>
      <c r="X1032" s="6">
        <v>2242783.9959000004</v>
      </c>
      <c r="Y1032" s="38">
        <v>10010</v>
      </c>
      <c r="Z1032" s="86">
        <f>+((DETALLE_GD_1[[#This Row],[VALOR X UN (GD)]]-DETALLE_GD_1[[#This Row],[VALOR PPTO]])/DETALLE_GD_1[[#This Row],[VALOR PPTO]])</f>
        <v>2.0782651401813682E-2</v>
      </c>
      <c r="AA1032" s="2">
        <f>+DETALLE_GD_1[[#This Row],[VALOR PPTO]]*DETALLE_GD_1[[#This Row],[CANTIDAD RECIBIDA]]</f>
        <v>2242783.9980000001</v>
      </c>
      <c r="AB1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2" s="3">
        <f>+DETALLE_GD_1[[#This Row],[CANTIDAD SOLICITADA]]-DETALLE_GD_1[[#This Row],[DEVOLUCIÓN]]</f>
        <v>140</v>
      </c>
      <c r="AD1032" s="38" t="str">
        <f>+_xlfn.XLOOKUP(DETALLE_GD_1[[#This Row],[CODIGO]],PRODUCTOS[CODIGO],PRODUCTOS[DESC CORTA],"",0)</f>
        <v>VOCANITA EMPAPELADA MURO</v>
      </c>
    </row>
    <row r="1033" spans="1:30" x14ac:dyDescent="0.25">
      <c r="A1033" s="1">
        <v>46135</v>
      </c>
      <c r="B1033" s="1">
        <v>46135</v>
      </c>
      <c r="C1033" s="81" t="s">
        <v>169</v>
      </c>
      <c r="D1033" s="38">
        <v>4</v>
      </c>
      <c r="E1033" s="81" t="s">
        <v>169</v>
      </c>
      <c r="F1033">
        <v>701043</v>
      </c>
      <c r="G1033" s="81" t="s">
        <v>197</v>
      </c>
      <c r="H1033" s="81" t="s">
        <v>18</v>
      </c>
      <c r="I1033" s="3">
        <v>80</v>
      </c>
      <c r="J1033" s="3"/>
      <c r="K1033" s="26">
        <v>80</v>
      </c>
      <c r="L1033" s="2">
        <v>22739.125</v>
      </c>
      <c r="M1033" s="2">
        <v>1819130</v>
      </c>
      <c r="N1033" s="2">
        <v>1819130</v>
      </c>
      <c r="O1033" s="2">
        <v>22146.362799999999</v>
      </c>
      <c r="P1033" s="2">
        <v>-592.76220000000001</v>
      </c>
      <c r="Q1033" s="2">
        <v>-47420.978199999998</v>
      </c>
      <c r="R1033" s="4">
        <v>-2.6765669564007971E-2</v>
      </c>
      <c r="T1033">
        <v>313354</v>
      </c>
      <c r="U1033" s="2"/>
      <c r="V1033">
        <v>6045</v>
      </c>
      <c r="W1033" s="2">
        <v>6579000000</v>
      </c>
      <c r="X1033" s="6">
        <v>1771709.0217599999</v>
      </c>
      <c r="Y1033" s="38">
        <v>10010</v>
      </c>
      <c r="Z1033" s="86">
        <f>+((DETALLE_GD_1[[#This Row],[VALOR X UN (GD)]]-DETALLE_GD_1[[#This Row],[VALOR PPTO]])/DETALLE_GD_1[[#This Row],[VALOR PPTO]])</f>
        <v>2.6765668265851812E-2</v>
      </c>
      <c r="AA1033" s="2">
        <f>+DETALLE_GD_1[[#This Row],[VALOR PPTO]]*DETALLE_GD_1[[#This Row],[CANTIDAD RECIBIDA]]</f>
        <v>1771709.024</v>
      </c>
      <c r="AB1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3" s="3">
        <f>+DETALLE_GD_1[[#This Row],[CANTIDAD SOLICITADA]]-DETALLE_GD_1[[#This Row],[DEVOLUCIÓN]]</f>
        <v>80</v>
      </c>
      <c r="AD1033" s="38" t="str">
        <f>+_xlfn.XLOOKUP(DETALLE_GD_1[[#This Row],[CODIGO]],PRODUCTOS[CODIGO],PRODUCTOS[DESC CORTA],"",0)</f>
        <v>VOLCANITA EMPAPELADA CIELO</v>
      </c>
    </row>
    <row r="1034" spans="1:30" x14ac:dyDescent="0.25">
      <c r="A1034" s="1">
        <v>46135</v>
      </c>
      <c r="B1034" s="1">
        <v>46135</v>
      </c>
      <c r="C1034" s="81" t="s">
        <v>169</v>
      </c>
      <c r="D1034" s="38">
        <v>4</v>
      </c>
      <c r="E1034" s="81" t="s">
        <v>169</v>
      </c>
      <c r="F1034">
        <v>701040</v>
      </c>
      <c r="G1034" s="81" t="s">
        <v>19</v>
      </c>
      <c r="H1034" s="81" t="s">
        <v>18</v>
      </c>
      <c r="I1034" s="3">
        <v>120</v>
      </c>
      <c r="J1034" s="3"/>
      <c r="K1034" s="26">
        <v>120</v>
      </c>
      <c r="L1034" s="2">
        <v>7885.8</v>
      </c>
      <c r="M1034" s="2">
        <v>946296</v>
      </c>
      <c r="N1034" s="2">
        <v>946296</v>
      </c>
      <c r="O1034" s="2">
        <v>7835.7259999999997</v>
      </c>
      <c r="P1034" s="2">
        <v>-50.073999999999998</v>
      </c>
      <c r="Q1034" s="2">
        <v>-6008.8855000000003</v>
      </c>
      <c r="R1034" s="4">
        <v>-6.3904794902175655E-3</v>
      </c>
      <c r="T1034">
        <v>313354</v>
      </c>
      <c r="U1034" s="2"/>
      <c r="V1034">
        <v>6045</v>
      </c>
      <c r="W1034" s="2">
        <v>6579000000</v>
      </c>
      <c r="X1034" s="6">
        <v>940287.11447999964</v>
      </c>
      <c r="Y1034" s="38">
        <v>10010</v>
      </c>
      <c r="Z1034" s="86">
        <f>+((DETALLE_GD_1[[#This Row],[VALOR X UN (GD)]]-DETALLE_GD_1[[#This Row],[VALOR PPTO]])/DETALLE_GD_1[[#This Row],[VALOR PPTO]])</f>
        <v>6.39047358215442E-3</v>
      </c>
      <c r="AA1034" s="2">
        <f>+DETALLE_GD_1[[#This Row],[VALOR PPTO]]*DETALLE_GD_1[[#This Row],[CANTIDAD RECIBIDA]]</f>
        <v>940287.12</v>
      </c>
      <c r="AB1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34" s="3">
        <f>+DETALLE_GD_1[[#This Row],[CANTIDAD SOLICITADA]]-DETALLE_GD_1[[#This Row],[DEVOLUCIÓN]]</f>
        <v>120</v>
      </c>
      <c r="AD1034" s="38" t="str">
        <f>+_xlfn.XLOOKUP(DETALLE_GD_1[[#This Row],[CODIGO]],PRODUCTOS[CODIGO],PRODUCTOS[DESC CORTA],"",0)</f>
        <v>VOLCANITA RF</v>
      </c>
    </row>
    <row r="1035" spans="1:30" x14ac:dyDescent="0.25">
      <c r="A1035" s="1">
        <v>46135</v>
      </c>
      <c r="B1035" s="1">
        <v>46135</v>
      </c>
      <c r="C1035" s="81" t="s">
        <v>169</v>
      </c>
      <c r="D1035" s="38">
        <v>4</v>
      </c>
      <c r="E1035" s="81" t="s">
        <v>169</v>
      </c>
      <c r="F1035">
        <v>408088</v>
      </c>
      <c r="G1035" s="81" t="s">
        <v>109</v>
      </c>
      <c r="H1035" s="81" t="s">
        <v>36</v>
      </c>
      <c r="I1035" s="3">
        <v>1</v>
      </c>
      <c r="J1035" s="3"/>
      <c r="K1035" s="26">
        <v>1</v>
      </c>
      <c r="L1035" s="2">
        <v>17500</v>
      </c>
      <c r="M1035" s="2">
        <v>17500</v>
      </c>
      <c r="N1035" s="2">
        <v>17500</v>
      </c>
      <c r="O1035" s="2">
        <v>17500.092700000001</v>
      </c>
      <c r="P1035" s="2">
        <v>9.2700000000000005E-2</v>
      </c>
      <c r="Q1035" s="2">
        <v>9.2700000000000005E-2</v>
      </c>
      <c r="R1035" s="4">
        <v>5.2979719312796486E-6</v>
      </c>
      <c r="T1035">
        <v>313354</v>
      </c>
      <c r="U1035" s="2"/>
      <c r="V1035">
        <v>6045</v>
      </c>
      <c r="W1035" s="2">
        <v>6579000000</v>
      </c>
      <c r="X1035" s="6">
        <v>17500.092714999999</v>
      </c>
      <c r="Y1035" s="38">
        <v>10010</v>
      </c>
      <c r="Z1035" s="86">
        <f>+((DETALLE_GD_1[[#This Row],[VALOR X UN (GD)]]-DETALLE_GD_1[[#This Row],[VALOR PPTO]])/DETALLE_GD_1[[#This Row],[VALOR PPTO]])</f>
        <v>-5.2971147976295791E-6</v>
      </c>
      <c r="AA1035" s="2">
        <f>+DETALLE_GD_1[[#This Row],[VALOR PPTO]]*DETALLE_GD_1[[#This Row],[CANTIDAD RECIBIDA]]</f>
        <v>17500.092700000001</v>
      </c>
      <c r="AB1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35" s="3">
        <f>+DETALLE_GD_1[[#This Row],[CANTIDAD SOLICITADA]]-DETALLE_GD_1[[#This Row],[DEVOLUCIÓN]]</f>
        <v>1</v>
      </c>
      <c r="AD1035" s="38" t="str">
        <f>+_xlfn.XLOOKUP(DETALLE_GD_1[[#This Row],[CODIGO]],PRODUCTOS[CODIGO],PRODUCTOS[DESC CORTA],"",0)</f>
        <v>GRAPA T50</v>
      </c>
    </row>
    <row r="1036" spans="1:30" x14ac:dyDescent="0.25">
      <c r="A1036" s="1">
        <v>46135</v>
      </c>
      <c r="B1036" s="1">
        <v>46135</v>
      </c>
      <c r="C1036" s="81" t="s">
        <v>169</v>
      </c>
      <c r="D1036" s="38">
        <v>4</v>
      </c>
      <c r="E1036" s="81" t="s">
        <v>169</v>
      </c>
      <c r="F1036">
        <v>408014</v>
      </c>
      <c r="G1036" s="81" t="s">
        <v>108</v>
      </c>
      <c r="H1036" s="81" t="s">
        <v>36</v>
      </c>
      <c r="I1036" s="3">
        <v>1</v>
      </c>
      <c r="J1036" s="3"/>
      <c r="K1036" s="26">
        <v>1</v>
      </c>
      <c r="L1036" s="2">
        <v>16182</v>
      </c>
      <c r="M1036" s="2">
        <v>16182</v>
      </c>
      <c r="N1036" s="2">
        <v>16182</v>
      </c>
      <c r="O1036" s="2">
        <v>16182.1068</v>
      </c>
      <c r="P1036" s="2">
        <v>0.10680000000000001</v>
      </c>
      <c r="Q1036" s="2">
        <v>0.10680000000000001</v>
      </c>
      <c r="R1036" s="4">
        <v>6.5975340279806539E-6</v>
      </c>
      <c r="T1036">
        <v>313354</v>
      </c>
      <c r="U1036" s="2"/>
      <c r="V1036">
        <v>6045</v>
      </c>
      <c r="W1036" s="2">
        <v>6579000000</v>
      </c>
      <c r="X1036" s="6">
        <v>16182.106762000009</v>
      </c>
      <c r="Y1036" s="38">
        <v>10010</v>
      </c>
      <c r="Z1036" s="86">
        <f>+((DETALLE_GD_1[[#This Row],[VALOR X UN (GD)]]-DETALLE_GD_1[[#This Row],[VALOR PPTO]])/DETALLE_GD_1[[#This Row],[VALOR PPTO]])</f>
        <v>-6.5998822847693946E-6</v>
      </c>
      <c r="AA1036" s="2">
        <f>+DETALLE_GD_1[[#This Row],[VALOR PPTO]]*DETALLE_GD_1[[#This Row],[CANTIDAD RECIBIDA]]</f>
        <v>16182.1068</v>
      </c>
      <c r="AB10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36" s="3">
        <f>+DETALLE_GD_1[[#This Row],[CANTIDAD SOLICITADA]]-DETALLE_GD_1[[#This Row],[DEVOLUCIÓN]]</f>
        <v>1</v>
      </c>
      <c r="AD1036" s="38" t="str">
        <f>+_xlfn.XLOOKUP(DETALLE_GD_1[[#This Row],[CODIGO]],PRODUCTOS[CODIGO],PRODUCTOS[DESC CORTA],"",0)</f>
        <v>GRAPA T40</v>
      </c>
    </row>
    <row r="1037" spans="1:30" x14ac:dyDescent="0.25">
      <c r="A1037" s="1">
        <v>46135</v>
      </c>
      <c r="B1037" s="1">
        <v>46135</v>
      </c>
      <c r="C1037" s="81" t="s">
        <v>169</v>
      </c>
      <c r="D1037" s="38">
        <v>4</v>
      </c>
      <c r="E1037" s="81" t="s">
        <v>169</v>
      </c>
      <c r="F1037">
        <v>1901505</v>
      </c>
      <c r="G1037" s="81" t="s">
        <v>27</v>
      </c>
      <c r="H1037" s="81" t="s">
        <v>28</v>
      </c>
      <c r="I1037" s="3">
        <v>47</v>
      </c>
      <c r="J1037" s="3"/>
      <c r="K1037" s="26">
        <v>47</v>
      </c>
      <c r="L1037" s="2">
        <v>1895</v>
      </c>
      <c r="M1037" s="2">
        <v>89065</v>
      </c>
      <c r="N1037" s="2">
        <v>89065</v>
      </c>
      <c r="O1037" s="2">
        <v>1895</v>
      </c>
      <c r="P1037" s="2">
        <v>0</v>
      </c>
      <c r="Q1037" s="2">
        <v>0</v>
      </c>
      <c r="R1037" s="4">
        <v>0</v>
      </c>
      <c r="T1037">
        <v>313354</v>
      </c>
      <c r="U1037" s="2"/>
      <c r="V1037">
        <v>6045</v>
      </c>
      <c r="W1037" s="2">
        <v>6579000000</v>
      </c>
      <c r="X1037" s="6">
        <v>89065</v>
      </c>
      <c r="Y1037" s="38">
        <v>10010</v>
      </c>
      <c r="Z1037" s="86">
        <f>+((DETALLE_GD_1[[#This Row],[VALOR X UN (GD)]]-DETALLE_GD_1[[#This Row],[VALOR PPTO]])/DETALLE_GD_1[[#This Row],[VALOR PPTO]])</f>
        <v>0</v>
      </c>
      <c r="AA1037" s="2">
        <f>+DETALLE_GD_1[[#This Row],[VALOR PPTO]]*DETALLE_GD_1[[#This Row],[CANTIDAD RECIBIDA]]</f>
        <v>89065</v>
      </c>
      <c r="AB1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37" s="3">
        <f>+DETALLE_GD_1[[#This Row],[CANTIDAD SOLICITADA]]-DETALLE_GD_1[[#This Row],[DEVOLUCIÓN]]</f>
        <v>47</v>
      </c>
      <c r="AD1037" s="38" t="str">
        <f>+_xlfn.XLOOKUP(DETALLE_GD_1[[#This Row],[CODIGO]],PRODUCTOS[CODIGO],PRODUCTOS[DESC CORTA],"",0)</f>
        <v>POLIETILENO</v>
      </c>
    </row>
    <row r="1038" spans="1:30" x14ac:dyDescent="0.25">
      <c r="A1038" s="1">
        <v>46135</v>
      </c>
      <c r="B1038" s="1">
        <v>46135</v>
      </c>
      <c r="C1038" s="81" t="s">
        <v>169</v>
      </c>
      <c r="D1038" s="38">
        <v>4</v>
      </c>
      <c r="E1038" s="81" t="s">
        <v>169</v>
      </c>
      <c r="F1038">
        <v>1901086</v>
      </c>
      <c r="G1038" s="81" t="s">
        <v>279</v>
      </c>
      <c r="H1038" s="81" t="s">
        <v>26</v>
      </c>
      <c r="I1038" s="3">
        <v>121</v>
      </c>
      <c r="J1038" s="3"/>
      <c r="K1038" s="26">
        <v>121</v>
      </c>
      <c r="L1038" s="2">
        <v>3614.8182000000002</v>
      </c>
      <c r="M1038" s="2">
        <v>437393</v>
      </c>
      <c r="N1038" s="2">
        <v>437393</v>
      </c>
      <c r="O1038" s="2">
        <v>3711.587</v>
      </c>
      <c r="P1038" s="2">
        <v>96.768900000000002</v>
      </c>
      <c r="Q1038" s="2">
        <v>11709.031999999999</v>
      </c>
      <c r="R1038" s="4">
        <v>2.6072097491682732E-2</v>
      </c>
      <c r="T1038">
        <v>313354</v>
      </c>
      <c r="U1038" s="2"/>
      <c r="V1038">
        <v>6045</v>
      </c>
      <c r="W1038" s="2">
        <v>6579000000</v>
      </c>
      <c r="X1038" s="6">
        <v>449102.031961</v>
      </c>
      <c r="Y1038" s="38">
        <v>10010</v>
      </c>
      <c r="Z1038" s="86">
        <f>+((DETALLE_GD_1[[#This Row],[VALOR X UN (GD)]]-DETALLE_GD_1[[#This Row],[VALOR PPTO]])/DETALLE_GD_1[[#This Row],[VALOR PPTO]])</f>
        <v>-2.6072081834535962E-2</v>
      </c>
      <c r="AA1038" s="2">
        <f>+DETALLE_GD_1[[#This Row],[VALOR PPTO]]*DETALLE_GD_1[[#This Row],[CANTIDAD RECIBIDA]]</f>
        <v>449102.027</v>
      </c>
      <c r="AB10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8" s="3">
        <f>+DETALLE_GD_1[[#This Row],[CANTIDAD SOLICITADA]]-DETALLE_GD_1[[#This Row],[DEVOLUCIÓN]]</f>
        <v>121</v>
      </c>
      <c r="AD1038" s="38" t="str">
        <f>+_xlfn.XLOOKUP(DETALLE_GD_1[[#This Row],[CODIGO]],PRODUCTOS[CODIGO],PRODUCTOS[DESC CORTA],"",0)</f>
        <v>AISLAN GLASS 140MM</v>
      </c>
    </row>
    <row r="1039" spans="1:30" x14ac:dyDescent="0.25">
      <c r="A1039" s="1">
        <v>46135</v>
      </c>
      <c r="B1039" s="1">
        <v>46135</v>
      </c>
      <c r="C1039" s="81" t="s">
        <v>169</v>
      </c>
      <c r="D1039" s="38">
        <v>4</v>
      </c>
      <c r="E1039" s="81" t="s">
        <v>169</v>
      </c>
      <c r="F1039">
        <v>1901038</v>
      </c>
      <c r="G1039" s="81" t="s">
        <v>39</v>
      </c>
      <c r="H1039" s="81" t="s">
        <v>26</v>
      </c>
      <c r="I1039" s="3">
        <v>162</v>
      </c>
      <c r="J1039" s="3"/>
      <c r="K1039" s="26">
        <v>162</v>
      </c>
      <c r="L1039" s="2">
        <v>4277.2469000000001</v>
      </c>
      <c r="M1039" s="2">
        <v>692914</v>
      </c>
      <c r="N1039" s="2">
        <v>692914</v>
      </c>
      <c r="O1039" s="2">
        <v>4197.4179000000004</v>
      </c>
      <c r="P1039" s="2">
        <v>-79.828999999999994</v>
      </c>
      <c r="Q1039" s="2">
        <v>-12932.3042</v>
      </c>
      <c r="R1039" s="4">
        <v>-1.9018606428421337E-2</v>
      </c>
      <c r="T1039">
        <v>313354</v>
      </c>
      <c r="U1039" s="2"/>
      <c r="V1039">
        <v>6045</v>
      </c>
      <c r="W1039" s="2">
        <v>6579000000</v>
      </c>
      <c r="X1039" s="6">
        <v>679981.69575000019</v>
      </c>
      <c r="Y1039" s="38">
        <v>10010</v>
      </c>
      <c r="Z1039" s="86">
        <f>+((DETALLE_GD_1[[#This Row],[VALOR X UN (GD)]]-DETALLE_GD_1[[#This Row],[VALOR PPTO]])/DETALLE_GD_1[[#This Row],[VALOR PPTO]])</f>
        <v>1.9018597123722114E-2</v>
      </c>
      <c r="AA1039" s="2">
        <f>+DETALLE_GD_1[[#This Row],[VALOR PPTO]]*DETALLE_GD_1[[#This Row],[CANTIDAD RECIBIDA]]</f>
        <v>679981.69980000006</v>
      </c>
      <c r="AB10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9" s="3">
        <f>+DETALLE_GD_1[[#This Row],[CANTIDAD SOLICITADA]]-DETALLE_GD_1[[#This Row],[DEVOLUCIÓN]]</f>
        <v>162</v>
      </c>
      <c r="AD1039" s="38" t="str">
        <f>+_xlfn.XLOOKUP(DETALLE_GD_1[[#This Row],[CODIGO]],PRODUCTOS[CODIGO],PRODUCTOS[DESC CORTA],"",0)</f>
        <v>AISLAN ROCA 90MM</v>
      </c>
    </row>
    <row r="1040" spans="1:30" x14ac:dyDescent="0.25">
      <c r="A1040" s="1">
        <v>46135</v>
      </c>
      <c r="B1040" s="1">
        <v>46135</v>
      </c>
      <c r="C1040" s="81" t="s">
        <v>169</v>
      </c>
      <c r="D1040" s="38">
        <v>4</v>
      </c>
      <c r="E1040" s="81" t="s">
        <v>169</v>
      </c>
      <c r="F1040">
        <v>1901008</v>
      </c>
      <c r="G1040" s="81" t="s">
        <v>278</v>
      </c>
      <c r="H1040" s="81" t="s">
        <v>26</v>
      </c>
      <c r="I1040" s="3">
        <v>202</v>
      </c>
      <c r="J1040" s="3"/>
      <c r="K1040" s="26">
        <v>202</v>
      </c>
      <c r="L1040" s="2">
        <v>2041.6683</v>
      </c>
      <c r="M1040" s="2">
        <v>412417</v>
      </c>
      <c r="N1040" s="2">
        <v>412417</v>
      </c>
      <c r="O1040" s="2">
        <v>2112.7957999999999</v>
      </c>
      <c r="P1040" s="2">
        <v>71.127499999999998</v>
      </c>
      <c r="Q1040" s="2">
        <v>14367.7474</v>
      </c>
      <c r="R1040" s="4">
        <v>3.3665091001829822E-2</v>
      </c>
      <c r="T1040">
        <v>313354</v>
      </c>
      <c r="U1040" s="2"/>
      <c r="V1040">
        <v>6045</v>
      </c>
      <c r="W1040" s="2">
        <v>6579000000</v>
      </c>
      <c r="X1040" s="6">
        <v>426784.74735800002</v>
      </c>
      <c r="Y1040" s="38">
        <v>10010</v>
      </c>
      <c r="Z1040" s="86">
        <f>+((DETALLE_GD_1[[#This Row],[VALOR X UN (GD)]]-DETALLE_GD_1[[#This Row],[VALOR PPTO]])/DETALLE_GD_1[[#This Row],[VALOR PPTO]])</f>
        <v>-3.3665108573199466E-2</v>
      </c>
      <c r="AA1040" s="2">
        <f>+DETALLE_GD_1[[#This Row],[VALOR PPTO]]*DETALLE_GD_1[[#This Row],[CANTIDAD RECIBIDA]]</f>
        <v>426784.75159999996</v>
      </c>
      <c r="AB10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40" s="3">
        <f>+DETALLE_GD_1[[#This Row],[CANTIDAD SOLICITADA]]-DETALLE_GD_1[[#This Row],[DEVOLUCIÓN]]</f>
        <v>202</v>
      </c>
      <c r="AD1040" s="38" t="str">
        <f>+_xlfn.XLOOKUP(DETALLE_GD_1[[#This Row],[CODIGO]],PRODUCTOS[CODIGO],PRODUCTOS[DESC CORTA],"",0)</f>
        <v>AISLAN GLASS 90MM</v>
      </c>
    </row>
    <row r="1041" spans="1:30" x14ac:dyDescent="0.25">
      <c r="A1041" s="1">
        <v>46135</v>
      </c>
      <c r="B1041" s="1">
        <v>46135</v>
      </c>
      <c r="C1041" s="81" t="s">
        <v>169</v>
      </c>
      <c r="D1041" s="38">
        <v>4</v>
      </c>
      <c r="E1041" s="81" t="s">
        <v>169</v>
      </c>
      <c r="F1041">
        <v>2302098</v>
      </c>
      <c r="G1041" s="81" t="s">
        <v>24</v>
      </c>
      <c r="H1041" s="81" t="s">
        <v>25</v>
      </c>
      <c r="I1041" s="3">
        <v>6</v>
      </c>
      <c r="J1041" s="3"/>
      <c r="K1041" s="26">
        <v>6</v>
      </c>
      <c r="L1041" s="2">
        <v>21213</v>
      </c>
      <c r="M1041" s="2">
        <v>127278</v>
      </c>
      <c r="N1041" s="2">
        <v>127278</v>
      </c>
      <c r="O1041" s="2">
        <v>21213</v>
      </c>
      <c r="P1041" s="2">
        <v>0</v>
      </c>
      <c r="Q1041" s="2">
        <v>0</v>
      </c>
      <c r="R1041" s="4">
        <v>-1.7149761029050001E-16</v>
      </c>
      <c r="T1041">
        <v>313354</v>
      </c>
      <c r="U1041" s="2"/>
      <c r="V1041">
        <v>6045</v>
      </c>
      <c r="W1041" s="2">
        <v>6579000000</v>
      </c>
      <c r="X1041" s="6">
        <v>127277.99999999996</v>
      </c>
      <c r="Y1041" s="38">
        <v>10010</v>
      </c>
      <c r="Z1041" s="86">
        <f>+((DETALLE_GD_1[[#This Row],[VALOR X UN (GD)]]-DETALLE_GD_1[[#This Row],[VALOR PPTO]])/DETALLE_GD_1[[#This Row],[VALOR PPTO]])</f>
        <v>0</v>
      </c>
      <c r="AA1041" s="2">
        <f>+DETALLE_GD_1[[#This Row],[VALOR PPTO]]*DETALLE_GD_1[[#This Row],[CANTIDAD RECIBIDA]]</f>
        <v>127278</v>
      </c>
      <c r="AB1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1" s="3">
        <f>+DETALLE_GD_1[[#This Row],[CANTIDAD SOLICITADA]]-DETALLE_GD_1[[#This Row],[DEVOLUCIÓN]]</f>
        <v>6</v>
      </c>
      <c r="AD1041" s="38" t="str">
        <f>+_xlfn.XLOOKUP(DETALLE_GD_1[[#This Row],[CODIGO]],PRODUCTOS[CODIGO],PRODUCTOS[DESC CORTA],"",0)</f>
        <v>COLA FRIA</v>
      </c>
    </row>
    <row r="1042" spans="1:30" x14ac:dyDescent="0.25">
      <c r="A1042" s="1">
        <v>46135</v>
      </c>
      <c r="B1042" s="1">
        <v>46135</v>
      </c>
      <c r="C1042" s="81" t="s">
        <v>169</v>
      </c>
      <c r="D1042" s="38">
        <v>4</v>
      </c>
      <c r="E1042" s="81" t="s">
        <v>169</v>
      </c>
      <c r="F1042">
        <v>617016</v>
      </c>
      <c r="G1042" s="81" t="s">
        <v>133</v>
      </c>
      <c r="H1042" s="81" t="s">
        <v>31</v>
      </c>
      <c r="I1042" s="3">
        <v>12</v>
      </c>
      <c r="J1042" s="3"/>
      <c r="K1042" s="26">
        <v>12</v>
      </c>
      <c r="L1042" s="2">
        <v>2864.25</v>
      </c>
      <c r="M1042" s="2">
        <v>34371</v>
      </c>
      <c r="N1042" s="2">
        <v>34371</v>
      </c>
      <c r="O1042" s="2">
        <v>2857.5133000000001</v>
      </c>
      <c r="P1042" s="2">
        <v>-6.7366999999999999</v>
      </c>
      <c r="Q1042" s="2">
        <v>-80.840699999999998</v>
      </c>
      <c r="R1042" s="4">
        <v>-2.3575484535089822E-3</v>
      </c>
      <c r="T1042">
        <v>313354</v>
      </c>
      <c r="U1042" s="2"/>
      <c r="V1042">
        <v>6045</v>
      </c>
      <c r="W1042" s="2">
        <v>6579000000</v>
      </c>
      <c r="X1042" s="6">
        <v>34290.159287999995</v>
      </c>
      <c r="Y1042" s="38">
        <v>10010</v>
      </c>
      <c r="Z1042" s="86">
        <f>+((DETALLE_GD_1[[#This Row],[VALOR X UN (GD)]]-DETALLE_GD_1[[#This Row],[VALOR PPTO]])/DETALLE_GD_1[[#This Row],[VALOR PPTO]])</f>
        <v>2.3575393332377239E-3</v>
      </c>
      <c r="AA1042" s="2">
        <f>+DETALLE_GD_1[[#This Row],[VALOR PPTO]]*DETALLE_GD_1[[#This Row],[CANTIDAD RECIBIDA]]</f>
        <v>34290.159599999999</v>
      </c>
      <c r="AB1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2" s="3">
        <f>+DETALLE_GD_1[[#This Row],[CANTIDAD SOLICITADA]]-DETALLE_GD_1[[#This Row],[DEVOLUCIÓN]]</f>
        <v>12</v>
      </c>
      <c r="AD1042" s="38" t="str">
        <f>+_xlfn.XLOOKUP(DETALLE_GD_1[[#This Row],[CODIGO]],PRODUCTOS[CODIGO],PRODUCTOS[DESC CORTA],"",0)</f>
        <v>RODILLO CHIPORRO</v>
      </c>
    </row>
    <row r="1043" spans="1:30" x14ac:dyDescent="0.25">
      <c r="A1043" s="1">
        <v>46135</v>
      </c>
      <c r="B1043" s="1">
        <v>46135</v>
      </c>
      <c r="C1043" s="81" t="s">
        <v>169</v>
      </c>
      <c r="D1043" s="38">
        <v>4</v>
      </c>
      <c r="E1043" s="81" t="s">
        <v>169</v>
      </c>
      <c r="F1043">
        <v>617057</v>
      </c>
      <c r="G1043" s="81" t="s">
        <v>134</v>
      </c>
      <c r="H1043" s="81" t="s">
        <v>31</v>
      </c>
      <c r="I1043" s="3">
        <v>6</v>
      </c>
      <c r="J1043" s="3"/>
      <c r="K1043" s="26">
        <v>6</v>
      </c>
      <c r="L1043" s="2">
        <v>2042.1667</v>
      </c>
      <c r="M1043" s="2">
        <v>12253</v>
      </c>
      <c r="N1043" s="2">
        <v>12253</v>
      </c>
      <c r="O1043" s="2">
        <v>2042.1197</v>
      </c>
      <c r="P1043" s="2">
        <v>-4.7E-2</v>
      </c>
      <c r="Q1043" s="2">
        <v>-0.28179999999999999</v>
      </c>
      <c r="R1043" s="4">
        <v>-2.2996040109115639E-5</v>
      </c>
      <c r="T1043">
        <v>313354</v>
      </c>
      <c r="U1043" s="2"/>
      <c r="V1043">
        <v>6045</v>
      </c>
      <c r="W1043" s="2">
        <v>6579000000</v>
      </c>
      <c r="X1043" s="6">
        <v>12252.718236000001</v>
      </c>
      <c r="Y1043" s="38">
        <v>10010</v>
      </c>
      <c r="Z1043" s="86">
        <f>+((DETALLE_GD_1[[#This Row],[VALOR X UN (GD)]]-DETALLE_GD_1[[#This Row],[VALOR PPTO]])/DETALLE_GD_1[[#This Row],[VALOR PPTO]])</f>
        <v>2.3015301208849542E-5</v>
      </c>
      <c r="AA1043" s="2">
        <f>+DETALLE_GD_1[[#This Row],[VALOR PPTO]]*DETALLE_GD_1[[#This Row],[CANTIDAD RECIBIDA]]</f>
        <v>12252.718199999999</v>
      </c>
      <c r="AB1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3" s="3">
        <f>+DETALLE_GD_1[[#This Row],[CANTIDAD SOLICITADA]]-DETALLE_GD_1[[#This Row],[DEVOLUCIÓN]]</f>
        <v>6</v>
      </c>
      <c r="AD1043" s="38" t="str">
        <f>+_xlfn.XLOOKUP(DETALLE_GD_1[[#This Row],[CODIGO]],PRODUCTOS[CODIGO],PRODUCTOS[DESC CORTA],"",0)</f>
        <v>BROCHA 5/8 X4</v>
      </c>
    </row>
    <row r="1044" spans="1:30" x14ac:dyDescent="0.25">
      <c r="A1044" s="1">
        <v>46135</v>
      </c>
      <c r="B1044" s="1">
        <v>46135</v>
      </c>
      <c r="C1044" s="81" t="s">
        <v>169</v>
      </c>
      <c r="D1044" s="38">
        <v>4</v>
      </c>
      <c r="E1044" s="81" t="s">
        <v>169</v>
      </c>
      <c r="F1044">
        <v>617055</v>
      </c>
      <c r="G1044" s="81" t="s">
        <v>182</v>
      </c>
      <c r="H1044" s="81" t="s">
        <v>31</v>
      </c>
      <c r="I1044" s="3">
        <v>6</v>
      </c>
      <c r="J1044" s="3"/>
      <c r="K1044" s="26">
        <v>6</v>
      </c>
      <c r="L1044" s="2">
        <v>949.33330000000001</v>
      </c>
      <c r="M1044" s="2">
        <v>5696</v>
      </c>
      <c r="N1044" s="2">
        <v>5696</v>
      </c>
      <c r="O1044" s="2">
        <v>920.35379999999998</v>
      </c>
      <c r="P1044" s="2">
        <v>-28.979600000000001</v>
      </c>
      <c r="Q1044" s="2">
        <v>-173.87729999999999</v>
      </c>
      <c r="R1044" s="4">
        <v>-3.1487405095294921E-2</v>
      </c>
      <c r="T1044">
        <v>313354</v>
      </c>
      <c r="U1044" s="2"/>
      <c r="V1044">
        <v>6045</v>
      </c>
      <c r="W1044" s="2">
        <v>6579000000</v>
      </c>
      <c r="X1044" s="6">
        <v>5522.1226860000006</v>
      </c>
      <c r="Y1044" s="38">
        <v>10010</v>
      </c>
      <c r="Z1044" s="86">
        <f>+((DETALLE_GD_1[[#This Row],[VALOR X UN (GD)]]-DETALLE_GD_1[[#This Row],[VALOR PPTO]])/DETALLE_GD_1[[#This Row],[VALOR PPTO]])</f>
        <v>3.1487347583070806E-2</v>
      </c>
      <c r="AA1044" s="2">
        <f>+DETALLE_GD_1[[#This Row],[VALOR PPTO]]*DETALLE_GD_1[[#This Row],[CANTIDAD RECIBIDA]]</f>
        <v>5522.1228000000001</v>
      </c>
      <c r="AB1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4" s="3">
        <f>+DETALLE_GD_1[[#This Row],[CANTIDAD SOLICITADA]]-DETALLE_GD_1[[#This Row],[DEVOLUCIÓN]]</f>
        <v>6</v>
      </c>
      <c r="AD1044" s="38">
        <f>+_xlfn.XLOOKUP(DETALLE_GD_1[[#This Row],[CODIGO]],PRODUCTOS[CODIGO],PRODUCTOS[DESC CORTA],"",0)</f>
        <v>0</v>
      </c>
    </row>
    <row r="1045" spans="1:30" x14ac:dyDescent="0.25">
      <c r="A1045" s="1">
        <v>46135</v>
      </c>
      <c r="B1045" s="1">
        <v>46135</v>
      </c>
      <c r="C1045" s="81" t="s">
        <v>169</v>
      </c>
      <c r="D1045" s="38">
        <v>4</v>
      </c>
      <c r="E1045" s="81" t="s">
        <v>169</v>
      </c>
      <c r="F1045">
        <v>307096</v>
      </c>
      <c r="G1045" s="81" t="s">
        <v>249</v>
      </c>
      <c r="H1045" s="81" t="s">
        <v>137</v>
      </c>
      <c r="I1045" s="3">
        <v>50</v>
      </c>
      <c r="J1045" s="3"/>
      <c r="K1045" s="26">
        <v>50</v>
      </c>
      <c r="L1045" s="2">
        <v>1795.6</v>
      </c>
      <c r="M1045" s="2">
        <v>89780</v>
      </c>
      <c r="N1045" s="2">
        <v>89780</v>
      </c>
      <c r="O1045" s="2">
        <v>2095.3501000000001</v>
      </c>
      <c r="P1045" s="2">
        <v>299.75009999999997</v>
      </c>
      <c r="Q1045" s="2">
        <v>14987.5064</v>
      </c>
      <c r="R1045" s="4">
        <v>0.14305491232773293</v>
      </c>
      <c r="T1045">
        <v>313366</v>
      </c>
      <c r="U1045" s="2">
        <v>89780</v>
      </c>
      <c r="V1045">
        <v>6045</v>
      </c>
      <c r="W1045" s="2">
        <v>6579000000</v>
      </c>
      <c r="X1045" s="6">
        <v>104767.50644999991</v>
      </c>
      <c r="Y1045" s="38">
        <v>10010</v>
      </c>
      <c r="Z1045" s="86">
        <f>+((DETALLE_GD_1[[#This Row],[VALOR X UN (GD)]]-DETALLE_GD_1[[#This Row],[VALOR PPTO]])/DETALLE_GD_1[[#This Row],[VALOR PPTO]])</f>
        <v>-0.14305490046746852</v>
      </c>
      <c r="AA1045" s="2">
        <f>+DETALLE_GD_1[[#This Row],[VALOR PPTO]]*DETALLE_GD_1[[#This Row],[CANTIDAD RECIBIDA]]</f>
        <v>104767.505</v>
      </c>
      <c r="AB10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45" s="3">
        <f>+DETALLE_GD_1[[#This Row],[CANTIDAD SOLICITADA]]-DETALLE_GD_1[[#This Row],[DEVOLUCIÓN]]</f>
        <v>50</v>
      </c>
      <c r="AD1045" s="38" t="str">
        <f>+_xlfn.XLOOKUP(DETALLE_GD_1[[#This Row],[CODIGO]],PRODUCTOS[CODIGO],PRODUCTOS[DESC CORTA],"",0)</f>
        <v>CUBREJUNTA</v>
      </c>
    </row>
    <row r="1046" spans="1:30" x14ac:dyDescent="0.25">
      <c r="A1046" s="1">
        <v>46135</v>
      </c>
      <c r="B1046" s="1">
        <v>46135</v>
      </c>
      <c r="C1046" s="81" t="s">
        <v>169</v>
      </c>
      <c r="D1046" s="38">
        <v>4</v>
      </c>
      <c r="E1046" s="81" t="s">
        <v>169</v>
      </c>
      <c r="F1046">
        <v>1802171</v>
      </c>
      <c r="G1046" s="81" t="s">
        <v>265</v>
      </c>
      <c r="H1046" s="81" t="s">
        <v>31</v>
      </c>
      <c r="I1046" s="3">
        <v>1</v>
      </c>
      <c r="J1046" s="3"/>
      <c r="K1046" s="26">
        <v>1</v>
      </c>
      <c r="L1046" s="2">
        <v>3229</v>
      </c>
      <c r="M1046" s="2">
        <v>3229</v>
      </c>
      <c r="N1046" s="2">
        <v>3229</v>
      </c>
      <c r="O1046" s="2">
        <v>3632</v>
      </c>
      <c r="P1046" s="2">
        <v>403</v>
      </c>
      <c r="Q1046" s="2">
        <v>403</v>
      </c>
      <c r="R1046" s="4">
        <v>0.11095814977973568</v>
      </c>
      <c r="T1046">
        <v>313388</v>
      </c>
      <c r="U1046" s="2">
        <v>43172</v>
      </c>
      <c r="V1046">
        <v>6045</v>
      </c>
      <c r="W1046" s="2">
        <v>6579000000</v>
      </c>
      <c r="X1046" s="6">
        <v>3632</v>
      </c>
      <c r="Y1046" s="38">
        <v>10010</v>
      </c>
      <c r="Z1046" s="86">
        <f>+((DETALLE_GD_1[[#This Row],[VALOR X UN (GD)]]-DETALLE_GD_1[[#This Row],[VALOR PPTO]])/DETALLE_GD_1[[#This Row],[VALOR PPTO]])</f>
        <v>-0.11095814977973568</v>
      </c>
      <c r="AA1046" s="2">
        <f>+DETALLE_GD_1[[#This Row],[VALOR PPTO]]*DETALLE_GD_1[[#This Row],[CANTIDAD RECIBIDA]]</f>
        <v>3632</v>
      </c>
      <c r="AB1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6" s="3">
        <f>+DETALLE_GD_1[[#This Row],[CANTIDAD SOLICITADA]]-DETALLE_GD_1[[#This Row],[DEVOLUCIÓN]]</f>
        <v>1</v>
      </c>
      <c r="AD1046" s="38" t="str">
        <f>+_xlfn.XLOOKUP(DETALLE_GD_1[[#This Row],[CODIGO]],PRODUCTOS[CODIGO],PRODUCTOS[DESC CORTA],"",0)</f>
        <v>PORTA ROLLO BENTON</v>
      </c>
    </row>
    <row r="1047" spans="1:30" x14ac:dyDescent="0.25">
      <c r="A1047" s="1">
        <v>46135</v>
      </c>
      <c r="B1047" s="1">
        <v>46135</v>
      </c>
      <c r="C1047" s="81" t="s">
        <v>169</v>
      </c>
      <c r="D1047" s="38">
        <v>4</v>
      </c>
      <c r="E1047" s="81" t="s">
        <v>169</v>
      </c>
      <c r="F1047">
        <v>1802172</v>
      </c>
      <c r="G1047" s="81" t="s">
        <v>266</v>
      </c>
      <c r="H1047" s="81" t="s">
        <v>31</v>
      </c>
      <c r="I1047" s="3">
        <v>1</v>
      </c>
      <c r="J1047" s="3"/>
      <c r="K1047" s="26">
        <v>1</v>
      </c>
      <c r="L1047" s="2">
        <v>3032</v>
      </c>
      <c r="M1047" s="2">
        <v>3032</v>
      </c>
      <c r="N1047" s="2">
        <v>3032</v>
      </c>
      <c r="O1047" s="2">
        <v>3035</v>
      </c>
      <c r="P1047" s="2">
        <v>3</v>
      </c>
      <c r="Q1047" s="2">
        <v>3</v>
      </c>
      <c r="R1047" s="4">
        <v>9.8846787479406925E-4</v>
      </c>
      <c r="T1047">
        <v>313388</v>
      </c>
      <c r="U1047" s="2"/>
      <c r="V1047">
        <v>6045</v>
      </c>
      <c r="W1047" s="2">
        <v>6579000000</v>
      </c>
      <c r="X1047" s="6">
        <v>3035</v>
      </c>
      <c r="Y1047" s="38">
        <v>10010</v>
      </c>
      <c r="Z1047" s="86">
        <f>+((DETALLE_GD_1[[#This Row],[VALOR X UN (GD)]]-DETALLE_GD_1[[#This Row],[VALOR PPTO]])/DETALLE_GD_1[[#This Row],[VALOR PPTO]])</f>
        <v>-9.8846787479406925E-4</v>
      </c>
      <c r="AA1047" s="2">
        <f>+DETALLE_GD_1[[#This Row],[VALOR PPTO]]*DETALLE_GD_1[[#This Row],[CANTIDAD RECIBIDA]]</f>
        <v>3035</v>
      </c>
      <c r="AB1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7" s="3">
        <f>+DETALLE_GD_1[[#This Row],[CANTIDAD SOLICITADA]]-DETALLE_GD_1[[#This Row],[DEVOLUCIÓN]]</f>
        <v>1</v>
      </c>
      <c r="AD1047" s="38" t="str">
        <f>+_xlfn.XLOOKUP(DETALLE_GD_1[[#This Row],[CODIGO]],PRODUCTOS[CODIGO],PRODUCTOS[DESC CORTA],"",0)</f>
        <v>ARGOLLA TOALLA BENTON</v>
      </c>
    </row>
    <row r="1048" spans="1:30" x14ac:dyDescent="0.25">
      <c r="A1048" s="1">
        <v>46135</v>
      </c>
      <c r="B1048" s="1">
        <v>46135</v>
      </c>
      <c r="C1048" s="81" t="s">
        <v>169</v>
      </c>
      <c r="D1048" s="38">
        <v>4</v>
      </c>
      <c r="E1048" s="81" t="s">
        <v>169</v>
      </c>
      <c r="F1048">
        <v>1808156</v>
      </c>
      <c r="G1048" s="81" t="s">
        <v>277</v>
      </c>
      <c r="H1048" s="81" t="s">
        <v>31</v>
      </c>
      <c r="I1048" s="3">
        <v>1</v>
      </c>
      <c r="J1048" s="3"/>
      <c r="K1048" s="26">
        <v>1</v>
      </c>
      <c r="L1048" s="2">
        <v>1932</v>
      </c>
      <c r="M1048" s="2">
        <v>1932</v>
      </c>
      <c r="N1048" s="2">
        <v>1932</v>
      </c>
      <c r="O1048" s="2">
        <v>1916</v>
      </c>
      <c r="P1048" s="2">
        <v>-16</v>
      </c>
      <c r="Q1048" s="2">
        <v>-16</v>
      </c>
      <c r="R1048" s="4">
        <v>-8.350730688935281E-3</v>
      </c>
      <c r="T1048">
        <v>313388</v>
      </c>
      <c r="U1048" s="2"/>
      <c r="V1048">
        <v>6045</v>
      </c>
      <c r="W1048" s="2">
        <v>6579000000</v>
      </c>
      <c r="X1048" s="6">
        <v>1916</v>
      </c>
      <c r="Y1048" s="38">
        <v>10010</v>
      </c>
      <c r="Z1048" s="86">
        <f>+((DETALLE_GD_1[[#This Row],[VALOR X UN (GD)]]-DETALLE_GD_1[[#This Row],[VALOR PPTO]])/DETALLE_GD_1[[#This Row],[VALOR PPTO]])</f>
        <v>8.350730688935281E-3</v>
      </c>
      <c r="AA1048" s="2">
        <f>+DETALLE_GD_1[[#This Row],[VALOR PPTO]]*DETALLE_GD_1[[#This Row],[CANTIDAD RECIBIDA]]</f>
        <v>1916</v>
      </c>
      <c r="AB1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8" s="3">
        <f>+DETALLE_GD_1[[#This Row],[CANTIDAD SOLICITADA]]-DETALLE_GD_1[[#This Row],[DEVOLUCIÓN]]</f>
        <v>1</v>
      </c>
      <c r="AD1048" s="38" t="str">
        <f>+_xlfn.XLOOKUP(DETALLE_GD_1[[#This Row],[CODIGO]],PRODUCTOS[CODIGO],PRODUCTOS[DESC CORTA],"",0)</f>
        <v>PERCHA SIMPLE YORK</v>
      </c>
    </row>
    <row r="1049" spans="1:30" x14ac:dyDescent="0.25">
      <c r="A1049" s="1">
        <v>46135</v>
      </c>
      <c r="B1049" s="1">
        <v>46135</v>
      </c>
      <c r="C1049" s="81" t="s">
        <v>169</v>
      </c>
      <c r="D1049" s="38">
        <v>4</v>
      </c>
      <c r="E1049" s="81" t="s">
        <v>169</v>
      </c>
      <c r="F1049">
        <v>1808003</v>
      </c>
      <c r="G1049" s="81" t="s">
        <v>195</v>
      </c>
      <c r="H1049" s="81" t="s">
        <v>31</v>
      </c>
      <c r="I1049" s="3">
        <v>2</v>
      </c>
      <c r="J1049" s="3"/>
      <c r="K1049" s="26">
        <v>2</v>
      </c>
      <c r="L1049" s="2">
        <v>167.5</v>
      </c>
      <c r="M1049" s="2">
        <v>335</v>
      </c>
      <c r="N1049" s="2">
        <v>335</v>
      </c>
      <c r="O1049" s="2">
        <v>167.7449</v>
      </c>
      <c r="P1049" s="2">
        <v>0.24490000000000001</v>
      </c>
      <c r="Q1049" s="2">
        <v>0.48970000000000002</v>
      </c>
      <c r="R1049" s="4">
        <v>1.459704952625266E-3</v>
      </c>
      <c r="T1049">
        <v>313388</v>
      </c>
      <c r="U1049" s="2"/>
      <c r="V1049">
        <v>6045</v>
      </c>
      <c r="W1049" s="2">
        <v>6579000000</v>
      </c>
      <c r="X1049" s="6">
        <v>335.48971600000004</v>
      </c>
      <c r="Y1049" s="38">
        <v>10010</v>
      </c>
      <c r="Z1049" s="86">
        <f>+((DETALLE_GD_1[[#This Row],[VALOR X UN (GD)]]-DETALLE_GD_1[[#This Row],[VALOR PPTO]])/DETALLE_GD_1[[#This Row],[VALOR PPTO]])</f>
        <v>-1.4599549673343347E-3</v>
      </c>
      <c r="AA1049" s="2">
        <f>+DETALLE_GD_1[[#This Row],[VALOR PPTO]]*DETALLE_GD_1[[#This Row],[CANTIDAD RECIBIDA]]</f>
        <v>335.4898</v>
      </c>
      <c r="AB1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9" s="3">
        <f>+DETALLE_GD_1[[#This Row],[CANTIDAD SOLICITADA]]-DETALLE_GD_1[[#This Row],[DEVOLUCIÓN]]</f>
        <v>2</v>
      </c>
      <c r="AD1049" s="38">
        <f>+_xlfn.XLOOKUP(DETALLE_GD_1[[#This Row],[CODIGO]],PRODUCTOS[CODIGO],PRODUCTOS[DESC CORTA],"",0)</f>
        <v>0</v>
      </c>
    </row>
    <row r="1050" spans="1:30" x14ac:dyDescent="0.25">
      <c r="A1050" s="1">
        <v>46135</v>
      </c>
      <c r="B1050" s="1">
        <v>46135</v>
      </c>
      <c r="C1050" s="81" t="s">
        <v>169</v>
      </c>
      <c r="D1050" s="38">
        <v>4</v>
      </c>
      <c r="E1050" s="81" t="s">
        <v>169</v>
      </c>
      <c r="F1050">
        <v>1808006</v>
      </c>
      <c r="G1050" s="81" t="s">
        <v>194</v>
      </c>
      <c r="H1050" s="81" t="s">
        <v>31</v>
      </c>
      <c r="I1050" s="3">
        <v>1</v>
      </c>
      <c r="J1050" s="3"/>
      <c r="K1050" s="26">
        <v>1</v>
      </c>
      <c r="L1050" s="2">
        <v>2907</v>
      </c>
      <c r="M1050" s="2">
        <v>2907</v>
      </c>
      <c r="N1050" s="2">
        <v>2907</v>
      </c>
      <c r="O1050" s="2">
        <v>2906.6711</v>
      </c>
      <c r="P1050" s="2">
        <v>-0.32890000000000003</v>
      </c>
      <c r="Q1050" s="2">
        <v>-0.32890000000000003</v>
      </c>
      <c r="R1050" s="4">
        <v>-1.1315487344013068E-4</v>
      </c>
      <c r="T1050">
        <v>313388</v>
      </c>
      <c r="U1050" s="2"/>
      <c r="V1050">
        <v>6045</v>
      </c>
      <c r="W1050" s="2">
        <v>6579000000</v>
      </c>
      <c r="X1050" s="6">
        <v>2906.671096</v>
      </c>
      <c r="Y1050" s="38">
        <v>10010</v>
      </c>
      <c r="Z1050" s="86">
        <f>+((DETALLE_GD_1[[#This Row],[VALOR X UN (GD)]]-DETALLE_GD_1[[#This Row],[VALOR PPTO]])/DETALLE_GD_1[[#This Row],[VALOR PPTO]])</f>
        <v>1.1315349713972661E-4</v>
      </c>
      <c r="AA1050" s="2">
        <f>+DETALLE_GD_1[[#This Row],[VALOR PPTO]]*DETALLE_GD_1[[#This Row],[CANTIDAD RECIBIDA]]</f>
        <v>2906.6711</v>
      </c>
      <c r="AB1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0" s="3">
        <f>+DETALLE_GD_1[[#This Row],[CANTIDAD SOLICITADA]]-DETALLE_GD_1[[#This Row],[DEVOLUCIÓN]]</f>
        <v>1</v>
      </c>
      <c r="AD1050" s="38">
        <f>+_xlfn.XLOOKUP(DETALLE_GD_1[[#This Row],[CODIGO]],PRODUCTOS[CODIGO],PRODUCTOS[DESC CORTA],"",0)</f>
        <v>0</v>
      </c>
    </row>
    <row r="1051" spans="1:30" x14ac:dyDescent="0.25">
      <c r="A1051" s="1">
        <v>46135</v>
      </c>
      <c r="B1051" s="1">
        <v>46135</v>
      </c>
      <c r="C1051" s="81" t="s">
        <v>169</v>
      </c>
      <c r="D1051" s="38">
        <v>4</v>
      </c>
      <c r="E1051" s="81" t="s">
        <v>169</v>
      </c>
      <c r="F1051">
        <v>1206002</v>
      </c>
      <c r="G1051" s="81" t="s">
        <v>192</v>
      </c>
      <c r="H1051" s="81" t="s">
        <v>31</v>
      </c>
      <c r="I1051" s="3">
        <v>1</v>
      </c>
      <c r="J1051" s="3"/>
      <c r="K1051" s="26">
        <v>1</v>
      </c>
      <c r="L1051" s="2">
        <v>20332</v>
      </c>
      <c r="M1051" s="2">
        <v>20332</v>
      </c>
      <c r="N1051" s="2">
        <v>20332</v>
      </c>
      <c r="O1051" s="2">
        <v>15783.483899999999</v>
      </c>
      <c r="P1051" s="2">
        <v>-4548.5160999999998</v>
      </c>
      <c r="Q1051" s="2">
        <v>-4548.5160999999998</v>
      </c>
      <c r="R1051" s="4">
        <v>-0.28818201140986877</v>
      </c>
      <c r="T1051">
        <v>313388</v>
      </c>
      <c r="U1051" s="2"/>
      <c r="V1051">
        <v>6045</v>
      </c>
      <c r="W1051" s="2">
        <v>6579000000</v>
      </c>
      <c r="X1051" s="6">
        <v>15783.483871</v>
      </c>
      <c r="Y1051" s="38">
        <v>10010</v>
      </c>
      <c r="Z1051" s="86">
        <f>+((DETALLE_GD_1[[#This Row],[VALOR X UN (GD)]]-DETALLE_GD_1[[#This Row],[VALOR PPTO]])/DETALLE_GD_1[[#This Row],[VALOR PPTO]])</f>
        <v>0.28818200904300989</v>
      </c>
      <c r="AA1051" s="2">
        <f>+DETALLE_GD_1[[#This Row],[VALOR PPTO]]*DETALLE_GD_1[[#This Row],[CANTIDAD RECIBIDA]]</f>
        <v>15783.483899999999</v>
      </c>
      <c r="AB1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1" s="3">
        <f>+DETALLE_GD_1[[#This Row],[CANTIDAD SOLICITADA]]-DETALLE_GD_1[[#This Row],[DEVOLUCIÓN]]</f>
        <v>1</v>
      </c>
      <c r="AD1051" s="38">
        <f>+_xlfn.XLOOKUP(DETALLE_GD_1[[#This Row],[CODIGO]],PRODUCTOS[CODIGO],PRODUCTOS[DESC CORTA],"",0)</f>
        <v>0</v>
      </c>
    </row>
    <row r="1052" spans="1:30" x14ac:dyDescent="0.25">
      <c r="A1052" s="1">
        <v>46135</v>
      </c>
      <c r="B1052" s="1">
        <v>46135</v>
      </c>
      <c r="C1052" s="81" t="s">
        <v>169</v>
      </c>
      <c r="D1052" s="38">
        <v>4</v>
      </c>
      <c r="E1052" s="81" t="s">
        <v>169</v>
      </c>
      <c r="F1052">
        <v>609008</v>
      </c>
      <c r="G1052" s="81" t="s">
        <v>57</v>
      </c>
      <c r="H1052" s="81" t="s">
        <v>58</v>
      </c>
      <c r="I1052" s="3">
        <v>5</v>
      </c>
      <c r="J1052" s="3"/>
      <c r="K1052" s="26">
        <v>5</v>
      </c>
      <c r="L1052" s="2">
        <v>2281</v>
      </c>
      <c r="M1052" s="2">
        <v>11405</v>
      </c>
      <c r="N1052" s="2">
        <v>11405</v>
      </c>
      <c r="O1052" s="2">
        <v>2130.7573000000002</v>
      </c>
      <c r="P1052" s="2">
        <v>-150.24270000000001</v>
      </c>
      <c r="Q1052" s="2">
        <v>-751.21349999999995</v>
      </c>
      <c r="R1052" s="4">
        <v>-7.051140422932542E-2</v>
      </c>
      <c r="T1052">
        <v>313388</v>
      </c>
      <c r="U1052" s="2"/>
      <c r="V1052">
        <v>6045</v>
      </c>
      <c r="W1052" s="2">
        <v>6579000000</v>
      </c>
      <c r="X1052" s="6">
        <v>10653.786550000001</v>
      </c>
      <c r="Y1052" s="38">
        <v>10010</v>
      </c>
      <c r="Z1052" s="86">
        <f>+((DETALLE_GD_1[[#This Row],[VALOR X UN (GD)]]-DETALLE_GD_1[[#This Row],[VALOR PPTO]])/DETALLE_GD_1[[#This Row],[VALOR PPTO]])</f>
        <v>7.0511409253414162E-2</v>
      </c>
      <c r="AA1052" s="2">
        <f>+DETALLE_GD_1[[#This Row],[VALOR PPTO]]*DETALLE_GD_1[[#This Row],[CANTIDAD RECIBIDA]]</f>
        <v>10653.786500000002</v>
      </c>
      <c r="AB1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2" s="3">
        <f>+DETALLE_GD_1[[#This Row],[CANTIDAD SOLICITADA]]-DETALLE_GD_1[[#This Row],[DEVOLUCIÓN]]</f>
        <v>5</v>
      </c>
      <c r="AD1052" s="38" t="str">
        <f>+_xlfn.XLOOKUP(DETALLE_GD_1[[#This Row],[CODIGO]],PRODUCTOS[CODIGO],PRODUCTOS[DESC CORTA],"",0)</f>
        <v>DUCO</v>
      </c>
    </row>
    <row r="1053" spans="1:30" x14ac:dyDescent="0.25">
      <c r="A1053" s="1">
        <v>46135</v>
      </c>
      <c r="B1053" s="1">
        <v>46135</v>
      </c>
      <c r="C1053" s="81" t="s">
        <v>169</v>
      </c>
      <c r="D1053" s="38">
        <v>4</v>
      </c>
      <c r="E1053" s="81" t="s">
        <v>169</v>
      </c>
      <c r="F1053">
        <v>1802166</v>
      </c>
      <c r="G1053" s="81" t="s">
        <v>283</v>
      </c>
      <c r="H1053" s="81" t="s">
        <v>31</v>
      </c>
      <c r="I1053" s="3">
        <v>4</v>
      </c>
      <c r="J1053" s="3"/>
      <c r="K1053" s="26">
        <v>4</v>
      </c>
      <c r="L1053" s="2">
        <v>13869</v>
      </c>
      <c r="M1053" s="2">
        <v>55476</v>
      </c>
      <c r="N1053" s="2">
        <v>55476</v>
      </c>
      <c r="O1053" s="2">
        <v>13869</v>
      </c>
      <c r="P1053" s="2">
        <v>0</v>
      </c>
      <c r="Q1053" s="2">
        <v>0</v>
      </c>
      <c r="R1053" s="4">
        <v>0</v>
      </c>
      <c r="T1053">
        <v>313401</v>
      </c>
      <c r="U1053" s="2">
        <v>544397</v>
      </c>
      <c r="V1053">
        <v>6045</v>
      </c>
      <c r="W1053" s="2">
        <v>6579000000</v>
      </c>
      <c r="X1053" s="6">
        <v>55476</v>
      </c>
      <c r="Y1053" s="38">
        <v>10010</v>
      </c>
      <c r="Z1053" s="86">
        <f>+((DETALLE_GD_1[[#This Row],[VALOR X UN (GD)]]-DETALLE_GD_1[[#This Row],[VALOR PPTO]])/DETALLE_GD_1[[#This Row],[VALOR PPTO]])</f>
        <v>0</v>
      </c>
      <c r="AA1053" s="2">
        <f>+DETALLE_GD_1[[#This Row],[VALOR PPTO]]*DETALLE_GD_1[[#This Row],[CANTIDAD RECIBIDA]]</f>
        <v>55476</v>
      </c>
      <c r="AB1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3" s="3">
        <f>+DETALLE_GD_1[[#This Row],[CANTIDAD SOLICITADA]]-DETALLE_GD_1[[#This Row],[DEVOLUCIÓN]]</f>
        <v>4</v>
      </c>
      <c r="AD1053" s="38" t="str">
        <f>+_xlfn.XLOOKUP(DETALLE_GD_1[[#This Row],[CODIGO]],PRODUCTOS[CODIGO],PRODUCTOS[DESC CORTA],"",0)</f>
        <v>NEW TS2024022)</v>
      </c>
    </row>
    <row r="1054" spans="1:30" x14ac:dyDescent="0.25">
      <c r="A1054" s="1">
        <v>46135</v>
      </c>
      <c r="B1054" s="1">
        <v>46135</v>
      </c>
      <c r="C1054" s="81" t="s">
        <v>169</v>
      </c>
      <c r="D1054" s="38">
        <v>4</v>
      </c>
      <c r="E1054" s="81" t="s">
        <v>169</v>
      </c>
      <c r="F1054">
        <v>1703006</v>
      </c>
      <c r="G1054" s="81" t="s">
        <v>48</v>
      </c>
      <c r="H1054" s="81" t="s">
        <v>31</v>
      </c>
      <c r="I1054" s="3">
        <v>4</v>
      </c>
      <c r="J1054" s="3"/>
      <c r="K1054" s="26">
        <v>4</v>
      </c>
      <c r="L1054" s="2">
        <v>1662.25</v>
      </c>
      <c r="M1054" s="2">
        <v>6649</v>
      </c>
      <c r="N1054" s="2">
        <v>6649</v>
      </c>
      <c r="O1054" s="2">
        <v>1662</v>
      </c>
      <c r="P1054" s="2">
        <v>-0.25</v>
      </c>
      <c r="Q1054" s="2">
        <v>-1</v>
      </c>
      <c r="R1054" s="4">
        <v>-1.5042117930204573E-4</v>
      </c>
      <c r="T1054">
        <v>313401</v>
      </c>
      <c r="U1054" s="2"/>
      <c r="V1054">
        <v>6045</v>
      </c>
      <c r="W1054" s="2">
        <v>6579000000</v>
      </c>
      <c r="X1054" s="6">
        <v>6648</v>
      </c>
      <c r="Y1054" s="38">
        <v>10010</v>
      </c>
      <c r="Z1054" s="86">
        <f>+((DETALLE_GD_1[[#This Row],[VALOR X UN (GD)]]-DETALLE_GD_1[[#This Row],[VALOR PPTO]])/DETALLE_GD_1[[#This Row],[VALOR PPTO]])</f>
        <v>1.5042117930204573E-4</v>
      </c>
      <c r="AA1054" s="2">
        <f>+DETALLE_GD_1[[#This Row],[VALOR PPTO]]*DETALLE_GD_1[[#This Row],[CANTIDAD RECIBIDA]]</f>
        <v>6648</v>
      </c>
      <c r="AB1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4" s="3">
        <f>+DETALLE_GD_1[[#This Row],[CANTIDAD SOLICITADA]]-DETALLE_GD_1[[#This Row],[DEVOLUCIÓN]]</f>
        <v>4</v>
      </c>
      <c r="AD1054" s="38" t="str">
        <f>+_xlfn.XLOOKUP(DETALLE_GD_1[[#This Row],[CODIGO]],PRODUCTOS[CODIGO],PRODUCTOS[DESC CORTA],"",0)</f>
        <v>SIFON LAVAPLATO</v>
      </c>
    </row>
    <row r="1055" spans="1:30" x14ac:dyDescent="0.25">
      <c r="A1055" s="1">
        <v>46135</v>
      </c>
      <c r="B1055" s="1">
        <v>46135</v>
      </c>
      <c r="C1055" s="81" t="s">
        <v>169</v>
      </c>
      <c r="D1055" s="38">
        <v>4</v>
      </c>
      <c r="E1055" s="81" t="s">
        <v>169</v>
      </c>
      <c r="F1055">
        <v>5316508</v>
      </c>
      <c r="G1055" s="81" t="s">
        <v>470</v>
      </c>
      <c r="H1055" s="81" t="s">
        <v>31</v>
      </c>
      <c r="I1055" s="3">
        <v>4</v>
      </c>
      <c r="J1055" s="3"/>
      <c r="K1055" s="26">
        <v>4</v>
      </c>
      <c r="L1055" s="2">
        <v>14633.75</v>
      </c>
      <c r="M1055" s="2">
        <v>58535</v>
      </c>
      <c r="N1055" s="2">
        <v>58535</v>
      </c>
      <c r="O1055" s="2"/>
      <c r="P1055" s="2"/>
      <c r="Q1055" s="2">
        <v>-58535</v>
      </c>
      <c r="R1055" s="4"/>
      <c r="T1055">
        <v>313401</v>
      </c>
      <c r="U1055" s="2"/>
      <c r="V1055">
        <v>6045</v>
      </c>
      <c r="W1055" s="2">
        <v>6579000000</v>
      </c>
      <c r="X1055" s="6" t="s">
        <v>355</v>
      </c>
      <c r="Y1055" s="38">
        <v>10010</v>
      </c>
      <c r="Z1055" s="86" t="e">
        <f>+((DETALLE_GD_1[[#This Row],[VALOR X UN (GD)]]-DETALLE_GD_1[[#This Row],[VALOR PPTO]])/DETALLE_GD_1[[#This Row],[VALOR PPTO]])</f>
        <v>#DIV/0!</v>
      </c>
      <c r="AA1055" s="2">
        <f>+DETALLE_GD_1[[#This Row],[VALOR PPTO]]*DETALLE_GD_1[[#This Row],[CANTIDAD RECIBIDA]]</f>
        <v>0</v>
      </c>
      <c r="AB1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5" s="3">
        <f>+DETALLE_GD_1[[#This Row],[CANTIDAD SOLICITADA]]-DETALLE_GD_1[[#This Row],[DEVOLUCIÓN]]</f>
        <v>4</v>
      </c>
      <c r="AD1055" s="38" t="str">
        <f>+_xlfn.XLOOKUP(DETALLE_GD_1[[#This Row],[CODIGO]],PRODUCTOS[CODIGO],PRODUCTOS[DESC CORTA],"",0)</f>
        <v/>
      </c>
    </row>
    <row r="1056" spans="1:30" x14ac:dyDescent="0.25">
      <c r="A1056" s="1">
        <v>46135</v>
      </c>
      <c r="B1056" s="1">
        <v>46135</v>
      </c>
      <c r="C1056" s="81" t="s">
        <v>169</v>
      </c>
      <c r="D1056" s="38">
        <v>4</v>
      </c>
      <c r="E1056" s="81" t="s">
        <v>169</v>
      </c>
      <c r="F1056">
        <v>5316507</v>
      </c>
      <c r="G1056" s="81" t="s">
        <v>55</v>
      </c>
      <c r="H1056" s="81" t="s">
        <v>31</v>
      </c>
      <c r="I1056" s="3">
        <v>4</v>
      </c>
      <c r="J1056" s="3"/>
      <c r="K1056" s="26">
        <v>4</v>
      </c>
      <c r="L1056" s="2">
        <v>41419.75</v>
      </c>
      <c r="M1056" s="2">
        <v>165679</v>
      </c>
      <c r="N1056" s="2">
        <v>165679</v>
      </c>
      <c r="O1056" s="2">
        <v>41419.666700000002</v>
      </c>
      <c r="P1056" s="2">
        <v>-8.3299999999999999E-2</v>
      </c>
      <c r="Q1056" s="2">
        <v>-0.33329999999999999</v>
      </c>
      <c r="R1056" s="4">
        <v>-2.0119186538192447E-6</v>
      </c>
      <c r="T1056">
        <v>313401</v>
      </c>
      <c r="U1056" s="2"/>
      <c r="V1056">
        <v>6045</v>
      </c>
      <c r="W1056" s="2">
        <v>6579000000</v>
      </c>
      <c r="X1056" s="6">
        <v>165678.66666799999</v>
      </c>
      <c r="Y1056" s="38">
        <v>10010</v>
      </c>
      <c r="Z1056" s="86">
        <f>+((DETALLE_GD_1[[#This Row],[VALOR X UN (GD)]]-DETALLE_GD_1[[#This Row],[VALOR PPTO]])/DETALLE_GD_1[[#This Row],[VALOR PPTO]])</f>
        <v>2.0111219291491002E-6</v>
      </c>
      <c r="AA1056" s="2">
        <f>+DETALLE_GD_1[[#This Row],[VALOR PPTO]]*DETALLE_GD_1[[#This Row],[CANTIDAD RECIBIDA]]</f>
        <v>165678.66680000001</v>
      </c>
      <c r="AB1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6" s="3">
        <f>+DETALLE_GD_1[[#This Row],[CANTIDAD SOLICITADA]]-DETALLE_GD_1[[#This Row],[DEVOLUCIÓN]]</f>
        <v>4</v>
      </c>
      <c r="AD1056" s="38" t="str">
        <f>+_xlfn.XLOOKUP(DETALLE_GD_1[[#This Row],[CODIGO]],PRODUCTOS[CODIGO],PRODUCTOS[DESC CORTA],"",0)</f>
        <v>MUEBLE LAVAPLATOS</v>
      </c>
    </row>
    <row r="1057" spans="1:30" x14ac:dyDescent="0.25">
      <c r="A1057" s="1">
        <v>46135</v>
      </c>
      <c r="B1057" s="1">
        <v>46135</v>
      </c>
      <c r="C1057" s="81" t="s">
        <v>169</v>
      </c>
      <c r="D1057" s="38">
        <v>4</v>
      </c>
      <c r="E1057" s="81" t="s">
        <v>169</v>
      </c>
      <c r="F1057">
        <v>2505426</v>
      </c>
      <c r="G1057" s="81" t="s">
        <v>711</v>
      </c>
      <c r="H1057" s="81" t="s">
        <v>31</v>
      </c>
      <c r="I1057" s="3">
        <v>4</v>
      </c>
      <c r="J1057" s="3"/>
      <c r="K1057" s="26">
        <v>4</v>
      </c>
      <c r="L1057" s="2">
        <v>1847.25</v>
      </c>
      <c r="M1057" s="2">
        <v>7389</v>
      </c>
      <c r="N1057" s="2">
        <v>7389</v>
      </c>
      <c r="O1057" s="2">
        <v>1684</v>
      </c>
      <c r="P1057" s="2">
        <v>-163.25</v>
      </c>
      <c r="Q1057" s="2">
        <v>-653</v>
      </c>
      <c r="R1057" s="4">
        <v>-9.6941805225653196E-2</v>
      </c>
      <c r="T1057">
        <v>313401</v>
      </c>
      <c r="U1057" s="2"/>
      <c r="V1057">
        <v>6045</v>
      </c>
      <c r="W1057" s="2">
        <v>6579000000</v>
      </c>
      <c r="X1057" s="6">
        <v>6736</v>
      </c>
      <c r="Y1057" s="38">
        <v>10010</v>
      </c>
      <c r="Z1057" s="86">
        <f>+((DETALLE_GD_1[[#This Row],[VALOR X UN (GD)]]-DETALLE_GD_1[[#This Row],[VALOR PPTO]])/DETALLE_GD_1[[#This Row],[VALOR PPTO]])</f>
        <v>9.694180522565321E-2</v>
      </c>
      <c r="AA1057" s="2">
        <f>+DETALLE_GD_1[[#This Row],[VALOR PPTO]]*DETALLE_GD_1[[#This Row],[CANTIDAD RECIBIDA]]</f>
        <v>6736</v>
      </c>
      <c r="AB10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7" s="3">
        <f>+DETALLE_GD_1[[#This Row],[CANTIDAD SOLICITADA]]-DETALLE_GD_1[[#This Row],[DEVOLUCIÓN]]</f>
        <v>4</v>
      </c>
      <c r="AD1057" s="38" t="str">
        <f>+_xlfn.XLOOKUP(DETALLE_GD_1[[#This Row],[CODIGO]],PRODUCTOS[CODIGO],PRODUCTOS[DESC CORTA],"",0)</f>
        <v/>
      </c>
    </row>
    <row r="1058" spans="1:30" x14ac:dyDescent="0.25">
      <c r="A1058" s="1">
        <v>46135</v>
      </c>
      <c r="B1058" s="1">
        <v>46135</v>
      </c>
      <c r="C1058" s="81" t="s">
        <v>169</v>
      </c>
      <c r="D1058" s="38">
        <v>4</v>
      </c>
      <c r="E1058" s="81" t="s">
        <v>169</v>
      </c>
      <c r="F1058">
        <v>1802176</v>
      </c>
      <c r="G1058" s="81" t="s">
        <v>196</v>
      </c>
      <c r="H1058" s="81" t="s">
        <v>31</v>
      </c>
      <c r="I1058" s="3">
        <v>4</v>
      </c>
      <c r="J1058" s="3"/>
      <c r="K1058" s="26">
        <v>4</v>
      </c>
      <c r="L1058" s="2">
        <v>2199</v>
      </c>
      <c r="M1058" s="2">
        <v>8796</v>
      </c>
      <c r="N1058" s="2">
        <v>8796</v>
      </c>
      <c r="O1058" s="2">
        <v>2199</v>
      </c>
      <c r="P1058" s="2">
        <v>0</v>
      </c>
      <c r="Q1058" s="2">
        <v>0</v>
      </c>
      <c r="R1058" s="4">
        <v>0</v>
      </c>
      <c r="T1058">
        <v>313401</v>
      </c>
      <c r="U1058" s="2"/>
      <c r="V1058">
        <v>6045</v>
      </c>
      <c r="W1058" s="2">
        <v>6579000000</v>
      </c>
      <c r="X1058" s="6">
        <v>8796</v>
      </c>
      <c r="Y1058" s="38">
        <v>10010</v>
      </c>
      <c r="Z1058" s="86">
        <f>+((DETALLE_GD_1[[#This Row],[VALOR X UN (GD)]]-DETALLE_GD_1[[#This Row],[VALOR PPTO]])/DETALLE_GD_1[[#This Row],[VALOR PPTO]])</f>
        <v>0</v>
      </c>
      <c r="AA1058" s="2">
        <f>+DETALLE_GD_1[[#This Row],[VALOR PPTO]]*DETALLE_GD_1[[#This Row],[CANTIDAD RECIBIDA]]</f>
        <v>8796</v>
      </c>
      <c r="AB10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8" s="3">
        <f>+DETALLE_GD_1[[#This Row],[CANTIDAD SOLICITADA]]-DETALLE_GD_1[[#This Row],[DEVOLUCIÓN]]</f>
        <v>4</v>
      </c>
      <c r="AD1058" s="38">
        <f>+_xlfn.XLOOKUP(DETALLE_GD_1[[#This Row],[CODIGO]],PRODUCTOS[CODIGO],PRODUCTOS[DESC CORTA],"",0)</f>
        <v>0</v>
      </c>
    </row>
    <row r="1059" spans="1:30" x14ac:dyDescent="0.25">
      <c r="A1059" s="1">
        <v>46135</v>
      </c>
      <c r="B1059" s="1">
        <v>46135</v>
      </c>
      <c r="C1059" s="81" t="s">
        <v>169</v>
      </c>
      <c r="D1059" s="38">
        <v>4</v>
      </c>
      <c r="E1059" s="81" t="s">
        <v>169</v>
      </c>
      <c r="F1059">
        <v>1802165</v>
      </c>
      <c r="G1059" s="81" t="s">
        <v>261</v>
      </c>
      <c r="H1059" s="81" t="s">
        <v>31</v>
      </c>
      <c r="I1059" s="3">
        <v>4</v>
      </c>
      <c r="J1059" s="3"/>
      <c r="K1059" s="26">
        <v>4</v>
      </c>
      <c r="L1059" s="2">
        <v>9122</v>
      </c>
      <c r="M1059" s="2">
        <v>36488</v>
      </c>
      <c r="N1059" s="2">
        <v>36488</v>
      </c>
      <c r="O1059" s="2">
        <v>9122</v>
      </c>
      <c r="P1059" s="2">
        <v>0</v>
      </c>
      <c r="Q1059" s="2">
        <v>0</v>
      </c>
      <c r="R1059" s="4">
        <v>0</v>
      </c>
      <c r="T1059">
        <v>313401</v>
      </c>
      <c r="U1059" s="2"/>
      <c r="V1059">
        <v>6045</v>
      </c>
      <c r="W1059" s="2">
        <v>6579000000</v>
      </c>
      <c r="X1059" s="6">
        <v>36488</v>
      </c>
      <c r="Y1059" s="38">
        <v>10010</v>
      </c>
      <c r="Z1059" s="86">
        <f>+((DETALLE_GD_1[[#This Row],[VALOR X UN (GD)]]-DETALLE_GD_1[[#This Row],[VALOR PPTO]])/DETALLE_GD_1[[#This Row],[VALOR PPTO]])</f>
        <v>0</v>
      </c>
      <c r="AA1059" s="2">
        <f>+DETALLE_GD_1[[#This Row],[VALOR PPTO]]*DETALLE_GD_1[[#This Row],[CANTIDAD RECIBIDA]]</f>
        <v>36488</v>
      </c>
      <c r="AB10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9" s="3">
        <f>+DETALLE_GD_1[[#This Row],[CANTIDAD SOLICITADA]]-DETALLE_GD_1[[#This Row],[DEVOLUCIÓN]]</f>
        <v>4</v>
      </c>
      <c r="AD1059" s="38" t="str">
        <f>+_xlfn.XLOOKUP(DETALLE_GD_1[[#This Row],[CODIGO]],PRODUCTOS[CODIGO],PRODUCTOS[DESC CORTA],"",0)</f>
        <v>NEW TS2024019)</v>
      </c>
    </row>
    <row r="1060" spans="1:30" x14ac:dyDescent="0.25">
      <c r="A1060" s="1">
        <v>46135</v>
      </c>
      <c r="B1060" s="1">
        <v>46135</v>
      </c>
      <c r="C1060" s="81" t="s">
        <v>169</v>
      </c>
      <c r="D1060" s="38">
        <v>4</v>
      </c>
      <c r="E1060" s="81" t="s">
        <v>169</v>
      </c>
      <c r="F1060">
        <v>1701154</v>
      </c>
      <c r="G1060" s="81" t="s">
        <v>713</v>
      </c>
      <c r="H1060" s="81" t="s">
        <v>31</v>
      </c>
      <c r="I1060" s="3">
        <v>4</v>
      </c>
      <c r="J1060" s="3"/>
      <c r="K1060" s="26">
        <v>4</v>
      </c>
      <c r="L1060" s="2">
        <v>1229.75</v>
      </c>
      <c r="M1060" s="2">
        <v>4919</v>
      </c>
      <c r="N1060" s="2">
        <v>4919</v>
      </c>
      <c r="O1060" s="2">
        <v>1230</v>
      </c>
      <c r="P1060" s="2">
        <v>0.25</v>
      </c>
      <c r="Q1060" s="2">
        <v>1</v>
      </c>
      <c r="R1060" s="4">
        <v>2.032520325203252E-4</v>
      </c>
      <c r="T1060">
        <v>313401</v>
      </c>
      <c r="U1060" s="2"/>
      <c r="V1060">
        <v>6045</v>
      </c>
      <c r="W1060" s="2">
        <v>6579000000</v>
      </c>
      <c r="X1060" s="6">
        <v>4920</v>
      </c>
      <c r="Y1060" s="38">
        <v>10010</v>
      </c>
      <c r="Z1060" s="86">
        <f>+((DETALLE_GD_1[[#This Row],[VALOR X UN (GD)]]-DETALLE_GD_1[[#This Row],[VALOR PPTO]])/DETALLE_GD_1[[#This Row],[VALOR PPTO]])</f>
        <v>-2.032520325203252E-4</v>
      </c>
      <c r="AA1060" s="2">
        <f>+DETALLE_GD_1[[#This Row],[VALOR PPTO]]*DETALLE_GD_1[[#This Row],[CANTIDAD RECIBIDA]]</f>
        <v>4920</v>
      </c>
      <c r="AB1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0" s="3">
        <f>+DETALLE_GD_1[[#This Row],[CANTIDAD SOLICITADA]]-DETALLE_GD_1[[#This Row],[DEVOLUCIÓN]]</f>
        <v>4</v>
      </c>
      <c r="AD1060" s="38" t="str">
        <f>+_xlfn.XLOOKUP(DETALLE_GD_1[[#This Row],[CODIGO]],PRODUCTOS[CODIGO],PRODUCTOS[DESC CORTA],"",0)</f>
        <v/>
      </c>
    </row>
    <row r="1061" spans="1:30" x14ac:dyDescent="0.25">
      <c r="A1061" s="1">
        <v>46135</v>
      </c>
      <c r="B1061" s="1">
        <v>46135</v>
      </c>
      <c r="C1061" s="81" t="s">
        <v>169</v>
      </c>
      <c r="D1061" s="38">
        <v>4</v>
      </c>
      <c r="E1061" s="81" t="s">
        <v>169</v>
      </c>
      <c r="F1061">
        <v>1802175</v>
      </c>
      <c r="G1061" s="81" t="s">
        <v>269</v>
      </c>
      <c r="H1061" s="81" t="s">
        <v>31</v>
      </c>
      <c r="I1061" s="3">
        <v>4</v>
      </c>
      <c r="J1061" s="3"/>
      <c r="K1061" s="26">
        <v>4</v>
      </c>
      <c r="L1061" s="2">
        <v>1079</v>
      </c>
      <c r="M1061" s="2">
        <v>4316</v>
      </c>
      <c r="N1061" s="2">
        <v>4316</v>
      </c>
      <c r="O1061" s="2">
        <v>1079</v>
      </c>
      <c r="P1061" s="2">
        <v>0</v>
      </c>
      <c r="Q1061" s="2">
        <v>0</v>
      </c>
      <c r="R1061" s="4">
        <v>0</v>
      </c>
      <c r="T1061">
        <v>313401</v>
      </c>
      <c r="U1061" s="2"/>
      <c r="V1061">
        <v>6045</v>
      </c>
      <c r="W1061" s="2">
        <v>6579000000</v>
      </c>
      <c r="X1061" s="6">
        <v>4316</v>
      </c>
      <c r="Y1061" s="38">
        <v>10010</v>
      </c>
      <c r="Z1061" s="86">
        <f>+((DETALLE_GD_1[[#This Row],[VALOR X UN (GD)]]-DETALLE_GD_1[[#This Row],[VALOR PPTO]])/DETALLE_GD_1[[#This Row],[VALOR PPTO]])</f>
        <v>0</v>
      </c>
      <c r="AA1061" s="2">
        <f>+DETALLE_GD_1[[#This Row],[VALOR PPTO]]*DETALLE_GD_1[[#This Row],[CANTIDAD RECIBIDA]]</f>
        <v>4316</v>
      </c>
      <c r="AB10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1" s="3">
        <f>+DETALLE_GD_1[[#This Row],[CANTIDAD SOLICITADA]]-DETALLE_GD_1[[#This Row],[DEVOLUCIÓN]]</f>
        <v>4</v>
      </c>
      <c r="AD1061" s="38" t="str">
        <f>+_xlfn.XLOOKUP(DETALLE_GD_1[[#This Row],[CODIGO]],PRODUCTOS[CODIGO],PRODUCTOS[DESC CORTA],"",0)</f>
        <v>UÑETAS INSTLACION LAVAMANOS</v>
      </c>
    </row>
    <row r="1062" spans="1:30" x14ac:dyDescent="0.25">
      <c r="A1062" s="1">
        <v>46135</v>
      </c>
      <c r="B1062" s="1">
        <v>46135</v>
      </c>
      <c r="C1062" s="81" t="s">
        <v>169</v>
      </c>
      <c r="D1062" s="38">
        <v>4</v>
      </c>
      <c r="E1062" s="81" t="s">
        <v>169</v>
      </c>
      <c r="F1062">
        <v>1802174</v>
      </c>
      <c r="G1062" s="81" t="s">
        <v>268</v>
      </c>
      <c r="H1062" s="81" t="s">
        <v>31</v>
      </c>
      <c r="I1062" s="3">
        <v>4</v>
      </c>
      <c r="J1062" s="3"/>
      <c r="K1062" s="26">
        <v>4</v>
      </c>
      <c r="L1062" s="2">
        <v>7701.75</v>
      </c>
      <c r="M1062" s="2">
        <v>30807</v>
      </c>
      <c r="N1062" s="2">
        <v>30807</v>
      </c>
      <c r="O1062" s="2">
        <v>7709</v>
      </c>
      <c r="P1062" s="2">
        <v>7.25</v>
      </c>
      <c r="Q1062" s="2">
        <v>29</v>
      </c>
      <c r="R1062" s="4">
        <v>9.4045920352834353E-4</v>
      </c>
      <c r="T1062">
        <v>313401</v>
      </c>
      <c r="U1062" s="2"/>
      <c r="V1062">
        <v>6045</v>
      </c>
      <c r="W1062" s="2">
        <v>6579000000</v>
      </c>
      <c r="X1062" s="6">
        <v>30836</v>
      </c>
      <c r="Y1062" s="38">
        <v>10010</v>
      </c>
      <c r="Z1062" s="86">
        <f>+((DETALLE_GD_1[[#This Row],[VALOR X UN (GD)]]-DETALLE_GD_1[[#This Row],[VALOR PPTO]])/DETALLE_GD_1[[#This Row],[VALOR PPTO]])</f>
        <v>-9.4045920352834353E-4</v>
      </c>
      <c r="AA1062" s="2">
        <f>+DETALLE_GD_1[[#This Row],[VALOR PPTO]]*DETALLE_GD_1[[#This Row],[CANTIDAD RECIBIDA]]</f>
        <v>30836</v>
      </c>
      <c r="AB10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2" s="3">
        <f>+DETALLE_GD_1[[#This Row],[CANTIDAD SOLICITADA]]-DETALLE_GD_1[[#This Row],[DEVOLUCIÓN]]</f>
        <v>4</v>
      </c>
      <c r="AD1062" s="38" t="str">
        <f>+_xlfn.XLOOKUP(DETALLE_GD_1[[#This Row],[CODIGO]],PRODUCTOS[CODIGO],PRODUCTOS[DESC CORTA],"",0)</f>
        <v>PEDESTAL DS THEOS</v>
      </c>
    </row>
    <row r="1063" spans="1:30" x14ac:dyDescent="0.25">
      <c r="A1063" s="1">
        <v>46135</v>
      </c>
      <c r="B1063" s="1">
        <v>46135</v>
      </c>
      <c r="C1063" s="81" t="s">
        <v>169</v>
      </c>
      <c r="D1063" s="38">
        <v>4</v>
      </c>
      <c r="E1063" s="81" t="s">
        <v>169</v>
      </c>
      <c r="F1063">
        <v>1802173</v>
      </c>
      <c r="G1063" s="81" t="s">
        <v>267</v>
      </c>
      <c r="H1063" s="81" t="s">
        <v>31</v>
      </c>
      <c r="I1063" s="3">
        <v>4</v>
      </c>
      <c r="J1063" s="3"/>
      <c r="K1063" s="26">
        <v>4</v>
      </c>
      <c r="L1063" s="2">
        <v>11984.5</v>
      </c>
      <c r="M1063" s="2">
        <v>47938</v>
      </c>
      <c r="N1063" s="2">
        <v>47938</v>
      </c>
      <c r="O1063" s="2">
        <v>11996</v>
      </c>
      <c r="P1063" s="2">
        <v>11.5</v>
      </c>
      <c r="Q1063" s="2">
        <v>46</v>
      </c>
      <c r="R1063" s="4">
        <v>9.5865288429476496E-4</v>
      </c>
      <c r="T1063">
        <v>313401</v>
      </c>
      <c r="U1063" s="2"/>
      <c r="V1063">
        <v>6045</v>
      </c>
      <c r="W1063" s="2">
        <v>6579000000</v>
      </c>
      <c r="X1063" s="6">
        <v>47984</v>
      </c>
      <c r="Y1063" s="38">
        <v>10010</v>
      </c>
      <c r="Z1063" s="86">
        <f>+((DETALLE_GD_1[[#This Row],[VALOR X UN (GD)]]-DETALLE_GD_1[[#This Row],[VALOR PPTO]])/DETALLE_GD_1[[#This Row],[VALOR PPTO]])</f>
        <v>-9.5865288429476496E-4</v>
      </c>
      <c r="AA1063" s="2">
        <f>+DETALLE_GD_1[[#This Row],[VALOR PPTO]]*DETALLE_GD_1[[#This Row],[CANTIDAD RECIBIDA]]</f>
        <v>47984</v>
      </c>
      <c r="AB1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3" s="3">
        <f>+DETALLE_GD_1[[#This Row],[CANTIDAD SOLICITADA]]-DETALLE_GD_1[[#This Row],[DEVOLUCIÓN]]</f>
        <v>4</v>
      </c>
      <c r="AD1063" s="38" t="str">
        <f>+_xlfn.XLOOKUP(DETALLE_GD_1[[#This Row],[CODIGO]],PRODUCTOS[CODIGO],PRODUCTOS[DESC CORTA],"",0)</f>
        <v>LAVAMANOS DS THEOS</v>
      </c>
    </row>
    <row r="1064" spans="1:30" x14ac:dyDescent="0.25">
      <c r="A1064" s="1">
        <v>46135</v>
      </c>
      <c r="B1064" s="1">
        <v>46135</v>
      </c>
      <c r="C1064" s="81" t="s">
        <v>169</v>
      </c>
      <c r="D1064" s="38">
        <v>4</v>
      </c>
      <c r="E1064" s="81" t="s">
        <v>169</v>
      </c>
      <c r="F1064">
        <v>5316484</v>
      </c>
      <c r="G1064" s="81" t="s">
        <v>96</v>
      </c>
      <c r="H1064" s="81" t="s">
        <v>31</v>
      </c>
      <c r="I1064" s="3">
        <v>8</v>
      </c>
      <c r="J1064" s="3"/>
      <c r="K1064" s="26">
        <v>8</v>
      </c>
      <c r="L1064" s="2">
        <v>4283.5</v>
      </c>
      <c r="M1064" s="2">
        <v>34268</v>
      </c>
      <c r="N1064" s="2">
        <v>34268</v>
      </c>
      <c r="O1064" s="2">
        <v>4372.7272999999996</v>
      </c>
      <c r="P1064" s="2">
        <v>89.2273</v>
      </c>
      <c r="Q1064" s="2">
        <v>713.81820000000005</v>
      </c>
      <c r="R1064" s="4">
        <v>2.0405405466502876E-2</v>
      </c>
      <c r="T1064">
        <v>313401</v>
      </c>
      <c r="U1064" s="2"/>
      <c r="V1064">
        <v>6045</v>
      </c>
      <c r="W1064" s="2">
        <v>6579000000</v>
      </c>
      <c r="X1064" s="6">
        <v>34981.818184000003</v>
      </c>
      <c r="Y1064" s="38">
        <v>10010</v>
      </c>
      <c r="Z1064" s="86">
        <f>+((DETALLE_GD_1[[#This Row],[VALOR X UN (GD)]]-DETALLE_GD_1[[#This Row],[VALOR PPTO]])/DETALLE_GD_1[[#This Row],[VALOR PPTO]])</f>
        <v>-2.0405411515142864E-2</v>
      </c>
      <c r="AA1064" s="2">
        <f>+DETALLE_GD_1[[#This Row],[VALOR PPTO]]*DETALLE_GD_1[[#This Row],[CANTIDAD RECIBIDA]]</f>
        <v>34981.818399999996</v>
      </c>
      <c r="AB1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4" s="3">
        <f>+DETALLE_GD_1[[#This Row],[CANTIDAD SOLICITADA]]-DETALLE_GD_1[[#This Row],[DEVOLUCIÓN]]</f>
        <v>8</v>
      </c>
      <c r="AD1064" s="38" t="str">
        <f>+_xlfn.XLOOKUP(DETALLE_GD_1[[#This Row],[CODIGO]],PRODUCTOS[CODIGO],PRODUCTOS[DESC CORTA],"",0)</f>
        <v>LLAVE DE BOLA AC</v>
      </c>
    </row>
    <row r="1065" spans="1:30" x14ac:dyDescent="0.25">
      <c r="A1065" s="1">
        <v>46135</v>
      </c>
      <c r="B1065" s="1">
        <v>46135</v>
      </c>
      <c r="C1065" s="81" t="s">
        <v>169</v>
      </c>
      <c r="D1065" s="38">
        <v>4</v>
      </c>
      <c r="E1065" s="81" t="s">
        <v>169</v>
      </c>
      <c r="F1065">
        <v>5316483</v>
      </c>
      <c r="G1065" s="81" t="s">
        <v>97</v>
      </c>
      <c r="H1065" s="81" t="s">
        <v>31</v>
      </c>
      <c r="I1065" s="3">
        <v>8</v>
      </c>
      <c r="J1065" s="3"/>
      <c r="K1065" s="26">
        <v>8</v>
      </c>
      <c r="L1065" s="2">
        <v>2984.125</v>
      </c>
      <c r="M1065" s="2">
        <v>23873</v>
      </c>
      <c r="N1065" s="2">
        <v>23873</v>
      </c>
      <c r="O1065" s="2">
        <v>3237.6071000000002</v>
      </c>
      <c r="P1065" s="2">
        <v>253.4821</v>
      </c>
      <c r="Q1065" s="2">
        <v>2027.8570999999999</v>
      </c>
      <c r="R1065" s="4">
        <v>7.8293051566818886E-2</v>
      </c>
      <c r="T1065">
        <v>313401</v>
      </c>
      <c r="U1065" s="2"/>
      <c r="V1065">
        <v>6045</v>
      </c>
      <c r="W1065" s="2">
        <v>6579000000</v>
      </c>
      <c r="X1065" s="6">
        <v>25900.857144000001</v>
      </c>
      <c r="Y1065" s="38">
        <v>10010</v>
      </c>
      <c r="Z1065" s="86">
        <f>+((DETALLE_GD_1[[#This Row],[VALOR X UN (GD)]]-DETALLE_GD_1[[#This Row],[VALOR PPTO]])/DETALLE_GD_1[[#This Row],[VALOR PPTO]])</f>
        <v>-7.8293039325247393E-2</v>
      </c>
      <c r="AA1065" s="2">
        <f>+DETALLE_GD_1[[#This Row],[VALOR PPTO]]*DETALLE_GD_1[[#This Row],[CANTIDAD RECIBIDA]]</f>
        <v>25900.856800000001</v>
      </c>
      <c r="AB1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5" s="3">
        <f>+DETALLE_GD_1[[#This Row],[CANTIDAD SOLICITADA]]-DETALLE_GD_1[[#This Row],[DEVOLUCIÓN]]</f>
        <v>8</v>
      </c>
      <c r="AD1065" s="38" t="str">
        <f>+_xlfn.XLOOKUP(DETALLE_GD_1[[#This Row],[CODIGO]],PRODUCTOS[CODIGO],PRODUCTOS[DESC CORTA],"",0)</f>
        <v>LLAVE DE BOLA AF</v>
      </c>
    </row>
    <row r="1066" spans="1:30" x14ac:dyDescent="0.25">
      <c r="A1066" s="1">
        <v>46135</v>
      </c>
      <c r="B1066" s="1">
        <v>46135</v>
      </c>
      <c r="C1066" s="81" t="s">
        <v>169</v>
      </c>
      <c r="D1066" s="38">
        <v>4</v>
      </c>
      <c r="E1066" s="81" t="s">
        <v>169</v>
      </c>
      <c r="F1066">
        <v>1802170</v>
      </c>
      <c r="G1066" s="81" t="s">
        <v>264</v>
      </c>
      <c r="H1066" s="81" t="s">
        <v>31</v>
      </c>
      <c r="I1066" s="3">
        <v>8</v>
      </c>
      <c r="J1066" s="3"/>
      <c r="K1066" s="26">
        <v>8</v>
      </c>
      <c r="L1066" s="2">
        <v>2043</v>
      </c>
      <c r="M1066" s="2">
        <v>16344</v>
      </c>
      <c r="N1066" s="2">
        <v>16344</v>
      </c>
      <c r="O1066" s="2">
        <v>2043</v>
      </c>
      <c r="P1066" s="2">
        <v>0</v>
      </c>
      <c r="Q1066" s="2">
        <v>0</v>
      </c>
      <c r="R1066" s="4">
        <v>0</v>
      </c>
      <c r="T1066">
        <v>313401</v>
      </c>
      <c r="U1066" s="2"/>
      <c r="V1066">
        <v>6045</v>
      </c>
      <c r="W1066" s="2">
        <v>6579000000</v>
      </c>
      <c r="X1066" s="6">
        <v>16344</v>
      </c>
      <c r="Y1066" s="38">
        <v>10010</v>
      </c>
      <c r="Z1066" s="86">
        <f>+((DETALLE_GD_1[[#This Row],[VALOR X UN (GD)]]-DETALLE_GD_1[[#This Row],[VALOR PPTO]])/DETALLE_GD_1[[#This Row],[VALOR PPTO]])</f>
        <v>0</v>
      </c>
      <c r="AA1066" s="2">
        <f>+DETALLE_GD_1[[#This Row],[VALOR PPTO]]*DETALLE_GD_1[[#This Row],[CANTIDAD RECIBIDA]]</f>
        <v>16344</v>
      </c>
      <c r="AB10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6" s="3">
        <f>+DETALLE_GD_1[[#This Row],[CANTIDAD SOLICITADA]]-DETALLE_GD_1[[#This Row],[DEVOLUCIÓN]]</f>
        <v>8</v>
      </c>
      <c r="AD1066" s="38">
        <f>+_xlfn.XLOOKUP(DETALLE_GD_1[[#This Row],[CODIGO]],PRODUCTOS[CODIGO],PRODUCTOS[DESC CORTA],"",0)</f>
        <v>0</v>
      </c>
    </row>
    <row r="1067" spans="1:30" x14ac:dyDescent="0.25">
      <c r="A1067" s="1">
        <v>46135</v>
      </c>
      <c r="B1067" s="1">
        <v>46135</v>
      </c>
      <c r="C1067" s="81" t="s">
        <v>169</v>
      </c>
      <c r="D1067" s="38">
        <v>4</v>
      </c>
      <c r="E1067" s="81" t="s">
        <v>169</v>
      </c>
      <c r="F1067">
        <v>1802169</v>
      </c>
      <c r="G1067" s="81" t="s">
        <v>263</v>
      </c>
      <c r="H1067" s="81" t="s">
        <v>31</v>
      </c>
      <c r="I1067" s="3">
        <v>4</v>
      </c>
      <c r="J1067" s="3"/>
      <c r="K1067" s="26">
        <v>4</v>
      </c>
      <c r="L1067" s="2">
        <v>10730</v>
      </c>
      <c r="M1067" s="2">
        <v>42920</v>
      </c>
      <c r="N1067" s="2">
        <v>42920</v>
      </c>
      <c r="O1067" s="2">
        <v>10741</v>
      </c>
      <c r="P1067" s="2">
        <v>11</v>
      </c>
      <c r="Q1067" s="2">
        <v>44</v>
      </c>
      <c r="R1067" s="4">
        <v>1.0241132110604227E-3</v>
      </c>
      <c r="T1067">
        <v>313401</v>
      </c>
      <c r="U1067" s="2"/>
      <c r="V1067">
        <v>6045</v>
      </c>
      <c r="W1067" s="2">
        <v>6579000000</v>
      </c>
      <c r="X1067" s="6">
        <v>42964</v>
      </c>
      <c r="Y1067" s="38">
        <v>10010</v>
      </c>
      <c r="Z1067" s="86">
        <f>+((DETALLE_GD_1[[#This Row],[VALOR X UN (GD)]]-DETALLE_GD_1[[#This Row],[VALOR PPTO]])/DETALLE_GD_1[[#This Row],[VALOR PPTO]])</f>
        <v>-1.0241132110604227E-3</v>
      </c>
      <c r="AA1067" s="2">
        <f>+DETALLE_GD_1[[#This Row],[VALOR PPTO]]*DETALLE_GD_1[[#This Row],[CANTIDAD RECIBIDA]]</f>
        <v>42964</v>
      </c>
      <c r="AB10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7" s="3">
        <f>+DETALLE_GD_1[[#This Row],[CANTIDAD SOLICITADA]]-DETALLE_GD_1[[#This Row],[DEVOLUCIÓN]]</f>
        <v>4</v>
      </c>
      <c r="AD1067" s="38" t="str">
        <f>+_xlfn.XLOOKUP(DETALLE_GD_1[[#This Row],[CODIGO]],PRODUCTOS[CODIGO],PRODUCTOS[DESC CORTA],"",0)</f>
        <v>LAVARROPA PLATICO DS</v>
      </c>
    </row>
    <row r="1068" spans="1:30" x14ac:dyDescent="0.25">
      <c r="A1068" s="1">
        <v>46135</v>
      </c>
      <c r="B1068" s="1">
        <v>46135</v>
      </c>
      <c r="C1068" s="81" t="s">
        <v>169</v>
      </c>
      <c r="D1068" s="38">
        <v>4</v>
      </c>
      <c r="E1068" s="81" t="s">
        <v>169</v>
      </c>
      <c r="F1068">
        <v>1802162</v>
      </c>
      <c r="G1068" s="81" t="s">
        <v>260</v>
      </c>
      <c r="H1068" s="81" t="s">
        <v>31</v>
      </c>
      <c r="I1068" s="3">
        <v>4</v>
      </c>
      <c r="J1068" s="3"/>
      <c r="K1068" s="26">
        <v>4</v>
      </c>
      <c r="L1068" s="2">
        <v>42840</v>
      </c>
      <c r="M1068" s="2">
        <v>171360</v>
      </c>
      <c r="N1068" s="2">
        <v>171360</v>
      </c>
      <c r="O1068" s="2">
        <v>42840</v>
      </c>
      <c r="P1068" s="2">
        <v>0</v>
      </c>
      <c r="Q1068" s="2">
        <v>0</v>
      </c>
      <c r="R1068" s="4">
        <v>0</v>
      </c>
      <c r="T1068">
        <v>313405</v>
      </c>
      <c r="U1068" s="2">
        <v>433713</v>
      </c>
      <c r="V1068">
        <v>6045</v>
      </c>
      <c r="W1068" s="2">
        <v>6579000000</v>
      </c>
      <c r="X1068" s="6">
        <v>171360</v>
      </c>
      <c r="Y1068" s="38">
        <v>10010</v>
      </c>
      <c r="Z1068" s="86">
        <f>+((DETALLE_GD_1[[#This Row],[VALOR X UN (GD)]]-DETALLE_GD_1[[#This Row],[VALOR PPTO]])/DETALLE_GD_1[[#This Row],[VALOR PPTO]])</f>
        <v>0</v>
      </c>
      <c r="AA1068" s="2">
        <f>+DETALLE_GD_1[[#This Row],[VALOR PPTO]]*DETALLE_GD_1[[#This Row],[CANTIDAD RECIBIDA]]</f>
        <v>171360</v>
      </c>
      <c r="AB1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8" s="3">
        <f>+DETALLE_GD_1[[#This Row],[CANTIDAD SOLICITADA]]-DETALLE_GD_1[[#This Row],[DEVOLUCIÓN]]</f>
        <v>4</v>
      </c>
      <c r="AD1068" s="38" t="str">
        <f>+_xlfn.XLOOKUP(DETALLE_GD_1[[#This Row],[CODIGO]],PRODUCTOS[CODIGO],PRODUCTOS[DESC CORTA],"",0)</f>
        <v>TINA DE ACERO</v>
      </c>
    </row>
    <row r="1069" spans="1:30" x14ac:dyDescent="0.25">
      <c r="A1069" s="1">
        <v>46135</v>
      </c>
      <c r="B1069" s="1">
        <v>46135</v>
      </c>
      <c r="C1069" s="81" t="s">
        <v>169</v>
      </c>
      <c r="D1069" s="38">
        <v>4</v>
      </c>
      <c r="E1069" s="81" t="s">
        <v>169</v>
      </c>
      <c r="F1069">
        <v>1801229</v>
      </c>
      <c r="G1069" s="81" t="s">
        <v>259</v>
      </c>
      <c r="H1069" s="81" t="s">
        <v>31</v>
      </c>
      <c r="I1069" s="3">
        <v>4</v>
      </c>
      <c r="J1069" s="3"/>
      <c r="K1069" s="26">
        <v>4</v>
      </c>
      <c r="L1069" s="2">
        <v>5177.5</v>
      </c>
      <c r="M1069" s="2">
        <v>20710</v>
      </c>
      <c r="N1069" s="2">
        <v>20710</v>
      </c>
      <c r="O1069" s="2">
        <v>4675.5185000000001</v>
      </c>
      <c r="P1069" s="2">
        <v>-501.98149999999998</v>
      </c>
      <c r="Q1069" s="2">
        <v>-2007.9259</v>
      </c>
      <c r="R1069" s="4">
        <v>-0.10736380980207594</v>
      </c>
      <c r="T1069">
        <v>313405</v>
      </c>
      <c r="U1069" s="2"/>
      <c r="V1069">
        <v>6045</v>
      </c>
      <c r="W1069" s="2">
        <v>6579000000</v>
      </c>
      <c r="X1069" s="6">
        <v>18702.074076000001</v>
      </c>
      <c r="Y1069" s="38">
        <v>10010</v>
      </c>
      <c r="Z1069" s="86">
        <f>+((DETALLE_GD_1[[#This Row],[VALOR X UN (GD)]]-DETALLE_GD_1[[#This Row],[VALOR PPTO]])/DETALLE_GD_1[[#This Row],[VALOR PPTO]])</f>
        <v>0.10736381430209288</v>
      </c>
      <c r="AA1069" s="2">
        <f>+DETALLE_GD_1[[#This Row],[VALOR PPTO]]*DETALLE_GD_1[[#This Row],[CANTIDAD RECIBIDA]]</f>
        <v>18702.074000000001</v>
      </c>
      <c r="AB1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9" s="3">
        <f>+DETALLE_GD_1[[#This Row],[CANTIDAD SOLICITADA]]-DETALLE_GD_1[[#This Row],[DEVOLUCIÓN]]</f>
        <v>4</v>
      </c>
      <c r="AD1069" s="38" t="str">
        <f>+_xlfn.XLOOKUP(DETALLE_GD_1[[#This Row],[CODIGO]],PRODUCTOS[CODIGO],PRODUCTOS[DESC CORTA],"",0)</f>
        <v>KIT DESAGUE TINA</v>
      </c>
    </row>
    <row r="1070" spans="1:30" x14ac:dyDescent="0.25">
      <c r="A1070" s="1">
        <v>46135</v>
      </c>
      <c r="B1070" s="1">
        <v>46135</v>
      </c>
      <c r="C1070" s="81" t="s">
        <v>169</v>
      </c>
      <c r="D1070" s="38">
        <v>4</v>
      </c>
      <c r="E1070" s="81" t="s">
        <v>169</v>
      </c>
      <c r="F1070">
        <v>1802167</v>
      </c>
      <c r="G1070" s="81" t="s">
        <v>262</v>
      </c>
      <c r="H1070" s="81" t="s">
        <v>31</v>
      </c>
      <c r="I1070" s="3">
        <v>4</v>
      </c>
      <c r="J1070" s="3"/>
      <c r="K1070" s="26">
        <v>4</v>
      </c>
      <c r="L1070" s="2">
        <v>14972</v>
      </c>
      <c r="M1070" s="2">
        <v>59888</v>
      </c>
      <c r="N1070" s="2">
        <v>59888</v>
      </c>
      <c r="O1070" s="2">
        <v>14972</v>
      </c>
      <c r="P1070" s="2">
        <v>0</v>
      </c>
      <c r="Q1070" s="2">
        <v>0</v>
      </c>
      <c r="R1070" s="4">
        <v>0</v>
      </c>
      <c r="T1070">
        <v>313405</v>
      </c>
      <c r="U1070" s="2"/>
      <c r="V1070">
        <v>6045</v>
      </c>
      <c r="W1070" s="2">
        <v>6579000000</v>
      </c>
      <c r="X1070" s="6">
        <v>59888</v>
      </c>
      <c r="Y1070" s="38">
        <v>10010</v>
      </c>
      <c r="Z1070" s="86">
        <f>+((DETALLE_GD_1[[#This Row],[VALOR X UN (GD)]]-DETALLE_GD_1[[#This Row],[VALOR PPTO]])/DETALLE_GD_1[[#This Row],[VALOR PPTO]])</f>
        <v>0</v>
      </c>
      <c r="AA1070" s="2">
        <f>+DETALLE_GD_1[[#This Row],[VALOR PPTO]]*DETALLE_GD_1[[#This Row],[CANTIDAD RECIBIDA]]</f>
        <v>59888</v>
      </c>
      <c r="AB1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0" s="3">
        <f>+DETALLE_GD_1[[#This Row],[CANTIDAD SOLICITADA]]-DETALLE_GD_1[[#This Row],[DEVOLUCIÓN]]</f>
        <v>4</v>
      </c>
      <c r="AD1070" s="38" t="str">
        <f>+_xlfn.XLOOKUP(DETALLE_GD_1[[#This Row],[CODIGO]],PRODUCTOS[CODIGO],PRODUCTOS[DESC CORTA],"",0)</f>
        <v>NEW DUCHA SIMPLE, SOPORTE Y FLEXIBLE 1.5M 8LPM, ESTIU (TS2024020)</v>
      </c>
    </row>
    <row r="1071" spans="1:30" x14ac:dyDescent="0.25">
      <c r="A1071" s="1">
        <v>46135</v>
      </c>
      <c r="B1071" s="1">
        <v>46135</v>
      </c>
      <c r="C1071" s="81" t="s">
        <v>169</v>
      </c>
      <c r="D1071" s="38">
        <v>4</v>
      </c>
      <c r="E1071" s="81" t="s">
        <v>169</v>
      </c>
      <c r="F1071">
        <v>1808148</v>
      </c>
      <c r="G1071" s="81" t="s">
        <v>276</v>
      </c>
      <c r="H1071" s="81" t="s">
        <v>31</v>
      </c>
      <c r="I1071" s="3">
        <v>5</v>
      </c>
      <c r="J1071" s="3"/>
      <c r="K1071" s="26">
        <v>5</v>
      </c>
      <c r="L1071" s="2">
        <v>1098.5999999999999</v>
      </c>
      <c r="M1071" s="2">
        <v>5493</v>
      </c>
      <c r="N1071" s="2">
        <v>5493</v>
      </c>
      <c r="O1071" s="2">
        <v>1089</v>
      </c>
      <c r="P1071" s="2">
        <v>-9.6</v>
      </c>
      <c r="Q1071" s="2">
        <v>-48</v>
      </c>
      <c r="R1071" s="4">
        <v>-8.815426997245095E-3</v>
      </c>
      <c r="T1071">
        <v>313405</v>
      </c>
      <c r="U1071" s="2"/>
      <c r="V1071">
        <v>6045</v>
      </c>
      <c r="W1071" s="2">
        <v>6579000000</v>
      </c>
      <c r="X1071" s="6">
        <v>5445</v>
      </c>
      <c r="Y1071" s="38">
        <v>10010</v>
      </c>
      <c r="Z1071" s="86">
        <f>+((DETALLE_GD_1[[#This Row],[VALOR X UN (GD)]]-DETALLE_GD_1[[#This Row],[VALOR PPTO]])/DETALLE_GD_1[[#This Row],[VALOR PPTO]])</f>
        <v>8.815426997245095E-3</v>
      </c>
      <c r="AA1071" s="2">
        <f>+DETALLE_GD_1[[#This Row],[VALOR PPTO]]*DETALLE_GD_1[[#This Row],[CANTIDAD RECIBIDA]]</f>
        <v>5445</v>
      </c>
      <c r="AB1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1" s="3">
        <f>+DETALLE_GD_1[[#This Row],[CANTIDAD SOLICITADA]]-DETALLE_GD_1[[#This Row],[DEVOLUCIÓN]]</f>
        <v>5</v>
      </c>
      <c r="AD1071" s="38" t="str">
        <f>+_xlfn.XLOOKUP(DETALLE_GD_1[[#This Row],[CODIGO]],PRODUCTOS[CODIGO],PRODUCTOS[DESC CORTA],"",0)</f>
        <v>SELLO INSTALACION WC</v>
      </c>
    </row>
    <row r="1072" spans="1:30" x14ac:dyDescent="0.25">
      <c r="A1072" s="1">
        <v>46135</v>
      </c>
      <c r="B1072" s="1">
        <v>46135</v>
      </c>
      <c r="C1072" s="81" t="s">
        <v>169</v>
      </c>
      <c r="D1072" s="38">
        <v>4</v>
      </c>
      <c r="E1072" s="81" t="s">
        <v>169</v>
      </c>
      <c r="F1072">
        <v>1808145</v>
      </c>
      <c r="G1072" s="81" t="s">
        <v>273</v>
      </c>
      <c r="H1072" s="81" t="s">
        <v>31</v>
      </c>
      <c r="I1072" s="3">
        <v>4</v>
      </c>
      <c r="J1072" s="3"/>
      <c r="K1072" s="26">
        <v>4</v>
      </c>
      <c r="L1072" s="2">
        <v>16269.75</v>
      </c>
      <c r="M1072" s="2">
        <v>65079</v>
      </c>
      <c r="N1072" s="2">
        <v>65079</v>
      </c>
      <c r="O1072" s="2">
        <v>17145</v>
      </c>
      <c r="P1072" s="2">
        <v>875.25</v>
      </c>
      <c r="Q1072" s="2">
        <v>3501</v>
      </c>
      <c r="R1072" s="4">
        <v>5.1049868766404202E-2</v>
      </c>
      <c r="T1072">
        <v>313405</v>
      </c>
      <c r="U1072" s="2"/>
      <c r="V1072">
        <v>6045</v>
      </c>
      <c r="W1072" s="2">
        <v>6579000000</v>
      </c>
      <c r="X1072" s="6">
        <v>68580</v>
      </c>
      <c r="Y1072" s="38">
        <v>10010</v>
      </c>
      <c r="Z1072" s="86">
        <f>+((DETALLE_GD_1[[#This Row],[VALOR X UN (GD)]]-DETALLE_GD_1[[#This Row],[VALOR PPTO]])/DETALLE_GD_1[[#This Row],[VALOR PPTO]])</f>
        <v>-5.1049868766404202E-2</v>
      </c>
      <c r="AA1072" s="2">
        <f>+DETALLE_GD_1[[#This Row],[VALOR PPTO]]*DETALLE_GD_1[[#This Row],[CANTIDAD RECIBIDA]]</f>
        <v>68580</v>
      </c>
      <c r="AB1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2" s="3">
        <f>+DETALLE_GD_1[[#This Row],[CANTIDAD SOLICITADA]]-DETALLE_GD_1[[#This Row],[DEVOLUCIÓN]]</f>
        <v>4</v>
      </c>
      <c r="AD1072" s="38" t="str">
        <f>+_xlfn.XLOOKUP(DETALLE_GD_1[[#This Row],[CODIGO]],PRODUCTOS[CODIGO],PRODUCTOS[DESC CORTA],"",0)</f>
        <v>ESTANQUE WC AURA</v>
      </c>
    </row>
    <row r="1073" spans="1:30" x14ac:dyDescent="0.25">
      <c r="A1073" s="1">
        <v>46135</v>
      </c>
      <c r="B1073" s="1">
        <v>46135</v>
      </c>
      <c r="C1073" s="81" t="s">
        <v>169</v>
      </c>
      <c r="D1073" s="38">
        <v>4</v>
      </c>
      <c r="E1073" s="81" t="s">
        <v>169</v>
      </c>
      <c r="F1073">
        <v>1808144</v>
      </c>
      <c r="G1073" s="81" t="s">
        <v>272</v>
      </c>
      <c r="H1073" s="81" t="s">
        <v>31</v>
      </c>
      <c r="I1073" s="3">
        <v>4</v>
      </c>
      <c r="J1073" s="3"/>
      <c r="K1073" s="26">
        <v>4</v>
      </c>
      <c r="L1073" s="2">
        <v>23316.75</v>
      </c>
      <c r="M1073" s="2">
        <v>93267</v>
      </c>
      <c r="N1073" s="2">
        <v>93267</v>
      </c>
      <c r="O1073" s="2">
        <v>23228</v>
      </c>
      <c r="P1073" s="2">
        <v>-88.75</v>
      </c>
      <c r="Q1073" s="2">
        <v>-355</v>
      </c>
      <c r="R1073" s="4">
        <v>-3.820819700361632E-3</v>
      </c>
      <c r="T1073">
        <v>313405</v>
      </c>
      <c r="U1073" s="2"/>
      <c r="V1073">
        <v>6045</v>
      </c>
      <c r="W1073" s="2">
        <v>6579000000</v>
      </c>
      <c r="X1073" s="6">
        <v>92912</v>
      </c>
      <c r="Y1073" s="38">
        <v>10010</v>
      </c>
      <c r="Z1073" s="86">
        <f>+((DETALLE_GD_1[[#This Row],[VALOR X UN (GD)]]-DETALLE_GD_1[[#This Row],[VALOR PPTO]])/DETALLE_GD_1[[#This Row],[VALOR PPTO]])</f>
        <v>3.8208197003616324E-3</v>
      </c>
      <c r="AA1073" s="2">
        <f>+DETALLE_GD_1[[#This Row],[VALOR PPTO]]*DETALLE_GD_1[[#This Row],[CANTIDAD RECIBIDA]]</f>
        <v>92912</v>
      </c>
      <c r="AB10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3" s="3">
        <f>+DETALLE_GD_1[[#This Row],[CANTIDAD SOLICITADA]]-DETALLE_GD_1[[#This Row],[DEVOLUCIÓN]]</f>
        <v>4</v>
      </c>
      <c r="AD1073" s="38" t="str">
        <f>+_xlfn.XLOOKUP(DETALLE_GD_1[[#This Row],[CODIGO]],PRODUCTOS[CODIGO],PRODUCTOS[DESC CORTA],"",0)</f>
        <v>TAZA WC AURA</v>
      </c>
    </row>
    <row r="1074" spans="1:30" x14ac:dyDescent="0.25">
      <c r="A1074" s="1">
        <v>46135</v>
      </c>
      <c r="B1074" s="1">
        <v>46135</v>
      </c>
      <c r="C1074" s="81" t="s">
        <v>169</v>
      </c>
      <c r="D1074" s="38">
        <v>4</v>
      </c>
      <c r="E1074" s="81" t="s">
        <v>169</v>
      </c>
      <c r="F1074">
        <v>407795</v>
      </c>
      <c r="G1074" s="81" t="s">
        <v>325</v>
      </c>
      <c r="H1074" s="81" t="s">
        <v>31</v>
      </c>
      <c r="I1074" s="3">
        <v>4</v>
      </c>
      <c r="J1074" s="3"/>
      <c r="K1074" s="26">
        <v>4</v>
      </c>
      <c r="L1074" s="2">
        <v>1611</v>
      </c>
      <c r="M1074" s="2">
        <v>6444</v>
      </c>
      <c r="N1074" s="2">
        <v>6444</v>
      </c>
      <c r="O1074" s="2">
        <v>1610.9336000000001</v>
      </c>
      <c r="P1074" s="2">
        <v>-6.6400000000000001E-2</v>
      </c>
      <c r="Q1074" s="2">
        <v>-0.2656</v>
      </c>
      <c r="R1074" s="4">
        <v>-4.1212126674764554E-5</v>
      </c>
      <c r="T1074">
        <v>313405</v>
      </c>
      <c r="U1074" s="2"/>
      <c r="V1074">
        <v>6045</v>
      </c>
      <c r="W1074" s="2">
        <v>6579000000</v>
      </c>
      <c r="X1074" s="6">
        <v>6443.7344400000002</v>
      </c>
      <c r="Y1074" s="38">
        <v>10010</v>
      </c>
      <c r="Z1074" s="86">
        <f>+((DETALLE_GD_1[[#This Row],[VALOR X UN (GD)]]-DETALLE_GD_1[[#This Row],[VALOR PPTO]])/DETALLE_GD_1[[#This Row],[VALOR PPTO]])</f>
        <v>4.1218334511075141E-5</v>
      </c>
      <c r="AA1074" s="2">
        <f>+DETALLE_GD_1[[#This Row],[VALOR PPTO]]*DETALLE_GD_1[[#This Row],[CANTIDAD RECIBIDA]]</f>
        <v>6443.7344000000003</v>
      </c>
      <c r="AB10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4" s="3">
        <f>+DETALLE_GD_1[[#This Row],[CANTIDAD SOLICITADA]]-DETALLE_GD_1[[#This Row],[DEVOLUCIÓN]]</f>
        <v>4</v>
      </c>
      <c r="AD1074" s="38" t="str">
        <f>+_xlfn.XLOOKUP(DETALLE_GD_1[[#This Row],[CODIGO]],PRODUCTOS[CODIGO],PRODUCTOS[DESC CORTA],"",0)</f>
        <v>SET BALCON</v>
      </c>
    </row>
    <row r="1075" spans="1:30" x14ac:dyDescent="0.25">
      <c r="A1075" s="1">
        <v>46135</v>
      </c>
      <c r="B1075" s="1">
        <v>46135</v>
      </c>
      <c r="C1075" s="81" t="s">
        <v>169</v>
      </c>
      <c r="D1075" s="38">
        <v>4</v>
      </c>
      <c r="E1075" s="81" t="s">
        <v>169</v>
      </c>
      <c r="F1075">
        <v>1808147</v>
      </c>
      <c r="G1075" s="81" t="s">
        <v>275</v>
      </c>
      <c r="H1075" s="81" t="s">
        <v>31</v>
      </c>
      <c r="I1075" s="3">
        <v>4</v>
      </c>
      <c r="J1075" s="3"/>
      <c r="K1075" s="26">
        <v>4</v>
      </c>
      <c r="L1075" s="2">
        <v>2219.5</v>
      </c>
      <c r="M1075" s="2">
        <v>8878</v>
      </c>
      <c r="N1075" s="2">
        <v>8878</v>
      </c>
      <c r="O1075" s="2">
        <v>2293</v>
      </c>
      <c r="P1075" s="2">
        <v>73.5</v>
      </c>
      <c r="Q1075" s="2">
        <v>294</v>
      </c>
      <c r="R1075" s="4">
        <v>3.2054077627562148E-2</v>
      </c>
      <c r="T1075">
        <v>313405</v>
      </c>
      <c r="U1075" s="2"/>
      <c r="V1075">
        <v>6045</v>
      </c>
      <c r="W1075" s="2">
        <v>6579000000</v>
      </c>
      <c r="X1075" s="6">
        <v>9172</v>
      </c>
      <c r="Y1075" s="38">
        <v>10010</v>
      </c>
      <c r="Z1075" s="86">
        <f>+((DETALLE_GD_1[[#This Row],[VALOR X UN (GD)]]-DETALLE_GD_1[[#This Row],[VALOR PPTO]])/DETALLE_GD_1[[#This Row],[VALOR PPTO]])</f>
        <v>-3.2054077627562148E-2</v>
      </c>
      <c r="AA1075" s="2">
        <f>+DETALLE_GD_1[[#This Row],[VALOR PPTO]]*DETALLE_GD_1[[#This Row],[CANTIDAD RECIBIDA]]</f>
        <v>9172</v>
      </c>
      <c r="AB1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5" s="3">
        <f>+DETALLE_GD_1[[#This Row],[CANTIDAD SOLICITADA]]-DETALLE_GD_1[[#This Row],[DEVOLUCIÓN]]</f>
        <v>4</v>
      </c>
      <c r="AD1075" s="38" t="str">
        <f>+_xlfn.XLOOKUP(DETALLE_GD_1[[#This Row],[CODIGO]],PRODUCTOS[CODIGO],PRODUCTOS[DESC CORTA],"",0)</f>
        <v>LLAVE ANGULAR 1/2X</v>
      </c>
    </row>
    <row r="1076" spans="1:30" x14ac:dyDescent="0.25">
      <c r="A1076" s="1">
        <v>46135</v>
      </c>
      <c r="B1076" s="1">
        <v>46135</v>
      </c>
      <c r="C1076" s="81" t="s">
        <v>169</v>
      </c>
      <c r="D1076" s="38">
        <v>4</v>
      </c>
      <c r="E1076" s="81" t="s">
        <v>169</v>
      </c>
      <c r="F1076">
        <v>2304003</v>
      </c>
      <c r="G1076" s="81" t="s">
        <v>132</v>
      </c>
      <c r="H1076" s="81" t="s">
        <v>31</v>
      </c>
      <c r="I1076" s="3">
        <v>2</v>
      </c>
      <c r="J1076" s="3"/>
      <c r="K1076" s="26">
        <v>2</v>
      </c>
      <c r="L1076" s="2">
        <v>1297</v>
      </c>
      <c r="M1076" s="2">
        <v>2594</v>
      </c>
      <c r="N1076" s="2">
        <v>2594</v>
      </c>
      <c r="O1076" s="2">
        <v>1297.1352999999999</v>
      </c>
      <c r="P1076" s="2">
        <v>0.1353</v>
      </c>
      <c r="Q1076" s="2">
        <v>0.27050000000000002</v>
      </c>
      <c r="R1076" s="4">
        <v>1.0427748282122604E-4</v>
      </c>
      <c r="T1076">
        <v>313405</v>
      </c>
      <c r="U1076" s="2"/>
      <c r="V1076">
        <v>6045</v>
      </c>
      <c r="W1076" s="2">
        <v>6579000000</v>
      </c>
      <c r="X1076" s="6">
        <v>2594.270524</v>
      </c>
      <c r="Y1076" s="38">
        <v>10010</v>
      </c>
      <c r="Z1076" s="86">
        <f>+((DETALLE_GD_1[[#This Row],[VALOR X UN (GD)]]-DETALLE_GD_1[[#This Row],[VALOR PPTO]])/DETALLE_GD_1[[#This Row],[VALOR PPTO]])</f>
        <v>-1.0430677509116867E-4</v>
      </c>
      <c r="AA1076" s="2">
        <f>+DETALLE_GD_1[[#This Row],[VALOR PPTO]]*DETALLE_GD_1[[#This Row],[CANTIDAD RECIBIDA]]</f>
        <v>2594.2705999999998</v>
      </c>
      <c r="AB1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6" s="3">
        <f>+DETALLE_GD_1[[#This Row],[CANTIDAD SOLICITADA]]-DETALLE_GD_1[[#This Row],[DEVOLUCIÓN]]</f>
        <v>2</v>
      </c>
      <c r="AD1076" s="38" t="str">
        <f>+_xlfn.XLOOKUP(DETALLE_GD_1[[#This Row],[CODIGO]],PRODUCTOS[CODIGO],PRODUCTOS[DESC CORTA],"",0)</f>
        <v>SELLO FUNGICIDA</v>
      </c>
    </row>
    <row r="1077" spans="1:30" x14ac:dyDescent="0.25">
      <c r="A1077" s="1">
        <v>46135</v>
      </c>
      <c r="B1077" s="1">
        <v>46135</v>
      </c>
      <c r="C1077" s="81" t="s">
        <v>169</v>
      </c>
      <c r="D1077" s="38">
        <v>4</v>
      </c>
      <c r="E1077" s="81" t="s">
        <v>169</v>
      </c>
      <c r="F1077">
        <v>704022</v>
      </c>
      <c r="G1077" s="81" t="s">
        <v>330</v>
      </c>
      <c r="H1077" s="81" t="s">
        <v>31</v>
      </c>
      <c r="I1077" s="3">
        <v>100</v>
      </c>
      <c r="J1077" s="3"/>
      <c r="K1077" s="26">
        <v>100</v>
      </c>
      <c r="L1077" s="2">
        <v>258.39</v>
      </c>
      <c r="M1077" s="2">
        <v>25839</v>
      </c>
      <c r="N1077" s="2">
        <v>25839</v>
      </c>
      <c r="O1077" s="2">
        <v>306</v>
      </c>
      <c r="P1077" s="2">
        <v>47.61</v>
      </c>
      <c r="Q1077" s="2">
        <v>4761</v>
      </c>
      <c r="R1077" s="4">
        <v>0.15558823529411786</v>
      </c>
      <c r="T1077">
        <v>313449</v>
      </c>
      <c r="U1077" s="2">
        <v>25839</v>
      </c>
      <c r="V1077">
        <v>6045</v>
      </c>
      <c r="W1077" s="2">
        <v>6579000000</v>
      </c>
      <c r="X1077" s="6">
        <v>30600.000000000007</v>
      </c>
      <c r="Y1077" s="38">
        <v>10010</v>
      </c>
      <c r="Z1077" s="86">
        <f>+((DETALLE_GD_1[[#This Row],[VALOR X UN (GD)]]-DETALLE_GD_1[[#This Row],[VALOR PPTO]])/DETALLE_GD_1[[#This Row],[VALOR PPTO]])</f>
        <v>-0.15558823529411769</v>
      </c>
      <c r="AA1077" s="2">
        <f>+DETALLE_GD_1[[#This Row],[VALOR PPTO]]*DETALLE_GD_1[[#This Row],[CANTIDAD RECIBIDA]]</f>
        <v>30600</v>
      </c>
      <c r="AB1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7" s="3">
        <f>+DETALLE_GD_1[[#This Row],[CANTIDAD SOLICITADA]]-DETALLE_GD_1[[#This Row],[DEVOLUCIÓN]]</f>
        <v>100</v>
      </c>
      <c r="AD1077" s="38" t="str">
        <f>+_xlfn.XLOOKUP(DETALLE_GD_1[[#This Row],[CODIGO]],PRODUCTOS[CODIGO],PRODUCTOS[DESC CORTA],"",0)</f>
        <v>ESQUINERO CORNIZA INTERIOR</v>
      </c>
    </row>
    <row r="1078" spans="1:30" x14ac:dyDescent="0.25">
      <c r="A1078" s="1">
        <v>45981</v>
      </c>
      <c r="B1078" s="1">
        <v>45981</v>
      </c>
      <c r="C1078" s="81" t="s">
        <v>15</v>
      </c>
      <c r="D1078" s="38">
        <v>11</v>
      </c>
      <c r="E1078" s="81" t="s">
        <v>15</v>
      </c>
      <c r="F1078" t="s">
        <v>761</v>
      </c>
      <c r="G1078" s="81" t="s">
        <v>762</v>
      </c>
      <c r="H1078" s="81" t="s">
        <v>31</v>
      </c>
      <c r="I1078" s="3">
        <v>4</v>
      </c>
      <c r="J1078" s="3"/>
      <c r="K1078" s="26">
        <v>4</v>
      </c>
      <c r="L1078" s="2">
        <v>32067</v>
      </c>
      <c r="M1078" s="2">
        <v>128268</v>
      </c>
      <c r="N1078" s="2">
        <v>128268</v>
      </c>
      <c r="O1078" s="2"/>
      <c r="P1078" s="2"/>
      <c r="Q1078" s="2">
        <v>-128268</v>
      </c>
      <c r="R1078" s="4"/>
      <c r="T1078">
        <v>2886094</v>
      </c>
      <c r="U1078" s="2">
        <v>128268</v>
      </c>
      <c r="W1078" s="2">
        <v>6579000000</v>
      </c>
      <c r="X1078" s="6" t="s">
        <v>355</v>
      </c>
      <c r="Y1078" s="38">
        <v>10010</v>
      </c>
      <c r="Z1078" s="86" t="e">
        <f>+((DETALLE_GD_1[[#This Row],[VALOR X UN (GD)]]-DETALLE_GD_1[[#This Row],[VALOR PPTO]])/DETALLE_GD_1[[#This Row],[VALOR PPTO]])</f>
        <v>#DIV/0!</v>
      </c>
      <c r="AA1078" s="2">
        <f>+DETALLE_GD_1[[#This Row],[VALOR PPTO]]*DETALLE_GD_1[[#This Row],[CANTIDAD RECIBIDA]]</f>
        <v>0</v>
      </c>
      <c r="AB1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8" s="3">
        <f>+DETALLE_GD_1[[#This Row],[CANTIDAD SOLICITADA]]-DETALLE_GD_1[[#This Row],[DEVOLUCIÓN]]</f>
        <v>4</v>
      </c>
      <c r="AD1078" s="38" t="str">
        <f>+_xlfn.XLOOKUP(DETALLE_GD_1[[#This Row],[CODIGO]],PRODUCTOS[CODIGO],PRODUCTOS[DESC CORTA],"",0)</f>
        <v/>
      </c>
    </row>
    <row r="1079" spans="1:30" x14ac:dyDescent="0.25">
      <c r="A1079" s="1">
        <v>45981</v>
      </c>
      <c r="B1079" s="1">
        <v>45981</v>
      </c>
      <c r="C1079" s="81" t="s">
        <v>15</v>
      </c>
      <c r="D1079" s="38">
        <v>11</v>
      </c>
      <c r="E1079" s="81" t="s">
        <v>15</v>
      </c>
      <c r="F1079">
        <v>145122</v>
      </c>
      <c r="G1079" s="81" t="s">
        <v>763</v>
      </c>
      <c r="H1079" s="81" t="s">
        <v>31</v>
      </c>
      <c r="I1079" s="3">
        <v>1</v>
      </c>
      <c r="J1079" s="3"/>
      <c r="K1079" s="26">
        <v>1</v>
      </c>
      <c r="L1079" s="2">
        <v>30966</v>
      </c>
      <c r="M1079" s="2">
        <v>30966</v>
      </c>
      <c r="N1079" s="2">
        <v>30966</v>
      </c>
      <c r="O1079" s="2"/>
      <c r="P1079" s="2"/>
      <c r="Q1079" s="2">
        <v>-30966</v>
      </c>
      <c r="R1079" s="4"/>
      <c r="T1079">
        <v>143546508</v>
      </c>
      <c r="U1079" s="2">
        <v>30966</v>
      </c>
      <c r="W1079" s="2">
        <v>6579000000</v>
      </c>
      <c r="X1079" s="6" t="s">
        <v>355</v>
      </c>
      <c r="Y1079" s="38">
        <v>10010</v>
      </c>
      <c r="Z1079" s="86" t="e">
        <f>+((DETALLE_GD_1[[#This Row],[VALOR X UN (GD)]]-DETALLE_GD_1[[#This Row],[VALOR PPTO]])/DETALLE_GD_1[[#This Row],[VALOR PPTO]])</f>
        <v>#DIV/0!</v>
      </c>
      <c r="AA1079" s="2">
        <f>+DETALLE_GD_1[[#This Row],[VALOR PPTO]]*DETALLE_GD_1[[#This Row],[CANTIDAD RECIBIDA]]</f>
        <v>0</v>
      </c>
      <c r="AB1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9" s="3">
        <f>+DETALLE_GD_1[[#This Row],[CANTIDAD SOLICITADA]]-DETALLE_GD_1[[#This Row],[DEVOLUCIÓN]]</f>
        <v>1</v>
      </c>
      <c r="AD1079" s="38" t="str">
        <f>+_xlfn.XLOOKUP(DETALLE_GD_1[[#This Row],[CODIGO]],PRODUCTOS[CODIGO],PRODUCTOS[DESC CORTA],"",0)</f>
        <v/>
      </c>
    </row>
    <row r="1080" spans="1:30" x14ac:dyDescent="0.25">
      <c r="A1080" s="1">
        <v>45981</v>
      </c>
      <c r="B1080" s="1">
        <v>45981</v>
      </c>
      <c r="C1080" s="81" t="s">
        <v>15</v>
      </c>
      <c r="D1080" s="38">
        <v>11</v>
      </c>
      <c r="E1080" s="81" t="s">
        <v>15</v>
      </c>
      <c r="F1080">
        <v>7749309</v>
      </c>
      <c r="G1080" s="81" t="s">
        <v>764</v>
      </c>
      <c r="H1080" s="81" t="s">
        <v>31</v>
      </c>
      <c r="I1080" s="3">
        <v>1</v>
      </c>
      <c r="J1080" s="3"/>
      <c r="K1080" s="26">
        <v>1</v>
      </c>
      <c r="L1080" s="2">
        <v>5492</v>
      </c>
      <c r="M1080" s="2">
        <v>5492</v>
      </c>
      <c r="N1080" s="2">
        <v>5492</v>
      </c>
      <c r="O1080" s="2"/>
      <c r="P1080" s="2"/>
      <c r="Q1080" s="2">
        <v>-5492</v>
      </c>
      <c r="R1080" s="4"/>
      <c r="T1080">
        <v>143546508</v>
      </c>
      <c r="U1080" s="2">
        <v>5492</v>
      </c>
      <c r="W1080" s="2">
        <v>6579000000</v>
      </c>
      <c r="X1080" s="6" t="s">
        <v>355</v>
      </c>
      <c r="Y1080" s="38">
        <v>10010</v>
      </c>
      <c r="Z1080" s="86" t="e">
        <f>+((DETALLE_GD_1[[#This Row],[VALOR X UN (GD)]]-DETALLE_GD_1[[#This Row],[VALOR PPTO]])/DETALLE_GD_1[[#This Row],[VALOR PPTO]])</f>
        <v>#DIV/0!</v>
      </c>
      <c r="AA1080" s="2">
        <f>+DETALLE_GD_1[[#This Row],[VALOR PPTO]]*DETALLE_GD_1[[#This Row],[CANTIDAD RECIBIDA]]</f>
        <v>0</v>
      </c>
      <c r="AB1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0" s="3">
        <f>+DETALLE_GD_1[[#This Row],[CANTIDAD SOLICITADA]]-DETALLE_GD_1[[#This Row],[DEVOLUCIÓN]]</f>
        <v>1</v>
      </c>
      <c r="AD1080" s="38" t="str">
        <f>+_xlfn.XLOOKUP(DETALLE_GD_1[[#This Row],[CODIGO]],PRODUCTOS[CODIGO],PRODUCTOS[DESC CORTA],"",0)</f>
        <v/>
      </c>
    </row>
    <row r="1081" spans="1:30" x14ac:dyDescent="0.25">
      <c r="A1081" s="1">
        <v>45982</v>
      </c>
      <c r="B1081" s="1">
        <v>45982</v>
      </c>
      <c r="C1081" s="81" t="s">
        <v>15</v>
      </c>
      <c r="D1081" s="38">
        <v>11</v>
      </c>
      <c r="E1081" s="81" t="s">
        <v>15</v>
      </c>
      <c r="G1081" s="81" t="s">
        <v>765</v>
      </c>
      <c r="H1081" s="81" t="s">
        <v>31</v>
      </c>
      <c r="I1081" s="3">
        <v>3</v>
      </c>
      <c r="J1081" s="3"/>
      <c r="K1081" s="26">
        <v>3</v>
      </c>
      <c r="L1081" s="2">
        <v>30672.333299999998</v>
      </c>
      <c r="M1081" s="2">
        <v>92017</v>
      </c>
      <c r="N1081" s="2">
        <v>92017</v>
      </c>
      <c r="O1081" s="2"/>
      <c r="P1081" s="2"/>
      <c r="Q1081" s="2">
        <v>-92017</v>
      </c>
      <c r="R1081" s="4"/>
      <c r="T1081">
        <v>67568</v>
      </c>
      <c r="U1081" s="2">
        <v>102438</v>
      </c>
      <c r="W1081" s="2">
        <v>6579000000</v>
      </c>
      <c r="X1081" s="6" t="s">
        <v>355</v>
      </c>
      <c r="Y1081" s="38">
        <v>10010</v>
      </c>
      <c r="Z1081" s="86" t="e">
        <f>+((DETALLE_GD_1[[#This Row],[VALOR X UN (GD)]]-DETALLE_GD_1[[#This Row],[VALOR PPTO]])/DETALLE_GD_1[[#This Row],[VALOR PPTO]])</f>
        <v>#DIV/0!</v>
      </c>
      <c r="AA1081" s="2">
        <f>+DETALLE_GD_1[[#This Row],[VALOR PPTO]]*DETALLE_GD_1[[#This Row],[CANTIDAD RECIBIDA]]</f>
        <v>0</v>
      </c>
      <c r="AB1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1" s="3">
        <f>+DETALLE_GD_1[[#This Row],[CANTIDAD SOLICITADA]]-DETALLE_GD_1[[#This Row],[DEVOLUCIÓN]]</f>
        <v>3</v>
      </c>
      <c r="AD1081" s="38" t="str">
        <f>+_xlfn.XLOOKUP(DETALLE_GD_1[[#This Row],[CODIGO]],PRODUCTOS[CODIGO],PRODUCTOS[DESC CORTA],"",0)</f>
        <v/>
      </c>
    </row>
    <row r="1082" spans="1:30" x14ac:dyDescent="0.25">
      <c r="A1082" s="1">
        <v>45982</v>
      </c>
      <c r="B1082" s="1">
        <v>45982</v>
      </c>
      <c r="C1082" s="81" t="s">
        <v>15</v>
      </c>
      <c r="D1082" s="38">
        <v>11</v>
      </c>
      <c r="E1082" s="81" t="s">
        <v>15</v>
      </c>
      <c r="G1082" s="81" t="s">
        <v>766</v>
      </c>
      <c r="H1082" s="81" t="s">
        <v>31</v>
      </c>
      <c r="I1082" s="3">
        <v>2</v>
      </c>
      <c r="J1082" s="3"/>
      <c r="K1082" s="26">
        <v>2</v>
      </c>
      <c r="L1082" s="2">
        <v>2059</v>
      </c>
      <c r="M1082" s="2">
        <v>4118</v>
      </c>
      <c r="N1082" s="2">
        <v>4118</v>
      </c>
      <c r="O1082" s="2"/>
      <c r="P1082" s="2"/>
      <c r="Q1082" s="2">
        <v>-4118</v>
      </c>
      <c r="R1082" s="4"/>
      <c r="T1082">
        <v>67568</v>
      </c>
      <c r="U1082" s="2"/>
      <c r="W1082" s="2">
        <v>6579000000</v>
      </c>
      <c r="X1082" s="6" t="s">
        <v>355</v>
      </c>
      <c r="Y1082" s="38">
        <v>10010</v>
      </c>
      <c r="Z1082" s="86" t="e">
        <f>+((DETALLE_GD_1[[#This Row],[VALOR X UN (GD)]]-DETALLE_GD_1[[#This Row],[VALOR PPTO]])/DETALLE_GD_1[[#This Row],[VALOR PPTO]])</f>
        <v>#DIV/0!</v>
      </c>
      <c r="AA1082" s="2">
        <f>+DETALLE_GD_1[[#This Row],[VALOR PPTO]]*DETALLE_GD_1[[#This Row],[CANTIDAD RECIBIDA]]</f>
        <v>0</v>
      </c>
      <c r="AB1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2" s="3">
        <f>+DETALLE_GD_1[[#This Row],[CANTIDAD SOLICITADA]]-DETALLE_GD_1[[#This Row],[DEVOLUCIÓN]]</f>
        <v>2</v>
      </c>
      <c r="AD1082" s="38" t="str">
        <f>+_xlfn.XLOOKUP(DETALLE_GD_1[[#This Row],[CODIGO]],PRODUCTOS[CODIGO],PRODUCTOS[DESC CORTA],"",0)</f>
        <v/>
      </c>
    </row>
    <row r="1083" spans="1:30" x14ac:dyDescent="0.25">
      <c r="A1083" s="1">
        <v>45982</v>
      </c>
      <c r="B1083" s="1">
        <v>45982</v>
      </c>
      <c r="C1083" s="81" t="s">
        <v>15</v>
      </c>
      <c r="D1083" s="38">
        <v>11</v>
      </c>
      <c r="E1083" s="81" t="s">
        <v>15</v>
      </c>
      <c r="G1083" s="81" t="s">
        <v>767</v>
      </c>
      <c r="H1083" s="81" t="s">
        <v>31</v>
      </c>
      <c r="I1083" s="3">
        <v>2</v>
      </c>
      <c r="J1083" s="3"/>
      <c r="K1083" s="26">
        <v>2</v>
      </c>
      <c r="L1083" s="2">
        <v>3151.5</v>
      </c>
      <c r="M1083" s="2">
        <v>6303</v>
      </c>
      <c r="N1083" s="2">
        <v>6303</v>
      </c>
      <c r="O1083" s="2"/>
      <c r="P1083" s="2"/>
      <c r="Q1083" s="2">
        <v>-6303</v>
      </c>
      <c r="R1083" s="4"/>
      <c r="T1083">
        <v>67568</v>
      </c>
      <c r="U1083" s="2"/>
      <c r="W1083" s="2">
        <v>6579000000</v>
      </c>
      <c r="X1083" s="6" t="s">
        <v>355</v>
      </c>
      <c r="Y1083" s="38">
        <v>10010</v>
      </c>
      <c r="Z1083" s="86" t="e">
        <f>+((DETALLE_GD_1[[#This Row],[VALOR X UN (GD)]]-DETALLE_GD_1[[#This Row],[VALOR PPTO]])/DETALLE_GD_1[[#This Row],[VALOR PPTO]])</f>
        <v>#DIV/0!</v>
      </c>
      <c r="AA1083" s="2">
        <f>+DETALLE_GD_1[[#This Row],[VALOR PPTO]]*DETALLE_GD_1[[#This Row],[CANTIDAD RECIBIDA]]</f>
        <v>0</v>
      </c>
      <c r="AB1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3" s="3">
        <f>+DETALLE_GD_1[[#This Row],[CANTIDAD SOLICITADA]]-DETALLE_GD_1[[#This Row],[DEVOLUCIÓN]]</f>
        <v>2</v>
      </c>
      <c r="AD1083" s="38" t="str">
        <f>+_xlfn.XLOOKUP(DETALLE_GD_1[[#This Row],[CODIGO]],PRODUCTOS[CODIGO],PRODUCTOS[DESC CORTA],"",0)</f>
        <v/>
      </c>
    </row>
    <row r="1084" spans="1:30" x14ac:dyDescent="0.25">
      <c r="A1084" s="1">
        <v>45993</v>
      </c>
      <c r="B1084" s="1">
        <v>45993</v>
      </c>
      <c r="C1084" s="81" t="s">
        <v>15</v>
      </c>
      <c r="D1084" s="38">
        <v>12</v>
      </c>
      <c r="E1084" s="81" t="s">
        <v>15</v>
      </c>
      <c r="G1084" s="81" t="s">
        <v>768</v>
      </c>
      <c r="H1084" s="81" t="s">
        <v>31</v>
      </c>
      <c r="I1084" s="3">
        <v>2</v>
      </c>
      <c r="J1084" s="3"/>
      <c r="K1084" s="26">
        <v>2</v>
      </c>
      <c r="L1084" s="2">
        <v>6764</v>
      </c>
      <c r="M1084" s="2">
        <v>13528</v>
      </c>
      <c r="N1084" s="2">
        <v>13528</v>
      </c>
      <c r="O1084" s="2"/>
      <c r="P1084" s="2"/>
      <c r="Q1084" s="2">
        <v>-13528</v>
      </c>
      <c r="R1084" s="4"/>
      <c r="T1084">
        <v>218679</v>
      </c>
      <c r="U1084" s="2">
        <v>23318</v>
      </c>
      <c r="W1084" s="2">
        <v>6579000000</v>
      </c>
      <c r="X1084" s="6" t="s">
        <v>355</v>
      </c>
      <c r="Y1084" s="38">
        <v>10010</v>
      </c>
      <c r="Z1084" s="86" t="e">
        <f>+((DETALLE_GD_1[[#This Row],[VALOR X UN (GD)]]-DETALLE_GD_1[[#This Row],[VALOR PPTO]])/DETALLE_GD_1[[#This Row],[VALOR PPTO]])</f>
        <v>#DIV/0!</v>
      </c>
      <c r="AA1084" s="2">
        <f>+DETALLE_GD_1[[#This Row],[VALOR PPTO]]*DETALLE_GD_1[[#This Row],[CANTIDAD RECIBIDA]]</f>
        <v>0</v>
      </c>
      <c r="AB1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4" s="3">
        <f>+DETALLE_GD_1[[#This Row],[CANTIDAD SOLICITADA]]-DETALLE_GD_1[[#This Row],[DEVOLUCIÓN]]</f>
        <v>2</v>
      </c>
      <c r="AD1084" s="38" t="str">
        <f>+_xlfn.XLOOKUP(DETALLE_GD_1[[#This Row],[CODIGO]],PRODUCTOS[CODIGO],PRODUCTOS[DESC CORTA],"",0)</f>
        <v/>
      </c>
    </row>
    <row r="1085" spans="1:30" x14ac:dyDescent="0.25">
      <c r="A1085" s="1">
        <v>45993</v>
      </c>
      <c r="B1085" s="1">
        <v>45993</v>
      </c>
      <c r="C1085" s="81" t="s">
        <v>15</v>
      </c>
      <c r="D1085" s="38">
        <v>12</v>
      </c>
      <c r="E1085" s="81" t="s">
        <v>15</v>
      </c>
      <c r="G1085" s="81" t="s">
        <v>769</v>
      </c>
      <c r="H1085" s="81" t="s">
        <v>770</v>
      </c>
      <c r="I1085" s="3">
        <v>1</v>
      </c>
      <c r="J1085" s="3"/>
      <c r="K1085" s="26">
        <v>1</v>
      </c>
      <c r="L1085" s="2">
        <v>9790</v>
      </c>
      <c r="M1085" s="2">
        <v>9790</v>
      </c>
      <c r="N1085" s="2">
        <v>9790</v>
      </c>
      <c r="O1085" s="2"/>
      <c r="P1085" s="2"/>
      <c r="Q1085" s="2">
        <v>-9790</v>
      </c>
      <c r="R1085" s="4"/>
      <c r="T1085">
        <v>218679</v>
      </c>
      <c r="U1085" s="2"/>
      <c r="W1085" s="2">
        <v>6579000000</v>
      </c>
      <c r="X1085" s="6" t="s">
        <v>355</v>
      </c>
      <c r="Y1085" s="38">
        <v>10010</v>
      </c>
      <c r="Z1085" s="86" t="e">
        <f>+((DETALLE_GD_1[[#This Row],[VALOR X UN (GD)]]-DETALLE_GD_1[[#This Row],[VALOR PPTO]])/DETALLE_GD_1[[#This Row],[VALOR PPTO]])</f>
        <v>#DIV/0!</v>
      </c>
      <c r="AA1085" s="2">
        <f>+DETALLE_GD_1[[#This Row],[VALOR PPTO]]*DETALLE_GD_1[[#This Row],[CANTIDAD RECIBIDA]]</f>
        <v>0</v>
      </c>
      <c r="AB1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5" s="3">
        <f>+DETALLE_GD_1[[#This Row],[CANTIDAD SOLICITADA]]-DETALLE_GD_1[[#This Row],[DEVOLUCIÓN]]</f>
        <v>1</v>
      </c>
      <c r="AD1085" s="38" t="str">
        <f>+_xlfn.XLOOKUP(DETALLE_GD_1[[#This Row],[CODIGO]],PRODUCTOS[CODIGO],PRODUCTOS[DESC CORTA],"",0)</f>
        <v/>
      </c>
    </row>
    <row r="1086" spans="1:30" x14ac:dyDescent="0.25">
      <c r="A1086" s="1">
        <v>46001</v>
      </c>
      <c r="B1086" s="1">
        <v>46001</v>
      </c>
      <c r="C1086" s="81" t="s">
        <v>15</v>
      </c>
      <c r="D1086" s="38">
        <v>12</v>
      </c>
      <c r="E1086" s="81" t="s">
        <v>15</v>
      </c>
      <c r="G1086" s="81" t="s">
        <v>771</v>
      </c>
      <c r="H1086" s="81" t="s">
        <v>355</v>
      </c>
      <c r="I1086" s="3">
        <v>1</v>
      </c>
      <c r="J1086" s="3"/>
      <c r="K1086" s="26">
        <v>1</v>
      </c>
      <c r="L1086" s="2">
        <v>23529</v>
      </c>
      <c r="M1086" s="2">
        <v>23529</v>
      </c>
      <c r="N1086" s="2">
        <v>23529</v>
      </c>
      <c r="O1086" s="2"/>
      <c r="P1086" s="2"/>
      <c r="Q1086" s="2">
        <v>-23529</v>
      </c>
      <c r="R1086" s="4"/>
      <c r="T1086">
        <v>1882</v>
      </c>
      <c r="U1086" s="2">
        <v>23529</v>
      </c>
      <c r="W1086" s="2">
        <v>6579000000</v>
      </c>
      <c r="X1086" s="6" t="s">
        <v>355</v>
      </c>
      <c r="Y1086" s="38">
        <v>10010</v>
      </c>
      <c r="Z1086" s="86" t="e">
        <f>+((DETALLE_GD_1[[#This Row],[VALOR X UN (GD)]]-DETALLE_GD_1[[#This Row],[VALOR PPTO]])/DETALLE_GD_1[[#This Row],[VALOR PPTO]])</f>
        <v>#DIV/0!</v>
      </c>
      <c r="AA1086" s="2">
        <f>+DETALLE_GD_1[[#This Row],[VALOR PPTO]]*DETALLE_GD_1[[#This Row],[CANTIDAD RECIBIDA]]</f>
        <v>0</v>
      </c>
      <c r="AB1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6" s="3">
        <f>+DETALLE_GD_1[[#This Row],[CANTIDAD SOLICITADA]]-DETALLE_GD_1[[#This Row],[DEVOLUCIÓN]]</f>
        <v>1</v>
      </c>
      <c r="AD1086" s="38" t="str">
        <f>+_xlfn.XLOOKUP(DETALLE_GD_1[[#This Row],[CODIGO]],PRODUCTOS[CODIGO],PRODUCTOS[DESC CORTA],"",0)</f>
        <v/>
      </c>
    </row>
    <row r="1087" spans="1:30" x14ac:dyDescent="0.25">
      <c r="A1087" s="1">
        <v>46008</v>
      </c>
      <c r="B1087" s="1">
        <v>46008</v>
      </c>
      <c r="C1087" s="81" t="s">
        <v>15</v>
      </c>
      <c r="D1087" s="38">
        <v>12</v>
      </c>
      <c r="E1087" s="81" t="s">
        <v>15</v>
      </c>
      <c r="G1087" s="81" t="s">
        <v>772</v>
      </c>
      <c r="H1087" s="81" t="s">
        <v>355</v>
      </c>
      <c r="I1087" s="3">
        <v>1</v>
      </c>
      <c r="J1087" s="3"/>
      <c r="K1087" s="26">
        <v>1</v>
      </c>
      <c r="L1087" s="2">
        <v>15126</v>
      </c>
      <c r="M1087" s="2">
        <v>15126</v>
      </c>
      <c r="N1087" s="2">
        <v>15126</v>
      </c>
      <c r="O1087" s="2"/>
      <c r="P1087" s="2"/>
      <c r="Q1087" s="2">
        <v>-15126</v>
      </c>
      <c r="R1087" s="4"/>
      <c r="T1087">
        <v>1890</v>
      </c>
      <c r="U1087" s="2">
        <v>15126</v>
      </c>
      <c r="W1087" s="2">
        <v>6579000000</v>
      </c>
      <c r="X1087" s="6" t="s">
        <v>355</v>
      </c>
      <c r="Y1087" s="38">
        <v>10010</v>
      </c>
      <c r="Z1087" s="86" t="e">
        <f>+((DETALLE_GD_1[[#This Row],[VALOR X UN (GD)]]-DETALLE_GD_1[[#This Row],[VALOR PPTO]])/DETALLE_GD_1[[#This Row],[VALOR PPTO]])</f>
        <v>#DIV/0!</v>
      </c>
      <c r="AA1087" s="2">
        <f>+DETALLE_GD_1[[#This Row],[VALOR PPTO]]*DETALLE_GD_1[[#This Row],[CANTIDAD RECIBIDA]]</f>
        <v>0</v>
      </c>
      <c r="AB1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7" s="3">
        <f>+DETALLE_GD_1[[#This Row],[CANTIDAD SOLICITADA]]-DETALLE_GD_1[[#This Row],[DEVOLUCIÓN]]</f>
        <v>1</v>
      </c>
      <c r="AD1087" s="38" t="str">
        <f>+_xlfn.XLOOKUP(DETALLE_GD_1[[#This Row],[CODIGO]],PRODUCTOS[CODIGO],PRODUCTOS[DESC CORTA],"",0)</f>
        <v/>
      </c>
    </row>
    <row r="1088" spans="1:30" x14ac:dyDescent="0.25">
      <c r="A1088" s="1">
        <v>46101</v>
      </c>
      <c r="B1088" s="1">
        <v>46101</v>
      </c>
      <c r="C1088" s="81" t="s">
        <v>169</v>
      </c>
      <c r="D1088" s="38">
        <v>3</v>
      </c>
      <c r="E1088" s="81" t="s">
        <v>169</v>
      </c>
      <c r="F1088">
        <v>404732</v>
      </c>
      <c r="G1088" s="81" t="s">
        <v>773</v>
      </c>
      <c r="H1088" s="81" t="s">
        <v>18</v>
      </c>
      <c r="I1088" s="3">
        <v>432</v>
      </c>
      <c r="J1088" s="3"/>
      <c r="K1088" s="26">
        <v>432</v>
      </c>
      <c r="L1088" s="2">
        <v>17666.949100000002</v>
      </c>
      <c r="M1088" s="2">
        <v>7632122</v>
      </c>
      <c r="N1088" s="2">
        <v>7632122</v>
      </c>
      <c r="O1088" s="2"/>
      <c r="P1088" s="2"/>
      <c r="Q1088" s="2">
        <v>-7632122</v>
      </c>
      <c r="R1088" s="4"/>
      <c r="T1088">
        <v>309760</v>
      </c>
      <c r="U1088" s="2">
        <v>7632122</v>
      </c>
      <c r="V1088">
        <v>6078</v>
      </c>
      <c r="W1088" s="2">
        <v>6579000000</v>
      </c>
      <c r="X1088" s="6" t="s">
        <v>355</v>
      </c>
      <c r="Y1088" s="38">
        <v>10010</v>
      </c>
      <c r="Z1088" s="86" t="e">
        <f>+((DETALLE_GD_1[[#This Row],[VALOR X UN (GD)]]-DETALLE_GD_1[[#This Row],[VALOR PPTO]])/DETALLE_GD_1[[#This Row],[VALOR PPTO]])</f>
        <v>#DIV/0!</v>
      </c>
      <c r="AA1088" s="2">
        <f>+DETALLE_GD_1[[#This Row],[VALOR PPTO]]*DETALLE_GD_1[[#This Row],[CANTIDAD RECIBIDA]]</f>
        <v>0</v>
      </c>
      <c r="AB1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8" s="3">
        <f>+DETALLE_GD_1[[#This Row],[CANTIDAD SOLICITADA]]-DETALLE_GD_1[[#This Row],[DEVOLUCIÓN]]</f>
        <v>432</v>
      </c>
      <c r="AD1088" s="38" t="str">
        <f>+_xlfn.XLOOKUP(DETALLE_GD_1[[#This Row],[CODIGO]],PRODUCTOS[CODIGO],PRODUCTOS[DESC CORTA],"",0)</f>
        <v/>
      </c>
    </row>
    <row r="1089" spans="1:30" x14ac:dyDescent="0.25">
      <c r="A1089" s="1">
        <v>46135</v>
      </c>
      <c r="B1089" s="1">
        <v>46135</v>
      </c>
      <c r="C1089" s="81" t="s">
        <v>169</v>
      </c>
      <c r="D1089" s="38">
        <v>4</v>
      </c>
      <c r="E1089" s="81" t="s">
        <v>169</v>
      </c>
      <c r="F1089">
        <v>404731</v>
      </c>
      <c r="G1089" s="81" t="s">
        <v>774</v>
      </c>
      <c r="H1089" s="81" t="s">
        <v>746</v>
      </c>
      <c r="I1089" s="3">
        <v>200</v>
      </c>
      <c r="J1089" s="3"/>
      <c r="K1089" s="26">
        <v>200</v>
      </c>
      <c r="L1089" s="2">
        <v>24582</v>
      </c>
      <c r="M1089" s="2">
        <v>4916400</v>
      </c>
      <c r="N1089" s="2">
        <v>4916400</v>
      </c>
      <c r="O1089" s="2"/>
      <c r="P1089" s="2"/>
      <c r="Q1089" s="2">
        <v>-4916400</v>
      </c>
      <c r="R1089" s="4"/>
      <c r="T1089">
        <v>313492</v>
      </c>
      <c r="U1089" s="2">
        <v>4916400</v>
      </c>
      <c r="V1089">
        <v>6104</v>
      </c>
      <c r="W1089" s="2">
        <v>6579000000</v>
      </c>
      <c r="X1089" s="6" t="s">
        <v>355</v>
      </c>
      <c r="Y1089" s="38">
        <v>10010</v>
      </c>
      <c r="Z1089" s="86" t="e">
        <f>+((DETALLE_GD_1[[#This Row],[VALOR X UN (GD)]]-DETALLE_GD_1[[#This Row],[VALOR PPTO]])/DETALLE_GD_1[[#This Row],[VALOR PPTO]])</f>
        <v>#DIV/0!</v>
      </c>
      <c r="AA1089" s="2">
        <f>+DETALLE_GD_1[[#This Row],[VALOR PPTO]]*DETALLE_GD_1[[#This Row],[CANTIDAD RECIBIDA]]</f>
        <v>0</v>
      </c>
      <c r="AB10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9" s="3">
        <f>+DETALLE_GD_1[[#This Row],[CANTIDAD SOLICITADA]]-DETALLE_GD_1[[#This Row],[DEVOLUCIÓN]]</f>
        <v>200</v>
      </c>
      <c r="AD1089" s="38" t="str">
        <f>+_xlfn.XLOOKUP(DETALLE_GD_1[[#This Row],[CODIGO]],PRODUCTOS[CODIGO],PRODUCTOS[DESC CORTA],"",0)</f>
        <v/>
      </c>
    </row>
    <row r="1090" spans="1:30" x14ac:dyDescent="0.25">
      <c r="A1090" s="1">
        <v>46135</v>
      </c>
      <c r="B1090" s="1">
        <v>46135</v>
      </c>
      <c r="C1090" s="81" t="s">
        <v>169</v>
      </c>
      <c r="D1090" s="38">
        <v>4</v>
      </c>
      <c r="E1090" s="81" t="s">
        <v>169</v>
      </c>
      <c r="F1090" t="s">
        <v>296</v>
      </c>
      <c r="G1090" s="81" t="s">
        <v>297</v>
      </c>
      <c r="H1090" s="81" t="s">
        <v>31</v>
      </c>
      <c r="I1090" s="3">
        <v>30</v>
      </c>
      <c r="J1090" s="3"/>
      <c r="K1090" s="26">
        <v>30</v>
      </c>
      <c r="L1090" s="2">
        <v>202875.8</v>
      </c>
      <c r="M1090" s="2">
        <v>6086274</v>
      </c>
      <c r="N1090" s="2">
        <v>6086274</v>
      </c>
      <c r="O1090" s="2">
        <v>205500</v>
      </c>
      <c r="P1090" s="2">
        <v>2624.2</v>
      </c>
      <c r="Q1090" s="2">
        <v>78726</v>
      </c>
      <c r="R1090" s="4">
        <v>1.2769829683698351E-2</v>
      </c>
      <c r="U1090" s="2">
        <v>11098809</v>
      </c>
      <c r="V1090">
        <v>6046</v>
      </c>
      <c r="W1090" s="2">
        <v>6579000000</v>
      </c>
      <c r="X1090" s="6">
        <v>6165000</v>
      </c>
      <c r="Y1090" s="38">
        <v>10010</v>
      </c>
      <c r="Z1090" s="86">
        <f>+((DETALLE_GD_1[[#This Row],[VALOR X UN (GD)]]-DETALLE_GD_1[[#This Row],[VALOR PPTO]])/DETALLE_GD_1[[#This Row],[VALOR PPTO]])</f>
        <v>-1.2769829683698353E-2</v>
      </c>
      <c r="AA1090" s="2">
        <f>+DETALLE_GD_1[[#This Row],[VALOR PPTO]]*DETALLE_GD_1[[#This Row],[CANTIDAD RECIBIDA]]</f>
        <v>6165000</v>
      </c>
      <c r="AB10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90" s="3">
        <f>+DETALLE_GD_1[[#This Row],[CANTIDAD SOLICITADA]]-DETALLE_GD_1[[#This Row],[DEVOLUCIÓN]]</f>
        <v>30</v>
      </c>
      <c r="AD1090" s="38" t="str">
        <f>+_xlfn.XLOOKUP(DETALLE_GD_1[[#This Row],[CODIGO]],PRODUCTOS[CODIGO],PRODUCTOS[DESC CORTA],"",0)</f>
        <v>VENTANA V-01</v>
      </c>
    </row>
    <row r="1091" spans="1:30" x14ac:dyDescent="0.25">
      <c r="A1091" s="1">
        <v>46135</v>
      </c>
      <c r="B1091" s="1">
        <v>46135</v>
      </c>
      <c r="C1091" s="81" t="s">
        <v>169</v>
      </c>
      <c r="D1091" s="38">
        <v>4</v>
      </c>
      <c r="E1091" s="81" t="s">
        <v>169</v>
      </c>
      <c r="F1091" t="s">
        <v>288</v>
      </c>
      <c r="G1091" s="81" t="s">
        <v>289</v>
      </c>
      <c r="H1091" s="81" t="s">
        <v>31</v>
      </c>
      <c r="I1091" s="3">
        <v>10</v>
      </c>
      <c r="J1091" s="3"/>
      <c r="K1091" s="26">
        <v>10</v>
      </c>
      <c r="L1091" s="2">
        <v>119752.4</v>
      </c>
      <c r="M1091" s="2">
        <v>1197524</v>
      </c>
      <c r="N1091" s="2">
        <v>1197524</v>
      </c>
      <c r="O1091" s="2">
        <v>101229</v>
      </c>
      <c r="P1091" s="2">
        <v>-18523.400000000001</v>
      </c>
      <c r="Q1091" s="2">
        <v>-185234</v>
      </c>
      <c r="R1091" s="4">
        <v>-0.18298511296170064</v>
      </c>
      <c r="U1091" s="2"/>
      <c r="V1091">
        <v>6046</v>
      </c>
      <c r="W1091" s="2">
        <v>6579000000</v>
      </c>
      <c r="X1091" s="6">
        <v>1012290</v>
      </c>
      <c r="Y1091" s="38">
        <v>10010</v>
      </c>
      <c r="Z1091" s="86">
        <f>+((DETALLE_GD_1[[#This Row],[VALOR X UN (GD)]]-DETALLE_GD_1[[#This Row],[VALOR PPTO]])/DETALLE_GD_1[[#This Row],[VALOR PPTO]])</f>
        <v>0.18298511296170064</v>
      </c>
      <c r="AA1091" s="2">
        <f>+DETALLE_GD_1[[#This Row],[VALOR PPTO]]*DETALLE_GD_1[[#This Row],[CANTIDAD RECIBIDA]]</f>
        <v>1012290</v>
      </c>
      <c r="AB10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91" s="3">
        <f>+DETALLE_GD_1[[#This Row],[CANTIDAD SOLICITADA]]-DETALLE_GD_1[[#This Row],[DEVOLUCIÓN]]</f>
        <v>10</v>
      </c>
      <c r="AD1091" s="38">
        <f>+_xlfn.XLOOKUP(DETALLE_GD_1[[#This Row],[CODIGO]],PRODUCTOS[CODIGO],PRODUCTOS[DESC CORTA],"",0)</f>
        <v>0</v>
      </c>
    </row>
    <row r="1092" spans="1:30" x14ac:dyDescent="0.25">
      <c r="A1092" s="1">
        <v>46135</v>
      </c>
      <c r="B1092" s="1">
        <v>46135</v>
      </c>
      <c r="C1092" s="81" t="s">
        <v>169</v>
      </c>
      <c r="D1092" s="38">
        <v>4</v>
      </c>
      <c r="E1092" s="81" t="s">
        <v>169</v>
      </c>
      <c r="F1092" t="s">
        <v>286</v>
      </c>
      <c r="G1092" s="81" t="s">
        <v>287</v>
      </c>
      <c r="H1092" s="81" t="s">
        <v>31</v>
      </c>
      <c r="I1092" s="3">
        <v>10</v>
      </c>
      <c r="J1092" s="3"/>
      <c r="K1092" s="26">
        <v>10</v>
      </c>
      <c r="L1092" s="2">
        <v>381501.1</v>
      </c>
      <c r="M1092" s="2">
        <v>3815011</v>
      </c>
      <c r="N1092" s="2">
        <v>3815011</v>
      </c>
      <c r="O1092" s="2">
        <v>350139</v>
      </c>
      <c r="P1092" s="2">
        <v>-31362.1</v>
      </c>
      <c r="Q1092" s="2">
        <v>-313621</v>
      </c>
      <c r="R1092" s="4">
        <v>-8.9570427744410014E-2</v>
      </c>
      <c r="U1092" s="2"/>
      <c r="V1092">
        <v>6046</v>
      </c>
      <c r="W1092" s="2">
        <v>6579000000</v>
      </c>
      <c r="X1092" s="6">
        <v>3501390</v>
      </c>
      <c r="Y1092" s="38">
        <v>10010</v>
      </c>
      <c r="Z1092" s="86">
        <f>+((DETALLE_GD_1[[#This Row],[VALOR X UN (GD)]]-DETALLE_GD_1[[#This Row],[VALOR PPTO]])/DETALLE_GD_1[[#This Row],[VALOR PPTO]])</f>
        <v>8.9570427744410014E-2</v>
      </c>
      <c r="AA1092" s="2">
        <f>+DETALLE_GD_1[[#This Row],[VALOR PPTO]]*DETALLE_GD_1[[#This Row],[CANTIDAD RECIBIDA]]</f>
        <v>3501390</v>
      </c>
      <c r="AB10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92" s="3">
        <f>+DETALLE_GD_1[[#This Row],[CANTIDAD SOLICITADA]]-DETALLE_GD_1[[#This Row],[DEVOLUCIÓN]]</f>
        <v>10</v>
      </c>
      <c r="AD1092" s="38" t="str">
        <f>+_xlfn.XLOOKUP(DETALLE_GD_1[[#This Row],[CODIGO]],PRODUCTOS[CODIGO],PRODUCTOS[DESC CORTA],"",0)</f>
        <v>VENTANA V.05</v>
      </c>
    </row>
    <row r="1093" spans="1:30" x14ac:dyDescent="0.25">
      <c r="A1093" s="1">
        <v>46105</v>
      </c>
      <c r="B1093" s="1">
        <v>46105</v>
      </c>
      <c r="C1093" s="81" t="s">
        <v>169</v>
      </c>
      <c r="D1093" s="38">
        <v>3</v>
      </c>
      <c r="E1093" s="81" t="s">
        <v>169</v>
      </c>
      <c r="F1093" t="s">
        <v>348</v>
      </c>
      <c r="G1093" s="81" t="s">
        <v>363</v>
      </c>
      <c r="H1093" s="81" t="s">
        <v>31</v>
      </c>
      <c r="I1093" s="3">
        <v>2</v>
      </c>
      <c r="J1093" s="3"/>
      <c r="K1093" s="26">
        <v>2</v>
      </c>
      <c r="L1093" s="2">
        <v>58900</v>
      </c>
      <c r="M1093" s="2">
        <v>117800</v>
      </c>
      <c r="N1093" s="2">
        <v>117800</v>
      </c>
      <c r="O1093" s="2">
        <v>58900</v>
      </c>
      <c r="P1093" s="2">
        <v>0</v>
      </c>
      <c r="Q1093" s="2">
        <v>0</v>
      </c>
      <c r="R1093" s="4">
        <v>-1.2353068954470001E-16</v>
      </c>
      <c r="T1093">
        <v>351754</v>
      </c>
      <c r="U1093" s="2">
        <v>117800</v>
      </c>
      <c r="V1093">
        <v>6079</v>
      </c>
      <c r="W1093" s="2">
        <v>6579000000</v>
      </c>
      <c r="X1093" s="6">
        <v>117800</v>
      </c>
      <c r="Y1093" s="38">
        <v>10010</v>
      </c>
      <c r="Z1093" s="86">
        <f>+((DETALLE_GD_1[[#This Row],[VALOR X UN (GD)]]-DETALLE_GD_1[[#This Row],[VALOR PPTO]])/DETALLE_GD_1[[#This Row],[VALOR PPTO]])</f>
        <v>0</v>
      </c>
      <c r="AA1093" s="2">
        <f>+DETALLE_GD_1[[#This Row],[VALOR PPTO]]*DETALLE_GD_1[[#This Row],[CANTIDAD RECIBIDA]]</f>
        <v>117800</v>
      </c>
      <c r="AB10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3" s="3">
        <f>+DETALLE_GD_1[[#This Row],[CANTIDAD SOLICITADA]]-DETALLE_GD_1[[#This Row],[DEVOLUCIÓN]]</f>
        <v>2</v>
      </c>
      <c r="AD1093" s="38">
        <f>+_xlfn.XLOOKUP(DETALLE_GD_1[[#This Row],[CODIGO]],PRODUCTOS[CODIGO],PRODUCTOS[DESC CORTA],"",0)</f>
        <v>0</v>
      </c>
    </row>
    <row r="1094" spans="1:30" x14ac:dyDescent="0.25">
      <c r="A1094" s="1">
        <v>46142</v>
      </c>
      <c r="B1094" s="1">
        <v>46139</v>
      </c>
      <c r="C1094" s="81" t="s">
        <v>169</v>
      </c>
      <c r="D1094" s="38">
        <v>4</v>
      </c>
      <c r="E1094" s="81" t="s">
        <v>169</v>
      </c>
      <c r="F1094">
        <v>810007</v>
      </c>
      <c r="G1094" s="81" t="s">
        <v>235</v>
      </c>
      <c r="H1094" s="81" t="s">
        <v>137</v>
      </c>
      <c r="I1094" s="3">
        <v>20</v>
      </c>
      <c r="J1094" s="3"/>
      <c r="K1094" s="26">
        <v>20</v>
      </c>
      <c r="L1094" s="2">
        <v>3372.05</v>
      </c>
      <c r="M1094" s="2">
        <v>67441</v>
      </c>
      <c r="N1094" s="2">
        <v>67441</v>
      </c>
      <c r="O1094" s="2">
        <v>3274.7246</v>
      </c>
      <c r="P1094" s="2">
        <v>-97.325400000000002</v>
      </c>
      <c r="Q1094" s="2">
        <v>-1946.5072</v>
      </c>
      <c r="R1094" s="4">
        <v>-2.9720166657872148E-2</v>
      </c>
      <c r="T1094">
        <v>314073</v>
      </c>
      <c r="U1094" s="2">
        <v>3337857</v>
      </c>
      <c r="V1094">
        <v>6076</v>
      </c>
      <c r="W1094" s="2">
        <v>6579000000</v>
      </c>
      <c r="X1094" s="6">
        <v>65494.492760000001</v>
      </c>
      <c r="Y1094" s="38">
        <v>10010</v>
      </c>
      <c r="Z1094" s="86">
        <f>+((DETALLE_GD_1[[#This Row],[VALOR X UN (GD)]]-DETALLE_GD_1[[#This Row],[VALOR PPTO]])/DETALLE_GD_1[[#This Row],[VALOR PPTO]])</f>
        <v>2.9720178606775109E-2</v>
      </c>
      <c r="AA1094" s="2">
        <f>+DETALLE_GD_1[[#This Row],[VALOR PPTO]]*DETALLE_GD_1[[#This Row],[CANTIDAD RECIBIDA]]</f>
        <v>65494.491999999998</v>
      </c>
      <c r="AB1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4" s="3">
        <f>+DETALLE_GD_1[[#This Row],[CANTIDAD SOLICITADA]]-DETALLE_GD_1[[#This Row],[DEVOLUCIÓN]]</f>
        <v>20</v>
      </c>
      <c r="AD1094" s="38">
        <f>+_xlfn.XLOOKUP(DETALLE_GD_1[[#This Row],[CODIGO]],PRODUCTOS[CODIGO],PRODUCTOS[DESC CORTA],"",0)</f>
        <v>0</v>
      </c>
    </row>
    <row r="1095" spans="1:30" x14ac:dyDescent="0.25">
      <c r="A1095" s="1">
        <v>46142</v>
      </c>
      <c r="B1095" s="1">
        <v>46139</v>
      </c>
      <c r="C1095" s="81" t="s">
        <v>169</v>
      </c>
      <c r="D1095" s="38">
        <v>4</v>
      </c>
      <c r="E1095" s="81" t="s">
        <v>169</v>
      </c>
      <c r="F1095">
        <v>704021</v>
      </c>
      <c r="G1095" s="81" t="s">
        <v>329</v>
      </c>
      <c r="H1095" s="81" t="s">
        <v>31</v>
      </c>
      <c r="I1095" s="3">
        <v>200</v>
      </c>
      <c r="J1095" s="3"/>
      <c r="K1095" s="26">
        <v>200</v>
      </c>
      <c r="L1095" s="2">
        <v>487</v>
      </c>
      <c r="M1095" s="2">
        <v>97400</v>
      </c>
      <c r="N1095" s="2">
        <v>97400</v>
      </c>
      <c r="O1095" s="2">
        <v>487</v>
      </c>
      <c r="P1095" s="2">
        <v>0</v>
      </c>
      <c r="Q1095" s="2">
        <v>0</v>
      </c>
      <c r="R1095" s="4">
        <v>0</v>
      </c>
      <c r="T1095">
        <v>314073</v>
      </c>
      <c r="U1095" s="2"/>
      <c r="V1095">
        <v>6076</v>
      </c>
      <c r="W1095" s="2">
        <v>6579000000</v>
      </c>
      <c r="X1095" s="6">
        <v>97400</v>
      </c>
      <c r="Y1095" s="38">
        <v>10010</v>
      </c>
      <c r="Z1095" s="86">
        <f>+((DETALLE_GD_1[[#This Row],[VALOR X UN (GD)]]-DETALLE_GD_1[[#This Row],[VALOR PPTO]])/DETALLE_GD_1[[#This Row],[VALOR PPTO]])</f>
        <v>0</v>
      </c>
      <c r="AA1095" s="2">
        <f>+DETALLE_GD_1[[#This Row],[VALOR PPTO]]*DETALLE_GD_1[[#This Row],[CANTIDAD RECIBIDA]]</f>
        <v>97400</v>
      </c>
      <c r="AB10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5" s="3">
        <f>+DETALLE_GD_1[[#This Row],[CANTIDAD SOLICITADA]]-DETALLE_GD_1[[#This Row],[DEVOLUCIÓN]]</f>
        <v>200</v>
      </c>
      <c r="AD1095" s="38" t="str">
        <f>+_xlfn.XLOOKUP(DETALLE_GD_1[[#This Row],[CODIGO]],PRODUCTOS[CODIGO],PRODUCTOS[DESC CORTA],"",0)</f>
        <v>ESQUINERO PILASTRA PVC</v>
      </c>
    </row>
    <row r="1096" spans="1:30" x14ac:dyDescent="0.25">
      <c r="A1096" s="1">
        <v>46142</v>
      </c>
      <c r="B1096" s="1">
        <v>46139</v>
      </c>
      <c r="C1096" s="81" t="s">
        <v>169</v>
      </c>
      <c r="D1096" s="38">
        <v>4</v>
      </c>
      <c r="E1096" s="81" t="s">
        <v>169</v>
      </c>
      <c r="F1096">
        <v>2508994</v>
      </c>
      <c r="G1096" s="81" t="s">
        <v>488</v>
      </c>
      <c r="H1096" s="81" t="s">
        <v>31</v>
      </c>
      <c r="I1096" s="3">
        <v>5</v>
      </c>
      <c r="J1096" s="3"/>
      <c r="K1096" s="26">
        <v>5</v>
      </c>
      <c r="L1096" s="2">
        <v>1785.2</v>
      </c>
      <c r="M1096" s="2">
        <v>8926</v>
      </c>
      <c r="N1096" s="2">
        <v>8926</v>
      </c>
      <c r="O1096" s="2">
        <v>1598</v>
      </c>
      <c r="P1096" s="2">
        <v>-187.2</v>
      </c>
      <c r="Q1096" s="2">
        <v>-936</v>
      </c>
      <c r="R1096" s="4">
        <v>-0.11714643304130164</v>
      </c>
      <c r="T1096">
        <v>314073</v>
      </c>
      <c r="U1096" s="2"/>
      <c r="V1096">
        <v>6076</v>
      </c>
      <c r="W1096" s="2">
        <v>6579000000</v>
      </c>
      <c r="X1096" s="6">
        <v>7990</v>
      </c>
      <c r="Y1096" s="38">
        <v>10010</v>
      </c>
      <c r="Z1096" s="86">
        <f>+((DETALLE_GD_1[[#This Row],[VALOR X UN (GD)]]-DETALLE_GD_1[[#This Row],[VALOR PPTO]])/DETALLE_GD_1[[#This Row],[VALOR PPTO]])</f>
        <v>0.11714643304130165</v>
      </c>
      <c r="AA1096" s="2">
        <f>+DETALLE_GD_1[[#This Row],[VALOR PPTO]]*DETALLE_GD_1[[#This Row],[CANTIDAD RECIBIDA]]</f>
        <v>7990</v>
      </c>
      <c r="AB10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6" s="3">
        <f>+DETALLE_GD_1[[#This Row],[CANTIDAD SOLICITADA]]-DETALLE_GD_1[[#This Row],[DEVOLUCIÓN]]</f>
        <v>5</v>
      </c>
      <c r="AD1096" s="38" t="str">
        <f>+_xlfn.XLOOKUP(DETALLE_GD_1[[#This Row],[CODIGO]],PRODUCTOS[CODIGO],PRODUCTOS[DESC CORTA],"",0)</f>
        <v>CUADRADILLO EXPANSION 8X</v>
      </c>
    </row>
    <row r="1097" spans="1:30" x14ac:dyDescent="0.25">
      <c r="A1097" s="1">
        <v>46142</v>
      </c>
      <c r="B1097" s="1">
        <v>46139</v>
      </c>
      <c r="C1097" s="81" t="s">
        <v>169</v>
      </c>
      <c r="D1097" s="38">
        <v>4</v>
      </c>
      <c r="E1097" s="81" t="s">
        <v>169</v>
      </c>
      <c r="F1097">
        <v>2508993</v>
      </c>
      <c r="G1097" s="81" t="s">
        <v>487</v>
      </c>
      <c r="H1097" s="81" t="s">
        <v>31</v>
      </c>
      <c r="I1097" s="3">
        <v>11</v>
      </c>
      <c r="J1097" s="3"/>
      <c r="K1097" s="26">
        <v>11</v>
      </c>
      <c r="L1097" s="2">
        <v>1479.3635999999999</v>
      </c>
      <c r="M1097" s="2">
        <v>16273</v>
      </c>
      <c r="N1097" s="2">
        <v>16273</v>
      </c>
      <c r="O1097" s="2">
        <v>1410</v>
      </c>
      <c r="P1097" s="2">
        <v>-69.363600000000005</v>
      </c>
      <c r="Q1097" s="2">
        <v>-763</v>
      </c>
      <c r="R1097" s="4">
        <v>-4.9194068343004438E-2</v>
      </c>
      <c r="T1097">
        <v>314073</v>
      </c>
      <c r="U1097" s="2"/>
      <c r="V1097">
        <v>6076</v>
      </c>
      <c r="W1097" s="2">
        <v>6579000000</v>
      </c>
      <c r="X1097" s="6">
        <v>15510</v>
      </c>
      <c r="Y1097" s="38">
        <v>10010</v>
      </c>
      <c r="Z1097" s="86">
        <f>+((DETALLE_GD_1[[#This Row],[VALOR X UN (GD)]]-DETALLE_GD_1[[#This Row],[VALOR PPTO]])/DETALLE_GD_1[[#This Row],[VALOR PPTO]])</f>
        <v>4.9194042553191424E-2</v>
      </c>
      <c r="AA1097" s="2">
        <f>+DETALLE_GD_1[[#This Row],[VALOR PPTO]]*DETALLE_GD_1[[#This Row],[CANTIDAD RECIBIDA]]</f>
        <v>15510</v>
      </c>
      <c r="AB1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7" s="3">
        <f>+DETALLE_GD_1[[#This Row],[CANTIDAD SOLICITADA]]-DETALLE_GD_1[[#This Row],[DEVOLUCIÓN]]</f>
        <v>11</v>
      </c>
      <c r="AD1097" s="38" t="str">
        <f>+_xlfn.XLOOKUP(DETALLE_GD_1[[#This Row],[CODIGO]],PRODUCTOS[CODIGO],PRODUCTOS[DESC CORTA],"",0)</f>
        <v>BOCALLAVE B1 800 ACCESO</v>
      </c>
    </row>
    <row r="1098" spans="1:30" x14ac:dyDescent="0.25">
      <c r="A1098" s="1">
        <v>46142</v>
      </c>
      <c r="B1098" s="1">
        <v>46139</v>
      </c>
      <c r="C1098" s="81" t="s">
        <v>169</v>
      </c>
      <c r="D1098" s="38">
        <v>4</v>
      </c>
      <c r="E1098" s="81" t="s">
        <v>169</v>
      </c>
      <c r="F1098">
        <v>2508992</v>
      </c>
      <c r="G1098" s="81" t="s">
        <v>486</v>
      </c>
      <c r="H1098" s="81" t="s">
        <v>31</v>
      </c>
      <c r="I1098" s="3">
        <v>8</v>
      </c>
      <c r="J1098" s="3"/>
      <c r="K1098" s="26">
        <v>8</v>
      </c>
      <c r="L1098" s="2">
        <v>5065.5</v>
      </c>
      <c r="M1098" s="2">
        <v>40524</v>
      </c>
      <c r="N1098" s="2">
        <v>40524</v>
      </c>
      <c r="O1098" s="2">
        <v>5084</v>
      </c>
      <c r="P1098" s="2">
        <v>18.5</v>
      </c>
      <c r="Q1098" s="2">
        <v>148</v>
      </c>
      <c r="R1098" s="4">
        <v>3.638867033831629E-3</v>
      </c>
      <c r="T1098">
        <v>314073</v>
      </c>
      <c r="U1098" s="2"/>
      <c r="V1098">
        <v>6076</v>
      </c>
      <c r="W1098" s="2">
        <v>6579000000</v>
      </c>
      <c r="X1098" s="6">
        <v>40672</v>
      </c>
      <c r="Y1098" s="38">
        <v>10010</v>
      </c>
      <c r="Z1098" s="86">
        <f>+((DETALLE_GD_1[[#This Row],[VALOR X UN (GD)]]-DETALLE_GD_1[[#This Row],[VALOR PPTO]])/DETALLE_GD_1[[#This Row],[VALOR PPTO]])</f>
        <v>-3.6388670338316285E-3</v>
      </c>
      <c r="AA1098" s="2">
        <f>+DETALLE_GD_1[[#This Row],[VALOR PPTO]]*DETALLE_GD_1[[#This Row],[CANTIDAD RECIBIDA]]</f>
        <v>40672</v>
      </c>
      <c r="AB1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8" s="3">
        <f>+DETALLE_GD_1[[#This Row],[CANTIDAD SOLICITADA]]-DETALLE_GD_1[[#This Row],[DEVOLUCIÓN]]</f>
        <v>8</v>
      </c>
      <c r="AD1098" s="38" t="str">
        <f>+_xlfn.XLOOKUP(DETALLE_GD_1[[#This Row],[CODIGO]],PRODUCTOS[CODIGO],PRODUCTOS[DESC CORTA],"",0)</f>
        <v>MANILLA JUEGO</v>
      </c>
    </row>
    <row r="1099" spans="1:30" x14ac:dyDescent="0.25">
      <c r="A1099" s="1">
        <v>46142</v>
      </c>
      <c r="B1099" s="1">
        <v>46139</v>
      </c>
      <c r="C1099" s="81" t="s">
        <v>169</v>
      </c>
      <c r="D1099" s="38">
        <v>4</v>
      </c>
      <c r="E1099" s="81" t="s">
        <v>169</v>
      </c>
      <c r="F1099">
        <v>2508991</v>
      </c>
      <c r="G1099" s="81" t="s">
        <v>485</v>
      </c>
      <c r="H1099" s="81" t="s">
        <v>31</v>
      </c>
      <c r="I1099" s="3">
        <v>11</v>
      </c>
      <c r="J1099" s="3"/>
      <c r="K1099" s="26">
        <v>11</v>
      </c>
      <c r="L1099" s="2">
        <v>4781.2727000000004</v>
      </c>
      <c r="M1099" s="2">
        <v>52594</v>
      </c>
      <c r="N1099" s="2">
        <v>52594</v>
      </c>
      <c r="O1099" s="2">
        <v>4798</v>
      </c>
      <c r="P1099" s="2">
        <v>16.7273</v>
      </c>
      <c r="Q1099" s="2">
        <v>184</v>
      </c>
      <c r="R1099" s="4">
        <v>3.4863011103111663E-3</v>
      </c>
      <c r="T1099">
        <v>314073</v>
      </c>
      <c r="U1099" s="2"/>
      <c r="V1099">
        <v>6076</v>
      </c>
      <c r="W1099" s="2">
        <v>6579000000</v>
      </c>
      <c r="X1099" s="6">
        <v>52778</v>
      </c>
      <c r="Y1099" s="38">
        <v>10010</v>
      </c>
      <c r="Z1099" s="86">
        <f>+((DETALLE_GD_1[[#This Row],[VALOR X UN (GD)]]-DETALLE_GD_1[[#This Row],[VALOR PPTO]])/DETALLE_GD_1[[#This Row],[VALOR PPTO]])</f>
        <v>-3.4863067944976155E-3</v>
      </c>
      <c r="AA1099" s="2">
        <f>+DETALLE_GD_1[[#This Row],[VALOR PPTO]]*DETALLE_GD_1[[#This Row],[CANTIDAD RECIBIDA]]</f>
        <v>52778</v>
      </c>
      <c r="AB1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9" s="3">
        <f>+DETALLE_GD_1[[#This Row],[CANTIDAD SOLICITADA]]-DETALLE_GD_1[[#This Row],[DEVOLUCIÓN]]</f>
        <v>11</v>
      </c>
      <c r="AD1099" s="38" t="str">
        <f>+_xlfn.XLOOKUP(DETALLE_GD_1[[#This Row],[CODIGO]],PRODUCTOS[CODIGO],PRODUCTOS[DESC CORTA],"",0)</f>
        <v>CILINDRO 03 LLAVE/LLAVE</v>
      </c>
    </row>
    <row r="1100" spans="1:30" x14ac:dyDescent="0.25">
      <c r="A1100" s="1">
        <v>46142</v>
      </c>
      <c r="B1100" s="1">
        <v>46139</v>
      </c>
      <c r="C1100" s="81" t="s">
        <v>169</v>
      </c>
      <c r="D1100" s="38">
        <v>4</v>
      </c>
      <c r="E1100" s="81" t="s">
        <v>169</v>
      </c>
      <c r="F1100">
        <v>2508990</v>
      </c>
      <c r="G1100" s="81" t="s">
        <v>484</v>
      </c>
      <c r="H1100" s="81" t="s">
        <v>31</v>
      </c>
      <c r="I1100" s="3">
        <v>11</v>
      </c>
      <c r="J1100" s="3"/>
      <c r="K1100" s="26">
        <v>11</v>
      </c>
      <c r="L1100" s="2">
        <v>6671.9090999999999</v>
      </c>
      <c r="M1100" s="2">
        <v>73391</v>
      </c>
      <c r="N1100" s="2">
        <v>73391</v>
      </c>
      <c r="O1100" s="2">
        <v>6738</v>
      </c>
      <c r="P1100" s="2">
        <v>66.090900000000005</v>
      </c>
      <c r="Q1100" s="2">
        <v>727</v>
      </c>
      <c r="R1100" s="4">
        <v>9.8086834507137149E-3</v>
      </c>
      <c r="T1100">
        <v>314073</v>
      </c>
      <c r="U1100" s="2"/>
      <c r="V1100">
        <v>6076</v>
      </c>
      <c r="W1100" s="2">
        <v>6579000000</v>
      </c>
      <c r="X1100" s="6">
        <v>74118</v>
      </c>
      <c r="Y1100" s="38">
        <v>10010</v>
      </c>
      <c r="Z1100" s="86">
        <f>+((DETALLE_GD_1[[#This Row],[VALOR X UN (GD)]]-DETALLE_GD_1[[#This Row],[VALOR PPTO]])/DETALLE_GD_1[[#This Row],[VALOR PPTO]])</f>
        <v>-9.8086821015138242E-3</v>
      </c>
      <c r="AA1100" s="2">
        <f>+DETALLE_GD_1[[#This Row],[VALOR PPTO]]*DETALLE_GD_1[[#This Row],[CANTIDAD RECIBIDA]]</f>
        <v>74118</v>
      </c>
      <c r="AB11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0" s="3">
        <f>+DETALLE_GD_1[[#This Row],[CANTIDAD SOLICITADA]]-DETALLE_GD_1[[#This Row],[DEVOLUCIÓN]]</f>
        <v>11</v>
      </c>
      <c r="AD1100" s="38" t="str">
        <f>+_xlfn.XLOOKUP(DETALLE_GD_1[[#This Row],[CODIGO]],PRODUCTOS[CODIGO],PRODUCTOS[DESC CORTA],"",0)</f>
        <v>CERRADURA DE EMB</v>
      </c>
    </row>
    <row r="1101" spans="1:30" x14ac:dyDescent="0.25">
      <c r="A1101" s="1">
        <v>46142</v>
      </c>
      <c r="B1101" s="1">
        <v>46139</v>
      </c>
      <c r="C1101" s="81" t="s">
        <v>169</v>
      </c>
      <c r="D1101" s="38">
        <v>4</v>
      </c>
      <c r="E1101" s="81" t="s">
        <v>169</v>
      </c>
      <c r="F1101">
        <v>1405025</v>
      </c>
      <c r="G1101" s="81" t="s">
        <v>189</v>
      </c>
      <c r="H1101" s="81" t="s">
        <v>31</v>
      </c>
      <c r="I1101" s="3">
        <v>5</v>
      </c>
      <c r="J1101" s="3"/>
      <c r="K1101" s="26">
        <v>5</v>
      </c>
      <c r="L1101" s="2">
        <v>6980</v>
      </c>
      <c r="M1101" s="2">
        <v>34900</v>
      </c>
      <c r="N1101" s="2">
        <v>34900</v>
      </c>
      <c r="O1101" s="2">
        <v>6758.5333000000001</v>
      </c>
      <c r="P1101" s="2">
        <v>-221.4667</v>
      </c>
      <c r="Q1101" s="2">
        <v>-1107.3333</v>
      </c>
      <c r="R1101" s="4">
        <v>-3.2768450799619618E-2</v>
      </c>
      <c r="T1101">
        <v>314073</v>
      </c>
      <c r="U1101" s="2"/>
      <c r="V1101">
        <v>6076</v>
      </c>
      <c r="W1101" s="2">
        <v>6579000000</v>
      </c>
      <c r="X1101" s="6">
        <v>33792.666665000004</v>
      </c>
      <c r="Y1101" s="38">
        <v>10010</v>
      </c>
      <c r="Z1101" s="86">
        <f>+((DETALLE_GD_1[[#This Row],[VALOR X UN (GD)]]-DETALLE_GD_1[[#This Row],[VALOR PPTO]])/DETALLE_GD_1[[#This Row],[VALOR PPTO]])</f>
        <v>3.2768455842334898E-2</v>
      </c>
      <c r="AA1101" s="2">
        <f>+DETALLE_GD_1[[#This Row],[VALOR PPTO]]*DETALLE_GD_1[[#This Row],[CANTIDAD RECIBIDA]]</f>
        <v>33792.666499999999</v>
      </c>
      <c r="AB1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1" s="3">
        <f>+DETALLE_GD_1[[#This Row],[CANTIDAD SOLICITADA]]-DETALLE_GD_1[[#This Row],[DEVOLUCIÓN]]</f>
        <v>5</v>
      </c>
      <c r="AD1101" s="38">
        <f>+_xlfn.XLOOKUP(DETALLE_GD_1[[#This Row],[CODIGO]],PRODUCTOS[CODIGO],PRODUCTOS[DESC CORTA],"",0)</f>
        <v>0</v>
      </c>
    </row>
    <row r="1102" spans="1:30" x14ac:dyDescent="0.25">
      <c r="A1102" s="1">
        <v>46142</v>
      </c>
      <c r="B1102" s="1">
        <v>46139</v>
      </c>
      <c r="C1102" s="81" t="s">
        <v>169</v>
      </c>
      <c r="D1102" s="38">
        <v>4</v>
      </c>
      <c r="E1102" s="81" t="s">
        <v>169</v>
      </c>
      <c r="F1102">
        <v>2508988</v>
      </c>
      <c r="G1102" s="81" t="s">
        <v>469</v>
      </c>
      <c r="H1102" s="81" t="s">
        <v>90</v>
      </c>
      <c r="I1102" s="3">
        <v>3</v>
      </c>
      <c r="J1102" s="3"/>
      <c r="K1102" s="26">
        <v>3</v>
      </c>
      <c r="L1102" s="2">
        <v>142675.6667</v>
      </c>
      <c r="M1102" s="2">
        <v>428027</v>
      </c>
      <c r="N1102" s="2">
        <v>428027</v>
      </c>
      <c r="O1102" s="2"/>
      <c r="P1102" s="2"/>
      <c r="Q1102" s="2">
        <v>-428027</v>
      </c>
      <c r="R1102" s="4"/>
      <c r="T1102">
        <v>314073</v>
      </c>
      <c r="U1102" s="2"/>
      <c r="V1102">
        <v>6076</v>
      </c>
      <c r="W1102" s="2">
        <v>6579000000</v>
      </c>
      <c r="X1102" s="6" t="s">
        <v>355</v>
      </c>
      <c r="Y1102" s="38">
        <v>10010</v>
      </c>
      <c r="Z1102" s="86" t="e">
        <f>+((DETALLE_GD_1[[#This Row],[VALOR X UN (GD)]]-DETALLE_GD_1[[#This Row],[VALOR PPTO]])/DETALLE_GD_1[[#This Row],[VALOR PPTO]])</f>
        <v>#DIV/0!</v>
      </c>
      <c r="AA1102" s="2">
        <f>+DETALLE_GD_1[[#This Row],[VALOR PPTO]]*DETALLE_GD_1[[#This Row],[CANTIDAD RECIBIDA]]</f>
        <v>0</v>
      </c>
      <c r="AB1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2" s="3">
        <f>+DETALLE_GD_1[[#This Row],[CANTIDAD SOLICITADA]]-DETALLE_GD_1[[#This Row],[DEVOLUCIÓN]]</f>
        <v>3</v>
      </c>
      <c r="AD1102" s="38" t="str">
        <f>+_xlfn.XLOOKUP(DETALLE_GD_1[[#This Row],[CODIGO]],PRODUCTOS[CODIGO],PRODUCTOS[DESC CORTA],"",0)</f>
        <v/>
      </c>
    </row>
    <row r="1103" spans="1:30" x14ac:dyDescent="0.25">
      <c r="A1103" s="1">
        <v>46142</v>
      </c>
      <c r="B1103" s="1">
        <v>46139</v>
      </c>
      <c r="C1103" s="81" t="s">
        <v>169</v>
      </c>
      <c r="D1103" s="38">
        <v>4</v>
      </c>
      <c r="E1103" s="81" t="s">
        <v>169</v>
      </c>
      <c r="F1103">
        <v>2508987</v>
      </c>
      <c r="G1103" s="81" t="s">
        <v>305</v>
      </c>
      <c r="H1103" s="81" t="s">
        <v>31</v>
      </c>
      <c r="I1103" s="3">
        <v>3</v>
      </c>
      <c r="J1103" s="3"/>
      <c r="K1103" s="26">
        <v>3</v>
      </c>
      <c r="L1103" s="2">
        <v>142531.6667</v>
      </c>
      <c r="M1103" s="2">
        <v>427595</v>
      </c>
      <c r="N1103" s="2">
        <v>427595</v>
      </c>
      <c r="O1103" s="2">
        <v>145847</v>
      </c>
      <c r="P1103" s="2">
        <v>3315.3332999999998</v>
      </c>
      <c r="Q1103" s="2">
        <v>9946</v>
      </c>
      <c r="R1103" s="4">
        <v>2.2731584011555551E-2</v>
      </c>
      <c r="T1103">
        <v>314073</v>
      </c>
      <c r="U1103" s="2"/>
      <c r="V1103">
        <v>6076</v>
      </c>
      <c r="W1103" s="2">
        <v>6579000000</v>
      </c>
      <c r="X1103" s="6">
        <v>437541</v>
      </c>
      <c r="Y1103" s="38">
        <v>10010</v>
      </c>
      <c r="Z1103" s="86">
        <f>+((DETALLE_GD_1[[#This Row],[VALOR X UN (GD)]]-DETALLE_GD_1[[#This Row],[VALOR PPTO]])/DETALLE_GD_1[[#This Row],[VALOR PPTO]])</f>
        <v>-2.2731583783005469E-2</v>
      </c>
      <c r="AA1103" s="2">
        <f>+DETALLE_GD_1[[#This Row],[VALOR PPTO]]*DETALLE_GD_1[[#This Row],[CANTIDAD RECIBIDA]]</f>
        <v>437541</v>
      </c>
      <c r="AB1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3" s="3">
        <f>+DETALLE_GD_1[[#This Row],[CANTIDAD SOLICITADA]]-DETALLE_GD_1[[#This Row],[DEVOLUCIÓN]]</f>
        <v>3</v>
      </c>
      <c r="AD1103" s="38" t="str">
        <f>+_xlfn.XLOOKUP(DETALLE_GD_1[[#This Row],[CODIGO]],PRODUCTOS[CODIGO],PRODUCTOS[DESC CORTA],"",0)</f>
        <v>KIT PREC</v>
      </c>
    </row>
    <row r="1104" spans="1:30" x14ac:dyDescent="0.25">
      <c r="A1104" s="1">
        <v>46142</v>
      </c>
      <c r="B1104" s="1">
        <v>46139</v>
      </c>
      <c r="C1104" s="81" t="s">
        <v>169</v>
      </c>
      <c r="D1104" s="38">
        <v>4</v>
      </c>
      <c r="E1104" s="81" t="s">
        <v>169</v>
      </c>
      <c r="F1104">
        <v>2508986</v>
      </c>
      <c r="G1104" s="81" t="s">
        <v>709</v>
      </c>
      <c r="H1104" s="81" t="s">
        <v>90</v>
      </c>
      <c r="I1104" s="3">
        <v>1</v>
      </c>
      <c r="J1104" s="3"/>
      <c r="K1104" s="26">
        <v>1</v>
      </c>
      <c r="L1104" s="2">
        <v>102622</v>
      </c>
      <c r="M1104" s="2">
        <v>102622</v>
      </c>
      <c r="N1104" s="2">
        <v>102622</v>
      </c>
      <c r="O1104" s="2"/>
      <c r="P1104" s="2"/>
      <c r="Q1104" s="2">
        <v>-102622</v>
      </c>
      <c r="R1104" s="4"/>
      <c r="T1104">
        <v>314073</v>
      </c>
      <c r="U1104" s="2"/>
      <c r="V1104">
        <v>6076</v>
      </c>
      <c r="W1104" s="2">
        <v>6579000000</v>
      </c>
      <c r="X1104" s="6" t="s">
        <v>355</v>
      </c>
      <c r="Y1104" s="38">
        <v>10010</v>
      </c>
      <c r="Z1104" s="86" t="e">
        <f>+((DETALLE_GD_1[[#This Row],[VALOR X UN (GD)]]-DETALLE_GD_1[[#This Row],[VALOR PPTO]])/DETALLE_GD_1[[#This Row],[VALOR PPTO]])</f>
        <v>#DIV/0!</v>
      </c>
      <c r="AA1104" s="2">
        <f>+DETALLE_GD_1[[#This Row],[VALOR PPTO]]*DETALLE_GD_1[[#This Row],[CANTIDAD RECIBIDA]]</f>
        <v>0</v>
      </c>
      <c r="AB1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4" s="3">
        <f>+DETALLE_GD_1[[#This Row],[CANTIDAD SOLICITADA]]-DETALLE_GD_1[[#This Row],[DEVOLUCIÓN]]</f>
        <v>1</v>
      </c>
      <c r="AD1104" s="38" t="str">
        <f>+_xlfn.XLOOKUP(DETALLE_GD_1[[#This Row],[CODIGO]],PRODUCTOS[CODIGO],PRODUCTOS[DESC CORTA],"",0)</f>
        <v/>
      </c>
    </row>
    <row r="1105" spans="1:30" x14ac:dyDescent="0.25">
      <c r="A1105" s="1">
        <v>46142</v>
      </c>
      <c r="B1105" s="1">
        <v>46139</v>
      </c>
      <c r="C1105" s="81" t="s">
        <v>169</v>
      </c>
      <c r="D1105" s="38">
        <v>4</v>
      </c>
      <c r="E1105" s="81" t="s">
        <v>169</v>
      </c>
      <c r="F1105">
        <v>2508985</v>
      </c>
      <c r="G1105" s="81" t="s">
        <v>304</v>
      </c>
      <c r="H1105" s="81" t="s">
        <v>90</v>
      </c>
      <c r="I1105" s="3">
        <v>1</v>
      </c>
      <c r="J1105" s="3"/>
      <c r="K1105" s="26">
        <v>1</v>
      </c>
      <c r="L1105" s="2">
        <v>102622</v>
      </c>
      <c r="M1105" s="2">
        <v>102622</v>
      </c>
      <c r="N1105" s="2">
        <v>102622</v>
      </c>
      <c r="O1105" s="2">
        <v>102622</v>
      </c>
      <c r="P1105" s="2">
        <v>0</v>
      </c>
      <c r="Q1105" s="2">
        <v>0</v>
      </c>
      <c r="R1105" s="4">
        <v>0</v>
      </c>
      <c r="T1105">
        <v>314073</v>
      </c>
      <c r="U1105" s="2"/>
      <c r="V1105">
        <v>6076</v>
      </c>
      <c r="W1105" s="2">
        <v>6579000000</v>
      </c>
      <c r="X1105" s="6">
        <v>102622</v>
      </c>
      <c r="Y1105" s="38">
        <v>10010</v>
      </c>
      <c r="Z1105" s="86">
        <f>+((DETALLE_GD_1[[#This Row],[VALOR X UN (GD)]]-DETALLE_GD_1[[#This Row],[VALOR PPTO]])/DETALLE_GD_1[[#This Row],[VALOR PPTO]])</f>
        <v>0</v>
      </c>
      <c r="AA1105" s="2">
        <f>+DETALLE_GD_1[[#This Row],[VALOR PPTO]]*DETALLE_GD_1[[#This Row],[CANTIDAD RECIBIDA]]</f>
        <v>102622</v>
      </c>
      <c r="AB1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5" s="3">
        <f>+DETALLE_GD_1[[#This Row],[CANTIDAD SOLICITADA]]-DETALLE_GD_1[[#This Row],[DEVOLUCIÓN]]</f>
        <v>1</v>
      </c>
      <c r="AD1105" s="38" t="str">
        <f>+_xlfn.XLOOKUP(DETALLE_GD_1[[#This Row],[CODIGO]],PRODUCTOS[CODIGO],PRODUCTOS[DESC CORTA],"",0)</f>
        <v>KIT PRECOLGADO</v>
      </c>
    </row>
    <row r="1106" spans="1:30" x14ac:dyDescent="0.25">
      <c r="A1106" s="1">
        <v>46142</v>
      </c>
      <c r="B1106" s="1">
        <v>46139</v>
      </c>
      <c r="C1106" s="81" t="s">
        <v>169</v>
      </c>
      <c r="D1106" s="38">
        <v>4</v>
      </c>
      <c r="E1106" s="81" t="s">
        <v>169</v>
      </c>
      <c r="F1106">
        <v>2304002</v>
      </c>
      <c r="G1106" s="81" t="s">
        <v>212</v>
      </c>
      <c r="H1106" s="81" t="s">
        <v>31</v>
      </c>
      <c r="I1106" s="3">
        <v>33</v>
      </c>
      <c r="J1106" s="3"/>
      <c r="K1106" s="26">
        <v>33</v>
      </c>
      <c r="L1106" s="2">
        <v>1376.4848</v>
      </c>
      <c r="M1106" s="2">
        <v>45424</v>
      </c>
      <c r="N1106" s="2">
        <v>45424</v>
      </c>
      <c r="O1106" s="2">
        <v>1376.4717000000001</v>
      </c>
      <c r="P1106" s="2">
        <v>-1.3100000000000001E-2</v>
      </c>
      <c r="Q1106" s="2">
        <v>-0.43309999999999998</v>
      </c>
      <c r="R1106" s="4">
        <v>-9.5348742874023072E-6</v>
      </c>
      <c r="T1106">
        <v>314073</v>
      </c>
      <c r="U1106" s="2"/>
      <c r="V1106">
        <v>6076</v>
      </c>
      <c r="W1106" s="2">
        <v>6579000000</v>
      </c>
      <c r="X1106" s="6">
        <v>45423.566892000003</v>
      </c>
      <c r="Y1106" s="38">
        <v>10010</v>
      </c>
      <c r="Z1106" s="86">
        <f>+((DETALLE_GD_1[[#This Row],[VALOR X UN (GD)]]-DETALLE_GD_1[[#This Row],[VALOR PPTO]])/DETALLE_GD_1[[#This Row],[VALOR PPTO]])</f>
        <v>9.5170863301402145E-6</v>
      </c>
      <c r="AA1106" s="2">
        <f>+DETALLE_GD_1[[#This Row],[VALOR PPTO]]*DETALLE_GD_1[[#This Row],[CANTIDAD RECIBIDA]]</f>
        <v>45423.566100000004</v>
      </c>
      <c r="AB1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6" s="3">
        <f>+DETALLE_GD_1[[#This Row],[CANTIDAD SOLICITADA]]-DETALLE_GD_1[[#This Row],[DEVOLUCIÓN]]</f>
        <v>33</v>
      </c>
      <c r="AD1106" s="38">
        <f>+_xlfn.XLOOKUP(DETALLE_GD_1[[#This Row],[CODIGO]],PRODUCTOS[CODIGO],PRODUCTOS[DESC CORTA],"",0)</f>
        <v>0</v>
      </c>
    </row>
    <row r="1107" spans="1:30" x14ac:dyDescent="0.25">
      <c r="A1107" s="1">
        <v>46142</v>
      </c>
      <c r="B1107" s="1">
        <v>46139</v>
      </c>
      <c r="C1107" s="81" t="s">
        <v>169</v>
      </c>
      <c r="D1107" s="38">
        <v>4</v>
      </c>
      <c r="E1107" s="81" t="s">
        <v>169</v>
      </c>
      <c r="F1107">
        <v>307096</v>
      </c>
      <c r="G1107" s="81" t="s">
        <v>249</v>
      </c>
      <c r="H1107" s="81" t="s">
        <v>137</v>
      </c>
      <c r="I1107" s="3">
        <v>150</v>
      </c>
      <c r="J1107" s="3"/>
      <c r="K1107" s="26">
        <v>150</v>
      </c>
      <c r="L1107" s="2">
        <v>1795.6</v>
      </c>
      <c r="M1107" s="2">
        <v>269340</v>
      </c>
      <c r="N1107" s="2">
        <v>269340</v>
      </c>
      <c r="O1107" s="2">
        <v>2095.3501000000001</v>
      </c>
      <c r="P1107" s="2">
        <v>299.75009999999997</v>
      </c>
      <c r="Q1107" s="2">
        <v>44962.5193</v>
      </c>
      <c r="R1107" s="4">
        <v>0.14305491232773293</v>
      </c>
      <c r="T1107">
        <v>314073</v>
      </c>
      <c r="U1107" s="2"/>
      <c r="V1107">
        <v>6076</v>
      </c>
      <c r="W1107" s="2">
        <v>6579000000</v>
      </c>
      <c r="X1107" s="6">
        <v>314302.51934999978</v>
      </c>
      <c r="Y1107" s="38">
        <v>10010</v>
      </c>
      <c r="Z1107" s="86">
        <f>+((DETALLE_GD_1[[#This Row],[VALOR X UN (GD)]]-DETALLE_GD_1[[#This Row],[VALOR PPTO]])/DETALLE_GD_1[[#This Row],[VALOR PPTO]])</f>
        <v>-0.14305490046746852</v>
      </c>
      <c r="AA1107" s="2">
        <f>+DETALLE_GD_1[[#This Row],[VALOR PPTO]]*DETALLE_GD_1[[#This Row],[CANTIDAD RECIBIDA]]</f>
        <v>314302.51500000001</v>
      </c>
      <c r="AB11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07" s="3">
        <f>+DETALLE_GD_1[[#This Row],[CANTIDAD SOLICITADA]]-DETALLE_GD_1[[#This Row],[DEVOLUCIÓN]]</f>
        <v>150</v>
      </c>
      <c r="AD1107" s="38" t="str">
        <f>+_xlfn.XLOOKUP(DETALLE_GD_1[[#This Row],[CODIGO]],PRODUCTOS[CODIGO],PRODUCTOS[DESC CORTA],"",0)</f>
        <v>CUBREJUNTA</v>
      </c>
    </row>
    <row r="1108" spans="1:30" x14ac:dyDescent="0.25">
      <c r="A1108" s="1">
        <v>46142</v>
      </c>
      <c r="B1108" s="1">
        <v>46139</v>
      </c>
      <c r="C1108" s="81" t="s">
        <v>169</v>
      </c>
      <c r="D1108" s="38">
        <v>4</v>
      </c>
      <c r="E1108" s="81" t="s">
        <v>169</v>
      </c>
      <c r="F1108">
        <v>307033</v>
      </c>
      <c r="G1108" s="81" t="s">
        <v>248</v>
      </c>
      <c r="H1108" s="81" t="s">
        <v>31</v>
      </c>
      <c r="I1108" s="3">
        <v>50</v>
      </c>
      <c r="J1108" s="3"/>
      <c r="K1108" s="26">
        <v>50</v>
      </c>
      <c r="L1108" s="2">
        <v>1889.62</v>
      </c>
      <c r="M1108" s="2">
        <v>94481</v>
      </c>
      <c r="N1108" s="2">
        <v>94481</v>
      </c>
      <c r="O1108" s="2">
        <v>1889.0535</v>
      </c>
      <c r="P1108" s="2">
        <v>-0.5665</v>
      </c>
      <c r="Q1108" s="2">
        <v>-28.322800000000001</v>
      </c>
      <c r="R1108" s="4">
        <v>-2.9986233148297494E-4</v>
      </c>
      <c r="T1108">
        <v>314073</v>
      </c>
      <c r="U1108" s="2"/>
      <c r="V1108">
        <v>6076</v>
      </c>
      <c r="W1108" s="2">
        <v>6579000000</v>
      </c>
      <c r="X1108" s="6">
        <v>94452.677199999991</v>
      </c>
      <c r="Y1108" s="38">
        <v>10010</v>
      </c>
      <c r="Z1108" s="86">
        <f>+((DETALLE_GD_1[[#This Row],[VALOR X UN (GD)]]-DETALLE_GD_1[[#This Row],[VALOR PPTO]])/DETALLE_GD_1[[#This Row],[VALOR PPTO]])</f>
        <v>2.9988563055514597E-4</v>
      </c>
      <c r="AA1108" s="2">
        <f>+DETALLE_GD_1[[#This Row],[VALOR PPTO]]*DETALLE_GD_1[[#This Row],[CANTIDAD RECIBIDA]]</f>
        <v>94452.675000000003</v>
      </c>
      <c r="AB1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8" s="3">
        <f>+DETALLE_GD_1[[#This Row],[CANTIDAD SOLICITADA]]-DETALLE_GD_1[[#This Row],[DEVOLUCIÓN]]</f>
        <v>50</v>
      </c>
      <c r="AD1108" s="38">
        <f>+_xlfn.XLOOKUP(DETALLE_GD_1[[#This Row],[CODIGO]],PRODUCTOS[CODIGO],PRODUCTOS[DESC CORTA],"",0)</f>
        <v>0</v>
      </c>
    </row>
    <row r="1109" spans="1:30" x14ac:dyDescent="0.25">
      <c r="A1109" s="1">
        <v>46142</v>
      </c>
      <c r="B1109" s="1">
        <v>46139</v>
      </c>
      <c r="C1109" s="81" t="s">
        <v>169</v>
      </c>
      <c r="D1109" s="38">
        <v>4</v>
      </c>
      <c r="E1109" s="81" t="s">
        <v>169</v>
      </c>
      <c r="F1109">
        <v>307030</v>
      </c>
      <c r="G1109" s="81" t="s">
        <v>64</v>
      </c>
      <c r="H1109" s="81" t="s">
        <v>31</v>
      </c>
      <c r="I1109" s="3">
        <v>50</v>
      </c>
      <c r="J1109" s="3"/>
      <c r="K1109" s="26">
        <v>50</v>
      </c>
      <c r="L1109" s="2">
        <v>2730</v>
      </c>
      <c r="M1109" s="2">
        <v>136500</v>
      </c>
      <c r="N1109" s="2">
        <v>136500</v>
      </c>
      <c r="O1109" s="2">
        <v>2729.9989</v>
      </c>
      <c r="P1109" s="2">
        <v>-1.1000000000000001E-3</v>
      </c>
      <c r="Q1109" s="2">
        <v>-5.7200000000000001E-2</v>
      </c>
      <c r="R1109" s="4">
        <v>-4.190477945900508E-7</v>
      </c>
      <c r="T1109">
        <v>314073</v>
      </c>
      <c r="U1109" s="2"/>
      <c r="V1109">
        <v>6076</v>
      </c>
      <c r="W1109" s="2">
        <v>6579000000</v>
      </c>
      <c r="X1109" s="6">
        <v>136499.94280000002</v>
      </c>
      <c r="Y1109" s="38">
        <v>10010</v>
      </c>
      <c r="Z1109" s="86">
        <f>+((DETALLE_GD_1[[#This Row],[VALOR X UN (GD)]]-DETALLE_GD_1[[#This Row],[VALOR PPTO]])/DETALLE_GD_1[[#This Row],[VALOR PPTO]])</f>
        <v>4.0293056526552117E-7</v>
      </c>
      <c r="AA1109" s="2">
        <f>+DETALLE_GD_1[[#This Row],[VALOR PPTO]]*DETALLE_GD_1[[#This Row],[CANTIDAD RECIBIDA]]</f>
        <v>136499.94500000001</v>
      </c>
      <c r="AB1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9" s="3">
        <f>+DETALLE_GD_1[[#This Row],[CANTIDAD SOLICITADA]]-DETALLE_GD_1[[#This Row],[DEVOLUCIÓN]]</f>
        <v>50</v>
      </c>
      <c r="AD1109" s="38" t="str">
        <f>+_xlfn.XLOOKUP(DETALLE_GD_1[[#This Row],[CODIGO]],PRODUCTOS[CODIGO],PRODUCTOS[DESC CORTA],"",0)</f>
        <v>GUARDAPOLVO BLANCO</v>
      </c>
    </row>
    <row r="1110" spans="1:30" x14ac:dyDescent="0.25">
      <c r="A1110" s="1">
        <v>46142</v>
      </c>
      <c r="B1110" s="1">
        <v>46139</v>
      </c>
      <c r="C1110" s="81" t="s">
        <v>169</v>
      </c>
      <c r="D1110" s="38">
        <v>4</v>
      </c>
      <c r="E1110" s="81" t="s">
        <v>169</v>
      </c>
      <c r="F1110">
        <v>2302119</v>
      </c>
      <c r="G1110" s="81" t="s">
        <v>74</v>
      </c>
      <c r="H1110" s="81" t="s">
        <v>31</v>
      </c>
      <c r="I1110" s="3">
        <v>24</v>
      </c>
      <c r="J1110" s="3"/>
      <c r="K1110" s="26">
        <v>24</v>
      </c>
      <c r="L1110" s="2">
        <v>3679.875</v>
      </c>
      <c r="M1110" s="2">
        <v>88317</v>
      </c>
      <c r="N1110" s="2">
        <v>88317</v>
      </c>
      <c r="O1110" s="2">
        <v>3671</v>
      </c>
      <c r="P1110" s="2">
        <v>-8.875</v>
      </c>
      <c r="Q1110" s="2">
        <v>-213</v>
      </c>
      <c r="R1110" s="4">
        <v>-2.4175973849087443E-3</v>
      </c>
      <c r="T1110">
        <v>314073</v>
      </c>
      <c r="U1110" s="2"/>
      <c r="V1110">
        <v>6076</v>
      </c>
      <c r="W1110" s="2">
        <v>6579000000</v>
      </c>
      <c r="X1110" s="6">
        <v>88104</v>
      </c>
      <c r="Y1110" s="38">
        <v>10010</v>
      </c>
      <c r="Z1110" s="86">
        <f>+((DETALLE_GD_1[[#This Row],[VALOR X UN (GD)]]-DETALLE_GD_1[[#This Row],[VALOR PPTO]])/DETALLE_GD_1[[#This Row],[VALOR PPTO]])</f>
        <v>2.4175973849087443E-3</v>
      </c>
      <c r="AA1110" s="2">
        <f>+DETALLE_GD_1[[#This Row],[VALOR PPTO]]*DETALLE_GD_1[[#This Row],[CANTIDAD RECIBIDA]]</f>
        <v>88104</v>
      </c>
      <c r="AB1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0" s="3">
        <f>+DETALLE_GD_1[[#This Row],[CANTIDAD SOLICITADA]]-DETALLE_GD_1[[#This Row],[DEVOLUCIÓN]]</f>
        <v>24</v>
      </c>
      <c r="AD1110" s="38" t="str">
        <f>+_xlfn.XLOOKUP(DETALLE_GD_1[[#This Row],[CODIGO]],PRODUCTOS[CODIGO],PRODUCTOS[DESC CORTA],"",0)</f>
        <v>SELLO</v>
      </c>
    </row>
    <row r="1111" spans="1:30" x14ac:dyDescent="0.25">
      <c r="A1111" s="1">
        <v>46142</v>
      </c>
      <c r="B1111" s="1">
        <v>46139</v>
      </c>
      <c r="C1111" s="81" t="s">
        <v>169</v>
      </c>
      <c r="D1111" s="38">
        <v>4</v>
      </c>
      <c r="E1111" s="81" t="s">
        <v>169</v>
      </c>
      <c r="F1111" t="s">
        <v>562</v>
      </c>
      <c r="G1111" s="81" t="s">
        <v>708</v>
      </c>
      <c r="H1111" s="81" t="s">
        <v>47</v>
      </c>
      <c r="I1111" s="3">
        <v>50</v>
      </c>
      <c r="J1111" s="3"/>
      <c r="K1111" s="26">
        <v>50</v>
      </c>
      <c r="L1111" s="2">
        <v>328.26</v>
      </c>
      <c r="M1111" s="2">
        <v>16413</v>
      </c>
      <c r="N1111" s="2">
        <v>16413</v>
      </c>
      <c r="O1111" s="2"/>
      <c r="P1111" s="2"/>
      <c r="Q1111" s="2">
        <v>-16413</v>
      </c>
      <c r="R1111" s="4"/>
      <c r="T1111">
        <v>314073</v>
      </c>
      <c r="U1111" s="2"/>
      <c r="V1111">
        <v>6076</v>
      </c>
      <c r="W1111" s="2">
        <v>6579000000</v>
      </c>
      <c r="X1111" s="6" t="s">
        <v>355</v>
      </c>
      <c r="Y1111" s="38">
        <v>10010</v>
      </c>
      <c r="Z1111" s="86" t="e">
        <f>+((DETALLE_GD_1[[#This Row],[VALOR X UN (GD)]]-DETALLE_GD_1[[#This Row],[VALOR PPTO]])/DETALLE_GD_1[[#This Row],[VALOR PPTO]])</f>
        <v>#DIV/0!</v>
      </c>
      <c r="AA1111" s="2">
        <f>+DETALLE_GD_1[[#This Row],[VALOR PPTO]]*DETALLE_GD_1[[#This Row],[CANTIDAD RECIBIDA]]</f>
        <v>0</v>
      </c>
      <c r="AB1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1" s="3">
        <f>+DETALLE_GD_1[[#This Row],[CANTIDAD SOLICITADA]]-DETALLE_GD_1[[#This Row],[DEVOLUCIÓN]]</f>
        <v>50</v>
      </c>
      <c r="AD1111" s="38" t="str">
        <f>+_xlfn.XLOOKUP(DETALLE_GD_1[[#This Row],[CODIGO]],PRODUCTOS[CODIGO],PRODUCTOS[DESC CORTA],"",0)</f>
        <v/>
      </c>
    </row>
    <row r="1112" spans="1:30" x14ac:dyDescent="0.25">
      <c r="A1112" s="1">
        <v>46142</v>
      </c>
      <c r="B1112" s="1">
        <v>46139</v>
      </c>
      <c r="C1112" s="81" t="s">
        <v>169</v>
      </c>
      <c r="D1112" s="38">
        <v>4</v>
      </c>
      <c r="E1112" s="81" t="s">
        <v>169</v>
      </c>
      <c r="F1112" t="s">
        <v>345</v>
      </c>
      <c r="G1112" s="81" t="s">
        <v>167</v>
      </c>
      <c r="H1112" s="81" t="s">
        <v>26</v>
      </c>
      <c r="I1112" s="3">
        <v>80</v>
      </c>
      <c r="J1112" s="3"/>
      <c r="K1112" s="26">
        <v>80</v>
      </c>
      <c r="L1112" s="2">
        <v>12991.9625</v>
      </c>
      <c r="M1112" s="2">
        <v>1039357</v>
      </c>
      <c r="N1112" s="2">
        <v>1039357</v>
      </c>
      <c r="O1112" s="2">
        <v>11882.3879</v>
      </c>
      <c r="P1112" s="2">
        <v>-1109.5745999999999</v>
      </c>
      <c r="Q1112" s="2">
        <v>-88765.9666</v>
      </c>
      <c r="R1112" s="4">
        <v>-9.3379764299105536E-2</v>
      </c>
      <c r="T1112">
        <v>314073</v>
      </c>
      <c r="U1112" s="2"/>
      <c r="V1112">
        <v>6076</v>
      </c>
      <c r="W1112" s="2">
        <v>6579000000</v>
      </c>
      <c r="X1112" s="6">
        <v>950591.03336</v>
      </c>
      <c r="Y1112" s="38">
        <v>10010</v>
      </c>
      <c r="Z1112" s="86">
        <f>+((DETALLE_GD_1[[#This Row],[VALOR X UN (GD)]]-DETALLE_GD_1[[#This Row],[VALOR PPTO]])/DETALLE_GD_1[[#This Row],[VALOR PPTO]])</f>
        <v>9.337976586339182E-2</v>
      </c>
      <c r="AA1112" s="2">
        <f>+DETALLE_GD_1[[#This Row],[VALOR PPTO]]*DETALLE_GD_1[[#This Row],[CANTIDAD RECIBIDA]]</f>
        <v>950591.03200000001</v>
      </c>
      <c r="AB11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12" s="3">
        <f>+DETALLE_GD_1[[#This Row],[CANTIDAD SOLICITADA]]-DETALLE_GD_1[[#This Row],[DEVOLUCIÓN]]</f>
        <v>80</v>
      </c>
      <c r="AD1112" s="38" t="str">
        <f>+_xlfn.XLOOKUP(DETALLE_GD_1[[#This Row],[CODIGO]],PRODUCTOS[CODIGO],PRODUCTOS[DESC CORTA],"",0)</f>
        <v>PISO TARKET</v>
      </c>
    </row>
    <row r="1113" spans="1:30" x14ac:dyDescent="0.25">
      <c r="A1113" s="1">
        <v>46142</v>
      </c>
      <c r="B1113" s="1">
        <v>46139</v>
      </c>
      <c r="C1113" s="81" t="s">
        <v>169</v>
      </c>
      <c r="D1113" s="38">
        <v>4</v>
      </c>
      <c r="E1113" s="81" t="s">
        <v>169</v>
      </c>
      <c r="F1113">
        <v>704022</v>
      </c>
      <c r="G1113" s="81" t="s">
        <v>330</v>
      </c>
      <c r="H1113" s="81" t="s">
        <v>31</v>
      </c>
      <c r="I1113" s="3">
        <v>200</v>
      </c>
      <c r="J1113" s="3"/>
      <c r="K1113" s="26">
        <v>200</v>
      </c>
      <c r="L1113" s="2">
        <v>258.38499999999999</v>
      </c>
      <c r="M1113" s="2">
        <v>51677</v>
      </c>
      <c r="N1113" s="2">
        <v>51677</v>
      </c>
      <c r="O1113" s="2">
        <v>306</v>
      </c>
      <c r="P1113" s="2">
        <v>47.615000000000002</v>
      </c>
      <c r="Q1113" s="2">
        <v>9523</v>
      </c>
      <c r="R1113" s="4">
        <v>0.15560457516339887</v>
      </c>
      <c r="T1113">
        <v>314073</v>
      </c>
      <c r="U1113" s="2"/>
      <c r="V1113">
        <v>6076</v>
      </c>
      <c r="W1113" s="2">
        <v>6579000000</v>
      </c>
      <c r="X1113" s="6">
        <v>61200.000000000015</v>
      </c>
      <c r="Y1113" s="38">
        <v>10010</v>
      </c>
      <c r="Z1113" s="86">
        <f>+((DETALLE_GD_1[[#This Row],[VALOR X UN (GD)]]-DETALLE_GD_1[[#This Row],[VALOR PPTO]])/DETALLE_GD_1[[#This Row],[VALOR PPTO]])</f>
        <v>-0.15560457516339873</v>
      </c>
      <c r="AA1113" s="2">
        <f>+DETALLE_GD_1[[#This Row],[VALOR PPTO]]*DETALLE_GD_1[[#This Row],[CANTIDAD RECIBIDA]]</f>
        <v>61200</v>
      </c>
      <c r="AB1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3" s="3">
        <f>+DETALLE_GD_1[[#This Row],[CANTIDAD SOLICITADA]]-DETALLE_GD_1[[#This Row],[DEVOLUCIÓN]]</f>
        <v>200</v>
      </c>
      <c r="AD1113" s="38" t="str">
        <f>+_xlfn.XLOOKUP(DETALLE_GD_1[[#This Row],[CODIGO]],PRODUCTOS[CODIGO],PRODUCTOS[DESC CORTA],"",0)</f>
        <v>ESQUINERO CORNIZA INTERIOR</v>
      </c>
    </row>
    <row r="1114" spans="1:30" x14ac:dyDescent="0.25">
      <c r="A1114" s="1">
        <v>46142</v>
      </c>
      <c r="B1114" s="1">
        <v>46139</v>
      </c>
      <c r="C1114" s="81" t="s">
        <v>169</v>
      </c>
      <c r="D1114" s="38">
        <v>4</v>
      </c>
      <c r="E1114" s="81" t="s">
        <v>169</v>
      </c>
      <c r="F1114">
        <v>704024</v>
      </c>
      <c r="G1114" s="81" t="s">
        <v>332</v>
      </c>
      <c r="H1114" s="81" t="s">
        <v>31</v>
      </c>
      <c r="I1114" s="3">
        <v>200</v>
      </c>
      <c r="J1114" s="3"/>
      <c r="K1114" s="26">
        <v>200</v>
      </c>
      <c r="L1114" s="2">
        <v>317.93</v>
      </c>
      <c r="M1114" s="2">
        <v>63586</v>
      </c>
      <c r="N1114" s="2">
        <v>63586</v>
      </c>
      <c r="O1114" s="2">
        <v>363</v>
      </c>
      <c r="P1114" s="2">
        <v>45.07</v>
      </c>
      <c r="Q1114" s="2">
        <v>9014</v>
      </c>
      <c r="R1114" s="4">
        <v>0.12415977961432503</v>
      </c>
      <c r="T1114">
        <v>314073</v>
      </c>
      <c r="U1114" s="2"/>
      <c r="V1114">
        <v>6076</v>
      </c>
      <c r="W1114" s="2">
        <v>6579000000</v>
      </c>
      <c r="X1114" s="6">
        <v>72600</v>
      </c>
      <c r="Y1114" s="38">
        <v>10010</v>
      </c>
      <c r="Z1114" s="86">
        <f>+((DETALLE_GD_1[[#This Row],[VALOR X UN (GD)]]-DETALLE_GD_1[[#This Row],[VALOR PPTO]])/DETALLE_GD_1[[#This Row],[VALOR PPTO]])</f>
        <v>-0.12415977961432505</v>
      </c>
      <c r="AA1114" s="2">
        <f>+DETALLE_GD_1[[#This Row],[VALOR PPTO]]*DETALLE_GD_1[[#This Row],[CANTIDAD RECIBIDA]]</f>
        <v>72600</v>
      </c>
      <c r="AB1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4" s="3">
        <f>+DETALLE_GD_1[[#This Row],[CANTIDAD SOLICITADA]]-DETALLE_GD_1[[#This Row],[DEVOLUCIÓN]]</f>
        <v>200</v>
      </c>
      <c r="AD1114" s="38" t="str">
        <f>+_xlfn.XLOOKUP(DETALLE_GD_1[[#This Row],[CODIGO]],PRODUCTOS[CODIGO],PRODUCTOS[DESC CORTA],"",0)</f>
        <v>ESQUINERO CORNIZA EXTERIOR</v>
      </c>
    </row>
    <row r="1115" spans="1:30" x14ac:dyDescent="0.25">
      <c r="A1115" s="1">
        <v>46142</v>
      </c>
      <c r="B1115" s="1">
        <v>46139</v>
      </c>
      <c r="C1115" s="81" t="s">
        <v>169</v>
      </c>
      <c r="D1115" s="38">
        <v>4</v>
      </c>
      <c r="E1115" s="81" t="s">
        <v>169</v>
      </c>
      <c r="F1115">
        <v>1103076</v>
      </c>
      <c r="G1115" s="81" t="s">
        <v>311</v>
      </c>
      <c r="H1115" s="81" t="s">
        <v>31</v>
      </c>
      <c r="I1115" s="3">
        <v>10</v>
      </c>
      <c r="J1115" s="3"/>
      <c r="K1115" s="26">
        <v>10</v>
      </c>
      <c r="L1115" s="2">
        <v>3190.8</v>
      </c>
      <c r="M1115" s="2">
        <v>31908</v>
      </c>
      <c r="N1115" s="2">
        <v>31908</v>
      </c>
      <c r="O1115" s="2">
        <v>3191</v>
      </c>
      <c r="P1115" s="2">
        <v>0.2</v>
      </c>
      <c r="Q1115" s="2">
        <v>2</v>
      </c>
      <c r="R1115" s="4">
        <v>6.2676277029087462E-5</v>
      </c>
      <c r="T1115">
        <v>314073</v>
      </c>
      <c r="U1115" s="2"/>
      <c r="V1115">
        <v>6076</v>
      </c>
      <c r="W1115" s="2">
        <v>6579000000</v>
      </c>
      <c r="X1115" s="6">
        <v>31910</v>
      </c>
      <c r="Y1115" s="38">
        <v>10010</v>
      </c>
      <c r="Z1115" s="86">
        <f>+((DETALLE_GD_1[[#This Row],[VALOR X UN (GD)]]-DETALLE_GD_1[[#This Row],[VALOR PPTO]])/DETALLE_GD_1[[#This Row],[VALOR PPTO]])</f>
        <v>-6.2676277029087462E-5</v>
      </c>
      <c r="AA1115" s="2">
        <f>+DETALLE_GD_1[[#This Row],[VALOR PPTO]]*DETALLE_GD_1[[#This Row],[CANTIDAD RECIBIDA]]</f>
        <v>31910</v>
      </c>
      <c r="AB1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5" s="3">
        <f>+DETALLE_GD_1[[#This Row],[CANTIDAD SOLICITADA]]-DETALLE_GD_1[[#This Row],[DEVOLUCIÓN]]</f>
        <v>10</v>
      </c>
      <c r="AD1115" s="38" t="str">
        <f>+_xlfn.XLOOKUP(DETALLE_GD_1[[#This Row],[CODIGO]],PRODUCTOS[CODIGO],PRODUCTOS[DESC CORTA],"",0)</f>
        <v>PERFIL ESQUINERO INTERIOR</v>
      </c>
    </row>
    <row r="1116" spans="1:30" x14ac:dyDescent="0.25">
      <c r="A1116" s="1">
        <v>46142</v>
      </c>
      <c r="B1116" s="1">
        <v>46139</v>
      </c>
      <c r="C1116" s="81" t="s">
        <v>169</v>
      </c>
      <c r="D1116" s="38">
        <v>4</v>
      </c>
      <c r="E1116" s="81" t="s">
        <v>169</v>
      </c>
      <c r="F1116">
        <v>1103074</v>
      </c>
      <c r="G1116" s="81" t="s">
        <v>310</v>
      </c>
      <c r="H1116" s="81" t="s">
        <v>31</v>
      </c>
      <c r="I1116" s="3">
        <v>20</v>
      </c>
      <c r="J1116" s="3"/>
      <c r="K1116" s="26">
        <v>20</v>
      </c>
      <c r="L1116" s="2">
        <v>2426.9499999999998</v>
      </c>
      <c r="M1116" s="2">
        <v>48539</v>
      </c>
      <c r="N1116" s="2">
        <v>48539</v>
      </c>
      <c r="O1116" s="2">
        <v>2427</v>
      </c>
      <c r="P1116" s="2">
        <v>0.05</v>
      </c>
      <c r="Q1116" s="2">
        <v>1</v>
      </c>
      <c r="R1116" s="4">
        <v>2.0601565719069593E-5</v>
      </c>
      <c r="T1116">
        <v>314073</v>
      </c>
      <c r="U1116" s="2"/>
      <c r="V1116">
        <v>6076</v>
      </c>
      <c r="W1116" s="2">
        <v>6579000000</v>
      </c>
      <c r="X1116" s="6">
        <v>48540</v>
      </c>
      <c r="Y1116" s="38">
        <v>10010</v>
      </c>
      <c r="Z1116" s="86">
        <f>+((DETALLE_GD_1[[#This Row],[VALOR X UN (GD)]]-DETALLE_GD_1[[#This Row],[VALOR PPTO]])/DETALLE_GD_1[[#This Row],[VALOR PPTO]])</f>
        <v>-2.0601565719069593E-5</v>
      </c>
      <c r="AA1116" s="2">
        <f>+DETALLE_GD_1[[#This Row],[VALOR PPTO]]*DETALLE_GD_1[[#This Row],[CANTIDAD RECIBIDA]]</f>
        <v>48540</v>
      </c>
      <c r="AB1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6" s="3">
        <f>+DETALLE_GD_1[[#This Row],[CANTIDAD SOLICITADA]]-DETALLE_GD_1[[#This Row],[DEVOLUCIÓN]]</f>
        <v>20</v>
      </c>
      <c r="AD1116" s="38" t="str">
        <f>+_xlfn.XLOOKUP(DETALLE_GD_1[[#This Row],[CODIGO]],PRODUCTOS[CODIGO],PRODUCTOS[DESC CORTA],"",0)</f>
        <v>PERFIL ESQUINERO ENCUENTRO</v>
      </c>
    </row>
    <row r="1117" spans="1:30" x14ac:dyDescent="0.25">
      <c r="A1117" s="1">
        <v>46142</v>
      </c>
      <c r="B1117" s="1">
        <v>46139</v>
      </c>
      <c r="C1117" s="81" t="s">
        <v>169</v>
      </c>
      <c r="D1117" s="38">
        <v>4</v>
      </c>
      <c r="E1117" s="81" t="s">
        <v>169</v>
      </c>
      <c r="F1117">
        <v>2302119</v>
      </c>
      <c r="G1117" s="81" t="s">
        <v>74</v>
      </c>
      <c r="H1117" s="81" t="s">
        <v>31</v>
      </c>
      <c r="I1117" s="3">
        <v>12</v>
      </c>
      <c r="J1117" s="3"/>
      <c r="K1117" s="26">
        <v>12</v>
      </c>
      <c r="L1117" s="2">
        <v>3679.9167000000002</v>
      </c>
      <c r="M1117" s="2">
        <v>44159</v>
      </c>
      <c r="N1117" s="2">
        <v>44159</v>
      </c>
      <c r="O1117" s="2">
        <v>3671</v>
      </c>
      <c r="P1117" s="2">
        <v>-8.9167000000000005</v>
      </c>
      <c r="Q1117" s="2">
        <v>-107</v>
      </c>
      <c r="R1117" s="4">
        <v>-2.4289476073730632E-3</v>
      </c>
      <c r="T1117">
        <v>314077</v>
      </c>
      <c r="U1117" s="2">
        <v>144263</v>
      </c>
      <c r="V1117">
        <v>6076</v>
      </c>
      <c r="W1117" s="2">
        <v>6579000000</v>
      </c>
      <c r="X1117" s="6">
        <v>44052</v>
      </c>
      <c r="Y1117" s="38">
        <v>10010</v>
      </c>
      <c r="Z1117" s="86">
        <f>+((DETALLE_GD_1[[#This Row],[VALOR X UN (GD)]]-DETALLE_GD_1[[#This Row],[VALOR PPTO]])/DETALLE_GD_1[[#This Row],[VALOR PPTO]])</f>
        <v>2.4289566875511357E-3</v>
      </c>
      <c r="AA1117" s="2">
        <f>+DETALLE_GD_1[[#This Row],[VALOR PPTO]]*DETALLE_GD_1[[#This Row],[CANTIDAD RECIBIDA]]</f>
        <v>44052</v>
      </c>
      <c r="AB1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7" s="3">
        <f>+DETALLE_GD_1[[#This Row],[CANTIDAD SOLICITADA]]-DETALLE_GD_1[[#This Row],[DEVOLUCIÓN]]</f>
        <v>12</v>
      </c>
      <c r="AD1117" s="38" t="str">
        <f>+_xlfn.XLOOKUP(DETALLE_GD_1[[#This Row],[CODIGO]],PRODUCTOS[CODIGO],PRODUCTOS[DESC CORTA],"",0)</f>
        <v>SELLO</v>
      </c>
    </row>
    <row r="1118" spans="1:30" x14ac:dyDescent="0.25">
      <c r="A1118" s="1">
        <v>46142</v>
      </c>
      <c r="B1118" s="1">
        <v>46139</v>
      </c>
      <c r="C1118" s="81" t="s">
        <v>169</v>
      </c>
      <c r="D1118" s="38">
        <v>4</v>
      </c>
      <c r="E1118" s="81" t="s">
        <v>169</v>
      </c>
      <c r="F1118">
        <v>609008</v>
      </c>
      <c r="G1118" s="81" t="s">
        <v>57</v>
      </c>
      <c r="H1118" s="81" t="s">
        <v>58</v>
      </c>
      <c r="I1118" s="3">
        <v>5</v>
      </c>
      <c r="J1118" s="3"/>
      <c r="K1118" s="26">
        <v>5</v>
      </c>
      <c r="L1118" s="2">
        <v>2176.4</v>
      </c>
      <c r="M1118" s="2">
        <v>10882</v>
      </c>
      <c r="N1118" s="2">
        <v>10882</v>
      </c>
      <c r="O1118" s="2">
        <v>2130.7573000000002</v>
      </c>
      <c r="P1118" s="2">
        <v>-45.642699999999998</v>
      </c>
      <c r="Q1118" s="2">
        <v>-228.21350000000001</v>
      </c>
      <c r="R1118" s="4">
        <v>-2.1420876880624256E-2</v>
      </c>
      <c r="T1118">
        <v>314077</v>
      </c>
      <c r="U1118" s="2"/>
      <c r="V1118">
        <v>6076</v>
      </c>
      <c r="W1118" s="2">
        <v>6579000000</v>
      </c>
      <c r="X1118" s="6">
        <v>10653.786550000001</v>
      </c>
      <c r="Y1118" s="38">
        <v>10010</v>
      </c>
      <c r="Z1118" s="86">
        <f>+((DETALLE_GD_1[[#This Row],[VALOR X UN (GD)]]-DETALLE_GD_1[[#This Row],[VALOR PPTO]])/DETALLE_GD_1[[#This Row],[VALOR PPTO]])</f>
        <v>2.1420881674322961E-2</v>
      </c>
      <c r="AA1118" s="2">
        <f>+DETALLE_GD_1[[#This Row],[VALOR PPTO]]*DETALLE_GD_1[[#This Row],[CANTIDAD RECIBIDA]]</f>
        <v>10653.786500000002</v>
      </c>
      <c r="AB1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8" s="3">
        <f>+DETALLE_GD_1[[#This Row],[CANTIDAD SOLICITADA]]-DETALLE_GD_1[[#This Row],[DEVOLUCIÓN]]</f>
        <v>5</v>
      </c>
      <c r="AD1118" s="38" t="str">
        <f>+_xlfn.XLOOKUP(DETALLE_GD_1[[#This Row],[CODIGO]],PRODUCTOS[CODIGO],PRODUCTOS[DESC CORTA],"",0)</f>
        <v>DUCO</v>
      </c>
    </row>
    <row r="1119" spans="1:30" x14ac:dyDescent="0.25">
      <c r="A1119" s="1">
        <v>46142</v>
      </c>
      <c r="B1119" s="1">
        <v>46139</v>
      </c>
      <c r="C1119" s="81" t="s">
        <v>169</v>
      </c>
      <c r="D1119" s="38">
        <v>4</v>
      </c>
      <c r="E1119" s="81" t="s">
        <v>169</v>
      </c>
      <c r="F1119">
        <v>1610023</v>
      </c>
      <c r="G1119" s="81" t="s">
        <v>351</v>
      </c>
      <c r="H1119" s="81" t="s">
        <v>28</v>
      </c>
      <c r="I1119" s="3">
        <v>2</v>
      </c>
      <c r="J1119" s="3"/>
      <c r="K1119" s="26">
        <v>2</v>
      </c>
      <c r="L1119" s="2">
        <v>2278</v>
      </c>
      <c r="M1119" s="2">
        <v>4556</v>
      </c>
      <c r="N1119" s="2">
        <v>4556</v>
      </c>
      <c r="O1119" s="2">
        <v>2109.0585000000001</v>
      </c>
      <c r="P1119" s="2">
        <v>-168.94149999999999</v>
      </c>
      <c r="Q1119" s="2">
        <v>-337.88290000000001</v>
      </c>
      <c r="R1119" s="4">
        <v>-8.0102782656660737E-2</v>
      </c>
      <c r="T1119">
        <v>314077</v>
      </c>
      <c r="U1119" s="2"/>
      <c r="V1119">
        <v>6076</v>
      </c>
      <c r="W1119" s="2">
        <v>6579000000</v>
      </c>
      <c r="X1119" s="6">
        <v>4218.1170840000004</v>
      </c>
      <c r="Y1119" s="38">
        <v>10010</v>
      </c>
      <c r="Z1119" s="86">
        <f>+((DETALLE_GD_1[[#This Row],[VALOR X UN (GD)]]-DETALLE_GD_1[[#This Row],[VALOR PPTO]])/DETALLE_GD_1[[#This Row],[VALOR PPTO]])</f>
        <v>8.0102804165934655E-2</v>
      </c>
      <c r="AA1119" s="2">
        <f>+DETALLE_GD_1[[#This Row],[VALOR PPTO]]*DETALLE_GD_1[[#This Row],[CANTIDAD RECIBIDA]]</f>
        <v>4218.1170000000002</v>
      </c>
      <c r="AB1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9" s="3">
        <f>+DETALLE_GD_1[[#This Row],[CANTIDAD SOLICITADA]]-DETALLE_GD_1[[#This Row],[DEVOLUCIÓN]]</f>
        <v>2</v>
      </c>
      <c r="AD1119" s="38" t="str">
        <f>+_xlfn.XLOOKUP(DETALLE_GD_1[[#This Row],[CODIGO]],PRODUCTOS[CODIGO],PRODUCTOS[DESC CORTA],"",0)</f>
        <v>TRAPOS DE ASEO</v>
      </c>
    </row>
    <row r="1120" spans="1:30" x14ac:dyDescent="0.25">
      <c r="A1120" s="1">
        <v>46142</v>
      </c>
      <c r="B1120" s="1">
        <v>46139</v>
      </c>
      <c r="C1120" s="81" t="s">
        <v>169</v>
      </c>
      <c r="D1120" s="38">
        <v>4</v>
      </c>
      <c r="E1120" s="81" t="s">
        <v>169</v>
      </c>
      <c r="F1120">
        <v>2302017</v>
      </c>
      <c r="G1120" s="81" t="s">
        <v>156</v>
      </c>
      <c r="H1120" s="81" t="s">
        <v>25</v>
      </c>
      <c r="I1120" s="3">
        <v>1</v>
      </c>
      <c r="J1120" s="3"/>
      <c r="K1120" s="26">
        <v>1</v>
      </c>
      <c r="L1120" s="2">
        <v>81200</v>
      </c>
      <c r="M1120" s="2">
        <v>81200</v>
      </c>
      <c r="N1120" s="2">
        <v>81200</v>
      </c>
      <c r="O1120" s="2">
        <v>81197.881599999993</v>
      </c>
      <c r="P1120" s="2">
        <v>-2.1183999999999998</v>
      </c>
      <c r="Q1120" s="2">
        <v>-2.1183999999999998</v>
      </c>
      <c r="R1120" s="4">
        <v>-2.6089609221639184E-5</v>
      </c>
      <c r="T1120">
        <v>314077</v>
      </c>
      <c r="U1120" s="2"/>
      <c r="V1120">
        <v>6076</v>
      </c>
      <c r="W1120" s="2">
        <v>6579000000</v>
      </c>
      <c r="X1120" s="6">
        <v>81197.881578999979</v>
      </c>
      <c r="Y1120" s="38">
        <v>10010</v>
      </c>
      <c r="Z1120" s="86">
        <f>+((DETALLE_GD_1[[#This Row],[VALOR X UN (GD)]]-DETALLE_GD_1[[#This Row],[VALOR PPTO]])/DETALLE_GD_1[[#This Row],[VALOR PPTO]])</f>
        <v>2.6089350587277627E-5</v>
      </c>
      <c r="AA1120" s="2">
        <f>+DETALLE_GD_1[[#This Row],[VALOR PPTO]]*DETALLE_GD_1[[#This Row],[CANTIDAD RECIBIDA]]</f>
        <v>81197.881599999993</v>
      </c>
      <c r="AB1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0" s="3">
        <f>+DETALLE_GD_1[[#This Row],[CANTIDAD SOLICITADA]]-DETALLE_GD_1[[#This Row],[DEVOLUCIÓN]]</f>
        <v>1</v>
      </c>
      <c r="AD1120" s="38">
        <f>+_xlfn.XLOOKUP(DETALLE_GD_1[[#This Row],[CODIGO]],PRODUCTOS[CODIGO],PRODUCTOS[DESC CORTA],"",0)</f>
        <v>0</v>
      </c>
    </row>
    <row r="1121" spans="1:30" x14ac:dyDescent="0.25">
      <c r="A1121" s="1">
        <v>46142</v>
      </c>
      <c r="B1121" s="1">
        <v>46139</v>
      </c>
      <c r="C1121" s="81" t="s">
        <v>169</v>
      </c>
      <c r="D1121" s="38">
        <v>4</v>
      </c>
      <c r="E1121" s="81" t="s">
        <v>169</v>
      </c>
      <c r="F1121">
        <v>407423</v>
      </c>
      <c r="G1121" s="81" t="s">
        <v>106</v>
      </c>
      <c r="H1121" s="81" t="s">
        <v>31</v>
      </c>
      <c r="I1121" s="3">
        <v>1000</v>
      </c>
      <c r="J1121" s="3"/>
      <c r="K1121" s="26">
        <v>1000</v>
      </c>
      <c r="L1121" s="2">
        <v>3.4660000000000002</v>
      </c>
      <c r="M1121" s="2">
        <v>3466</v>
      </c>
      <c r="N1121" s="2">
        <v>3466</v>
      </c>
      <c r="O1121" s="2">
        <v>106.6405</v>
      </c>
      <c r="P1121" s="2">
        <v>103.17449999999999</v>
      </c>
      <c r="Q1121" s="2">
        <v>103174.50199999999</v>
      </c>
      <c r="R1121" s="4">
        <v>0.96749827752567163</v>
      </c>
      <c r="T1121">
        <v>314077</v>
      </c>
      <c r="U1121" s="2"/>
      <c r="V1121">
        <v>6076</v>
      </c>
      <c r="W1121" s="2">
        <v>6579000000</v>
      </c>
      <c r="X1121" s="6">
        <v>106640.50198378378</v>
      </c>
      <c r="Y1121" s="38">
        <v>10010</v>
      </c>
      <c r="Z1121" s="86">
        <f>+((DETALLE_GD_1[[#This Row],[VALOR X UN (GD)]]-DETALLE_GD_1[[#This Row],[VALOR PPTO]])/DETALLE_GD_1[[#This Row],[VALOR PPTO]])</f>
        <v>-0.96749827692105728</v>
      </c>
      <c r="AA1121" s="2">
        <f>+DETALLE_GD_1[[#This Row],[VALOR PPTO]]*DETALLE_GD_1[[#This Row],[CANTIDAD RECIBIDA]]</f>
        <v>106640.5</v>
      </c>
      <c r="AB1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1" s="3">
        <f>+DETALLE_GD_1[[#This Row],[CANTIDAD SOLICITADA]]-DETALLE_GD_1[[#This Row],[DEVOLUCIÓN]]</f>
        <v>1000</v>
      </c>
      <c r="AD1121" s="38" t="str">
        <f>+_xlfn.XLOOKUP(DETALLE_GD_1[[#This Row],[CODIGO]],PRODUCTOS[CODIGO],PRODUCTOS[DESC CORTA],"",0)</f>
        <v>TORNILLO CRS 6X1 5/8</v>
      </c>
    </row>
    <row r="1122" spans="1:30" x14ac:dyDescent="0.25">
      <c r="A1122" s="1">
        <v>46142</v>
      </c>
      <c r="B1122" s="1">
        <v>46135</v>
      </c>
      <c r="C1122" s="81" t="s">
        <v>169</v>
      </c>
      <c r="D1122" s="38">
        <v>4</v>
      </c>
      <c r="E1122" s="81" t="s">
        <v>169</v>
      </c>
      <c r="F1122">
        <v>810007</v>
      </c>
      <c r="G1122" s="81" t="s">
        <v>235</v>
      </c>
      <c r="H1122" s="81" t="s">
        <v>137</v>
      </c>
      <c r="I1122" s="3">
        <v>12</v>
      </c>
      <c r="J1122" s="3"/>
      <c r="K1122" s="26">
        <v>12</v>
      </c>
      <c r="L1122" s="2">
        <v>3372.0832999999998</v>
      </c>
      <c r="M1122" s="2">
        <v>40465</v>
      </c>
      <c r="N1122" s="2">
        <v>40465</v>
      </c>
      <c r="O1122" s="2">
        <v>3274.7246</v>
      </c>
      <c r="P1122" s="2">
        <v>-97.358699999999999</v>
      </c>
      <c r="Q1122" s="2">
        <v>-1168.3043</v>
      </c>
      <c r="R1122" s="4">
        <v>-2.9730345630768529E-2</v>
      </c>
      <c r="T1122">
        <v>314076</v>
      </c>
      <c r="U1122" s="2">
        <v>375857</v>
      </c>
      <c r="V1122">
        <v>6076</v>
      </c>
      <c r="W1122" s="2">
        <v>6579000000</v>
      </c>
      <c r="X1122" s="6">
        <v>39296.695656000004</v>
      </c>
      <c r="Y1122" s="38">
        <v>10010</v>
      </c>
      <c r="Z1122" s="86">
        <f>+((DETALLE_GD_1[[#This Row],[VALOR X UN (GD)]]-DETALLE_GD_1[[#This Row],[VALOR PPTO]])/DETALLE_GD_1[[#This Row],[VALOR PPTO]])</f>
        <v>2.9730347400816474E-2</v>
      </c>
      <c r="AA1122" s="2">
        <f>+DETALLE_GD_1[[#This Row],[VALOR PPTO]]*DETALLE_GD_1[[#This Row],[CANTIDAD RECIBIDA]]</f>
        <v>39296.695200000002</v>
      </c>
      <c r="AB1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2" s="3">
        <f>+DETALLE_GD_1[[#This Row],[CANTIDAD SOLICITADA]]-DETALLE_GD_1[[#This Row],[DEVOLUCIÓN]]</f>
        <v>12</v>
      </c>
      <c r="AD1122" s="38">
        <f>+_xlfn.XLOOKUP(DETALLE_GD_1[[#This Row],[CODIGO]],PRODUCTOS[CODIGO],PRODUCTOS[DESC CORTA],"",0)</f>
        <v>0</v>
      </c>
    </row>
    <row r="1123" spans="1:30" x14ac:dyDescent="0.25">
      <c r="A1123" s="1">
        <v>46142</v>
      </c>
      <c r="B1123" s="1">
        <v>46135</v>
      </c>
      <c r="C1123" s="81" t="s">
        <v>169</v>
      </c>
      <c r="D1123" s="38">
        <v>4</v>
      </c>
      <c r="E1123" s="81" t="s">
        <v>169</v>
      </c>
      <c r="F1123">
        <v>404184</v>
      </c>
      <c r="G1123" s="81" t="s">
        <v>66</v>
      </c>
      <c r="H1123" s="81" t="s">
        <v>31</v>
      </c>
      <c r="I1123" s="3">
        <v>12</v>
      </c>
      <c r="J1123" s="3"/>
      <c r="K1123" s="26">
        <v>12</v>
      </c>
      <c r="L1123" s="2">
        <v>1752.4167</v>
      </c>
      <c r="M1123" s="2">
        <v>21029</v>
      </c>
      <c r="N1123" s="2">
        <v>21029</v>
      </c>
      <c r="O1123" s="2">
        <v>1754.8757000000001</v>
      </c>
      <c r="P1123" s="2">
        <v>2.4590999999999998</v>
      </c>
      <c r="Q1123" s="2">
        <v>29.508800000000001</v>
      </c>
      <c r="R1123" s="4">
        <v>1.4012754805903373E-3</v>
      </c>
      <c r="T1123">
        <v>314076</v>
      </c>
      <c r="U1123" s="2"/>
      <c r="V1123">
        <v>6076</v>
      </c>
      <c r="W1123" s="2">
        <v>6579000000</v>
      </c>
      <c r="X1123" s="6">
        <v>21058.508772000001</v>
      </c>
      <c r="Y1123" s="38">
        <v>10010</v>
      </c>
      <c r="Z1123" s="86">
        <f>+((DETALLE_GD_1[[#This Row],[VALOR X UN (GD)]]-DETALLE_GD_1[[#This Row],[VALOR PPTO]])/DETALLE_GD_1[[#This Row],[VALOR PPTO]])</f>
        <v>-1.4012388455775301E-3</v>
      </c>
      <c r="AA1123" s="2">
        <f>+DETALLE_GD_1[[#This Row],[VALOR PPTO]]*DETALLE_GD_1[[#This Row],[CANTIDAD RECIBIDA]]</f>
        <v>21058.508399999999</v>
      </c>
      <c r="AB1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3" s="3">
        <f>+DETALLE_GD_1[[#This Row],[CANTIDAD SOLICITADA]]-DETALLE_GD_1[[#This Row],[DEVOLUCIÓN]]</f>
        <v>12</v>
      </c>
      <c r="AD1123" s="38" t="str">
        <f>+_xlfn.XLOOKUP(DETALLE_GD_1[[#This Row],[CODIGO]],PRODUCTOS[CODIGO],PRODUCTOS[DESC CORTA],"",0)</f>
        <v>ANGULO BLANCO</v>
      </c>
    </row>
    <row r="1124" spans="1:30" x14ac:dyDescent="0.25">
      <c r="A1124" s="1">
        <v>46142</v>
      </c>
      <c r="B1124" s="1">
        <v>46135</v>
      </c>
      <c r="C1124" s="81" t="s">
        <v>169</v>
      </c>
      <c r="D1124" s="38">
        <v>4</v>
      </c>
      <c r="E1124" s="81" t="s">
        <v>169</v>
      </c>
      <c r="F1124">
        <v>1103074</v>
      </c>
      <c r="G1124" s="81" t="s">
        <v>310</v>
      </c>
      <c r="H1124" s="81" t="s">
        <v>31</v>
      </c>
      <c r="I1124" s="3">
        <v>20</v>
      </c>
      <c r="J1124" s="3"/>
      <c r="K1124" s="26">
        <v>20</v>
      </c>
      <c r="L1124" s="2">
        <v>2426.9499999999998</v>
      </c>
      <c r="M1124" s="2">
        <v>48539</v>
      </c>
      <c r="N1124" s="2">
        <v>48539</v>
      </c>
      <c r="O1124" s="2">
        <v>2427</v>
      </c>
      <c r="P1124" s="2">
        <v>0.05</v>
      </c>
      <c r="Q1124" s="2">
        <v>1</v>
      </c>
      <c r="R1124" s="4">
        <v>2.0601565719069593E-5</v>
      </c>
      <c r="T1124">
        <v>314076</v>
      </c>
      <c r="U1124" s="2"/>
      <c r="V1124">
        <v>6076</v>
      </c>
      <c r="W1124" s="2">
        <v>6579000000</v>
      </c>
      <c r="X1124" s="6">
        <v>48540</v>
      </c>
      <c r="Y1124" s="38">
        <v>10010</v>
      </c>
      <c r="Z1124" s="86">
        <f>+((DETALLE_GD_1[[#This Row],[VALOR X UN (GD)]]-DETALLE_GD_1[[#This Row],[VALOR PPTO]])/DETALLE_GD_1[[#This Row],[VALOR PPTO]])</f>
        <v>-2.0601565719069593E-5</v>
      </c>
      <c r="AA1124" s="2">
        <f>+DETALLE_GD_1[[#This Row],[VALOR PPTO]]*DETALLE_GD_1[[#This Row],[CANTIDAD RECIBIDA]]</f>
        <v>48540</v>
      </c>
      <c r="AB1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4" s="3">
        <f>+DETALLE_GD_1[[#This Row],[CANTIDAD SOLICITADA]]-DETALLE_GD_1[[#This Row],[DEVOLUCIÓN]]</f>
        <v>20</v>
      </c>
      <c r="AD1124" s="38" t="str">
        <f>+_xlfn.XLOOKUP(DETALLE_GD_1[[#This Row],[CODIGO]],PRODUCTOS[CODIGO],PRODUCTOS[DESC CORTA],"",0)</f>
        <v>PERFIL ESQUINERO ENCUENTRO</v>
      </c>
    </row>
    <row r="1125" spans="1:30" x14ac:dyDescent="0.25">
      <c r="A1125" s="1">
        <v>46142</v>
      </c>
      <c r="B1125" s="1">
        <v>46135</v>
      </c>
      <c r="C1125" s="81" t="s">
        <v>169</v>
      </c>
      <c r="D1125" s="38">
        <v>4</v>
      </c>
      <c r="E1125" s="81" t="s">
        <v>169</v>
      </c>
      <c r="F1125">
        <v>1103076</v>
      </c>
      <c r="G1125" s="81" t="s">
        <v>311</v>
      </c>
      <c r="H1125" s="81" t="s">
        <v>31</v>
      </c>
      <c r="I1125" s="3">
        <v>28</v>
      </c>
      <c r="J1125" s="3"/>
      <c r="K1125" s="26">
        <v>28</v>
      </c>
      <c r="L1125" s="2">
        <v>3190.75</v>
      </c>
      <c r="M1125" s="2">
        <v>89341</v>
      </c>
      <c r="N1125" s="2">
        <v>89341</v>
      </c>
      <c r="O1125" s="2">
        <v>3191</v>
      </c>
      <c r="P1125" s="2">
        <v>0.25</v>
      </c>
      <c r="Q1125" s="2">
        <v>7</v>
      </c>
      <c r="R1125" s="4">
        <v>7.8345346286430597E-5</v>
      </c>
      <c r="T1125">
        <v>314076</v>
      </c>
      <c r="U1125" s="2"/>
      <c r="V1125">
        <v>6076</v>
      </c>
      <c r="W1125" s="2">
        <v>6579000000</v>
      </c>
      <c r="X1125" s="6">
        <v>89348</v>
      </c>
      <c r="Y1125" s="38">
        <v>10010</v>
      </c>
      <c r="Z1125" s="86">
        <f>+((DETALLE_GD_1[[#This Row],[VALOR X UN (GD)]]-DETALLE_GD_1[[#This Row],[VALOR PPTO]])/DETALLE_GD_1[[#This Row],[VALOR PPTO]])</f>
        <v>-7.8345346286430584E-5</v>
      </c>
      <c r="AA1125" s="2">
        <f>+DETALLE_GD_1[[#This Row],[VALOR PPTO]]*DETALLE_GD_1[[#This Row],[CANTIDAD RECIBIDA]]</f>
        <v>89348</v>
      </c>
      <c r="AB1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5" s="3">
        <f>+DETALLE_GD_1[[#This Row],[CANTIDAD SOLICITADA]]-DETALLE_GD_1[[#This Row],[DEVOLUCIÓN]]</f>
        <v>28</v>
      </c>
      <c r="AD1125" s="38" t="str">
        <f>+_xlfn.XLOOKUP(DETALLE_GD_1[[#This Row],[CODIGO]],PRODUCTOS[CODIGO],PRODUCTOS[DESC CORTA],"",0)</f>
        <v>PERFIL ESQUINERO INTERIOR</v>
      </c>
    </row>
    <row r="1126" spans="1:30" x14ac:dyDescent="0.25">
      <c r="A1126" s="1">
        <v>46142</v>
      </c>
      <c r="B1126" s="1">
        <v>46135</v>
      </c>
      <c r="C1126" s="81" t="s">
        <v>169</v>
      </c>
      <c r="D1126" s="38">
        <v>4</v>
      </c>
      <c r="E1126" s="81" t="s">
        <v>169</v>
      </c>
      <c r="F1126">
        <v>1802162</v>
      </c>
      <c r="G1126" s="81" t="s">
        <v>260</v>
      </c>
      <c r="H1126" s="81" t="s">
        <v>31</v>
      </c>
      <c r="I1126" s="3">
        <v>4</v>
      </c>
      <c r="J1126" s="3"/>
      <c r="K1126" s="26">
        <v>4</v>
      </c>
      <c r="L1126" s="2">
        <v>42840</v>
      </c>
      <c r="M1126" s="2">
        <v>171360</v>
      </c>
      <c r="N1126" s="2">
        <v>171360</v>
      </c>
      <c r="O1126" s="2">
        <v>42840</v>
      </c>
      <c r="P1126" s="2">
        <v>0</v>
      </c>
      <c r="Q1126" s="2">
        <v>0</v>
      </c>
      <c r="R1126" s="4">
        <v>0</v>
      </c>
      <c r="T1126">
        <v>314076</v>
      </c>
      <c r="U1126" s="2"/>
      <c r="V1126">
        <v>6076</v>
      </c>
      <c r="W1126" s="2">
        <v>6579000000</v>
      </c>
      <c r="X1126" s="6">
        <v>171360</v>
      </c>
      <c r="Y1126" s="38">
        <v>10010</v>
      </c>
      <c r="Z1126" s="86">
        <f>+((DETALLE_GD_1[[#This Row],[VALOR X UN (GD)]]-DETALLE_GD_1[[#This Row],[VALOR PPTO]])/DETALLE_GD_1[[#This Row],[VALOR PPTO]])</f>
        <v>0</v>
      </c>
      <c r="AA1126" s="2">
        <f>+DETALLE_GD_1[[#This Row],[VALOR PPTO]]*DETALLE_GD_1[[#This Row],[CANTIDAD RECIBIDA]]</f>
        <v>171360</v>
      </c>
      <c r="AB1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6" s="3">
        <f>+DETALLE_GD_1[[#This Row],[CANTIDAD SOLICITADA]]-DETALLE_GD_1[[#This Row],[DEVOLUCIÓN]]</f>
        <v>4</v>
      </c>
      <c r="AD1126" s="38" t="str">
        <f>+_xlfn.XLOOKUP(DETALLE_GD_1[[#This Row],[CODIGO]],PRODUCTOS[CODIGO],PRODUCTOS[DESC CORTA],"",0)</f>
        <v>TINA DE ACERO</v>
      </c>
    </row>
    <row r="1127" spans="1:30" x14ac:dyDescent="0.25">
      <c r="A1127" s="1">
        <v>46142</v>
      </c>
      <c r="B1127" s="1">
        <v>46135</v>
      </c>
      <c r="C1127" s="81" t="s">
        <v>169</v>
      </c>
      <c r="D1127" s="38">
        <v>4</v>
      </c>
      <c r="E1127" s="81" t="s">
        <v>169</v>
      </c>
      <c r="F1127" t="s">
        <v>562</v>
      </c>
      <c r="G1127" s="81" t="s">
        <v>708</v>
      </c>
      <c r="H1127" s="81" t="s">
        <v>47</v>
      </c>
      <c r="I1127" s="3">
        <v>1</v>
      </c>
      <c r="J1127" s="3"/>
      <c r="K1127" s="26">
        <v>1</v>
      </c>
      <c r="L1127" s="2">
        <v>328</v>
      </c>
      <c r="M1127" s="2">
        <v>328</v>
      </c>
      <c r="N1127" s="2">
        <v>328</v>
      </c>
      <c r="O1127" s="2"/>
      <c r="P1127" s="2"/>
      <c r="Q1127" s="2">
        <v>-328</v>
      </c>
      <c r="R1127" s="4"/>
      <c r="T1127">
        <v>314076</v>
      </c>
      <c r="U1127" s="2"/>
      <c r="V1127">
        <v>6076</v>
      </c>
      <c r="W1127" s="2">
        <v>6579000000</v>
      </c>
      <c r="X1127" s="6" t="s">
        <v>355</v>
      </c>
      <c r="Y1127" s="38">
        <v>10010</v>
      </c>
      <c r="Z1127" s="86" t="e">
        <f>+((DETALLE_GD_1[[#This Row],[VALOR X UN (GD)]]-DETALLE_GD_1[[#This Row],[VALOR PPTO]])/DETALLE_GD_1[[#This Row],[VALOR PPTO]])</f>
        <v>#DIV/0!</v>
      </c>
      <c r="AA1127" s="2">
        <f>+DETALLE_GD_1[[#This Row],[VALOR PPTO]]*DETALLE_GD_1[[#This Row],[CANTIDAD RECIBIDA]]</f>
        <v>0</v>
      </c>
      <c r="AB1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7" s="3">
        <f>+DETALLE_GD_1[[#This Row],[CANTIDAD SOLICITADA]]-DETALLE_GD_1[[#This Row],[DEVOLUCIÓN]]</f>
        <v>1</v>
      </c>
      <c r="AD1127" s="38" t="str">
        <f>+_xlfn.XLOOKUP(DETALLE_GD_1[[#This Row],[CODIGO]],PRODUCTOS[CODIGO],PRODUCTOS[DESC CORTA],"",0)</f>
        <v/>
      </c>
    </row>
    <row r="1128" spans="1:30" x14ac:dyDescent="0.25">
      <c r="A1128" s="1">
        <v>46142</v>
      </c>
      <c r="B1128" s="1">
        <v>46135</v>
      </c>
      <c r="C1128" s="81" t="s">
        <v>169</v>
      </c>
      <c r="D1128" s="38">
        <v>4</v>
      </c>
      <c r="E1128" s="81" t="s">
        <v>169</v>
      </c>
      <c r="F1128">
        <v>2304008</v>
      </c>
      <c r="G1128" s="81" t="s">
        <v>707</v>
      </c>
      <c r="H1128" s="81" t="s">
        <v>31</v>
      </c>
      <c r="I1128" s="3">
        <v>2</v>
      </c>
      <c r="J1128" s="3"/>
      <c r="K1128" s="26">
        <v>2</v>
      </c>
      <c r="L1128" s="2">
        <v>2397.5</v>
      </c>
      <c r="M1128" s="2">
        <v>4795</v>
      </c>
      <c r="N1128" s="2">
        <v>4795</v>
      </c>
      <c r="O1128" s="2"/>
      <c r="P1128" s="2"/>
      <c r="Q1128" s="2">
        <v>-4795</v>
      </c>
      <c r="R1128" s="4"/>
      <c r="T1128">
        <v>314076</v>
      </c>
      <c r="U1128" s="2"/>
      <c r="V1128">
        <v>6076</v>
      </c>
      <c r="W1128" s="2">
        <v>6579000000</v>
      </c>
      <c r="X1128" s="6" t="s">
        <v>355</v>
      </c>
      <c r="Y1128" s="38">
        <v>10010</v>
      </c>
      <c r="Z1128" s="86" t="e">
        <f>+((DETALLE_GD_1[[#This Row],[VALOR X UN (GD)]]-DETALLE_GD_1[[#This Row],[VALOR PPTO]])/DETALLE_GD_1[[#This Row],[VALOR PPTO]])</f>
        <v>#DIV/0!</v>
      </c>
      <c r="AA1128" s="2">
        <f>+DETALLE_GD_1[[#This Row],[VALOR PPTO]]*DETALLE_GD_1[[#This Row],[CANTIDAD RECIBIDA]]</f>
        <v>0</v>
      </c>
      <c r="AB1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8" s="3">
        <f>+DETALLE_GD_1[[#This Row],[CANTIDAD SOLICITADA]]-DETALLE_GD_1[[#This Row],[DEVOLUCIÓN]]</f>
        <v>2</v>
      </c>
      <c r="AD1128" s="38" t="str">
        <f>+_xlfn.XLOOKUP(DETALLE_GD_1[[#This Row],[CODIGO]],PRODUCTOS[CODIGO],PRODUCTOS[DESC CORTA],"",0)</f>
        <v/>
      </c>
    </row>
    <row r="1129" spans="1:30" x14ac:dyDescent="0.25">
      <c r="A1129" s="1">
        <v>46142</v>
      </c>
      <c r="B1129" s="1">
        <v>46139</v>
      </c>
      <c r="C1129" s="81" t="s">
        <v>169</v>
      </c>
      <c r="D1129" s="38">
        <v>4</v>
      </c>
      <c r="E1129" s="81" t="s">
        <v>169</v>
      </c>
      <c r="F1129">
        <v>412260</v>
      </c>
      <c r="G1129" s="81" t="s">
        <v>41</v>
      </c>
      <c r="H1129" s="81" t="s">
        <v>31</v>
      </c>
      <c r="I1129" s="3">
        <v>32</v>
      </c>
      <c r="J1129" s="3"/>
      <c r="K1129" s="26">
        <v>32</v>
      </c>
      <c r="L1129" s="2">
        <v>86746.906199999998</v>
      </c>
      <c r="M1129" s="2">
        <v>2775901</v>
      </c>
      <c r="N1129" s="2">
        <v>2775901</v>
      </c>
      <c r="O1129" s="2">
        <v>87567.442500000005</v>
      </c>
      <c r="P1129" s="2">
        <v>820.53620000000001</v>
      </c>
      <c r="Q1129" s="2">
        <v>26257.159299999999</v>
      </c>
      <c r="R1129" s="4">
        <v>9.3703345076696764E-3</v>
      </c>
      <c r="T1129">
        <v>314089</v>
      </c>
      <c r="U1129" s="2">
        <v>7140010</v>
      </c>
      <c r="V1129">
        <v>6076</v>
      </c>
      <c r="W1129" s="2">
        <v>6579000000</v>
      </c>
      <c r="X1129" s="6">
        <v>2802158.159295999</v>
      </c>
      <c r="Y1129" s="38">
        <v>10010</v>
      </c>
      <c r="Z1129" s="86">
        <f>+((DETALLE_GD_1[[#This Row],[VALOR X UN (GD)]]-DETALLE_GD_1[[#This Row],[VALOR PPTO]])/DETALLE_GD_1[[#This Row],[VALOR PPTO]])</f>
        <v>-9.3703353275391942E-3</v>
      </c>
      <c r="AA1129" s="2">
        <f>+DETALLE_GD_1[[#This Row],[VALOR PPTO]]*DETALLE_GD_1[[#This Row],[CANTIDAD RECIBIDA]]</f>
        <v>2802158.16</v>
      </c>
      <c r="AB11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29" s="3">
        <f>+DETALLE_GD_1[[#This Row],[CANTIDAD SOLICITADA]]-DETALLE_GD_1[[#This Row],[DEVOLUCIÓN]]</f>
        <v>32</v>
      </c>
      <c r="AD1129" s="38" t="str">
        <f>+_xlfn.XLOOKUP(DETALLE_GD_1[[#This Row],[CODIGO]],PRODUCTOS[CODIGO],PRODUCTOS[DESC CORTA],"",0)</f>
        <v>PB1</v>
      </c>
    </row>
    <row r="1130" spans="1:30" x14ac:dyDescent="0.25">
      <c r="A1130" s="1">
        <v>46142</v>
      </c>
      <c r="B1130" s="1">
        <v>46139</v>
      </c>
      <c r="C1130" s="81" t="s">
        <v>169</v>
      </c>
      <c r="D1130" s="38">
        <v>4</v>
      </c>
      <c r="E1130" s="81" t="s">
        <v>169</v>
      </c>
      <c r="F1130">
        <v>412280</v>
      </c>
      <c r="G1130" s="81" t="s">
        <v>40</v>
      </c>
      <c r="H1130" s="81" t="s">
        <v>31</v>
      </c>
      <c r="I1130" s="3">
        <v>96</v>
      </c>
      <c r="J1130" s="3"/>
      <c r="K1130" s="26">
        <v>96</v>
      </c>
      <c r="L1130" s="2">
        <v>39389.854200000002</v>
      </c>
      <c r="M1130" s="2">
        <v>3781426</v>
      </c>
      <c r="N1130" s="2">
        <v>3781426</v>
      </c>
      <c r="O1130" s="2">
        <v>40002.920100000003</v>
      </c>
      <c r="P1130" s="2">
        <v>613.06590000000006</v>
      </c>
      <c r="Q1130" s="2">
        <v>58854.3289</v>
      </c>
      <c r="R1130" s="4">
        <v>1.5325529359058345E-2</v>
      </c>
      <c r="T1130">
        <v>314089</v>
      </c>
      <c r="U1130" s="2"/>
      <c r="V1130">
        <v>6076</v>
      </c>
      <c r="W1130" s="2">
        <v>6579000000</v>
      </c>
      <c r="X1130" s="6">
        <v>3840280.3289279998</v>
      </c>
      <c r="Y1130" s="38">
        <v>10010</v>
      </c>
      <c r="Z1130" s="86">
        <f>+((DETALLE_GD_1[[#This Row],[VALOR X UN (GD)]]-DETALLE_GD_1[[#This Row],[VALOR PPTO]])/DETALLE_GD_1[[#This Row],[VALOR PPTO]])</f>
        <v>-1.5325528698091251E-2</v>
      </c>
      <c r="AA1130" s="2">
        <f>+DETALLE_GD_1[[#This Row],[VALOR PPTO]]*DETALLE_GD_1[[#This Row],[CANTIDAD RECIBIDA]]</f>
        <v>3840280.3296000003</v>
      </c>
      <c r="AB11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30" s="3">
        <f>+DETALLE_GD_1[[#This Row],[CANTIDAD SOLICITADA]]-DETALLE_GD_1[[#This Row],[DEVOLUCIÓN]]</f>
        <v>96</v>
      </c>
      <c r="AD1130" s="38" t="str">
        <f>+_xlfn.XLOOKUP(DETALLE_GD_1[[#This Row],[CODIGO]],PRODUCTOS[CODIGO],PRODUCTOS[DESC CORTA],"",0)</f>
        <v>PB2</v>
      </c>
    </row>
    <row r="1131" spans="1:30" x14ac:dyDescent="0.25">
      <c r="A1131" s="1">
        <v>46142</v>
      </c>
      <c r="B1131" s="1">
        <v>46139</v>
      </c>
      <c r="C1131" s="81" t="s">
        <v>169</v>
      </c>
      <c r="D1131" s="38">
        <v>4</v>
      </c>
      <c r="E1131" s="81" t="s">
        <v>169</v>
      </c>
      <c r="F1131">
        <v>1901086</v>
      </c>
      <c r="G1131" s="81" t="s">
        <v>279</v>
      </c>
      <c r="H1131" s="81" t="s">
        <v>26</v>
      </c>
      <c r="I1131" s="3">
        <v>162</v>
      </c>
      <c r="J1131" s="3"/>
      <c r="K1131" s="26">
        <v>162</v>
      </c>
      <c r="L1131" s="2">
        <v>3596.8085999999998</v>
      </c>
      <c r="M1131" s="2">
        <v>582683</v>
      </c>
      <c r="N1131" s="2">
        <v>582683</v>
      </c>
      <c r="O1131" s="2">
        <v>3711.587</v>
      </c>
      <c r="P1131" s="2">
        <v>114.7784</v>
      </c>
      <c r="Q1131" s="2">
        <v>18594.100600000002</v>
      </c>
      <c r="R1131" s="4">
        <v>3.0924345234745545E-2</v>
      </c>
      <c r="T1131">
        <v>314089</v>
      </c>
      <c r="U1131" s="2"/>
      <c r="V1131">
        <v>6076</v>
      </c>
      <c r="W1131" s="2">
        <v>6579000000</v>
      </c>
      <c r="X1131" s="6">
        <v>601277.10064200009</v>
      </c>
      <c r="Y1131" s="38">
        <v>10010</v>
      </c>
      <c r="Z1131" s="86">
        <f>+((DETALLE_GD_1[[#This Row],[VALOR X UN (GD)]]-DETALLE_GD_1[[#This Row],[VALOR PPTO]])/DETALLE_GD_1[[#This Row],[VALOR PPTO]])</f>
        <v>-3.0924345839124921E-2</v>
      </c>
      <c r="AA1131" s="2">
        <f>+DETALLE_GD_1[[#This Row],[VALOR PPTO]]*DETALLE_GD_1[[#This Row],[CANTIDAD RECIBIDA]]</f>
        <v>601277.09400000004</v>
      </c>
      <c r="AB11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31" s="3">
        <f>+DETALLE_GD_1[[#This Row],[CANTIDAD SOLICITADA]]-DETALLE_GD_1[[#This Row],[DEVOLUCIÓN]]</f>
        <v>162</v>
      </c>
      <c r="AD1131" s="38" t="str">
        <f>+_xlfn.XLOOKUP(DETALLE_GD_1[[#This Row],[CODIGO]],PRODUCTOS[CODIGO],PRODUCTOS[DESC CORTA],"",0)</f>
        <v>AISLAN GLASS 140MM</v>
      </c>
    </row>
    <row r="1132" spans="1:30" x14ac:dyDescent="0.25">
      <c r="A1132" s="1">
        <v>46142</v>
      </c>
      <c r="B1132" s="1">
        <v>46140</v>
      </c>
      <c r="C1132" s="81" t="s">
        <v>169</v>
      </c>
      <c r="D1132" s="38">
        <v>4</v>
      </c>
      <c r="E1132" s="81" t="s">
        <v>169</v>
      </c>
      <c r="F1132">
        <v>302044</v>
      </c>
      <c r="G1132" s="81" t="s">
        <v>247</v>
      </c>
      <c r="H1132" s="81" t="s">
        <v>20</v>
      </c>
      <c r="I1132" s="3">
        <v>120</v>
      </c>
      <c r="J1132" s="3"/>
      <c r="K1132" s="26">
        <v>120</v>
      </c>
      <c r="L1132" s="2">
        <v>13443.433300000001</v>
      </c>
      <c r="M1132" s="2">
        <v>1613212</v>
      </c>
      <c r="N1132" s="2">
        <v>1613212</v>
      </c>
      <c r="O1132" s="2">
        <v>13725.9625</v>
      </c>
      <c r="P1132" s="2">
        <v>282.5292</v>
      </c>
      <c r="Q1132" s="2">
        <v>33903.504099999998</v>
      </c>
      <c r="R1132" s="4">
        <v>2.058356198822681E-2</v>
      </c>
      <c r="T1132">
        <v>314093</v>
      </c>
      <c r="U1132" s="2">
        <v>12397659</v>
      </c>
      <c r="V1132">
        <v>6076</v>
      </c>
      <c r="W1132" s="2">
        <v>6579000000</v>
      </c>
      <c r="X1132" s="6">
        <v>1647115.5040800001</v>
      </c>
      <c r="Y1132" s="38">
        <v>10010</v>
      </c>
      <c r="Z1132" s="86">
        <f>+((DETALLE_GD_1[[#This Row],[VALOR X UN (GD)]]-DETALLE_GD_1[[#This Row],[VALOR PPTO]])/DETALLE_GD_1[[#This Row],[VALOR PPTO]])</f>
        <v>-2.0583561990643574E-2</v>
      </c>
      <c r="AA1132" s="2">
        <f>+DETALLE_GD_1[[#This Row],[VALOR PPTO]]*DETALLE_GD_1[[#This Row],[CANTIDAD RECIBIDA]]</f>
        <v>1647115.5</v>
      </c>
      <c r="AB11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32" s="3">
        <f>+DETALLE_GD_1[[#This Row],[CANTIDAD SOLICITADA]]-DETALLE_GD_1[[#This Row],[DEVOLUCIÓN]]</f>
        <v>120</v>
      </c>
      <c r="AD1132" s="38" t="str">
        <f>+_xlfn.XLOOKUP(DETALLE_GD_1[[#This Row],[CODIGO]],PRODUCTOS[CODIGO],PRODUCTOS[DESC CORTA],"",0)</f>
        <v>PINO 2X8X4</v>
      </c>
    </row>
    <row r="1133" spans="1:30" x14ac:dyDescent="0.25">
      <c r="A1133" s="1">
        <v>46142</v>
      </c>
      <c r="B1133" s="1">
        <v>46140</v>
      </c>
      <c r="C1133" s="81" t="s">
        <v>169</v>
      </c>
      <c r="D1133" s="38">
        <v>4</v>
      </c>
      <c r="E1133" s="81" t="s">
        <v>169</v>
      </c>
      <c r="F1133">
        <v>1901505</v>
      </c>
      <c r="G1133" s="81" t="s">
        <v>27</v>
      </c>
      <c r="H1133" s="81" t="s">
        <v>28</v>
      </c>
      <c r="I1133" s="3">
        <v>48</v>
      </c>
      <c r="J1133" s="3"/>
      <c r="K1133" s="26">
        <v>48</v>
      </c>
      <c r="L1133" s="2">
        <v>1895</v>
      </c>
      <c r="M1133" s="2">
        <v>90960</v>
      </c>
      <c r="N1133" s="2">
        <v>90960</v>
      </c>
      <c r="O1133" s="2">
        <v>1895</v>
      </c>
      <c r="P1133" s="2">
        <v>0</v>
      </c>
      <c r="Q1133" s="2">
        <v>0</v>
      </c>
      <c r="R1133" s="4">
        <v>0</v>
      </c>
      <c r="T1133">
        <v>314093</v>
      </c>
      <c r="U1133" s="2"/>
      <c r="V1133">
        <v>6076</v>
      </c>
      <c r="W1133" s="2">
        <v>6579000000</v>
      </c>
      <c r="X1133" s="6">
        <v>90960</v>
      </c>
      <c r="Y1133" s="38">
        <v>10010</v>
      </c>
      <c r="Z1133" s="86">
        <f>+((DETALLE_GD_1[[#This Row],[VALOR X UN (GD)]]-DETALLE_GD_1[[#This Row],[VALOR PPTO]])/DETALLE_GD_1[[#This Row],[VALOR PPTO]])</f>
        <v>0</v>
      </c>
      <c r="AA1133" s="2">
        <f>+DETALLE_GD_1[[#This Row],[VALOR PPTO]]*DETALLE_GD_1[[#This Row],[CANTIDAD RECIBIDA]]</f>
        <v>90960</v>
      </c>
      <c r="AB1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3" s="3">
        <f>+DETALLE_GD_1[[#This Row],[CANTIDAD SOLICITADA]]-DETALLE_GD_1[[#This Row],[DEVOLUCIÓN]]</f>
        <v>48</v>
      </c>
      <c r="AD1133" s="38" t="str">
        <f>+_xlfn.XLOOKUP(DETALLE_GD_1[[#This Row],[CODIGO]],PRODUCTOS[CODIGO],PRODUCTOS[DESC CORTA],"",0)</f>
        <v>POLIETILENO</v>
      </c>
    </row>
    <row r="1134" spans="1:30" x14ac:dyDescent="0.25">
      <c r="A1134" s="1">
        <v>46142</v>
      </c>
      <c r="B1134" s="1">
        <v>46140</v>
      </c>
      <c r="C1134" s="81" t="s">
        <v>169</v>
      </c>
      <c r="D1134" s="38">
        <v>4</v>
      </c>
      <c r="E1134" s="81" t="s">
        <v>169</v>
      </c>
      <c r="F1134" t="s">
        <v>21</v>
      </c>
      <c r="G1134" s="81" t="s">
        <v>22</v>
      </c>
      <c r="H1134" s="81" t="s">
        <v>20</v>
      </c>
      <c r="I1134" s="3">
        <v>40</v>
      </c>
      <c r="J1134" s="3"/>
      <c r="K1134" s="26">
        <v>40</v>
      </c>
      <c r="L1134" s="2">
        <v>15359.7</v>
      </c>
      <c r="M1134" s="2">
        <v>614388</v>
      </c>
      <c r="N1134" s="2">
        <v>614388</v>
      </c>
      <c r="O1134" s="2">
        <v>15359.702799999999</v>
      </c>
      <c r="P1134" s="2">
        <v>2.8E-3</v>
      </c>
      <c r="Q1134" s="2">
        <v>0.1114</v>
      </c>
      <c r="R1134" s="4">
        <v>1.81318612826567E-7</v>
      </c>
      <c r="T1134">
        <v>314093</v>
      </c>
      <c r="U1134" s="2"/>
      <c r="V1134">
        <v>6076</v>
      </c>
      <c r="W1134" s="2">
        <v>6579000000</v>
      </c>
      <c r="X1134" s="6">
        <v>614388.11140000017</v>
      </c>
      <c r="Y1134" s="38">
        <v>10010</v>
      </c>
      <c r="Z1134" s="86">
        <f>+((DETALLE_GD_1[[#This Row],[VALOR X UN (GD)]]-DETALLE_GD_1[[#This Row],[VALOR PPTO]])/DETALLE_GD_1[[#This Row],[VALOR PPTO]])</f>
        <v>-1.8229519378380471E-7</v>
      </c>
      <c r="AA1134" s="2">
        <f>+DETALLE_GD_1[[#This Row],[VALOR PPTO]]*DETALLE_GD_1[[#This Row],[CANTIDAD RECIBIDA]]</f>
        <v>614388.11199999996</v>
      </c>
      <c r="AB11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34" s="3">
        <f>+DETALLE_GD_1[[#This Row],[CANTIDAD SOLICITADA]]-DETALLE_GD_1[[#This Row],[DEVOLUCIÓN]]</f>
        <v>40</v>
      </c>
      <c r="AD1134" s="38" t="str">
        <f>+_xlfn.XLOOKUP(DETALLE_GD_1[[#This Row],[CODIGO]],PRODUCTOS[CODIGO],PRODUCTOS[DESC CORTA],"",0)</f>
        <v>PINO 3X8X320</v>
      </c>
    </row>
    <row r="1135" spans="1:30" x14ac:dyDescent="0.25">
      <c r="A1135" s="1">
        <v>46142</v>
      </c>
      <c r="B1135" s="1">
        <v>46140</v>
      </c>
      <c r="C1135" s="81" t="s">
        <v>169</v>
      </c>
      <c r="D1135" s="38">
        <v>4</v>
      </c>
      <c r="E1135" s="81" t="s">
        <v>169</v>
      </c>
      <c r="F1135">
        <v>407423</v>
      </c>
      <c r="G1135" s="81" t="s">
        <v>106</v>
      </c>
      <c r="H1135" s="81" t="s">
        <v>31</v>
      </c>
      <c r="I1135" s="3">
        <v>9000</v>
      </c>
      <c r="J1135" s="3"/>
      <c r="K1135" s="26">
        <v>9000</v>
      </c>
      <c r="L1135" s="2">
        <v>3.4662000000000002</v>
      </c>
      <c r="M1135" s="2">
        <v>31196</v>
      </c>
      <c r="N1135" s="2">
        <v>31196</v>
      </c>
      <c r="O1135" s="2">
        <v>106.6405</v>
      </c>
      <c r="P1135" s="2">
        <v>103.1743</v>
      </c>
      <c r="Q1135" s="2">
        <v>928568.51789999998</v>
      </c>
      <c r="R1135" s="4">
        <v>0.96749619368118389</v>
      </c>
      <c r="T1135">
        <v>314093</v>
      </c>
      <c r="U1135" s="2"/>
      <c r="V1135">
        <v>6076</v>
      </c>
      <c r="W1135" s="2">
        <v>6579000000</v>
      </c>
      <c r="X1135" s="6">
        <v>959764.51785405388</v>
      </c>
      <c r="Y1135" s="38">
        <v>10010</v>
      </c>
      <c r="Z1135" s="86">
        <f>+((DETALLE_GD_1[[#This Row],[VALOR X UN (GD)]]-DETALLE_GD_1[[#This Row],[VALOR PPTO]])/DETALLE_GD_1[[#This Row],[VALOR PPTO]])</f>
        <v>-0.96749640146098337</v>
      </c>
      <c r="AA1135" s="2">
        <f>+DETALLE_GD_1[[#This Row],[VALOR PPTO]]*DETALLE_GD_1[[#This Row],[CANTIDAD RECIBIDA]]</f>
        <v>959764.5</v>
      </c>
      <c r="AB1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5" s="3">
        <f>+DETALLE_GD_1[[#This Row],[CANTIDAD SOLICITADA]]-DETALLE_GD_1[[#This Row],[DEVOLUCIÓN]]</f>
        <v>9000</v>
      </c>
      <c r="AD1135" s="38" t="str">
        <f>+_xlfn.XLOOKUP(DETALLE_GD_1[[#This Row],[CODIGO]],PRODUCTOS[CODIGO],PRODUCTOS[DESC CORTA],"",0)</f>
        <v>TORNILLO CRS 6X1 5/8</v>
      </c>
    </row>
    <row r="1136" spans="1:30" x14ac:dyDescent="0.25">
      <c r="A1136" s="1">
        <v>46142</v>
      </c>
      <c r="B1136" s="1">
        <v>46140</v>
      </c>
      <c r="C1136" s="81" t="s">
        <v>169</v>
      </c>
      <c r="D1136" s="38">
        <v>4</v>
      </c>
      <c r="E1136" s="81" t="s">
        <v>169</v>
      </c>
      <c r="F1136">
        <v>2302098</v>
      </c>
      <c r="G1136" s="81" t="s">
        <v>24</v>
      </c>
      <c r="H1136" s="81" t="s">
        <v>25</v>
      </c>
      <c r="I1136" s="3">
        <v>3</v>
      </c>
      <c r="J1136" s="3"/>
      <c r="K1136" s="26">
        <v>3</v>
      </c>
      <c r="L1136" s="2">
        <v>21213</v>
      </c>
      <c r="M1136" s="2">
        <v>63639</v>
      </c>
      <c r="N1136" s="2">
        <v>63639</v>
      </c>
      <c r="O1136" s="2">
        <v>21213</v>
      </c>
      <c r="P1136" s="2">
        <v>0</v>
      </c>
      <c r="Q1136" s="2">
        <v>0</v>
      </c>
      <c r="R1136" s="4">
        <v>-1.7149761029050001E-16</v>
      </c>
      <c r="T1136">
        <v>314093</v>
      </c>
      <c r="U1136" s="2"/>
      <c r="V1136">
        <v>6076</v>
      </c>
      <c r="W1136" s="2">
        <v>6579000000</v>
      </c>
      <c r="X1136" s="6">
        <v>63638.999999999985</v>
      </c>
      <c r="Y1136" s="38">
        <v>10010</v>
      </c>
      <c r="Z1136" s="86">
        <f>+((DETALLE_GD_1[[#This Row],[VALOR X UN (GD)]]-DETALLE_GD_1[[#This Row],[VALOR PPTO]])/DETALLE_GD_1[[#This Row],[VALOR PPTO]])</f>
        <v>0</v>
      </c>
      <c r="AA1136" s="2">
        <f>+DETALLE_GD_1[[#This Row],[VALOR PPTO]]*DETALLE_GD_1[[#This Row],[CANTIDAD RECIBIDA]]</f>
        <v>63639</v>
      </c>
      <c r="AB1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6" s="3">
        <f>+DETALLE_GD_1[[#This Row],[CANTIDAD SOLICITADA]]-DETALLE_GD_1[[#This Row],[DEVOLUCIÓN]]</f>
        <v>3</v>
      </c>
      <c r="AD1136" s="38" t="str">
        <f>+_xlfn.XLOOKUP(DETALLE_GD_1[[#This Row],[CODIGO]],PRODUCTOS[CODIGO],PRODUCTOS[DESC CORTA],"",0)</f>
        <v>COLA FRIA</v>
      </c>
    </row>
    <row r="1137" spans="1:30" x14ac:dyDescent="0.25">
      <c r="A1137" s="1">
        <v>46142</v>
      </c>
      <c r="B1137" s="1">
        <v>46140</v>
      </c>
      <c r="C1137" s="81" t="s">
        <v>169</v>
      </c>
      <c r="D1137" s="38">
        <v>4</v>
      </c>
      <c r="E1137" s="81" t="s">
        <v>169</v>
      </c>
      <c r="F1137">
        <v>408014</v>
      </c>
      <c r="G1137" s="81" t="s">
        <v>108</v>
      </c>
      <c r="H1137" s="81" t="s">
        <v>36</v>
      </c>
      <c r="I1137" s="3">
        <v>1</v>
      </c>
      <c r="J1137" s="3"/>
      <c r="K1137" s="26">
        <v>1</v>
      </c>
      <c r="L1137" s="2">
        <v>16182</v>
      </c>
      <c r="M1137" s="2">
        <v>16182</v>
      </c>
      <c r="N1137" s="2">
        <v>16182</v>
      </c>
      <c r="O1137" s="2">
        <v>16182.1068</v>
      </c>
      <c r="P1137" s="2">
        <v>0.10680000000000001</v>
      </c>
      <c r="Q1137" s="2">
        <v>0.10680000000000001</v>
      </c>
      <c r="R1137" s="4">
        <v>6.5975340279806539E-6</v>
      </c>
      <c r="T1137">
        <v>314093</v>
      </c>
      <c r="U1137" s="2"/>
      <c r="V1137">
        <v>6076</v>
      </c>
      <c r="W1137" s="2">
        <v>6579000000</v>
      </c>
      <c r="X1137" s="6">
        <v>16182.106762000009</v>
      </c>
      <c r="Y1137" s="38">
        <v>10010</v>
      </c>
      <c r="Z1137" s="86">
        <f>+((DETALLE_GD_1[[#This Row],[VALOR X UN (GD)]]-DETALLE_GD_1[[#This Row],[VALOR PPTO]])/DETALLE_GD_1[[#This Row],[VALOR PPTO]])</f>
        <v>-6.5998822847693946E-6</v>
      </c>
      <c r="AA1137" s="2">
        <f>+DETALLE_GD_1[[#This Row],[VALOR PPTO]]*DETALLE_GD_1[[#This Row],[CANTIDAD RECIBIDA]]</f>
        <v>16182.1068</v>
      </c>
      <c r="AB1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7" s="3">
        <f>+DETALLE_GD_1[[#This Row],[CANTIDAD SOLICITADA]]-DETALLE_GD_1[[#This Row],[DEVOLUCIÓN]]</f>
        <v>1</v>
      </c>
      <c r="AD1137" s="38" t="str">
        <f>+_xlfn.XLOOKUP(DETALLE_GD_1[[#This Row],[CODIGO]],PRODUCTOS[CODIGO],PRODUCTOS[DESC CORTA],"",0)</f>
        <v>GRAPA T40</v>
      </c>
    </row>
    <row r="1138" spans="1:30" x14ac:dyDescent="0.25">
      <c r="A1138" s="1">
        <v>46142</v>
      </c>
      <c r="B1138" s="1">
        <v>46140</v>
      </c>
      <c r="C1138" s="81" t="s">
        <v>169</v>
      </c>
      <c r="D1138" s="38">
        <v>4</v>
      </c>
      <c r="E1138" s="81" t="s">
        <v>169</v>
      </c>
      <c r="F1138">
        <v>410045</v>
      </c>
      <c r="G1138" s="81" t="s">
        <v>110</v>
      </c>
      <c r="H1138" s="81" t="s">
        <v>31</v>
      </c>
      <c r="I1138" s="3">
        <v>232</v>
      </c>
      <c r="J1138" s="3"/>
      <c r="K1138" s="26">
        <v>232</v>
      </c>
      <c r="L1138" s="2">
        <v>346.90519999999998</v>
      </c>
      <c r="M1138" s="2">
        <v>80482</v>
      </c>
      <c r="N1138" s="2">
        <v>80482</v>
      </c>
      <c r="O1138" s="2">
        <v>368.00139999999999</v>
      </c>
      <c r="P1138" s="2">
        <v>21.0962</v>
      </c>
      <c r="Q1138" s="2">
        <v>4894.3158000000003</v>
      </c>
      <c r="R1138" s="4">
        <v>5.7326387404873863E-2</v>
      </c>
      <c r="T1138">
        <v>314093</v>
      </c>
      <c r="U1138" s="2"/>
      <c r="V1138">
        <v>6076</v>
      </c>
      <c r="W1138" s="2">
        <v>6579000000</v>
      </c>
      <c r="X1138" s="6">
        <v>85376.31575199998</v>
      </c>
      <c r="Y1138" s="38">
        <v>10010</v>
      </c>
      <c r="Z1138" s="86">
        <f>+((DETALLE_GD_1[[#This Row],[VALOR X UN (GD)]]-DETALLE_GD_1[[#This Row],[VALOR PPTO]])/DETALLE_GD_1[[#This Row],[VALOR PPTO]])</f>
        <v>-5.7326412345170455E-2</v>
      </c>
      <c r="AA1138" s="2">
        <f>+DETALLE_GD_1[[#This Row],[VALOR PPTO]]*DETALLE_GD_1[[#This Row],[CANTIDAD RECIBIDA]]</f>
        <v>85376.324800000002</v>
      </c>
      <c r="AB1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8" s="3">
        <f>+DETALLE_GD_1[[#This Row],[CANTIDAD SOLICITADA]]-DETALLE_GD_1[[#This Row],[DEVOLUCIÓN]]</f>
        <v>232</v>
      </c>
      <c r="AD1138" s="38" t="str">
        <f>+_xlfn.XLOOKUP(DETALLE_GD_1[[#This Row],[CODIGO]],PRODUCTOS[CODIGO],PRODUCTOS[DESC CORTA],"",0)</f>
        <v>CONECTOR DENTADO</v>
      </c>
    </row>
    <row r="1139" spans="1:30" x14ac:dyDescent="0.25">
      <c r="A1139" s="1">
        <v>46142</v>
      </c>
      <c r="B1139" s="1">
        <v>46140</v>
      </c>
      <c r="C1139" s="81" t="s">
        <v>169</v>
      </c>
      <c r="D1139" s="38">
        <v>4</v>
      </c>
      <c r="E1139" s="81" t="s">
        <v>169</v>
      </c>
      <c r="F1139" t="s">
        <v>386</v>
      </c>
      <c r="G1139" s="81" t="s">
        <v>83</v>
      </c>
      <c r="H1139" s="81" t="s">
        <v>36</v>
      </c>
      <c r="I1139" s="3">
        <v>1</v>
      </c>
      <c r="J1139" s="3"/>
      <c r="K1139" s="26">
        <v>1</v>
      </c>
      <c r="L1139" s="2">
        <v>36940</v>
      </c>
      <c r="M1139" s="2">
        <v>36940</v>
      </c>
      <c r="N1139" s="2">
        <v>36940</v>
      </c>
      <c r="O1139" s="2">
        <v>36939.818200000002</v>
      </c>
      <c r="P1139" s="2">
        <v>-0.18179999999999999</v>
      </c>
      <c r="Q1139" s="2">
        <v>-0.18179999999999999</v>
      </c>
      <c r="R1139" s="4">
        <v>-4.9220058181131147E-6</v>
      </c>
      <c r="T1139">
        <v>314093</v>
      </c>
      <c r="U1139" s="2"/>
      <c r="V1139">
        <v>6076</v>
      </c>
      <c r="W1139" s="2">
        <v>6579000000</v>
      </c>
      <c r="X1139" s="6">
        <v>36939.818181999981</v>
      </c>
      <c r="Y1139" s="38">
        <v>10010</v>
      </c>
      <c r="Z1139" s="86">
        <f>+((DETALLE_GD_1[[#This Row],[VALOR X UN (GD)]]-DETALLE_GD_1[[#This Row],[VALOR PPTO]])/DETALLE_GD_1[[#This Row],[VALOR PPTO]])</f>
        <v>4.92151853628979E-6</v>
      </c>
      <c r="AA1139" s="2">
        <f>+DETALLE_GD_1[[#This Row],[VALOR PPTO]]*DETALLE_GD_1[[#This Row],[CANTIDAD RECIBIDA]]</f>
        <v>36939.818200000002</v>
      </c>
      <c r="AB11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39" s="3">
        <f>+DETALLE_GD_1[[#This Row],[CANTIDAD SOLICITADA]]-DETALLE_GD_1[[#This Row],[DEVOLUCIÓN]]</f>
        <v>1</v>
      </c>
      <c r="AD1139" s="38" t="str">
        <f>+_xlfn.XLOOKUP(DETALLE_GD_1[[#This Row],[CODIGO]],PRODUCTOS[CODIGO],PRODUCTOS[DESC CORTA],"",0)</f>
        <v>CLAVO R20</v>
      </c>
    </row>
    <row r="1140" spans="1:30" x14ac:dyDescent="0.25">
      <c r="A1140" s="1">
        <v>46142</v>
      </c>
      <c r="B1140" s="1">
        <v>46140</v>
      </c>
      <c r="C1140" s="81" t="s">
        <v>169</v>
      </c>
      <c r="D1140" s="38">
        <v>4</v>
      </c>
      <c r="E1140" s="81" t="s">
        <v>169</v>
      </c>
      <c r="F1140">
        <v>304049</v>
      </c>
      <c r="G1140" s="81" t="s">
        <v>318</v>
      </c>
      <c r="H1140" s="81" t="s">
        <v>18</v>
      </c>
      <c r="I1140" s="3">
        <v>130</v>
      </c>
      <c r="J1140" s="3"/>
      <c r="K1140" s="26">
        <v>130</v>
      </c>
      <c r="L1140" s="2">
        <v>14981.223099999999</v>
      </c>
      <c r="M1140" s="2">
        <v>1947559</v>
      </c>
      <c r="N1140" s="2">
        <v>1947559</v>
      </c>
      <c r="O1140" s="2">
        <v>14982</v>
      </c>
      <c r="P1140" s="2">
        <v>0.77690000000000003</v>
      </c>
      <c r="Q1140" s="2">
        <v>101</v>
      </c>
      <c r="R1140" s="4">
        <v>5.1857100314738323E-5</v>
      </c>
      <c r="T1140">
        <v>314093</v>
      </c>
      <c r="U1140" s="2"/>
      <c r="V1140">
        <v>6076</v>
      </c>
      <c r="W1140" s="2">
        <v>6579000000</v>
      </c>
      <c r="X1140" s="6">
        <v>1947659.9999999993</v>
      </c>
      <c r="Y1140" s="38">
        <v>10010</v>
      </c>
      <c r="Z1140" s="86">
        <f>+((DETALLE_GD_1[[#This Row],[VALOR X UN (GD)]]-DETALLE_GD_1[[#This Row],[VALOR PPTO]])/DETALLE_GD_1[[#This Row],[VALOR PPTO]])</f>
        <v>-5.1855560005389863E-5</v>
      </c>
      <c r="AA1140" s="2">
        <f>+DETALLE_GD_1[[#This Row],[VALOR PPTO]]*DETALLE_GD_1[[#This Row],[CANTIDAD RECIBIDA]]</f>
        <v>1947660</v>
      </c>
      <c r="AB11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40" s="3">
        <f>+DETALLE_GD_1[[#This Row],[CANTIDAD SOLICITADA]]-DETALLE_GD_1[[#This Row],[DEVOLUCIÓN]]</f>
        <v>130</v>
      </c>
      <c r="AD1140" s="38" t="str">
        <f>+_xlfn.XLOOKUP(DETALLE_GD_1[[#This Row],[CODIGO]],PRODUCTOS[CODIGO],PRODUCTOS[DESC CORTA],"",0)</f>
        <v>TERCIADO FENOLICO</v>
      </c>
    </row>
    <row r="1141" spans="1:30" x14ac:dyDescent="0.25">
      <c r="A1141" s="1">
        <v>46142</v>
      </c>
      <c r="B1141" s="1">
        <v>46140</v>
      </c>
      <c r="C1141" s="81" t="s">
        <v>169</v>
      </c>
      <c r="D1141" s="38">
        <v>4</v>
      </c>
      <c r="E1141" s="81" t="s">
        <v>169</v>
      </c>
      <c r="F1141">
        <v>412313</v>
      </c>
      <c r="G1141" s="81" t="s">
        <v>253</v>
      </c>
      <c r="H1141" s="81" t="s">
        <v>36</v>
      </c>
      <c r="I1141" s="3">
        <v>3</v>
      </c>
      <c r="J1141" s="3"/>
      <c r="K1141" s="26">
        <v>3</v>
      </c>
      <c r="L1141" s="2">
        <v>23724</v>
      </c>
      <c r="M1141" s="2">
        <v>71172</v>
      </c>
      <c r="N1141" s="2">
        <v>71172</v>
      </c>
      <c r="O1141" s="2">
        <v>23724.0674</v>
      </c>
      <c r="P1141" s="2">
        <v>6.7400000000000002E-2</v>
      </c>
      <c r="Q1141" s="2">
        <v>0.20219999999999999</v>
      </c>
      <c r="R1141" s="4">
        <v>2.8403645506871342E-6</v>
      </c>
      <c r="T1141">
        <v>314093</v>
      </c>
      <c r="U1141" s="2"/>
      <c r="V1141">
        <v>6076</v>
      </c>
      <c r="W1141" s="2">
        <v>6579000000</v>
      </c>
      <c r="X1141" s="6">
        <v>71172.202154999992</v>
      </c>
      <c r="Y1141" s="38">
        <v>10010</v>
      </c>
      <c r="Z1141" s="86">
        <f>+((DETALLE_GD_1[[#This Row],[VALOR X UN (GD)]]-DETALLE_GD_1[[#This Row],[VALOR PPTO]])/DETALLE_GD_1[[#This Row],[VALOR PPTO]])</f>
        <v>-2.8409968182735337E-6</v>
      </c>
      <c r="AA1141" s="2">
        <f>+DETALLE_GD_1[[#This Row],[VALOR PPTO]]*DETALLE_GD_1[[#This Row],[CANTIDAD RECIBIDA]]</f>
        <v>71172.2022</v>
      </c>
      <c r="AB1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1" s="3">
        <f>+DETALLE_GD_1[[#This Row],[CANTIDAD SOLICITADA]]-DETALLE_GD_1[[#This Row],[DEVOLUCIÓN]]</f>
        <v>3</v>
      </c>
      <c r="AD1141" s="38">
        <f>+_xlfn.XLOOKUP(DETALLE_GD_1[[#This Row],[CODIGO]],PRODUCTOS[CODIGO],PRODUCTOS[DESC CORTA],"",0)</f>
        <v>0</v>
      </c>
    </row>
    <row r="1142" spans="1:30" x14ac:dyDescent="0.25">
      <c r="A1142" s="1">
        <v>46142</v>
      </c>
      <c r="B1142" s="1">
        <v>46140</v>
      </c>
      <c r="C1142" s="81" t="s">
        <v>169</v>
      </c>
      <c r="D1142" s="38">
        <v>4</v>
      </c>
      <c r="E1142" s="81" t="s">
        <v>169</v>
      </c>
      <c r="F1142">
        <v>302054</v>
      </c>
      <c r="G1142" s="81" t="s">
        <v>356</v>
      </c>
      <c r="H1142" s="81" t="s">
        <v>20</v>
      </c>
      <c r="I1142" s="3">
        <v>936</v>
      </c>
      <c r="J1142" s="3"/>
      <c r="K1142" s="26">
        <v>936</v>
      </c>
      <c r="L1142" s="2">
        <v>4575.8216000000002</v>
      </c>
      <c r="M1142" s="2">
        <v>4282969</v>
      </c>
      <c r="N1142" s="2">
        <v>4282969</v>
      </c>
      <c r="O1142" s="2">
        <v>5713</v>
      </c>
      <c r="P1142" s="2">
        <v>1137.1784</v>
      </c>
      <c r="Q1142" s="2">
        <v>1064399</v>
      </c>
      <c r="R1142" s="4">
        <v>0.19905100976779608</v>
      </c>
      <c r="T1142">
        <v>314093</v>
      </c>
      <c r="U1142" s="2"/>
      <c r="V1142">
        <v>6076</v>
      </c>
      <c r="W1142" s="2">
        <v>6579000000</v>
      </c>
      <c r="X1142" s="6">
        <v>5347368</v>
      </c>
      <c r="Y1142" s="38">
        <v>10010</v>
      </c>
      <c r="Z1142" s="86">
        <f>+((DETALLE_GD_1[[#This Row],[VALOR X UN (GD)]]-DETALLE_GD_1[[#This Row],[VALOR PPTO]])/DETALLE_GD_1[[#This Row],[VALOR PPTO]])</f>
        <v>-0.19905100647645715</v>
      </c>
      <c r="AA1142" s="2">
        <f>+DETALLE_GD_1[[#This Row],[VALOR PPTO]]*DETALLE_GD_1[[#This Row],[CANTIDAD RECIBIDA]]</f>
        <v>5347368</v>
      </c>
      <c r="AB1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42" s="3">
        <f>+DETALLE_GD_1[[#This Row],[CANTIDAD SOLICITADA]]-DETALLE_GD_1[[#This Row],[DEVOLUCIÓN]]</f>
        <v>936</v>
      </c>
      <c r="AD1142" s="38">
        <f>+_xlfn.XLOOKUP(DETALLE_GD_1[[#This Row],[CODIGO]],PRODUCTOS[CODIGO],PRODUCTOS[DESC CORTA],"",0)</f>
        <v>0</v>
      </c>
    </row>
    <row r="1143" spans="1:30" x14ac:dyDescent="0.25">
      <c r="A1143" s="1">
        <v>46142</v>
      </c>
      <c r="B1143" s="1">
        <v>46140</v>
      </c>
      <c r="C1143" s="81" t="s">
        <v>169</v>
      </c>
      <c r="D1143" s="38">
        <v>4</v>
      </c>
      <c r="E1143" s="81" t="s">
        <v>169</v>
      </c>
      <c r="F1143">
        <v>701096</v>
      </c>
      <c r="G1143" s="81" t="s">
        <v>204</v>
      </c>
      <c r="H1143" s="81" t="s">
        <v>18</v>
      </c>
      <c r="I1143" s="3">
        <v>140</v>
      </c>
      <c r="J1143" s="3"/>
      <c r="K1143" s="26">
        <v>140</v>
      </c>
      <c r="L1143" s="2">
        <v>16352.821400000001</v>
      </c>
      <c r="M1143" s="2">
        <v>2289395</v>
      </c>
      <c r="N1143" s="2">
        <v>2289395</v>
      </c>
      <c r="O1143" s="2">
        <v>16019.885700000001</v>
      </c>
      <c r="P1143" s="2">
        <v>-332.9357</v>
      </c>
      <c r="Q1143" s="2">
        <v>-46611.004099999998</v>
      </c>
      <c r="R1143" s="4">
        <v>-2.0782654141107023E-2</v>
      </c>
      <c r="T1143">
        <v>314093</v>
      </c>
      <c r="U1143" s="2"/>
      <c r="V1143">
        <v>6076</v>
      </c>
      <c r="W1143" s="2">
        <v>6579000000</v>
      </c>
      <c r="X1143" s="6">
        <v>2242783.9959000004</v>
      </c>
      <c r="Y1143" s="38">
        <v>10010</v>
      </c>
      <c r="Z1143" s="86">
        <f>+((DETALLE_GD_1[[#This Row],[VALOR X UN (GD)]]-DETALLE_GD_1[[#This Row],[VALOR PPTO]])/DETALLE_GD_1[[#This Row],[VALOR PPTO]])</f>
        <v>2.0782651401813682E-2</v>
      </c>
      <c r="AA1143" s="2">
        <f>+DETALLE_GD_1[[#This Row],[VALOR PPTO]]*DETALLE_GD_1[[#This Row],[CANTIDAD RECIBIDA]]</f>
        <v>2242783.9980000001</v>
      </c>
      <c r="AB1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43" s="3">
        <f>+DETALLE_GD_1[[#This Row],[CANTIDAD SOLICITADA]]-DETALLE_GD_1[[#This Row],[DEVOLUCIÓN]]</f>
        <v>140</v>
      </c>
      <c r="AD1143" s="38" t="str">
        <f>+_xlfn.XLOOKUP(DETALLE_GD_1[[#This Row],[CODIGO]],PRODUCTOS[CODIGO],PRODUCTOS[DESC CORTA],"",0)</f>
        <v>VOCANITA EMPAPELADA MURO</v>
      </c>
    </row>
    <row r="1144" spans="1:30" x14ac:dyDescent="0.25">
      <c r="A1144" s="1">
        <v>46142</v>
      </c>
      <c r="B1144" s="1">
        <v>46140</v>
      </c>
      <c r="C1144" s="81" t="s">
        <v>169</v>
      </c>
      <c r="D1144" s="38">
        <v>4</v>
      </c>
      <c r="E1144" s="81" t="s">
        <v>169</v>
      </c>
      <c r="F1144">
        <v>701043</v>
      </c>
      <c r="G1144" s="81" t="s">
        <v>197</v>
      </c>
      <c r="H1144" s="81" t="s">
        <v>18</v>
      </c>
      <c r="I1144" s="3">
        <v>40</v>
      </c>
      <c r="J1144" s="3"/>
      <c r="K1144" s="26">
        <v>40</v>
      </c>
      <c r="L1144" s="2">
        <v>22739.125</v>
      </c>
      <c r="M1144" s="2">
        <v>909565</v>
      </c>
      <c r="N1144" s="2">
        <v>909565</v>
      </c>
      <c r="O1144" s="2">
        <v>22146.362799999999</v>
      </c>
      <c r="P1144" s="2">
        <v>-592.76220000000001</v>
      </c>
      <c r="Q1144" s="2">
        <v>-23710.489099999999</v>
      </c>
      <c r="R1144" s="4">
        <v>-2.6765669564007971E-2</v>
      </c>
      <c r="T1144">
        <v>314093</v>
      </c>
      <c r="U1144" s="2"/>
      <c r="V1144">
        <v>6076</v>
      </c>
      <c r="W1144" s="2">
        <v>6579000000</v>
      </c>
      <c r="X1144" s="6">
        <v>885854.51087999996</v>
      </c>
      <c r="Y1144" s="38">
        <v>10010</v>
      </c>
      <c r="Z1144" s="86">
        <f>+((DETALLE_GD_1[[#This Row],[VALOR X UN (GD)]]-DETALLE_GD_1[[#This Row],[VALOR PPTO]])/DETALLE_GD_1[[#This Row],[VALOR PPTO]])</f>
        <v>2.6765668265851812E-2</v>
      </c>
      <c r="AA1144" s="2">
        <f>+DETALLE_GD_1[[#This Row],[VALOR PPTO]]*DETALLE_GD_1[[#This Row],[CANTIDAD RECIBIDA]]</f>
        <v>885854.51199999999</v>
      </c>
      <c r="AB1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44" s="3">
        <f>+DETALLE_GD_1[[#This Row],[CANTIDAD SOLICITADA]]-DETALLE_GD_1[[#This Row],[DEVOLUCIÓN]]</f>
        <v>40</v>
      </c>
      <c r="AD1144" s="38" t="str">
        <f>+_xlfn.XLOOKUP(DETALLE_GD_1[[#This Row],[CODIGO]],PRODUCTOS[CODIGO],PRODUCTOS[DESC CORTA],"",0)</f>
        <v>VOLCANITA EMPAPELADA CIELO</v>
      </c>
    </row>
    <row r="1145" spans="1:30" x14ac:dyDescent="0.25">
      <c r="A1145" s="1">
        <v>46142</v>
      </c>
      <c r="B1145" s="1">
        <v>46140</v>
      </c>
      <c r="C1145" s="81" t="s">
        <v>169</v>
      </c>
      <c r="D1145" s="38">
        <v>4</v>
      </c>
      <c r="E1145" s="81" t="s">
        <v>169</v>
      </c>
      <c r="F1145">
        <v>408042</v>
      </c>
      <c r="G1145" s="81" t="s">
        <v>144</v>
      </c>
      <c r="H1145" s="81" t="s">
        <v>36</v>
      </c>
      <c r="I1145" s="3">
        <v>10</v>
      </c>
      <c r="J1145" s="3"/>
      <c r="K1145" s="26">
        <v>10</v>
      </c>
      <c r="L1145" s="2">
        <v>35000</v>
      </c>
      <c r="M1145" s="2">
        <v>350000</v>
      </c>
      <c r="N1145" s="2">
        <v>350000</v>
      </c>
      <c r="O1145" s="2">
        <v>35000</v>
      </c>
      <c r="P1145" s="2">
        <v>0</v>
      </c>
      <c r="Q1145" s="2">
        <v>0</v>
      </c>
      <c r="R1145" s="4">
        <v>8.3153801304950006E-16</v>
      </c>
      <c r="T1145">
        <v>314093</v>
      </c>
      <c r="U1145" s="2"/>
      <c r="V1145">
        <v>6076</v>
      </c>
      <c r="W1145" s="2">
        <v>6579000000</v>
      </c>
      <c r="X1145" s="6">
        <v>350000.00000000029</v>
      </c>
      <c r="Y1145" s="38">
        <v>10010</v>
      </c>
      <c r="Z1145" s="86">
        <f>+((DETALLE_GD_1[[#This Row],[VALOR X UN (GD)]]-DETALLE_GD_1[[#This Row],[VALOR PPTO]])/DETALLE_GD_1[[#This Row],[VALOR PPTO]])</f>
        <v>0</v>
      </c>
      <c r="AA1145" s="2">
        <f>+DETALLE_GD_1[[#This Row],[VALOR PPTO]]*DETALLE_GD_1[[#This Row],[CANTIDAD RECIBIDA]]</f>
        <v>350000</v>
      </c>
      <c r="AB1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5" s="3">
        <f>+DETALLE_GD_1[[#This Row],[CANTIDAD SOLICITADA]]-DETALLE_GD_1[[#This Row],[DEVOLUCIÓN]]</f>
        <v>10</v>
      </c>
      <c r="AD1145" s="38" t="str">
        <f>+_xlfn.XLOOKUP(DETALLE_GD_1[[#This Row],[CODIGO]],PRODUCTOS[CODIGO],PRODUCTOS[DESC CORTA],"",0)</f>
        <v>CLAVO HELICOIDAL PROFIX</v>
      </c>
    </row>
    <row r="1146" spans="1:30" x14ac:dyDescent="0.25">
      <c r="A1146" s="1">
        <v>46142</v>
      </c>
      <c r="B1146" s="1">
        <v>46140</v>
      </c>
      <c r="C1146" s="81" t="s">
        <v>169</v>
      </c>
      <c r="D1146" s="38">
        <v>4</v>
      </c>
      <c r="E1146" s="81" t="s">
        <v>169</v>
      </c>
      <c r="F1146">
        <v>2103113</v>
      </c>
      <c r="G1146" s="81" t="s">
        <v>778</v>
      </c>
      <c r="H1146" s="81" t="s">
        <v>31</v>
      </c>
      <c r="I1146" s="3">
        <v>3</v>
      </c>
      <c r="J1146" s="3"/>
      <c r="K1146" s="26">
        <v>3</v>
      </c>
      <c r="L1146" s="2">
        <v>2078</v>
      </c>
      <c r="M1146" s="2">
        <v>6234</v>
      </c>
      <c r="N1146" s="2">
        <v>6234</v>
      </c>
      <c r="O1146" s="2"/>
      <c r="P1146" s="2"/>
      <c r="Q1146" s="2">
        <v>-6234</v>
      </c>
      <c r="R1146" s="4"/>
      <c r="T1146">
        <v>314096</v>
      </c>
      <c r="U1146" s="2">
        <v>6234</v>
      </c>
      <c r="V1146">
        <v>6076</v>
      </c>
      <c r="W1146" s="2">
        <v>6579000000</v>
      </c>
      <c r="X1146" s="6" t="s">
        <v>355</v>
      </c>
      <c r="Y1146" s="38">
        <v>10010</v>
      </c>
      <c r="Z1146" s="86" t="e">
        <f>+((DETALLE_GD_1[[#This Row],[VALOR X UN (GD)]]-DETALLE_GD_1[[#This Row],[VALOR PPTO]])/DETALLE_GD_1[[#This Row],[VALOR PPTO]])</f>
        <v>#DIV/0!</v>
      </c>
      <c r="AA1146" s="2">
        <f>+DETALLE_GD_1[[#This Row],[VALOR PPTO]]*DETALLE_GD_1[[#This Row],[CANTIDAD RECIBIDA]]</f>
        <v>0</v>
      </c>
      <c r="AB1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6" s="3">
        <f>+DETALLE_GD_1[[#This Row],[CANTIDAD SOLICITADA]]-DETALLE_GD_1[[#This Row],[DEVOLUCIÓN]]</f>
        <v>3</v>
      </c>
      <c r="AD1146" s="38" t="str">
        <f>+_xlfn.XLOOKUP(DETALLE_GD_1[[#This Row],[CODIGO]],PRODUCTOS[CODIGO],PRODUCTOS[DESC CORTA],"",0)</f>
        <v/>
      </c>
    </row>
    <row r="1147" spans="1:30" x14ac:dyDescent="0.25">
      <c r="A1147" s="1">
        <v>46142</v>
      </c>
      <c r="B1147" s="1">
        <v>46140</v>
      </c>
      <c r="C1147" s="81" t="s">
        <v>169</v>
      </c>
      <c r="D1147" s="38">
        <v>4</v>
      </c>
      <c r="E1147" s="81" t="s">
        <v>169</v>
      </c>
      <c r="F1147">
        <v>2302098</v>
      </c>
      <c r="G1147" s="81" t="s">
        <v>24</v>
      </c>
      <c r="H1147" s="81" t="s">
        <v>25</v>
      </c>
      <c r="I1147" s="3">
        <v>2</v>
      </c>
      <c r="J1147" s="3"/>
      <c r="K1147" s="26">
        <v>2</v>
      </c>
      <c r="L1147" s="2">
        <v>21213</v>
      </c>
      <c r="M1147" s="2">
        <v>42426</v>
      </c>
      <c r="N1147" s="2">
        <v>42426</v>
      </c>
      <c r="O1147" s="2">
        <v>21213</v>
      </c>
      <c r="P1147" s="2">
        <v>0</v>
      </c>
      <c r="Q1147" s="2">
        <v>0</v>
      </c>
      <c r="R1147" s="4">
        <v>-1.7149761029050001E-16</v>
      </c>
      <c r="T1147">
        <v>314098</v>
      </c>
      <c r="U1147" s="2">
        <v>610172</v>
      </c>
      <c r="V1147">
        <v>6076</v>
      </c>
      <c r="W1147" s="2">
        <v>6579000000</v>
      </c>
      <c r="X1147" s="6">
        <v>42425.999999999993</v>
      </c>
      <c r="Y1147" s="38">
        <v>10010</v>
      </c>
      <c r="Z1147" s="86">
        <f>+((DETALLE_GD_1[[#This Row],[VALOR X UN (GD)]]-DETALLE_GD_1[[#This Row],[VALOR PPTO]])/DETALLE_GD_1[[#This Row],[VALOR PPTO]])</f>
        <v>0</v>
      </c>
      <c r="AA1147" s="2">
        <f>+DETALLE_GD_1[[#This Row],[VALOR PPTO]]*DETALLE_GD_1[[#This Row],[CANTIDAD RECIBIDA]]</f>
        <v>42426</v>
      </c>
      <c r="AB1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7" s="3">
        <f>+DETALLE_GD_1[[#This Row],[CANTIDAD SOLICITADA]]-DETALLE_GD_1[[#This Row],[DEVOLUCIÓN]]</f>
        <v>2</v>
      </c>
      <c r="AD1147" s="38" t="str">
        <f>+_xlfn.XLOOKUP(DETALLE_GD_1[[#This Row],[CODIGO]],PRODUCTOS[CODIGO],PRODUCTOS[DESC CORTA],"",0)</f>
        <v>COLA FRIA</v>
      </c>
    </row>
    <row r="1148" spans="1:30" x14ac:dyDescent="0.25">
      <c r="A1148" s="1">
        <v>46142</v>
      </c>
      <c r="B1148" s="1">
        <v>46140</v>
      </c>
      <c r="C1148" s="81" t="s">
        <v>169</v>
      </c>
      <c r="D1148" s="38">
        <v>4</v>
      </c>
      <c r="E1148" s="81" t="s">
        <v>169</v>
      </c>
      <c r="F1148">
        <v>2302024</v>
      </c>
      <c r="G1148" s="81" t="s">
        <v>234</v>
      </c>
      <c r="H1148" s="81" t="s">
        <v>68</v>
      </c>
      <c r="I1148" s="3">
        <v>2</v>
      </c>
      <c r="J1148" s="3"/>
      <c r="K1148" s="26">
        <v>2</v>
      </c>
      <c r="L1148" s="2">
        <v>22521.5</v>
      </c>
      <c r="M1148" s="2">
        <v>45043</v>
      </c>
      <c r="N1148" s="2">
        <v>45043</v>
      </c>
      <c r="O1148" s="2">
        <v>22292</v>
      </c>
      <c r="P1148" s="2">
        <v>-229.5</v>
      </c>
      <c r="Q1148" s="2">
        <v>-459</v>
      </c>
      <c r="R1148" s="4">
        <v>-1.0295173156289252E-2</v>
      </c>
      <c r="T1148">
        <v>314098</v>
      </c>
      <c r="U1148" s="2"/>
      <c r="V1148">
        <v>6076</v>
      </c>
      <c r="W1148" s="2">
        <v>6579000000</v>
      </c>
      <c r="X1148" s="6">
        <v>44584</v>
      </c>
      <c r="Y1148" s="38">
        <v>10010</v>
      </c>
      <c r="Z1148" s="86">
        <f>+((DETALLE_GD_1[[#This Row],[VALOR X UN (GD)]]-DETALLE_GD_1[[#This Row],[VALOR PPTO]])/DETALLE_GD_1[[#This Row],[VALOR PPTO]])</f>
        <v>1.0295173156289252E-2</v>
      </c>
      <c r="AA1148" s="2">
        <f>+DETALLE_GD_1[[#This Row],[VALOR PPTO]]*DETALLE_GD_1[[#This Row],[CANTIDAD RECIBIDA]]</f>
        <v>44584</v>
      </c>
      <c r="AB1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8" s="3">
        <f>+DETALLE_GD_1[[#This Row],[CANTIDAD SOLICITADA]]-DETALLE_GD_1[[#This Row],[DEVOLUCIÓN]]</f>
        <v>2</v>
      </c>
      <c r="AD1148" s="38">
        <f>+_xlfn.XLOOKUP(DETALLE_GD_1[[#This Row],[CODIGO]],PRODUCTOS[CODIGO],PRODUCTOS[DESC CORTA],"",0)</f>
        <v>0</v>
      </c>
    </row>
    <row r="1149" spans="1:30" x14ac:dyDescent="0.25">
      <c r="A1149" s="1">
        <v>46142</v>
      </c>
      <c r="B1149" s="1">
        <v>46140</v>
      </c>
      <c r="C1149" s="81" t="s">
        <v>169</v>
      </c>
      <c r="D1149" s="38">
        <v>4</v>
      </c>
      <c r="E1149" s="81" t="s">
        <v>169</v>
      </c>
      <c r="F1149">
        <v>2302017</v>
      </c>
      <c r="G1149" s="81" t="s">
        <v>156</v>
      </c>
      <c r="H1149" s="81" t="s">
        <v>25</v>
      </c>
      <c r="I1149" s="3">
        <v>2</v>
      </c>
      <c r="J1149" s="3"/>
      <c r="K1149" s="26">
        <v>2</v>
      </c>
      <c r="L1149" s="2">
        <v>81199.5</v>
      </c>
      <c r="M1149" s="2">
        <v>162399</v>
      </c>
      <c r="N1149" s="2">
        <v>162399</v>
      </c>
      <c r="O1149" s="2">
        <v>81197.881599999993</v>
      </c>
      <c r="P1149" s="2">
        <v>-1.6184000000000001</v>
      </c>
      <c r="Q1149" s="2">
        <v>-3.2368000000000001</v>
      </c>
      <c r="R1149" s="4">
        <v>-1.9931813103355797E-5</v>
      </c>
      <c r="T1149">
        <v>314098</v>
      </c>
      <c r="U1149" s="2"/>
      <c r="V1149">
        <v>6076</v>
      </c>
      <c r="W1149" s="2">
        <v>6579000000</v>
      </c>
      <c r="X1149" s="6">
        <v>162395.76315799996</v>
      </c>
      <c r="Y1149" s="38">
        <v>10010</v>
      </c>
      <c r="Z1149" s="86">
        <f>+((DETALLE_GD_1[[#This Row],[VALOR X UN (GD)]]-DETALLE_GD_1[[#This Row],[VALOR PPTO]])/DETALLE_GD_1[[#This Row],[VALOR PPTO]])</f>
        <v>1.9931554470586818E-5</v>
      </c>
      <c r="AA1149" s="2">
        <f>+DETALLE_GD_1[[#This Row],[VALOR PPTO]]*DETALLE_GD_1[[#This Row],[CANTIDAD RECIBIDA]]</f>
        <v>162395.76319999999</v>
      </c>
      <c r="AB1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9" s="3">
        <f>+DETALLE_GD_1[[#This Row],[CANTIDAD SOLICITADA]]-DETALLE_GD_1[[#This Row],[DEVOLUCIÓN]]</f>
        <v>2</v>
      </c>
      <c r="AD1149" s="38">
        <f>+_xlfn.XLOOKUP(DETALLE_GD_1[[#This Row],[CODIGO]],PRODUCTOS[CODIGO],PRODUCTOS[DESC CORTA],"",0)</f>
        <v>0</v>
      </c>
    </row>
    <row r="1150" spans="1:30" x14ac:dyDescent="0.25">
      <c r="A1150" s="1">
        <v>46142</v>
      </c>
      <c r="B1150" s="1">
        <v>46140</v>
      </c>
      <c r="C1150" s="81" t="s">
        <v>169</v>
      </c>
      <c r="D1150" s="38">
        <v>4</v>
      </c>
      <c r="E1150" s="81" t="s">
        <v>169</v>
      </c>
      <c r="F1150">
        <v>617016</v>
      </c>
      <c r="G1150" s="81" t="s">
        <v>133</v>
      </c>
      <c r="H1150" s="81" t="s">
        <v>31</v>
      </c>
      <c r="I1150" s="3">
        <v>6</v>
      </c>
      <c r="J1150" s="3"/>
      <c r="K1150" s="26">
        <v>6</v>
      </c>
      <c r="L1150" s="2">
        <v>2864.1667000000002</v>
      </c>
      <c r="M1150" s="2">
        <v>17185</v>
      </c>
      <c r="N1150" s="2">
        <v>17185</v>
      </c>
      <c r="O1150" s="2">
        <v>2857.5133000000001</v>
      </c>
      <c r="P1150" s="2">
        <v>-6.6534000000000004</v>
      </c>
      <c r="Q1150" s="2">
        <v>-39.920400000000001</v>
      </c>
      <c r="R1150" s="4">
        <v>-2.3283855676908415E-3</v>
      </c>
      <c r="T1150">
        <v>314098</v>
      </c>
      <c r="U1150" s="2"/>
      <c r="V1150">
        <v>6076</v>
      </c>
      <c r="W1150" s="2">
        <v>6579000000</v>
      </c>
      <c r="X1150" s="6">
        <v>17145.079643999998</v>
      </c>
      <c r="Y1150" s="38">
        <v>10010</v>
      </c>
      <c r="Z1150" s="86">
        <f>+((DETALLE_GD_1[[#This Row],[VALOR X UN (GD)]]-DETALLE_GD_1[[#This Row],[VALOR PPTO]])/DETALLE_GD_1[[#This Row],[VALOR PPTO]])</f>
        <v>2.3283881128392811E-3</v>
      </c>
      <c r="AA1150" s="2">
        <f>+DETALLE_GD_1[[#This Row],[VALOR PPTO]]*DETALLE_GD_1[[#This Row],[CANTIDAD RECIBIDA]]</f>
        <v>17145.0798</v>
      </c>
      <c r="AB1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0" s="3">
        <f>+DETALLE_GD_1[[#This Row],[CANTIDAD SOLICITADA]]-DETALLE_GD_1[[#This Row],[DEVOLUCIÓN]]</f>
        <v>6</v>
      </c>
      <c r="AD1150" s="38" t="str">
        <f>+_xlfn.XLOOKUP(DETALLE_GD_1[[#This Row],[CODIGO]],PRODUCTOS[CODIGO],PRODUCTOS[DESC CORTA],"",0)</f>
        <v>RODILLO CHIPORRO</v>
      </c>
    </row>
    <row r="1151" spans="1:30" x14ac:dyDescent="0.25">
      <c r="A1151" s="1">
        <v>46142</v>
      </c>
      <c r="B1151" s="1">
        <v>46140</v>
      </c>
      <c r="C1151" s="81" t="s">
        <v>169</v>
      </c>
      <c r="D1151" s="38">
        <v>4</v>
      </c>
      <c r="E1151" s="81" t="s">
        <v>169</v>
      </c>
      <c r="F1151">
        <v>617057</v>
      </c>
      <c r="G1151" s="81" t="s">
        <v>134</v>
      </c>
      <c r="H1151" s="81" t="s">
        <v>31</v>
      </c>
      <c r="I1151" s="3">
        <v>6</v>
      </c>
      <c r="J1151" s="3"/>
      <c r="K1151" s="26">
        <v>6</v>
      </c>
      <c r="L1151" s="2">
        <v>2042.1667</v>
      </c>
      <c r="M1151" s="2">
        <v>12253</v>
      </c>
      <c r="N1151" s="2">
        <v>12253</v>
      </c>
      <c r="O1151" s="2">
        <v>2042.1197</v>
      </c>
      <c r="P1151" s="2">
        <v>-4.7E-2</v>
      </c>
      <c r="Q1151" s="2">
        <v>-0.28179999999999999</v>
      </c>
      <c r="R1151" s="4">
        <v>-2.2996040109115639E-5</v>
      </c>
      <c r="T1151">
        <v>314098</v>
      </c>
      <c r="U1151" s="2"/>
      <c r="V1151">
        <v>6076</v>
      </c>
      <c r="W1151" s="2">
        <v>6579000000</v>
      </c>
      <c r="X1151" s="6">
        <v>12252.718236000001</v>
      </c>
      <c r="Y1151" s="38">
        <v>10010</v>
      </c>
      <c r="Z1151" s="86">
        <f>+((DETALLE_GD_1[[#This Row],[VALOR X UN (GD)]]-DETALLE_GD_1[[#This Row],[VALOR PPTO]])/DETALLE_GD_1[[#This Row],[VALOR PPTO]])</f>
        <v>2.3015301208849542E-5</v>
      </c>
      <c r="AA1151" s="2">
        <f>+DETALLE_GD_1[[#This Row],[VALOR PPTO]]*DETALLE_GD_1[[#This Row],[CANTIDAD RECIBIDA]]</f>
        <v>12252.718199999999</v>
      </c>
      <c r="AB1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1" s="3">
        <f>+DETALLE_GD_1[[#This Row],[CANTIDAD SOLICITADA]]-DETALLE_GD_1[[#This Row],[DEVOLUCIÓN]]</f>
        <v>6</v>
      </c>
      <c r="AD1151" s="38" t="str">
        <f>+_xlfn.XLOOKUP(DETALLE_GD_1[[#This Row],[CODIGO]],PRODUCTOS[CODIGO],PRODUCTOS[DESC CORTA],"",0)</f>
        <v>BROCHA 5/8 X4</v>
      </c>
    </row>
    <row r="1152" spans="1:30" x14ac:dyDescent="0.25">
      <c r="A1152" s="1">
        <v>46142</v>
      </c>
      <c r="B1152" s="1">
        <v>46140</v>
      </c>
      <c r="C1152" s="81" t="s">
        <v>169</v>
      </c>
      <c r="D1152" s="38">
        <v>4</v>
      </c>
      <c r="E1152" s="81" t="s">
        <v>169</v>
      </c>
      <c r="F1152">
        <v>407423</v>
      </c>
      <c r="G1152" s="81" t="s">
        <v>106</v>
      </c>
      <c r="H1152" s="81" t="s">
        <v>31</v>
      </c>
      <c r="I1152" s="3">
        <v>2000</v>
      </c>
      <c r="J1152" s="3"/>
      <c r="K1152" s="26">
        <v>2000</v>
      </c>
      <c r="L1152" s="2">
        <v>3.4660000000000002</v>
      </c>
      <c r="M1152" s="2">
        <v>6932</v>
      </c>
      <c r="N1152" s="2">
        <v>6932</v>
      </c>
      <c r="O1152" s="2">
        <v>106.6405</v>
      </c>
      <c r="P1152" s="2">
        <v>103.17449999999999</v>
      </c>
      <c r="Q1152" s="2">
        <v>206349.00399999999</v>
      </c>
      <c r="R1152" s="4">
        <v>0.96749827752567163</v>
      </c>
      <c r="T1152">
        <v>314098</v>
      </c>
      <c r="U1152" s="2"/>
      <c r="V1152">
        <v>6076</v>
      </c>
      <c r="W1152" s="2">
        <v>6579000000</v>
      </c>
      <c r="X1152" s="6">
        <v>213281.00396756755</v>
      </c>
      <c r="Y1152" s="38">
        <v>10010</v>
      </c>
      <c r="Z1152" s="86">
        <f>+((DETALLE_GD_1[[#This Row],[VALOR X UN (GD)]]-DETALLE_GD_1[[#This Row],[VALOR PPTO]])/DETALLE_GD_1[[#This Row],[VALOR PPTO]])</f>
        <v>-0.96749827692105728</v>
      </c>
      <c r="AA1152" s="2">
        <f>+DETALLE_GD_1[[#This Row],[VALOR PPTO]]*DETALLE_GD_1[[#This Row],[CANTIDAD RECIBIDA]]</f>
        <v>213281</v>
      </c>
      <c r="AB1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2" s="3">
        <f>+DETALLE_GD_1[[#This Row],[CANTIDAD SOLICITADA]]-DETALLE_GD_1[[#This Row],[DEVOLUCIÓN]]</f>
        <v>2000</v>
      </c>
      <c r="AD1152" s="38" t="str">
        <f>+_xlfn.XLOOKUP(DETALLE_GD_1[[#This Row],[CODIGO]],PRODUCTOS[CODIGO],PRODUCTOS[DESC CORTA],"",0)</f>
        <v>TORNILLO CRS 6X1 5/8</v>
      </c>
    </row>
    <row r="1153" spans="1:30" x14ac:dyDescent="0.25">
      <c r="A1153" s="1">
        <v>46142</v>
      </c>
      <c r="B1153" s="1">
        <v>46140</v>
      </c>
      <c r="C1153" s="81" t="s">
        <v>169</v>
      </c>
      <c r="D1153" s="38">
        <v>4</v>
      </c>
      <c r="E1153" s="81" t="s">
        <v>169</v>
      </c>
      <c r="F1153">
        <v>407185</v>
      </c>
      <c r="G1153" s="81" t="s">
        <v>43</v>
      </c>
      <c r="H1153" s="81" t="s">
        <v>31</v>
      </c>
      <c r="I1153" s="3">
        <v>3000</v>
      </c>
      <c r="J1153" s="3"/>
      <c r="K1153" s="26">
        <v>3000</v>
      </c>
      <c r="L1153" s="2">
        <v>6.2656999999999998</v>
      </c>
      <c r="M1153" s="2">
        <v>18797</v>
      </c>
      <c r="N1153" s="2">
        <v>18797</v>
      </c>
      <c r="O1153" s="2">
        <v>6.8783000000000003</v>
      </c>
      <c r="P1153" s="2">
        <v>0.61270000000000002</v>
      </c>
      <c r="Q1153" s="2">
        <v>1837.96</v>
      </c>
      <c r="R1153" s="4">
        <v>8.9070199312235268E-2</v>
      </c>
      <c r="T1153">
        <v>314098</v>
      </c>
      <c r="U1153" s="2"/>
      <c r="V1153">
        <v>6076</v>
      </c>
      <c r="W1153" s="2">
        <v>6579000000</v>
      </c>
      <c r="X1153" s="6">
        <v>20634.960000000003</v>
      </c>
      <c r="Y1153" s="38">
        <v>10010</v>
      </c>
      <c r="Z1153" s="86">
        <f>+((DETALLE_GD_1[[#This Row],[VALOR X UN (GD)]]-DETALLE_GD_1[[#This Row],[VALOR PPTO]])/DETALLE_GD_1[[#This Row],[VALOR PPTO]])</f>
        <v>-8.9062704447319896E-2</v>
      </c>
      <c r="AA1153" s="2">
        <f>+DETALLE_GD_1[[#This Row],[VALOR PPTO]]*DETALLE_GD_1[[#This Row],[CANTIDAD RECIBIDA]]</f>
        <v>20634.900000000001</v>
      </c>
      <c r="AB1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3" s="3">
        <f>+DETALLE_GD_1[[#This Row],[CANTIDAD SOLICITADA]]-DETALLE_GD_1[[#This Row],[DEVOLUCIÓN]]</f>
        <v>3000</v>
      </c>
      <c r="AD1153" s="38">
        <f>+_xlfn.XLOOKUP(DETALLE_GD_1[[#This Row],[CODIGO]],PRODUCTOS[CODIGO],PRODUCTOS[DESC CORTA],"",0)</f>
        <v>0</v>
      </c>
    </row>
    <row r="1154" spans="1:30" x14ac:dyDescent="0.25">
      <c r="A1154" s="1">
        <v>46142</v>
      </c>
      <c r="B1154" s="1">
        <v>46140</v>
      </c>
      <c r="C1154" s="81" t="s">
        <v>169</v>
      </c>
      <c r="D1154" s="38">
        <v>4</v>
      </c>
      <c r="E1154" s="81" t="s">
        <v>169</v>
      </c>
      <c r="F1154">
        <v>2302119</v>
      </c>
      <c r="G1154" s="81" t="s">
        <v>74</v>
      </c>
      <c r="H1154" s="81" t="s">
        <v>31</v>
      </c>
      <c r="I1154" s="3">
        <v>24</v>
      </c>
      <c r="J1154" s="3"/>
      <c r="K1154" s="26">
        <v>24</v>
      </c>
      <c r="L1154" s="2">
        <v>3679.875</v>
      </c>
      <c r="M1154" s="2">
        <v>88317</v>
      </c>
      <c r="N1154" s="2">
        <v>88317</v>
      </c>
      <c r="O1154" s="2">
        <v>3671</v>
      </c>
      <c r="P1154" s="2">
        <v>-8.875</v>
      </c>
      <c r="Q1154" s="2">
        <v>-213</v>
      </c>
      <c r="R1154" s="4">
        <v>-2.4175973849087443E-3</v>
      </c>
      <c r="T1154">
        <v>314098</v>
      </c>
      <c r="U1154" s="2"/>
      <c r="V1154">
        <v>6076</v>
      </c>
      <c r="W1154" s="2">
        <v>6579000000</v>
      </c>
      <c r="X1154" s="6">
        <v>88104</v>
      </c>
      <c r="Y1154" s="38">
        <v>10010</v>
      </c>
      <c r="Z1154" s="86">
        <f>+((DETALLE_GD_1[[#This Row],[VALOR X UN (GD)]]-DETALLE_GD_1[[#This Row],[VALOR PPTO]])/DETALLE_GD_1[[#This Row],[VALOR PPTO]])</f>
        <v>2.4175973849087443E-3</v>
      </c>
      <c r="AA1154" s="2">
        <f>+DETALLE_GD_1[[#This Row],[VALOR PPTO]]*DETALLE_GD_1[[#This Row],[CANTIDAD RECIBIDA]]</f>
        <v>88104</v>
      </c>
      <c r="AB1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4" s="3">
        <f>+DETALLE_GD_1[[#This Row],[CANTIDAD SOLICITADA]]-DETALLE_GD_1[[#This Row],[DEVOLUCIÓN]]</f>
        <v>24</v>
      </c>
      <c r="AD1154" s="38" t="str">
        <f>+_xlfn.XLOOKUP(DETALLE_GD_1[[#This Row],[CODIGO]],PRODUCTOS[CODIGO],PRODUCTOS[DESC CORTA],"",0)</f>
        <v>SELLO</v>
      </c>
    </row>
    <row r="1155" spans="1:30" x14ac:dyDescent="0.25">
      <c r="A1155" s="1">
        <v>46142</v>
      </c>
      <c r="B1155" s="1">
        <v>46140</v>
      </c>
      <c r="C1155" s="81" t="s">
        <v>169</v>
      </c>
      <c r="D1155" s="38">
        <v>4</v>
      </c>
      <c r="E1155" s="81" t="s">
        <v>169</v>
      </c>
      <c r="F1155">
        <v>1103076</v>
      </c>
      <c r="G1155" s="81" t="s">
        <v>311</v>
      </c>
      <c r="H1155" s="81" t="s">
        <v>31</v>
      </c>
      <c r="I1155" s="3">
        <v>20</v>
      </c>
      <c r="J1155" s="3"/>
      <c r="K1155" s="26">
        <v>20</v>
      </c>
      <c r="L1155" s="2">
        <v>3190.75</v>
      </c>
      <c r="M1155" s="2">
        <v>63815</v>
      </c>
      <c r="N1155" s="2">
        <v>63815</v>
      </c>
      <c r="O1155" s="2">
        <v>3191</v>
      </c>
      <c r="P1155" s="2">
        <v>0.25</v>
      </c>
      <c r="Q1155" s="2">
        <v>5</v>
      </c>
      <c r="R1155" s="4">
        <v>7.8345346286430597E-5</v>
      </c>
      <c r="T1155">
        <v>314098</v>
      </c>
      <c r="U1155" s="2"/>
      <c r="V1155">
        <v>6076</v>
      </c>
      <c r="W1155" s="2">
        <v>6579000000</v>
      </c>
      <c r="X1155" s="6">
        <v>63820</v>
      </c>
      <c r="Y1155" s="38">
        <v>10010</v>
      </c>
      <c r="Z1155" s="86">
        <f>+((DETALLE_GD_1[[#This Row],[VALOR X UN (GD)]]-DETALLE_GD_1[[#This Row],[VALOR PPTO]])/DETALLE_GD_1[[#This Row],[VALOR PPTO]])</f>
        <v>-7.8345346286430584E-5</v>
      </c>
      <c r="AA1155" s="2">
        <f>+DETALLE_GD_1[[#This Row],[VALOR PPTO]]*DETALLE_GD_1[[#This Row],[CANTIDAD RECIBIDA]]</f>
        <v>63820</v>
      </c>
      <c r="AB1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5" s="3">
        <f>+DETALLE_GD_1[[#This Row],[CANTIDAD SOLICITADA]]-DETALLE_GD_1[[#This Row],[DEVOLUCIÓN]]</f>
        <v>20</v>
      </c>
      <c r="AD1155" s="38" t="str">
        <f>+_xlfn.XLOOKUP(DETALLE_GD_1[[#This Row],[CODIGO]],PRODUCTOS[CODIGO],PRODUCTOS[DESC CORTA],"",0)</f>
        <v>PERFIL ESQUINERO INTERIOR</v>
      </c>
    </row>
    <row r="1156" spans="1:30" x14ac:dyDescent="0.25">
      <c r="A1156" s="1">
        <v>46142</v>
      </c>
      <c r="B1156" s="1">
        <v>46140</v>
      </c>
      <c r="C1156" s="81" t="s">
        <v>169</v>
      </c>
      <c r="D1156" s="38">
        <v>4</v>
      </c>
      <c r="E1156" s="81" t="s">
        <v>169</v>
      </c>
      <c r="F1156">
        <v>907031</v>
      </c>
      <c r="G1156" s="81" t="s">
        <v>256</v>
      </c>
      <c r="H1156" s="81" t="s">
        <v>47</v>
      </c>
      <c r="I1156" s="3">
        <v>1</v>
      </c>
      <c r="J1156" s="3"/>
      <c r="K1156" s="26">
        <v>1</v>
      </c>
      <c r="L1156" s="2">
        <v>153005</v>
      </c>
      <c r="M1156" s="2">
        <v>153005</v>
      </c>
      <c r="N1156" s="2">
        <v>153005</v>
      </c>
      <c r="O1156" s="2">
        <v>156269.1667</v>
      </c>
      <c r="P1156" s="2">
        <v>3264.1667000000002</v>
      </c>
      <c r="Q1156" s="2">
        <v>3264.1667000000002</v>
      </c>
      <c r="R1156" s="4">
        <v>2.0888104394616625E-2</v>
      </c>
      <c r="T1156">
        <v>314098</v>
      </c>
      <c r="U1156" s="2"/>
      <c r="V1156">
        <v>6076</v>
      </c>
      <c r="W1156" s="2">
        <v>6579000000</v>
      </c>
      <c r="X1156" s="6">
        <v>156269.16666700004</v>
      </c>
      <c r="Y1156" s="38">
        <v>10010</v>
      </c>
      <c r="Z1156" s="86">
        <f>+((DETALLE_GD_1[[#This Row],[VALOR X UN (GD)]]-DETALLE_GD_1[[#This Row],[VALOR PPTO]])/DETALLE_GD_1[[#This Row],[VALOR PPTO]])</f>
        <v>-2.0888104601379444E-2</v>
      </c>
      <c r="AA1156" s="2">
        <f>+DETALLE_GD_1[[#This Row],[VALOR PPTO]]*DETALLE_GD_1[[#This Row],[CANTIDAD RECIBIDA]]</f>
        <v>156269.1667</v>
      </c>
      <c r="AB11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56" s="3">
        <f>+DETALLE_GD_1[[#This Row],[CANTIDAD SOLICITADA]]-DETALLE_GD_1[[#This Row],[DEVOLUCIÓN]]</f>
        <v>1</v>
      </c>
      <c r="AD1156" s="38" t="str">
        <f>+_xlfn.XLOOKUP(DETALLE_GD_1[[#This Row],[CODIGO]],PRODUCTOS[CODIGO],PRODUCTOS[DESC CORTA],"",0)</f>
        <v>MEMBRANA PVC</v>
      </c>
    </row>
    <row r="1157" spans="1:30" x14ac:dyDescent="0.25">
      <c r="A1157" s="1">
        <v>46142</v>
      </c>
      <c r="B1157" s="1">
        <v>46140</v>
      </c>
      <c r="C1157" s="81" t="s">
        <v>169</v>
      </c>
      <c r="D1157" s="38">
        <v>4</v>
      </c>
      <c r="E1157" s="81" t="s">
        <v>169</v>
      </c>
      <c r="F1157">
        <v>412281</v>
      </c>
      <c r="G1157" s="81" t="s">
        <v>326</v>
      </c>
      <c r="H1157" s="81" t="s">
        <v>31</v>
      </c>
      <c r="I1157" s="3">
        <v>20</v>
      </c>
      <c r="J1157" s="3"/>
      <c r="K1157" s="26">
        <v>20</v>
      </c>
      <c r="L1157" s="2">
        <v>8951.4500000000007</v>
      </c>
      <c r="M1157" s="2">
        <v>179029</v>
      </c>
      <c r="N1157" s="2">
        <v>179029</v>
      </c>
      <c r="O1157" s="2">
        <v>0</v>
      </c>
      <c r="P1157" s="2">
        <v>-8951.4500000000007</v>
      </c>
      <c r="Q1157" s="2">
        <v>-179029</v>
      </c>
      <c r="R1157" s="4"/>
      <c r="T1157">
        <v>314104</v>
      </c>
      <c r="U1157" s="2">
        <v>179029</v>
      </c>
      <c r="V1157">
        <v>6076</v>
      </c>
      <c r="W1157" s="2">
        <v>6579000000</v>
      </c>
      <c r="X1157" s="6">
        <v>0</v>
      </c>
      <c r="Y1157" s="38">
        <v>10010</v>
      </c>
      <c r="Z1157" s="86" t="e">
        <f>+((DETALLE_GD_1[[#This Row],[VALOR X UN (GD)]]-DETALLE_GD_1[[#This Row],[VALOR PPTO]])/DETALLE_GD_1[[#This Row],[VALOR PPTO]])</f>
        <v>#DIV/0!</v>
      </c>
      <c r="AA1157" s="2">
        <f>+DETALLE_GD_1[[#This Row],[VALOR PPTO]]*DETALLE_GD_1[[#This Row],[CANTIDAD RECIBIDA]]</f>
        <v>0</v>
      </c>
      <c r="AB1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7" s="3">
        <f>+DETALLE_GD_1[[#This Row],[CANTIDAD SOLICITADA]]-DETALLE_GD_1[[#This Row],[DEVOLUCIÓN]]</f>
        <v>20</v>
      </c>
      <c r="AD1157" s="38" t="str">
        <f>+_xlfn.XLOOKUP(DETALLE_GD_1[[#This Row],[CODIGO]],PRODUCTOS[CODIGO],PRODUCTOS[DESC CORTA],"",0)</f>
        <v>HOLDOWN TENSIONADOR</v>
      </c>
    </row>
    <row r="1158" spans="1:30" x14ac:dyDescent="0.25">
      <c r="A1158" s="1">
        <v>46142</v>
      </c>
      <c r="B1158" s="1">
        <v>46141</v>
      </c>
      <c r="C1158" s="81" t="s">
        <v>169</v>
      </c>
      <c r="D1158" s="38">
        <v>4</v>
      </c>
      <c r="E1158" s="81" t="s">
        <v>169</v>
      </c>
      <c r="F1158">
        <v>2302119</v>
      </c>
      <c r="G1158" s="81" t="s">
        <v>74</v>
      </c>
      <c r="H1158" s="81" t="s">
        <v>31</v>
      </c>
      <c r="I1158" s="3">
        <v>24</v>
      </c>
      <c r="J1158" s="3"/>
      <c r="K1158" s="26">
        <v>24</v>
      </c>
      <c r="L1158" s="2">
        <v>3679.875</v>
      </c>
      <c r="M1158" s="2">
        <v>88317</v>
      </c>
      <c r="N1158" s="2">
        <v>88317</v>
      </c>
      <c r="O1158" s="2">
        <v>3671</v>
      </c>
      <c r="P1158" s="2">
        <v>-8.875</v>
      </c>
      <c r="Q1158" s="2">
        <v>-213</v>
      </c>
      <c r="R1158" s="4">
        <v>-2.4175973849087443E-3</v>
      </c>
      <c r="T1158">
        <v>314109</v>
      </c>
      <c r="U1158" s="2">
        <v>653127</v>
      </c>
      <c r="V1158">
        <v>6076</v>
      </c>
      <c r="W1158" s="2">
        <v>6579000000</v>
      </c>
      <c r="X1158" s="6">
        <v>88104</v>
      </c>
      <c r="Y1158" s="38">
        <v>10010</v>
      </c>
      <c r="Z1158" s="86">
        <f>+((DETALLE_GD_1[[#This Row],[VALOR X UN (GD)]]-DETALLE_GD_1[[#This Row],[VALOR PPTO]])/DETALLE_GD_1[[#This Row],[VALOR PPTO]])</f>
        <v>2.4175973849087443E-3</v>
      </c>
      <c r="AA1158" s="2">
        <f>+DETALLE_GD_1[[#This Row],[VALOR PPTO]]*DETALLE_GD_1[[#This Row],[CANTIDAD RECIBIDA]]</f>
        <v>88104</v>
      </c>
      <c r="AB1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8" s="3">
        <f>+DETALLE_GD_1[[#This Row],[CANTIDAD SOLICITADA]]-DETALLE_GD_1[[#This Row],[DEVOLUCIÓN]]</f>
        <v>24</v>
      </c>
      <c r="AD1158" s="38" t="str">
        <f>+_xlfn.XLOOKUP(DETALLE_GD_1[[#This Row],[CODIGO]],PRODUCTOS[CODIGO],PRODUCTOS[DESC CORTA],"",0)</f>
        <v>SELLO</v>
      </c>
    </row>
    <row r="1159" spans="1:30" x14ac:dyDescent="0.25">
      <c r="A1159" s="1">
        <v>46142</v>
      </c>
      <c r="B1159" s="1">
        <v>46141</v>
      </c>
      <c r="C1159" s="81" t="s">
        <v>169</v>
      </c>
      <c r="D1159" s="38">
        <v>4</v>
      </c>
      <c r="E1159" s="81" t="s">
        <v>169</v>
      </c>
      <c r="F1159">
        <v>907034</v>
      </c>
      <c r="G1159" s="81" t="s">
        <v>256</v>
      </c>
      <c r="H1159" s="81" t="s">
        <v>47</v>
      </c>
      <c r="I1159" s="3">
        <v>4</v>
      </c>
      <c r="J1159" s="3"/>
      <c r="K1159" s="26">
        <v>4</v>
      </c>
      <c r="L1159" s="2">
        <v>114865.25</v>
      </c>
      <c r="M1159" s="2">
        <v>459461</v>
      </c>
      <c r="N1159" s="2">
        <v>459461</v>
      </c>
      <c r="O1159" s="2">
        <v>156269.1667</v>
      </c>
      <c r="P1159" s="2">
        <v>41403.916700000002</v>
      </c>
      <c r="Q1159" s="2">
        <v>165615.6667</v>
      </c>
      <c r="R1159" s="4">
        <v>0.26495256582016091</v>
      </c>
      <c r="T1159">
        <v>314109</v>
      </c>
      <c r="U1159" s="2"/>
      <c r="V1159">
        <v>6076</v>
      </c>
      <c r="W1159" s="2">
        <v>6579000000</v>
      </c>
      <c r="X1159" s="6">
        <v>625076.66666800005</v>
      </c>
      <c r="Y1159" s="38">
        <v>10010</v>
      </c>
      <c r="Z1159" s="86">
        <f>+((DETALLE_GD_1[[#This Row],[VALOR X UN (GD)]]-DETALLE_GD_1[[#This Row],[VALOR PPTO]])/DETALLE_GD_1[[#This Row],[VALOR PPTO]])</f>
        <v>-0.2649525659753838</v>
      </c>
      <c r="AA1159" s="2">
        <f>+DETALLE_GD_1[[#This Row],[VALOR PPTO]]*DETALLE_GD_1[[#This Row],[CANTIDAD RECIBIDA]]</f>
        <v>625076.66680000001</v>
      </c>
      <c r="AB1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9" s="3">
        <f>+DETALLE_GD_1[[#This Row],[CANTIDAD SOLICITADA]]-DETALLE_GD_1[[#This Row],[DEVOLUCIÓN]]</f>
        <v>4</v>
      </c>
      <c r="AD1159" s="38" t="str">
        <f>+_xlfn.XLOOKUP(DETALLE_GD_1[[#This Row],[CODIGO]],PRODUCTOS[CODIGO],PRODUCTOS[DESC CORTA],"",0)</f>
        <v/>
      </c>
    </row>
    <row r="1160" spans="1:30" x14ac:dyDescent="0.25">
      <c r="A1160" s="1">
        <v>46142</v>
      </c>
      <c r="B1160" s="1">
        <v>46141</v>
      </c>
      <c r="C1160" s="81" t="s">
        <v>169</v>
      </c>
      <c r="D1160" s="38">
        <v>4</v>
      </c>
      <c r="E1160" s="81" t="s">
        <v>169</v>
      </c>
      <c r="F1160">
        <v>1808156</v>
      </c>
      <c r="G1160" s="81" t="s">
        <v>277</v>
      </c>
      <c r="H1160" s="81" t="s">
        <v>31</v>
      </c>
      <c r="I1160" s="3">
        <v>3</v>
      </c>
      <c r="J1160" s="3"/>
      <c r="K1160" s="26">
        <v>3</v>
      </c>
      <c r="L1160" s="2">
        <v>1931.6667</v>
      </c>
      <c r="M1160" s="2">
        <v>5795</v>
      </c>
      <c r="N1160" s="2">
        <v>5795</v>
      </c>
      <c r="O1160" s="2">
        <v>1916</v>
      </c>
      <c r="P1160" s="2">
        <v>-15.666700000000001</v>
      </c>
      <c r="Q1160" s="2">
        <v>-47</v>
      </c>
      <c r="R1160" s="4">
        <v>-8.1767571329158361E-3</v>
      </c>
      <c r="T1160">
        <v>314109</v>
      </c>
      <c r="U1160" s="2"/>
      <c r="V1160">
        <v>6076</v>
      </c>
      <c r="W1160" s="2">
        <v>6579000000</v>
      </c>
      <c r="X1160" s="6">
        <v>5748</v>
      </c>
      <c r="Y1160" s="38">
        <v>10010</v>
      </c>
      <c r="Z1160" s="86">
        <f>+((DETALLE_GD_1[[#This Row],[VALOR X UN (GD)]]-DETALLE_GD_1[[#This Row],[VALOR PPTO]])/DETALLE_GD_1[[#This Row],[VALOR PPTO]])</f>
        <v>8.176774530271394E-3</v>
      </c>
      <c r="AA1160" s="2">
        <f>+DETALLE_GD_1[[#This Row],[VALOR PPTO]]*DETALLE_GD_1[[#This Row],[CANTIDAD RECIBIDA]]</f>
        <v>5748</v>
      </c>
      <c r="AB1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0" s="3">
        <f>+DETALLE_GD_1[[#This Row],[CANTIDAD SOLICITADA]]-DETALLE_GD_1[[#This Row],[DEVOLUCIÓN]]</f>
        <v>3</v>
      </c>
      <c r="AD1160" s="38" t="str">
        <f>+_xlfn.XLOOKUP(DETALLE_GD_1[[#This Row],[CODIGO]],PRODUCTOS[CODIGO],PRODUCTOS[DESC CORTA],"",0)</f>
        <v>PERCHA SIMPLE YORK</v>
      </c>
    </row>
    <row r="1161" spans="1:30" x14ac:dyDescent="0.25">
      <c r="A1161" s="1">
        <v>46142</v>
      </c>
      <c r="B1161" s="1">
        <v>46141</v>
      </c>
      <c r="C1161" s="81" t="s">
        <v>169</v>
      </c>
      <c r="D1161" s="38">
        <v>4</v>
      </c>
      <c r="E1161" s="81" t="s">
        <v>169</v>
      </c>
      <c r="F1161">
        <v>1808006</v>
      </c>
      <c r="G1161" s="81" t="s">
        <v>194</v>
      </c>
      <c r="H1161" s="81" t="s">
        <v>31</v>
      </c>
      <c r="I1161" s="3">
        <v>3</v>
      </c>
      <c r="J1161" s="3"/>
      <c r="K1161" s="26">
        <v>3</v>
      </c>
      <c r="L1161" s="2">
        <v>2906.6667000000002</v>
      </c>
      <c r="M1161" s="2">
        <v>8720</v>
      </c>
      <c r="N1161" s="2">
        <v>8720</v>
      </c>
      <c r="O1161" s="2">
        <v>2906.6711</v>
      </c>
      <c r="P1161" s="2">
        <v>4.4000000000000003E-3</v>
      </c>
      <c r="Q1161" s="2">
        <v>1.3299999999999999E-2</v>
      </c>
      <c r="R1161" s="4">
        <v>1.523850888947989E-6</v>
      </c>
      <c r="T1161">
        <v>314109</v>
      </c>
      <c r="U1161" s="2"/>
      <c r="V1161">
        <v>6076</v>
      </c>
      <c r="W1161" s="2">
        <v>6579000000</v>
      </c>
      <c r="X1161" s="6">
        <v>8720.0132880000001</v>
      </c>
      <c r="Y1161" s="38">
        <v>10010</v>
      </c>
      <c r="Z1161" s="86">
        <f>+((DETALLE_GD_1[[#This Row],[VALOR X UN (GD)]]-DETALLE_GD_1[[#This Row],[VALOR PPTO]])/DETALLE_GD_1[[#This Row],[VALOR PPTO]])</f>
        <v>-1.5137591589929127E-6</v>
      </c>
      <c r="AA1161" s="2">
        <f>+DETALLE_GD_1[[#This Row],[VALOR PPTO]]*DETALLE_GD_1[[#This Row],[CANTIDAD RECIBIDA]]</f>
        <v>8720.0133000000005</v>
      </c>
      <c r="AB1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1" s="3">
        <f>+DETALLE_GD_1[[#This Row],[CANTIDAD SOLICITADA]]-DETALLE_GD_1[[#This Row],[DEVOLUCIÓN]]</f>
        <v>3</v>
      </c>
      <c r="AD1161" s="38">
        <f>+_xlfn.XLOOKUP(DETALLE_GD_1[[#This Row],[CODIGO]],PRODUCTOS[CODIGO],PRODUCTOS[DESC CORTA],"",0)</f>
        <v>0</v>
      </c>
    </row>
    <row r="1162" spans="1:30" x14ac:dyDescent="0.25">
      <c r="A1162" s="1">
        <v>46142</v>
      </c>
      <c r="B1162" s="1">
        <v>46141</v>
      </c>
      <c r="C1162" s="81" t="s">
        <v>169</v>
      </c>
      <c r="D1162" s="38">
        <v>4</v>
      </c>
      <c r="E1162" s="81" t="s">
        <v>169</v>
      </c>
      <c r="F1162">
        <v>1808003</v>
      </c>
      <c r="G1162" s="81" t="s">
        <v>195</v>
      </c>
      <c r="H1162" s="81" t="s">
        <v>31</v>
      </c>
      <c r="I1162" s="3">
        <v>6</v>
      </c>
      <c r="J1162" s="3"/>
      <c r="K1162" s="26">
        <v>6</v>
      </c>
      <c r="L1162" s="2">
        <v>167.66669999999999</v>
      </c>
      <c r="M1162" s="2">
        <v>1006</v>
      </c>
      <c r="N1162" s="2">
        <v>1006</v>
      </c>
      <c r="O1162" s="2">
        <v>167.7449</v>
      </c>
      <c r="P1162" s="2">
        <v>7.8200000000000006E-2</v>
      </c>
      <c r="Q1162" s="2">
        <v>0.46910000000000002</v>
      </c>
      <c r="R1162" s="4">
        <v>4.6613251974236255E-4</v>
      </c>
      <c r="T1162">
        <v>314109</v>
      </c>
      <c r="U1162" s="2"/>
      <c r="V1162">
        <v>6076</v>
      </c>
      <c r="W1162" s="2">
        <v>6579000000</v>
      </c>
      <c r="X1162" s="6">
        <v>1006.469148</v>
      </c>
      <c r="Y1162" s="38">
        <v>10010</v>
      </c>
      <c r="Z1162" s="86">
        <f>+((DETALLE_GD_1[[#This Row],[VALOR X UN (GD)]]-DETALLE_GD_1[[#This Row],[VALOR PPTO]])/DETALLE_GD_1[[#This Row],[VALOR PPTO]])</f>
        <v>-4.6618406878545695E-4</v>
      </c>
      <c r="AA1162" s="2">
        <f>+DETALLE_GD_1[[#This Row],[VALOR PPTO]]*DETALLE_GD_1[[#This Row],[CANTIDAD RECIBIDA]]</f>
        <v>1006.4694</v>
      </c>
      <c r="AB1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2" s="3">
        <f>+DETALLE_GD_1[[#This Row],[CANTIDAD SOLICITADA]]-DETALLE_GD_1[[#This Row],[DEVOLUCIÓN]]</f>
        <v>6</v>
      </c>
      <c r="AD1162" s="38">
        <f>+_xlfn.XLOOKUP(DETALLE_GD_1[[#This Row],[CODIGO]],PRODUCTOS[CODIGO],PRODUCTOS[DESC CORTA],"",0)</f>
        <v>0</v>
      </c>
    </row>
    <row r="1163" spans="1:30" x14ac:dyDescent="0.25">
      <c r="A1163" s="1">
        <v>46142</v>
      </c>
      <c r="B1163" s="1">
        <v>46141</v>
      </c>
      <c r="C1163" s="81" t="s">
        <v>169</v>
      </c>
      <c r="D1163" s="38">
        <v>4</v>
      </c>
      <c r="E1163" s="81" t="s">
        <v>169</v>
      </c>
      <c r="F1163">
        <v>1802517</v>
      </c>
      <c r="G1163" s="81" t="s">
        <v>141</v>
      </c>
      <c r="H1163" s="81" t="s">
        <v>31</v>
      </c>
      <c r="I1163" s="3">
        <v>3</v>
      </c>
      <c r="J1163" s="3"/>
      <c r="K1163" s="26">
        <v>3</v>
      </c>
      <c r="L1163" s="2">
        <v>2312.6667000000002</v>
      </c>
      <c r="M1163" s="2">
        <v>6938</v>
      </c>
      <c r="N1163" s="2">
        <v>6938</v>
      </c>
      <c r="O1163" s="2">
        <v>2312</v>
      </c>
      <c r="P1163" s="2">
        <v>-0.66669999999999996</v>
      </c>
      <c r="Q1163" s="2">
        <v>-2</v>
      </c>
      <c r="R1163" s="4">
        <v>-2.8835063437133003E-4</v>
      </c>
      <c r="T1163">
        <v>314109</v>
      </c>
      <c r="U1163" s="2"/>
      <c r="V1163">
        <v>6076</v>
      </c>
      <c r="W1163" s="2">
        <v>6579000000</v>
      </c>
      <c r="X1163" s="6">
        <v>6936</v>
      </c>
      <c r="Y1163" s="38">
        <v>10010</v>
      </c>
      <c r="Z1163" s="86">
        <f>+((DETALLE_GD_1[[#This Row],[VALOR X UN (GD)]]-DETALLE_GD_1[[#This Row],[VALOR PPTO]])/DETALLE_GD_1[[#This Row],[VALOR PPTO]])</f>
        <v>2.883650519032089E-4</v>
      </c>
      <c r="AA1163" s="2">
        <f>+DETALLE_GD_1[[#This Row],[VALOR PPTO]]*DETALLE_GD_1[[#This Row],[CANTIDAD RECIBIDA]]</f>
        <v>6936</v>
      </c>
      <c r="AB1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3" s="3">
        <f>+DETALLE_GD_1[[#This Row],[CANTIDAD SOLICITADA]]-DETALLE_GD_1[[#This Row],[DEVOLUCIÓN]]</f>
        <v>3</v>
      </c>
      <c r="AD1163" s="38" t="str">
        <f>+_xlfn.XLOOKUP(DETALLE_GD_1[[#This Row],[CODIGO]],PRODUCTOS[CODIGO],PRODUCTOS[DESC CORTA],"",0)</f>
        <v>CELOSIA ALUMINIO 25X25</v>
      </c>
    </row>
    <row r="1164" spans="1:30" x14ac:dyDescent="0.25">
      <c r="A1164" s="1">
        <v>46142</v>
      </c>
      <c r="B1164" s="1">
        <v>46141</v>
      </c>
      <c r="C1164" s="81" t="s">
        <v>169</v>
      </c>
      <c r="D1164" s="38">
        <v>4</v>
      </c>
      <c r="E1164" s="81" t="s">
        <v>169</v>
      </c>
      <c r="F1164">
        <v>1802172</v>
      </c>
      <c r="G1164" s="81" t="s">
        <v>266</v>
      </c>
      <c r="H1164" s="81" t="s">
        <v>31</v>
      </c>
      <c r="I1164" s="3">
        <v>3</v>
      </c>
      <c r="J1164" s="3"/>
      <c r="K1164" s="26">
        <v>3</v>
      </c>
      <c r="L1164" s="2">
        <v>3032.3332999999998</v>
      </c>
      <c r="M1164" s="2">
        <v>9097</v>
      </c>
      <c r="N1164" s="2">
        <v>9097</v>
      </c>
      <c r="O1164" s="2">
        <v>3035</v>
      </c>
      <c r="P1164" s="2">
        <v>2.6667000000000001</v>
      </c>
      <c r="Q1164" s="2">
        <v>8</v>
      </c>
      <c r="R1164" s="4">
        <v>8.7863811092801151E-4</v>
      </c>
      <c r="T1164">
        <v>314109</v>
      </c>
      <c r="U1164" s="2"/>
      <c r="V1164">
        <v>6076</v>
      </c>
      <c r="W1164" s="2">
        <v>6579000000</v>
      </c>
      <c r="X1164" s="6">
        <v>9105</v>
      </c>
      <c r="Y1164" s="38">
        <v>10010</v>
      </c>
      <c r="Z1164" s="86">
        <f>+((DETALLE_GD_1[[#This Row],[VALOR X UN (GD)]]-DETALLE_GD_1[[#This Row],[VALOR PPTO]])/DETALLE_GD_1[[#This Row],[VALOR PPTO]])</f>
        <v>-8.7864909390452024E-4</v>
      </c>
      <c r="AA1164" s="2">
        <f>+DETALLE_GD_1[[#This Row],[VALOR PPTO]]*DETALLE_GD_1[[#This Row],[CANTIDAD RECIBIDA]]</f>
        <v>9105</v>
      </c>
      <c r="AB1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4" s="3">
        <f>+DETALLE_GD_1[[#This Row],[CANTIDAD SOLICITADA]]-DETALLE_GD_1[[#This Row],[DEVOLUCIÓN]]</f>
        <v>3</v>
      </c>
      <c r="AD1164" s="38" t="str">
        <f>+_xlfn.XLOOKUP(DETALLE_GD_1[[#This Row],[CODIGO]],PRODUCTOS[CODIGO],PRODUCTOS[DESC CORTA],"",0)</f>
        <v>ARGOLLA TOALLA BENTON</v>
      </c>
    </row>
    <row r="1165" spans="1:30" x14ac:dyDescent="0.25">
      <c r="A1165" s="1">
        <v>46142</v>
      </c>
      <c r="B1165" s="1">
        <v>46141</v>
      </c>
      <c r="C1165" s="81" t="s">
        <v>169</v>
      </c>
      <c r="D1165" s="38">
        <v>4</v>
      </c>
      <c r="E1165" s="81" t="s">
        <v>169</v>
      </c>
      <c r="F1165">
        <v>1802171</v>
      </c>
      <c r="G1165" s="81" t="s">
        <v>265</v>
      </c>
      <c r="H1165" s="81" t="s">
        <v>31</v>
      </c>
      <c r="I1165" s="3">
        <v>3</v>
      </c>
      <c r="J1165" s="3"/>
      <c r="K1165" s="26">
        <v>3</v>
      </c>
      <c r="L1165" s="2">
        <v>3228.6667000000002</v>
      </c>
      <c r="M1165" s="2">
        <v>9686</v>
      </c>
      <c r="N1165" s="2">
        <v>9686</v>
      </c>
      <c r="O1165" s="2">
        <v>3632</v>
      </c>
      <c r="P1165" s="2">
        <v>403.33330000000001</v>
      </c>
      <c r="Q1165" s="2">
        <v>1210</v>
      </c>
      <c r="R1165" s="4">
        <v>0.11104992657856098</v>
      </c>
      <c r="T1165">
        <v>314109</v>
      </c>
      <c r="U1165" s="2"/>
      <c r="V1165">
        <v>6076</v>
      </c>
      <c r="W1165" s="2">
        <v>6579000000</v>
      </c>
      <c r="X1165" s="6">
        <v>10896</v>
      </c>
      <c r="Y1165" s="38">
        <v>10010</v>
      </c>
      <c r="Z1165" s="86">
        <f>+((DETALLE_GD_1[[#This Row],[VALOR X UN (GD)]]-DETALLE_GD_1[[#This Row],[VALOR PPTO]])/DETALLE_GD_1[[#This Row],[VALOR PPTO]])</f>
        <v>-0.11104991740088099</v>
      </c>
      <c r="AA1165" s="2">
        <f>+DETALLE_GD_1[[#This Row],[VALOR PPTO]]*DETALLE_GD_1[[#This Row],[CANTIDAD RECIBIDA]]</f>
        <v>10896</v>
      </c>
      <c r="AB11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5" s="3">
        <f>+DETALLE_GD_1[[#This Row],[CANTIDAD SOLICITADA]]-DETALLE_GD_1[[#This Row],[DEVOLUCIÓN]]</f>
        <v>3</v>
      </c>
      <c r="AD1165" s="38" t="str">
        <f>+_xlfn.XLOOKUP(DETALLE_GD_1[[#This Row],[CODIGO]],PRODUCTOS[CODIGO],PRODUCTOS[DESC CORTA],"",0)</f>
        <v>PORTA ROLLO BENTON</v>
      </c>
    </row>
    <row r="1166" spans="1:30" x14ac:dyDescent="0.25">
      <c r="A1166" s="1">
        <v>46142</v>
      </c>
      <c r="B1166" s="1">
        <v>46141</v>
      </c>
      <c r="C1166" s="81" t="s">
        <v>169</v>
      </c>
      <c r="D1166" s="38">
        <v>4</v>
      </c>
      <c r="E1166" s="81" t="s">
        <v>169</v>
      </c>
      <c r="F1166">
        <v>1206002</v>
      </c>
      <c r="G1166" s="81" t="s">
        <v>192</v>
      </c>
      <c r="H1166" s="81" t="s">
        <v>31</v>
      </c>
      <c r="I1166" s="3">
        <v>3</v>
      </c>
      <c r="J1166" s="3"/>
      <c r="K1166" s="26">
        <v>3</v>
      </c>
      <c r="L1166" s="2">
        <v>20331.666700000002</v>
      </c>
      <c r="M1166" s="2">
        <v>60995</v>
      </c>
      <c r="N1166" s="2">
        <v>60995</v>
      </c>
      <c r="O1166" s="2">
        <v>15783.483899999999</v>
      </c>
      <c r="P1166" s="2">
        <v>-4548.1827999999996</v>
      </c>
      <c r="Q1166" s="2">
        <v>-13644.5484</v>
      </c>
      <c r="R1166" s="4">
        <v>-0.28816089228711639</v>
      </c>
      <c r="T1166">
        <v>314109</v>
      </c>
      <c r="U1166" s="2"/>
      <c r="V1166">
        <v>6076</v>
      </c>
      <c r="W1166" s="2">
        <v>6579000000</v>
      </c>
      <c r="X1166" s="6">
        <v>47350.451612999997</v>
      </c>
      <c r="Y1166" s="38">
        <v>10010</v>
      </c>
      <c r="Z1166" s="86">
        <f>+((DETALLE_GD_1[[#This Row],[VALOR X UN (GD)]]-DETALLE_GD_1[[#This Row],[VALOR PPTO]])/DETALLE_GD_1[[#This Row],[VALOR PPTO]])</f>
        <v>0.28816089203220857</v>
      </c>
      <c r="AA1166" s="2">
        <f>+DETALLE_GD_1[[#This Row],[VALOR PPTO]]*DETALLE_GD_1[[#This Row],[CANTIDAD RECIBIDA]]</f>
        <v>47350.451699999998</v>
      </c>
      <c r="AB1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6" s="3">
        <f>+DETALLE_GD_1[[#This Row],[CANTIDAD SOLICITADA]]-DETALLE_GD_1[[#This Row],[DEVOLUCIÓN]]</f>
        <v>3</v>
      </c>
      <c r="AD1166" s="38">
        <f>+_xlfn.XLOOKUP(DETALLE_GD_1[[#This Row],[CODIGO]],PRODUCTOS[CODIGO],PRODUCTOS[DESC CORTA],"",0)</f>
        <v>0</v>
      </c>
    </row>
    <row r="1167" spans="1:30" x14ac:dyDescent="0.25">
      <c r="A1167" s="1">
        <v>46142</v>
      </c>
      <c r="B1167" s="1">
        <v>46141</v>
      </c>
      <c r="C1167" s="81" t="s">
        <v>169</v>
      </c>
      <c r="D1167" s="38">
        <v>4</v>
      </c>
      <c r="E1167" s="81" t="s">
        <v>169</v>
      </c>
      <c r="F1167">
        <v>412132</v>
      </c>
      <c r="G1167" s="81" t="s">
        <v>741</v>
      </c>
      <c r="H1167" s="81" t="s">
        <v>31</v>
      </c>
      <c r="I1167" s="3">
        <v>3</v>
      </c>
      <c r="J1167" s="3"/>
      <c r="K1167" s="26">
        <v>3</v>
      </c>
      <c r="L1167" s="2">
        <v>1037.3333</v>
      </c>
      <c r="M1167" s="2">
        <v>3112</v>
      </c>
      <c r="N1167" s="2">
        <v>3112</v>
      </c>
      <c r="O1167" s="2"/>
      <c r="P1167" s="2"/>
      <c r="Q1167" s="2">
        <v>-3112</v>
      </c>
      <c r="R1167" s="4"/>
      <c r="T1167">
        <v>314109</v>
      </c>
      <c r="U1167" s="2"/>
      <c r="V1167">
        <v>6076</v>
      </c>
      <c r="W1167" s="2">
        <v>6579000000</v>
      </c>
      <c r="X1167" s="6" t="s">
        <v>355</v>
      </c>
      <c r="Y1167" s="38">
        <v>10010</v>
      </c>
      <c r="Z1167" s="86" t="e">
        <f>+((DETALLE_GD_1[[#This Row],[VALOR X UN (GD)]]-DETALLE_GD_1[[#This Row],[VALOR PPTO]])/DETALLE_GD_1[[#This Row],[VALOR PPTO]])</f>
        <v>#DIV/0!</v>
      </c>
      <c r="AA1167" s="2">
        <f>+DETALLE_GD_1[[#This Row],[VALOR PPTO]]*DETALLE_GD_1[[#This Row],[CANTIDAD RECIBIDA]]</f>
        <v>0</v>
      </c>
      <c r="AB1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7" s="3">
        <f>+DETALLE_GD_1[[#This Row],[CANTIDAD SOLICITADA]]-DETALLE_GD_1[[#This Row],[DEVOLUCIÓN]]</f>
        <v>3</v>
      </c>
      <c r="AD1167" s="38" t="str">
        <f>+_xlfn.XLOOKUP(DETALLE_GD_1[[#This Row],[CODIGO]],PRODUCTOS[CODIGO],PRODUCTOS[DESC CORTA],"",0)</f>
        <v/>
      </c>
    </row>
    <row r="1168" spans="1:30" x14ac:dyDescent="0.25">
      <c r="A1168" s="1">
        <v>46142</v>
      </c>
      <c r="B1168" s="1">
        <v>46141</v>
      </c>
      <c r="C1168" s="81" t="s">
        <v>169</v>
      </c>
      <c r="D1168" s="38">
        <v>4</v>
      </c>
      <c r="E1168" s="81" t="s">
        <v>169</v>
      </c>
      <c r="F1168">
        <v>412280</v>
      </c>
      <c r="G1168" s="81" t="s">
        <v>40</v>
      </c>
      <c r="H1168" s="81" t="s">
        <v>31</v>
      </c>
      <c r="I1168" s="3">
        <v>100</v>
      </c>
      <c r="J1168" s="3"/>
      <c r="K1168" s="26">
        <v>100</v>
      </c>
      <c r="L1168" s="2">
        <v>39389.86</v>
      </c>
      <c r="M1168" s="2">
        <v>3938986</v>
      </c>
      <c r="N1168" s="2">
        <v>3938986</v>
      </c>
      <c r="O1168" s="2">
        <v>40002.920100000003</v>
      </c>
      <c r="P1168" s="2">
        <v>613.06010000000003</v>
      </c>
      <c r="Q1168" s="2">
        <v>61306.009299999998</v>
      </c>
      <c r="R1168" s="4">
        <v>1.532538353637033E-2</v>
      </c>
      <c r="T1168">
        <v>314112</v>
      </c>
      <c r="U1168" s="2">
        <v>7087292</v>
      </c>
      <c r="V1168">
        <v>6076</v>
      </c>
      <c r="W1168" s="2">
        <v>6579000000</v>
      </c>
      <c r="X1168" s="6">
        <v>4000292.0093</v>
      </c>
      <c r="Y1168" s="38">
        <v>10010</v>
      </c>
      <c r="Z1168" s="86">
        <f>+((DETALLE_GD_1[[#This Row],[VALOR X UN (GD)]]-DETALLE_GD_1[[#This Row],[VALOR PPTO]])/DETALLE_GD_1[[#This Row],[VALOR PPTO]])</f>
        <v>-1.5325383708675866E-2</v>
      </c>
      <c r="AA1168" s="2">
        <f>+DETALLE_GD_1[[#This Row],[VALOR PPTO]]*DETALLE_GD_1[[#This Row],[CANTIDAD RECIBIDA]]</f>
        <v>4000292.0100000002</v>
      </c>
      <c r="AB11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68" s="3">
        <f>+DETALLE_GD_1[[#This Row],[CANTIDAD SOLICITADA]]-DETALLE_GD_1[[#This Row],[DEVOLUCIÓN]]</f>
        <v>100</v>
      </c>
      <c r="AD1168" s="38" t="str">
        <f>+_xlfn.XLOOKUP(DETALLE_GD_1[[#This Row],[CODIGO]],PRODUCTOS[CODIGO],PRODUCTOS[DESC CORTA],"",0)</f>
        <v>PB2</v>
      </c>
    </row>
    <row r="1169" spans="1:30" x14ac:dyDescent="0.25">
      <c r="A1169" s="1">
        <v>46142</v>
      </c>
      <c r="B1169" s="1">
        <v>46141</v>
      </c>
      <c r="C1169" s="81" t="s">
        <v>169</v>
      </c>
      <c r="D1169" s="38">
        <v>4</v>
      </c>
      <c r="E1169" s="81" t="s">
        <v>169</v>
      </c>
      <c r="F1169">
        <v>412281</v>
      </c>
      <c r="G1169" s="81" t="s">
        <v>326</v>
      </c>
      <c r="H1169" s="81" t="s">
        <v>31</v>
      </c>
      <c r="I1169" s="3">
        <v>28</v>
      </c>
      <c r="J1169" s="3"/>
      <c r="K1169" s="26">
        <v>28</v>
      </c>
      <c r="L1169" s="2">
        <v>8951.4285999999993</v>
      </c>
      <c r="M1169" s="2">
        <v>250640</v>
      </c>
      <c r="N1169" s="2">
        <v>250640</v>
      </c>
      <c r="O1169" s="2">
        <v>0</v>
      </c>
      <c r="P1169" s="2">
        <v>-8951.4285999999993</v>
      </c>
      <c r="Q1169" s="2">
        <v>-250640</v>
      </c>
      <c r="R1169" s="4"/>
      <c r="T1169">
        <v>314112</v>
      </c>
      <c r="U1169" s="2"/>
      <c r="V1169">
        <v>6076</v>
      </c>
      <c r="W1169" s="2">
        <v>6579000000</v>
      </c>
      <c r="X1169" s="6">
        <v>0</v>
      </c>
      <c r="Y1169" s="38">
        <v>10010</v>
      </c>
      <c r="Z1169" s="86" t="e">
        <f>+((DETALLE_GD_1[[#This Row],[VALOR X UN (GD)]]-DETALLE_GD_1[[#This Row],[VALOR PPTO]])/DETALLE_GD_1[[#This Row],[VALOR PPTO]])</f>
        <v>#DIV/0!</v>
      </c>
      <c r="AA1169" s="2">
        <f>+DETALLE_GD_1[[#This Row],[VALOR PPTO]]*DETALLE_GD_1[[#This Row],[CANTIDAD RECIBIDA]]</f>
        <v>0</v>
      </c>
      <c r="AB1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9" s="3">
        <f>+DETALLE_GD_1[[#This Row],[CANTIDAD SOLICITADA]]-DETALLE_GD_1[[#This Row],[DEVOLUCIÓN]]</f>
        <v>28</v>
      </c>
      <c r="AD1169" s="38" t="str">
        <f>+_xlfn.XLOOKUP(DETALLE_GD_1[[#This Row],[CODIGO]],PRODUCTOS[CODIGO],PRODUCTOS[DESC CORTA],"",0)</f>
        <v>HOLDOWN TENSIONADOR</v>
      </c>
    </row>
    <row r="1170" spans="1:30" x14ac:dyDescent="0.25">
      <c r="A1170" s="1">
        <v>46142</v>
      </c>
      <c r="B1170" s="1">
        <v>46141</v>
      </c>
      <c r="C1170" s="81" t="s">
        <v>169</v>
      </c>
      <c r="D1170" s="38">
        <v>4</v>
      </c>
      <c r="E1170" s="81" t="s">
        <v>169</v>
      </c>
      <c r="F1170">
        <v>304101</v>
      </c>
      <c r="G1170" s="81" t="s">
        <v>17</v>
      </c>
      <c r="H1170" s="81" t="s">
        <v>18</v>
      </c>
      <c r="I1170" s="3">
        <v>252</v>
      </c>
      <c r="J1170" s="3"/>
      <c r="K1170" s="26">
        <v>252</v>
      </c>
      <c r="L1170" s="2">
        <v>9620.9959999999992</v>
      </c>
      <c r="M1170" s="2">
        <v>2424491</v>
      </c>
      <c r="N1170" s="2">
        <v>2424491</v>
      </c>
      <c r="O1170" s="2">
        <v>9657.5879999999997</v>
      </c>
      <c r="P1170" s="2">
        <v>36.591900000000003</v>
      </c>
      <c r="Q1170" s="2">
        <v>9221.1633999999995</v>
      </c>
      <c r="R1170" s="4">
        <v>3.7889293313629951E-3</v>
      </c>
      <c r="T1170">
        <v>314112</v>
      </c>
      <c r="U1170" s="2"/>
      <c r="V1170">
        <v>6076</v>
      </c>
      <c r="W1170" s="2">
        <v>6579000000</v>
      </c>
      <c r="X1170" s="6">
        <v>2433712.1634000018</v>
      </c>
      <c r="Y1170" s="38">
        <v>10010</v>
      </c>
      <c r="Z1170" s="86">
        <f>+((DETALLE_GD_1[[#This Row],[VALOR X UN (GD)]]-DETALLE_GD_1[[#This Row],[VALOR PPTO]])/DETALLE_GD_1[[#This Row],[VALOR PPTO]])</f>
        <v>-3.7889377761818536E-3</v>
      </c>
      <c r="AA1170" s="2">
        <f>+DETALLE_GD_1[[#This Row],[VALOR PPTO]]*DETALLE_GD_1[[#This Row],[CANTIDAD RECIBIDA]]</f>
        <v>2433712.176</v>
      </c>
      <c r="AB1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70" s="3">
        <f>+DETALLE_GD_1[[#This Row],[CANTIDAD SOLICITADA]]-DETALLE_GD_1[[#This Row],[DEVOLUCIÓN]]</f>
        <v>252</v>
      </c>
      <c r="AD1170" s="38" t="str">
        <f>+_xlfn.XLOOKUP(DETALLE_GD_1[[#This Row],[CODIGO]],PRODUCTOS[CODIGO],PRODUCTOS[DESC CORTA],"",0)</f>
        <v>OSB 9.5</v>
      </c>
    </row>
    <row r="1171" spans="1:30" x14ac:dyDescent="0.25">
      <c r="A1171" s="1">
        <v>46142</v>
      </c>
      <c r="B1171" s="1">
        <v>46141</v>
      </c>
      <c r="C1171" s="81" t="s">
        <v>169</v>
      </c>
      <c r="D1171" s="38">
        <v>4</v>
      </c>
      <c r="E1171" s="81" t="s">
        <v>169</v>
      </c>
      <c r="F1171">
        <v>407011</v>
      </c>
      <c r="G1171" s="81" t="s">
        <v>30</v>
      </c>
      <c r="H1171" s="81" t="s">
        <v>31</v>
      </c>
      <c r="I1171" s="3">
        <v>1000</v>
      </c>
      <c r="J1171" s="3"/>
      <c r="K1171" s="26">
        <v>1000</v>
      </c>
      <c r="L1171" s="2">
        <v>473.17500000000001</v>
      </c>
      <c r="M1171" s="2">
        <v>473175</v>
      </c>
      <c r="N1171" s="2">
        <v>473175</v>
      </c>
      <c r="O1171" s="2">
        <v>473.17520000000002</v>
      </c>
      <c r="P1171" s="2">
        <v>2.0000000000000001E-4</v>
      </c>
      <c r="Q1171" s="2">
        <v>0.24</v>
      </c>
      <c r="R1171" s="4">
        <v>5.0721166201690746E-7</v>
      </c>
      <c r="T1171">
        <v>314112</v>
      </c>
      <c r="U1171" s="2"/>
      <c r="V1171">
        <v>6076</v>
      </c>
      <c r="W1171" s="2">
        <v>6579000000</v>
      </c>
      <c r="X1171" s="6">
        <v>473175.23999999993</v>
      </c>
      <c r="Y1171" s="38">
        <v>10010</v>
      </c>
      <c r="Z1171" s="86">
        <f>+((DETALLE_GD_1[[#This Row],[VALOR X UN (GD)]]-DETALLE_GD_1[[#This Row],[VALOR PPTO]])/DETALLE_GD_1[[#This Row],[VALOR PPTO]])</f>
        <v>-4.2267642092535555E-7</v>
      </c>
      <c r="AA1171" s="2">
        <f>+DETALLE_GD_1[[#This Row],[VALOR PPTO]]*DETALLE_GD_1[[#This Row],[CANTIDAD RECIBIDA]]</f>
        <v>473175.2</v>
      </c>
      <c r="AB11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71" s="3">
        <f>+DETALLE_GD_1[[#This Row],[CANTIDAD SOLICITADA]]-DETALLE_GD_1[[#This Row],[DEVOLUCIÓN]]</f>
        <v>1000</v>
      </c>
      <c r="AD1171" s="38" t="str">
        <f>+_xlfn.XLOOKUP(DETALLE_GD_1[[#This Row],[CODIGO]],PRODUCTOS[CODIGO],PRODUCTOS[DESC CORTA],"",0)</f>
        <v>TORNILLO SIMPSON 6"</v>
      </c>
    </row>
    <row r="1172" spans="1:30" x14ac:dyDescent="0.25">
      <c r="A1172" s="1">
        <v>46142</v>
      </c>
      <c r="B1172" s="1">
        <v>46141</v>
      </c>
      <c r="C1172" s="81" t="s">
        <v>169</v>
      </c>
      <c r="D1172" s="38">
        <v>4</v>
      </c>
      <c r="E1172" s="81" t="s">
        <v>169</v>
      </c>
      <c r="F1172">
        <v>408042</v>
      </c>
      <c r="G1172" s="81" t="s">
        <v>144</v>
      </c>
      <c r="H1172" s="81" t="s">
        <v>36</v>
      </c>
      <c r="I1172" s="3">
        <v>6</v>
      </c>
      <c r="J1172" s="3"/>
      <c r="K1172" s="26">
        <v>6</v>
      </c>
      <c r="L1172" s="2">
        <v>35000</v>
      </c>
      <c r="M1172" s="2">
        <v>210000</v>
      </c>
      <c r="N1172" s="2">
        <v>210000</v>
      </c>
      <c r="O1172" s="2">
        <v>35000</v>
      </c>
      <c r="P1172" s="2">
        <v>0</v>
      </c>
      <c r="Q1172" s="2">
        <v>0</v>
      </c>
      <c r="R1172" s="4">
        <v>8.3153801304950006E-16</v>
      </c>
      <c r="T1172">
        <v>314147</v>
      </c>
      <c r="U1172" s="2">
        <v>1627202</v>
      </c>
      <c r="V1172">
        <v>6076</v>
      </c>
      <c r="W1172" s="2">
        <v>6579000000</v>
      </c>
      <c r="X1172" s="6">
        <v>210000.00000000015</v>
      </c>
      <c r="Y1172" s="38">
        <v>10010</v>
      </c>
      <c r="Z1172" s="86">
        <f>+((DETALLE_GD_1[[#This Row],[VALOR X UN (GD)]]-DETALLE_GD_1[[#This Row],[VALOR PPTO]])/DETALLE_GD_1[[#This Row],[VALOR PPTO]])</f>
        <v>0</v>
      </c>
      <c r="AA1172" s="2">
        <f>+DETALLE_GD_1[[#This Row],[VALOR PPTO]]*DETALLE_GD_1[[#This Row],[CANTIDAD RECIBIDA]]</f>
        <v>210000</v>
      </c>
      <c r="AB1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2" s="3">
        <f>+DETALLE_GD_1[[#This Row],[CANTIDAD SOLICITADA]]-DETALLE_GD_1[[#This Row],[DEVOLUCIÓN]]</f>
        <v>6</v>
      </c>
      <c r="AD1172" s="38" t="str">
        <f>+_xlfn.XLOOKUP(DETALLE_GD_1[[#This Row],[CODIGO]],PRODUCTOS[CODIGO],PRODUCTOS[DESC CORTA],"",0)</f>
        <v>CLAVO HELICOIDAL PROFIX</v>
      </c>
    </row>
    <row r="1173" spans="1:30" x14ac:dyDescent="0.25">
      <c r="A1173" s="1">
        <v>46142</v>
      </c>
      <c r="B1173" s="1">
        <v>46141</v>
      </c>
      <c r="C1173" s="81" t="s">
        <v>169</v>
      </c>
      <c r="D1173" s="38">
        <v>4</v>
      </c>
      <c r="E1173" s="81" t="s">
        <v>169</v>
      </c>
      <c r="F1173">
        <v>304012</v>
      </c>
      <c r="G1173" s="81" t="s">
        <v>710</v>
      </c>
      <c r="H1173" s="81" t="s">
        <v>18</v>
      </c>
      <c r="I1173" s="3">
        <v>5</v>
      </c>
      <c r="J1173" s="3"/>
      <c r="K1173" s="26">
        <v>5</v>
      </c>
      <c r="L1173" s="2">
        <v>6004.4</v>
      </c>
      <c r="M1173" s="2">
        <v>30022</v>
      </c>
      <c r="N1173" s="2">
        <v>30022</v>
      </c>
      <c r="O1173" s="2">
        <v>0</v>
      </c>
      <c r="P1173" s="2">
        <v>-6004.4</v>
      </c>
      <c r="Q1173" s="2">
        <v>-30022</v>
      </c>
      <c r="R1173" s="4"/>
      <c r="T1173">
        <v>314147</v>
      </c>
      <c r="U1173" s="2"/>
      <c r="V1173">
        <v>6076</v>
      </c>
      <c r="W1173" s="2">
        <v>6579000000</v>
      </c>
      <c r="X1173" s="6">
        <v>0</v>
      </c>
      <c r="Y1173" s="38">
        <v>10010</v>
      </c>
      <c r="Z1173" s="86" t="e">
        <f>+((DETALLE_GD_1[[#This Row],[VALOR X UN (GD)]]-DETALLE_GD_1[[#This Row],[VALOR PPTO]])/DETALLE_GD_1[[#This Row],[VALOR PPTO]])</f>
        <v>#DIV/0!</v>
      </c>
      <c r="AA1173" s="2">
        <f>+DETALLE_GD_1[[#This Row],[VALOR PPTO]]*DETALLE_GD_1[[#This Row],[CANTIDAD RECIBIDA]]</f>
        <v>0</v>
      </c>
      <c r="AB1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3" s="3">
        <f>+DETALLE_GD_1[[#This Row],[CANTIDAD SOLICITADA]]-DETALLE_GD_1[[#This Row],[DEVOLUCIÓN]]</f>
        <v>5</v>
      </c>
      <c r="AD1173" s="38" t="str">
        <f>+_xlfn.XLOOKUP(DETALLE_GD_1[[#This Row],[CODIGO]],PRODUCTOS[CODIGO],PRODUCTOS[DESC CORTA],"",0)</f>
        <v/>
      </c>
    </row>
    <row r="1174" spans="1:30" x14ac:dyDescent="0.25">
      <c r="A1174" s="1">
        <v>46142</v>
      </c>
      <c r="B1174" s="1">
        <v>46141</v>
      </c>
      <c r="C1174" s="81" t="s">
        <v>169</v>
      </c>
      <c r="D1174" s="38">
        <v>4</v>
      </c>
      <c r="E1174" s="81" t="s">
        <v>169</v>
      </c>
      <c r="F1174">
        <v>307032</v>
      </c>
      <c r="G1174" s="81" t="s">
        <v>186</v>
      </c>
      <c r="H1174" s="81" t="s">
        <v>137</v>
      </c>
      <c r="I1174" s="3">
        <v>20</v>
      </c>
      <c r="J1174" s="3"/>
      <c r="K1174" s="26">
        <v>20</v>
      </c>
      <c r="L1174" s="2">
        <v>2280.1</v>
      </c>
      <c r="M1174" s="2">
        <v>45602</v>
      </c>
      <c r="N1174" s="2">
        <v>45602</v>
      </c>
      <c r="O1174" s="2">
        <v>2378.375</v>
      </c>
      <c r="P1174" s="2">
        <v>98.275000000000006</v>
      </c>
      <c r="Q1174" s="2">
        <v>1965.5008</v>
      </c>
      <c r="R1174" s="4">
        <v>4.1320245674407875E-2</v>
      </c>
      <c r="T1174">
        <v>314147</v>
      </c>
      <c r="U1174" s="2"/>
      <c r="V1174">
        <v>6076</v>
      </c>
      <c r="W1174" s="2">
        <v>6579000000</v>
      </c>
      <c r="X1174" s="6">
        <v>47567.500819999994</v>
      </c>
      <c r="Y1174" s="38">
        <v>10010</v>
      </c>
      <c r="Z1174" s="86">
        <f>+((DETALLE_GD_1[[#This Row],[VALOR X UN (GD)]]-DETALLE_GD_1[[#This Row],[VALOR PPTO]])/DETALLE_GD_1[[#This Row],[VALOR PPTO]])</f>
        <v>-4.1320229148052806E-2</v>
      </c>
      <c r="AA1174" s="2">
        <f>+DETALLE_GD_1[[#This Row],[VALOR PPTO]]*DETALLE_GD_1[[#This Row],[CANTIDAD RECIBIDA]]</f>
        <v>47567.5</v>
      </c>
      <c r="AB1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4" s="3">
        <f>+DETALLE_GD_1[[#This Row],[CANTIDAD SOLICITADA]]-DETALLE_GD_1[[#This Row],[DEVOLUCIÓN]]</f>
        <v>20</v>
      </c>
      <c r="AD1174" s="38">
        <f>+_xlfn.XLOOKUP(DETALLE_GD_1[[#This Row],[CODIGO]],PRODUCTOS[CODIGO],PRODUCTOS[DESC CORTA],"",0)</f>
        <v>0</v>
      </c>
    </row>
    <row r="1175" spans="1:30" x14ac:dyDescent="0.25">
      <c r="A1175" s="1">
        <v>46142</v>
      </c>
      <c r="B1175" s="1">
        <v>46141</v>
      </c>
      <c r="C1175" s="81" t="s">
        <v>169</v>
      </c>
      <c r="D1175" s="38">
        <v>4</v>
      </c>
      <c r="E1175" s="81" t="s">
        <v>169</v>
      </c>
      <c r="F1175">
        <v>705028</v>
      </c>
      <c r="G1175" s="81" t="s">
        <v>72</v>
      </c>
      <c r="H1175" s="81" t="s">
        <v>18</v>
      </c>
      <c r="I1175" s="3">
        <v>40</v>
      </c>
      <c r="J1175" s="3"/>
      <c r="K1175" s="26">
        <v>40</v>
      </c>
      <c r="L1175" s="2">
        <v>22787.5</v>
      </c>
      <c r="M1175" s="2">
        <v>911500</v>
      </c>
      <c r="N1175" s="2">
        <v>911500</v>
      </c>
      <c r="O1175" s="2">
        <v>22927.086200000002</v>
      </c>
      <c r="P1175" s="2">
        <v>139.58619999999999</v>
      </c>
      <c r="Q1175" s="2">
        <v>5583.4483</v>
      </c>
      <c r="R1175" s="4">
        <v>6.0882663300398992E-3</v>
      </c>
      <c r="T1175">
        <v>314147</v>
      </c>
      <c r="U1175" s="2"/>
      <c r="V1175">
        <v>6076</v>
      </c>
      <c r="W1175" s="2">
        <v>6579000000</v>
      </c>
      <c r="X1175" s="6">
        <v>917083.44828000001</v>
      </c>
      <c r="Y1175" s="38">
        <v>10010</v>
      </c>
      <c r="Z1175" s="86">
        <f>+((DETALLE_GD_1[[#This Row],[VALOR X UN (GD)]]-DETALLE_GD_1[[#This Row],[VALOR PPTO]])/DETALLE_GD_1[[#This Row],[VALOR PPTO]])</f>
        <v>-6.0882660265830701E-3</v>
      </c>
      <c r="AA1175" s="2">
        <f>+DETALLE_GD_1[[#This Row],[VALOR PPTO]]*DETALLE_GD_1[[#This Row],[CANTIDAD RECIBIDA]]</f>
        <v>917083.44800000009</v>
      </c>
      <c r="AB11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75" s="3">
        <f>+DETALLE_GD_1[[#This Row],[CANTIDAD SOLICITADA]]-DETALLE_GD_1[[#This Row],[DEVOLUCIÓN]]</f>
        <v>40</v>
      </c>
      <c r="AD1175" s="38" t="str">
        <f>+_xlfn.XLOOKUP(DETALLE_GD_1[[#This Row],[CODIGO]],PRODUCTOS[CODIGO],PRODUCTOS[DESC CORTA],"",0)</f>
        <v>SIMPLISIMA</v>
      </c>
    </row>
    <row r="1176" spans="1:30" x14ac:dyDescent="0.25">
      <c r="A1176" s="1">
        <v>46142</v>
      </c>
      <c r="B1176" s="1">
        <v>46141</v>
      </c>
      <c r="C1176" s="81" t="s">
        <v>169</v>
      </c>
      <c r="D1176" s="38">
        <v>4</v>
      </c>
      <c r="E1176" s="81" t="s">
        <v>169</v>
      </c>
      <c r="F1176">
        <v>602255</v>
      </c>
      <c r="G1176" s="81" t="s">
        <v>203</v>
      </c>
      <c r="H1176" s="81" t="s">
        <v>25</v>
      </c>
      <c r="I1176" s="3">
        <v>2</v>
      </c>
      <c r="J1176" s="3"/>
      <c r="K1176" s="26">
        <v>2</v>
      </c>
      <c r="L1176" s="2">
        <v>47890</v>
      </c>
      <c r="M1176" s="2">
        <v>95780</v>
      </c>
      <c r="N1176" s="2">
        <v>95780</v>
      </c>
      <c r="O1176" s="2">
        <v>47889.5</v>
      </c>
      <c r="P1176" s="2">
        <v>-0.5</v>
      </c>
      <c r="Q1176" s="2">
        <v>-1</v>
      </c>
      <c r="R1176" s="4">
        <v>-1.0440702032804683E-5</v>
      </c>
      <c r="T1176">
        <v>314147</v>
      </c>
      <c r="U1176" s="2"/>
      <c r="V1176">
        <v>6076</v>
      </c>
      <c r="W1176" s="2">
        <v>6579000000</v>
      </c>
      <c r="X1176" s="6">
        <v>95779</v>
      </c>
      <c r="Y1176" s="38">
        <v>10010</v>
      </c>
      <c r="Z1176" s="86">
        <f>+((DETALLE_GD_1[[#This Row],[VALOR X UN (GD)]]-DETALLE_GD_1[[#This Row],[VALOR PPTO]])/DETALLE_GD_1[[#This Row],[VALOR PPTO]])</f>
        <v>1.0440702032804685E-5</v>
      </c>
      <c r="AA1176" s="2">
        <f>+DETALLE_GD_1[[#This Row],[VALOR PPTO]]*DETALLE_GD_1[[#This Row],[CANTIDAD RECIBIDA]]</f>
        <v>95779</v>
      </c>
      <c r="AB1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6" s="3">
        <f>+DETALLE_GD_1[[#This Row],[CANTIDAD SOLICITADA]]-DETALLE_GD_1[[#This Row],[DEVOLUCIÓN]]</f>
        <v>2</v>
      </c>
      <c r="AD1176" s="38">
        <f>+_xlfn.XLOOKUP(DETALLE_GD_1[[#This Row],[CODIGO]],PRODUCTOS[CODIGO],PRODUCTOS[DESC CORTA],"",0)</f>
        <v>0</v>
      </c>
    </row>
    <row r="1177" spans="1:30" x14ac:dyDescent="0.25">
      <c r="A1177" s="1">
        <v>46142</v>
      </c>
      <c r="B1177" s="1">
        <v>46141</v>
      </c>
      <c r="C1177" s="81" t="s">
        <v>169</v>
      </c>
      <c r="D1177" s="38">
        <v>4</v>
      </c>
      <c r="E1177" s="81" t="s">
        <v>169</v>
      </c>
      <c r="F1177">
        <v>602254</v>
      </c>
      <c r="G1177" s="81" t="s">
        <v>214</v>
      </c>
      <c r="H1177" s="81" t="s">
        <v>25</v>
      </c>
      <c r="I1177" s="3">
        <v>2</v>
      </c>
      <c r="J1177" s="3"/>
      <c r="K1177" s="26">
        <v>2</v>
      </c>
      <c r="L1177" s="2">
        <v>46060</v>
      </c>
      <c r="M1177" s="2">
        <v>92120</v>
      </c>
      <c r="N1177" s="2">
        <v>92120</v>
      </c>
      <c r="O1177" s="2">
        <v>46060</v>
      </c>
      <c r="P1177" s="2">
        <v>0</v>
      </c>
      <c r="Q1177" s="2">
        <v>0</v>
      </c>
      <c r="R1177" s="4">
        <v>0</v>
      </c>
      <c r="T1177">
        <v>314147</v>
      </c>
      <c r="U1177" s="2"/>
      <c r="V1177">
        <v>6076</v>
      </c>
      <c r="W1177" s="2">
        <v>6579000000</v>
      </c>
      <c r="X1177" s="6">
        <v>92120</v>
      </c>
      <c r="Y1177" s="38">
        <v>10010</v>
      </c>
      <c r="Z1177" s="86">
        <f>+((DETALLE_GD_1[[#This Row],[VALOR X UN (GD)]]-DETALLE_GD_1[[#This Row],[VALOR PPTO]])/DETALLE_GD_1[[#This Row],[VALOR PPTO]])</f>
        <v>0</v>
      </c>
      <c r="AA1177" s="2">
        <f>+DETALLE_GD_1[[#This Row],[VALOR PPTO]]*DETALLE_GD_1[[#This Row],[CANTIDAD RECIBIDA]]</f>
        <v>92120</v>
      </c>
      <c r="AB1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7" s="3">
        <f>+DETALLE_GD_1[[#This Row],[CANTIDAD SOLICITADA]]-DETALLE_GD_1[[#This Row],[DEVOLUCIÓN]]</f>
        <v>2</v>
      </c>
      <c r="AD1177" s="38">
        <f>+_xlfn.XLOOKUP(DETALLE_GD_1[[#This Row],[CODIGO]],PRODUCTOS[CODIGO],PRODUCTOS[DESC CORTA],"",0)</f>
        <v>0</v>
      </c>
    </row>
    <row r="1178" spans="1:30" x14ac:dyDescent="0.25">
      <c r="A1178" s="1">
        <v>46142</v>
      </c>
      <c r="B1178" s="1">
        <v>46141</v>
      </c>
      <c r="C1178" s="81" t="s">
        <v>169</v>
      </c>
      <c r="D1178" s="38">
        <v>4</v>
      </c>
      <c r="E1178" s="81" t="s">
        <v>169</v>
      </c>
      <c r="F1178">
        <v>404184</v>
      </c>
      <c r="G1178" s="81" t="s">
        <v>66</v>
      </c>
      <c r="H1178" s="81" t="s">
        <v>31</v>
      </c>
      <c r="I1178" s="3">
        <v>40</v>
      </c>
      <c r="J1178" s="3"/>
      <c r="K1178" s="26">
        <v>40</v>
      </c>
      <c r="L1178" s="2">
        <v>1752.45</v>
      </c>
      <c r="M1178" s="2">
        <v>70098</v>
      </c>
      <c r="N1178" s="2">
        <v>70098</v>
      </c>
      <c r="O1178" s="2">
        <v>1754.8757000000001</v>
      </c>
      <c r="P1178" s="2">
        <v>2.4257</v>
      </c>
      <c r="Q1178" s="2">
        <v>97.029200000000003</v>
      </c>
      <c r="R1178" s="4">
        <v>1.3822807832767512E-3</v>
      </c>
      <c r="T1178">
        <v>314147</v>
      </c>
      <c r="U1178" s="2"/>
      <c r="V1178">
        <v>6076</v>
      </c>
      <c r="W1178" s="2">
        <v>6579000000</v>
      </c>
      <c r="X1178" s="6">
        <v>70195.029240000003</v>
      </c>
      <c r="Y1178" s="38">
        <v>10010</v>
      </c>
      <c r="Z1178" s="86">
        <f>+((DETALLE_GD_1[[#This Row],[VALOR X UN (GD)]]-DETALLE_GD_1[[#This Row],[VALOR PPTO]])/DETALLE_GD_1[[#This Row],[VALOR PPTO]])</f>
        <v>-1.3822631426260025E-3</v>
      </c>
      <c r="AA1178" s="2">
        <f>+DETALLE_GD_1[[#This Row],[VALOR PPTO]]*DETALLE_GD_1[[#This Row],[CANTIDAD RECIBIDA]]</f>
        <v>70195.028000000006</v>
      </c>
      <c r="AB1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8" s="3">
        <f>+DETALLE_GD_1[[#This Row],[CANTIDAD SOLICITADA]]-DETALLE_GD_1[[#This Row],[DEVOLUCIÓN]]</f>
        <v>40</v>
      </c>
      <c r="AD1178" s="38" t="str">
        <f>+_xlfn.XLOOKUP(DETALLE_GD_1[[#This Row],[CODIGO]],PRODUCTOS[CODIGO],PRODUCTOS[DESC CORTA],"",0)</f>
        <v>ANGULO BLANCO</v>
      </c>
    </row>
    <row r="1179" spans="1:30" x14ac:dyDescent="0.25">
      <c r="A1179" s="1">
        <v>46142</v>
      </c>
      <c r="B1179" s="1">
        <v>46141</v>
      </c>
      <c r="C1179" s="81" t="s">
        <v>169</v>
      </c>
      <c r="D1179" s="38">
        <v>4</v>
      </c>
      <c r="E1179" s="81" t="s">
        <v>169</v>
      </c>
      <c r="F1179">
        <v>2302119</v>
      </c>
      <c r="G1179" s="81" t="s">
        <v>74</v>
      </c>
      <c r="H1179" s="81" t="s">
        <v>31</v>
      </c>
      <c r="I1179" s="3">
        <v>36</v>
      </c>
      <c r="J1179" s="3"/>
      <c r="K1179" s="26">
        <v>36</v>
      </c>
      <c r="L1179" s="2">
        <v>3679.8888999999999</v>
      </c>
      <c r="M1179" s="2">
        <v>132476</v>
      </c>
      <c r="N1179" s="2">
        <v>132476</v>
      </c>
      <c r="O1179" s="2">
        <v>3671</v>
      </c>
      <c r="P1179" s="2">
        <v>-8.8888999999999996</v>
      </c>
      <c r="Q1179" s="2">
        <v>-320</v>
      </c>
      <c r="R1179" s="4">
        <v>-2.4213807923968091E-3</v>
      </c>
      <c r="T1179">
        <v>314147</v>
      </c>
      <c r="U1179" s="2"/>
      <c r="V1179">
        <v>6076</v>
      </c>
      <c r="W1179" s="2">
        <v>6579000000</v>
      </c>
      <c r="X1179" s="6">
        <v>132156</v>
      </c>
      <c r="Y1179" s="38">
        <v>10010</v>
      </c>
      <c r="Z1179" s="86">
        <f>+((DETALLE_GD_1[[#This Row],[VALOR X UN (GD)]]-DETALLE_GD_1[[#This Row],[VALOR PPTO]])/DETALLE_GD_1[[#This Row],[VALOR PPTO]])</f>
        <v>2.4213838191228334E-3</v>
      </c>
      <c r="AA1179" s="2">
        <f>+DETALLE_GD_1[[#This Row],[VALOR PPTO]]*DETALLE_GD_1[[#This Row],[CANTIDAD RECIBIDA]]</f>
        <v>132156</v>
      </c>
      <c r="AB1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9" s="3">
        <f>+DETALLE_GD_1[[#This Row],[CANTIDAD SOLICITADA]]-DETALLE_GD_1[[#This Row],[DEVOLUCIÓN]]</f>
        <v>36</v>
      </c>
      <c r="AD1179" s="38" t="str">
        <f>+_xlfn.XLOOKUP(DETALLE_GD_1[[#This Row],[CODIGO]],PRODUCTOS[CODIGO],PRODUCTOS[DESC CORTA],"",0)</f>
        <v>SELLO</v>
      </c>
    </row>
    <row r="1180" spans="1:30" x14ac:dyDescent="0.25">
      <c r="A1180" s="1">
        <v>46142</v>
      </c>
      <c r="B1180" s="1">
        <v>46141</v>
      </c>
      <c r="C1180" s="81" t="s">
        <v>169</v>
      </c>
      <c r="D1180" s="38">
        <v>4</v>
      </c>
      <c r="E1180" s="81" t="s">
        <v>169</v>
      </c>
      <c r="F1180">
        <v>407423</v>
      </c>
      <c r="G1180" s="81" t="s">
        <v>106</v>
      </c>
      <c r="H1180" s="81" t="s">
        <v>31</v>
      </c>
      <c r="I1180" s="3">
        <v>5000</v>
      </c>
      <c r="J1180" s="3"/>
      <c r="K1180" s="26">
        <v>5000</v>
      </c>
      <c r="L1180" s="2">
        <v>3.4662000000000002</v>
      </c>
      <c r="M1180" s="2">
        <v>17331</v>
      </c>
      <c r="N1180" s="2">
        <v>17331</v>
      </c>
      <c r="O1180" s="2">
        <v>106.6405</v>
      </c>
      <c r="P1180" s="2">
        <v>103.1743</v>
      </c>
      <c r="Q1180" s="2">
        <v>515871.5099</v>
      </c>
      <c r="R1180" s="4">
        <v>0.96749640206563281</v>
      </c>
      <c r="T1180">
        <v>314147</v>
      </c>
      <c r="U1180" s="2"/>
      <c r="V1180">
        <v>6076</v>
      </c>
      <c r="W1180" s="2">
        <v>6579000000</v>
      </c>
      <c r="X1180" s="6">
        <v>533202.50991891895</v>
      </c>
      <c r="Y1180" s="38">
        <v>10010</v>
      </c>
      <c r="Z1180" s="86">
        <f>+((DETALLE_GD_1[[#This Row],[VALOR X UN (GD)]]-DETALLE_GD_1[[#This Row],[VALOR PPTO]])/DETALLE_GD_1[[#This Row],[VALOR PPTO]])</f>
        <v>-0.96749640146098337</v>
      </c>
      <c r="AA1180" s="2">
        <f>+DETALLE_GD_1[[#This Row],[VALOR PPTO]]*DETALLE_GD_1[[#This Row],[CANTIDAD RECIBIDA]]</f>
        <v>533202.5</v>
      </c>
      <c r="AB1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0" s="3">
        <f>+DETALLE_GD_1[[#This Row],[CANTIDAD SOLICITADA]]-DETALLE_GD_1[[#This Row],[DEVOLUCIÓN]]</f>
        <v>5000</v>
      </c>
      <c r="AD1180" s="38" t="str">
        <f>+_xlfn.XLOOKUP(DETALLE_GD_1[[#This Row],[CODIGO]],PRODUCTOS[CODIGO],PRODUCTOS[DESC CORTA],"",0)</f>
        <v>TORNILLO CRS 6X1 5/8</v>
      </c>
    </row>
    <row r="1181" spans="1:30" x14ac:dyDescent="0.25">
      <c r="A1181" s="1">
        <v>46142</v>
      </c>
      <c r="B1181" s="1">
        <v>46141</v>
      </c>
      <c r="C1181" s="81" t="s">
        <v>169</v>
      </c>
      <c r="D1181" s="38">
        <v>4</v>
      </c>
      <c r="E1181" s="81" t="s">
        <v>169</v>
      </c>
      <c r="F1181">
        <v>609008</v>
      </c>
      <c r="G1181" s="81" t="s">
        <v>57</v>
      </c>
      <c r="H1181" s="81" t="s">
        <v>58</v>
      </c>
      <c r="I1181" s="3">
        <v>5</v>
      </c>
      <c r="J1181" s="3"/>
      <c r="K1181" s="26">
        <v>5</v>
      </c>
      <c r="L1181" s="2">
        <v>2176.4</v>
      </c>
      <c r="M1181" s="2">
        <v>10882</v>
      </c>
      <c r="N1181" s="2">
        <v>10882</v>
      </c>
      <c r="O1181" s="2">
        <v>2130.7573000000002</v>
      </c>
      <c r="P1181" s="2">
        <v>-45.642699999999998</v>
      </c>
      <c r="Q1181" s="2">
        <v>-228.21350000000001</v>
      </c>
      <c r="R1181" s="4">
        <v>-2.1420876880624256E-2</v>
      </c>
      <c r="T1181">
        <v>314147</v>
      </c>
      <c r="U1181" s="2"/>
      <c r="V1181">
        <v>6076</v>
      </c>
      <c r="W1181" s="2">
        <v>6579000000</v>
      </c>
      <c r="X1181" s="6">
        <v>10653.786550000001</v>
      </c>
      <c r="Y1181" s="38">
        <v>10010</v>
      </c>
      <c r="Z1181" s="86">
        <f>+((DETALLE_GD_1[[#This Row],[VALOR X UN (GD)]]-DETALLE_GD_1[[#This Row],[VALOR PPTO]])/DETALLE_GD_1[[#This Row],[VALOR PPTO]])</f>
        <v>2.1420881674322961E-2</v>
      </c>
      <c r="AA1181" s="2">
        <f>+DETALLE_GD_1[[#This Row],[VALOR PPTO]]*DETALLE_GD_1[[#This Row],[CANTIDAD RECIBIDA]]</f>
        <v>10653.786500000002</v>
      </c>
      <c r="AB11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1" s="3">
        <f>+DETALLE_GD_1[[#This Row],[CANTIDAD SOLICITADA]]-DETALLE_GD_1[[#This Row],[DEVOLUCIÓN]]</f>
        <v>5</v>
      </c>
      <c r="AD1181" s="38" t="str">
        <f>+_xlfn.XLOOKUP(DETALLE_GD_1[[#This Row],[CODIGO]],PRODUCTOS[CODIGO],PRODUCTOS[DESC CORTA],"",0)</f>
        <v>DUCO</v>
      </c>
    </row>
    <row r="1182" spans="1:30" x14ac:dyDescent="0.25">
      <c r="A1182" s="1">
        <v>46142</v>
      </c>
      <c r="B1182" s="1">
        <v>46141</v>
      </c>
      <c r="C1182" s="81" t="s">
        <v>169</v>
      </c>
      <c r="D1182" s="38">
        <v>4</v>
      </c>
      <c r="E1182" s="81" t="s">
        <v>169</v>
      </c>
      <c r="F1182">
        <v>1610023</v>
      </c>
      <c r="G1182" s="81" t="s">
        <v>351</v>
      </c>
      <c r="H1182" s="81" t="s">
        <v>28</v>
      </c>
      <c r="I1182" s="3">
        <v>5</v>
      </c>
      <c r="J1182" s="3"/>
      <c r="K1182" s="26">
        <v>5</v>
      </c>
      <c r="L1182" s="2">
        <v>2278.1999999999998</v>
      </c>
      <c r="M1182" s="2">
        <v>11391</v>
      </c>
      <c r="N1182" s="2">
        <v>11391</v>
      </c>
      <c r="O1182" s="2">
        <v>2109.0585000000001</v>
      </c>
      <c r="P1182" s="2">
        <v>-169.14150000000001</v>
      </c>
      <c r="Q1182" s="2">
        <v>-845.70730000000003</v>
      </c>
      <c r="R1182" s="4">
        <v>-8.0197611698158158E-2</v>
      </c>
      <c r="T1182">
        <v>314147</v>
      </c>
      <c r="U1182" s="2"/>
      <c r="V1182">
        <v>6076</v>
      </c>
      <c r="W1182" s="2">
        <v>6579000000</v>
      </c>
      <c r="X1182" s="6">
        <v>10545.292710000002</v>
      </c>
      <c r="Y1182" s="38">
        <v>10010</v>
      </c>
      <c r="Z1182" s="86">
        <f>+((DETALLE_GD_1[[#This Row],[VALOR X UN (GD)]]-DETALLE_GD_1[[#This Row],[VALOR PPTO]])/DETALLE_GD_1[[#This Row],[VALOR PPTO]])</f>
        <v>8.0197633209320524E-2</v>
      </c>
      <c r="AA1182" s="2">
        <f>+DETALLE_GD_1[[#This Row],[VALOR PPTO]]*DETALLE_GD_1[[#This Row],[CANTIDAD RECIBIDA]]</f>
        <v>10545.2925</v>
      </c>
      <c r="AB1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2" s="3">
        <f>+DETALLE_GD_1[[#This Row],[CANTIDAD SOLICITADA]]-DETALLE_GD_1[[#This Row],[DEVOLUCIÓN]]</f>
        <v>5</v>
      </c>
      <c r="AD1182" s="38" t="str">
        <f>+_xlfn.XLOOKUP(DETALLE_GD_1[[#This Row],[CODIGO]],PRODUCTOS[CODIGO],PRODUCTOS[DESC CORTA],"",0)</f>
        <v>TRAPOS DE ASEO</v>
      </c>
    </row>
    <row r="1183" spans="1:30" x14ac:dyDescent="0.25">
      <c r="A1183" s="1">
        <v>46142</v>
      </c>
      <c r="B1183" s="1">
        <v>46142</v>
      </c>
      <c r="C1183" s="81" t="s">
        <v>169</v>
      </c>
      <c r="D1183" s="38">
        <v>4</v>
      </c>
      <c r="E1183" s="81" t="s">
        <v>169</v>
      </c>
      <c r="F1183">
        <v>4212234</v>
      </c>
      <c r="G1183" s="81" t="s">
        <v>54</v>
      </c>
      <c r="H1183" s="81" t="s">
        <v>31</v>
      </c>
      <c r="I1183" s="3">
        <v>5</v>
      </c>
      <c r="J1183" s="3"/>
      <c r="K1183" s="26">
        <v>5</v>
      </c>
      <c r="L1183" s="2">
        <v>124909</v>
      </c>
      <c r="M1183" s="2">
        <v>624545</v>
      </c>
      <c r="N1183" s="2">
        <v>624545</v>
      </c>
      <c r="O1183" s="2">
        <v>124909</v>
      </c>
      <c r="P1183" s="2">
        <v>0</v>
      </c>
      <c r="Q1183" s="2">
        <v>0</v>
      </c>
      <c r="R1183" s="4">
        <v>0</v>
      </c>
      <c r="T1183">
        <v>314168</v>
      </c>
      <c r="U1183" s="2">
        <v>2287760</v>
      </c>
      <c r="V1183">
        <v>6076</v>
      </c>
      <c r="W1183" s="2">
        <v>6579000000</v>
      </c>
      <c r="X1183" s="6">
        <v>624545</v>
      </c>
      <c r="Y1183" s="38">
        <v>10010</v>
      </c>
      <c r="Z1183" s="86">
        <f>+((DETALLE_GD_1[[#This Row],[VALOR X UN (GD)]]-DETALLE_GD_1[[#This Row],[VALOR PPTO]])/DETALLE_GD_1[[#This Row],[VALOR PPTO]])</f>
        <v>0</v>
      </c>
      <c r="AA1183" s="2">
        <f>+DETALLE_GD_1[[#This Row],[VALOR PPTO]]*DETALLE_GD_1[[#This Row],[CANTIDAD RECIBIDA]]</f>
        <v>624545</v>
      </c>
      <c r="AB1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3" s="3">
        <f>+DETALLE_GD_1[[#This Row],[CANTIDAD SOLICITADA]]-DETALLE_GD_1[[#This Row],[DEVOLUCIÓN]]</f>
        <v>5</v>
      </c>
      <c r="AD1183" s="38" t="str">
        <f>+_xlfn.XLOOKUP(DETALLE_GD_1[[#This Row],[CODIGO]],PRODUCTOS[CODIGO],PRODUCTOS[DESC CORTA],"",0)</f>
        <v>BARANDA BALCON</v>
      </c>
    </row>
    <row r="1184" spans="1:30" x14ac:dyDescent="0.25">
      <c r="A1184" s="1">
        <v>46142</v>
      </c>
      <c r="B1184" s="1">
        <v>46142</v>
      </c>
      <c r="C1184" s="81" t="s">
        <v>169</v>
      </c>
      <c r="D1184" s="38">
        <v>4</v>
      </c>
      <c r="E1184" s="81" t="s">
        <v>169</v>
      </c>
      <c r="F1184">
        <v>2304056</v>
      </c>
      <c r="G1184" s="81" t="s">
        <v>417</v>
      </c>
      <c r="H1184" s="81" t="s">
        <v>31</v>
      </c>
      <c r="I1184" s="3">
        <v>24</v>
      </c>
      <c r="J1184" s="3"/>
      <c r="K1184" s="26">
        <v>24</v>
      </c>
      <c r="L1184" s="2">
        <v>3163.125</v>
      </c>
      <c r="M1184" s="2">
        <v>75915</v>
      </c>
      <c r="N1184" s="2">
        <v>75915</v>
      </c>
      <c r="O1184" s="2">
        <v>2979</v>
      </c>
      <c r="P1184" s="2">
        <v>-184.125</v>
      </c>
      <c r="Q1184" s="2">
        <v>-4419</v>
      </c>
      <c r="R1184" s="4">
        <v>-6.1807653575025177E-2</v>
      </c>
      <c r="T1184">
        <v>314168</v>
      </c>
      <c r="U1184" s="2"/>
      <c r="V1184">
        <v>6076</v>
      </c>
      <c r="W1184" s="2">
        <v>6579000000</v>
      </c>
      <c r="X1184" s="6">
        <v>71496</v>
      </c>
      <c r="Y1184" s="38">
        <v>10010</v>
      </c>
      <c r="Z1184" s="86">
        <f>+((DETALLE_GD_1[[#This Row],[VALOR X UN (GD)]]-DETALLE_GD_1[[#This Row],[VALOR PPTO]])/DETALLE_GD_1[[#This Row],[VALOR PPTO]])</f>
        <v>6.1807653575025177E-2</v>
      </c>
      <c r="AA1184" s="2">
        <f>+DETALLE_GD_1[[#This Row],[VALOR PPTO]]*DETALLE_GD_1[[#This Row],[CANTIDAD RECIBIDA]]</f>
        <v>71496</v>
      </c>
      <c r="AB1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4" s="3">
        <f>+DETALLE_GD_1[[#This Row],[CANTIDAD SOLICITADA]]-DETALLE_GD_1[[#This Row],[DEVOLUCIÓN]]</f>
        <v>24</v>
      </c>
      <c r="AD1184" s="38" t="str">
        <f>+_xlfn.XLOOKUP(DETALLE_GD_1[[#This Row],[CODIGO]],PRODUCTOS[CODIGO],PRODUCTOS[DESC CORTA],"",0)</f>
        <v/>
      </c>
    </row>
    <row r="1185" spans="1:30" x14ac:dyDescent="0.25">
      <c r="A1185" s="1">
        <v>46142</v>
      </c>
      <c r="B1185" s="1">
        <v>46142</v>
      </c>
      <c r="C1185" s="81" t="s">
        <v>169</v>
      </c>
      <c r="D1185" s="38">
        <v>4</v>
      </c>
      <c r="E1185" s="81" t="s">
        <v>169</v>
      </c>
      <c r="F1185">
        <v>2302119</v>
      </c>
      <c r="G1185" s="81" t="s">
        <v>74</v>
      </c>
      <c r="H1185" s="81" t="s">
        <v>31</v>
      </c>
      <c r="I1185" s="3">
        <v>24</v>
      </c>
      <c r="J1185" s="3"/>
      <c r="K1185" s="26">
        <v>24</v>
      </c>
      <c r="L1185" s="2">
        <v>3679.875</v>
      </c>
      <c r="M1185" s="2">
        <v>88317</v>
      </c>
      <c r="N1185" s="2">
        <v>88317</v>
      </c>
      <c r="O1185" s="2">
        <v>3671</v>
      </c>
      <c r="P1185" s="2">
        <v>-8.875</v>
      </c>
      <c r="Q1185" s="2">
        <v>-213</v>
      </c>
      <c r="R1185" s="4">
        <v>-2.4175973849087443E-3</v>
      </c>
      <c r="T1185">
        <v>314168</v>
      </c>
      <c r="U1185" s="2"/>
      <c r="V1185">
        <v>6076</v>
      </c>
      <c r="W1185" s="2">
        <v>6579000000</v>
      </c>
      <c r="X1185" s="6">
        <v>88104</v>
      </c>
      <c r="Y1185" s="38">
        <v>10010</v>
      </c>
      <c r="Z1185" s="86">
        <f>+((DETALLE_GD_1[[#This Row],[VALOR X UN (GD)]]-DETALLE_GD_1[[#This Row],[VALOR PPTO]])/DETALLE_GD_1[[#This Row],[VALOR PPTO]])</f>
        <v>2.4175973849087443E-3</v>
      </c>
      <c r="AA1185" s="2">
        <f>+DETALLE_GD_1[[#This Row],[VALOR PPTO]]*DETALLE_GD_1[[#This Row],[CANTIDAD RECIBIDA]]</f>
        <v>88104</v>
      </c>
      <c r="AB1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5" s="3">
        <f>+DETALLE_GD_1[[#This Row],[CANTIDAD SOLICITADA]]-DETALLE_GD_1[[#This Row],[DEVOLUCIÓN]]</f>
        <v>24</v>
      </c>
      <c r="AD1185" s="38" t="str">
        <f>+_xlfn.XLOOKUP(DETALLE_GD_1[[#This Row],[CODIGO]],PRODUCTOS[CODIGO],PRODUCTOS[DESC CORTA],"",0)</f>
        <v>SELLO</v>
      </c>
    </row>
    <row r="1186" spans="1:30" x14ac:dyDescent="0.25">
      <c r="A1186" s="1">
        <v>46142</v>
      </c>
      <c r="B1186" s="1">
        <v>46142</v>
      </c>
      <c r="C1186" s="81" t="s">
        <v>169</v>
      </c>
      <c r="D1186" s="38">
        <v>4</v>
      </c>
      <c r="E1186" s="81" t="s">
        <v>169</v>
      </c>
      <c r="F1186">
        <v>407049</v>
      </c>
      <c r="G1186" s="81" t="s">
        <v>232</v>
      </c>
      <c r="H1186" s="81" t="s">
        <v>31</v>
      </c>
      <c r="I1186" s="3">
        <v>600</v>
      </c>
      <c r="J1186" s="3"/>
      <c r="K1186" s="26">
        <v>600</v>
      </c>
      <c r="L1186" s="2">
        <v>16.201699999999999</v>
      </c>
      <c r="M1186" s="2">
        <v>9721</v>
      </c>
      <c r="N1186" s="2">
        <v>9721</v>
      </c>
      <c r="O1186" s="2">
        <v>16.202200000000001</v>
      </c>
      <c r="P1186" s="2">
        <v>5.0000000000000001E-4</v>
      </c>
      <c r="Q1186" s="2">
        <v>0.29720000000000002</v>
      </c>
      <c r="R1186" s="4">
        <v>3.0572051639360971E-5</v>
      </c>
      <c r="T1186">
        <v>314168</v>
      </c>
      <c r="U1186" s="2"/>
      <c r="V1186">
        <v>6076</v>
      </c>
      <c r="W1186" s="2">
        <v>6579000000</v>
      </c>
      <c r="X1186" s="6">
        <v>9721.2972000000009</v>
      </c>
      <c r="Y1186" s="38">
        <v>10010</v>
      </c>
      <c r="Z1186" s="86">
        <f>+((DETALLE_GD_1[[#This Row],[VALOR X UN (GD)]]-DETALLE_GD_1[[#This Row],[VALOR PPTO]])/DETALLE_GD_1[[#This Row],[VALOR PPTO]])</f>
        <v>-3.0860006665908791E-5</v>
      </c>
      <c r="AA1186" s="2">
        <f>+DETALLE_GD_1[[#This Row],[VALOR PPTO]]*DETALLE_GD_1[[#This Row],[CANTIDAD RECIBIDA]]</f>
        <v>9721.3200000000015</v>
      </c>
      <c r="AB1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6" s="3">
        <f>+DETALLE_GD_1[[#This Row],[CANTIDAD SOLICITADA]]-DETALLE_GD_1[[#This Row],[DEVOLUCIÓN]]</f>
        <v>600</v>
      </c>
      <c r="AD1186" s="38">
        <f>+_xlfn.XLOOKUP(DETALLE_GD_1[[#This Row],[CODIGO]],PRODUCTOS[CODIGO],PRODUCTOS[DESC CORTA],"",0)</f>
        <v>0</v>
      </c>
    </row>
    <row r="1187" spans="1:30" x14ac:dyDescent="0.25">
      <c r="A1187" s="1">
        <v>46142</v>
      </c>
      <c r="B1187" s="1">
        <v>46142</v>
      </c>
      <c r="C1187" s="81" t="s">
        <v>169</v>
      </c>
      <c r="D1187" s="38">
        <v>4</v>
      </c>
      <c r="E1187" s="81" t="s">
        <v>169</v>
      </c>
      <c r="F1187">
        <v>412302</v>
      </c>
      <c r="G1187" s="81" t="s">
        <v>165</v>
      </c>
      <c r="H1187" s="81" t="s">
        <v>31</v>
      </c>
      <c r="I1187" s="3">
        <v>15</v>
      </c>
      <c r="J1187" s="3"/>
      <c r="K1187" s="26">
        <v>15</v>
      </c>
      <c r="L1187" s="2">
        <v>4742.4666999999999</v>
      </c>
      <c r="M1187" s="2">
        <v>71137</v>
      </c>
      <c r="N1187" s="2">
        <v>71137</v>
      </c>
      <c r="O1187" s="2">
        <v>4742.4587000000001</v>
      </c>
      <c r="P1187" s="2">
        <v>-8.0000000000000002E-3</v>
      </c>
      <c r="Q1187" s="2">
        <v>-0.12</v>
      </c>
      <c r="R1187" s="4">
        <v>-1.6868184264903889E-6</v>
      </c>
      <c r="T1187">
        <v>314168</v>
      </c>
      <c r="U1187" s="2"/>
      <c r="V1187">
        <v>6076</v>
      </c>
      <c r="W1187" s="2">
        <v>6579000000</v>
      </c>
      <c r="X1187" s="6">
        <v>71136.880004999999</v>
      </c>
      <c r="Y1187" s="38">
        <v>10010</v>
      </c>
      <c r="Z1187" s="86">
        <f>+((DETALLE_GD_1[[#This Row],[VALOR X UN (GD)]]-DETALLE_GD_1[[#This Row],[VALOR PPTO]])/DETALLE_GD_1[[#This Row],[VALOR PPTO]])</f>
        <v>1.6868887018058429E-6</v>
      </c>
      <c r="AA1187" s="2">
        <f>+DETALLE_GD_1[[#This Row],[VALOR PPTO]]*DETALLE_GD_1[[#This Row],[CANTIDAD RECIBIDA]]</f>
        <v>71136.880499999999</v>
      </c>
      <c r="AB1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7" s="3">
        <f>+DETALLE_GD_1[[#This Row],[CANTIDAD SOLICITADA]]-DETALLE_GD_1[[#This Row],[DEVOLUCIÓN]]</f>
        <v>15</v>
      </c>
      <c r="AD1187" s="38">
        <f>+_xlfn.XLOOKUP(DETALLE_GD_1[[#This Row],[CODIGO]],PRODUCTOS[CODIGO],PRODUCTOS[DESC CORTA],"",0)</f>
        <v>0</v>
      </c>
    </row>
    <row r="1188" spans="1:30" x14ac:dyDescent="0.25">
      <c r="A1188" s="1">
        <v>46142</v>
      </c>
      <c r="B1188" s="1">
        <v>46142</v>
      </c>
      <c r="C1188" s="81" t="s">
        <v>169</v>
      </c>
      <c r="D1188" s="38">
        <v>4</v>
      </c>
      <c r="E1188" s="81" t="s">
        <v>169</v>
      </c>
      <c r="F1188">
        <v>407427</v>
      </c>
      <c r="G1188" s="81" t="s">
        <v>172</v>
      </c>
      <c r="H1188" s="81" t="s">
        <v>36</v>
      </c>
      <c r="I1188" s="3">
        <v>1</v>
      </c>
      <c r="J1188" s="3"/>
      <c r="K1188" s="26">
        <v>1</v>
      </c>
      <c r="L1188" s="2">
        <v>22558</v>
      </c>
      <c r="M1188" s="2">
        <v>22558</v>
      </c>
      <c r="N1188" s="2">
        <v>22558</v>
      </c>
      <c r="O1188" s="2">
        <v>22557.5455</v>
      </c>
      <c r="P1188" s="2">
        <v>-0.45450000000000002</v>
      </c>
      <c r="Q1188" s="2">
        <v>-0.45450000000000002</v>
      </c>
      <c r="R1188" s="4">
        <v>-2.0150463662249002E-5</v>
      </c>
      <c r="T1188">
        <v>314168</v>
      </c>
      <c r="U1188" s="2"/>
      <c r="V1188">
        <v>6076</v>
      </c>
      <c r="W1188" s="2">
        <v>6579000000</v>
      </c>
      <c r="X1188" s="6">
        <v>22557.545454999999</v>
      </c>
      <c r="Y1188" s="38">
        <v>10010</v>
      </c>
      <c r="Z1188" s="86">
        <f>+((DETALLE_GD_1[[#This Row],[VALOR X UN (GD)]]-DETALLE_GD_1[[#This Row],[VALOR PPTO]])/DETALLE_GD_1[[#This Row],[VALOR PPTO]])</f>
        <v>2.014846872412716E-5</v>
      </c>
      <c r="AA1188" s="2">
        <f>+DETALLE_GD_1[[#This Row],[VALOR PPTO]]*DETALLE_GD_1[[#This Row],[CANTIDAD RECIBIDA]]</f>
        <v>22557.5455</v>
      </c>
      <c r="AB1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8" s="3">
        <f>+DETALLE_GD_1[[#This Row],[CANTIDAD SOLICITADA]]-DETALLE_GD_1[[#This Row],[DEVOLUCIÓN]]</f>
        <v>1</v>
      </c>
      <c r="AD1188" s="38">
        <f>+_xlfn.XLOOKUP(DETALLE_GD_1[[#This Row],[CODIGO]],PRODUCTOS[CODIGO],PRODUCTOS[DESC CORTA],"",0)</f>
        <v>0</v>
      </c>
    </row>
    <row r="1189" spans="1:30" x14ac:dyDescent="0.25">
      <c r="A1189" s="1">
        <v>46142</v>
      </c>
      <c r="B1189" s="1">
        <v>46142</v>
      </c>
      <c r="C1189" s="81" t="s">
        <v>169</v>
      </c>
      <c r="D1189" s="38">
        <v>4</v>
      </c>
      <c r="E1189" s="81" t="s">
        <v>169</v>
      </c>
      <c r="F1189">
        <v>302048</v>
      </c>
      <c r="G1189" s="81" t="s">
        <v>126</v>
      </c>
      <c r="H1189" s="81" t="s">
        <v>20</v>
      </c>
      <c r="I1189" s="3">
        <v>108</v>
      </c>
      <c r="J1189" s="3"/>
      <c r="K1189" s="26">
        <v>108</v>
      </c>
      <c r="L1189" s="2">
        <v>12921.9167</v>
      </c>
      <c r="M1189" s="2">
        <v>1395567</v>
      </c>
      <c r="N1189" s="2">
        <v>1395567</v>
      </c>
      <c r="O1189" s="2">
        <v>13710.695</v>
      </c>
      <c r="P1189" s="2">
        <v>788.77829999999994</v>
      </c>
      <c r="Q1189" s="2">
        <v>85188.055800000002</v>
      </c>
      <c r="R1189" s="4">
        <v>5.7530146836247832E-2</v>
      </c>
      <c r="T1189">
        <v>314168</v>
      </c>
      <c r="U1189" s="2"/>
      <c r="V1189">
        <v>6076</v>
      </c>
      <c r="W1189" s="2">
        <v>6579000000</v>
      </c>
      <c r="X1189" s="6">
        <v>1480755.0557880001</v>
      </c>
      <c r="Y1189" s="38">
        <v>10010</v>
      </c>
      <c r="Z1189" s="86">
        <f>+((DETALLE_GD_1[[#This Row],[VALOR X UN (GD)]]-DETALLE_GD_1[[#This Row],[VALOR PPTO]])/DETALLE_GD_1[[#This Row],[VALOR PPTO]])</f>
        <v>-5.7530147085906293E-2</v>
      </c>
      <c r="AA1189" s="2">
        <f>+DETALLE_GD_1[[#This Row],[VALOR PPTO]]*DETALLE_GD_1[[#This Row],[CANTIDAD RECIBIDA]]</f>
        <v>1480755.06</v>
      </c>
      <c r="AB1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89" s="3">
        <f>+DETALLE_GD_1[[#This Row],[CANTIDAD SOLICITADA]]-DETALLE_GD_1[[#This Row],[DEVOLUCIÓN]]</f>
        <v>108</v>
      </c>
      <c r="AD1189" s="38" t="str">
        <f>+_xlfn.XLOOKUP(DETALLE_GD_1[[#This Row],[CODIGO]],PRODUCTOS[CODIGO],PRODUCTOS[DESC CORTA],"",0)</f>
        <v>PINO 2X8X4</v>
      </c>
    </row>
    <row r="1190" spans="1:30" x14ac:dyDescent="0.25">
      <c r="A1190" s="1">
        <v>46142</v>
      </c>
      <c r="B1190" s="1">
        <v>46142</v>
      </c>
      <c r="C1190" s="81" t="s">
        <v>169</v>
      </c>
      <c r="D1190" s="38">
        <v>4</v>
      </c>
      <c r="E1190" s="81" t="s">
        <v>169</v>
      </c>
      <c r="F1190">
        <v>101010</v>
      </c>
      <c r="G1190" s="81" t="s">
        <v>780</v>
      </c>
      <c r="H1190" s="81" t="s">
        <v>28</v>
      </c>
      <c r="I1190" s="3">
        <v>322</v>
      </c>
      <c r="J1190" s="3"/>
      <c r="K1190" s="26">
        <v>322</v>
      </c>
      <c r="L1190" s="2">
        <v>5828.6553000000004</v>
      </c>
      <c r="M1190" s="2">
        <v>1876827</v>
      </c>
      <c r="N1190" s="2">
        <v>1876827</v>
      </c>
      <c r="O1190" s="2">
        <v>5828.66</v>
      </c>
      <c r="P1190" s="2">
        <v>4.7000000000000002E-3</v>
      </c>
      <c r="Q1190" s="2">
        <v>1.52</v>
      </c>
      <c r="R1190" s="4">
        <v>8.098768660638016E-7</v>
      </c>
      <c r="T1190">
        <v>44204</v>
      </c>
      <c r="U1190" s="2">
        <v>1876827</v>
      </c>
      <c r="W1190" s="2">
        <v>6579000000</v>
      </c>
      <c r="X1190" s="6">
        <v>1876828.52</v>
      </c>
      <c r="Y1190" s="38">
        <v>10010</v>
      </c>
      <c r="Z1190" s="86">
        <f>+((DETALLE_GD_1[[#This Row],[VALOR X UN (GD)]]-DETALLE_GD_1[[#This Row],[VALOR PPTO]])/DETALLE_GD_1[[#This Row],[VALOR PPTO]])</f>
        <v>-8.0636029541992917E-7</v>
      </c>
      <c r="AA1190" s="2">
        <f>+DETALLE_GD_1[[#This Row],[VALOR PPTO]]*DETALLE_GD_1[[#This Row],[CANTIDAD RECIBIDA]]</f>
        <v>1876828.52</v>
      </c>
      <c r="AB1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0" s="3">
        <f>+DETALLE_GD_1[[#This Row],[CANTIDAD SOLICITADA]]-DETALLE_GD_1[[#This Row],[DEVOLUCIÓN]]</f>
        <v>322</v>
      </c>
      <c r="AD1190" s="38" t="str">
        <f>+_xlfn.XLOOKUP(DETALLE_GD_1[[#This Row],[CODIGO]],PRODUCTOS[CODIGO],PRODUCTOS[DESC CORTA],"",0)</f>
        <v/>
      </c>
    </row>
    <row r="1191" spans="1:30" x14ac:dyDescent="0.25">
      <c r="A1191" s="1">
        <v>46146</v>
      </c>
      <c r="B1191" s="1">
        <v>46146</v>
      </c>
      <c r="C1191" s="81" t="s">
        <v>169</v>
      </c>
      <c r="D1191" s="38">
        <v>5</v>
      </c>
      <c r="E1191" s="81" t="s">
        <v>169</v>
      </c>
      <c r="F1191" t="s">
        <v>562</v>
      </c>
      <c r="G1191" s="81" t="s">
        <v>708</v>
      </c>
      <c r="H1191" s="81" t="s">
        <v>47</v>
      </c>
      <c r="I1191" s="3">
        <v>49</v>
      </c>
      <c r="J1191" s="3"/>
      <c r="K1191" s="26">
        <v>49</v>
      </c>
      <c r="L1191" s="2">
        <v>328.26530000000002</v>
      </c>
      <c r="M1191" s="2">
        <v>16085</v>
      </c>
      <c r="N1191" s="2">
        <v>16085</v>
      </c>
      <c r="O1191" s="2"/>
      <c r="P1191" s="2"/>
      <c r="Q1191" s="2">
        <v>-16085</v>
      </c>
      <c r="R1191" s="4"/>
      <c r="T1191">
        <v>314276</v>
      </c>
      <c r="U1191" s="2">
        <v>16085</v>
      </c>
      <c r="V1191">
        <v>6116</v>
      </c>
      <c r="W1191" s="2">
        <v>6579000000</v>
      </c>
      <c r="X1191" s="6" t="s">
        <v>355</v>
      </c>
      <c r="Y1191" s="38">
        <v>10010</v>
      </c>
      <c r="Z1191" s="86" t="e">
        <f>+((DETALLE_GD_1[[#This Row],[VALOR X UN (GD)]]-DETALLE_GD_1[[#This Row],[VALOR PPTO]])/DETALLE_GD_1[[#This Row],[VALOR PPTO]])</f>
        <v>#DIV/0!</v>
      </c>
      <c r="AA1191" s="2">
        <f>+DETALLE_GD_1[[#This Row],[VALOR PPTO]]*DETALLE_GD_1[[#This Row],[CANTIDAD RECIBIDA]]</f>
        <v>0</v>
      </c>
      <c r="AB1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1" s="3">
        <f>+DETALLE_GD_1[[#This Row],[CANTIDAD SOLICITADA]]-DETALLE_GD_1[[#This Row],[DEVOLUCIÓN]]</f>
        <v>49</v>
      </c>
      <c r="AD1191" s="38" t="str">
        <f>+_xlfn.XLOOKUP(DETALLE_GD_1[[#This Row],[CODIGO]],PRODUCTOS[CODIGO],PRODUCTOS[DESC CORTA],"",0)</f>
        <v/>
      </c>
    </row>
    <row r="1192" spans="1:30" x14ac:dyDescent="0.25">
      <c r="A1192" s="1">
        <v>46146</v>
      </c>
      <c r="B1192" s="1">
        <v>46146</v>
      </c>
      <c r="C1192" s="81" t="s">
        <v>169</v>
      </c>
      <c r="D1192" s="38">
        <v>5</v>
      </c>
      <c r="E1192" s="81" t="s">
        <v>169</v>
      </c>
      <c r="F1192">
        <v>1808148</v>
      </c>
      <c r="G1192" s="81" t="s">
        <v>276</v>
      </c>
      <c r="H1192" s="81" t="s">
        <v>31</v>
      </c>
      <c r="I1192" s="3">
        <v>3</v>
      </c>
      <c r="J1192" s="3"/>
      <c r="K1192" s="26">
        <v>3</v>
      </c>
      <c r="L1192" s="2">
        <v>1098.6667</v>
      </c>
      <c r="M1192" s="2">
        <v>3296</v>
      </c>
      <c r="N1192" s="2">
        <v>3296</v>
      </c>
      <c r="O1192" s="2">
        <v>1089</v>
      </c>
      <c r="P1192" s="2">
        <v>-9.6667000000000005</v>
      </c>
      <c r="Q1192" s="2">
        <v>-29</v>
      </c>
      <c r="R1192" s="4">
        <v>-8.8766452402816737E-3</v>
      </c>
      <c r="T1192">
        <v>314262</v>
      </c>
      <c r="U1192" s="2">
        <v>596032</v>
      </c>
      <c r="V1192">
        <v>6116</v>
      </c>
      <c r="W1192" s="2">
        <v>6579000000</v>
      </c>
      <c r="X1192" s="6">
        <v>3267</v>
      </c>
      <c r="Y1192" s="38">
        <v>10010</v>
      </c>
      <c r="Z1192" s="86">
        <f>+((DETALLE_GD_1[[#This Row],[VALOR X UN (GD)]]-DETALLE_GD_1[[#This Row],[VALOR PPTO]])/DETALLE_GD_1[[#This Row],[VALOR PPTO]])</f>
        <v>8.8766758494031144E-3</v>
      </c>
      <c r="AA1192" s="2">
        <f>+DETALLE_GD_1[[#This Row],[VALOR PPTO]]*DETALLE_GD_1[[#This Row],[CANTIDAD RECIBIDA]]</f>
        <v>3267</v>
      </c>
      <c r="AB1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2" s="3">
        <f>+DETALLE_GD_1[[#This Row],[CANTIDAD SOLICITADA]]-DETALLE_GD_1[[#This Row],[DEVOLUCIÓN]]</f>
        <v>3</v>
      </c>
      <c r="AD1192" s="38" t="str">
        <f>+_xlfn.XLOOKUP(DETALLE_GD_1[[#This Row],[CODIGO]],PRODUCTOS[CODIGO],PRODUCTOS[DESC CORTA],"",0)</f>
        <v>SELLO INSTALACION WC</v>
      </c>
    </row>
    <row r="1193" spans="1:30" x14ac:dyDescent="0.25">
      <c r="A1193" s="1">
        <v>46146</v>
      </c>
      <c r="B1193" s="1">
        <v>46146</v>
      </c>
      <c r="C1193" s="81" t="s">
        <v>169</v>
      </c>
      <c r="D1193" s="38">
        <v>5</v>
      </c>
      <c r="E1193" s="81" t="s">
        <v>169</v>
      </c>
      <c r="F1193">
        <v>1808145</v>
      </c>
      <c r="G1193" s="81" t="s">
        <v>273</v>
      </c>
      <c r="H1193" s="81" t="s">
        <v>31</v>
      </c>
      <c r="I1193" s="3">
        <v>3</v>
      </c>
      <c r="J1193" s="3"/>
      <c r="K1193" s="26">
        <v>3</v>
      </c>
      <c r="L1193" s="2">
        <v>16269.6667</v>
      </c>
      <c r="M1193" s="2">
        <v>48809</v>
      </c>
      <c r="N1193" s="2">
        <v>48809</v>
      </c>
      <c r="O1193" s="2">
        <v>17145</v>
      </c>
      <c r="P1193" s="2">
        <v>875.33330000000001</v>
      </c>
      <c r="Q1193" s="2">
        <v>2626</v>
      </c>
      <c r="R1193" s="4">
        <v>5.1054729269952401E-2</v>
      </c>
      <c r="T1193">
        <v>314262</v>
      </c>
      <c r="U1193" s="2"/>
      <c r="V1193">
        <v>6116</v>
      </c>
      <c r="W1193" s="2">
        <v>6579000000</v>
      </c>
      <c r="X1193" s="6">
        <v>51435</v>
      </c>
      <c r="Y1193" s="38">
        <v>10010</v>
      </c>
      <c r="Z1193" s="86">
        <f>+((DETALLE_GD_1[[#This Row],[VALOR X UN (GD)]]-DETALLE_GD_1[[#This Row],[VALOR PPTO]])/DETALLE_GD_1[[#This Row],[VALOR PPTO]])</f>
        <v>-5.1054727325750962E-2</v>
      </c>
      <c r="AA1193" s="2">
        <f>+DETALLE_GD_1[[#This Row],[VALOR PPTO]]*DETALLE_GD_1[[#This Row],[CANTIDAD RECIBIDA]]</f>
        <v>51435</v>
      </c>
      <c r="AB1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3" s="3">
        <f>+DETALLE_GD_1[[#This Row],[CANTIDAD SOLICITADA]]-DETALLE_GD_1[[#This Row],[DEVOLUCIÓN]]</f>
        <v>3</v>
      </c>
      <c r="AD1193" s="38" t="str">
        <f>+_xlfn.XLOOKUP(DETALLE_GD_1[[#This Row],[CODIGO]],PRODUCTOS[CODIGO],PRODUCTOS[DESC CORTA],"",0)</f>
        <v>ESTANQUE WC AURA</v>
      </c>
    </row>
    <row r="1194" spans="1:30" x14ac:dyDescent="0.25">
      <c r="A1194" s="1">
        <v>46146</v>
      </c>
      <c r="B1194" s="1">
        <v>46146</v>
      </c>
      <c r="C1194" s="81" t="s">
        <v>169</v>
      </c>
      <c r="D1194" s="38">
        <v>5</v>
      </c>
      <c r="E1194" s="81" t="s">
        <v>169</v>
      </c>
      <c r="F1194">
        <v>1808144</v>
      </c>
      <c r="G1194" s="81" t="s">
        <v>272</v>
      </c>
      <c r="H1194" s="81" t="s">
        <v>31</v>
      </c>
      <c r="I1194" s="3">
        <v>3</v>
      </c>
      <c r="J1194" s="3"/>
      <c r="K1194" s="26">
        <v>3</v>
      </c>
      <c r="L1194" s="2">
        <v>23316.666700000002</v>
      </c>
      <c r="M1194" s="2">
        <v>69950</v>
      </c>
      <c r="N1194" s="2">
        <v>69950</v>
      </c>
      <c r="O1194" s="2">
        <v>23228</v>
      </c>
      <c r="P1194" s="2">
        <v>-88.666700000000006</v>
      </c>
      <c r="Q1194" s="2">
        <v>-266</v>
      </c>
      <c r="R1194" s="4">
        <v>-3.8172320762298894E-3</v>
      </c>
      <c r="T1194">
        <v>314262</v>
      </c>
      <c r="U1194" s="2"/>
      <c r="V1194">
        <v>6116</v>
      </c>
      <c r="W1194" s="2">
        <v>6579000000</v>
      </c>
      <c r="X1194" s="6">
        <v>69684</v>
      </c>
      <c r="Y1194" s="38">
        <v>10010</v>
      </c>
      <c r="Z1194" s="86">
        <f>+((DETALLE_GD_1[[#This Row],[VALOR X UN (GD)]]-DETALLE_GD_1[[#This Row],[VALOR PPTO]])/DETALLE_GD_1[[#This Row],[VALOR PPTO]])</f>
        <v>3.8172335112795584E-3</v>
      </c>
      <c r="AA1194" s="2">
        <f>+DETALLE_GD_1[[#This Row],[VALOR PPTO]]*DETALLE_GD_1[[#This Row],[CANTIDAD RECIBIDA]]</f>
        <v>69684</v>
      </c>
      <c r="AB1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4" s="3">
        <f>+DETALLE_GD_1[[#This Row],[CANTIDAD SOLICITADA]]-DETALLE_GD_1[[#This Row],[DEVOLUCIÓN]]</f>
        <v>3</v>
      </c>
      <c r="AD1194" s="38" t="str">
        <f>+_xlfn.XLOOKUP(DETALLE_GD_1[[#This Row],[CODIGO]],PRODUCTOS[CODIGO],PRODUCTOS[DESC CORTA],"",0)</f>
        <v>TAZA WC AURA</v>
      </c>
    </row>
    <row r="1195" spans="1:30" x14ac:dyDescent="0.25">
      <c r="A1195" s="1">
        <v>46146</v>
      </c>
      <c r="B1195" s="1">
        <v>46146</v>
      </c>
      <c r="C1195" s="81" t="s">
        <v>169</v>
      </c>
      <c r="D1195" s="38">
        <v>5</v>
      </c>
      <c r="E1195" s="81" t="s">
        <v>169</v>
      </c>
      <c r="F1195">
        <v>407795</v>
      </c>
      <c r="G1195" s="81" t="s">
        <v>325</v>
      </c>
      <c r="H1195" s="81" t="s">
        <v>31</v>
      </c>
      <c r="I1195" s="3">
        <v>3</v>
      </c>
      <c r="J1195" s="3"/>
      <c r="K1195" s="26">
        <v>3</v>
      </c>
      <c r="L1195" s="2">
        <v>1611</v>
      </c>
      <c r="M1195" s="2">
        <v>4833</v>
      </c>
      <c r="N1195" s="2">
        <v>4833</v>
      </c>
      <c r="O1195" s="2">
        <v>1610.9336000000001</v>
      </c>
      <c r="P1195" s="2">
        <v>-6.6400000000000001E-2</v>
      </c>
      <c r="Q1195" s="2">
        <v>-0.19919999999999999</v>
      </c>
      <c r="R1195" s="4">
        <v>-4.1212126674764554E-5</v>
      </c>
      <c r="T1195">
        <v>314262</v>
      </c>
      <c r="U1195" s="2"/>
      <c r="V1195">
        <v>6116</v>
      </c>
      <c r="W1195" s="2">
        <v>6579000000</v>
      </c>
      <c r="X1195" s="6">
        <v>4832.8008300000001</v>
      </c>
      <c r="Y1195" s="38">
        <v>10010</v>
      </c>
      <c r="Z1195" s="86">
        <f>+((DETALLE_GD_1[[#This Row],[VALOR X UN (GD)]]-DETALLE_GD_1[[#This Row],[VALOR PPTO]])/DETALLE_GD_1[[#This Row],[VALOR PPTO]])</f>
        <v>4.1218334511075141E-5</v>
      </c>
      <c r="AA1195" s="2">
        <f>+DETALLE_GD_1[[#This Row],[VALOR PPTO]]*DETALLE_GD_1[[#This Row],[CANTIDAD RECIBIDA]]</f>
        <v>4832.8008</v>
      </c>
      <c r="AB11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5" s="3">
        <f>+DETALLE_GD_1[[#This Row],[CANTIDAD SOLICITADA]]-DETALLE_GD_1[[#This Row],[DEVOLUCIÓN]]</f>
        <v>3</v>
      </c>
      <c r="AD1195" s="38" t="str">
        <f>+_xlfn.XLOOKUP(DETALLE_GD_1[[#This Row],[CODIGO]],PRODUCTOS[CODIGO],PRODUCTOS[DESC CORTA],"",0)</f>
        <v>SET BALCON</v>
      </c>
    </row>
    <row r="1196" spans="1:30" x14ac:dyDescent="0.25">
      <c r="A1196" s="1">
        <v>46146</v>
      </c>
      <c r="B1196" s="1">
        <v>46146</v>
      </c>
      <c r="C1196" s="81" t="s">
        <v>169</v>
      </c>
      <c r="D1196" s="38">
        <v>5</v>
      </c>
      <c r="E1196" s="81" t="s">
        <v>169</v>
      </c>
      <c r="F1196">
        <v>1808147</v>
      </c>
      <c r="G1196" s="81" t="s">
        <v>275</v>
      </c>
      <c r="H1196" s="81" t="s">
        <v>31</v>
      </c>
      <c r="I1196" s="3">
        <v>3</v>
      </c>
      <c r="J1196" s="3"/>
      <c r="K1196" s="26">
        <v>3</v>
      </c>
      <c r="L1196" s="2">
        <v>2219.6667000000002</v>
      </c>
      <c r="M1196" s="2">
        <v>6659</v>
      </c>
      <c r="N1196" s="2">
        <v>6659</v>
      </c>
      <c r="O1196" s="2">
        <v>2293</v>
      </c>
      <c r="P1196" s="2">
        <v>73.333299999999994</v>
      </c>
      <c r="Q1196" s="2">
        <v>220</v>
      </c>
      <c r="R1196" s="4">
        <v>3.1981392644279759E-2</v>
      </c>
      <c r="T1196">
        <v>314262</v>
      </c>
      <c r="U1196" s="2"/>
      <c r="V1196">
        <v>6116</v>
      </c>
      <c r="W1196" s="2">
        <v>6579000000</v>
      </c>
      <c r="X1196" s="6">
        <v>6879</v>
      </c>
      <c r="Y1196" s="38">
        <v>10010</v>
      </c>
      <c r="Z1196" s="86">
        <f>+((DETALLE_GD_1[[#This Row],[VALOR X UN (GD)]]-DETALLE_GD_1[[#This Row],[VALOR PPTO]])/DETALLE_GD_1[[#This Row],[VALOR PPTO]])</f>
        <v>-3.1981378107282937E-2</v>
      </c>
      <c r="AA1196" s="2">
        <f>+DETALLE_GD_1[[#This Row],[VALOR PPTO]]*DETALLE_GD_1[[#This Row],[CANTIDAD RECIBIDA]]</f>
        <v>6879</v>
      </c>
      <c r="AB1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6" s="3">
        <f>+DETALLE_GD_1[[#This Row],[CANTIDAD SOLICITADA]]-DETALLE_GD_1[[#This Row],[DEVOLUCIÓN]]</f>
        <v>3</v>
      </c>
      <c r="AD1196" s="38" t="str">
        <f>+_xlfn.XLOOKUP(DETALLE_GD_1[[#This Row],[CODIGO]],PRODUCTOS[CODIGO],PRODUCTOS[DESC CORTA],"",0)</f>
        <v>LLAVE ANGULAR 1/2X</v>
      </c>
    </row>
    <row r="1197" spans="1:30" x14ac:dyDescent="0.25">
      <c r="A1197" s="1">
        <v>46146</v>
      </c>
      <c r="B1197" s="1">
        <v>46146</v>
      </c>
      <c r="C1197" s="81" t="s">
        <v>169</v>
      </c>
      <c r="D1197" s="38">
        <v>5</v>
      </c>
      <c r="E1197" s="81" t="s">
        <v>169</v>
      </c>
      <c r="F1197">
        <v>1802166</v>
      </c>
      <c r="G1197" s="81" t="s">
        <v>283</v>
      </c>
      <c r="H1197" s="81" t="s">
        <v>31</v>
      </c>
      <c r="I1197" s="3">
        <v>3</v>
      </c>
      <c r="J1197" s="3"/>
      <c r="K1197" s="26">
        <v>3</v>
      </c>
      <c r="L1197" s="2">
        <v>13869</v>
      </c>
      <c r="M1197" s="2">
        <v>41607</v>
      </c>
      <c r="N1197" s="2">
        <v>41607</v>
      </c>
      <c r="O1197" s="2">
        <v>13869</v>
      </c>
      <c r="P1197" s="2">
        <v>0</v>
      </c>
      <c r="Q1197" s="2">
        <v>0</v>
      </c>
      <c r="R1197" s="4">
        <v>0</v>
      </c>
      <c r="T1197">
        <v>314262</v>
      </c>
      <c r="U1197" s="2"/>
      <c r="V1197">
        <v>6116</v>
      </c>
      <c r="W1197" s="2">
        <v>6579000000</v>
      </c>
      <c r="X1197" s="6">
        <v>41607</v>
      </c>
      <c r="Y1197" s="38">
        <v>10010</v>
      </c>
      <c r="Z1197" s="86">
        <f>+((DETALLE_GD_1[[#This Row],[VALOR X UN (GD)]]-DETALLE_GD_1[[#This Row],[VALOR PPTO]])/DETALLE_GD_1[[#This Row],[VALOR PPTO]])</f>
        <v>0</v>
      </c>
      <c r="AA1197" s="2">
        <f>+DETALLE_GD_1[[#This Row],[VALOR PPTO]]*DETALLE_GD_1[[#This Row],[CANTIDAD RECIBIDA]]</f>
        <v>41607</v>
      </c>
      <c r="AB1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7" s="3">
        <f>+DETALLE_GD_1[[#This Row],[CANTIDAD SOLICITADA]]-DETALLE_GD_1[[#This Row],[DEVOLUCIÓN]]</f>
        <v>3</v>
      </c>
      <c r="AD1197" s="38" t="str">
        <f>+_xlfn.XLOOKUP(DETALLE_GD_1[[#This Row],[CODIGO]],PRODUCTOS[CODIGO],PRODUCTOS[DESC CORTA],"",0)</f>
        <v>NEW TS2024022)</v>
      </c>
    </row>
    <row r="1198" spans="1:30" x14ac:dyDescent="0.25">
      <c r="A1198" s="1">
        <v>46146</v>
      </c>
      <c r="B1198" s="1">
        <v>46146</v>
      </c>
      <c r="C1198" s="81" t="s">
        <v>169</v>
      </c>
      <c r="D1198" s="38">
        <v>5</v>
      </c>
      <c r="E1198" s="81" t="s">
        <v>169</v>
      </c>
      <c r="F1198">
        <v>1703006</v>
      </c>
      <c r="G1198" s="81" t="s">
        <v>48</v>
      </c>
      <c r="H1198" s="81" t="s">
        <v>31</v>
      </c>
      <c r="I1198" s="3">
        <v>3</v>
      </c>
      <c r="J1198" s="3"/>
      <c r="K1198" s="26">
        <v>3</v>
      </c>
      <c r="L1198" s="2">
        <v>1662.3333</v>
      </c>
      <c r="M1198" s="2">
        <v>4987</v>
      </c>
      <c r="N1198" s="2">
        <v>4987</v>
      </c>
      <c r="O1198" s="2">
        <v>1662</v>
      </c>
      <c r="P1198" s="2">
        <v>-0.33329999999999999</v>
      </c>
      <c r="Q1198" s="2">
        <v>-1</v>
      </c>
      <c r="R1198" s="4">
        <v>-2.0056157240268204E-4</v>
      </c>
      <c r="T1198">
        <v>314262</v>
      </c>
      <c r="U1198" s="2"/>
      <c r="V1198">
        <v>6116</v>
      </c>
      <c r="W1198" s="2">
        <v>6579000000</v>
      </c>
      <c r="X1198" s="6">
        <v>4986</v>
      </c>
      <c r="Y1198" s="38">
        <v>10010</v>
      </c>
      <c r="Z1198" s="86">
        <f>+((DETALLE_GD_1[[#This Row],[VALOR X UN (GD)]]-DETALLE_GD_1[[#This Row],[VALOR PPTO]])/DETALLE_GD_1[[#This Row],[VALOR PPTO]])</f>
        <v>2.0054151624549239E-4</v>
      </c>
      <c r="AA1198" s="2">
        <f>+DETALLE_GD_1[[#This Row],[VALOR PPTO]]*DETALLE_GD_1[[#This Row],[CANTIDAD RECIBIDA]]</f>
        <v>4986</v>
      </c>
      <c r="AB1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8" s="3">
        <f>+DETALLE_GD_1[[#This Row],[CANTIDAD SOLICITADA]]-DETALLE_GD_1[[#This Row],[DEVOLUCIÓN]]</f>
        <v>3</v>
      </c>
      <c r="AD1198" s="38" t="str">
        <f>+_xlfn.XLOOKUP(DETALLE_GD_1[[#This Row],[CODIGO]],PRODUCTOS[CODIGO],PRODUCTOS[DESC CORTA],"",0)</f>
        <v>SIFON LAVAPLATO</v>
      </c>
    </row>
    <row r="1199" spans="1:30" x14ac:dyDescent="0.25">
      <c r="A1199" s="1">
        <v>46146</v>
      </c>
      <c r="B1199" s="1">
        <v>46146</v>
      </c>
      <c r="C1199" s="81" t="s">
        <v>169</v>
      </c>
      <c r="D1199" s="38">
        <v>5</v>
      </c>
      <c r="E1199" s="81" t="s">
        <v>169</v>
      </c>
      <c r="F1199">
        <v>5316508</v>
      </c>
      <c r="G1199" s="81" t="s">
        <v>470</v>
      </c>
      <c r="H1199" s="81" t="s">
        <v>31</v>
      </c>
      <c r="I1199" s="3">
        <v>3</v>
      </c>
      <c r="J1199" s="3"/>
      <c r="K1199" s="26">
        <v>3</v>
      </c>
      <c r="L1199" s="2">
        <v>14589.6667</v>
      </c>
      <c r="M1199" s="2">
        <v>43769</v>
      </c>
      <c r="N1199" s="2">
        <v>43769</v>
      </c>
      <c r="O1199" s="2"/>
      <c r="P1199" s="2"/>
      <c r="Q1199" s="2">
        <v>-43769</v>
      </c>
      <c r="R1199" s="4"/>
      <c r="T1199">
        <v>314262</v>
      </c>
      <c r="U1199" s="2"/>
      <c r="V1199">
        <v>6116</v>
      </c>
      <c r="W1199" s="2">
        <v>6579000000</v>
      </c>
      <c r="X1199" s="6" t="s">
        <v>355</v>
      </c>
      <c r="Y1199" s="38">
        <v>10010</v>
      </c>
      <c r="Z1199" s="86" t="e">
        <f>+((DETALLE_GD_1[[#This Row],[VALOR X UN (GD)]]-DETALLE_GD_1[[#This Row],[VALOR PPTO]])/DETALLE_GD_1[[#This Row],[VALOR PPTO]])</f>
        <v>#DIV/0!</v>
      </c>
      <c r="AA1199" s="2">
        <f>+DETALLE_GD_1[[#This Row],[VALOR PPTO]]*DETALLE_GD_1[[#This Row],[CANTIDAD RECIBIDA]]</f>
        <v>0</v>
      </c>
      <c r="AB1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9" s="3">
        <f>+DETALLE_GD_1[[#This Row],[CANTIDAD SOLICITADA]]-DETALLE_GD_1[[#This Row],[DEVOLUCIÓN]]</f>
        <v>3</v>
      </c>
      <c r="AD1199" s="38" t="str">
        <f>+_xlfn.XLOOKUP(DETALLE_GD_1[[#This Row],[CODIGO]],PRODUCTOS[CODIGO],PRODUCTOS[DESC CORTA],"",0)</f>
        <v/>
      </c>
    </row>
    <row r="1200" spans="1:30" x14ac:dyDescent="0.25">
      <c r="A1200" s="1">
        <v>46146</v>
      </c>
      <c r="B1200" s="1">
        <v>46146</v>
      </c>
      <c r="C1200" s="81" t="s">
        <v>169</v>
      </c>
      <c r="D1200" s="38">
        <v>5</v>
      </c>
      <c r="E1200" s="81" t="s">
        <v>169</v>
      </c>
      <c r="F1200">
        <v>5316507</v>
      </c>
      <c r="G1200" s="81" t="s">
        <v>55</v>
      </c>
      <c r="H1200" s="81" t="s">
        <v>31</v>
      </c>
      <c r="I1200" s="3">
        <v>3</v>
      </c>
      <c r="J1200" s="3"/>
      <c r="K1200" s="26">
        <v>3</v>
      </c>
      <c r="L1200" s="2">
        <v>41419.666700000002</v>
      </c>
      <c r="M1200" s="2">
        <v>124259</v>
      </c>
      <c r="N1200" s="2">
        <v>124259</v>
      </c>
      <c r="O1200" s="2">
        <v>41419.666700000002</v>
      </c>
      <c r="P1200" s="2">
        <v>0</v>
      </c>
      <c r="Q1200" s="2">
        <v>0</v>
      </c>
      <c r="R1200" s="4">
        <v>8.0477095303173876E-12</v>
      </c>
      <c r="T1200">
        <v>314262</v>
      </c>
      <c r="U1200" s="2"/>
      <c r="V1200">
        <v>6116</v>
      </c>
      <c r="W1200" s="2">
        <v>6579000000</v>
      </c>
      <c r="X1200" s="6">
        <v>124259.00000099999</v>
      </c>
      <c r="Y1200" s="38">
        <v>10010</v>
      </c>
      <c r="Z1200" s="86">
        <f>+((DETALLE_GD_1[[#This Row],[VALOR X UN (GD)]]-DETALLE_GD_1[[#This Row],[VALOR PPTO]])/DETALLE_GD_1[[#This Row],[VALOR PPTO]])</f>
        <v>0</v>
      </c>
      <c r="AA1200" s="2">
        <f>+DETALLE_GD_1[[#This Row],[VALOR PPTO]]*DETALLE_GD_1[[#This Row],[CANTIDAD RECIBIDA]]</f>
        <v>124259.0001</v>
      </c>
      <c r="AB1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0" s="3">
        <f>+DETALLE_GD_1[[#This Row],[CANTIDAD SOLICITADA]]-DETALLE_GD_1[[#This Row],[DEVOLUCIÓN]]</f>
        <v>3</v>
      </c>
      <c r="AD1200" s="38" t="str">
        <f>+_xlfn.XLOOKUP(DETALLE_GD_1[[#This Row],[CODIGO]],PRODUCTOS[CODIGO],PRODUCTOS[DESC CORTA],"",0)</f>
        <v>MUEBLE LAVAPLATOS</v>
      </c>
    </row>
    <row r="1201" spans="1:30" x14ac:dyDescent="0.25">
      <c r="A1201" s="1">
        <v>46146</v>
      </c>
      <c r="B1201" s="1">
        <v>46146</v>
      </c>
      <c r="C1201" s="81" t="s">
        <v>169</v>
      </c>
      <c r="D1201" s="38">
        <v>5</v>
      </c>
      <c r="E1201" s="81" t="s">
        <v>169</v>
      </c>
      <c r="F1201">
        <v>2505426</v>
      </c>
      <c r="G1201" s="81" t="s">
        <v>711</v>
      </c>
      <c r="H1201" s="81" t="s">
        <v>31</v>
      </c>
      <c r="I1201" s="3">
        <v>3</v>
      </c>
      <c r="J1201" s="3"/>
      <c r="K1201" s="26">
        <v>3</v>
      </c>
      <c r="L1201" s="2">
        <v>1847</v>
      </c>
      <c r="M1201" s="2">
        <v>5541</v>
      </c>
      <c r="N1201" s="2">
        <v>5541</v>
      </c>
      <c r="O1201" s="2">
        <v>1684</v>
      </c>
      <c r="P1201" s="2">
        <v>-163</v>
      </c>
      <c r="Q1201" s="2">
        <v>-489</v>
      </c>
      <c r="R1201" s="4">
        <v>-9.6793349168646084E-2</v>
      </c>
      <c r="T1201">
        <v>314262</v>
      </c>
      <c r="U1201" s="2"/>
      <c r="V1201">
        <v>6116</v>
      </c>
      <c r="W1201" s="2">
        <v>6579000000</v>
      </c>
      <c r="X1201" s="6">
        <v>5052</v>
      </c>
      <c r="Y1201" s="38">
        <v>10010</v>
      </c>
      <c r="Z1201" s="86">
        <f>+((DETALLE_GD_1[[#This Row],[VALOR X UN (GD)]]-DETALLE_GD_1[[#This Row],[VALOR PPTO]])/DETALLE_GD_1[[#This Row],[VALOR PPTO]])</f>
        <v>9.6793349168646084E-2</v>
      </c>
      <c r="AA1201" s="2">
        <f>+DETALLE_GD_1[[#This Row],[VALOR PPTO]]*DETALLE_GD_1[[#This Row],[CANTIDAD RECIBIDA]]</f>
        <v>5052</v>
      </c>
      <c r="AB1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1" s="3">
        <f>+DETALLE_GD_1[[#This Row],[CANTIDAD SOLICITADA]]-DETALLE_GD_1[[#This Row],[DEVOLUCIÓN]]</f>
        <v>3</v>
      </c>
      <c r="AD1201" s="38" t="str">
        <f>+_xlfn.XLOOKUP(DETALLE_GD_1[[#This Row],[CODIGO]],PRODUCTOS[CODIGO],PRODUCTOS[DESC CORTA],"",0)</f>
        <v/>
      </c>
    </row>
    <row r="1202" spans="1:30" x14ac:dyDescent="0.25">
      <c r="A1202" s="1">
        <v>46146</v>
      </c>
      <c r="B1202" s="1">
        <v>46146</v>
      </c>
      <c r="C1202" s="81" t="s">
        <v>169</v>
      </c>
      <c r="D1202" s="38">
        <v>5</v>
      </c>
      <c r="E1202" s="81" t="s">
        <v>169</v>
      </c>
      <c r="F1202">
        <v>1802176</v>
      </c>
      <c r="G1202" s="81" t="s">
        <v>196</v>
      </c>
      <c r="H1202" s="81" t="s">
        <v>31</v>
      </c>
      <c r="I1202" s="3">
        <v>3</v>
      </c>
      <c r="J1202" s="3"/>
      <c r="K1202" s="26">
        <v>3</v>
      </c>
      <c r="L1202" s="2">
        <v>2199</v>
      </c>
      <c r="M1202" s="2">
        <v>6597</v>
      </c>
      <c r="N1202" s="2">
        <v>6597</v>
      </c>
      <c r="O1202" s="2">
        <v>2199</v>
      </c>
      <c r="P1202" s="2">
        <v>0</v>
      </c>
      <c r="Q1202" s="2">
        <v>0</v>
      </c>
      <c r="R1202" s="4">
        <v>0</v>
      </c>
      <c r="T1202">
        <v>314262</v>
      </c>
      <c r="U1202" s="2"/>
      <c r="V1202">
        <v>6116</v>
      </c>
      <c r="W1202" s="2">
        <v>6579000000</v>
      </c>
      <c r="X1202" s="6">
        <v>6597</v>
      </c>
      <c r="Y1202" s="38">
        <v>10010</v>
      </c>
      <c r="Z1202" s="86">
        <f>+((DETALLE_GD_1[[#This Row],[VALOR X UN (GD)]]-DETALLE_GD_1[[#This Row],[VALOR PPTO]])/DETALLE_GD_1[[#This Row],[VALOR PPTO]])</f>
        <v>0</v>
      </c>
      <c r="AA1202" s="2">
        <f>+DETALLE_GD_1[[#This Row],[VALOR PPTO]]*DETALLE_GD_1[[#This Row],[CANTIDAD RECIBIDA]]</f>
        <v>6597</v>
      </c>
      <c r="AB12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2" s="3">
        <f>+DETALLE_GD_1[[#This Row],[CANTIDAD SOLICITADA]]-DETALLE_GD_1[[#This Row],[DEVOLUCIÓN]]</f>
        <v>3</v>
      </c>
      <c r="AD1202" s="38">
        <f>+_xlfn.XLOOKUP(DETALLE_GD_1[[#This Row],[CODIGO]],PRODUCTOS[CODIGO],PRODUCTOS[DESC CORTA],"",0)</f>
        <v>0</v>
      </c>
    </row>
    <row r="1203" spans="1:30" x14ac:dyDescent="0.25">
      <c r="A1203" s="1">
        <v>46146</v>
      </c>
      <c r="B1203" s="1">
        <v>46146</v>
      </c>
      <c r="C1203" s="81" t="s">
        <v>169</v>
      </c>
      <c r="D1203" s="38">
        <v>5</v>
      </c>
      <c r="E1203" s="81" t="s">
        <v>169</v>
      </c>
      <c r="F1203">
        <v>1802165</v>
      </c>
      <c r="G1203" s="81" t="s">
        <v>261</v>
      </c>
      <c r="H1203" s="81" t="s">
        <v>31</v>
      </c>
      <c r="I1203" s="3">
        <v>3</v>
      </c>
      <c r="J1203" s="3"/>
      <c r="K1203" s="26">
        <v>3</v>
      </c>
      <c r="L1203" s="2">
        <v>9122</v>
      </c>
      <c r="M1203" s="2">
        <v>27366</v>
      </c>
      <c r="N1203" s="2">
        <v>27366</v>
      </c>
      <c r="O1203" s="2">
        <v>9122</v>
      </c>
      <c r="P1203" s="2">
        <v>0</v>
      </c>
      <c r="Q1203" s="2">
        <v>0</v>
      </c>
      <c r="R1203" s="4">
        <v>0</v>
      </c>
      <c r="T1203">
        <v>314262</v>
      </c>
      <c r="U1203" s="2"/>
      <c r="V1203">
        <v>6116</v>
      </c>
      <c r="W1203" s="2">
        <v>6579000000</v>
      </c>
      <c r="X1203" s="6">
        <v>27366</v>
      </c>
      <c r="Y1203" s="38">
        <v>10010</v>
      </c>
      <c r="Z1203" s="86">
        <f>+((DETALLE_GD_1[[#This Row],[VALOR X UN (GD)]]-DETALLE_GD_1[[#This Row],[VALOR PPTO]])/DETALLE_GD_1[[#This Row],[VALOR PPTO]])</f>
        <v>0</v>
      </c>
      <c r="AA1203" s="2">
        <f>+DETALLE_GD_1[[#This Row],[VALOR PPTO]]*DETALLE_GD_1[[#This Row],[CANTIDAD RECIBIDA]]</f>
        <v>27366</v>
      </c>
      <c r="AB1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3" s="3">
        <f>+DETALLE_GD_1[[#This Row],[CANTIDAD SOLICITADA]]-DETALLE_GD_1[[#This Row],[DEVOLUCIÓN]]</f>
        <v>3</v>
      </c>
      <c r="AD1203" s="38" t="str">
        <f>+_xlfn.XLOOKUP(DETALLE_GD_1[[#This Row],[CODIGO]],PRODUCTOS[CODIGO],PRODUCTOS[DESC CORTA],"",0)</f>
        <v>NEW TS2024019)</v>
      </c>
    </row>
    <row r="1204" spans="1:30" x14ac:dyDescent="0.25">
      <c r="A1204" s="1">
        <v>46146</v>
      </c>
      <c r="B1204" s="1">
        <v>46146</v>
      </c>
      <c r="C1204" s="81" t="s">
        <v>169</v>
      </c>
      <c r="D1204" s="38">
        <v>5</v>
      </c>
      <c r="E1204" s="81" t="s">
        <v>169</v>
      </c>
      <c r="F1204">
        <v>1701154</v>
      </c>
      <c r="G1204" s="81" t="s">
        <v>713</v>
      </c>
      <c r="H1204" s="81" t="s">
        <v>31</v>
      </c>
      <c r="I1204" s="3">
        <v>3</v>
      </c>
      <c r="J1204" s="3"/>
      <c r="K1204" s="26">
        <v>3</v>
      </c>
      <c r="L1204" s="2">
        <v>1229.6667</v>
      </c>
      <c r="M1204" s="2">
        <v>3689</v>
      </c>
      <c r="N1204" s="2">
        <v>3689</v>
      </c>
      <c r="O1204" s="2">
        <v>1230</v>
      </c>
      <c r="P1204" s="2">
        <v>0.33329999999999999</v>
      </c>
      <c r="Q1204" s="2">
        <v>1</v>
      </c>
      <c r="R1204" s="4">
        <v>2.7100271002703863E-4</v>
      </c>
      <c r="T1204">
        <v>314262</v>
      </c>
      <c r="U1204" s="2"/>
      <c r="V1204">
        <v>6116</v>
      </c>
      <c r="W1204" s="2">
        <v>6579000000</v>
      </c>
      <c r="X1204" s="6">
        <v>3690</v>
      </c>
      <c r="Y1204" s="38">
        <v>10010</v>
      </c>
      <c r="Z1204" s="86">
        <f>+((DETALLE_GD_1[[#This Row],[VALOR X UN (GD)]]-DETALLE_GD_1[[#This Row],[VALOR PPTO]])/DETALLE_GD_1[[#This Row],[VALOR PPTO]])</f>
        <v>-2.7097560975610435E-4</v>
      </c>
      <c r="AA1204" s="2">
        <f>+DETALLE_GD_1[[#This Row],[VALOR PPTO]]*DETALLE_GD_1[[#This Row],[CANTIDAD RECIBIDA]]</f>
        <v>3690</v>
      </c>
      <c r="AB12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4" s="3">
        <f>+DETALLE_GD_1[[#This Row],[CANTIDAD SOLICITADA]]-DETALLE_GD_1[[#This Row],[DEVOLUCIÓN]]</f>
        <v>3</v>
      </c>
      <c r="AD1204" s="38" t="str">
        <f>+_xlfn.XLOOKUP(DETALLE_GD_1[[#This Row],[CODIGO]],PRODUCTOS[CODIGO],PRODUCTOS[DESC CORTA],"",0)</f>
        <v/>
      </c>
    </row>
    <row r="1205" spans="1:30" x14ac:dyDescent="0.25">
      <c r="A1205" s="1">
        <v>46146</v>
      </c>
      <c r="B1205" s="1">
        <v>46146</v>
      </c>
      <c r="C1205" s="81" t="s">
        <v>169</v>
      </c>
      <c r="D1205" s="38">
        <v>5</v>
      </c>
      <c r="E1205" s="81" t="s">
        <v>169</v>
      </c>
      <c r="F1205">
        <v>1802175</v>
      </c>
      <c r="G1205" s="81" t="s">
        <v>269</v>
      </c>
      <c r="H1205" s="81" t="s">
        <v>31</v>
      </c>
      <c r="I1205" s="3">
        <v>3</v>
      </c>
      <c r="J1205" s="3"/>
      <c r="K1205" s="26">
        <v>3</v>
      </c>
      <c r="L1205" s="2">
        <v>1079</v>
      </c>
      <c r="M1205" s="2">
        <v>3237</v>
      </c>
      <c r="N1205" s="2">
        <v>3237</v>
      </c>
      <c r="O1205" s="2">
        <v>1079</v>
      </c>
      <c r="P1205" s="2">
        <v>0</v>
      </c>
      <c r="Q1205" s="2">
        <v>0</v>
      </c>
      <c r="R1205" s="4">
        <v>0</v>
      </c>
      <c r="T1205">
        <v>314262</v>
      </c>
      <c r="U1205" s="2"/>
      <c r="V1205">
        <v>6116</v>
      </c>
      <c r="W1205" s="2">
        <v>6579000000</v>
      </c>
      <c r="X1205" s="6">
        <v>3237</v>
      </c>
      <c r="Y1205" s="38">
        <v>10010</v>
      </c>
      <c r="Z1205" s="86">
        <f>+((DETALLE_GD_1[[#This Row],[VALOR X UN (GD)]]-DETALLE_GD_1[[#This Row],[VALOR PPTO]])/DETALLE_GD_1[[#This Row],[VALOR PPTO]])</f>
        <v>0</v>
      </c>
      <c r="AA1205" s="2">
        <f>+DETALLE_GD_1[[#This Row],[VALOR PPTO]]*DETALLE_GD_1[[#This Row],[CANTIDAD RECIBIDA]]</f>
        <v>3237</v>
      </c>
      <c r="AB1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5" s="3">
        <f>+DETALLE_GD_1[[#This Row],[CANTIDAD SOLICITADA]]-DETALLE_GD_1[[#This Row],[DEVOLUCIÓN]]</f>
        <v>3</v>
      </c>
      <c r="AD1205" s="38" t="str">
        <f>+_xlfn.XLOOKUP(DETALLE_GD_1[[#This Row],[CODIGO]],PRODUCTOS[CODIGO],PRODUCTOS[DESC CORTA],"",0)</f>
        <v>UÑETAS INSTLACION LAVAMANOS</v>
      </c>
    </row>
    <row r="1206" spans="1:30" x14ac:dyDescent="0.25">
      <c r="A1206" s="1">
        <v>46146</v>
      </c>
      <c r="B1206" s="1">
        <v>46146</v>
      </c>
      <c r="C1206" s="81" t="s">
        <v>169</v>
      </c>
      <c r="D1206" s="38">
        <v>5</v>
      </c>
      <c r="E1206" s="81" t="s">
        <v>169</v>
      </c>
      <c r="F1206">
        <v>1802174</v>
      </c>
      <c r="G1206" s="81" t="s">
        <v>268</v>
      </c>
      <c r="H1206" s="81" t="s">
        <v>31</v>
      </c>
      <c r="I1206" s="3">
        <v>3</v>
      </c>
      <c r="J1206" s="3"/>
      <c r="K1206" s="26">
        <v>3</v>
      </c>
      <c r="L1206" s="2">
        <v>7701.6666999999998</v>
      </c>
      <c r="M1206" s="2">
        <v>23105</v>
      </c>
      <c r="N1206" s="2">
        <v>23105</v>
      </c>
      <c r="O1206" s="2">
        <v>7709</v>
      </c>
      <c r="P1206" s="2">
        <v>7.3333000000000004</v>
      </c>
      <c r="Q1206" s="2">
        <v>22</v>
      </c>
      <c r="R1206" s="4">
        <v>9.5126907943092877E-4</v>
      </c>
      <c r="T1206">
        <v>314262</v>
      </c>
      <c r="U1206" s="2"/>
      <c r="V1206">
        <v>6116</v>
      </c>
      <c r="W1206" s="2">
        <v>6579000000</v>
      </c>
      <c r="X1206" s="6">
        <v>23127</v>
      </c>
      <c r="Y1206" s="38">
        <v>10010</v>
      </c>
      <c r="Z1206" s="86">
        <f>+((DETALLE_GD_1[[#This Row],[VALOR X UN (GD)]]-DETALLE_GD_1[[#This Row],[VALOR PPTO]])/DETALLE_GD_1[[#This Row],[VALOR PPTO]])</f>
        <v>-9.5126475548063763E-4</v>
      </c>
      <c r="AA1206" s="2">
        <f>+DETALLE_GD_1[[#This Row],[VALOR PPTO]]*DETALLE_GD_1[[#This Row],[CANTIDAD RECIBIDA]]</f>
        <v>23127</v>
      </c>
      <c r="AB1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6" s="3">
        <f>+DETALLE_GD_1[[#This Row],[CANTIDAD SOLICITADA]]-DETALLE_GD_1[[#This Row],[DEVOLUCIÓN]]</f>
        <v>3</v>
      </c>
      <c r="AD1206" s="38" t="str">
        <f>+_xlfn.XLOOKUP(DETALLE_GD_1[[#This Row],[CODIGO]],PRODUCTOS[CODIGO],PRODUCTOS[DESC CORTA],"",0)</f>
        <v>PEDESTAL DS THEOS</v>
      </c>
    </row>
    <row r="1207" spans="1:30" x14ac:dyDescent="0.25">
      <c r="A1207" s="1">
        <v>46146</v>
      </c>
      <c r="B1207" s="1">
        <v>46146</v>
      </c>
      <c r="C1207" s="81" t="s">
        <v>169</v>
      </c>
      <c r="D1207" s="38">
        <v>5</v>
      </c>
      <c r="E1207" s="81" t="s">
        <v>169</v>
      </c>
      <c r="F1207">
        <v>1802173</v>
      </c>
      <c r="G1207" s="81" t="s">
        <v>267</v>
      </c>
      <c r="H1207" s="81" t="s">
        <v>31</v>
      </c>
      <c r="I1207" s="3">
        <v>3</v>
      </c>
      <c r="J1207" s="3"/>
      <c r="K1207" s="26">
        <v>3</v>
      </c>
      <c r="L1207" s="2">
        <v>11984.6667</v>
      </c>
      <c r="M1207" s="2">
        <v>35954</v>
      </c>
      <c r="N1207" s="2">
        <v>35954</v>
      </c>
      <c r="O1207" s="2">
        <v>11996</v>
      </c>
      <c r="P1207" s="2">
        <v>11.333299999999999</v>
      </c>
      <c r="Q1207" s="2">
        <v>34</v>
      </c>
      <c r="R1207" s="4">
        <v>9.4475936423257247E-4</v>
      </c>
      <c r="T1207">
        <v>314262</v>
      </c>
      <c r="U1207" s="2"/>
      <c r="V1207">
        <v>6116</v>
      </c>
      <c r="W1207" s="2">
        <v>6579000000</v>
      </c>
      <c r="X1207" s="6">
        <v>35988</v>
      </c>
      <c r="Y1207" s="38">
        <v>10010</v>
      </c>
      <c r="Z1207" s="86">
        <f>+((DETALLE_GD_1[[#This Row],[VALOR X UN (GD)]]-DETALLE_GD_1[[#This Row],[VALOR PPTO]])/DETALLE_GD_1[[#This Row],[VALOR PPTO]])</f>
        <v>-9.4475658552852914E-4</v>
      </c>
      <c r="AA1207" s="2">
        <f>+DETALLE_GD_1[[#This Row],[VALOR PPTO]]*DETALLE_GD_1[[#This Row],[CANTIDAD RECIBIDA]]</f>
        <v>35988</v>
      </c>
      <c r="AB1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7" s="3">
        <f>+DETALLE_GD_1[[#This Row],[CANTIDAD SOLICITADA]]-DETALLE_GD_1[[#This Row],[DEVOLUCIÓN]]</f>
        <v>3</v>
      </c>
      <c r="AD1207" s="38" t="str">
        <f>+_xlfn.XLOOKUP(DETALLE_GD_1[[#This Row],[CODIGO]],PRODUCTOS[CODIGO],PRODUCTOS[DESC CORTA],"",0)</f>
        <v>LAVAMANOS DS THEOS</v>
      </c>
    </row>
    <row r="1208" spans="1:30" x14ac:dyDescent="0.25">
      <c r="A1208" s="1">
        <v>46146</v>
      </c>
      <c r="B1208" s="1">
        <v>46146</v>
      </c>
      <c r="C1208" s="81" t="s">
        <v>169</v>
      </c>
      <c r="D1208" s="38">
        <v>5</v>
      </c>
      <c r="E1208" s="81" t="s">
        <v>169</v>
      </c>
      <c r="F1208">
        <v>5316484</v>
      </c>
      <c r="G1208" s="81" t="s">
        <v>96</v>
      </c>
      <c r="H1208" s="81" t="s">
        <v>31</v>
      </c>
      <c r="I1208" s="3">
        <v>6</v>
      </c>
      <c r="J1208" s="3"/>
      <c r="K1208" s="26">
        <v>6</v>
      </c>
      <c r="L1208" s="2">
        <v>4283.5</v>
      </c>
      <c r="M1208" s="2">
        <v>25701</v>
      </c>
      <c r="N1208" s="2">
        <v>25701</v>
      </c>
      <c r="O1208" s="2">
        <v>4372.7272999999996</v>
      </c>
      <c r="P1208" s="2">
        <v>89.2273</v>
      </c>
      <c r="Q1208" s="2">
        <v>535.36360000000002</v>
      </c>
      <c r="R1208" s="4">
        <v>2.0405405466502876E-2</v>
      </c>
      <c r="T1208">
        <v>314262</v>
      </c>
      <c r="U1208" s="2"/>
      <c r="V1208">
        <v>6116</v>
      </c>
      <c r="W1208" s="2">
        <v>6579000000</v>
      </c>
      <c r="X1208" s="6">
        <v>26236.363638000003</v>
      </c>
      <c r="Y1208" s="38">
        <v>10010</v>
      </c>
      <c r="Z1208" s="86">
        <f>+((DETALLE_GD_1[[#This Row],[VALOR X UN (GD)]]-DETALLE_GD_1[[#This Row],[VALOR PPTO]])/DETALLE_GD_1[[#This Row],[VALOR PPTO]])</f>
        <v>-2.0405411515142864E-2</v>
      </c>
      <c r="AA1208" s="2">
        <f>+DETALLE_GD_1[[#This Row],[VALOR PPTO]]*DETALLE_GD_1[[#This Row],[CANTIDAD RECIBIDA]]</f>
        <v>26236.363799999999</v>
      </c>
      <c r="AB1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8" s="3">
        <f>+DETALLE_GD_1[[#This Row],[CANTIDAD SOLICITADA]]-DETALLE_GD_1[[#This Row],[DEVOLUCIÓN]]</f>
        <v>6</v>
      </c>
      <c r="AD1208" s="38" t="str">
        <f>+_xlfn.XLOOKUP(DETALLE_GD_1[[#This Row],[CODIGO]],PRODUCTOS[CODIGO],PRODUCTOS[DESC CORTA],"",0)</f>
        <v>LLAVE DE BOLA AC</v>
      </c>
    </row>
    <row r="1209" spans="1:30" x14ac:dyDescent="0.25">
      <c r="A1209" s="1">
        <v>46146</v>
      </c>
      <c r="B1209" s="1">
        <v>46146</v>
      </c>
      <c r="C1209" s="81" t="s">
        <v>169</v>
      </c>
      <c r="D1209" s="38">
        <v>5</v>
      </c>
      <c r="E1209" s="81" t="s">
        <v>169</v>
      </c>
      <c r="F1209">
        <v>5316483</v>
      </c>
      <c r="G1209" s="81" t="s">
        <v>97</v>
      </c>
      <c r="H1209" s="81" t="s">
        <v>31</v>
      </c>
      <c r="I1209" s="3">
        <v>6</v>
      </c>
      <c r="J1209" s="3"/>
      <c r="K1209" s="26">
        <v>6</v>
      </c>
      <c r="L1209" s="2">
        <v>2984.1667000000002</v>
      </c>
      <c r="M1209" s="2">
        <v>17905</v>
      </c>
      <c r="N1209" s="2">
        <v>17905</v>
      </c>
      <c r="O1209" s="2">
        <v>3237.6071000000002</v>
      </c>
      <c r="P1209" s="2">
        <v>253.44049999999999</v>
      </c>
      <c r="Q1209" s="2">
        <v>1520.6429000000001</v>
      </c>
      <c r="R1209" s="4">
        <v>7.8280181979859698E-2</v>
      </c>
      <c r="T1209">
        <v>314262</v>
      </c>
      <c r="U1209" s="2"/>
      <c r="V1209">
        <v>6116</v>
      </c>
      <c r="W1209" s="2">
        <v>6579000000</v>
      </c>
      <c r="X1209" s="6">
        <v>19425.642857999999</v>
      </c>
      <c r="Y1209" s="38">
        <v>10010</v>
      </c>
      <c r="Z1209" s="86">
        <f>+((DETALLE_GD_1[[#This Row],[VALOR X UN (GD)]]-DETALLE_GD_1[[#This Row],[VALOR PPTO]])/DETALLE_GD_1[[#This Row],[VALOR PPTO]])</f>
        <v>-7.8280159442447456E-2</v>
      </c>
      <c r="AA1209" s="2">
        <f>+DETALLE_GD_1[[#This Row],[VALOR PPTO]]*DETALLE_GD_1[[#This Row],[CANTIDAD RECIBIDA]]</f>
        <v>19425.642599999999</v>
      </c>
      <c r="AB1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9" s="3">
        <f>+DETALLE_GD_1[[#This Row],[CANTIDAD SOLICITADA]]-DETALLE_GD_1[[#This Row],[DEVOLUCIÓN]]</f>
        <v>6</v>
      </c>
      <c r="AD1209" s="38" t="str">
        <f>+_xlfn.XLOOKUP(DETALLE_GD_1[[#This Row],[CODIGO]],PRODUCTOS[CODIGO],PRODUCTOS[DESC CORTA],"",0)</f>
        <v>LLAVE DE BOLA AF</v>
      </c>
    </row>
    <row r="1210" spans="1:30" x14ac:dyDescent="0.25">
      <c r="A1210" s="1">
        <v>46146</v>
      </c>
      <c r="B1210" s="1">
        <v>46146</v>
      </c>
      <c r="C1210" s="81" t="s">
        <v>169</v>
      </c>
      <c r="D1210" s="38">
        <v>5</v>
      </c>
      <c r="E1210" s="81" t="s">
        <v>169</v>
      </c>
      <c r="F1210">
        <v>1802170</v>
      </c>
      <c r="G1210" s="81" t="s">
        <v>264</v>
      </c>
      <c r="H1210" s="81" t="s">
        <v>31</v>
      </c>
      <c r="I1210" s="3">
        <v>3</v>
      </c>
      <c r="J1210" s="3"/>
      <c r="K1210" s="26">
        <v>3</v>
      </c>
      <c r="L1210" s="2">
        <v>2043</v>
      </c>
      <c r="M1210" s="2">
        <v>6129</v>
      </c>
      <c r="N1210" s="2">
        <v>6129</v>
      </c>
      <c r="O1210" s="2">
        <v>2043</v>
      </c>
      <c r="P1210" s="2">
        <v>0</v>
      </c>
      <c r="Q1210" s="2">
        <v>0</v>
      </c>
      <c r="R1210" s="4">
        <v>0</v>
      </c>
      <c r="T1210">
        <v>314262</v>
      </c>
      <c r="U1210" s="2"/>
      <c r="V1210">
        <v>6116</v>
      </c>
      <c r="W1210" s="2">
        <v>6579000000</v>
      </c>
      <c r="X1210" s="6">
        <v>6129</v>
      </c>
      <c r="Y1210" s="38">
        <v>10010</v>
      </c>
      <c r="Z1210" s="86">
        <f>+((DETALLE_GD_1[[#This Row],[VALOR X UN (GD)]]-DETALLE_GD_1[[#This Row],[VALOR PPTO]])/DETALLE_GD_1[[#This Row],[VALOR PPTO]])</f>
        <v>0</v>
      </c>
      <c r="AA1210" s="2">
        <f>+DETALLE_GD_1[[#This Row],[VALOR PPTO]]*DETALLE_GD_1[[#This Row],[CANTIDAD RECIBIDA]]</f>
        <v>6129</v>
      </c>
      <c r="AB1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0" s="3">
        <f>+DETALLE_GD_1[[#This Row],[CANTIDAD SOLICITADA]]-DETALLE_GD_1[[#This Row],[DEVOLUCIÓN]]</f>
        <v>3</v>
      </c>
      <c r="AD1210" s="38">
        <f>+_xlfn.XLOOKUP(DETALLE_GD_1[[#This Row],[CODIGO]],PRODUCTOS[CODIGO],PRODUCTOS[DESC CORTA],"",0)</f>
        <v>0</v>
      </c>
    </row>
    <row r="1211" spans="1:30" x14ac:dyDescent="0.25">
      <c r="A1211" s="1">
        <v>46146</v>
      </c>
      <c r="B1211" s="1">
        <v>46146</v>
      </c>
      <c r="C1211" s="81" t="s">
        <v>169</v>
      </c>
      <c r="D1211" s="38">
        <v>5</v>
      </c>
      <c r="E1211" s="81" t="s">
        <v>169</v>
      </c>
      <c r="F1211">
        <v>1802169</v>
      </c>
      <c r="G1211" s="81" t="s">
        <v>263</v>
      </c>
      <c r="H1211" s="81" t="s">
        <v>31</v>
      </c>
      <c r="I1211" s="3">
        <v>3</v>
      </c>
      <c r="J1211" s="3"/>
      <c r="K1211" s="26">
        <v>3</v>
      </c>
      <c r="L1211" s="2">
        <v>10730</v>
      </c>
      <c r="M1211" s="2">
        <v>32190</v>
      </c>
      <c r="N1211" s="2">
        <v>32190</v>
      </c>
      <c r="O1211" s="2">
        <v>10741</v>
      </c>
      <c r="P1211" s="2">
        <v>11</v>
      </c>
      <c r="Q1211" s="2">
        <v>33</v>
      </c>
      <c r="R1211" s="4">
        <v>1.0241132110604227E-3</v>
      </c>
      <c r="T1211">
        <v>314262</v>
      </c>
      <c r="U1211" s="2"/>
      <c r="V1211">
        <v>6116</v>
      </c>
      <c r="W1211" s="2">
        <v>6579000000</v>
      </c>
      <c r="X1211" s="6">
        <v>32223</v>
      </c>
      <c r="Y1211" s="38">
        <v>10010</v>
      </c>
      <c r="Z1211" s="86">
        <f>+((DETALLE_GD_1[[#This Row],[VALOR X UN (GD)]]-DETALLE_GD_1[[#This Row],[VALOR PPTO]])/DETALLE_GD_1[[#This Row],[VALOR PPTO]])</f>
        <v>-1.0241132110604227E-3</v>
      </c>
      <c r="AA1211" s="2">
        <f>+DETALLE_GD_1[[#This Row],[VALOR PPTO]]*DETALLE_GD_1[[#This Row],[CANTIDAD RECIBIDA]]</f>
        <v>32223</v>
      </c>
      <c r="AB1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1" s="3">
        <f>+DETALLE_GD_1[[#This Row],[CANTIDAD SOLICITADA]]-DETALLE_GD_1[[#This Row],[DEVOLUCIÓN]]</f>
        <v>3</v>
      </c>
      <c r="AD1211" s="38" t="str">
        <f>+_xlfn.XLOOKUP(DETALLE_GD_1[[#This Row],[CODIGO]],PRODUCTOS[CODIGO],PRODUCTOS[DESC CORTA],"",0)</f>
        <v>LAVARROPA PLATICO DS</v>
      </c>
    </row>
    <row r="1212" spans="1:30" x14ac:dyDescent="0.25">
      <c r="A1212" s="1">
        <v>46146</v>
      </c>
      <c r="B1212" s="1">
        <v>46146</v>
      </c>
      <c r="C1212" s="81" t="s">
        <v>169</v>
      </c>
      <c r="D1212" s="38">
        <v>5</v>
      </c>
      <c r="E1212" s="81" t="s">
        <v>169</v>
      </c>
      <c r="F1212">
        <v>1801229</v>
      </c>
      <c r="G1212" s="81" t="s">
        <v>259</v>
      </c>
      <c r="H1212" s="81" t="s">
        <v>31</v>
      </c>
      <c r="I1212" s="3">
        <v>3</v>
      </c>
      <c r="J1212" s="3"/>
      <c r="K1212" s="26">
        <v>3</v>
      </c>
      <c r="L1212" s="2">
        <v>5177.6666999999998</v>
      </c>
      <c r="M1212" s="2">
        <v>15533</v>
      </c>
      <c r="N1212" s="2">
        <v>15533</v>
      </c>
      <c r="O1212" s="2">
        <v>4675.5185000000001</v>
      </c>
      <c r="P1212" s="2">
        <v>-502.1481</v>
      </c>
      <c r="Q1212" s="2">
        <v>-1506.4444000000001</v>
      </c>
      <c r="R1212" s="4">
        <v>-0.10739945647227726</v>
      </c>
      <c r="T1212">
        <v>314262</v>
      </c>
      <c r="U1212" s="2"/>
      <c r="V1212">
        <v>6116</v>
      </c>
      <c r="W1212" s="2">
        <v>6579000000</v>
      </c>
      <c r="X1212" s="6">
        <v>14026.555557</v>
      </c>
      <c r="Y1212" s="38">
        <v>10010</v>
      </c>
      <c r="Z1212" s="86">
        <f>+((DETALLE_GD_1[[#This Row],[VALOR X UN (GD)]]-DETALLE_GD_1[[#This Row],[VALOR PPTO]])/DETALLE_GD_1[[#This Row],[VALOR PPTO]])</f>
        <v>0.10739946810177302</v>
      </c>
      <c r="AA1212" s="2">
        <f>+DETALLE_GD_1[[#This Row],[VALOR PPTO]]*DETALLE_GD_1[[#This Row],[CANTIDAD RECIBIDA]]</f>
        <v>14026.5555</v>
      </c>
      <c r="AB1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2" s="3">
        <f>+DETALLE_GD_1[[#This Row],[CANTIDAD SOLICITADA]]-DETALLE_GD_1[[#This Row],[DEVOLUCIÓN]]</f>
        <v>3</v>
      </c>
      <c r="AD1212" s="38" t="str">
        <f>+_xlfn.XLOOKUP(DETALLE_GD_1[[#This Row],[CODIGO]],PRODUCTOS[CODIGO],PRODUCTOS[DESC CORTA],"",0)</f>
        <v>KIT DESAGUE TINA</v>
      </c>
    </row>
    <row r="1213" spans="1:30" x14ac:dyDescent="0.25">
      <c r="A1213" s="1">
        <v>46146</v>
      </c>
      <c r="B1213" s="1">
        <v>46146</v>
      </c>
      <c r="C1213" s="81" t="s">
        <v>169</v>
      </c>
      <c r="D1213" s="38">
        <v>5</v>
      </c>
      <c r="E1213" s="81" t="s">
        <v>169</v>
      </c>
      <c r="F1213">
        <v>1802167</v>
      </c>
      <c r="G1213" s="81" t="s">
        <v>262</v>
      </c>
      <c r="H1213" s="81" t="s">
        <v>31</v>
      </c>
      <c r="I1213" s="3">
        <v>3</v>
      </c>
      <c r="J1213" s="3"/>
      <c r="K1213" s="26">
        <v>3</v>
      </c>
      <c r="L1213" s="2">
        <v>14972</v>
      </c>
      <c r="M1213" s="2">
        <v>44916</v>
      </c>
      <c r="N1213" s="2">
        <v>44916</v>
      </c>
      <c r="O1213" s="2">
        <v>14972</v>
      </c>
      <c r="P1213" s="2">
        <v>0</v>
      </c>
      <c r="Q1213" s="2">
        <v>0</v>
      </c>
      <c r="R1213" s="4">
        <v>0</v>
      </c>
      <c r="T1213">
        <v>314262</v>
      </c>
      <c r="U1213" s="2"/>
      <c r="V1213">
        <v>6116</v>
      </c>
      <c r="W1213" s="2">
        <v>6579000000</v>
      </c>
      <c r="X1213" s="6">
        <v>44916</v>
      </c>
      <c r="Y1213" s="38">
        <v>10010</v>
      </c>
      <c r="Z1213" s="86">
        <f>+((DETALLE_GD_1[[#This Row],[VALOR X UN (GD)]]-DETALLE_GD_1[[#This Row],[VALOR PPTO]])/DETALLE_GD_1[[#This Row],[VALOR PPTO]])</f>
        <v>0</v>
      </c>
      <c r="AA1213" s="2">
        <f>+DETALLE_GD_1[[#This Row],[VALOR PPTO]]*DETALLE_GD_1[[#This Row],[CANTIDAD RECIBIDA]]</f>
        <v>44916</v>
      </c>
      <c r="AB1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3" s="3">
        <f>+DETALLE_GD_1[[#This Row],[CANTIDAD SOLICITADA]]-DETALLE_GD_1[[#This Row],[DEVOLUCIÓN]]</f>
        <v>3</v>
      </c>
      <c r="AD1213" s="38" t="str">
        <f>+_xlfn.XLOOKUP(DETALLE_GD_1[[#This Row],[CODIGO]],PRODUCTOS[CODIGO],PRODUCTOS[DESC CORTA],"",0)</f>
        <v>NEW DUCHA SIMPLE, SOPORTE Y FLEXIBLE 1.5M 8LPM, ESTIU (TS2024020)</v>
      </c>
    </row>
    <row r="1214" spans="1:30" x14ac:dyDescent="0.25">
      <c r="A1214" s="1">
        <v>46146</v>
      </c>
      <c r="B1214" s="1">
        <v>46146</v>
      </c>
      <c r="C1214" s="81" t="s">
        <v>169</v>
      </c>
      <c r="D1214" s="38">
        <v>5</v>
      </c>
      <c r="E1214" s="81" t="s">
        <v>169</v>
      </c>
      <c r="F1214">
        <v>304101</v>
      </c>
      <c r="G1214" s="81" t="s">
        <v>17</v>
      </c>
      <c r="H1214" s="81" t="s">
        <v>18</v>
      </c>
      <c r="I1214" s="3">
        <v>168</v>
      </c>
      <c r="J1214" s="3"/>
      <c r="K1214" s="26">
        <v>168</v>
      </c>
      <c r="L1214" s="2">
        <v>9620.9940000000006</v>
      </c>
      <c r="M1214" s="2">
        <v>1616327</v>
      </c>
      <c r="N1214" s="2">
        <v>1616327</v>
      </c>
      <c r="O1214" s="2">
        <v>9657.5879999999997</v>
      </c>
      <c r="P1214" s="2">
        <v>36.593899999999998</v>
      </c>
      <c r="Q1214" s="2">
        <v>6147.7755999999999</v>
      </c>
      <c r="R1214" s="4">
        <v>3.7891347788302481E-3</v>
      </c>
      <c r="T1214">
        <v>314299</v>
      </c>
      <c r="U1214" s="2">
        <v>2994427</v>
      </c>
      <c r="V1214">
        <v>6116</v>
      </c>
      <c r="W1214" s="2">
        <v>6579000000</v>
      </c>
      <c r="X1214" s="6">
        <v>1622474.7756000008</v>
      </c>
      <c r="Y1214" s="38">
        <v>10010</v>
      </c>
      <c r="Z1214" s="86">
        <f>+((DETALLE_GD_1[[#This Row],[VALOR X UN (GD)]]-DETALLE_GD_1[[#This Row],[VALOR PPTO]])/DETALLE_GD_1[[#This Row],[VALOR PPTO]])</f>
        <v>-3.7891448672276291E-3</v>
      </c>
      <c r="AA1214" s="2">
        <f>+DETALLE_GD_1[[#This Row],[VALOR PPTO]]*DETALLE_GD_1[[#This Row],[CANTIDAD RECIBIDA]]</f>
        <v>1622474.784</v>
      </c>
      <c r="AB12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14" s="3">
        <f>+DETALLE_GD_1[[#This Row],[CANTIDAD SOLICITADA]]-DETALLE_GD_1[[#This Row],[DEVOLUCIÓN]]</f>
        <v>168</v>
      </c>
      <c r="AD1214" s="38" t="str">
        <f>+_xlfn.XLOOKUP(DETALLE_GD_1[[#This Row],[CODIGO]],PRODUCTOS[CODIGO],PRODUCTOS[DESC CORTA],"",0)</f>
        <v>OSB 9.5</v>
      </c>
    </row>
    <row r="1215" spans="1:30" x14ac:dyDescent="0.25">
      <c r="A1215" s="1">
        <v>46146</v>
      </c>
      <c r="B1215" s="1">
        <v>46146</v>
      </c>
      <c r="C1215" s="81" t="s">
        <v>169</v>
      </c>
      <c r="D1215" s="38">
        <v>5</v>
      </c>
      <c r="E1215" s="81" t="s">
        <v>169</v>
      </c>
      <c r="F1215">
        <v>302010</v>
      </c>
      <c r="G1215" s="81" t="s">
        <v>323</v>
      </c>
      <c r="H1215" s="81" t="s">
        <v>20</v>
      </c>
      <c r="I1215" s="3">
        <v>168</v>
      </c>
      <c r="J1215" s="3"/>
      <c r="K1215" s="26">
        <v>168</v>
      </c>
      <c r="L1215" s="2">
        <v>6678.2083000000002</v>
      </c>
      <c r="M1215" s="2">
        <v>1121939</v>
      </c>
      <c r="N1215" s="2">
        <v>1121939</v>
      </c>
      <c r="O1215" s="2">
        <v>6585.1337000000003</v>
      </c>
      <c r="P1215" s="2">
        <v>-93.074600000000004</v>
      </c>
      <c r="Q1215" s="2">
        <v>-15636.5308</v>
      </c>
      <c r="R1215" s="4">
        <v>-1.4134046769211253E-2</v>
      </c>
      <c r="T1215">
        <v>314299</v>
      </c>
      <c r="U1215" s="2"/>
      <c r="V1215">
        <v>6116</v>
      </c>
      <c r="W1215" s="2">
        <v>6579000000</v>
      </c>
      <c r="X1215" s="6">
        <v>1106302.4691599987</v>
      </c>
      <c r="Y1215" s="38">
        <v>10010</v>
      </c>
      <c r="Z1215" s="86">
        <f>+((DETALLE_GD_1[[#This Row],[VALOR X UN (GD)]]-DETALLE_GD_1[[#This Row],[VALOR PPTO]])/DETALLE_GD_1[[#This Row],[VALOR PPTO]])</f>
        <v>1.413404863746349E-2</v>
      </c>
      <c r="AA1215" s="2">
        <f>+DETALLE_GD_1[[#This Row],[VALOR PPTO]]*DETALLE_GD_1[[#This Row],[CANTIDAD RECIBIDA]]</f>
        <v>1106302.4616</v>
      </c>
      <c r="AB12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15" s="3">
        <f>+DETALLE_GD_1[[#This Row],[CANTIDAD SOLICITADA]]-DETALLE_GD_1[[#This Row],[DEVOLUCIÓN]]</f>
        <v>168</v>
      </c>
      <c r="AD1215" s="38" t="str">
        <f>+_xlfn.XLOOKUP(DETALLE_GD_1[[#This Row],[CODIGO]],PRODUCTOS[CODIGO],PRODUCTOS[DESC CORTA],"",0)</f>
        <v>PINO 2X6X320</v>
      </c>
    </row>
    <row r="1216" spans="1:30" x14ac:dyDescent="0.25">
      <c r="A1216" s="1">
        <v>46146</v>
      </c>
      <c r="B1216" s="1">
        <v>46146</v>
      </c>
      <c r="C1216" s="81" t="s">
        <v>169</v>
      </c>
      <c r="D1216" s="38">
        <v>5</v>
      </c>
      <c r="E1216" s="81" t="s">
        <v>169</v>
      </c>
      <c r="F1216">
        <v>1801230</v>
      </c>
      <c r="G1216" s="81" t="s">
        <v>51</v>
      </c>
      <c r="H1216" s="81" t="s">
        <v>31</v>
      </c>
      <c r="I1216" s="3">
        <v>20</v>
      </c>
      <c r="J1216" s="3"/>
      <c r="K1216" s="26">
        <v>20</v>
      </c>
      <c r="L1216" s="2">
        <v>3982.05</v>
      </c>
      <c r="M1216" s="2">
        <v>79641</v>
      </c>
      <c r="N1216" s="2">
        <v>79641</v>
      </c>
      <c r="O1216" s="2">
        <v>9309.8462</v>
      </c>
      <c r="P1216" s="2">
        <v>5327.7961999999998</v>
      </c>
      <c r="Q1216" s="2">
        <v>106555.9231</v>
      </c>
      <c r="R1216" s="4">
        <v>0.572275423875925</v>
      </c>
      <c r="T1216">
        <v>314299</v>
      </c>
      <c r="U1216" s="2"/>
      <c r="V1216">
        <v>6116</v>
      </c>
      <c r="W1216" s="2">
        <v>6579000000</v>
      </c>
      <c r="X1216" s="6">
        <v>186196.92308000001</v>
      </c>
      <c r="Y1216" s="38">
        <v>10010</v>
      </c>
      <c r="Z1216" s="86">
        <f>+((DETALLE_GD_1[[#This Row],[VALOR X UN (GD)]]-DETALLE_GD_1[[#This Row],[VALOR PPTO]])/DETALLE_GD_1[[#This Row],[VALOR PPTO]])</f>
        <v>-0.57227542598931436</v>
      </c>
      <c r="AA1216" s="2">
        <f>+DETALLE_GD_1[[#This Row],[VALOR PPTO]]*DETALLE_GD_1[[#This Row],[CANTIDAD RECIBIDA]]</f>
        <v>186196.924</v>
      </c>
      <c r="AB1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6" s="3">
        <f>+DETALLE_GD_1[[#This Row],[CANTIDAD SOLICITADA]]-DETALLE_GD_1[[#This Row],[DEVOLUCIÓN]]</f>
        <v>20</v>
      </c>
      <c r="AD1216" s="38" t="str">
        <f>+_xlfn.XLOOKUP(DETALLE_GD_1[[#This Row],[CODIGO]],PRODUCTOS[CODIGO],PRODUCTOS[DESC CORTA],"",0)</f>
        <v>SOPORTE TINA</v>
      </c>
    </row>
    <row r="1217" spans="1:30" x14ac:dyDescent="0.25">
      <c r="A1217" s="1">
        <v>46146</v>
      </c>
      <c r="B1217" s="1">
        <v>46146</v>
      </c>
      <c r="C1217" s="81" t="s">
        <v>169</v>
      </c>
      <c r="D1217" s="38">
        <v>5</v>
      </c>
      <c r="E1217" s="81" t="s">
        <v>169</v>
      </c>
      <c r="F1217">
        <v>404745</v>
      </c>
      <c r="G1217" s="81" t="s">
        <v>444</v>
      </c>
      <c r="H1217" s="81" t="s">
        <v>31</v>
      </c>
      <c r="I1217" s="3">
        <v>20</v>
      </c>
      <c r="J1217" s="3"/>
      <c r="K1217" s="26">
        <v>20</v>
      </c>
      <c r="L1217" s="2">
        <v>8826</v>
      </c>
      <c r="M1217" s="2">
        <v>176520</v>
      </c>
      <c r="N1217" s="2">
        <v>176520</v>
      </c>
      <c r="O1217" s="2"/>
      <c r="P1217" s="2"/>
      <c r="Q1217" s="2">
        <v>-176520</v>
      </c>
      <c r="R1217" s="4"/>
      <c r="T1217">
        <v>314299</v>
      </c>
      <c r="U1217" s="2"/>
      <c r="V1217">
        <v>6116</v>
      </c>
      <c r="W1217" s="2">
        <v>6579000000</v>
      </c>
      <c r="X1217" s="6" t="s">
        <v>355</v>
      </c>
      <c r="Y1217" s="38">
        <v>10010</v>
      </c>
      <c r="Z1217" s="86" t="e">
        <f>+((DETALLE_GD_1[[#This Row],[VALOR X UN (GD)]]-DETALLE_GD_1[[#This Row],[VALOR PPTO]])/DETALLE_GD_1[[#This Row],[VALOR PPTO]])</f>
        <v>#DIV/0!</v>
      </c>
      <c r="AA1217" s="2">
        <f>+DETALLE_GD_1[[#This Row],[VALOR PPTO]]*DETALLE_GD_1[[#This Row],[CANTIDAD RECIBIDA]]</f>
        <v>0</v>
      </c>
      <c r="AB1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7" s="3">
        <f>+DETALLE_GD_1[[#This Row],[CANTIDAD SOLICITADA]]-DETALLE_GD_1[[#This Row],[DEVOLUCIÓN]]</f>
        <v>20</v>
      </c>
      <c r="AD1217" s="38" t="str">
        <f>+_xlfn.XLOOKUP(DETALLE_GD_1[[#This Row],[CODIGO]],PRODUCTOS[CODIGO],PRODUCTOS[DESC CORTA],"",0)</f>
        <v/>
      </c>
    </row>
    <row r="1218" spans="1:30" x14ac:dyDescent="0.25">
      <c r="A1218" s="1">
        <v>46146</v>
      </c>
      <c r="B1218" s="1">
        <v>46146</v>
      </c>
      <c r="C1218" s="81" t="s">
        <v>169</v>
      </c>
      <c r="D1218" s="38">
        <v>5</v>
      </c>
      <c r="E1218" s="81" t="s">
        <v>169</v>
      </c>
      <c r="F1218">
        <v>1808156</v>
      </c>
      <c r="G1218" s="81" t="s">
        <v>277</v>
      </c>
      <c r="H1218" s="81" t="s">
        <v>31</v>
      </c>
      <c r="I1218" s="3">
        <v>3</v>
      </c>
      <c r="J1218" s="3"/>
      <c r="K1218" s="26">
        <v>3</v>
      </c>
      <c r="L1218" s="2">
        <v>1931.6667</v>
      </c>
      <c r="M1218" s="2">
        <v>5795</v>
      </c>
      <c r="N1218" s="2">
        <v>5795</v>
      </c>
      <c r="O1218" s="2">
        <v>1916</v>
      </c>
      <c r="P1218" s="2">
        <v>-15.666700000000001</v>
      </c>
      <c r="Q1218" s="2">
        <v>-47</v>
      </c>
      <c r="R1218" s="4">
        <v>-8.1767571329158361E-3</v>
      </c>
      <c r="T1218">
        <v>314364</v>
      </c>
      <c r="U1218" s="2">
        <v>1860603</v>
      </c>
      <c r="V1218">
        <v>6116</v>
      </c>
      <c r="W1218" s="2">
        <v>6579000000</v>
      </c>
      <c r="X1218" s="6">
        <v>5748</v>
      </c>
      <c r="Y1218" s="38">
        <v>10010</v>
      </c>
      <c r="Z1218" s="86">
        <f>+((DETALLE_GD_1[[#This Row],[VALOR X UN (GD)]]-DETALLE_GD_1[[#This Row],[VALOR PPTO]])/DETALLE_GD_1[[#This Row],[VALOR PPTO]])</f>
        <v>8.176774530271394E-3</v>
      </c>
      <c r="AA1218" s="2">
        <f>+DETALLE_GD_1[[#This Row],[VALOR PPTO]]*DETALLE_GD_1[[#This Row],[CANTIDAD RECIBIDA]]</f>
        <v>5748</v>
      </c>
      <c r="AB1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8" s="3">
        <f>+DETALLE_GD_1[[#This Row],[CANTIDAD SOLICITADA]]-DETALLE_GD_1[[#This Row],[DEVOLUCIÓN]]</f>
        <v>3</v>
      </c>
      <c r="AD1218" s="38" t="str">
        <f>+_xlfn.XLOOKUP(DETALLE_GD_1[[#This Row],[CODIGO]],PRODUCTOS[CODIGO],PRODUCTOS[DESC CORTA],"",0)</f>
        <v>PERCHA SIMPLE YORK</v>
      </c>
    </row>
    <row r="1219" spans="1:30" x14ac:dyDescent="0.25">
      <c r="A1219" s="1">
        <v>46146</v>
      </c>
      <c r="B1219" s="1">
        <v>46146</v>
      </c>
      <c r="C1219" s="81" t="s">
        <v>169</v>
      </c>
      <c r="D1219" s="38">
        <v>5</v>
      </c>
      <c r="E1219" s="81" t="s">
        <v>169</v>
      </c>
      <c r="F1219">
        <v>1808006</v>
      </c>
      <c r="G1219" s="81" t="s">
        <v>194</v>
      </c>
      <c r="H1219" s="81" t="s">
        <v>31</v>
      </c>
      <c r="I1219" s="3">
        <v>3</v>
      </c>
      <c r="J1219" s="3"/>
      <c r="K1219" s="26">
        <v>3</v>
      </c>
      <c r="L1219" s="2">
        <v>2906.6667000000002</v>
      </c>
      <c r="M1219" s="2">
        <v>8720</v>
      </c>
      <c r="N1219" s="2">
        <v>8720</v>
      </c>
      <c r="O1219" s="2">
        <v>2906.6711</v>
      </c>
      <c r="P1219" s="2">
        <v>4.4000000000000003E-3</v>
      </c>
      <c r="Q1219" s="2">
        <v>1.3299999999999999E-2</v>
      </c>
      <c r="R1219" s="4">
        <v>1.523850888947989E-6</v>
      </c>
      <c r="T1219">
        <v>314364</v>
      </c>
      <c r="U1219" s="2"/>
      <c r="V1219">
        <v>6116</v>
      </c>
      <c r="W1219" s="2">
        <v>6579000000</v>
      </c>
      <c r="X1219" s="6">
        <v>8720.0132880000001</v>
      </c>
      <c r="Y1219" s="38">
        <v>10010</v>
      </c>
      <c r="Z1219" s="86">
        <f>+((DETALLE_GD_1[[#This Row],[VALOR X UN (GD)]]-DETALLE_GD_1[[#This Row],[VALOR PPTO]])/DETALLE_GD_1[[#This Row],[VALOR PPTO]])</f>
        <v>-1.5137591589929127E-6</v>
      </c>
      <c r="AA1219" s="2">
        <f>+DETALLE_GD_1[[#This Row],[VALOR PPTO]]*DETALLE_GD_1[[#This Row],[CANTIDAD RECIBIDA]]</f>
        <v>8720.0133000000005</v>
      </c>
      <c r="AB1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9" s="3">
        <f>+DETALLE_GD_1[[#This Row],[CANTIDAD SOLICITADA]]-DETALLE_GD_1[[#This Row],[DEVOLUCIÓN]]</f>
        <v>3</v>
      </c>
      <c r="AD1219" s="38">
        <f>+_xlfn.XLOOKUP(DETALLE_GD_1[[#This Row],[CODIGO]],PRODUCTOS[CODIGO],PRODUCTOS[DESC CORTA],"",0)</f>
        <v>0</v>
      </c>
    </row>
    <row r="1220" spans="1:30" x14ac:dyDescent="0.25">
      <c r="A1220" s="1">
        <v>46146</v>
      </c>
      <c r="B1220" s="1">
        <v>46146</v>
      </c>
      <c r="C1220" s="81" t="s">
        <v>169</v>
      </c>
      <c r="D1220" s="38">
        <v>5</v>
      </c>
      <c r="E1220" s="81" t="s">
        <v>169</v>
      </c>
      <c r="F1220">
        <v>1808003</v>
      </c>
      <c r="G1220" s="81" t="s">
        <v>195</v>
      </c>
      <c r="H1220" s="81" t="s">
        <v>31</v>
      </c>
      <c r="I1220" s="3">
        <v>6</v>
      </c>
      <c r="J1220" s="3"/>
      <c r="K1220" s="26">
        <v>6</v>
      </c>
      <c r="L1220" s="2">
        <v>167.66669999999999</v>
      </c>
      <c r="M1220" s="2">
        <v>1006</v>
      </c>
      <c r="N1220" s="2">
        <v>1006</v>
      </c>
      <c r="O1220" s="2">
        <v>167.7449</v>
      </c>
      <c r="P1220" s="2">
        <v>7.8200000000000006E-2</v>
      </c>
      <c r="Q1220" s="2">
        <v>0.46910000000000002</v>
      </c>
      <c r="R1220" s="4">
        <v>4.6613251974236255E-4</v>
      </c>
      <c r="T1220">
        <v>314364</v>
      </c>
      <c r="U1220" s="2"/>
      <c r="V1220">
        <v>6116</v>
      </c>
      <c r="W1220" s="2">
        <v>6579000000</v>
      </c>
      <c r="X1220" s="6">
        <v>1006.469148</v>
      </c>
      <c r="Y1220" s="38">
        <v>10010</v>
      </c>
      <c r="Z1220" s="86">
        <f>+((DETALLE_GD_1[[#This Row],[VALOR X UN (GD)]]-DETALLE_GD_1[[#This Row],[VALOR PPTO]])/DETALLE_GD_1[[#This Row],[VALOR PPTO]])</f>
        <v>-4.6618406878545695E-4</v>
      </c>
      <c r="AA1220" s="2">
        <f>+DETALLE_GD_1[[#This Row],[VALOR PPTO]]*DETALLE_GD_1[[#This Row],[CANTIDAD RECIBIDA]]</f>
        <v>1006.4694</v>
      </c>
      <c r="AB1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0" s="3">
        <f>+DETALLE_GD_1[[#This Row],[CANTIDAD SOLICITADA]]-DETALLE_GD_1[[#This Row],[DEVOLUCIÓN]]</f>
        <v>6</v>
      </c>
      <c r="AD1220" s="38">
        <f>+_xlfn.XLOOKUP(DETALLE_GD_1[[#This Row],[CODIGO]],PRODUCTOS[CODIGO],PRODUCTOS[DESC CORTA],"",0)</f>
        <v>0</v>
      </c>
    </row>
    <row r="1221" spans="1:30" x14ac:dyDescent="0.25">
      <c r="A1221" s="1">
        <v>46146</v>
      </c>
      <c r="B1221" s="1">
        <v>46146</v>
      </c>
      <c r="C1221" s="81" t="s">
        <v>169</v>
      </c>
      <c r="D1221" s="38">
        <v>5</v>
      </c>
      <c r="E1221" s="81" t="s">
        <v>169</v>
      </c>
      <c r="F1221">
        <v>1802172</v>
      </c>
      <c r="G1221" s="81" t="s">
        <v>266</v>
      </c>
      <c r="H1221" s="81" t="s">
        <v>31</v>
      </c>
      <c r="I1221" s="3">
        <v>3</v>
      </c>
      <c r="J1221" s="3"/>
      <c r="K1221" s="26">
        <v>3</v>
      </c>
      <c r="L1221" s="2">
        <v>3032.3332999999998</v>
      </c>
      <c r="M1221" s="2">
        <v>9097</v>
      </c>
      <c r="N1221" s="2">
        <v>9097</v>
      </c>
      <c r="O1221" s="2">
        <v>3035</v>
      </c>
      <c r="P1221" s="2">
        <v>2.6667000000000001</v>
      </c>
      <c r="Q1221" s="2">
        <v>8</v>
      </c>
      <c r="R1221" s="4">
        <v>8.7863811092801151E-4</v>
      </c>
      <c r="T1221">
        <v>314364</v>
      </c>
      <c r="U1221" s="2"/>
      <c r="V1221">
        <v>6116</v>
      </c>
      <c r="W1221" s="2">
        <v>6579000000</v>
      </c>
      <c r="X1221" s="6">
        <v>9105</v>
      </c>
      <c r="Y1221" s="38">
        <v>10010</v>
      </c>
      <c r="Z1221" s="86">
        <f>+((DETALLE_GD_1[[#This Row],[VALOR X UN (GD)]]-DETALLE_GD_1[[#This Row],[VALOR PPTO]])/DETALLE_GD_1[[#This Row],[VALOR PPTO]])</f>
        <v>-8.7864909390452024E-4</v>
      </c>
      <c r="AA1221" s="2">
        <f>+DETALLE_GD_1[[#This Row],[VALOR PPTO]]*DETALLE_GD_1[[#This Row],[CANTIDAD RECIBIDA]]</f>
        <v>9105</v>
      </c>
      <c r="AB1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1" s="3">
        <f>+DETALLE_GD_1[[#This Row],[CANTIDAD SOLICITADA]]-DETALLE_GD_1[[#This Row],[DEVOLUCIÓN]]</f>
        <v>3</v>
      </c>
      <c r="AD1221" s="38" t="str">
        <f>+_xlfn.XLOOKUP(DETALLE_GD_1[[#This Row],[CODIGO]],PRODUCTOS[CODIGO],PRODUCTOS[DESC CORTA],"",0)</f>
        <v>ARGOLLA TOALLA BENTON</v>
      </c>
    </row>
    <row r="1222" spans="1:30" x14ac:dyDescent="0.25">
      <c r="A1222" s="1">
        <v>46146</v>
      </c>
      <c r="B1222" s="1">
        <v>46146</v>
      </c>
      <c r="C1222" s="81" t="s">
        <v>169</v>
      </c>
      <c r="D1222" s="38">
        <v>5</v>
      </c>
      <c r="E1222" s="81" t="s">
        <v>169</v>
      </c>
      <c r="F1222">
        <v>1802171</v>
      </c>
      <c r="G1222" s="81" t="s">
        <v>265</v>
      </c>
      <c r="H1222" s="81" t="s">
        <v>31</v>
      </c>
      <c r="I1222" s="3">
        <v>3</v>
      </c>
      <c r="J1222" s="3"/>
      <c r="K1222" s="26">
        <v>3</v>
      </c>
      <c r="L1222" s="2">
        <v>3228.6667000000002</v>
      </c>
      <c r="M1222" s="2">
        <v>9686</v>
      </c>
      <c r="N1222" s="2">
        <v>9686</v>
      </c>
      <c r="O1222" s="2">
        <v>3632</v>
      </c>
      <c r="P1222" s="2">
        <v>403.33330000000001</v>
      </c>
      <c r="Q1222" s="2">
        <v>1210</v>
      </c>
      <c r="R1222" s="4">
        <v>0.11104992657856098</v>
      </c>
      <c r="T1222">
        <v>314364</v>
      </c>
      <c r="U1222" s="2"/>
      <c r="V1222">
        <v>6116</v>
      </c>
      <c r="W1222" s="2">
        <v>6579000000</v>
      </c>
      <c r="X1222" s="6">
        <v>10896</v>
      </c>
      <c r="Y1222" s="38">
        <v>10010</v>
      </c>
      <c r="Z1222" s="86">
        <f>+((DETALLE_GD_1[[#This Row],[VALOR X UN (GD)]]-DETALLE_GD_1[[#This Row],[VALOR PPTO]])/DETALLE_GD_1[[#This Row],[VALOR PPTO]])</f>
        <v>-0.11104991740088099</v>
      </c>
      <c r="AA1222" s="2">
        <f>+DETALLE_GD_1[[#This Row],[VALOR PPTO]]*DETALLE_GD_1[[#This Row],[CANTIDAD RECIBIDA]]</f>
        <v>10896</v>
      </c>
      <c r="AB1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2" s="3">
        <f>+DETALLE_GD_1[[#This Row],[CANTIDAD SOLICITADA]]-DETALLE_GD_1[[#This Row],[DEVOLUCIÓN]]</f>
        <v>3</v>
      </c>
      <c r="AD1222" s="38" t="str">
        <f>+_xlfn.XLOOKUP(DETALLE_GD_1[[#This Row],[CODIGO]],PRODUCTOS[CODIGO],PRODUCTOS[DESC CORTA],"",0)</f>
        <v>PORTA ROLLO BENTON</v>
      </c>
    </row>
    <row r="1223" spans="1:30" x14ac:dyDescent="0.25">
      <c r="A1223" s="1">
        <v>46146</v>
      </c>
      <c r="B1223" s="1">
        <v>46146</v>
      </c>
      <c r="C1223" s="81" t="s">
        <v>169</v>
      </c>
      <c r="D1223" s="38">
        <v>5</v>
      </c>
      <c r="E1223" s="81" t="s">
        <v>169</v>
      </c>
      <c r="F1223">
        <v>1206002</v>
      </c>
      <c r="G1223" s="81" t="s">
        <v>192</v>
      </c>
      <c r="H1223" s="81" t="s">
        <v>31</v>
      </c>
      <c r="I1223" s="3">
        <v>3</v>
      </c>
      <c r="J1223" s="3"/>
      <c r="K1223" s="26">
        <v>3</v>
      </c>
      <c r="L1223" s="2">
        <v>20331.666700000002</v>
      </c>
      <c r="M1223" s="2">
        <v>60995</v>
      </c>
      <c r="N1223" s="2">
        <v>60995</v>
      </c>
      <c r="O1223" s="2">
        <v>15783.483899999999</v>
      </c>
      <c r="P1223" s="2">
        <v>-4548.1827999999996</v>
      </c>
      <c r="Q1223" s="2">
        <v>-13644.5484</v>
      </c>
      <c r="R1223" s="4">
        <v>-0.28816089228711639</v>
      </c>
      <c r="T1223">
        <v>314364</v>
      </c>
      <c r="U1223" s="2"/>
      <c r="V1223">
        <v>6116</v>
      </c>
      <c r="W1223" s="2">
        <v>6579000000</v>
      </c>
      <c r="X1223" s="6">
        <v>47350.451612999997</v>
      </c>
      <c r="Y1223" s="38">
        <v>10010</v>
      </c>
      <c r="Z1223" s="86">
        <f>+((DETALLE_GD_1[[#This Row],[VALOR X UN (GD)]]-DETALLE_GD_1[[#This Row],[VALOR PPTO]])/DETALLE_GD_1[[#This Row],[VALOR PPTO]])</f>
        <v>0.28816089203220857</v>
      </c>
      <c r="AA1223" s="2">
        <f>+DETALLE_GD_1[[#This Row],[VALOR PPTO]]*DETALLE_GD_1[[#This Row],[CANTIDAD RECIBIDA]]</f>
        <v>47350.451699999998</v>
      </c>
      <c r="AB1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3" s="3">
        <f>+DETALLE_GD_1[[#This Row],[CANTIDAD SOLICITADA]]-DETALLE_GD_1[[#This Row],[DEVOLUCIÓN]]</f>
        <v>3</v>
      </c>
      <c r="AD1223" s="38">
        <f>+_xlfn.XLOOKUP(DETALLE_GD_1[[#This Row],[CODIGO]],PRODUCTOS[CODIGO],PRODUCTOS[DESC CORTA],"",0)</f>
        <v>0</v>
      </c>
    </row>
    <row r="1224" spans="1:30" x14ac:dyDescent="0.25">
      <c r="A1224" s="1">
        <v>46146</v>
      </c>
      <c r="B1224" s="1">
        <v>46146</v>
      </c>
      <c r="C1224" s="81" t="s">
        <v>169</v>
      </c>
      <c r="D1224" s="38">
        <v>5</v>
      </c>
      <c r="E1224" s="81" t="s">
        <v>169</v>
      </c>
      <c r="F1224">
        <v>304002</v>
      </c>
      <c r="G1224" s="81" t="s">
        <v>37</v>
      </c>
      <c r="H1224" s="81" t="s">
        <v>18</v>
      </c>
      <c r="I1224" s="3">
        <v>72</v>
      </c>
      <c r="J1224" s="3"/>
      <c r="K1224" s="26">
        <v>72</v>
      </c>
      <c r="L1224" s="2">
        <v>21611.375</v>
      </c>
      <c r="M1224" s="2">
        <v>1556019</v>
      </c>
      <c r="N1224" s="2">
        <v>1556019</v>
      </c>
      <c r="O1224" s="2">
        <v>21246.5072</v>
      </c>
      <c r="P1224" s="2">
        <v>-364.86779999999999</v>
      </c>
      <c r="Q1224" s="2">
        <v>-26270.485000000001</v>
      </c>
      <c r="R1224" s="4">
        <v>-1.7173074349233843E-2</v>
      </c>
      <c r="T1224">
        <v>314364</v>
      </c>
      <c r="U1224" s="2"/>
      <c r="V1224">
        <v>6116</v>
      </c>
      <c r="W1224" s="2">
        <v>6579000000</v>
      </c>
      <c r="X1224" s="6">
        <v>1529748.5150160005</v>
      </c>
      <c r="Y1224" s="38">
        <v>10010</v>
      </c>
      <c r="Z1224" s="86">
        <f>+((DETALLE_GD_1[[#This Row],[VALOR X UN (GD)]]-DETALLE_GD_1[[#This Row],[VALOR PPTO]])/DETALLE_GD_1[[#This Row],[VALOR PPTO]])</f>
        <v>1.7173072099116601E-2</v>
      </c>
      <c r="AA1224" s="2">
        <f>+DETALLE_GD_1[[#This Row],[VALOR PPTO]]*DETALLE_GD_1[[#This Row],[CANTIDAD RECIBIDA]]</f>
        <v>1529748.5183999999</v>
      </c>
      <c r="AB12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24" s="3">
        <f>+DETALLE_GD_1[[#This Row],[CANTIDAD SOLICITADA]]-DETALLE_GD_1[[#This Row],[DEVOLUCIÓN]]</f>
        <v>72</v>
      </c>
      <c r="AD1224" s="38" t="str">
        <f>+_xlfn.XLOOKUP(DETALLE_GD_1[[#This Row],[CODIGO]],PRODUCTOS[CODIGO],PRODUCTOS[DESC CORTA],"",0)</f>
        <v>SMARTPANEL</v>
      </c>
    </row>
    <row r="1225" spans="1:30" x14ac:dyDescent="0.25">
      <c r="A1225" s="1">
        <v>46146</v>
      </c>
      <c r="B1225" s="1">
        <v>46146</v>
      </c>
      <c r="C1225" s="81" t="s">
        <v>169</v>
      </c>
      <c r="D1225" s="38">
        <v>5</v>
      </c>
      <c r="E1225" s="81" t="s">
        <v>169</v>
      </c>
      <c r="F1225">
        <v>704079</v>
      </c>
      <c r="G1225" s="81" t="s">
        <v>209</v>
      </c>
      <c r="H1225" s="81" t="s">
        <v>47</v>
      </c>
      <c r="I1225" s="3">
        <v>5</v>
      </c>
      <c r="J1225" s="3"/>
      <c r="K1225" s="26">
        <v>5</v>
      </c>
      <c r="L1225" s="2">
        <v>722.2</v>
      </c>
      <c r="M1225" s="2">
        <v>3611</v>
      </c>
      <c r="N1225" s="2">
        <v>3611</v>
      </c>
      <c r="O1225" s="2">
        <v>755.70489999999995</v>
      </c>
      <c r="P1225" s="2">
        <v>33.504899999999999</v>
      </c>
      <c r="Q1225" s="2">
        <v>167.52440000000001</v>
      </c>
      <c r="R1225" s="4">
        <v>4.4335934301930259E-2</v>
      </c>
      <c r="T1225">
        <v>314364</v>
      </c>
      <c r="U1225" s="2"/>
      <c r="V1225">
        <v>6116</v>
      </c>
      <c r="W1225" s="2">
        <v>6579000000</v>
      </c>
      <c r="X1225" s="6">
        <v>3778.52441</v>
      </c>
      <c r="Y1225" s="38">
        <v>10010</v>
      </c>
      <c r="Z1225" s="86">
        <f>+((DETALLE_GD_1[[#This Row],[VALOR X UN (GD)]]-DETALLE_GD_1[[#This Row],[VALOR PPTO]])/DETALLE_GD_1[[#This Row],[VALOR PPTO]])</f>
        <v>-4.4335957064721834E-2</v>
      </c>
      <c r="AA1225" s="2">
        <f>+DETALLE_GD_1[[#This Row],[VALOR PPTO]]*DETALLE_GD_1[[#This Row],[CANTIDAD RECIBIDA]]</f>
        <v>3778.5244999999995</v>
      </c>
      <c r="AB1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5" s="3">
        <f>+DETALLE_GD_1[[#This Row],[CANTIDAD SOLICITADA]]-DETALLE_GD_1[[#This Row],[DEVOLUCIÓN]]</f>
        <v>5</v>
      </c>
      <c r="AD1225" s="38">
        <f>+_xlfn.XLOOKUP(DETALLE_GD_1[[#This Row],[CODIGO]],PRODUCTOS[CODIGO],PRODUCTOS[DESC CORTA],"",0)</f>
        <v>0</v>
      </c>
    </row>
    <row r="1226" spans="1:30" x14ac:dyDescent="0.25">
      <c r="A1226" s="1">
        <v>46146</v>
      </c>
      <c r="B1226" s="1">
        <v>46146</v>
      </c>
      <c r="C1226" s="81" t="s">
        <v>169</v>
      </c>
      <c r="D1226" s="38">
        <v>5</v>
      </c>
      <c r="E1226" s="81" t="s">
        <v>169</v>
      </c>
      <c r="F1226">
        <v>617019</v>
      </c>
      <c r="G1226" s="81" t="s">
        <v>757</v>
      </c>
      <c r="H1226" s="81" t="s">
        <v>31</v>
      </c>
      <c r="I1226" s="3">
        <v>5</v>
      </c>
      <c r="J1226" s="3"/>
      <c r="K1226" s="26">
        <v>5</v>
      </c>
      <c r="L1226" s="2">
        <v>93</v>
      </c>
      <c r="M1226" s="2">
        <v>465</v>
      </c>
      <c r="N1226" s="2">
        <v>465</v>
      </c>
      <c r="O1226" s="2"/>
      <c r="P1226" s="2"/>
      <c r="Q1226" s="2">
        <v>-465</v>
      </c>
      <c r="R1226" s="4"/>
      <c r="T1226">
        <v>314364</v>
      </c>
      <c r="U1226" s="2"/>
      <c r="V1226">
        <v>6116</v>
      </c>
      <c r="W1226" s="2">
        <v>6579000000</v>
      </c>
      <c r="X1226" s="6" t="s">
        <v>355</v>
      </c>
      <c r="Y1226" s="38">
        <v>10010</v>
      </c>
      <c r="Z1226" s="86" t="e">
        <f>+((DETALLE_GD_1[[#This Row],[VALOR X UN (GD)]]-DETALLE_GD_1[[#This Row],[VALOR PPTO]])/DETALLE_GD_1[[#This Row],[VALOR PPTO]])</f>
        <v>#DIV/0!</v>
      </c>
      <c r="AA1226" s="2">
        <f>+DETALLE_GD_1[[#This Row],[VALOR PPTO]]*DETALLE_GD_1[[#This Row],[CANTIDAD RECIBIDA]]</f>
        <v>0</v>
      </c>
      <c r="AB1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6" s="3">
        <f>+DETALLE_GD_1[[#This Row],[CANTIDAD SOLICITADA]]-DETALLE_GD_1[[#This Row],[DEVOLUCIÓN]]</f>
        <v>5</v>
      </c>
      <c r="AD1226" s="38" t="str">
        <f>+_xlfn.XLOOKUP(DETALLE_GD_1[[#This Row],[CODIGO]],PRODUCTOS[CODIGO],PRODUCTOS[DESC CORTA],"",0)</f>
        <v/>
      </c>
    </row>
    <row r="1227" spans="1:30" x14ac:dyDescent="0.25">
      <c r="A1227" s="1">
        <v>46146</v>
      </c>
      <c r="B1227" s="1">
        <v>46146</v>
      </c>
      <c r="C1227" s="81" t="s">
        <v>169</v>
      </c>
      <c r="D1227" s="38">
        <v>5</v>
      </c>
      <c r="E1227" s="81" t="s">
        <v>169</v>
      </c>
      <c r="F1227">
        <v>1103076</v>
      </c>
      <c r="G1227" s="81" t="s">
        <v>311</v>
      </c>
      <c r="H1227" s="81" t="s">
        <v>31</v>
      </c>
      <c r="I1227" s="3">
        <v>20</v>
      </c>
      <c r="J1227" s="3"/>
      <c r="K1227" s="26">
        <v>20</v>
      </c>
      <c r="L1227" s="2">
        <v>3190.75</v>
      </c>
      <c r="M1227" s="2">
        <v>63815</v>
      </c>
      <c r="N1227" s="2">
        <v>63815</v>
      </c>
      <c r="O1227" s="2">
        <v>3191</v>
      </c>
      <c r="P1227" s="2">
        <v>0.25</v>
      </c>
      <c r="Q1227" s="2">
        <v>5</v>
      </c>
      <c r="R1227" s="4">
        <v>7.8345346286430597E-5</v>
      </c>
      <c r="T1227">
        <v>314364</v>
      </c>
      <c r="U1227" s="2"/>
      <c r="V1227">
        <v>6116</v>
      </c>
      <c r="W1227" s="2">
        <v>6579000000</v>
      </c>
      <c r="X1227" s="6">
        <v>63820</v>
      </c>
      <c r="Y1227" s="38">
        <v>10010</v>
      </c>
      <c r="Z1227" s="86">
        <f>+((DETALLE_GD_1[[#This Row],[VALOR X UN (GD)]]-DETALLE_GD_1[[#This Row],[VALOR PPTO]])/DETALLE_GD_1[[#This Row],[VALOR PPTO]])</f>
        <v>-7.8345346286430584E-5</v>
      </c>
      <c r="AA1227" s="2">
        <f>+DETALLE_GD_1[[#This Row],[VALOR PPTO]]*DETALLE_GD_1[[#This Row],[CANTIDAD RECIBIDA]]</f>
        <v>63820</v>
      </c>
      <c r="AB1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7" s="3">
        <f>+DETALLE_GD_1[[#This Row],[CANTIDAD SOLICITADA]]-DETALLE_GD_1[[#This Row],[DEVOLUCIÓN]]</f>
        <v>20</v>
      </c>
      <c r="AD1227" s="38" t="str">
        <f>+_xlfn.XLOOKUP(DETALLE_GD_1[[#This Row],[CODIGO]],PRODUCTOS[CODIGO],PRODUCTOS[DESC CORTA],"",0)</f>
        <v>PERFIL ESQUINERO INTERIOR</v>
      </c>
    </row>
    <row r="1228" spans="1:30" x14ac:dyDescent="0.25">
      <c r="A1228" s="1">
        <v>46146</v>
      </c>
      <c r="B1228" s="1">
        <v>46146</v>
      </c>
      <c r="C1228" s="81" t="s">
        <v>169</v>
      </c>
      <c r="D1228" s="38">
        <v>5</v>
      </c>
      <c r="E1228" s="81" t="s">
        <v>169</v>
      </c>
      <c r="F1228">
        <v>1103074</v>
      </c>
      <c r="G1228" s="81" t="s">
        <v>310</v>
      </c>
      <c r="H1228" s="81" t="s">
        <v>31</v>
      </c>
      <c r="I1228" s="3">
        <v>4</v>
      </c>
      <c r="J1228" s="3"/>
      <c r="K1228" s="26">
        <v>4</v>
      </c>
      <c r="L1228" s="2">
        <v>2427</v>
      </c>
      <c r="M1228" s="2">
        <v>9708</v>
      </c>
      <c r="N1228" s="2">
        <v>9708</v>
      </c>
      <c r="O1228" s="2">
        <v>2427</v>
      </c>
      <c r="P1228" s="2">
        <v>0</v>
      </c>
      <c r="Q1228" s="2">
        <v>0</v>
      </c>
      <c r="R1228" s="4">
        <v>0</v>
      </c>
      <c r="T1228">
        <v>314364</v>
      </c>
      <c r="U1228" s="2"/>
      <c r="V1228">
        <v>6116</v>
      </c>
      <c r="W1228" s="2">
        <v>6579000000</v>
      </c>
      <c r="X1228" s="6">
        <v>9708</v>
      </c>
      <c r="Y1228" s="38">
        <v>10010</v>
      </c>
      <c r="Z1228" s="86">
        <f>+((DETALLE_GD_1[[#This Row],[VALOR X UN (GD)]]-DETALLE_GD_1[[#This Row],[VALOR PPTO]])/DETALLE_GD_1[[#This Row],[VALOR PPTO]])</f>
        <v>0</v>
      </c>
      <c r="AA1228" s="2">
        <f>+DETALLE_GD_1[[#This Row],[VALOR PPTO]]*DETALLE_GD_1[[#This Row],[CANTIDAD RECIBIDA]]</f>
        <v>9708</v>
      </c>
      <c r="AB1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8" s="3">
        <f>+DETALLE_GD_1[[#This Row],[CANTIDAD SOLICITADA]]-DETALLE_GD_1[[#This Row],[DEVOLUCIÓN]]</f>
        <v>4</v>
      </c>
      <c r="AD1228" s="38" t="str">
        <f>+_xlfn.XLOOKUP(DETALLE_GD_1[[#This Row],[CODIGO]],PRODUCTOS[CODIGO],PRODUCTOS[DESC CORTA],"",0)</f>
        <v>PERFIL ESQUINERO ENCUENTRO</v>
      </c>
    </row>
    <row r="1229" spans="1:30" x14ac:dyDescent="0.25">
      <c r="A1229" s="1">
        <v>46146</v>
      </c>
      <c r="B1229" s="1">
        <v>46146</v>
      </c>
      <c r="C1229" s="81" t="s">
        <v>169</v>
      </c>
      <c r="D1229" s="38">
        <v>5</v>
      </c>
      <c r="E1229" s="81" t="s">
        <v>169</v>
      </c>
      <c r="F1229">
        <v>609008</v>
      </c>
      <c r="G1229" s="81" t="s">
        <v>57</v>
      </c>
      <c r="H1229" s="81" t="s">
        <v>58</v>
      </c>
      <c r="I1229" s="3">
        <v>4</v>
      </c>
      <c r="J1229" s="3"/>
      <c r="K1229" s="26">
        <v>4</v>
      </c>
      <c r="L1229" s="2">
        <v>2176.25</v>
      </c>
      <c r="M1229" s="2">
        <v>8705</v>
      </c>
      <c r="N1229" s="2">
        <v>8705</v>
      </c>
      <c r="O1229" s="2">
        <v>2130.7573000000002</v>
      </c>
      <c r="P1229" s="2">
        <v>-45.492699999999999</v>
      </c>
      <c r="Q1229" s="2">
        <v>-181.9708</v>
      </c>
      <c r="R1229" s="4">
        <v>-2.1350479374866036E-2</v>
      </c>
      <c r="T1229">
        <v>314364</v>
      </c>
      <c r="U1229" s="2"/>
      <c r="V1229">
        <v>6116</v>
      </c>
      <c r="W1229" s="2">
        <v>6579000000</v>
      </c>
      <c r="X1229" s="6">
        <v>8523.0292399999998</v>
      </c>
      <c r="Y1229" s="38">
        <v>10010</v>
      </c>
      <c r="Z1229" s="86">
        <f>+((DETALLE_GD_1[[#This Row],[VALOR X UN (GD)]]-DETALLE_GD_1[[#This Row],[VALOR PPTO]])/DETALLE_GD_1[[#This Row],[VALOR PPTO]])</f>
        <v>2.1350484168234356E-2</v>
      </c>
      <c r="AA1229" s="2">
        <f>+DETALLE_GD_1[[#This Row],[VALOR PPTO]]*DETALLE_GD_1[[#This Row],[CANTIDAD RECIBIDA]]</f>
        <v>8523.0292000000009</v>
      </c>
      <c r="AB1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9" s="3">
        <f>+DETALLE_GD_1[[#This Row],[CANTIDAD SOLICITADA]]-DETALLE_GD_1[[#This Row],[DEVOLUCIÓN]]</f>
        <v>4</v>
      </c>
      <c r="AD1229" s="38" t="str">
        <f>+_xlfn.XLOOKUP(DETALLE_GD_1[[#This Row],[CODIGO]],PRODUCTOS[CODIGO],PRODUCTOS[DESC CORTA],"",0)</f>
        <v>DUCO</v>
      </c>
    </row>
    <row r="1230" spans="1:30" x14ac:dyDescent="0.25">
      <c r="A1230" s="1">
        <v>46146</v>
      </c>
      <c r="B1230" s="1">
        <v>46146</v>
      </c>
      <c r="C1230" s="81" t="s">
        <v>169</v>
      </c>
      <c r="D1230" s="38">
        <v>5</v>
      </c>
      <c r="E1230" s="81" t="s">
        <v>169</v>
      </c>
      <c r="F1230">
        <v>601047</v>
      </c>
      <c r="G1230" s="81" t="s">
        <v>129</v>
      </c>
      <c r="H1230" s="81" t="s">
        <v>25</v>
      </c>
      <c r="I1230" s="3">
        <v>2</v>
      </c>
      <c r="J1230" s="3"/>
      <c r="K1230" s="26">
        <v>2</v>
      </c>
      <c r="L1230" s="2">
        <v>49501.5</v>
      </c>
      <c r="M1230" s="2">
        <v>99003</v>
      </c>
      <c r="N1230" s="2">
        <v>99003</v>
      </c>
      <c r="O1230" s="2">
        <v>50286.86</v>
      </c>
      <c r="P1230" s="2">
        <v>785.36</v>
      </c>
      <c r="Q1230" s="2">
        <v>1570.72</v>
      </c>
      <c r="R1230" s="4">
        <v>1.5617598712665706E-2</v>
      </c>
      <c r="T1230">
        <v>314364</v>
      </c>
      <c r="U1230" s="2"/>
      <c r="V1230">
        <v>6116</v>
      </c>
      <c r="W1230" s="2">
        <v>6579000000</v>
      </c>
      <c r="X1230" s="6">
        <v>100573.72</v>
      </c>
      <c r="Y1230" s="38">
        <v>10010</v>
      </c>
      <c r="Z1230" s="86">
        <f>+((DETALLE_GD_1[[#This Row],[VALOR X UN (GD)]]-DETALLE_GD_1[[#This Row],[VALOR PPTO]])/DETALLE_GD_1[[#This Row],[VALOR PPTO]])</f>
        <v>-1.5617598712665706E-2</v>
      </c>
      <c r="AA1230" s="2">
        <f>+DETALLE_GD_1[[#This Row],[VALOR PPTO]]*DETALLE_GD_1[[#This Row],[CANTIDAD RECIBIDA]]</f>
        <v>100573.72</v>
      </c>
      <c r="AB12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0" s="3">
        <f>+DETALLE_GD_1[[#This Row],[CANTIDAD SOLICITADA]]-DETALLE_GD_1[[#This Row],[DEVOLUCIÓN]]</f>
        <v>2</v>
      </c>
      <c r="AD1230" s="38" t="str">
        <f>+_xlfn.XLOOKUP(DETALLE_GD_1[[#This Row],[CODIGO]],PRODUCTOS[CODIGO],PRODUCTOS[DESC CORTA],"",0)</f>
        <v>ESMALTE AL AGUA</v>
      </c>
    </row>
    <row r="1231" spans="1:30" x14ac:dyDescent="0.25">
      <c r="A1231" s="1">
        <v>46146</v>
      </c>
      <c r="B1231" s="1">
        <v>46146</v>
      </c>
      <c r="C1231" s="81" t="s">
        <v>169</v>
      </c>
      <c r="D1231" s="38">
        <v>5</v>
      </c>
      <c r="E1231" s="81" t="s">
        <v>169</v>
      </c>
      <c r="F1231">
        <v>617016</v>
      </c>
      <c r="G1231" s="81" t="s">
        <v>133</v>
      </c>
      <c r="H1231" s="81" t="s">
        <v>31</v>
      </c>
      <c r="I1231" s="3">
        <v>6</v>
      </c>
      <c r="J1231" s="3"/>
      <c r="K1231" s="26">
        <v>6</v>
      </c>
      <c r="L1231" s="2">
        <v>2864.1667000000002</v>
      </c>
      <c r="M1231" s="2">
        <v>17185</v>
      </c>
      <c r="N1231" s="2">
        <v>17185</v>
      </c>
      <c r="O1231" s="2">
        <v>2857.5133000000001</v>
      </c>
      <c r="P1231" s="2">
        <v>-6.6534000000000004</v>
      </c>
      <c r="Q1231" s="2">
        <v>-39.920400000000001</v>
      </c>
      <c r="R1231" s="4">
        <v>-2.3283855676908415E-3</v>
      </c>
      <c r="T1231">
        <v>314364</v>
      </c>
      <c r="U1231" s="2"/>
      <c r="V1231">
        <v>6116</v>
      </c>
      <c r="W1231" s="2">
        <v>6579000000</v>
      </c>
      <c r="X1231" s="6">
        <v>17145.079643999998</v>
      </c>
      <c r="Y1231" s="38">
        <v>10010</v>
      </c>
      <c r="Z1231" s="86">
        <f>+((DETALLE_GD_1[[#This Row],[VALOR X UN (GD)]]-DETALLE_GD_1[[#This Row],[VALOR PPTO]])/DETALLE_GD_1[[#This Row],[VALOR PPTO]])</f>
        <v>2.3283881128392811E-3</v>
      </c>
      <c r="AA1231" s="2">
        <f>+DETALLE_GD_1[[#This Row],[VALOR PPTO]]*DETALLE_GD_1[[#This Row],[CANTIDAD RECIBIDA]]</f>
        <v>17145.0798</v>
      </c>
      <c r="AB1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1" s="3">
        <f>+DETALLE_GD_1[[#This Row],[CANTIDAD SOLICITADA]]-DETALLE_GD_1[[#This Row],[DEVOLUCIÓN]]</f>
        <v>6</v>
      </c>
      <c r="AD1231" s="38" t="str">
        <f>+_xlfn.XLOOKUP(DETALLE_GD_1[[#This Row],[CODIGO]],PRODUCTOS[CODIGO],PRODUCTOS[DESC CORTA],"",0)</f>
        <v>RODILLO CHIPORRO</v>
      </c>
    </row>
    <row r="1232" spans="1:30" x14ac:dyDescent="0.25">
      <c r="A1232" s="1">
        <v>46146</v>
      </c>
      <c r="B1232" s="1">
        <v>46146</v>
      </c>
      <c r="C1232" s="81" t="s">
        <v>169</v>
      </c>
      <c r="D1232" s="38">
        <v>5</v>
      </c>
      <c r="E1232" s="81" t="s">
        <v>169</v>
      </c>
      <c r="F1232">
        <v>617057</v>
      </c>
      <c r="G1232" s="81" t="s">
        <v>134</v>
      </c>
      <c r="H1232" s="81" t="s">
        <v>31</v>
      </c>
      <c r="I1232" s="3">
        <v>4</v>
      </c>
      <c r="J1232" s="3"/>
      <c r="K1232" s="26">
        <v>4</v>
      </c>
      <c r="L1232" s="2">
        <v>1698.25</v>
      </c>
      <c r="M1232" s="2">
        <v>6793</v>
      </c>
      <c r="N1232" s="2">
        <v>6793</v>
      </c>
      <c r="O1232" s="2">
        <v>2042.1197</v>
      </c>
      <c r="P1232" s="2">
        <v>343.86970000000002</v>
      </c>
      <c r="Q1232" s="2">
        <v>1375.4788000000001</v>
      </c>
      <c r="R1232" s="4">
        <v>0.1683886135517268</v>
      </c>
      <c r="T1232">
        <v>314364</v>
      </c>
      <c r="U1232" s="2"/>
      <c r="V1232">
        <v>6116</v>
      </c>
      <c r="W1232" s="2">
        <v>6579000000</v>
      </c>
      <c r="X1232" s="6">
        <v>8168.4788239999998</v>
      </c>
      <c r="Y1232" s="38">
        <v>10010</v>
      </c>
      <c r="Z1232" s="86">
        <f>+((DETALLE_GD_1[[#This Row],[VALOR X UN (GD)]]-DETALLE_GD_1[[#This Row],[VALOR PPTO]])/DETALLE_GD_1[[#This Row],[VALOR PPTO]])</f>
        <v>-0.16838861110834979</v>
      </c>
      <c r="AA1232" s="2">
        <f>+DETALLE_GD_1[[#This Row],[VALOR PPTO]]*DETALLE_GD_1[[#This Row],[CANTIDAD RECIBIDA]]</f>
        <v>8168.4787999999999</v>
      </c>
      <c r="AB1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2" s="3">
        <f>+DETALLE_GD_1[[#This Row],[CANTIDAD SOLICITADA]]-DETALLE_GD_1[[#This Row],[DEVOLUCIÓN]]</f>
        <v>4</v>
      </c>
      <c r="AD1232" s="38" t="str">
        <f>+_xlfn.XLOOKUP(DETALLE_GD_1[[#This Row],[CODIGO]],PRODUCTOS[CODIGO],PRODUCTOS[DESC CORTA],"",0)</f>
        <v>BROCHA 5/8 X4</v>
      </c>
    </row>
    <row r="1233" spans="1:30" x14ac:dyDescent="0.25">
      <c r="A1233" s="1">
        <v>46147</v>
      </c>
      <c r="B1233" s="1">
        <v>46147</v>
      </c>
      <c r="C1233" s="81" t="s">
        <v>169</v>
      </c>
      <c r="D1233" s="38">
        <v>5</v>
      </c>
      <c r="E1233" s="81" t="s">
        <v>169</v>
      </c>
      <c r="F1233">
        <v>1803045</v>
      </c>
      <c r="G1233" s="81" t="s">
        <v>337</v>
      </c>
      <c r="H1233" s="81" t="s">
        <v>90</v>
      </c>
      <c r="I1233" s="3">
        <v>9</v>
      </c>
      <c r="J1233" s="3"/>
      <c r="K1233" s="26">
        <v>9</v>
      </c>
      <c r="L1233" s="2">
        <v>51881.5556</v>
      </c>
      <c r="M1233" s="2">
        <v>466934</v>
      </c>
      <c r="N1233" s="2">
        <v>466934</v>
      </c>
      <c r="O1233" s="2">
        <v>51873</v>
      </c>
      <c r="P1233" s="2">
        <v>-8.5556000000000001</v>
      </c>
      <c r="Q1233" s="2">
        <v>-77</v>
      </c>
      <c r="R1233" s="4">
        <v>-1.6493273100769233E-4</v>
      </c>
      <c r="T1233">
        <v>314498</v>
      </c>
      <c r="U1233" s="2">
        <v>5432201</v>
      </c>
      <c r="V1233">
        <v>6116</v>
      </c>
      <c r="W1233" s="2">
        <v>6579000000</v>
      </c>
      <c r="X1233" s="6">
        <v>466856.99999999994</v>
      </c>
      <c r="Y1233" s="38">
        <v>10010</v>
      </c>
      <c r="Z1233" s="86">
        <f>+((DETALLE_GD_1[[#This Row],[VALOR X UN (GD)]]-DETALLE_GD_1[[#This Row],[VALOR PPTO]])/DETALLE_GD_1[[#This Row],[VALOR PPTO]])</f>
        <v>1.6493358780096941E-4</v>
      </c>
      <c r="AA1233" s="2">
        <f>+DETALLE_GD_1[[#This Row],[VALOR PPTO]]*DETALLE_GD_1[[#This Row],[CANTIDAD RECIBIDA]]</f>
        <v>466857</v>
      </c>
      <c r="AB1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33" s="3">
        <f>+DETALLE_GD_1[[#This Row],[CANTIDAD SOLICITADA]]-DETALLE_GD_1[[#This Row],[DEVOLUCIÓN]]</f>
        <v>9</v>
      </c>
      <c r="AD1233" s="38" t="str">
        <f>+_xlfn.XLOOKUP(DETALLE_GD_1[[#This Row],[CODIGO]],PRODUCTOS[CODIGO],PRODUCTOS[DESC CORTA],"",0)</f>
        <v>PUERTA INTERIOR</v>
      </c>
    </row>
    <row r="1234" spans="1:30" x14ac:dyDescent="0.25">
      <c r="A1234" s="1">
        <v>46147</v>
      </c>
      <c r="B1234" s="1">
        <v>46147</v>
      </c>
      <c r="C1234" s="81" t="s">
        <v>169</v>
      </c>
      <c r="D1234" s="38">
        <v>5</v>
      </c>
      <c r="E1234" s="81" t="s">
        <v>169</v>
      </c>
      <c r="F1234">
        <v>1803044</v>
      </c>
      <c r="G1234" s="81" t="s">
        <v>336</v>
      </c>
      <c r="H1234" s="81" t="s">
        <v>90</v>
      </c>
      <c r="I1234" s="3">
        <v>9</v>
      </c>
      <c r="J1234" s="3"/>
      <c r="K1234" s="26">
        <v>9</v>
      </c>
      <c r="L1234" s="2">
        <v>51875.888899999998</v>
      </c>
      <c r="M1234" s="2">
        <v>466883</v>
      </c>
      <c r="N1234" s="2">
        <v>466883</v>
      </c>
      <c r="O1234" s="2">
        <v>52920</v>
      </c>
      <c r="P1234" s="2">
        <v>1044.1111000000001</v>
      </c>
      <c r="Q1234" s="2">
        <v>9397</v>
      </c>
      <c r="R1234" s="4">
        <v>1.9729990761736763E-2</v>
      </c>
      <c r="T1234">
        <v>314498</v>
      </c>
      <c r="U1234" s="2"/>
      <c r="V1234">
        <v>6116</v>
      </c>
      <c r="W1234" s="2">
        <v>6579000000</v>
      </c>
      <c r="X1234" s="6">
        <v>476280</v>
      </c>
      <c r="Y1234" s="38">
        <v>10010</v>
      </c>
      <c r="Z1234" s="86">
        <f>+((DETALLE_GD_1[[#This Row],[VALOR X UN (GD)]]-DETALLE_GD_1[[#This Row],[VALOR PPTO]])/DETALLE_GD_1[[#This Row],[VALOR PPTO]])</f>
        <v>-1.9729990551776301E-2</v>
      </c>
      <c r="AA1234" s="2">
        <f>+DETALLE_GD_1[[#This Row],[VALOR PPTO]]*DETALLE_GD_1[[#This Row],[CANTIDAD RECIBIDA]]</f>
        <v>476280</v>
      </c>
      <c r="AB1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4" s="3">
        <f>+DETALLE_GD_1[[#This Row],[CANTIDAD SOLICITADA]]-DETALLE_GD_1[[#This Row],[DEVOLUCIÓN]]</f>
        <v>9</v>
      </c>
      <c r="AD1234" s="38" t="str">
        <f>+_xlfn.XLOOKUP(DETALLE_GD_1[[#This Row],[CODIGO]],PRODUCTOS[CODIGO],PRODUCTOS[DESC CORTA],"",0)</f>
        <v/>
      </c>
    </row>
    <row r="1235" spans="1:30" x14ac:dyDescent="0.25">
      <c r="A1235" s="1">
        <v>46147</v>
      </c>
      <c r="B1235" s="1">
        <v>46147</v>
      </c>
      <c r="C1235" s="81" t="s">
        <v>169</v>
      </c>
      <c r="D1235" s="38">
        <v>5</v>
      </c>
      <c r="E1235" s="81" t="s">
        <v>169</v>
      </c>
      <c r="F1235">
        <v>1610023</v>
      </c>
      <c r="G1235" s="81" t="s">
        <v>351</v>
      </c>
      <c r="H1235" s="81" t="s">
        <v>28</v>
      </c>
      <c r="I1235" s="3">
        <v>5</v>
      </c>
      <c r="J1235" s="3"/>
      <c r="K1235" s="26">
        <v>5</v>
      </c>
      <c r="L1235" s="2">
        <v>2278.1999999999998</v>
      </c>
      <c r="M1235" s="2">
        <v>11391</v>
      </c>
      <c r="N1235" s="2">
        <v>11391</v>
      </c>
      <c r="O1235" s="2">
        <v>2109.0585000000001</v>
      </c>
      <c r="P1235" s="2">
        <v>-169.14150000000001</v>
      </c>
      <c r="Q1235" s="2">
        <v>-845.70730000000003</v>
      </c>
      <c r="R1235" s="4">
        <v>-8.0197611698158158E-2</v>
      </c>
      <c r="T1235">
        <v>314498</v>
      </c>
      <c r="U1235" s="2"/>
      <c r="V1235">
        <v>6116</v>
      </c>
      <c r="W1235" s="2">
        <v>6579000000</v>
      </c>
      <c r="X1235" s="6">
        <v>10545.292710000002</v>
      </c>
      <c r="Y1235" s="38">
        <v>10010</v>
      </c>
      <c r="Z1235" s="86">
        <f>+((DETALLE_GD_1[[#This Row],[VALOR X UN (GD)]]-DETALLE_GD_1[[#This Row],[VALOR PPTO]])/DETALLE_GD_1[[#This Row],[VALOR PPTO]])</f>
        <v>8.0197633209320524E-2</v>
      </c>
      <c r="AA1235" s="2">
        <f>+DETALLE_GD_1[[#This Row],[VALOR PPTO]]*DETALLE_GD_1[[#This Row],[CANTIDAD RECIBIDA]]</f>
        <v>10545.2925</v>
      </c>
      <c r="AB12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5" s="3">
        <f>+DETALLE_GD_1[[#This Row],[CANTIDAD SOLICITADA]]-DETALLE_GD_1[[#This Row],[DEVOLUCIÓN]]</f>
        <v>5</v>
      </c>
      <c r="AD1235" s="38" t="str">
        <f>+_xlfn.XLOOKUP(DETALLE_GD_1[[#This Row],[CODIGO]],PRODUCTOS[CODIGO],PRODUCTOS[DESC CORTA],"",0)</f>
        <v>TRAPOS DE ASEO</v>
      </c>
    </row>
    <row r="1236" spans="1:30" x14ac:dyDescent="0.25">
      <c r="A1236" s="1">
        <v>46147</v>
      </c>
      <c r="B1236" s="1">
        <v>46147</v>
      </c>
      <c r="C1236" s="81" t="s">
        <v>169</v>
      </c>
      <c r="D1236" s="38">
        <v>5</v>
      </c>
      <c r="E1236" s="81" t="s">
        <v>169</v>
      </c>
      <c r="F1236">
        <v>2508988</v>
      </c>
      <c r="G1236" s="81" t="s">
        <v>469</v>
      </c>
      <c r="H1236" s="81" t="s">
        <v>90</v>
      </c>
      <c r="I1236" s="3">
        <v>5</v>
      </c>
      <c r="J1236" s="3"/>
      <c r="K1236" s="26">
        <v>5</v>
      </c>
      <c r="L1236" s="2">
        <v>142675.6</v>
      </c>
      <c r="M1236" s="2">
        <v>713378</v>
      </c>
      <c r="N1236" s="2">
        <v>713378</v>
      </c>
      <c r="O1236" s="2"/>
      <c r="P1236" s="2"/>
      <c r="Q1236" s="2">
        <v>-713378</v>
      </c>
      <c r="R1236" s="4"/>
      <c r="T1236">
        <v>314498</v>
      </c>
      <c r="U1236" s="2"/>
      <c r="V1236">
        <v>6116</v>
      </c>
      <c r="W1236" s="2">
        <v>6579000000</v>
      </c>
      <c r="X1236" s="6" t="s">
        <v>355</v>
      </c>
      <c r="Y1236" s="38">
        <v>10010</v>
      </c>
      <c r="Z1236" s="86" t="e">
        <f>+((DETALLE_GD_1[[#This Row],[VALOR X UN (GD)]]-DETALLE_GD_1[[#This Row],[VALOR PPTO]])/DETALLE_GD_1[[#This Row],[VALOR PPTO]])</f>
        <v>#DIV/0!</v>
      </c>
      <c r="AA1236" s="2">
        <f>+DETALLE_GD_1[[#This Row],[VALOR PPTO]]*DETALLE_GD_1[[#This Row],[CANTIDAD RECIBIDA]]</f>
        <v>0</v>
      </c>
      <c r="AB1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6" s="3">
        <f>+DETALLE_GD_1[[#This Row],[CANTIDAD SOLICITADA]]-DETALLE_GD_1[[#This Row],[DEVOLUCIÓN]]</f>
        <v>5</v>
      </c>
      <c r="AD1236" s="38" t="str">
        <f>+_xlfn.XLOOKUP(DETALLE_GD_1[[#This Row],[CODIGO]],PRODUCTOS[CODIGO],PRODUCTOS[DESC CORTA],"",0)</f>
        <v/>
      </c>
    </row>
    <row r="1237" spans="1:30" x14ac:dyDescent="0.25">
      <c r="A1237" s="1">
        <v>46147</v>
      </c>
      <c r="B1237" s="1">
        <v>46147</v>
      </c>
      <c r="C1237" s="81" t="s">
        <v>169</v>
      </c>
      <c r="D1237" s="38">
        <v>5</v>
      </c>
      <c r="E1237" s="81" t="s">
        <v>169</v>
      </c>
      <c r="F1237">
        <v>2508987</v>
      </c>
      <c r="G1237" s="81" t="s">
        <v>305</v>
      </c>
      <c r="H1237" s="81" t="s">
        <v>31</v>
      </c>
      <c r="I1237" s="3">
        <v>5</v>
      </c>
      <c r="J1237" s="3"/>
      <c r="K1237" s="26">
        <v>5</v>
      </c>
      <c r="L1237" s="2">
        <v>142531.4</v>
      </c>
      <c r="M1237" s="2">
        <v>712657</v>
      </c>
      <c r="N1237" s="2">
        <v>712657</v>
      </c>
      <c r="O1237" s="2">
        <v>145847</v>
      </c>
      <c r="P1237" s="2">
        <v>3315.6</v>
      </c>
      <c r="Q1237" s="2">
        <v>16578</v>
      </c>
      <c r="R1237" s="4">
        <v>2.2733412411636893E-2</v>
      </c>
      <c r="T1237">
        <v>314498</v>
      </c>
      <c r="U1237" s="2"/>
      <c r="V1237">
        <v>6116</v>
      </c>
      <c r="W1237" s="2">
        <v>6579000000</v>
      </c>
      <c r="X1237" s="6">
        <v>729235</v>
      </c>
      <c r="Y1237" s="38">
        <v>10010</v>
      </c>
      <c r="Z1237" s="86">
        <f>+((DETALLE_GD_1[[#This Row],[VALOR X UN (GD)]]-DETALLE_GD_1[[#This Row],[VALOR PPTO]])/DETALLE_GD_1[[#This Row],[VALOR PPTO]])</f>
        <v>-2.2733412411636893E-2</v>
      </c>
      <c r="AA1237" s="2">
        <f>+DETALLE_GD_1[[#This Row],[VALOR PPTO]]*DETALLE_GD_1[[#This Row],[CANTIDAD RECIBIDA]]</f>
        <v>729235</v>
      </c>
      <c r="AB1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7" s="3">
        <f>+DETALLE_GD_1[[#This Row],[CANTIDAD SOLICITADA]]-DETALLE_GD_1[[#This Row],[DEVOLUCIÓN]]</f>
        <v>5</v>
      </c>
      <c r="AD1237" s="38" t="str">
        <f>+_xlfn.XLOOKUP(DETALLE_GD_1[[#This Row],[CODIGO]],PRODUCTOS[CODIGO],PRODUCTOS[DESC CORTA],"",0)</f>
        <v>KIT PREC</v>
      </c>
    </row>
    <row r="1238" spans="1:30" x14ac:dyDescent="0.25">
      <c r="A1238" s="1">
        <v>46147</v>
      </c>
      <c r="B1238" s="1">
        <v>46147</v>
      </c>
      <c r="C1238" s="81" t="s">
        <v>169</v>
      </c>
      <c r="D1238" s="38">
        <v>5</v>
      </c>
      <c r="E1238" s="81" t="s">
        <v>169</v>
      </c>
      <c r="F1238">
        <v>1902003</v>
      </c>
      <c r="G1238" s="81" t="s">
        <v>155</v>
      </c>
      <c r="H1238" s="81" t="s">
        <v>47</v>
      </c>
      <c r="I1238" s="3">
        <v>10</v>
      </c>
      <c r="J1238" s="3"/>
      <c r="K1238" s="26">
        <v>10</v>
      </c>
      <c r="L1238" s="2">
        <v>150752.29999999999</v>
      </c>
      <c r="M1238" s="2">
        <v>1507523</v>
      </c>
      <c r="N1238" s="2">
        <v>1507523</v>
      </c>
      <c r="O1238" s="2">
        <v>150703.9755</v>
      </c>
      <c r="P1238" s="2">
        <v>-48.3245</v>
      </c>
      <c r="Q1238" s="2">
        <v>-483.24540000000002</v>
      </c>
      <c r="R1238" s="4">
        <v>-3.2065869432128485E-4</v>
      </c>
      <c r="T1238">
        <v>314498</v>
      </c>
      <c r="U1238" s="2"/>
      <c r="V1238">
        <v>6116</v>
      </c>
      <c r="W1238" s="2">
        <v>6579000000</v>
      </c>
      <c r="X1238" s="6">
        <v>1507039.7545999996</v>
      </c>
      <c r="Y1238" s="38">
        <v>10010</v>
      </c>
      <c r="Z1238" s="86">
        <f>+((DETALLE_GD_1[[#This Row],[VALOR X UN (GD)]]-DETALLE_GD_1[[#This Row],[VALOR PPTO]])/DETALLE_GD_1[[#This Row],[VALOR PPTO]])</f>
        <v>3.2065842881489145E-4</v>
      </c>
      <c r="AA1238" s="2">
        <f>+DETALLE_GD_1[[#This Row],[VALOR PPTO]]*DETALLE_GD_1[[#This Row],[CANTIDAD RECIBIDA]]</f>
        <v>1507039.7549999999</v>
      </c>
      <c r="AB1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8" s="3">
        <f>+DETALLE_GD_1[[#This Row],[CANTIDAD SOLICITADA]]-DETALLE_GD_1[[#This Row],[DEVOLUCIÓN]]</f>
        <v>10</v>
      </c>
      <c r="AD1238" s="38">
        <f>+_xlfn.XLOOKUP(DETALLE_GD_1[[#This Row],[CODIGO]],PRODUCTOS[CODIGO],PRODUCTOS[DESC CORTA],"",0)</f>
        <v>0</v>
      </c>
    </row>
    <row r="1239" spans="1:30" x14ac:dyDescent="0.25">
      <c r="A1239" s="1">
        <v>46147</v>
      </c>
      <c r="B1239" s="1">
        <v>46147</v>
      </c>
      <c r="C1239" s="81" t="s">
        <v>169</v>
      </c>
      <c r="D1239" s="38">
        <v>5</v>
      </c>
      <c r="E1239" s="81" t="s">
        <v>169</v>
      </c>
      <c r="F1239">
        <v>907034</v>
      </c>
      <c r="G1239" s="81" t="s">
        <v>256</v>
      </c>
      <c r="H1239" s="81" t="s">
        <v>47</v>
      </c>
      <c r="I1239" s="3">
        <v>10</v>
      </c>
      <c r="J1239" s="3"/>
      <c r="K1239" s="26">
        <v>10</v>
      </c>
      <c r="L1239" s="2">
        <v>114865.3</v>
      </c>
      <c r="M1239" s="2">
        <v>1148653</v>
      </c>
      <c r="N1239" s="2">
        <v>1148653</v>
      </c>
      <c r="O1239" s="2">
        <v>156269.1667</v>
      </c>
      <c r="P1239" s="2">
        <v>41403.866699999999</v>
      </c>
      <c r="Q1239" s="2">
        <v>414038.6667</v>
      </c>
      <c r="R1239" s="4">
        <v>0.26495224585940941</v>
      </c>
      <c r="T1239">
        <v>314498</v>
      </c>
      <c r="U1239" s="2"/>
      <c r="V1239">
        <v>6116</v>
      </c>
      <c r="W1239" s="2">
        <v>6579000000</v>
      </c>
      <c r="X1239" s="6">
        <v>1562691.6666700002</v>
      </c>
      <c r="Y1239" s="38">
        <v>10010</v>
      </c>
      <c r="Z1239" s="86">
        <f>+((DETALLE_GD_1[[#This Row],[VALOR X UN (GD)]]-DETALLE_GD_1[[#This Row],[VALOR PPTO]])/DETALLE_GD_1[[#This Row],[VALOR PPTO]])</f>
        <v>-0.26495224601463241</v>
      </c>
      <c r="AA1239" s="2">
        <f>+DETALLE_GD_1[[#This Row],[VALOR PPTO]]*DETALLE_GD_1[[#This Row],[CANTIDAD RECIBIDA]]</f>
        <v>1562691.6669999999</v>
      </c>
      <c r="AB1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9" s="3">
        <f>+DETALLE_GD_1[[#This Row],[CANTIDAD SOLICITADA]]-DETALLE_GD_1[[#This Row],[DEVOLUCIÓN]]</f>
        <v>10</v>
      </c>
      <c r="AD1239" s="38" t="str">
        <f>+_xlfn.XLOOKUP(DETALLE_GD_1[[#This Row],[CODIGO]],PRODUCTOS[CODIGO],PRODUCTOS[DESC CORTA],"",0)</f>
        <v/>
      </c>
    </row>
    <row r="1240" spans="1:30" x14ac:dyDescent="0.25">
      <c r="A1240" s="1">
        <v>46147</v>
      </c>
      <c r="B1240" s="1">
        <v>46147</v>
      </c>
      <c r="C1240" s="81" t="s">
        <v>169</v>
      </c>
      <c r="D1240" s="38">
        <v>5</v>
      </c>
      <c r="E1240" s="81" t="s">
        <v>169</v>
      </c>
      <c r="F1240">
        <v>2302119</v>
      </c>
      <c r="G1240" s="81" t="s">
        <v>74</v>
      </c>
      <c r="H1240" s="81" t="s">
        <v>31</v>
      </c>
      <c r="I1240" s="3">
        <v>48</v>
      </c>
      <c r="J1240" s="3"/>
      <c r="K1240" s="26">
        <v>48</v>
      </c>
      <c r="L1240" s="2">
        <v>3679.875</v>
      </c>
      <c r="M1240" s="2">
        <v>176634</v>
      </c>
      <c r="N1240" s="2">
        <v>176634</v>
      </c>
      <c r="O1240" s="2">
        <v>3671</v>
      </c>
      <c r="P1240" s="2">
        <v>-8.875</v>
      </c>
      <c r="Q1240" s="2">
        <v>-426</v>
      </c>
      <c r="R1240" s="4">
        <v>-2.4175973849087443E-3</v>
      </c>
      <c r="T1240">
        <v>314498</v>
      </c>
      <c r="U1240" s="2"/>
      <c r="V1240">
        <v>6116</v>
      </c>
      <c r="W1240" s="2">
        <v>6579000000</v>
      </c>
      <c r="X1240" s="6">
        <v>176208</v>
      </c>
      <c r="Y1240" s="38">
        <v>10010</v>
      </c>
      <c r="Z1240" s="86">
        <f>+((DETALLE_GD_1[[#This Row],[VALOR X UN (GD)]]-DETALLE_GD_1[[#This Row],[VALOR PPTO]])/DETALLE_GD_1[[#This Row],[VALOR PPTO]])</f>
        <v>2.4175973849087443E-3</v>
      </c>
      <c r="AA1240" s="2">
        <f>+DETALLE_GD_1[[#This Row],[VALOR PPTO]]*DETALLE_GD_1[[#This Row],[CANTIDAD RECIBIDA]]</f>
        <v>176208</v>
      </c>
      <c r="AB1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0" s="3">
        <f>+DETALLE_GD_1[[#This Row],[CANTIDAD SOLICITADA]]-DETALLE_GD_1[[#This Row],[DEVOLUCIÓN]]</f>
        <v>48</v>
      </c>
      <c r="AD1240" s="38" t="str">
        <f>+_xlfn.XLOOKUP(DETALLE_GD_1[[#This Row],[CODIGO]],PRODUCTOS[CODIGO],PRODUCTOS[DESC CORTA],"",0)</f>
        <v>SELLO</v>
      </c>
    </row>
    <row r="1241" spans="1:30" x14ac:dyDescent="0.25">
      <c r="A1241" s="1">
        <v>46147</v>
      </c>
      <c r="B1241" s="1">
        <v>46147</v>
      </c>
      <c r="C1241" s="81" t="s">
        <v>169</v>
      </c>
      <c r="D1241" s="38">
        <v>5</v>
      </c>
      <c r="E1241" s="81" t="s">
        <v>169</v>
      </c>
      <c r="F1241">
        <v>1405039</v>
      </c>
      <c r="G1241" s="81" t="s">
        <v>314</v>
      </c>
      <c r="H1241" s="81" t="s">
        <v>31</v>
      </c>
      <c r="I1241" s="3">
        <v>10</v>
      </c>
      <c r="J1241" s="3"/>
      <c r="K1241" s="26">
        <v>10</v>
      </c>
      <c r="L1241" s="2">
        <v>7660.1</v>
      </c>
      <c r="M1241" s="2">
        <v>76601</v>
      </c>
      <c r="N1241" s="2">
        <v>76601</v>
      </c>
      <c r="O1241" s="2">
        <v>7596</v>
      </c>
      <c r="P1241" s="2">
        <v>-64.099999999999994</v>
      </c>
      <c r="Q1241" s="2">
        <v>-641</v>
      </c>
      <c r="R1241" s="4">
        <v>-8.4386519220642914E-3</v>
      </c>
      <c r="T1241">
        <v>314498</v>
      </c>
      <c r="U1241" s="2"/>
      <c r="V1241">
        <v>6116</v>
      </c>
      <c r="W1241" s="2">
        <v>6579000000</v>
      </c>
      <c r="X1241" s="6">
        <v>75960</v>
      </c>
      <c r="Y1241" s="38">
        <v>10010</v>
      </c>
      <c r="Z1241" s="86">
        <f>+((DETALLE_GD_1[[#This Row],[VALOR X UN (GD)]]-DETALLE_GD_1[[#This Row],[VALOR PPTO]])/DETALLE_GD_1[[#This Row],[VALOR PPTO]])</f>
        <v>8.4386519220642914E-3</v>
      </c>
      <c r="AA1241" s="2">
        <f>+DETALLE_GD_1[[#This Row],[VALOR PPTO]]*DETALLE_GD_1[[#This Row],[CANTIDAD RECIBIDA]]</f>
        <v>75960</v>
      </c>
      <c r="AB1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1" s="3">
        <f>+DETALLE_GD_1[[#This Row],[CANTIDAD SOLICITADA]]-DETALLE_GD_1[[#This Row],[DEVOLUCIÓN]]</f>
        <v>10</v>
      </c>
      <c r="AD1241" s="38" t="str">
        <f>+_xlfn.XLOOKUP(DETALLE_GD_1[[#This Row],[CODIGO]],PRODUCTOS[CODIGO],PRODUCTOS[DESC CORTA],"",0)</f>
        <v>CERRADURA INOX 304</v>
      </c>
    </row>
    <row r="1242" spans="1:30" x14ac:dyDescent="0.25">
      <c r="A1242" s="1">
        <v>46147</v>
      </c>
      <c r="B1242" s="1">
        <v>46147</v>
      </c>
      <c r="C1242" s="81" t="s">
        <v>169</v>
      </c>
      <c r="D1242" s="38">
        <v>5</v>
      </c>
      <c r="E1242" s="81" t="s">
        <v>169</v>
      </c>
      <c r="F1242">
        <v>1405040</v>
      </c>
      <c r="G1242" s="81" t="s">
        <v>451</v>
      </c>
      <c r="H1242" s="81" t="s">
        <v>31</v>
      </c>
      <c r="I1242" s="3">
        <v>20</v>
      </c>
      <c r="J1242" s="3"/>
      <c r="K1242" s="26">
        <v>20</v>
      </c>
      <c r="L1242" s="2">
        <v>7577.35</v>
      </c>
      <c r="M1242" s="2">
        <v>151547</v>
      </c>
      <c r="N1242" s="2">
        <v>151547</v>
      </c>
      <c r="O1242" s="2">
        <v>7568</v>
      </c>
      <c r="P1242" s="2">
        <v>-9.35</v>
      </c>
      <c r="Q1242" s="2">
        <v>-187</v>
      </c>
      <c r="R1242" s="4">
        <v>-1.2354651162791181E-3</v>
      </c>
      <c r="T1242">
        <v>314498</v>
      </c>
      <c r="U1242" s="2"/>
      <c r="V1242">
        <v>6116</v>
      </c>
      <c r="W1242" s="2">
        <v>6579000000</v>
      </c>
      <c r="X1242" s="6">
        <v>151360</v>
      </c>
      <c r="Y1242" s="38">
        <v>10010</v>
      </c>
      <c r="Z1242" s="86">
        <f>+((DETALLE_GD_1[[#This Row],[VALOR X UN (GD)]]-DETALLE_GD_1[[#This Row],[VALOR PPTO]])/DETALLE_GD_1[[#This Row],[VALOR PPTO]])</f>
        <v>1.2354651162791179E-3</v>
      </c>
      <c r="AA1242" s="2">
        <f>+DETALLE_GD_1[[#This Row],[VALOR PPTO]]*DETALLE_GD_1[[#This Row],[CANTIDAD RECIBIDA]]</f>
        <v>151360</v>
      </c>
      <c r="AB1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2" s="3">
        <f>+DETALLE_GD_1[[#This Row],[CANTIDAD SOLICITADA]]-DETALLE_GD_1[[#This Row],[DEVOLUCIÓN]]</f>
        <v>20</v>
      </c>
      <c r="AD1242" s="38" t="str">
        <f>+_xlfn.XLOOKUP(DETALLE_GD_1[[#This Row],[CODIGO]],PRODUCTOS[CODIGO],PRODUCTOS[DESC CORTA],"",0)</f>
        <v>CEERRADURA BAÑO 815 TUBULAR</v>
      </c>
    </row>
    <row r="1243" spans="1:30" x14ac:dyDescent="0.25">
      <c r="A1243" s="1">
        <v>46147</v>
      </c>
      <c r="B1243" s="1">
        <v>46147</v>
      </c>
      <c r="C1243" s="81" t="s">
        <v>169</v>
      </c>
      <c r="D1243" s="38">
        <v>5</v>
      </c>
      <c r="E1243" s="81" t="s">
        <v>169</v>
      </c>
      <c r="F1243">
        <v>407115</v>
      </c>
      <c r="G1243" s="81" t="s">
        <v>282</v>
      </c>
      <c r="H1243" s="81" t="s">
        <v>31</v>
      </c>
      <c r="I1243" s="3">
        <v>100</v>
      </c>
      <c r="J1243" s="3"/>
      <c r="K1243" s="26">
        <v>100</v>
      </c>
      <c r="L1243" s="2">
        <v>547.98</v>
      </c>
      <c r="M1243" s="2">
        <v>54798</v>
      </c>
      <c r="N1243" s="2">
        <v>54798</v>
      </c>
      <c r="O1243" s="2">
        <v>567</v>
      </c>
      <c r="P1243" s="2">
        <v>19.02</v>
      </c>
      <c r="Q1243" s="2">
        <v>1902</v>
      </c>
      <c r="R1243" s="4">
        <v>3.354497354497351E-2</v>
      </c>
      <c r="T1243">
        <v>314475</v>
      </c>
      <c r="U1243" s="2">
        <v>10485464</v>
      </c>
      <c r="V1243">
        <v>6116</v>
      </c>
      <c r="W1243" s="2">
        <v>6579000000</v>
      </c>
      <c r="X1243" s="6">
        <v>56700</v>
      </c>
      <c r="Y1243" s="38">
        <v>10010</v>
      </c>
      <c r="Z1243" s="86">
        <f>+((DETALLE_GD_1[[#This Row],[VALOR X UN (GD)]]-DETALLE_GD_1[[#This Row],[VALOR PPTO]])/DETALLE_GD_1[[#This Row],[VALOR PPTO]])</f>
        <v>-3.354497354497351E-2</v>
      </c>
      <c r="AA1243" s="2">
        <f>+DETALLE_GD_1[[#This Row],[VALOR PPTO]]*DETALLE_GD_1[[#This Row],[CANTIDAD RECIBIDA]]</f>
        <v>56700</v>
      </c>
      <c r="AB1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3" s="3">
        <f>+DETALLE_GD_1[[#This Row],[CANTIDAD SOLICITADA]]-DETALLE_GD_1[[#This Row],[DEVOLUCIÓN]]</f>
        <v>100</v>
      </c>
      <c r="AD1243" s="38">
        <f>+_xlfn.XLOOKUP(DETALLE_GD_1[[#This Row],[CODIGO]],PRODUCTOS[CODIGO],PRODUCTOS[DESC CORTA],"",0)</f>
        <v>0</v>
      </c>
    </row>
    <row r="1244" spans="1:30" x14ac:dyDescent="0.25">
      <c r="A1244" s="1">
        <v>46147</v>
      </c>
      <c r="B1244" s="1">
        <v>46147</v>
      </c>
      <c r="C1244" s="81" t="s">
        <v>169</v>
      </c>
      <c r="D1244" s="38">
        <v>5</v>
      </c>
      <c r="E1244" s="81" t="s">
        <v>169</v>
      </c>
      <c r="F1244">
        <v>304049</v>
      </c>
      <c r="G1244" s="81" t="s">
        <v>318</v>
      </c>
      <c r="H1244" s="81" t="s">
        <v>18</v>
      </c>
      <c r="I1244" s="3">
        <v>130</v>
      </c>
      <c r="J1244" s="3"/>
      <c r="K1244" s="26">
        <v>130</v>
      </c>
      <c r="L1244" s="2">
        <v>14981.223099999999</v>
      </c>
      <c r="M1244" s="2">
        <v>1947559</v>
      </c>
      <c r="N1244" s="2">
        <v>1947559</v>
      </c>
      <c r="O1244" s="2">
        <v>14982</v>
      </c>
      <c r="P1244" s="2">
        <v>0.77690000000000003</v>
      </c>
      <c r="Q1244" s="2">
        <v>101</v>
      </c>
      <c r="R1244" s="4">
        <v>5.1857100314738323E-5</v>
      </c>
      <c r="T1244">
        <v>314475</v>
      </c>
      <c r="U1244" s="2"/>
      <c r="V1244">
        <v>6116</v>
      </c>
      <c r="W1244" s="2">
        <v>6579000000</v>
      </c>
      <c r="X1244" s="6">
        <v>1947659.9999999993</v>
      </c>
      <c r="Y1244" s="38">
        <v>10010</v>
      </c>
      <c r="Z1244" s="86">
        <f>+((DETALLE_GD_1[[#This Row],[VALOR X UN (GD)]]-DETALLE_GD_1[[#This Row],[VALOR PPTO]])/DETALLE_GD_1[[#This Row],[VALOR PPTO]])</f>
        <v>-5.1855560005389863E-5</v>
      </c>
      <c r="AA1244" s="2">
        <f>+DETALLE_GD_1[[#This Row],[VALOR PPTO]]*DETALLE_GD_1[[#This Row],[CANTIDAD RECIBIDA]]</f>
        <v>1947660</v>
      </c>
      <c r="AB12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44" s="3">
        <f>+DETALLE_GD_1[[#This Row],[CANTIDAD SOLICITADA]]-DETALLE_GD_1[[#This Row],[DEVOLUCIÓN]]</f>
        <v>130</v>
      </c>
      <c r="AD1244" s="38" t="str">
        <f>+_xlfn.XLOOKUP(DETALLE_GD_1[[#This Row],[CODIGO]],PRODUCTOS[CODIGO],PRODUCTOS[DESC CORTA],"",0)</f>
        <v>TERCIADO FENOLICO</v>
      </c>
    </row>
    <row r="1245" spans="1:30" x14ac:dyDescent="0.25">
      <c r="A1245" s="1">
        <v>46147</v>
      </c>
      <c r="B1245" s="1">
        <v>46147</v>
      </c>
      <c r="C1245" s="81" t="s">
        <v>169</v>
      </c>
      <c r="D1245" s="38">
        <v>5</v>
      </c>
      <c r="E1245" s="81" t="s">
        <v>169</v>
      </c>
      <c r="F1245">
        <v>407011</v>
      </c>
      <c r="G1245" s="81" t="s">
        <v>30</v>
      </c>
      <c r="H1245" s="81" t="s">
        <v>31</v>
      </c>
      <c r="I1245" s="3">
        <v>2500</v>
      </c>
      <c r="J1245" s="3"/>
      <c r="K1245" s="26">
        <v>2500</v>
      </c>
      <c r="L1245" s="2">
        <v>473.17520000000002</v>
      </c>
      <c r="M1245" s="2">
        <v>1182938</v>
      </c>
      <c r="N1245" s="2">
        <v>1182938</v>
      </c>
      <c r="O1245" s="2">
        <v>473.17520000000002</v>
      </c>
      <c r="P1245" s="2">
        <v>0</v>
      </c>
      <c r="Q1245" s="2">
        <v>0.1</v>
      </c>
      <c r="R1245" s="4">
        <v>8.4535276822620125E-8</v>
      </c>
      <c r="T1245">
        <v>314475</v>
      </c>
      <c r="U1245" s="2"/>
      <c r="V1245">
        <v>6116</v>
      </c>
      <c r="W1245" s="2">
        <v>6579000000</v>
      </c>
      <c r="X1245" s="6">
        <v>1182938.1000000001</v>
      </c>
      <c r="Y1245" s="38">
        <v>10010</v>
      </c>
      <c r="Z1245" s="86">
        <f>+((DETALLE_GD_1[[#This Row],[VALOR X UN (GD)]]-DETALLE_GD_1[[#This Row],[VALOR PPTO]])/DETALLE_GD_1[[#This Row],[VALOR PPTO]])</f>
        <v>0</v>
      </c>
      <c r="AA1245" s="2">
        <f>+DETALLE_GD_1[[#This Row],[VALOR PPTO]]*DETALLE_GD_1[[#This Row],[CANTIDAD RECIBIDA]]</f>
        <v>1182938</v>
      </c>
      <c r="AB1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45" s="3">
        <f>+DETALLE_GD_1[[#This Row],[CANTIDAD SOLICITADA]]-DETALLE_GD_1[[#This Row],[DEVOLUCIÓN]]</f>
        <v>2500</v>
      </c>
      <c r="AD1245" s="38" t="str">
        <f>+_xlfn.XLOOKUP(DETALLE_GD_1[[#This Row],[CODIGO]],PRODUCTOS[CODIGO],PRODUCTOS[DESC CORTA],"",0)</f>
        <v>TORNILLO SIMPSON 6"</v>
      </c>
    </row>
    <row r="1246" spans="1:30" x14ac:dyDescent="0.25">
      <c r="A1246" s="1">
        <v>46147</v>
      </c>
      <c r="B1246" s="1">
        <v>46147</v>
      </c>
      <c r="C1246" s="81" t="s">
        <v>169</v>
      </c>
      <c r="D1246" s="38">
        <v>5</v>
      </c>
      <c r="E1246" s="81" t="s">
        <v>169</v>
      </c>
      <c r="F1246" t="s">
        <v>179</v>
      </c>
      <c r="G1246" s="81" t="s">
        <v>180</v>
      </c>
      <c r="H1246" s="81" t="s">
        <v>36</v>
      </c>
      <c r="I1246" s="3">
        <v>6</v>
      </c>
      <c r="J1246" s="3"/>
      <c r="K1246" s="26">
        <v>6</v>
      </c>
      <c r="L1246" s="2">
        <v>61593.833299999998</v>
      </c>
      <c r="M1246" s="2">
        <v>369563</v>
      </c>
      <c r="N1246" s="2">
        <v>369563</v>
      </c>
      <c r="O1246" s="2">
        <v>55858.301899999999</v>
      </c>
      <c r="P1246" s="2">
        <v>-5735.5313999999998</v>
      </c>
      <c r="Q1246" s="2">
        <v>-34413.188699999999</v>
      </c>
      <c r="R1246" s="4">
        <v>-0.10268001805597644</v>
      </c>
      <c r="T1246">
        <v>314475</v>
      </c>
      <c r="U1246" s="2"/>
      <c r="V1246">
        <v>6116</v>
      </c>
      <c r="W1246" s="2">
        <v>6579000000</v>
      </c>
      <c r="X1246" s="6">
        <v>335149.81132199999</v>
      </c>
      <c r="Y1246" s="38">
        <v>10010</v>
      </c>
      <c r="Z1246" s="86">
        <f>+((DETALLE_GD_1[[#This Row],[VALOR X UN (GD)]]-DETALLE_GD_1[[#This Row],[VALOR PPTO]])/DETALLE_GD_1[[#This Row],[VALOR PPTO]])</f>
        <v>0.10268001720259956</v>
      </c>
      <c r="AA1246" s="2">
        <f>+DETALLE_GD_1[[#This Row],[VALOR PPTO]]*DETALLE_GD_1[[#This Row],[CANTIDAD RECIBIDA]]</f>
        <v>335149.81140000001</v>
      </c>
      <c r="AB1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6" s="3">
        <f>+DETALLE_GD_1[[#This Row],[CANTIDAD SOLICITADA]]-DETALLE_GD_1[[#This Row],[DEVOLUCIÓN]]</f>
        <v>6</v>
      </c>
      <c r="AD1246" s="38">
        <f>+_xlfn.XLOOKUP(DETALLE_GD_1[[#This Row],[CODIGO]],PRODUCTOS[CODIGO],PRODUCTOS[DESC CORTA],"",0)</f>
        <v>0</v>
      </c>
    </row>
    <row r="1247" spans="1:30" x14ac:dyDescent="0.25">
      <c r="A1247" s="1">
        <v>46147</v>
      </c>
      <c r="B1247" s="1">
        <v>46147</v>
      </c>
      <c r="C1247" s="81" t="s">
        <v>169</v>
      </c>
      <c r="D1247" s="38">
        <v>5</v>
      </c>
      <c r="E1247" s="81" t="s">
        <v>169</v>
      </c>
      <c r="F1247">
        <v>1901466</v>
      </c>
      <c r="G1247" s="81" t="s">
        <v>398</v>
      </c>
      <c r="H1247" s="81" t="s">
        <v>26</v>
      </c>
      <c r="I1247" s="3">
        <v>202</v>
      </c>
      <c r="J1247" s="3"/>
      <c r="K1247" s="26">
        <v>202</v>
      </c>
      <c r="L1247" s="2">
        <v>1974.8761999999999</v>
      </c>
      <c r="M1247" s="2">
        <v>398925</v>
      </c>
      <c r="N1247" s="2">
        <v>398925</v>
      </c>
      <c r="O1247" s="2">
        <v>2112.7957999999999</v>
      </c>
      <c r="P1247" s="2">
        <v>137.9195</v>
      </c>
      <c r="Q1247" s="2">
        <v>27859.7474</v>
      </c>
      <c r="R1247" s="4">
        <v>6.5278217017981699E-2</v>
      </c>
      <c r="T1247">
        <v>314475</v>
      </c>
      <c r="U1247" s="2"/>
      <c r="V1247">
        <v>6116</v>
      </c>
      <c r="W1247" s="2">
        <v>6579000000</v>
      </c>
      <c r="X1247" s="6">
        <v>426784.74735800002</v>
      </c>
      <c r="Y1247" s="38">
        <v>10010</v>
      </c>
      <c r="Z1247" s="86">
        <f>+((DETALLE_GD_1[[#This Row],[VALOR X UN (GD)]]-DETALLE_GD_1[[#This Row],[VALOR PPTO]])/DETALLE_GD_1[[#This Row],[VALOR PPTO]])</f>
        <v>-6.5278244116161135E-2</v>
      </c>
      <c r="AA1247" s="2">
        <f>+DETALLE_GD_1[[#This Row],[VALOR PPTO]]*DETALLE_GD_1[[#This Row],[CANTIDAD RECIBIDA]]</f>
        <v>426784.75159999996</v>
      </c>
      <c r="AB1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7" s="3">
        <f>+DETALLE_GD_1[[#This Row],[CANTIDAD SOLICITADA]]-DETALLE_GD_1[[#This Row],[DEVOLUCIÓN]]</f>
        <v>202</v>
      </c>
      <c r="AD1247" s="38" t="str">
        <f>+_xlfn.XLOOKUP(DETALLE_GD_1[[#This Row],[CODIGO]],PRODUCTOS[CODIGO],PRODUCTOS[DESC CORTA],"",0)</f>
        <v>AISLAN DENSIDAD 14 KG/M3 (13.5 M2 X BOLSA) SKU 4000147</v>
      </c>
    </row>
    <row r="1248" spans="1:30" x14ac:dyDescent="0.25">
      <c r="A1248" s="1">
        <v>46147</v>
      </c>
      <c r="B1248" s="1">
        <v>46147</v>
      </c>
      <c r="C1248" s="81" t="s">
        <v>169</v>
      </c>
      <c r="D1248" s="38">
        <v>5</v>
      </c>
      <c r="E1248" s="81" t="s">
        <v>169</v>
      </c>
      <c r="F1248">
        <v>1901086</v>
      </c>
      <c r="G1248" s="81" t="s">
        <v>279</v>
      </c>
      <c r="H1248" s="81" t="s">
        <v>26</v>
      </c>
      <c r="I1248" s="3">
        <v>121</v>
      </c>
      <c r="J1248" s="3"/>
      <c r="K1248" s="26">
        <v>121</v>
      </c>
      <c r="L1248" s="2">
        <v>3611.6694000000002</v>
      </c>
      <c r="M1248" s="2">
        <v>437012</v>
      </c>
      <c r="N1248" s="2">
        <v>437012</v>
      </c>
      <c r="O1248" s="2">
        <v>3711.587</v>
      </c>
      <c r="P1248" s="2">
        <v>99.917599999999993</v>
      </c>
      <c r="Q1248" s="2">
        <v>12090.031999999999</v>
      </c>
      <c r="R1248" s="4">
        <v>2.6920457046718325E-2</v>
      </c>
      <c r="T1248">
        <v>314475</v>
      </c>
      <c r="U1248" s="2"/>
      <c r="V1248">
        <v>6116</v>
      </c>
      <c r="W1248" s="2">
        <v>6579000000</v>
      </c>
      <c r="X1248" s="6">
        <v>449102.031961</v>
      </c>
      <c r="Y1248" s="38">
        <v>10010</v>
      </c>
      <c r="Z1248" s="86">
        <f>+((DETALLE_GD_1[[#This Row],[VALOR X UN (GD)]]-DETALLE_GD_1[[#This Row],[VALOR PPTO]])/DETALLE_GD_1[[#This Row],[VALOR PPTO]])</f>
        <v>-2.6920452086937413E-2</v>
      </c>
      <c r="AA1248" s="2">
        <f>+DETALLE_GD_1[[#This Row],[VALOR PPTO]]*DETALLE_GD_1[[#This Row],[CANTIDAD RECIBIDA]]</f>
        <v>449102.027</v>
      </c>
      <c r="AB1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48" s="3">
        <f>+DETALLE_GD_1[[#This Row],[CANTIDAD SOLICITADA]]-DETALLE_GD_1[[#This Row],[DEVOLUCIÓN]]</f>
        <v>121</v>
      </c>
      <c r="AD1248" s="38" t="str">
        <f>+_xlfn.XLOOKUP(DETALLE_GD_1[[#This Row],[CODIGO]],PRODUCTOS[CODIGO],PRODUCTOS[DESC CORTA],"",0)</f>
        <v>AISLAN GLASS 140MM</v>
      </c>
    </row>
    <row r="1249" spans="1:30" x14ac:dyDescent="0.25">
      <c r="A1249" s="1">
        <v>46147</v>
      </c>
      <c r="B1249" s="1">
        <v>46147</v>
      </c>
      <c r="C1249" s="81" t="s">
        <v>169</v>
      </c>
      <c r="D1249" s="38">
        <v>5</v>
      </c>
      <c r="E1249" s="81" t="s">
        <v>169</v>
      </c>
      <c r="F1249">
        <v>1901038</v>
      </c>
      <c r="G1249" s="81" t="s">
        <v>39</v>
      </c>
      <c r="H1249" s="81" t="s">
        <v>26</v>
      </c>
      <c r="I1249" s="3">
        <v>75</v>
      </c>
      <c r="J1249" s="3"/>
      <c r="K1249" s="26">
        <v>75</v>
      </c>
      <c r="L1249" s="2">
        <v>4311.4666999999999</v>
      </c>
      <c r="M1249" s="2">
        <v>323360</v>
      </c>
      <c r="N1249" s="2">
        <v>323360</v>
      </c>
      <c r="O1249" s="2">
        <v>4197.4179000000004</v>
      </c>
      <c r="P1249" s="2">
        <v>-114.0488</v>
      </c>
      <c r="Q1249" s="2">
        <v>-8553.6594000000005</v>
      </c>
      <c r="R1249" s="4">
        <v>-2.717117882066131E-2</v>
      </c>
      <c r="T1249">
        <v>314475</v>
      </c>
      <c r="U1249" s="2"/>
      <c r="V1249">
        <v>6116</v>
      </c>
      <c r="W1249" s="2">
        <v>6579000000</v>
      </c>
      <c r="X1249" s="6">
        <v>314806.34062500007</v>
      </c>
      <c r="Y1249" s="38">
        <v>10010</v>
      </c>
      <c r="Z1249" s="86">
        <f>+((DETALLE_GD_1[[#This Row],[VALOR X UN (GD)]]-DETALLE_GD_1[[#This Row],[VALOR PPTO]])/DETALLE_GD_1[[#This Row],[VALOR PPTO]])</f>
        <v>2.7171180644176403E-2</v>
      </c>
      <c r="AA1249" s="2">
        <f>+DETALLE_GD_1[[#This Row],[VALOR PPTO]]*DETALLE_GD_1[[#This Row],[CANTIDAD RECIBIDA]]</f>
        <v>314806.34250000003</v>
      </c>
      <c r="AB1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49" s="3">
        <f>+DETALLE_GD_1[[#This Row],[CANTIDAD SOLICITADA]]-DETALLE_GD_1[[#This Row],[DEVOLUCIÓN]]</f>
        <v>75</v>
      </c>
      <c r="AD1249" s="38" t="str">
        <f>+_xlfn.XLOOKUP(DETALLE_GD_1[[#This Row],[CODIGO]],PRODUCTOS[CODIGO],PRODUCTOS[DESC CORTA],"",0)</f>
        <v>AISLAN ROCA 90MM</v>
      </c>
    </row>
    <row r="1250" spans="1:30" x14ac:dyDescent="0.25">
      <c r="A1250" s="1">
        <v>46147</v>
      </c>
      <c r="B1250" s="1">
        <v>46147</v>
      </c>
      <c r="C1250" s="81" t="s">
        <v>169</v>
      </c>
      <c r="D1250" s="38">
        <v>5</v>
      </c>
      <c r="E1250" s="81" t="s">
        <v>169</v>
      </c>
      <c r="F1250">
        <v>1901008</v>
      </c>
      <c r="G1250" s="81" t="s">
        <v>278</v>
      </c>
      <c r="H1250" s="81" t="s">
        <v>26</v>
      </c>
      <c r="I1250" s="3">
        <v>135</v>
      </c>
      <c r="J1250" s="3"/>
      <c r="K1250" s="26">
        <v>135</v>
      </c>
      <c r="L1250" s="2">
        <v>2030.3851999999999</v>
      </c>
      <c r="M1250" s="2">
        <v>274102</v>
      </c>
      <c r="N1250" s="2">
        <v>274102</v>
      </c>
      <c r="O1250" s="2">
        <v>2112.7957999999999</v>
      </c>
      <c r="P1250" s="2">
        <v>82.410600000000002</v>
      </c>
      <c r="Q1250" s="2">
        <v>11125.430200000001</v>
      </c>
      <c r="R1250" s="4">
        <v>3.9005470681989077E-2</v>
      </c>
      <c r="T1250">
        <v>314475</v>
      </c>
      <c r="U1250" s="2"/>
      <c r="V1250">
        <v>6116</v>
      </c>
      <c r="W1250" s="2">
        <v>6579000000</v>
      </c>
      <c r="X1250" s="6">
        <v>285227.43016500003</v>
      </c>
      <c r="Y1250" s="38">
        <v>10010</v>
      </c>
      <c r="Z1250" s="86">
        <f>+((DETALLE_GD_1[[#This Row],[VALOR X UN (GD)]]-DETALLE_GD_1[[#This Row],[VALOR PPTO]])/DETALLE_GD_1[[#This Row],[VALOR PPTO]])</f>
        <v>-3.9005473221785054E-2</v>
      </c>
      <c r="AA1250" s="2">
        <f>+DETALLE_GD_1[[#This Row],[VALOR PPTO]]*DETALLE_GD_1[[#This Row],[CANTIDAD RECIBIDA]]</f>
        <v>285227.43299999996</v>
      </c>
      <c r="AB1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50" s="3">
        <f>+DETALLE_GD_1[[#This Row],[CANTIDAD SOLICITADA]]-DETALLE_GD_1[[#This Row],[DEVOLUCIÓN]]</f>
        <v>135</v>
      </c>
      <c r="AD1250" s="38" t="str">
        <f>+_xlfn.XLOOKUP(DETALLE_GD_1[[#This Row],[CODIGO]],PRODUCTOS[CODIGO],PRODUCTOS[DESC CORTA],"",0)</f>
        <v>AISLAN GLASS 90MM</v>
      </c>
    </row>
    <row r="1251" spans="1:30" x14ac:dyDescent="0.25">
      <c r="A1251" s="1">
        <v>46147</v>
      </c>
      <c r="B1251" s="1">
        <v>46147</v>
      </c>
      <c r="C1251" s="81" t="s">
        <v>169</v>
      </c>
      <c r="D1251" s="38">
        <v>5</v>
      </c>
      <c r="E1251" s="81" t="s">
        <v>169</v>
      </c>
      <c r="F1251">
        <v>1902013</v>
      </c>
      <c r="G1251" s="81" t="s">
        <v>338</v>
      </c>
      <c r="H1251" s="81" t="s">
        <v>47</v>
      </c>
      <c r="I1251" s="3">
        <v>10</v>
      </c>
      <c r="J1251" s="3"/>
      <c r="K1251" s="26">
        <v>10</v>
      </c>
      <c r="L1251" s="2">
        <v>39045.300000000003</v>
      </c>
      <c r="M1251" s="2">
        <v>390453</v>
      </c>
      <c r="N1251" s="2">
        <v>390453</v>
      </c>
      <c r="O1251" s="2">
        <v>29779</v>
      </c>
      <c r="P1251" s="2">
        <v>-9266.2999999999993</v>
      </c>
      <c r="Q1251" s="2">
        <v>-92663</v>
      </c>
      <c r="R1251" s="4">
        <v>-0.31116894455824584</v>
      </c>
      <c r="T1251">
        <v>314475</v>
      </c>
      <c r="U1251" s="2"/>
      <c r="V1251">
        <v>6116</v>
      </c>
      <c r="W1251" s="2">
        <v>6579000000</v>
      </c>
      <c r="X1251" s="6">
        <v>297790</v>
      </c>
      <c r="Y1251" s="38">
        <v>10010</v>
      </c>
      <c r="Z1251" s="86">
        <f>+((DETALLE_GD_1[[#This Row],[VALOR X UN (GD)]]-DETALLE_GD_1[[#This Row],[VALOR PPTO]])/DETALLE_GD_1[[#This Row],[VALOR PPTO]])</f>
        <v>0.31116894455824584</v>
      </c>
      <c r="AA1251" s="2">
        <f>+DETALLE_GD_1[[#This Row],[VALOR PPTO]]*DETALLE_GD_1[[#This Row],[CANTIDAD RECIBIDA]]</f>
        <v>297790</v>
      </c>
      <c r="AB12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51" s="3">
        <f>+DETALLE_GD_1[[#This Row],[CANTIDAD SOLICITADA]]-DETALLE_GD_1[[#This Row],[DEVOLUCIÓN]]</f>
        <v>10</v>
      </c>
      <c r="AD1251" s="38">
        <f>+_xlfn.XLOOKUP(DETALLE_GD_1[[#This Row],[CODIGO]],PRODUCTOS[CODIGO],PRODUCTOS[DESC CORTA],"",0)</f>
        <v>0</v>
      </c>
    </row>
    <row r="1252" spans="1:30" x14ac:dyDescent="0.25">
      <c r="A1252" s="1">
        <v>46147</v>
      </c>
      <c r="B1252" s="1">
        <v>46147</v>
      </c>
      <c r="C1252" s="81" t="s">
        <v>169</v>
      </c>
      <c r="D1252" s="38">
        <v>5</v>
      </c>
      <c r="E1252" s="81" t="s">
        <v>169</v>
      </c>
      <c r="F1252">
        <v>302046</v>
      </c>
      <c r="G1252" s="81" t="s">
        <v>115</v>
      </c>
      <c r="H1252" s="81" t="s">
        <v>20</v>
      </c>
      <c r="I1252" s="3">
        <v>336</v>
      </c>
      <c r="J1252" s="3"/>
      <c r="K1252" s="26">
        <v>336</v>
      </c>
      <c r="L1252" s="2">
        <v>10122.2798</v>
      </c>
      <c r="M1252" s="2">
        <v>3401086</v>
      </c>
      <c r="N1252" s="2">
        <v>3401086</v>
      </c>
      <c r="O1252" s="2">
        <v>10156.5985</v>
      </c>
      <c r="P1252" s="2">
        <v>34.3187</v>
      </c>
      <c r="Q1252" s="2">
        <v>11531.0849</v>
      </c>
      <c r="R1252" s="4">
        <v>3.3789565676683696E-3</v>
      </c>
      <c r="T1252">
        <v>314475</v>
      </c>
      <c r="U1252" s="2"/>
      <c r="V1252">
        <v>6116</v>
      </c>
      <c r="W1252" s="2">
        <v>6579000000</v>
      </c>
      <c r="X1252" s="6">
        <v>3412617.0849120007</v>
      </c>
      <c r="Y1252" s="38">
        <v>10010</v>
      </c>
      <c r="Z1252" s="86">
        <f>+((DETALLE_GD_1[[#This Row],[VALOR X UN (GD)]]-DETALLE_GD_1[[#This Row],[VALOR PPTO]])/DETALLE_GD_1[[#This Row],[VALOR PPTO]])</f>
        <v>-3.3789560550217482E-3</v>
      </c>
      <c r="AA1252" s="2">
        <f>+DETALLE_GD_1[[#This Row],[VALOR PPTO]]*DETALLE_GD_1[[#This Row],[CANTIDAD RECIBIDA]]</f>
        <v>3412617.0959999999</v>
      </c>
      <c r="AB1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52" s="3">
        <f>+DETALLE_GD_1[[#This Row],[CANTIDAD SOLICITADA]]-DETALLE_GD_1[[#This Row],[DEVOLUCIÓN]]</f>
        <v>336</v>
      </c>
      <c r="AD1252" s="38" t="str">
        <f>+_xlfn.XLOOKUP(DETALLE_GD_1[[#This Row],[CODIGO]],PRODUCTOS[CODIGO],PRODUCTOS[DESC CORTA],"",0)</f>
        <v>PINO 2X6X400</v>
      </c>
    </row>
    <row r="1253" spans="1:30" x14ac:dyDescent="0.25">
      <c r="A1253" s="1">
        <v>46147</v>
      </c>
      <c r="B1253" s="1">
        <v>46147</v>
      </c>
      <c r="C1253" s="81" t="s">
        <v>169</v>
      </c>
      <c r="D1253" s="38">
        <v>5</v>
      </c>
      <c r="E1253" s="81" t="s">
        <v>169</v>
      </c>
      <c r="F1253">
        <v>302010</v>
      </c>
      <c r="G1253" s="81" t="s">
        <v>323</v>
      </c>
      <c r="H1253" s="81" t="s">
        <v>20</v>
      </c>
      <c r="I1253" s="3">
        <v>84</v>
      </c>
      <c r="J1253" s="3"/>
      <c r="K1253" s="26">
        <v>84</v>
      </c>
      <c r="L1253" s="2">
        <v>6678.2142999999996</v>
      </c>
      <c r="M1253" s="2">
        <v>560970</v>
      </c>
      <c r="N1253" s="2">
        <v>560970</v>
      </c>
      <c r="O1253" s="2">
        <v>6585.1337000000003</v>
      </c>
      <c r="P1253" s="2">
        <v>-93.080500000000001</v>
      </c>
      <c r="Q1253" s="2">
        <v>-7818.7654000000002</v>
      </c>
      <c r="R1253" s="4">
        <v>-1.4134950681141182E-2</v>
      </c>
      <c r="T1253">
        <v>314475</v>
      </c>
      <c r="U1253" s="2"/>
      <c r="V1253">
        <v>6116</v>
      </c>
      <c r="W1253" s="2">
        <v>6579000000</v>
      </c>
      <c r="X1253" s="6">
        <v>553151.23457999935</v>
      </c>
      <c r="Y1253" s="38">
        <v>10010</v>
      </c>
      <c r="Z1253" s="86">
        <f>+((DETALLE_GD_1[[#This Row],[VALOR X UN (GD)]]-DETALLE_GD_1[[#This Row],[VALOR PPTO]])/DETALLE_GD_1[[#This Row],[VALOR PPTO]])</f>
        <v>1.4134959780695009E-2</v>
      </c>
      <c r="AA1253" s="2">
        <f>+DETALLE_GD_1[[#This Row],[VALOR PPTO]]*DETALLE_GD_1[[#This Row],[CANTIDAD RECIBIDA]]</f>
        <v>553151.23080000002</v>
      </c>
      <c r="AB12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53" s="3">
        <f>+DETALLE_GD_1[[#This Row],[CANTIDAD SOLICITADA]]-DETALLE_GD_1[[#This Row],[DEVOLUCIÓN]]</f>
        <v>84</v>
      </c>
      <c r="AD1253" s="38" t="str">
        <f>+_xlfn.XLOOKUP(DETALLE_GD_1[[#This Row],[CODIGO]],PRODUCTOS[CODIGO],PRODUCTOS[DESC CORTA],"",0)</f>
        <v>PINO 2X6X320</v>
      </c>
    </row>
    <row r="1254" spans="1:30" x14ac:dyDescent="0.25">
      <c r="A1254" s="1">
        <v>46147</v>
      </c>
      <c r="B1254" s="1">
        <v>46147</v>
      </c>
      <c r="C1254" s="81" t="s">
        <v>169</v>
      </c>
      <c r="D1254" s="38">
        <v>5</v>
      </c>
      <c r="E1254" s="81" t="s">
        <v>169</v>
      </c>
      <c r="F1254">
        <v>701096</v>
      </c>
      <c r="G1254" s="81" t="s">
        <v>204</v>
      </c>
      <c r="H1254" s="81" t="s">
        <v>18</v>
      </c>
      <c r="I1254" s="3">
        <v>70</v>
      </c>
      <c r="J1254" s="3"/>
      <c r="K1254" s="26">
        <v>70</v>
      </c>
      <c r="L1254" s="2">
        <v>16352.828600000001</v>
      </c>
      <c r="M1254" s="2">
        <v>1144698</v>
      </c>
      <c r="N1254" s="2">
        <v>1144698</v>
      </c>
      <c r="O1254" s="2">
        <v>16019.885700000001</v>
      </c>
      <c r="P1254" s="2">
        <v>-332.94290000000001</v>
      </c>
      <c r="Q1254" s="2">
        <v>-23306.002</v>
      </c>
      <c r="R1254" s="4">
        <v>-2.0783100015521062E-2</v>
      </c>
      <c r="T1254">
        <v>314475</v>
      </c>
      <c r="U1254" s="2"/>
      <c r="V1254">
        <v>6116</v>
      </c>
      <c r="W1254" s="2">
        <v>6579000000</v>
      </c>
      <c r="X1254" s="6">
        <v>1121391.9979500002</v>
      </c>
      <c r="Y1254" s="38">
        <v>10010</v>
      </c>
      <c r="Z1254" s="86">
        <f>+((DETALLE_GD_1[[#This Row],[VALOR X UN (GD)]]-DETALLE_GD_1[[#This Row],[VALOR PPTO]])/DETALLE_GD_1[[#This Row],[VALOR PPTO]])</f>
        <v>2.0783100843222619E-2</v>
      </c>
      <c r="AA1254" s="2">
        <f>+DETALLE_GD_1[[#This Row],[VALOR PPTO]]*DETALLE_GD_1[[#This Row],[CANTIDAD RECIBIDA]]</f>
        <v>1121391.9990000001</v>
      </c>
      <c r="AB12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54" s="3">
        <f>+DETALLE_GD_1[[#This Row],[CANTIDAD SOLICITADA]]-DETALLE_GD_1[[#This Row],[DEVOLUCIÓN]]</f>
        <v>70</v>
      </c>
      <c r="AD1254" s="38" t="str">
        <f>+_xlfn.XLOOKUP(DETALLE_GD_1[[#This Row],[CODIGO]],PRODUCTOS[CODIGO],PRODUCTOS[DESC CORTA],"",0)</f>
        <v>VOCANITA EMPAPELADA MURO</v>
      </c>
    </row>
    <row r="1255" spans="1:30" x14ac:dyDescent="0.25">
      <c r="A1255" s="1">
        <v>46148</v>
      </c>
      <c r="B1255" s="1">
        <v>46148</v>
      </c>
      <c r="C1255" s="81" t="s">
        <v>169</v>
      </c>
      <c r="D1255" s="38">
        <v>5</v>
      </c>
      <c r="E1255" s="81" t="s">
        <v>169</v>
      </c>
      <c r="F1255">
        <v>1805340</v>
      </c>
      <c r="G1255" s="81" t="s">
        <v>298</v>
      </c>
      <c r="H1255" s="81" t="s">
        <v>31</v>
      </c>
      <c r="I1255" s="3">
        <v>20</v>
      </c>
      <c r="J1255" s="3"/>
      <c r="K1255" s="26">
        <v>20</v>
      </c>
      <c r="L1255" s="2">
        <v>19400</v>
      </c>
      <c r="M1255" s="2">
        <v>388000</v>
      </c>
      <c r="N1255" s="2">
        <v>388000</v>
      </c>
      <c r="O1255" s="2">
        <v>19400</v>
      </c>
      <c r="P1255" s="2">
        <v>0</v>
      </c>
      <c r="Q1255" s="2">
        <v>0</v>
      </c>
      <c r="R1255" s="4">
        <v>0</v>
      </c>
      <c r="T1255">
        <v>314535</v>
      </c>
      <c r="U1255" s="2">
        <v>388000</v>
      </c>
      <c r="V1255">
        <v>6116</v>
      </c>
      <c r="W1255" s="2">
        <v>6579000000</v>
      </c>
      <c r="X1255" s="6">
        <v>388000</v>
      </c>
      <c r="Y1255" s="38">
        <v>10010</v>
      </c>
      <c r="Z1255" s="86">
        <f>+((DETALLE_GD_1[[#This Row],[VALOR X UN (GD)]]-DETALLE_GD_1[[#This Row],[VALOR PPTO]])/DETALLE_GD_1[[#This Row],[VALOR PPTO]])</f>
        <v>0</v>
      </c>
      <c r="AA1255" s="2">
        <f>+DETALLE_GD_1[[#This Row],[VALOR PPTO]]*DETALLE_GD_1[[#This Row],[CANTIDAD RECIBIDA]]</f>
        <v>388000</v>
      </c>
      <c r="AB1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5" s="3">
        <f>+DETALLE_GD_1[[#This Row],[CANTIDAD SOLICITADA]]-DETALLE_GD_1[[#This Row],[DEVOLUCIÓN]]</f>
        <v>20</v>
      </c>
      <c r="AD1255" s="38" t="str">
        <f>+_xlfn.XLOOKUP(DETALLE_GD_1[[#This Row],[CODIGO]],PRODUCTOS[CODIGO],PRODUCTOS[DESC CORTA],"",0)</f>
        <v>EXTRT</v>
      </c>
    </row>
    <row r="1256" spans="1:30" x14ac:dyDescent="0.25">
      <c r="A1256" s="1">
        <v>46148</v>
      </c>
      <c r="B1256" s="1">
        <v>46148</v>
      </c>
      <c r="C1256" s="81" t="s">
        <v>169</v>
      </c>
      <c r="D1256" s="38">
        <v>5</v>
      </c>
      <c r="E1256" s="81" t="s">
        <v>169</v>
      </c>
      <c r="F1256">
        <v>2302119</v>
      </c>
      <c r="G1256" s="81" t="s">
        <v>74</v>
      </c>
      <c r="H1256" s="81" t="s">
        <v>31</v>
      </c>
      <c r="I1256" s="3">
        <v>24</v>
      </c>
      <c r="J1256" s="3"/>
      <c r="K1256" s="26">
        <v>24</v>
      </c>
      <c r="L1256" s="2">
        <v>3679.875</v>
      </c>
      <c r="M1256" s="2">
        <v>88317</v>
      </c>
      <c r="N1256" s="2">
        <v>88317</v>
      </c>
      <c r="O1256" s="2">
        <v>3671</v>
      </c>
      <c r="P1256" s="2">
        <v>-8.875</v>
      </c>
      <c r="Q1256" s="2">
        <v>-213</v>
      </c>
      <c r="R1256" s="4">
        <v>-2.4175973849087443E-3</v>
      </c>
      <c r="T1256">
        <v>314598</v>
      </c>
      <c r="U1256" s="2">
        <v>323466</v>
      </c>
      <c r="V1256">
        <v>6116</v>
      </c>
      <c r="W1256" s="2">
        <v>6579000000</v>
      </c>
      <c r="X1256" s="6">
        <v>88104</v>
      </c>
      <c r="Y1256" s="38">
        <v>10010</v>
      </c>
      <c r="Z1256" s="86">
        <f>+((DETALLE_GD_1[[#This Row],[VALOR X UN (GD)]]-DETALLE_GD_1[[#This Row],[VALOR PPTO]])/DETALLE_GD_1[[#This Row],[VALOR PPTO]])</f>
        <v>2.4175973849087443E-3</v>
      </c>
      <c r="AA1256" s="2">
        <f>+DETALLE_GD_1[[#This Row],[VALOR PPTO]]*DETALLE_GD_1[[#This Row],[CANTIDAD RECIBIDA]]</f>
        <v>88104</v>
      </c>
      <c r="AB1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6" s="3">
        <f>+DETALLE_GD_1[[#This Row],[CANTIDAD SOLICITADA]]-DETALLE_GD_1[[#This Row],[DEVOLUCIÓN]]</f>
        <v>24</v>
      </c>
      <c r="AD1256" s="38" t="str">
        <f>+_xlfn.XLOOKUP(DETALLE_GD_1[[#This Row],[CODIGO]],PRODUCTOS[CODIGO],PRODUCTOS[DESC CORTA],"",0)</f>
        <v>SELLO</v>
      </c>
    </row>
    <row r="1257" spans="1:30" x14ac:dyDescent="0.25">
      <c r="A1257" s="1">
        <v>46148</v>
      </c>
      <c r="B1257" s="1">
        <v>46148</v>
      </c>
      <c r="C1257" s="81" t="s">
        <v>169</v>
      </c>
      <c r="D1257" s="38">
        <v>5</v>
      </c>
      <c r="E1257" s="81" t="s">
        <v>169</v>
      </c>
      <c r="F1257">
        <v>2505058</v>
      </c>
      <c r="G1257" s="81" t="s">
        <v>142</v>
      </c>
      <c r="H1257" s="81" t="s">
        <v>31</v>
      </c>
      <c r="I1257" s="3">
        <v>12</v>
      </c>
      <c r="J1257" s="3"/>
      <c r="K1257" s="26">
        <v>12</v>
      </c>
      <c r="L1257" s="2">
        <v>16539.75</v>
      </c>
      <c r="M1257" s="2">
        <v>198477</v>
      </c>
      <c r="N1257" s="2">
        <v>198477</v>
      </c>
      <c r="O1257" s="2">
        <v>17870.144100000001</v>
      </c>
      <c r="P1257" s="2">
        <v>1330.3941</v>
      </c>
      <c r="Q1257" s="2">
        <v>15964.728800000001</v>
      </c>
      <c r="R1257" s="4">
        <v>7.4447864714327239E-2</v>
      </c>
      <c r="T1257">
        <v>314598</v>
      </c>
      <c r="U1257" s="2"/>
      <c r="V1257">
        <v>6116</v>
      </c>
      <c r="W1257" s="2">
        <v>6579000000</v>
      </c>
      <c r="X1257" s="6">
        <v>214441.72881599999</v>
      </c>
      <c r="Y1257" s="38">
        <v>10010</v>
      </c>
      <c r="Z1257" s="86">
        <f>+((DETALLE_GD_1[[#This Row],[VALOR X UN (GD)]]-DETALLE_GD_1[[#This Row],[VALOR PPTO]])/DETALLE_GD_1[[#This Row],[VALOR PPTO]])</f>
        <v>-7.444786637170997E-2</v>
      </c>
      <c r="AA1257" s="2">
        <f>+DETALLE_GD_1[[#This Row],[VALOR PPTO]]*DETALLE_GD_1[[#This Row],[CANTIDAD RECIBIDA]]</f>
        <v>214441.7292</v>
      </c>
      <c r="AB1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7" s="3">
        <f>+DETALLE_GD_1[[#This Row],[CANTIDAD SOLICITADA]]-DETALLE_GD_1[[#This Row],[DEVOLUCIÓN]]</f>
        <v>12</v>
      </c>
      <c r="AD1257" s="38" t="str">
        <f>+_xlfn.XLOOKUP(DETALLE_GD_1[[#This Row],[CODIGO]],PRODUCTOS[CODIGO],PRODUCTOS[DESC CORTA],"",0)</f>
        <v>VENTILACIÓN PASIVA</v>
      </c>
    </row>
    <row r="1258" spans="1:30" x14ac:dyDescent="0.25">
      <c r="A1258" s="1">
        <v>46148</v>
      </c>
      <c r="B1258" s="1">
        <v>46148</v>
      </c>
      <c r="C1258" s="81" t="s">
        <v>169</v>
      </c>
      <c r="D1258" s="38">
        <v>5</v>
      </c>
      <c r="E1258" s="81" t="s">
        <v>169</v>
      </c>
      <c r="F1258">
        <v>412132</v>
      </c>
      <c r="G1258" s="81" t="s">
        <v>741</v>
      </c>
      <c r="H1258" s="81" t="s">
        <v>31</v>
      </c>
      <c r="I1258" s="3">
        <v>4</v>
      </c>
      <c r="J1258" s="3"/>
      <c r="K1258" s="26">
        <v>4</v>
      </c>
      <c r="L1258" s="2">
        <v>1037.5</v>
      </c>
      <c r="M1258" s="2">
        <v>4150</v>
      </c>
      <c r="N1258" s="2">
        <v>4150</v>
      </c>
      <c r="O1258" s="2"/>
      <c r="P1258" s="2"/>
      <c r="Q1258" s="2">
        <v>-4150</v>
      </c>
      <c r="R1258" s="4"/>
      <c r="T1258">
        <v>314598</v>
      </c>
      <c r="U1258" s="2"/>
      <c r="V1258">
        <v>6116</v>
      </c>
      <c r="W1258" s="2">
        <v>6579000000</v>
      </c>
      <c r="X1258" s="6" t="s">
        <v>355</v>
      </c>
      <c r="Y1258" s="38">
        <v>10010</v>
      </c>
      <c r="Z1258" s="86" t="e">
        <f>+((DETALLE_GD_1[[#This Row],[VALOR X UN (GD)]]-DETALLE_GD_1[[#This Row],[VALOR PPTO]])/DETALLE_GD_1[[#This Row],[VALOR PPTO]])</f>
        <v>#DIV/0!</v>
      </c>
      <c r="AA1258" s="2">
        <f>+DETALLE_GD_1[[#This Row],[VALOR PPTO]]*DETALLE_GD_1[[#This Row],[CANTIDAD RECIBIDA]]</f>
        <v>0</v>
      </c>
      <c r="AB1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8" s="3">
        <f>+DETALLE_GD_1[[#This Row],[CANTIDAD SOLICITADA]]-DETALLE_GD_1[[#This Row],[DEVOLUCIÓN]]</f>
        <v>4</v>
      </c>
      <c r="AD1258" s="38" t="str">
        <f>+_xlfn.XLOOKUP(DETALLE_GD_1[[#This Row],[CODIGO]],PRODUCTOS[CODIGO],PRODUCTOS[DESC CORTA],"",0)</f>
        <v/>
      </c>
    </row>
    <row r="1259" spans="1:30" x14ac:dyDescent="0.25">
      <c r="A1259" s="1">
        <v>46148</v>
      </c>
      <c r="B1259" s="1">
        <v>46148</v>
      </c>
      <c r="C1259" s="81" t="s">
        <v>169</v>
      </c>
      <c r="D1259" s="38">
        <v>5</v>
      </c>
      <c r="E1259" s="81" t="s">
        <v>169</v>
      </c>
      <c r="F1259">
        <v>407185</v>
      </c>
      <c r="G1259" s="81" t="s">
        <v>43</v>
      </c>
      <c r="H1259" s="81" t="s">
        <v>31</v>
      </c>
      <c r="I1259" s="3">
        <v>3000</v>
      </c>
      <c r="J1259" s="3"/>
      <c r="K1259" s="26">
        <v>3000</v>
      </c>
      <c r="L1259" s="2">
        <v>6.2656999999999998</v>
      </c>
      <c r="M1259" s="2">
        <v>18797</v>
      </c>
      <c r="N1259" s="2">
        <v>18797</v>
      </c>
      <c r="O1259" s="2">
        <v>6.8783000000000003</v>
      </c>
      <c r="P1259" s="2">
        <v>0.61270000000000002</v>
      </c>
      <c r="Q1259" s="2">
        <v>1837.96</v>
      </c>
      <c r="R1259" s="4">
        <v>8.9070199312235268E-2</v>
      </c>
      <c r="T1259">
        <v>314598</v>
      </c>
      <c r="U1259" s="2"/>
      <c r="V1259">
        <v>6116</v>
      </c>
      <c r="W1259" s="2">
        <v>6579000000</v>
      </c>
      <c r="X1259" s="6">
        <v>20634.960000000003</v>
      </c>
      <c r="Y1259" s="38">
        <v>10010</v>
      </c>
      <c r="Z1259" s="86">
        <f>+((DETALLE_GD_1[[#This Row],[VALOR X UN (GD)]]-DETALLE_GD_1[[#This Row],[VALOR PPTO]])/DETALLE_GD_1[[#This Row],[VALOR PPTO]])</f>
        <v>-8.9062704447319896E-2</v>
      </c>
      <c r="AA1259" s="2">
        <f>+DETALLE_GD_1[[#This Row],[VALOR PPTO]]*DETALLE_GD_1[[#This Row],[CANTIDAD RECIBIDA]]</f>
        <v>20634.900000000001</v>
      </c>
      <c r="AB1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9" s="3">
        <f>+DETALLE_GD_1[[#This Row],[CANTIDAD SOLICITADA]]-DETALLE_GD_1[[#This Row],[DEVOLUCIÓN]]</f>
        <v>3000</v>
      </c>
      <c r="AD1259" s="38">
        <f>+_xlfn.XLOOKUP(DETALLE_GD_1[[#This Row],[CODIGO]],PRODUCTOS[CODIGO],PRODUCTOS[DESC CORTA],"",0)</f>
        <v>0</v>
      </c>
    </row>
    <row r="1260" spans="1:30" x14ac:dyDescent="0.25">
      <c r="A1260" s="1">
        <v>46148</v>
      </c>
      <c r="B1260" s="1">
        <v>46148</v>
      </c>
      <c r="C1260" s="81" t="s">
        <v>169</v>
      </c>
      <c r="D1260" s="38">
        <v>5</v>
      </c>
      <c r="E1260" s="81" t="s">
        <v>169</v>
      </c>
      <c r="F1260">
        <v>407423</v>
      </c>
      <c r="G1260" s="81" t="s">
        <v>106</v>
      </c>
      <c r="H1260" s="81" t="s">
        <v>31</v>
      </c>
      <c r="I1260" s="3">
        <v>2000</v>
      </c>
      <c r="J1260" s="3"/>
      <c r="K1260" s="26">
        <v>2000</v>
      </c>
      <c r="L1260" s="2">
        <v>3.4660000000000002</v>
      </c>
      <c r="M1260" s="2">
        <v>6932</v>
      </c>
      <c r="N1260" s="2">
        <v>6932</v>
      </c>
      <c r="O1260" s="2">
        <v>106.6405</v>
      </c>
      <c r="P1260" s="2">
        <v>103.17449999999999</v>
      </c>
      <c r="Q1260" s="2">
        <v>206349.00399999999</v>
      </c>
      <c r="R1260" s="4">
        <v>0.96749827752567163</v>
      </c>
      <c r="T1260">
        <v>314598</v>
      </c>
      <c r="U1260" s="2"/>
      <c r="V1260">
        <v>6116</v>
      </c>
      <c r="W1260" s="2">
        <v>6579000000</v>
      </c>
      <c r="X1260" s="6">
        <v>213281.00396756755</v>
      </c>
      <c r="Y1260" s="38">
        <v>10010</v>
      </c>
      <c r="Z1260" s="86">
        <f>+((DETALLE_GD_1[[#This Row],[VALOR X UN (GD)]]-DETALLE_GD_1[[#This Row],[VALOR PPTO]])/DETALLE_GD_1[[#This Row],[VALOR PPTO]])</f>
        <v>-0.96749827692105728</v>
      </c>
      <c r="AA1260" s="2">
        <f>+DETALLE_GD_1[[#This Row],[VALOR PPTO]]*DETALLE_GD_1[[#This Row],[CANTIDAD RECIBIDA]]</f>
        <v>213281</v>
      </c>
      <c r="AB1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0" s="3">
        <f>+DETALLE_GD_1[[#This Row],[CANTIDAD SOLICITADA]]-DETALLE_GD_1[[#This Row],[DEVOLUCIÓN]]</f>
        <v>2000</v>
      </c>
      <c r="AD1260" s="38" t="str">
        <f>+_xlfn.XLOOKUP(DETALLE_GD_1[[#This Row],[CODIGO]],PRODUCTOS[CODIGO],PRODUCTOS[DESC CORTA],"",0)</f>
        <v>TORNILLO CRS 6X1 5/8</v>
      </c>
    </row>
    <row r="1261" spans="1:30" x14ac:dyDescent="0.25">
      <c r="A1261" s="1">
        <v>46148</v>
      </c>
      <c r="B1261" s="1">
        <v>46148</v>
      </c>
      <c r="C1261" s="81" t="s">
        <v>169</v>
      </c>
      <c r="D1261" s="38">
        <v>5</v>
      </c>
      <c r="E1261" s="81" t="s">
        <v>169</v>
      </c>
      <c r="F1261">
        <v>617057</v>
      </c>
      <c r="G1261" s="81" t="s">
        <v>134</v>
      </c>
      <c r="H1261" s="81" t="s">
        <v>31</v>
      </c>
      <c r="I1261" s="3">
        <v>4</v>
      </c>
      <c r="J1261" s="3"/>
      <c r="K1261" s="26">
        <v>4</v>
      </c>
      <c r="L1261" s="2">
        <v>1698.25</v>
      </c>
      <c r="M1261" s="2">
        <v>6793</v>
      </c>
      <c r="N1261" s="2">
        <v>6793</v>
      </c>
      <c r="O1261" s="2">
        <v>2042.1197</v>
      </c>
      <c r="P1261" s="2">
        <v>343.86970000000002</v>
      </c>
      <c r="Q1261" s="2">
        <v>1375.4788000000001</v>
      </c>
      <c r="R1261" s="4">
        <v>0.1683886135517268</v>
      </c>
      <c r="T1261">
        <v>314598</v>
      </c>
      <c r="U1261" s="2"/>
      <c r="V1261">
        <v>6116</v>
      </c>
      <c r="W1261" s="2">
        <v>6579000000</v>
      </c>
      <c r="X1261" s="6">
        <v>8168.4788239999998</v>
      </c>
      <c r="Y1261" s="38">
        <v>10010</v>
      </c>
      <c r="Z1261" s="86">
        <f>+((DETALLE_GD_1[[#This Row],[VALOR X UN (GD)]]-DETALLE_GD_1[[#This Row],[VALOR PPTO]])/DETALLE_GD_1[[#This Row],[VALOR PPTO]])</f>
        <v>-0.16838861110834979</v>
      </c>
      <c r="AA1261" s="2">
        <f>+DETALLE_GD_1[[#This Row],[VALOR PPTO]]*DETALLE_GD_1[[#This Row],[CANTIDAD RECIBIDA]]</f>
        <v>8168.4787999999999</v>
      </c>
      <c r="AB1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1" s="3">
        <f>+DETALLE_GD_1[[#This Row],[CANTIDAD SOLICITADA]]-DETALLE_GD_1[[#This Row],[DEVOLUCIÓN]]</f>
        <v>4</v>
      </c>
      <c r="AD1261" s="38" t="str">
        <f>+_xlfn.XLOOKUP(DETALLE_GD_1[[#This Row],[CODIGO]],PRODUCTOS[CODIGO],PRODUCTOS[DESC CORTA],"",0)</f>
        <v>BROCHA 5/8 X4</v>
      </c>
    </row>
    <row r="1262" spans="1:30" x14ac:dyDescent="0.25">
      <c r="A1262" s="1">
        <v>46148</v>
      </c>
      <c r="B1262" s="1">
        <v>46148</v>
      </c>
      <c r="C1262" s="81" t="s">
        <v>169</v>
      </c>
      <c r="D1262" s="38">
        <v>5</v>
      </c>
      <c r="E1262" s="81" t="s">
        <v>169</v>
      </c>
      <c r="F1262">
        <v>407166</v>
      </c>
      <c r="G1262" s="81" t="s">
        <v>783</v>
      </c>
      <c r="H1262" s="81" t="s">
        <v>31</v>
      </c>
      <c r="I1262" s="3">
        <v>150</v>
      </c>
      <c r="J1262" s="3"/>
      <c r="K1262" s="26">
        <v>150</v>
      </c>
      <c r="L1262" s="2">
        <v>3.98</v>
      </c>
      <c r="M1262" s="2">
        <v>597</v>
      </c>
      <c r="N1262" s="2">
        <v>597</v>
      </c>
      <c r="O1262" s="2">
        <v>107</v>
      </c>
      <c r="P1262" s="2">
        <v>103.02</v>
      </c>
      <c r="Q1262" s="2">
        <v>15453</v>
      </c>
      <c r="R1262" s="4">
        <v>0.96280373831775701</v>
      </c>
      <c r="T1262">
        <v>314630</v>
      </c>
      <c r="U1262" s="2">
        <v>4104761</v>
      </c>
      <c r="V1262">
        <v>6116</v>
      </c>
      <c r="W1262" s="2">
        <v>6579000000</v>
      </c>
      <c r="X1262" s="6">
        <v>16050</v>
      </c>
      <c r="Y1262" s="38">
        <v>10010</v>
      </c>
      <c r="Z1262" s="86">
        <f>+((DETALLE_GD_1[[#This Row],[VALOR X UN (GD)]]-DETALLE_GD_1[[#This Row],[VALOR PPTO]])/DETALLE_GD_1[[#This Row],[VALOR PPTO]])</f>
        <v>-0.96280373831775701</v>
      </c>
      <c r="AA1262" s="2">
        <f>+DETALLE_GD_1[[#This Row],[VALOR PPTO]]*DETALLE_GD_1[[#This Row],[CANTIDAD RECIBIDA]]</f>
        <v>16050</v>
      </c>
      <c r="AB1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2" s="3">
        <f>+DETALLE_GD_1[[#This Row],[CANTIDAD SOLICITADA]]-DETALLE_GD_1[[#This Row],[DEVOLUCIÓN]]</f>
        <v>150</v>
      </c>
      <c r="AD1262" s="38" t="str">
        <f>+_xlfn.XLOOKUP(DETALLE_GD_1[[#This Row],[CODIGO]],PRODUCTOS[CODIGO],PRODUCTOS[DESC CORTA],"",0)</f>
        <v/>
      </c>
    </row>
    <row r="1263" spans="1:30" x14ac:dyDescent="0.25">
      <c r="A1263" s="1">
        <v>46148</v>
      </c>
      <c r="B1263" s="1">
        <v>46148</v>
      </c>
      <c r="C1263" s="81" t="s">
        <v>169</v>
      </c>
      <c r="D1263" s="38">
        <v>5</v>
      </c>
      <c r="E1263" s="81" t="s">
        <v>169</v>
      </c>
      <c r="F1263" t="s">
        <v>463</v>
      </c>
      <c r="G1263" s="81" t="s">
        <v>453</v>
      </c>
      <c r="H1263" s="81" t="s">
        <v>31</v>
      </c>
      <c r="I1263" s="3">
        <v>2</v>
      </c>
      <c r="J1263" s="3"/>
      <c r="K1263" s="26">
        <v>2</v>
      </c>
      <c r="L1263" s="2">
        <v>31553</v>
      </c>
      <c r="M1263" s="2">
        <v>63106</v>
      </c>
      <c r="N1263" s="2">
        <v>63106</v>
      </c>
      <c r="O1263" s="2"/>
      <c r="P1263" s="2"/>
      <c r="Q1263" s="2">
        <v>-63106</v>
      </c>
      <c r="R1263" s="4"/>
      <c r="T1263">
        <v>314630</v>
      </c>
      <c r="U1263" s="2"/>
      <c r="V1263">
        <v>6116</v>
      </c>
      <c r="W1263" s="2">
        <v>6579000000</v>
      </c>
      <c r="X1263" s="6" t="s">
        <v>355</v>
      </c>
      <c r="Y1263" s="38">
        <v>10010</v>
      </c>
      <c r="Z1263" s="86" t="e">
        <f>+((DETALLE_GD_1[[#This Row],[VALOR X UN (GD)]]-DETALLE_GD_1[[#This Row],[VALOR PPTO]])/DETALLE_GD_1[[#This Row],[VALOR PPTO]])</f>
        <v>#DIV/0!</v>
      </c>
      <c r="AA1263" s="2">
        <f>+DETALLE_GD_1[[#This Row],[VALOR PPTO]]*DETALLE_GD_1[[#This Row],[CANTIDAD RECIBIDA]]</f>
        <v>0</v>
      </c>
      <c r="AB1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3" s="3">
        <f>+DETALLE_GD_1[[#This Row],[CANTIDAD SOLICITADA]]-DETALLE_GD_1[[#This Row],[DEVOLUCIÓN]]</f>
        <v>2</v>
      </c>
      <c r="AD1263" s="38" t="str">
        <f>+_xlfn.XLOOKUP(DETALLE_GD_1[[#This Row],[CODIGO]],PRODUCTOS[CODIGO],PRODUCTOS[DESC CORTA],"",0)</f>
        <v/>
      </c>
    </row>
    <row r="1264" spans="1:30" x14ac:dyDescent="0.25">
      <c r="A1264" s="1">
        <v>46148</v>
      </c>
      <c r="B1264" s="1">
        <v>46148</v>
      </c>
      <c r="C1264" s="81" t="s">
        <v>169</v>
      </c>
      <c r="D1264" s="38">
        <v>5</v>
      </c>
      <c r="E1264" s="81" t="s">
        <v>169</v>
      </c>
      <c r="F1264">
        <v>302028</v>
      </c>
      <c r="G1264" s="81" t="s">
        <v>246</v>
      </c>
      <c r="H1264" s="81" t="s">
        <v>20</v>
      </c>
      <c r="I1264" s="3">
        <v>240</v>
      </c>
      <c r="J1264" s="3"/>
      <c r="K1264" s="26">
        <v>240</v>
      </c>
      <c r="L1264" s="2">
        <v>4940.6041999999998</v>
      </c>
      <c r="M1264" s="2">
        <v>1185745</v>
      </c>
      <c r="N1264" s="2">
        <v>1185745</v>
      </c>
      <c r="O1264" s="2">
        <v>5123.8024999999998</v>
      </c>
      <c r="P1264" s="2">
        <v>183.19839999999999</v>
      </c>
      <c r="Q1264" s="2">
        <v>43967.606500000002</v>
      </c>
      <c r="R1264" s="4">
        <v>3.5754375655183135E-2</v>
      </c>
      <c r="T1264">
        <v>314630</v>
      </c>
      <c r="U1264" s="2"/>
      <c r="V1264">
        <v>6116</v>
      </c>
      <c r="W1264" s="2">
        <v>6579000000</v>
      </c>
      <c r="X1264" s="6">
        <v>1229712.6064800003</v>
      </c>
      <c r="Y1264" s="38">
        <v>10010</v>
      </c>
      <c r="Z1264" s="86">
        <f>+((DETALLE_GD_1[[#This Row],[VALOR X UN (GD)]]-DETALLE_GD_1[[#This Row],[VALOR PPTO]])/DETALLE_GD_1[[#This Row],[VALOR PPTO]])</f>
        <v>-3.5754364068482349E-2</v>
      </c>
      <c r="AA1264" s="2">
        <f>+DETALLE_GD_1[[#This Row],[VALOR PPTO]]*DETALLE_GD_1[[#This Row],[CANTIDAD RECIBIDA]]</f>
        <v>1229712.5999999999</v>
      </c>
      <c r="AB1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64" s="3">
        <f>+DETALLE_GD_1[[#This Row],[CANTIDAD SOLICITADA]]-DETALLE_GD_1[[#This Row],[DEVOLUCIÓN]]</f>
        <v>240</v>
      </c>
      <c r="AD1264" s="38" t="str">
        <f>+_xlfn.XLOOKUP(DETALLE_GD_1[[#This Row],[CODIGO]],PRODUCTOS[CODIGO],PRODUCTOS[DESC CORTA],"",0)</f>
        <v>PINO 2X4X320</v>
      </c>
    </row>
    <row r="1265" spans="1:30" x14ac:dyDescent="0.25">
      <c r="A1265" s="1">
        <v>46148</v>
      </c>
      <c r="B1265" s="1">
        <v>46148</v>
      </c>
      <c r="C1265" s="81" t="s">
        <v>169</v>
      </c>
      <c r="D1265" s="38">
        <v>5</v>
      </c>
      <c r="E1265" s="81" t="s">
        <v>169</v>
      </c>
      <c r="F1265">
        <v>302054</v>
      </c>
      <c r="G1265" s="81" t="s">
        <v>356</v>
      </c>
      <c r="H1265" s="81" t="s">
        <v>20</v>
      </c>
      <c r="I1265" s="3">
        <v>624</v>
      </c>
      <c r="J1265" s="3"/>
      <c r="K1265" s="26">
        <v>624</v>
      </c>
      <c r="L1265" s="2">
        <v>4575.8221000000003</v>
      </c>
      <c r="M1265" s="2">
        <v>2855313</v>
      </c>
      <c r="N1265" s="2">
        <v>2855313</v>
      </c>
      <c r="O1265" s="2">
        <v>5713</v>
      </c>
      <c r="P1265" s="2">
        <v>1137.1778999999999</v>
      </c>
      <c r="Q1265" s="2">
        <v>709599</v>
      </c>
      <c r="R1265" s="4">
        <v>0.19905091626385171</v>
      </c>
      <c r="T1265">
        <v>314630</v>
      </c>
      <c r="U1265" s="2"/>
      <c r="V1265">
        <v>6116</v>
      </c>
      <c r="W1265" s="2">
        <v>6579000000</v>
      </c>
      <c r="X1265" s="6">
        <v>3564912</v>
      </c>
      <c r="Y1265" s="38">
        <v>10010</v>
      </c>
      <c r="Z1265" s="86">
        <f>+((DETALLE_GD_1[[#This Row],[VALOR X UN (GD)]]-DETALLE_GD_1[[#This Row],[VALOR PPTO]])/DETALLE_GD_1[[#This Row],[VALOR PPTO]])</f>
        <v>-0.19905091895676522</v>
      </c>
      <c r="AA1265" s="2">
        <f>+DETALLE_GD_1[[#This Row],[VALOR PPTO]]*DETALLE_GD_1[[#This Row],[CANTIDAD RECIBIDA]]</f>
        <v>3564912</v>
      </c>
      <c r="AB12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65" s="3">
        <f>+DETALLE_GD_1[[#This Row],[CANTIDAD SOLICITADA]]-DETALLE_GD_1[[#This Row],[DEVOLUCIÓN]]</f>
        <v>624</v>
      </c>
      <c r="AD1265" s="38">
        <f>+_xlfn.XLOOKUP(DETALLE_GD_1[[#This Row],[CODIGO]],PRODUCTOS[CODIGO],PRODUCTOS[DESC CORTA],"",0)</f>
        <v>0</v>
      </c>
    </row>
    <row r="1266" spans="1:30" x14ac:dyDescent="0.25">
      <c r="A1266" s="1">
        <v>46148</v>
      </c>
      <c r="B1266" s="1">
        <v>46148</v>
      </c>
      <c r="C1266" s="81" t="s">
        <v>169</v>
      </c>
      <c r="D1266" s="38">
        <v>5</v>
      </c>
      <c r="E1266" s="81" t="s">
        <v>169</v>
      </c>
      <c r="F1266">
        <v>304007</v>
      </c>
      <c r="G1266" s="81" t="s">
        <v>80</v>
      </c>
      <c r="H1266" s="81" t="s">
        <v>18</v>
      </c>
      <c r="I1266" s="3">
        <v>72</v>
      </c>
      <c r="J1266" s="3"/>
      <c r="K1266" s="26">
        <v>72</v>
      </c>
      <c r="L1266" s="2">
        <v>11238.0694</v>
      </c>
      <c r="M1266" s="2">
        <v>809141</v>
      </c>
      <c r="N1266" s="2">
        <v>809141</v>
      </c>
      <c r="O1266" s="2">
        <v>11444.352999999999</v>
      </c>
      <c r="P1266" s="2">
        <v>206.28360000000001</v>
      </c>
      <c r="Q1266" s="2">
        <v>14852.417600000001</v>
      </c>
      <c r="R1266" s="4">
        <v>1.8024922611090573E-2</v>
      </c>
      <c r="T1266">
        <v>314637</v>
      </c>
      <c r="U1266" s="2">
        <v>809141</v>
      </c>
      <c r="V1266">
        <v>6116</v>
      </c>
      <c r="W1266" s="2">
        <v>6579000000</v>
      </c>
      <c r="X1266" s="6">
        <v>823993.41758399969</v>
      </c>
      <c r="Y1266" s="38">
        <v>10010</v>
      </c>
      <c r="Z1266" s="86">
        <f>+((DETALLE_GD_1[[#This Row],[VALOR X UN (GD)]]-DETALLE_GD_1[[#This Row],[VALOR PPTO]])/DETALLE_GD_1[[#This Row],[VALOR PPTO]])</f>
        <v>-1.8024924606921761E-2</v>
      </c>
      <c r="AA1266" s="2">
        <f>+DETALLE_GD_1[[#This Row],[VALOR PPTO]]*DETALLE_GD_1[[#This Row],[CANTIDAD RECIBIDA]]</f>
        <v>823993.41599999997</v>
      </c>
      <c r="AB1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66" s="3">
        <f>+DETALLE_GD_1[[#This Row],[CANTIDAD SOLICITADA]]-DETALLE_GD_1[[#This Row],[DEVOLUCIÓN]]</f>
        <v>72</v>
      </c>
      <c r="AD1266" s="38" t="str">
        <f>+_xlfn.XLOOKUP(DETALLE_GD_1[[#This Row],[CODIGO]],PRODUCTOS[CODIGO],PRODUCTOS[DESC CORTA],"",0)</f>
        <v>OSB 11MM</v>
      </c>
    </row>
    <row r="1267" spans="1:30" x14ac:dyDescent="0.25">
      <c r="A1267" s="1">
        <v>46149</v>
      </c>
      <c r="B1267" s="1">
        <v>46149</v>
      </c>
      <c r="C1267" s="81" t="s">
        <v>169</v>
      </c>
      <c r="D1267" s="38">
        <v>5</v>
      </c>
      <c r="E1267" s="81" t="s">
        <v>169</v>
      </c>
      <c r="F1267">
        <v>2304056</v>
      </c>
      <c r="G1267" s="81" t="s">
        <v>417</v>
      </c>
      <c r="H1267" s="81" t="s">
        <v>31</v>
      </c>
      <c r="I1267" s="3">
        <v>24</v>
      </c>
      <c r="J1267" s="3"/>
      <c r="K1267" s="26">
        <v>24</v>
      </c>
      <c r="L1267" s="2">
        <v>3163.125</v>
      </c>
      <c r="M1267" s="2">
        <v>75915</v>
      </c>
      <c r="N1267" s="2">
        <v>75915</v>
      </c>
      <c r="O1267" s="2">
        <v>2979</v>
      </c>
      <c r="P1267" s="2">
        <v>-184.125</v>
      </c>
      <c r="Q1267" s="2">
        <v>-4419</v>
      </c>
      <c r="R1267" s="4">
        <v>-6.1807653575025177E-2</v>
      </c>
      <c r="T1267">
        <v>314776</v>
      </c>
      <c r="U1267" s="2">
        <v>1421435</v>
      </c>
      <c r="V1267">
        <v>6116</v>
      </c>
      <c r="W1267" s="2">
        <v>6579000000</v>
      </c>
      <c r="X1267" s="6">
        <v>71496</v>
      </c>
      <c r="Y1267" s="38">
        <v>10010</v>
      </c>
      <c r="Z1267" s="86">
        <f>+((DETALLE_GD_1[[#This Row],[VALOR X UN (GD)]]-DETALLE_GD_1[[#This Row],[VALOR PPTO]])/DETALLE_GD_1[[#This Row],[VALOR PPTO]])</f>
        <v>6.1807653575025177E-2</v>
      </c>
      <c r="AA1267" s="2">
        <f>+DETALLE_GD_1[[#This Row],[VALOR PPTO]]*DETALLE_GD_1[[#This Row],[CANTIDAD RECIBIDA]]</f>
        <v>71496</v>
      </c>
      <c r="AB1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7" s="3">
        <f>+DETALLE_GD_1[[#This Row],[CANTIDAD SOLICITADA]]-DETALLE_GD_1[[#This Row],[DEVOLUCIÓN]]</f>
        <v>24</v>
      </c>
      <c r="AD1267" s="38" t="str">
        <f>+_xlfn.XLOOKUP(DETALLE_GD_1[[#This Row],[CODIGO]],PRODUCTOS[CODIGO],PRODUCTOS[DESC CORTA],"",0)</f>
        <v/>
      </c>
    </row>
    <row r="1268" spans="1:30" x14ac:dyDescent="0.25">
      <c r="A1268" s="1">
        <v>46149</v>
      </c>
      <c r="B1268" s="1">
        <v>46149</v>
      </c>
      <c r="C1268" s="81" t="s">
        <v>169</v>
      </c>
      <c r="D1268" s="38">
        <v>5</v>
      </c>
      <c r="E1268" s="81" t="s">
        <v>169</v>
      </c>
      <c r="F1268">
        <v>2304003</v>
      </c>
      <c r="G1268" s="81" t="s">
        <v>132</v>
      </c>
      <c r="H1268" s="81" t="s">
        <v>31</v>
      </c>
      <c r="I1268" s="3">
        <v>12</v>
      </c>
      <c r="J1268" s="3"/>
      <c r="K1268" s="26">
        <v>12</v>
      </c>
      <c r="L1268" s="2">
        <v>1297.1667</v>
      </c>
      <c r="M1268" s="2">
        <v>15566</v>
      </c>
      <c r="N1268" s="2">
        <v>15566</v>
      </c>
      <c r="O1268" s="2">
        <v>1297.1352999999999</v>
      </c>
      <c r="P1268" s="2">
        <v>-3.1399999999999997E-2</v>
      </c>
      <c r="Q1268" s="2">
        <v>-0.37690000000000001</v>
      </c>
      <c r="R1268" s="4">
        <v>-2.4210787869808846E-5</v>
      </c>
      <c r="T1268">
        <v>314776</v>
      </c>
      <c r="U1268" s="2"/>
      <c r="V1268">
        <v>6116</v>
      </c>
      <c r="W1268" s="2">
        <v>6579000000</v>
      </c>
      <c r="X1268" s="6">
        <v>15565.623143999999</v>
      </c>
      <c r="Y1268" s="38">
        <v>10010</v>
      </c>
      <c r="Z1268" s="86">
        <f>+((DETALLE_GD_1[[#This Row],[VALOR X UN (GD)]]-DETALLE_GD_1[[#This Row],[VALOR PPTO]])/DETALLE_GD_1[[#This Row],[VALOR PPTO]])</f>
        <v>2.4207189489081083E-5</v>
      </c>
      <c r="AA1268" s="2">
        <f>+DETALLE_GD_1[[#This Row],[VALOR PPTO]]*DETALLE_GD_1[[#This Row],[CANTIDAD RECIBIDA]]</f>
        <v>15565.623599999999</v>
      </c>
      <c r="AB1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8" s="3">
        <f>+DETALLE_GD_1[[#This Row],[CANTIDAD SOLICITADA]]-DETALLE_GD_1[[#This Row],[DEVOLUCIÓN]]</f>
        <v>12</v>
      </c>
      <c r="AD1268" s="38" t="str">
        <f>+_xlfn.XLOOKUP(DETALLE_GD_1[[#This Row],[CODIGO]],PRODUCTOS[CODIGO],PRODUCTOS[DESC CORTA],"",0)</f>
        <v>SELLO FUNGICIDA</v>
      </c>
    </row>
    <row r="1269" spans="1:30" x14ac:dyDescent="0.25">
      <c r="A1269" s="1">
        <v>46149</v>
      </c>
      <c r="B1269" s="1">
        <v>46149</v>
      </c>
      <c r="C1269" s="81" t="s">
        <v>169</v>
      </c>
      <c r="D1269" s="38">
        <v>5</v>
      </c>
      <c r="E1269" s="81" t="s">
        <v>169</v>
      </c>
      <c r="F1269">
        <v>1808156</v>
      </c>
      <c r="G1269" s="81" t="s">
        <v>277</v>
      </c>
      <c r="H1269" s="81" t="s">
        <v>31</v>
      </c>
      <c r="I1269" s="3">
        <v>5</v>
      </c>
      <c r="J1269" s="3"/>
      <c r="K1269" s="26">
        <v>5</v>
      </c>
      <c r="L1269" s="2">
        <v>1931.6</v>
      </c>
      <c r="M1269" s="2">
        <v>9658</v>
      </c>
      <c r="N1269" s="2">
        <v>9658</v>
      </c>
      <c r="O1269" s="2">
        <v>1916</v>
      </c>
      <c r="P1269" s="2">
        <v>-15.6</v>
      </c>
      <c r="Q1269" s="2">
        <v>-78</v>
      </c>
      <c r="R1269" s="4">
        <v>-8.1419624217118521E-3</v>
      </c>
      <c r="T1269">
        <v>314776</v>
      </c>
      <c r="U1269" s="2"/>
      <c r="V1269">
        <v>6116</v>
      </c>
      <c r="W1269" s="2">
        <v>6579000000</v>
      </c>
      <c r="X1269" s="6">
        <v>9580</v>
      </c>
      <c r="Y1269" s="38">
        <v>10010</v>
      </c>
      <c r="Z1269" s="86">
        <f>+((DETALLE_GD_1[[#This Row],[VALOR X UN (GD)]]-DETALLE_GD_1[[#This Row],[VALOR PPTO]])/DETALLE_GD_1[[#This Row],[VALOR PPTO]])</f>
        <v>8.1419624217118521E-3</v>
      </c>
      <c r="AA1269" s="2">
        <f>+DETALLE_GD_1[[#This Row],[VALOR PPTO]]*DETALLE_GD_1[[#This Row],[CANTIDAD RECIBIDA]]</f>
        <v>9580</v>
      </c>
      <c r="AB1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9" s="3">
        <f>+DETALLE_GD_1[[#This Row],[CANTIDAD SOLICITADA]]-DETALLE_GD_1[[#This Row],[DEVOLUCIÓN]]</f>
        <v>5</v>
      </c>
      <c r="AD1269" s="38" t="str">
        <f>+_xlfn.XLOOKUP(DETALLE_GD_1[[#This Row],[CODIGO]],PRODUCTOS[CODIGO],PRODUCTOS[DESC CORTA],"",0)</f>
        <v>PERCHA SIMPLE YORK</v>
      </c>
    </row>
    <row r="1270" spans="1:30" x14ac:dyDescent="0.25">
      <c r="A1270" s="1">
        <v>46149</v>
      </c>
      <c r="B1270" s="1">
        <v>46149</v>
      </c>
      <c r="C1270" s="81" t="s">
        <v>169</v>
      </c>
      <c r="D1270" s="38">
        <v>5</v>
      </c>
      <c r="E1270" s="81" t="s">
        <v>169</v>
      </c>
      <c r="F1270">
        <v>1808006</v>
      </c>
      <c r="G1270" s="81" t="s">
        <v>194</v>
      </c>
      <c r="H1270" s="81" t="s">
        <v>31</v>
      </c>
      <c r="I1270" s="3">
        <v>5</v>
      </c>
      <c r="J1270" s="3"/>
      <c r="K1270" s="26">
        <v>5</v>
      </c>
      <c r="L1270" s="2">
        <v>2906.6</v>
      </c>
      <c r="M1270" s="2">
        <v>14533</v>
      </c>
      <c r="N1270" s="2">
        <v>14533</v>
      </c>
      <c r="O1270" s="2">
        <v>2906.6711</v>
      </c>
      <c r="P1270" s="2">
        <v>7.1099999999999997E-2</v>
      </c>
      <c r="Q1270" s="2">
        <v>0.35549999999999998</v>
      </c>
      <c r="R1270" s="4">
        <v>2.4459595754732429E-5</v>
      </c>
      <c r="T1270">
        <v>314776</v>
      </c>
      <c r="U1270" s="2"/>
      <c r="V1270">
        <v>6116</v>
      </c>
      <c r="W1270" s="2">
        <v>6579000000</v>
      </c>
      <c r="X1270" s="6">
        <v>14533.35548</v>
      </c>
      <c r="Y1270" s="38">
        <v>10010</v>
      </c>
      <c r="Z1270" s="86">
        <f>+((DETALLE_GD_1[[#This Row],[VALOR X UN (GD)]]-DETALLE_GD_1[[#This Row],[VALOR PPTO]])/DETALLE_GD_1[[#This Row],[VALOR PPTO]])</f>
        <v>-2.4460971865759066E-5</v>
      </c>
      <c r="AA1270" s="2">
        <f>+DETALLE_GD_1[[#This Row],[VALOR PPTO]]*DETALLE_GD_1[[#This Row],[CANTIDAD RECIBIDA]]</f>
        <v>14533.3555</v>
      </c>
      <c r="AB1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0" s="3">
        <f>+DETALLE_GD_1[[#This Row],[CANTIDAD SOLICITADA]]-DETALLE_GD_1[[#This Row],[DEVOLUCIÓN]]</f>
        <v>5</v>
      </c>
      <c r="AD1270" s="38">
        <f>+_xlfn.XLOOKUP(DETALLE_GD_1[[#This Row],[CODIGO]],PRODUCTOS[CODIGO],PRODUCTOS[DESC CORTA],"",0)</f>
        <v>0</v>
      </c>
    </row>
    <row r="1271" spans="1:30" x14ac:dyDescent="0.25">
      <c r="A1271" s="1">
        <v>46149</v>
      </c>
      <c r="B1271" s="1">
        <v>46149</v>
      </c>
      <c r="C1271" s="81" t="s">
        <v>169</v>
      </c>
      <c r="D1271" s="38">
        <v>5</v>
      </c>
      <c r="E1271" s="81" t="s">
        <v>169</v>
      </c>
      <c r="F1271">
        <v>1808003</v>
      </c>
      <c r="G1271" s="81" t="s">
        <v>195</v>
      </c>
      <c r="H1271" s="81" t="s">
        <v>31</v>
      </c>
      <c r="I1271" s="3">
        <v>10</v>
      </c>
      <c r="J1271" s="3"/>
      <c r="K1271" s="26">
        <v>10</v>
      </c>
      <c r="L1271" s="2">
        <v>167.7</v>
      </c>
      <c r="M1271" s="2">
        <v>1677</v>
      </c>
      <c r="N1271" s="2">
        <v>1677</v>
      </c>
      <c r="O1271" s="2">
        <v>167.7449</v>
      </c>
      <c r="P1271" s="2">
        <v>4.4900000000000002E-2</v>
      </c>
      <c r="Q1271" s="2">
        <v>0.4486</v>
      </c>
      <c r="R1271" s="4">
        <v>2.6741803316578181E-4</v>
      </c>
      <c r="T1271">
        <v>314776</v>
      </c>
      <c r="U1271" s="2"/>
      <c r="V1271">
        <v>6116</v>
      </c>
      <c r="W1271" s="2">
        <v>6579000000</v>
      </c>
      <c r="X1271" s="6">
        <v>1677.4485800000002</v>
      </c>
      <c r="Y1271" s="38">
        <v>10010</v>
      </c>
      <c r="Z1271" s="86">
        <f>+((DETALLE_GD_1[[#This Row],[VALOR X UN (GD)]]-DETALLE_GD_1[[#This Row],[VALOR PPTO]])/DETALLE_GD_1[[#This Row],[VALOR PPTO]])</f>
        <v>-2.6766834639987622E-4</v>
      </c>
      <c r="AA1271" s="2">
        <f>+DETALLE_GD_1[[#This Row],[VALOR PPTO]]*DETALLE_GD_1[[#This Row],[CANTIDAD RECIBIDA]]</f>
        <v>1677.4490000000001</v>
      </c>
      <c r="AB1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1" s="3">
        <f>+DETALLE_GD_1[[#This Row],[CANTIDAD SOLICITADA]]-DETALLE_GD_1[[#This Row],[DEVOLUCIÓN]]</f>
        <v>10</v>
      </c>
      <c r="AD1271" s="38">
        <f>+_xlfn.XLOOKUP(DETALLE_GD_1[[#This Row],[CODIGO]],PRODUCTOS[CODIGO],PRODUCTOS[DESC CORTA],"",0)</f>
        <v>0</v>
      </c>
    </row>
    <row r="1272" spans="1:30" x14ac:dyDescent="0.25">
      <c r="A1272" s="1">
        <v>46149</v>
      </c>
      <c r="B1272" s="1">
        <v>46149</v>
      </c>
      <c r="C1272" s="81" t="s">
        <v>169</v>
      </c>
      <c r="D1272" s="38">
        <v>5</v>
      </c>
      <c r="E1272" s="81" t="s">
        <v>169</v>
      </c>
      <c r="F1272">
        <v>1802172</v>
      </c>
      <c r="G1272" s="81" t="s">
        <v>266</v>
      </c>
      <c r="H1272" s="81" t="s">
        <v>31</v>
      </c>
      <c r="I1272" s="3">
        <v>5</v>
      </c>
      <c r="J1272" s="3"/>
      <c r="K1272" s="26">
        <v>5</v>
      </c>
      <c r="L1272" s="2">
        <v>3032.4</v>
      </c>
      <c r="M1272" s="2">
        <v>15162</v>
      </c>
      <c r="N1272" s="2">
        <v>15162</v>
      </c>
      <c r="O1272" s="2">
        <v>3035</v>
      </c>
      <c r="P1272" s="2">
        <v>2.6</v>
      </c>
      <c r="Q1272" s="2">
        <v>13</v>
      </c>
      <c r="R1272" s="4">
        <v>8.5667215815483E-4</v>
      </c>
      <c r="T1272">
        <v>314776</v>
      </c>
      <c r="U1272" s="2"/>
      <c r="V1272">
        <v>6116</v>
      </c>
      <c r="W1272" s="2">
        <v>6579000000</v>
      </c>
      <c r="X1272" s="6">
        <v>15175</v>
      </c>
      <c r="Y1272" s="38">
        <v>10010</v>
      </c>
      <c r="Z1272" s="86">
        <f>+((DETALLE_GD_1[[#This Row],[VALOR X UN (GD)]]-DETALLE_GD_1[[#This Row],[VALOR PPTO]])/DETALLE_GD_1[[#This Row],[VALOR PPTO]])</f>
        <v>-8.5667215815483E-4</v>
      </c>
      <c r="AA1272" s="2">
        <f>+DETALLE_GD_1[[#This Row],[VALOR PPTO]]*DETALLE_GD_1[[#This Row],[CANTIDAD RECIBIDA]]</f>
        <v>15175</v>
      </c>
      <c r="AB1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2" s="3">
        <f>+DETALLE_GD_1[[#This Row],[CANTIDAD SOLICITADA]]-DETALLE_GD_1[[#This Row],[DEVOLUCIÓN]]</f>
        <v>5</v>
      </c>
      <c r="AD1272" s="38" t="str">
        <f>+_xlfn.XLOOKUP(DETALLE_GD_1[[#This Row],[CODIGO]],PRODUCTOS[CODIGO],PRODUCTOS[DESC CORTA],"",0)</f>
        <v>ARGOLLA TOALLA BENTON</v>
      </c>
    </row>
    <row r="1273" spans="1:30" x14ac:dyDescent="0.25">
      <c r="A1273" s="1">
        <v>46149</v>
      </c>
      <c r="B1273" s="1">
        <v>46149</v>
      </c>
      <c r="C1273" s="81" t="s">
        <v>169</v>
      </c>
      <c r="D1273" s="38">
        <v>5</v>
      </c>
      <c r="E1273" s="81" t="s">
        <v>169</v>
      </c>
      <c r="F1273">
        <v>1802171</v>
      </c>
      <c r="G1273" s="81" t="s">
        <v>265</v>
      </c>
      <c r="H1273" s="81" t="s">
        <v>31</v>
      </c>
      <c r="I1273" s="3">
        <v>5</v>
      </c>
      <c r="J1273" s="3"/>
      <c r="K1273" s="26">
        <v>5</v>
      </c>
      <c r="L1273" s="2">
        <v>3228.6</v>
      </c>
      <c r="M1273" s="2">
        <v>16143</v>
      </c>
      <c r="N1273" s="2">
        <v>16143</v>
      </c>
      <c r="O1273" s="2">
        <v>3632</v>
      </c>
      <c r="P1273" s="2">
        <v>403.4</v>
      </c>
      <c r="Q1273" s="2">
        <v>2017</v>
      </c>
      <c r="R1273" s="4">
        <v>0.11106828193832602</v>
      </c>
      <c r="T1273">
        <v>314776</v>
      </c>
      <c r="U1273" s="2"/>
      <c r="V1273">
        <v>6116</v>
      </c>
      <c r="W1273" s="2">
        <v>6579000000</v>
      </c>
      <c r="X1273" s="6">
        <v>18160</v>
      </c>
      <c r="Y1273" s="38">
        <v>10010</v>
      </c>
      <c r="Z1273" s="86">
        <f>+((DETALLE_GD_1[[#This Row],[VALOR X UN (GD)]]-DETALLE_GD_1[[#This Row],[VALOR PPTO]])/DETALLE_GD_1[[#This Row],[VALOR PPTO]])</f>
        <v>-0.11106828193832602</v>
      </c>
      <c r="AA1273" s="2">
        <f>+DETALLE_GD_1[[#This Row],[VALOR PPTO]]*DETALLE_GD_1[[#This Row],[CANTIDAD RECIBIDA]]</f>
        <v>18160</v>
      </c>
      <c r="AB1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3" s="3">
        <f>+DETALLE_GD_1[[#This Row],[CANTIDAD SOLICITADA]]-DETALLE_GD_1[[#This Row],[DEVOLUCIÓN]]</f>
        <v>5</v>
      </c>
      <c r="AD1273" s="38" t="str">
        <f>+_xlfn.XLOOKUP(DETALLE_GD_1[[#This Row],[CODIGO]],PRODUCTOS[CODIGO],PRODUCTOS[DESC CORTA],"",0)</f>
        <v>PORTA ROLLO BENTON</v>
      </c>
    </row>
    <row r="1274" spans="1:30" x14ac:dyDescent="0.25">
      <c r="A1274" s="1">
        <v>46149</v>
      </c>
      <c r="B1274" s="1">
        <v>46149</v>
      </c>
      <c r="C1274" s="81" t="s">
        <v>169</v>
      </c>
      <c r="D1274" s="38">
        <v>5</v>
      </c>
      <c r="E1274" s="81" t="s">
        <v>169</v>
      </c>
      <c r="F1274">
        <v>1206002</v>
      </c>
      <c r="G1274" s="81" t="s">
        <v>192</v>
      </c>
      <c r="H1274" s="81" t="s">
        <v>31</v>
      </c>
      <c r="I1274" s="3">
        <v>5</v>
      </c>
      <c r="J1274" s="3"/>
      <c r="K1274" s="26">
        <v>5</v>
      </c>
      <c r="L1274" s="2">
        <v>20331.8</v>
      </c>
      <c r="M1274" s="2">
        <v>101659</v>
      </c>
      <c r="N1274" s="2">
        <v>101659</v>
      </c>
      <c r="O1274" s="2">
        <v>15783.483899999999</v>
      </c>
      <c r="P1274" s="2">
        <v>-4548.3161</v>
      </c>
      <c r="Q1274" s="2">
        <v>-22741.580600000001</v>
      </c>
      <c r="R1274" s="4">
        <v>-0.28816933993621724</v>
      </c>
      <c r="T1274">
        <v>314776</v>
      </c>
      <c r="U1274" s="2"/>
      <c r="V1274">
        <v>6116</v>
      </c>
      <c r="W1274" s="2">
        <v>6579000000</v>
      </c>
      <c r="X1274" s="6">
        <v>78917.419354999991</v>
      </c>
      <c r="Y1274" s="38">
        <v>10010</v>
      </c>
      <c r="Z1274" s="86">
        <f>+((DETALLE_GD_1[[#This Row],[VALOR X UN (GD)]]-DETALLE_GD_1[[#This Row],[VALOR PPTO]])/DETALLE_GD_1[[#This Row],[VALOR PPTO]])</f>
        <v>0.28816933756938162</v>
      </c>
      <c r="AA1274" s="2">
        <f>+DETALLE_GD_1[[#This Row],[VALOR PPTO]]*DETALLE_GD_1[[#This Row],[CANTIDAD RECIBIDA]]</f>
        <v>78917.419499999989</v>
      </c>
      <c r="AB1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4" s="3">
        <f>+DETALLE_GD_1[[#This Row],[CANTIDAD SOLICITADA]]-DETALLE_GD_1[[#This Row],[DEVOLUCIÓN]]</f>
        <v>5</v>
      </c>
      <c r="AD1274" s="38">
        <f>+_xlfn.XLOOKUP(DETALLE_GD_1[[#This Row],[CODIGO]],PRODUCTOS[CODIGO],PRODUCTOS[DESC CORTA],"",0)</f>
        <v>0</v>
      </c>
    </row>
    <row r="1275" spans="1:30" x14ac:dyDescent="0.25">
      <c r="A1275" s="1">
        <v>46149</v>
      </c>
      <c r="B1275" s="1">
        <v>46149</v>
      </c>
      <c r="C1275" s="81" t="s">
        <v>169</v>
      </c>
      <c r="D1275" s="38">
        <v>5</v>
      </c>
      <c r="E1275" s="81" t="s">
        <v>169</v>
      </c>
      <c r="F1275">
        <v>704079</v>
      </c>
      <c r="G1275" s="81" t="s">
        <v>209</v>
      </c>
      <c r="H1275" s="81" t="s">
        <v>47</v>
      </c>
      <c r="I1275" s="3">
        <v>5</v>
      </c>
      <c r="J1275" s="3"/>
      <c r="K1275" s="26">
        <v>5</v>
      </c>
      <c r="L1275" s="2">
        <v>722.2</v>
      </c>
      <c r="M1275" s="2">
        <v>3611</v>
      </c>
      <c r="N1275" s="2">
        <v>3611</v>
      </c>
      <c r="O1275" s="2">
        <v>755.70489999999995</v>
      </c>
      <c r="P1275" s="2">
        <v>33.504899999999999</v>
      </c>
      <c r="Q1275" s="2">
        <v>167.52440000000001</v>
      </c>
      <c r="R1275" s="4">
        <v>4.4335934301930259E-2</v>
      </c>
      <c r="T1275">
        <v>314776</v>
      </c>
      <c r="U1275" s="2"/>
      <c r="V1275">
        <v>6116</v>
      </c>
      <c r="W1275" s="2">
        <v>6579000000</v>
      </c>
      <c r="X1275" s="6">
        <v>3778.52441</v>
      </c>
      <c r="Y1275" s="38">
        <v>10010</v>
      </c>
      <c r="Z1275" s="86">
        <f>+((DETALLE_GD_1[[#This Row],[VALOR X UN (GD)]]-DETALLE_GD_1[[#This Row],[VALOR PPTO]])/DETALLE_GD_1[[#This Row],[VALOR PPTO]])</f>
        <v>-4.4335957064721834E-2</v>
      </c>
      <c r="AA1275" s="2">
        <f>+DETALLE_GD_1[[#This Row],[VALOR PPTO]]*DETALLE_GD_1[[#This Row],[CANTIDAD RECIBIDA]]</f>
        <v>3778.5244999999995</v>
      </c>
      <c r="AB1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5" s="3">
        <f>+DETALLE_GD_1[[#This Row],[CANTIDAD SOLICITADA]]-DETALLE_GD_1[[#This Row],[DEVOLUCIÓN]]</f>
        <v>5</v>
      </c>
      <c r="AD1275" s="38">
        <f>+_xlfn.XLOOKUP(DETALLE_GD_1[[#This Row],[CODIGO]],PRODUCTOS[CODIGO],PRODUCTOS[DESC CORTA],"",0)</f>
        <v>0</v>
      </c>
    </row>
    <row r="1276" spans="1:30" x14ac:dyDescent="0.25">
      <c r="A1276" s="1">
        <v>46149</v>
      </c>
      <c r="B1276" s="1">
        <v>46149</v>
      </c>
      <c r="C1276" s="81" t="s">
        <v>169</v>
      </c>
      <c r="D1276" s="38">
        <v>5</v>
      </c>
      <c r="E1276" s="81" t="s">
        <v>169</v>
      </c>
      <c r="F1276">
        <v>2304008</v>
      </c>
      <c r="G1276" s="81" t="s">
        <v>707</v>
      </c>
      <c r="H1276" s="81" t="s">
        <v>31</v>
      </c>
      <c r="I1276" s="3">
        <v>24</v>
      </c>
      <c r="J1276" s="3"/>
      <c r="K1276" s="26">
        <v>24</v>
      </c>
      <c r="L1276" s="2">
        <v>2397.625</v>
      </c>
      <c r="M1276" s="2">
        <v>57543</v>
      </c>
      <c r="N1276" s="2">
        <v>57543</v>
      </c>
      <c r="O1276" s="2"/>
      <c r="P1276" s="2"/>
      <c r="Q1276" s="2">
        <v>-57543</v>
      </c>
      <c r="R1276" s="4"/>
      <c r="T1276">
        <v>314776</v>
      </c>
      <c r="U1276" s="2"/>
      <c r="V1276">
        <v>6116</v>
      </c>
      <c r="W1276" s="2">
        <v>6579000000</v>
      </c>
      <c r="X1276" s="6" t="s">
        <v>355</v>
      </c>
      <c r="Y1276" s="38">
        <v>10010</v>
      </c>
      <c r="Z1276" s="86" t="e">
        <f>+((DETALLE_GD_1[[#This Row],[VALOR X UN (GD)]]-DETALLE_GD_1[[#This Row],[VALOR PPTO]])/DETALLE_GD_1[[#This Row],[VALOR PPTO]])</f>
        <v>#DIV/0!</v>
      </c>
      <c r="AA1276" s="2">
        <f>+DETALLE_GD_1[[#This Row],[VALOR PPTO]]*DETALLE_GD_1[[#This Row],[CANTIDAD RECIBIDA]]</f>
        <v>0</v>
      </c>
      <c r="AB12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6" s="3">
        <f>+DETALLE_GD_1[[#This Row],[CANTIDAD SOLICITADA]]-DETALLE_GD_1[[#This Row],[DEVOLUCIÓN]]</f>
        <v>24</v>
      </c>
      <c r="AD1276" s="38" t="str">
        <f>+_xlfn.XLOOKUP(DETALLE_GD_1[[#This Row],[CODIGO]],PRODUCTOS[CODIGO],PRODUCTOS[DESC CORTA],"",0)</f>
        <v/>
      </c>
    </row>
    <row r="1277" spans="1:30" x14ac:dyDescent="0.25">
      <c r="A1277" s="1">
        <v>46149</v>
      </c>
      <c r="B1277" s="1">
        <v>46149</v>
      </c>
      <c r="C1277" s="81" t="s">
        <v>169</v>
      </c>
      <c r="D1277" s="38">
        <v>5</v>
      </c>
      <c r="E1277" s="81" t="s">
        <v>169</v>
      </c>
      <c r="F1277">
        <v>307033</v>
      </c>
      <c r="G1277" s="81" t="s">
        <v>248</v>
      </c>
      <c r="H1277" s="81" t="s">
        <v>31</v>
      </c>
      <c r="I1277" s="3">
        <v>50</v>
      </c>
      <c r="J1277" s="3"/>
      <c r="K1277" s="26">
        <v>50</v>
      </c>
      <c r="L1277" s="2">
        <v>1889.62</v>
      </c>
      <c r="M1277" s="2">
        <v>94481</v>
      </c>
      <c r="N1277" s="2">
        <v>94481</v>
      </c>
      <c r="O1277" s="2">
        <v>1889.0535</v>
      </c>
      <c r="P1277" s="2">
        <v>-0.5665</v>
      </c>
      <c r="Q1277" s="2">
        <v>-28.322800000000001</v>
      </c>
      <c r="R1277" s="4">
        <v>-2.9986233148297494E-4</v>
      </c>
      <c r="T1277">
        <v>314776</v>
      </c>
      <c r="U1277" s="2"/>
      <c r="V1277">
        <v>6116</v>
      </c>
      <c r="W1277" s="2">
        <v>6579000000</v>
      </c>
      <c r="X1277" s="6">
        <v>94452.677199999991</v>
      </c>
      <c r="Y1277" s="38">
        <v>10010</v>
      </c>
      <c r="Z1277" s="86">
        <f>+((DETALLE_GD_1[[#This Row],[VALOR X UN (GD)]]-DETALLE_GD_1[[#This Row],[VALOR PPTO]])/DETALLE_GD_1[[#This Row],[VALOR PPTO]])</f>
        <v>2.9988563055514597E-4</v>
      </c>
      <c r="AA1277" s="2">
        <f>+DETALLE_GD_1[[#This Row],[VALOR PPTO]]*DETALLE_GD_1[[#This Row],[CANTIDAD RECIBIDA]]</f>
        <v>94452.675000000003</v>
      </c>
      <c r="AB1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7" s="3">
        <f>+DETALLE_GD_1[[#This Row],[CANTIDAD SOLICITADA]]-DETALLE_GD_1[[#This Row],[DEVOLUCIÓN]]</f>
        <v>50</v>
      </c>
      <c r="AD1277" s="38">
        <f>+_xlfn.XLOOKUP(DETALLE_GD_1[[#This Row],[CODIGO]],PRODUCTOS[CODIGO],PRODUCTOS[DESC CORTA],"",0)</f>
        <v>0</v>
      </c>
    </row>
    <row r="1278" spans="1:30" x14ac:dyDescent="0.25">
      <c r="A1278" s="1">
        <v>46149</v>
      </c>
      <c r="B1278" s="1">
        <v>46149</v>
      </c>
      <c r="C1278" s="81" t="s">
        <v>169</v>
      </c>
      <c r="D1278" s="38">
        <v>5</v>
      </c>
      <c r="E1278" s="81" t="s">
        <v>169</v>
      </c>
      <c r="F1278">
        <v>307096</v>
      </c>
      <c r="G1278" s="81" t="s">
        <v>249</v>
      </c>
      <c r="H1278" s="81" t="s">
        <v>137</v>
      </c>
      <c r="I1278" s="3">
        <v>70</v>
      </c>
      <c r="J1278" s="3"/>
      <c r="K1278" s="26">
        <v>70</v>
      </c>
      <c r="L1278" s="2">
        <v>1795.6</v>
      </c>
      <c r="M1278" s="2">
        <v>125692</v>
      </c>
      <c r="N1278" s="2">
        <v>125692</v>
      </c>
      <c r="O1278" s="2">
        <v>2095.3501000000001</v>
      </c>
      <c r="P1278" s="2">
        <v>299.75009999999997</v>
      </c>
      <c r="Q1278" s="2">
        <v>20982.508999999998</v>
      </c>
      <c r="R1278" s="4">
        <v>0.14305491232773293</v>
      </c>
      <c r="T1278">
        <v>314776</v>
      </c>
      <c r="U1278" s="2"/>
      <c r="V1278">
        <v>6116</v>
      </c>
      <c r="W1278" s="2">
        <v>6579000000</v>
      </c>
      <c r="X1278" s="6">
        <v>146674.5090299999</v>
      </c>
      <c r="Y1278" s="38">
        <v>10010</v>
      </c>
      <c r="Z1278" s="86">
        <f>+((DETALLE_GD_1[[#This Row],[VALOR X UN (GD)]]-DETALLE_GD_1[[#This Row],[VALOR PPTO]])/DETALLE_GD_1[[#This Row],[VALOR PPTO]])</f>
        <v>-0.14305490046746852</v>
      </c>
      <c r="AA1278" s="2">
        <f>+DETALLE_GD_1[[#This Row],[VALOR PPTO]]*DETALLE_GD_1[[#This Row],[CANTIDAD RECIBIDA]]</f>
        <v>146674.50700000001</v>
      </c>
      <c r="AB12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78" s="3">
        <f>+DETALLE_GD_1[[#This Row],[CANTIDAD SOLICITADA]]-DETALLE_GD_1[[#This Row],[DEVOLUCIÓN]]</f>
        <v>70</v>
      </c>
      <c r="AD1278" s="38" t="str">
        <f>+_xlfn.XLOOKUP(DETALLE_GD_1[[#This Row],[CODIGO]],PRODUCTOS[CODIGO],PRODUCTOS[DESC CORTA],"",0)</f>
        <v>CUBREJUNTA</v>
      </c>
    </row>
    <row r="1279" spans="1:30" x14ac:dyDescent="0.25">
      <c r="A1279" s="1">
        <v>46149</v>
      </c>
      <c r="B1279" s="1">
        <v>46149</v>
      </c>
      <c r="C1279" s="81" t="s">
        <v>169</v>
      </c>
      <c r="D1279" s="38">
        <v>5</v>
      </c>
      <c r="E1279" s="81" t="s">
        <v>169</v>
      </c>
      <c r="F1279">
        <v>617057</v>
      </c>
      <c r="G1279" s="81" t="s">
        <v>134</v>
      </c>
      <c r="H1279" s="81" t="s">
        <v>31</v>
      </c>
      <c r="I1279" s="3">
        <v>4</v>
      </c>
      <c r="J1279" s="3"/>
      <c r="K1279" s="26">
        <v>4</v>
      </c>
      <c r="L1279" s="2">
        <v>1698.25</v>
      </c>
      <c r="M1279" s="2">
        <v>6793</v>
      </c>
      <c r="N1279" s="2">
        <v>6793</v>
      </c>
      <c r="O1279" s="2">
        <v>2042.1197</v>
      </c>
      <c r="P1279" s="2">
        <v>343.86970000000002</v>
      </c>
      <c r="Q1279" s="2">
        <v>1375.4788000000001</v>
      </c>
      <c r="R1279" s="4">
        <v>0.1683886135517268</v>
      </c>
      <c r="T1279">
        <v>314776</v>
      </c>
      <c r="U1279" s="2"/>
      <c r="V1279">
        <v>6116</v>
      </c>
      <c r="W1279" s="2">
        <v>6579000000</v>
      </c>
      <c r="X1279" s="6">
        <v>8168.4788239999998</v>
      </c>
      <c r="Y1279" s="38">
        <v>10010</v>
      </c>
      <c r="Z1279" s="86">
        <f>+((DETALLE_GD_1[[#This Row],[VALOR X UN (GD)]]-DETALLE_GD_1[[#This Row],[VALOR PPTO]])/DETALLE_GD_1[[#This Row],[VALOR PPTO]])</f>
        <v>-0.16838861110834979</v>
      </c>
      <c r="AA1279" s="2">
        <f>+DETALLE_GD_1[[#This Row],[VALOR PPTO]]*DETALLE_GD_1[[#This Row],[CANTIDAD RECIBIDA]]</f>
        <v>8168.4787999999999</v>
      </c>
      <c r="AB1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9" s="3">
        <f>+DETALLE_GD_1[[#This Row],[CANTIDAD SOLICITADA]]-DETALLE_GD_1[[#This Row],[DEVOLUCIÓN]]</f>
        <v>4</v>
      </c>
      <c r="AD1279" s="38" t="str">
        <f>+_xlfn.XLOOKUP(DETALLE_GD_1[[#This Row],[CODIGO]],PRODUCTOS[CODIGO],PRODUCTOS[DESC CORTA],"",0)</f>
        <v>BROCHA 5/8 X4</v>
      </c>
    </row>
    <row r="1280" spans="1:30" x14ac:dyDescent="0.25">
      <c r="A1280" s="1">
        <v>46149</v>
      </c>
      <c r="B1280" s="1">
        <v>46149</v>
      </c>
      <c r="C1280" s="81" t="s">
        <v>169</v>
      </c>
      <c r="D1280" s="38">
        <v>5</v>
      </c>
      <c r="E1280" s="81" t="s">
        <v>169</v>
      </c>
      <c r="F1280">
        <v>617016</v>
      </c>
      <c r="G1280" s="81" t="s">
        <v>133</v>
      </c>
      <c r="H1280" s="81" t="s">
        <v>31</v>
      </c>
      <c r="I1280" s="3">
        <v>4</v>
      </c>
      <c r="J1280" s="3"/>
      <c r="K1280" s="26">
        <v>4</v>
      </c>
      <c r="L1280" s="2">
        <v>2864.25</v>
      </c>
      <c r="M1280" s="2">
        <v>11457</v>
      </c>
      <c r="N1280" s="2">
        <v>11457</v>
      </c>
      <c r="O1280" s="2">
        <v>2857.5133000000001</v>
      </c>
      <c r="P1280" s="2">
        <v>-6.7366999999999999</v>
      </c>
      <c r="Q1280" s="2">
        <v>-26.946899999999999</v>
      </c>
      <c r="R1280" s="4">
        <v>-2.3575484535089822E-3</v>
      </c>
      <c r="T1280">
        <v>314776</v>
      </c>
      <c r="U1280" s="2"/>
      <c r="V1280">
        <v>6116</v>
      </c>
      <c r="W1280" s="2">
        <v>6579000000</v>
      </c>
      <c r="X1280" s="6">
        <v>11430.053096</v>
      </c>
      <c r="Y1280" s="38">
        <v>10010</v>
      </c>
      <c r="Z1280" s="86">
        <f>+((DETALLE_GD_1[[#This Row],[VALOR X UN (GD)]]-DETALLE_GD_1[[#This Row],[VALOR PPTO]])/DETALLE_GD_1[[#This Row],[VALOR PPTO]])</f>
        <v>2.3575393332377239E-3</v>
      </c>
      <c r="AA1280" s="2">
        <f>+DETALLE_GD_1[[#This Row],[VALOR PPTO]]*DETALLE_GD_1[[#This Row],[CANTIDAD RECIBIDA]]</f>
        <v>11430.0532</v>
      </c>
      <c r="AB1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0" s="3">
        <f>+DETALLE_GD_1[[#This Row],[CANTIDAD SOLICITADA]]-DETALLE_GD_1[[#This Row],[DEVOLUCIÓN]]</f>
        <v>4</v>
      </c>
      <c r="AD1280" s="38" t="str">
        <f>+_xlfn.XLOOKUP(DETALLE_GD_1[[#This Row],[CODIGO]],PRODUCTOS[CODIGO],PRODUCTOS[DESC CORTA],"",0)</f>
        <v>RODILLO CHIPORRO</v>
      </c>
    </row>
    <row r="1281" spans="1:30" x14ac:dyDescent="0.25">
      <c r="A1281" s="1">
        <v>46149</v>
      </c>
      <c r="B1281" s="1">
        <v>46149</v>
      </c>
      <c r="C1281" s="81" t="s">
        <v>169</v>
      </c>
      <c r="D1281" s="38">
        <v>5</v>
      </c>
      <c r="E1281" s="81" t="s">
        <v>169</v>
      </c>
      <c r="F1281">
        <v>408034</v>
      </c>
      <c r="G1281" s="81" t="s">
        <v>250</v>
      </c>
      <c r="H1281" s="81" t="s">
        <v>36</v>
      </c>
      <c r="I1281" s="3">
        <v>1</v>
      </c>
      <c r="J1281" s="3"/>
      <c r="K1281" s="26">
        <v>1</v>
      </c>
      <c r="L1281" s="2">
        <v>1867</v>
      </c>
      <c r="M1281" s="2">
        <v>1867</v>
      </c>
      <c r="N1281" s="2">
        <v>1867</v>
      </c>
      <c r="O1281" s="2">
        <v>1866.9503999999999</v>
      </c>
      <c r="P1281" s="2">
        <v>-4.9599999999999998E-2</v>
      </c>
      <c r="Q1281" s="2">
        <v>-4.9599999999999998E-2</v>
      </c>
      <c r="R1281" s="4">
        <v>-2.6591494447838636E-5</v>
      </c>
      <c r="T1281">
        <v>314776</v>
      </c>
      <c r="U1281" s="2"/>
      <c r="V1281">
        <v>6116</v>
      </c>
      <c r="W1281" s="2">
        <v>6579000000</v>
      </c>
      <c r="X1281" s="6">
        <v>1866.9503550000009</v>
      </c>
      <c r="Y1281" s="38">
        <v>10010</v>
      </c>
      <c r="Z1281" s="86">
        <f>+((DETALLE_GD_1[[#This Row],[VALOR X UN (GD)]]-DETALLE_GD_1[[#This Row],[VALOR PPTO]])/DETALLE_GD_1[[#This Row],[VALOR PPTO]])</f>
        <v>2.6567390328128124E-5</v>
      </c>
      <c r="AA1281" s="2">
        <f>+DETALLE_GD_1[[#This Row],[VALOR PPTO]]*DETALLE_GD_1[[#This Row],[CANTIDAD RECIBIDA]]</f>
        <v>1866.9503999999999</v>
      </c>
      <c r="AB1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1" s="3">
        <f>+DETALLE_GD_1[[#This Row],[CANTIDAD SOLICITADA]]-DETALLE_GD_1[[#This Row],[DEVOLUCIÓN]]</f>
        <v>1</v>
      </c>
      <c r="AD1281" s="38">
        <f>+_xlfn.XLOOKUP(DETALLE_GD_1[[#This Row],[CODIGO]],PRODUCTOS[CODIGO],PRODUCTOS[DESC CORTA],"",0)</f>
        <v>0</v>
      </c>
    </row>
    <row r="1282" spans="1:30" x14ac:dyDescent="0.25">
      <c r="A1282" s="1">
        <v>46149</v>
      </c>
      <c r="B1282" s="1">
        <v>46149</v>
      </c>
      <c r="C1282" s="81" t="s">
        <v>169</v>
      </c>
      <c r="D1282" s="38">
        <v>5</v>
      </c>
      <c r="E1282" s="81" t="s">
        <v>169</v>
      </c>
      <c r="F1282" t="s">
        <v>345</v>
      </c>
      <c r="G1282" s="81" t="s">
        <v>167</v>
      </c>
      <c r="H1282" s="81" t="s">
        <v>26</v>
      </c>
      <c r="I1282" s="3">
        <v>40</v>
      </c>
      <c r="J1282" s="3"/>
      <c r="K1282" s="26">
        <v>40</v>
      </c>
      <c r="L1282" s="2">
        <v>12991.95</v>
      </c>
      <c r="M1282" s="2">
        <v>519678</v>
      </c>
      <c r="N1282" s="2">
        <v>519678</v>
      </c>
      <c r="O1282" s="2">
        <v>11882.3879</v>
      </c>
      <c r="P1282" s="2">
        <v>-1109.5621000000001</v>
      </c>
      <c r="Q1282" s="2">
        <v>-44382.4833</v>
      </c>
      <c r="R1282" s="4">
        <v>-9.337871232200412E-2</v>
      </c>
      <c r="T1282">
        <v>314776</v>
      </c>
      <c r="U1282" s="2"/>
      <c r="V1282">
        <v>6116</v>
      </c>
      <c r="W1282" s="2">
        <v>6579000000</v>
      </c>
      <c r="X1282" s="6">
        <v>475295.51668</v>
      </c>
      <c r="Y1282" s="38">
        <v>10010</v>
      </c>
      <c r="Z1282" s="86">
        <f>+((DETALLE_GD_1[[#This Row],[VALOR X UN (GD)]]-DETALLE_GD_1[[#This Row],[VALOR PPTO]])/DETALLE_GD_1[[#This Row],[VALOR PPTO]])</f>
        <v>9.3378713886288892E-2</v>
      </c>
      <c r="AA1282" s="2">
        <f>+DETALLE_GD_1[[#This Row],[VALOR PPTO]]*DETALLE_GD_1[[#This Row],[CANTIDAD RECIBIDA]]</f>
        <v>475295.516</v>
      </c>
      <c r="AB1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82" s="3">
        <f>+DETALLE_GD_1[[#This Row],[CANTIDAD SOLICITADA]]-DETALLE_GD_1[[#This Row],[DEVOLUCIÓN]]</f>
        <v>40</v>
      </c>
      <c r="AD1282" s="38" t="str">
        <f>+_xlfn.XLOOKUP(DETALLE_GD_1[[#This Row],[CODIGO]],PRODUCTOS[CODIGO],PRODUCTOS[DESC CORTA],"",0)</f>
        <v>PISO TARKET</v>
      </c>
    </row>
    <row r="1283" spans="1:30" x14ac:dyDescent="0.25">
      <c r="A1283" s="1">
        <v>46149</v>
      </c>
      <c r="B1283" s="1">
        <v>46149</v>
      </c>
      <c r="C1283" s="81" t="s">
        <v>169</v>
      </c>
      <c r="D1283" s="38">
        <v>5</v>
      </c>
      <c r="E1283" s="81" t="s">
        <v>169</v>
      </c>
      <c r="F1283">
        <v>408042</v>
      </c>
      <c r="G1283" s="81" t="s">
        <v>144</v>
      </c>
      <c r="H1283" s="81" t="s">
        <v>36</v>
      </c>
      <c r="I1283" s="3">
        <v>10</v>
      </c>
      <c r="J1283" s="3"/>
      <c r="K1283" s="26">
        <v>10</v>
      </c>
      <c r="L1283" s="2">
        <v>35000</v>
      </c>
      <c r="M1283" s="2">
        <v>350000</v>
      </c>
      <c r="N1283" s="2">
        <v>350000</v>
      </c>
      <c r="O1283" s="2">
        <v>35000</v>
      </c>
      <c r="P1283" s="2">
        <v>0</v>
      </c>
      <c r="Q1283" s="2">
        <v>0</v>
      </c>
      <c r="R1283" s="4">
        <v>8.3153801304950006E-16</v>
      </c>
      <c r="T1283">
        <v>314776</v>
      </c>
      <c r="U1283" s="2"/>
      <c r="V1283">
        <v>6116</v>
      </c>
      <c r="W1283" s="2">
        <v>6579000000</v>
      </c>
      <c r="X1283" s="6">
        <v>350000.00000000029</v>
      </c>
      <c r="Y1283" s="38">
        <v>10010</v>
      </c>
      <c r="Z1283" s="86">
        <f>+((DETALLE_GD_1[[#This Row],[VALOR X UN (GD)]]-DETALLE_GD_1[[#This Row],[VALOR PPTO]])/DETALLE_GD_1[[#This Row],[VALOR PPTO]])</f>
        <v>0</v>
      </c>
      <c r="AA1283" s="2">
        <f>+DETALLE_GD_1[[#This Row],[VALOR PPTO]]*DETALLE_GD_1[[#This Row],[CANTIDAD RECIBIDA]]</f>
        <v>350000</v>
      </c>
      <c r="AB12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3" s="3">
        <f>+DETALLE_GD_1[[#This Row],[CANTIDAD SOLICITADA]]-DETALLE_GD_1[[#This Row],[DEVOLUCIÓN]]</f>
        <v>10</v>
      </c>
      <c r="AD1283" s="38" t="str">
        <f>+_xlfn.XLOOKUP(DETALLE_GD_1[[#This Row],[CODIGO]],PRODUCTOS[CODIGO],PRODUCTOS[DESC CORTA],"",0)</f>
        <v>CLAVO HELICOIDAL PROFIX</v>
      </c>
    </row>
    <row r="1284" spans="1:30" x14ac:dyDescent="0.25">
      <c r="A1284" s="1">
        <v>46149</v>
      </c>
      <c r="B1284" s="1">
        <v>46149</v>
      </c>
      <c r="C1284" s="81" t="s">
        <v>169</v>
      </c>
      <c r="D1284" s="38">
        <v>5</v>
      </c>
      <c r="E1284" s="81" t="s">
        <v>169</v>
      </c>
      <c r="F1284">
        <v>304007</v>
      </c>
      <c r="G1284" s="81" t="s">
        <v>80</v>
      </c>
      <c r="H1284" s="81" t="s">
        <v>18</v>
      </c>
      <c r="I1284" s="3">
        <v>72</v>
      </c>
      <c r="J1284" s="3"/>
      <c r="K1284" s="26">
        <v>72</v>
      </c>
      <c r="L1284" s="2">
        <v>11238.0694</v>
      </c>
      <c r="M1284" s="2">
        <v>809141</v>
      </c>
      <c r="N1284" s="2">
        <v>809141</v>
      </c>
      <c r="O1284" s="2">
        <v>11444.352999999999</v>
      </c>
      <c r="P1284" s="2">
        <v>206.28360000000001</v>
      </c>
      <c r="Q1284" s="2">
        <v>14852.417600000001</v>
      </c>
      <c r="R1284" s="4">
        <v>1.8024922611090573E-2</v>
      </c>
      <c r="T1284">
        <v>314773</v>
      </c>
      <c r="U1284" s="2">
        <v>19592390</v>
      </c>
      <c r="V1284">
        <v>6116</v>
      </c>
      <c r="W1284" s="2">
        <v>6579000000</v>
      </c>
      <c r="X1284" s="6">
        <v>823993.41758399969</v>
      </c>
      <c r="Y1284" s="38">
        <v>10010</v>
      </c>
      <c r="Z1284" s="86">
        <f>+((DETALLE_GD_1[[#This Row],[VALOR X UN (GD)]]-DETALLE_GD_1[[#This Row],[VALOR PPTO]])/DETALLE_GD_1[[#This Row],[VALOR PPTO]])</f>
        <v>-1.8024924606921761E-2</v>
      </c>
      <c r="AA1284" s="2">
        <f>+DETALLE_GD_1[[#This Row],[VALOR PPTO]]*DETALLE_GD_1[[#This Row],[CANTIDAD RECIBIDA]]</f>
        <v>823993.41599999997</v>
      </c>
      <c r="AB1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84" s="3">
        <f>+DETALLE_GD_1[[#This Row],[CANTIDAD SOLICITADA]]-DETALLE_GD_1[[#This Row],[DEVOLUCIÓN]]</f>
        <v>72</v>
      </c>
      <c r="AD1284" s="38" t="str">
        <f>+_xlfn.XLOOKUP(DETALLE_GD_1[[#This Row],[CODIGO]],PRODUCTOS[CODIGO],PRODUCTOS[DESC CORTA],"",0)</f>
        <v>OSB 11MM</v>
      </c>
    </row>
    <row r="1285" spans="1:30" x14ac:dyDescent="0.25">
      <c r="A1285" s="1">
        <v>46149</v>
      </c>
      <c r="B1285" s="1">
        <v>46149</v>
      </c>
      <c r="C1285" s="81" t="s">
        <v>169</v>
      </c>
      <c r="D1285" s="38">
        <v>5</v>
      </c>
      <c r="E1285" s="81" t="s">
        <v>169</v>
      </c>
      <c r="F1285">
        <v>302046</v>
      </c>
      <c r="G1285" s="81" t="s">
        <v>115</v>
      </c>
      <c r="H1285" s="81" t="s">
        <v>20</v>
      </c>
      <c r="I1285" s="3">
        <v>336</v>
      </c>
      <c r="J1285" s="3"/>
      <c r="K1285" s="26">
        <v>336</v>
      </c>
      <c r="L1285" s="2">
        <v>10122.2798</v>
      </c>
      <c r="M1285" s="2">
        <v>3401086</v>
      </c>
      <c r="N1285" s="2">
        <v>3401086</v>
      </c>
      <c r="O1285" s="2">
        <v>10156.5985</v>
      </c>
      <c r="P1285" s="2">
        <v>34.3187</v>
      </c>
      <c r="Q1285" s="2">
        <v>11531.0849</v>
      </c>
      <c r="R1285" s="4">
        <v>3.3789565676683696E-3</v>
      </c>
      <c r="T1285">
        <v>314773</v>
      </c>
      <c r="U1285" s="2"/>
      <c r="V1285">
        <v>6116</v>
      </c>
      <c r="W1285" s="2">
        <v>6579000000</v>
      </c>
      <c r="X1285" s="6">
        <v>3412617.0849120007</v>
      </c>
      <c r="Y1285" s="38">
        <v>10010</v>
      </c>
      <c r="Z1285" s="86">
        <f>+((DETALLE_GD_1[[#This Row],[VALOR X UN (GD)]]-DETALLE_GD_1[[#This Row],[VALOR PPTO]])/DETALLE_GD_1[[#This Row],[VALOR PPTO]])</f>
        <v>-3.3789560550217482E-3</v>
      </c>
      <c r="AA1285" s="2">
        <f>+DETALLE_GD_1[[#This Row],[VALOR PPTO]]*DETALLE_GD_1[[#This Row],[CANTIDAD RECIBIDA]]</f>
        <v>3412617.0959999999</v>
      </c>
      <c r="AB12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85" s="3">
        <f>+DETALLE_GD_1[[#This Row],[CANTIDAD SOLICITADA]]-DETALLE_GD_1[[#This Row],[DEVOLUCIÓN]]</f>
        <v>336</v>
      </c>
      <c r="AD1285" s="38" t="str">
        <f>+_xlfn.XLOOKUP(DETALLE_GD_1[[#This Row],[CODIGO]],PRODUCTOS[CODIGO],PRODUCTOS[DESC CORTA],"",0)</f>
        <v>PINO 2X6X400</v>
      </c>
    </row>
    <row r="1286" spans="1:30" x14ac:dyDescent="0.25">
      <c r="A1286" s="1">
        <v>46149</v>
      </c>
      <c r="B1286" s="1">
        <v>46149</v>
      </c>
      <c r="C1286" s="81" t="s">
        <v>169</v>
      </c>
      <c r="D1286" s="38">
        <v>5</v>
      </c>
      <c r="E1286" s="81" t="s">
        <v>169</v>
      </c>
      <c r="F1286">
        <v>409011</v>
      </c>
      <c r="G1286" s="81" t="s">
        <v>251</v>
      </c>
      <c r="H1286" s="81" t="s">
        <v>137</v>
      </c>
      <c r="I1286" s="3">
        <v>6</v>
      </c>
      <c r="J1286" s="3"/>
      <c r="K1286" s="26">
        <v>6</v>
      </c>
      <c r="L1286" s="2">
        <v>14904.1667</v>
      </c>
      <c r="M1286" s="2">
        <v>89425</v>
      </c>
      <c r="N1286" s="2">
        <v>89425</v>
      </c>
      <c r="O1286" s="2">
        <v>13713.2695</v>
      </c>
      <c r="P1286" s="2">
        <v>-1190.8972000000001</v>
      </c>
      <c r="Q1286" s="2">
        <v>-7145.3829999999998</v>
      </c>
      <c r="R1286" s="4">
        <v>-8.68426863717143E-2</v>
      </c>
      <c r="T1286">
        <v>314773</v>
      </c>
      <c r="U1286" s="2"/>
      <c r="V1286">
        <v>6116</v>
      </c>
      <c r="W1286" s="2">
        <v>6579000000</v>
      </c>
      <c r="X1286" s="6">
        <v>82279.617024000006</v>
      </c>
      <c r="Y1286" s="38">
        <v>10010</v>
      </c>
      <c r="Z1286" s="86">
        <f>+((DETALLE_GD_1[[#This Row],[VALOR X UN (GD)]]-DETALLE_GD_1[[#This Row],[VALOR PPTO]])/DETALLE_GD_1[[#This Row],[VALOR PPTO]])</f>
        <v>8.6842689119469241E-2</v>
      </c>
      <c r="AA1286" s="2">
        <f>+DETALLE_GD_1[[#This Row],[VALOR PPTO]]*DETALLE_GD_1[[#This Row],[CANTIDAD RECIBIDA]]</f>
        <v>82279.616999999998</v>
      </c>
      <c r="AB1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6" s="3">
        <f>+DETALLE_GD_1[[#This Row],[CANTIDAD SOLICITADA]]-DETALLE_GD_1[[#This Row],[DEVOLUCIÓN]]</f>
        <v>6</v>
      </c>
      <c r="AD1286" s="38">
        <f>+_xlfn.XLOOKUP(DETALLE_GD_1[[#This Row],[CODIGO]],PRODUCTOS[CODIGO],PRODUCTOS[DESC CORTA],"",0)</f>
        <v>0</v>
      </c>
    </row>
    <row r="1287" spans="1:30" x14ac:dyDescent="0.25">
      <c r="A1287" s="1">
        <v>46149</v>
      </c>
      <c r="B1287" s="1">
        <v>46149</v>
      </c>
      <c r="C1287" s="81" t="s">
        <v>169</v>
      </c>
      <c r="D1287" s="38">
        <v>5</v>
      </c>
      <c r="E1287" s="81" t="s">
        <v>169</v>
      </c>
      <c r="F1287" t="s">
        <v>231</v>
      </c>
      <c r="G1287" s="81" t="s">
        <v>180</v>
      </c>
      <c r="H1287" s="81" t="s">
        <v>36</v>
      </c>
      <c r="I1287" s="3">
        <v>2</v>
      </c>
      <c r="J1287" s="3"/>
      <c r="K1287" s="26">
        <v>2</v>
      </c>
      <c r="L1287" s="2">
        <v>61594</v>
      </c>
      <c r="M1287" s="2">
        <v>123188</v>
      </c>
      <c r="N1287" s="2">
        <v>123188</v>
      </c>
      <c r="O1287" s="2">
        <v>55858.301899999999</v>
      </c>
      <c r="P1287" s="2">
        <v>-5735.6980999999996</v>
      </c>
      <c r="Q1287" s="2">
        <v>-11471.396199999999</v>
      </c>
      <c r="R1287" s="4">
        <v>-0.10268300179628062</v>
      </c>
      <c r="T1287">
        <v>314773</v>
      </c>
      <c r="U1287" s="2"/>
      <c r="V1287">
        <v>6116</v>
      </c>
      <c r="W1287" s="2">
        <v>6579000000</v>
      </c>
      <c r="X1287" s="6">
        <v>111716.603774</v>
      </c>
      <c r="Y1287" s="38">
        <v>10010</v>
      </c>
      <c r="Z1287" s="86">
        <f>+((DETALLE_GD_1[[#This Row],[VALOR X UN (GD)]]-DETALLE_GD_1[[#This Row],[VALOR PPTO]])/DETALLE_GD_1[[#This Row],[VALOR PPTO]])</f>
        <v>0.10268300153965119</v>
      </c>
      <c r="AA1287" s="2">
        <f>+DETALLE_GD_1[[#This Row],[VALOR PPTO]]*DETALLE_GD_1[[#This Row],[CANTIDAD RECIBIDA]]</f>
        <v>111716.6038</v>
      </c>
      <c r="AB12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7" s="3">
        <f>+DETALLE_GD_1[[#This Row],[CANTIDAD SOLICITADA]]-DETALLE_GD_1[[#This Row],[DEVOLUCIÓN]]</f>
        <v>2</v>
      </c>
      <c r="AD1287" s="38">
        <f>+_xlfn.XLOOKUP(DETALLE_GD_1[[#This Row],[CODIGO]],PRODUCTOS[CODIGO],PRODUCTOS[DESC CORTA],"",0)</f>
        <v>0</v>
      </c>
    </row>
    <row r="1288" spans="1:30" x14ac:dyDescent="0.25">
      <c r="A1288" s="1">
        <v>46149</v>
      </c>
      <c r="B1288" s="1">
        <v>46149</v>
      </c>
      <c r="C1288" s="81" t="s">
        <v>169</v>
      </c>
      <c r="D1288" s="38">
        <v>5</v>
      </c>
      <c r="E1288" s="81" t="s">
        <v>169</v>
      </c>
      <c r="F1288">
        <v>2302098</v>
      </c>
      <c r="G1288" s="81" t="s">
        <v>24</v>
      </c>
      <c r="H1288" s="81" t="s">
        <v>25</v>
      </c>
      <c r="I1288" s="3">
        <v>5</v>
      </c>
      <c r="J1288" s="3"/>
      <c r="K1288" s="26">
        <v>5</v>
      </c>
      <c r="L1288" s="2">
        <v>21213</v>
      </c>
      <c r="M1288" s="2">
        <v>106065</v>
      </c>
      <c r="N1288" s="2">
        <v>106065</v>
      </c>
      <c r="O1288" s="2">
        <v>21213</v>
      </c>
      <c r="P1288" s="2">
        <v>0</v>
      </c>
      <c r="Q1288" s="2">
        <v>0</v>
      </c>
      <c r="R1288" s="4">
        <v>-1.7149761029050001E-16</v>
      </c>
      <c r="T1288">
        <v>314773</v>
      </c>
      <c r="U1288" s="2"/>
      <c r="V1288">
        <v>6116</v>
      </c>
      <c r="W1288" s="2">
        <v>6579000000</v>
      </c>
      <c r="X1288" s="6">
        <v>106065</v>
      </c>
      <c r="Y1288" s="38">
        <v>10010</v>
      </c>
      <c r="Z1288" s="86">
        <f>+((DETALLE_GD_1[[#This Row],[VALOR X UN (GD)]]-DETALLE_GD_1[[#This Row],[VALOR PPTO]])/DETALLE_GD_1[[#This Row],[VALOR PPTO]])</f>
        <v>0</v>
      </c>
      <c r="AA1288" s="2">
        <f>+DETALLE_GD_1[[#This Row],[VALOR PPTO]]*DETALLE_GD_1[[#This Row],[CANTIDAD RECIBIDA]]</f>
        <v>106065</v>
      </c>
      <c r="AB1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8" s="3">
        <f>+DETALLE_GD_1[[#This Row],[CANTIDAD SOLICITADA]]-DETALLE_GD_1[[#This Row],[DEVOLUCIÓN]]</f>
        <v>5</v>
      </c>
      <c r="AD1288" s="38" t="str">
        <f>+_xlfn.XLOOKUP(DETALLE_GD_1[[#This Row],[CODIGO]],PRODUCTOS[CODIGO],PRODUCTOS[DESC CORTA],"",0)</f>
        <v>COLA FRIA</v>
      </c>
    </row>
    <row r="1289" spans="1:30" x14ac:dyDescent="0.25">
      <c r="A1289" s="1">
        <v>46149</v>
      </c>
      <c r="B1289" s="1">
        <v>46149</v>
      </c>
      <c r="C1289" s="81" t="s">
        <v>169</v>
      </c>
      <c r="D1289" s="38">
        <v>5</v>
      </c>
      <c r="E1289" s="81" t="s">
        <v>169</v>
      </c>
      <c r="F1289">
        <v>412313</v>
      </c>
      <c r="G1289" s="81" t="s">
        <v>253</v>
      </c>
      <c r="H1289" s="81" t="s">
        <v>36</v>
      </c>
      <c r="I1289" s="3">
        <v>4</v>
      </c>
      <c r="J1289" s="3"/>
      <c r="K1289" s="26">
        <v>4</v>
      </c>
      <c r="L1289" s="2">
        <v>23724</v>
      </c>
      <c r="M1289" s="2">
        <v>94896</v>
      </c>
      <c r="N1289" s="2">
        <v>94896</v>
      </c>
      <c r="O1289" s="2">
        <v>23724.0674</v>
      </c>
      <c r="P1289" s="2">
        <v>6.7400000000000002E-2</v>
      </c>
      <c r="Q1289" s="2">
        <v>0.26950000000000002</v>
      </c>
      <c r="R1289" s="4">
        <v>2.8403645506871342E-6</v>
      </c>
      <c r="T1289">
        <v>314773</v>
      </c>
      <c r="U1289" s="2"/>
      <c r="V1289">
        <v>6116</v>
      </c>
      <c r="W1289" s="2">
        <v>6579000000</v>
      </c>
      <c r="X1289" s="6">
        <v>94896.269539999994</v>
      </c>
      <c r="Y1289" s="38">
        <v>10010</v>
      </c>
      <c r="Z1289" s="86">
        <f>+((DETALLE_GD_1[[#This Row],[VALOR X UN (GD)]]-DETALLE_GD_1[[#This Row],[VALOR PPTO]])/DETALLE_GD_1[[#This Row],[VALOR PPTO]])</f>
        <v>-2.8409968182735337E-6</v>
      </c>
      <c r="AA1289" s="2">
        <f>+DETALLE_GD_1[[#This Row],[VALOR PPTO]]*DETALLE_GD_1[[#This Row],[CANTIDAD RECIBIDA]]</f>
        <v>94896.2696</v>
      </c>
      <c r="AB1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9" s="3">
        <f>+DETALLE_GD_1[[#This Row],[CANTIDAD SOLICITADA]]-DETALLE_GD_1[[#This Row],[DEVOLUCIÓN]]</f>
        <v>4</v>
      </c>
      <c r="AD1289" s="38">
        <f>+_xlfn.XLOOKUP(DETALLE_GD_1[[#This Row],[CODIGO]],PRODUCTOS[CODIGO],PRODUCTOS[DESC CORTA],"",0)</f>
        <v>0</v>
      </c>
    </row>
    <row r="1290" spans="1:30" x14ac:dyDescent="0.25">
      <c r="A1290" s="1">
        <v>46149</v>
      </c>
      <c r="B1290" s="1">
        <v>46149</v>
      </c>
      <c r="C1290" s="81" t="s">
        <v>169</v>
      </c>
      <c r="D1290" s="38">
        <v>5</v>
      </c>
      <c r="E1290" s="81" t="s">
        <v>169</v>
      </c>
      <c r="F1290">
        <v>407011</v>
      </c>
      <c r="G1290" s="81" t="s">
        <v>30</v>
      </c>
      <c r="H1290" s="81" t="s">
        <v>31</v>
      </c>
      <c r="I1290" s="3">
        <v>1500</v>
      </c>
      <c r="J1290" s="3"/>
      <c r="K1290" s="26">
        <v>1500</v>
      </c>
      <c r="L1290" s="2">
        <v>473.17529999999999</v>
      </c>
      <c r="M1290" s="2">
        <v>709763</v>
      </c>
      <c r="N1290" s="2">
        <v>709763</v>
      </c>
      <c r="O1290" s="2">
        <v>473.17520000000002</v>
      </c>
      <c r="P1290" s="2">
        <v>-1E-4</v>
      </c>
      <c r="Q1290" s="2">
        <v>-0.14000000000000001</v>
      </c>
      <c r="R1290" s="4">
        <v>-1.9724897997357141E-7</v>
      </c>
      <c r="T1290">
        <v>314773</v>
      </c>
      <c r="U1290" s="2"/>
      <c r="V1290">
        <v>6116</v>
      </c>
      <c r="W1290" s="2">
        <v>6579000000</v>
      </c>
      <c r="X1290" s="6">
        <v>709762.85999999987</v>
      </c>
      <c r="Y1290" s="38">
        <v>10010</v>
      </c>
      <c r="Z1290" s="86">
        <f>+((DETALLE_GD_1[[#This Row],[VALOR X UN (GD)]]-DETALLE_GD_1[[#This Row],[VALOR PPTO]])/DETALLE_GD_1[[#This Row],[VALOR PPTO]])</f>
        <v>2.1133821040261184E-7</v>
      </c>
      <c r="AA1290" s="2">
        <f>+DETALLE_GD_1[[#This Row],[VALOR PPTO]]*DETALLE_GD_1[[#This Row],[CANTIDAD RECIBIDA]]</f>
        <v>709762.8</v>
      </c>
      <c r="AB12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0" s="3">
        <f>+DETALLE_GD_1[[#This Row],[CANTIDAD SOLICITADA]]-DETALLE_GD_1[[#This Row],[DEVOLUCIÓN]]</f>
        <v>1500</v>
      </c>
      <c r="AD1290" s="38" t="str">
        <f>+_xlfn.XLOOKUP(DETALLE_GD_1[[#This Row],[CODIGO]],PRODUCTOS[CODIGO],PRODUCTOS[DESC CORTA],"",0)</f>
        <v>TORNILLO SIMPSON 6"</v>
      </c>
    </row>
    <row r="1291" spans="1:30" x14ac:dyDescent="0.25">
      <c r="A1291" s="1">
        <v>46149</v>
      </c>
      <c r="B1291" s="1">
        <v>46149</v>
      </c>
      <c r="C1291" s="81" t="s">
        <v>169</v>
      </c>
      <c r="D1291" s="38">
        <v>5</v>
      </c>
      <c r="E1291" s="81" t="s">
        <v>169</v>
      </c>
      <c r="F1291" t="s">
        <v>21</v>
      </c>
      <c r="G1291" s="81" t="s">
        <v>22</v>
      </c>
      <c r="H1291" s="81" t="s">
        <v>20</v>
      </c>
      <c r="I1291" s="3">
        <v>60</v>
      </c>
      <c r="J1291" s="3"/>
      <c r="K1291" s="26">
        <v>60</v>
      </c>
      <c r="L1291" s="2">
        <v>15359.7</v>
      </c>
      <c r="M1291" s="2">
        <v>921582</v>
      </c>
      <c r="N1291" s="2">
        <v>921582</v>
      </c>
      <c r="O1291" s="2">
        <v>15359.702799999999</v>
      </c>
      <c r="P1291" s="2">
        <v>2.8E-3</v>
      </c>
      <c r="Q1291" s="2">
        <v>0.1671</v>
      </c>
      <c r="R1291" s="4">
        <v>1.81318612826567E-7</v>
      </c>
      <c r="T1291">
        <v>314773</v>
      </c>
      <c r="U1291" s="2"/>
      <c r="V1291">
        <v>6116</v>
      </c>
      <c r="W1291" s="2">
        <v>6579000000</v>
      </c>
      <c r="X1291" s="6">
        <v>921582.1671000002</v>
      </c>
      <c r="Y1291" s="38">
        <v>10010</v>
      </c>
      <c r="Z1291" s="86">
        <f>+((DETALLE_GD_1[[#This Row],[VALOR X UN (GD)]]-DETALLE_GD_1[[#This Row],[VALOR PPTO]])/DETALLE_GD_1[[#This Row],[VALOR PPTO]])</f>
        <v>-1.8229519378380471E-7</v>
      </c>
      <c r="AA1291" s="2">
        <f>+DETALLE_GD_1[[#This Row],[VALOR PPTO]]*DETALLE_GD_1[[#This Row],[CANTIDAD RECIBIDA]]</f>
        <v>921582.16799999995</v>
      </c>
      <c r="AB12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1" s="3">
        <f>+DETALLE_GD_1[[#This Row],[CANTIDAD SOLICITADA]]-DETALLE_GD_1[[#This Row],[DEVOLUCIÓN]]</f>
        <v>60</v>
      </c>
      <c r="AD1291" s="38" t="str">
        <f>+_xlfn.XLOOKUP(DETALLE_GD_1[[#This Row],[CODIGO]],PRODUCTOS[CODIGO],PRODUCTOS[DESC CORTA],"",0)</f>
        <v>PINO 3X8X320</v>
      </c>
    </row>
    <row r="1292" spans="1:30" x14ac:dyDescent="0.25">
      <c r="A1292" s="1">
        <v>46149</v>
      </c>
      <c r="B1292" s="1">
        <v>46149</v>
      </c>
      <c r="C1292" s="81" t="s">
        <v>169</v>
      </c>
      <c r="D1292" s="38">
        <v>5</v>
      </c>
      <c r="E1292" s="81" t="s">
        <v>169</v>
      </c>
      <c r="F1292">
        <v>407423</v>
      </c>
      <c r="G1292" s="81" t="s">
        <v>106</v>
      </c>
      <c r="H1292" s="81" t="s">
        <v>31</v>
      </c>
      <c r="I1292" s="3">
        <v>9000</v>
      </c>
      <c r="J1292" s="3"/>
      <c r="K1292" s="26">
        <v>9000</v>
      </c>
      <c r="L1292" s="2">
        <v>3.4662000000000002</v>
      </c>
      <c r="M1292" s="2">
        <v>31196</v>
      </c>
      <c r="N1292" s="2">
        <v>31196</v>
      </c>
      <c r="O1292" s="2">
        <v>106.6405</v>
      </c>
      <c r="P1292" s="2">
        <v>103.1743</v>
      </c>
      <c r="Q1292" s="2">
        <v>928568.51789999998</v>
      </c>
      <c r="R1292" s="4">
        <v>0.96749619368118389</v>
      </c>
      <c r="T1292">
        <v>314773</v>
      </c>
      <c r="U1292" s="2"/>
      <c r="V1292">
        <v>6116</v>
      </c>
      <c r="W1292" s="2">
        <v>6579000000</v>
      </c>
      <c r="X1292" s="6">
        <v>959764.51785405388</v>
      </c>
      <c r="Y1292" s="38">
        <v>10010</v>
      </c>
      <c r="Z1292" s="86">
        <f>+((DETALLE_GD_1[[#This Row],[VALOR X UN (GD)]]-DETALLE_GD_1[[#This Row],[VALOR PPTO]])/DETALLE_GD_1[[#This Row],[VALOR PPTO]])</f>
        <v>-0.96749640146098337</v>
      </c>
      <c r="AA1292" s="2">
        <f>+DETALLE_GD_1[[#This Row],[VALOR PPTO]]*DETALLE_GD_1[[#This Row],[CANTIDAD RECIBIDA]]</f>
        <v>959764.5</v>
      </c>
      <c r="AB1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2" s="3">
        <f>+DETALLE_GD_1[[#This Row],[CANTIDAD SOLICITADA]]-DETALLE_GD_1[[#This Row],[DEVOLUCIÓN]]</f>
        <v>9000</v>
      </c>
      <c r="AD1292" s="38" t="str">
        <f>+_xlfn.XLOOKUP(DETALLE_GD_1[[#This Row],[CODIGO]],PRODUCTOS[CODIGO],PRODUCTOS[DESC CORTA],"",0)</f>
        <v>TORNILLO CRS 6X1 5/8</v>
      </c>
    </row>
    <row r="1293" spans="1:30" x14ac:dyDescent="0.25">
      <c r="A1293" s="1">
        <v>46149</v>
      </c>
      <c r="B1293" s="1">
        <v>46149</v>
      </c>
      <c r="C1293" s="81" t="s">
        <v>169</v>
      </c>
      <c r="D1293" s="38">
        <v>5</v>
      </c>
      <c r="E1293" s="81" t="s">
        <v>169</v>
      </c>
      <c r="F1293">
        <v>1902013</v>
      </c>
      <c r="G1293" s="81" t="s">
        <v>338</v>
      </c>
      <c r="H1293" s="81" t="s">
        <v>47</v>
      </c>
      <c r="I1293" s="3">
        <v>15</v>
      </c>
      <c r="J1293" s="3"/>
      <c r="K1293" s="26">
        <v>15</v>
      </c>
      <c r="L1293" s="2">
        <v>39045.2667</v>
      </c>
      <c r="M1293" s="2">
        <v>585679</v>
      </c>
      <c r="N1293" s="2">
        <v>585679</v>
      </c>
      <c r="O1293" s="2">
        <v>29779</v>
      </c>
      <c r="P1293" s="2">
        <v>-9266.2667000000001</v>
      </c>
      <c r="Q1293" s="2">
        <v>-138994</v>
      </c>
      <c r="R1293" s="4">
        <v>-0.31116782520120456</v>
      </c>
      <c r="T1293">
        <v>314773</v>
      </c>
      <c r="U1293" s="2"/>
      <c r="V1293">
        <v>6116</v>
      </c>
      <c r="W1293" s="2">
        <v>6579000000</v>
      </c>
      <c r="X1293" s="6">
        <v>446685</v>
      </c>
      <c r="Y1293" s="38">
        <v>10010</v>
      </c>
      <c r="Z1293" s="86">
        <f>+((DETALLE_GD_1[[#This Row],[VALOR X UN (GD)]]-DETALLE_GD_1[[#This Row],[VALOR PPTO]])/DETALLE_GD_1[[#This Row],[VALOR PPTO]])</f>
        <v>0.31116782632056145</v>
      </c>
      <c r="AA1293" s="2">
        <f>+DETALLE_GD_1[[#This Row],[VALOR PPTO]]*DETALLE_GD_1[[#This Row],[CANTIDAD RECIBIDA]]</f>
        <v>446685</v>
      </c>
      <c r="AB1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3" s="3">
        <f>+DETALLE_GD_1[[#This Row],[CANTIDAD SOLICITADA]]-DETALLE_GD_1[[#This Row],[DEVOLUCIÓN]]</f>
        <v>15</v>
      </c>
      <c r="AD1293" s="38">
        <f>+_xlfn.XLOOKUP(DETALLE_GD_1[[#This Row],[CODIGO]],PRODUCTOS[CODIGO],PRODUCTOS[DESC CORTA],"",0)</f>
        <v>0</v>
      </c>
    </row>
    <row r="1294" spans="1:30" x14ac:dyDescent="0.25">
      <c r="A1294" s="1">
        <v>46149</v>
      </c>
      <c r="B1294" s="1">
        <v>46149</v>
      </c>
      <c r="C1294" s="81" t="s">
        <v>169</v>
      </c>
      <c r="D1294" s="38">
        <v>5</v>
      </c>
      <c r="E1294" s="81" t="s">
        <v>169</v>
      </c>
      <c r="F1294">
        <v>304049</v>
      </c>
      <c r="G1294" s="81" t="s">
        <v>318</v>
      </c>
      <c r="H1294" s="81" t="s">
        <v>18</v>
      </c>
      <c r="I1294" s="3">
        <v>130</v>
      </c>
      <c r="J1294" s="3"/>
      <c r="K1294" s="26">
        <v>130</v>
      </c>
      <c r="L1294" s="2">
        <v>14981.223099999999</v>
      </c>
      <c r="M1294" s="2">
        <v>1947559</v>
      </c>
      <c r="N1294" s="2">
        <v>1947559</v>
      </c>
      <c r="O1294" s="2">
        <v>14982</v>
      </c>
      <c r="P1294" s="2">
        <v>0.77690000000000003</v>
      </c>
      <c r="Q1294" s="2">
        <v>101</v>
      </c>
      <c r="R1294" s="4">
        <v>5.1857100314738323E-5</v>
      </c>
      <c r="T1294">
        <v>314773</v>
      </c>
      <c r="U1294" s="2"/>
      <c r="V1294">
        <v>6116</v>
      </c>
      <c r="W1294" s="2">
        <v>6579000000</v>
      </c>
      <c r="X1294" s="6">
        <v>1947659.9999999993</v>
      </c>
      <c r="Y1294" s="38">
        <v>10010</v>
      </c>
      <c r="Z1294" s="86">
        <f>+((DETALLE_GD_1[[#This Row],[VALOR X UN (GD)]]-DETALLE_GD_1[[#This Row],[VALOR PPTO]])/DETALLE_GD_1[[#This Row],[VALOR PPTO]])</f>
        <v>-5.1855560005389863E-5</v>
      </c>
      <c r="AA1294" s="2">
        <f>+DETALLE_GD_1[[#This Row],[VALOR PPTO]]*DETALLE_GD_1[[#This Row],[CANTIDAD RECIBIDA]]</f>
        <v>1947660</v>
      </c>
      <c r="AB1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4" s="3">
        <f>+DETALLE_GD_1[[#This Row],[CANTIDAD SOLICITADA]]-DETALLE_GD_1[[#This Row],[DEVOLUCIÓN]]</f>
        <v>130</v>
      </c>
      <c r="AD1294" s="38" t="str">
        <f>+_xlfn.XLOOKUP(DETALLE_GD_1[[#This Row],[CODIGO]],PRODUCTOS[CODIGO],PRODUCTOS[DESC CORTA],"",0)</f>
        <v>TERCIADO FENOLICO</v>
      </c>
    </row>
    <row r="1295" spans="1:30" x14ac:dyDescent="0.25">
      <c r="A1295" s="1">
        <v>46149</v>
      </c>
      <c r="B1295" s="1">
        <v>46149</v>
      </c>
      <c r="C1295" s="81" t="s">
        <v>169</v>
      </c>
      <c r="D1295" s="38">
        <v>5</v>
      </c>
      <c r="E1295" s="81" t="s">
        <v>169</v>
      </c>
      <c r="F1295">
        <v>5309018</v>
      </c>
      <c r="G1295" s="81" t="s">
        <v>112</v>
      </c>
      <c r="H1295" s="81" t="s">
        <v>113</v>
      </c>
      <c r="I1295" s="3">
        <v>300</v>
      </c>
      <c r="J1295" s="3"/>
      <c r="K1295" s="26">
        <v>300</v>
      </c>
      <c r="L1295" s="2">
        <v>717.12670000000003</v>
      </c>
      <c r="M1295" s="2">
        <v>215138</v>
      </c>
      <c r="N1295" s="2">
        <v>215138</v>
      </c>
      <c r="O1295" s="2">
        <v>699.99919999999997</v>
      </c>
      <c r="P1295" s="2">
        <v>-17.127400000000002</v>
      </c>
      <c r="Q1295" s="2">
        <v>-5138.2304000000004</v>
      </c>
      <c r="R1295" s="4">
        <v>-2.446779065418488E-2</v>
      </c>
      <c r="T1295">
        <v>314773</v>
      </c>
      <c r="U1295" s="2"/>
      <c r="V1295">
        <v>6116</v>
      </c>
      <c r="W1295" s="2">
        <v>6579000000</v>
      </c>
      <c r="X1295" s="6">
        <v>209999.76960000017</v>
      </c>
      <c r="Y1295" s="38">
        <v>10010</v>
      </c>
      <c r="Z1295" s="86">
        <f>+((DETALLE_GD_1[[#This Row],[VALOR X UN (GD)]]-DETALLE_GD_1[[#This Row],[VALOR PPTO]])/DETALLE_GD_1[[#This Row],[VALOR PPTO]])</f>
        <v>2.4467885106154486E-2</v>
      </c>
      <c r="AA1295" s="2">
        <f>+DETALLE_GD_1[[#This Row],[VALOR PPTO]]*DETALLE_GD_1[[#This Row],[CANTIDAD RECIBIDA]]</f>
        <v>209999.75999999998</v>
      </c>
      <c r="AB1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5" s="3">
        <f>+DETALLE_GD_1[[#This Row],[CANTIDAD SOLICITADA]]-DETALLE_GD_1[[#This Row],[DEVOLUCIÓN]]</f>
        <v>300</v>
      </c>
      <c r="AD1295" s="38">
        <f>+_xlfn.XLOOKUP(DETALLE_GD_1[[#This Row],[CODIGO]],PRODUCTOS[CODIGO],PRODUCTOS[DESC CORTA],"",0)</f>
        <v>0</v>
      </c>
    </row>
    <row r="1296" spans="1:30" x14ac:dyDescent="0.25">
      <c r="A1296" s="1">
        <v>46149</v>
      </c>
      <c r="B1296" s="1">
        <v>46149</v>
      </c>
      <c r="C1296" s="81" t="s">
        <v>169</v>
      </c>
      <c r="D1296" s="38">
        <v>5</v>
      </c>
      <c r="E1296" s="81" t="s">
        <v>169</v>
      </c>
      <c r="F1296">
        <v>1902003</v>
      </c>
      <c r="G1296" s="81" t="s">
        <v>155</v>
      </c>
      <c r="H1296" s="81" t="s">
        <v>47</v>
      </c>
      <c r="I1296" s="3">
        <v>1</v>
      </c>
      <c r="J1296" s="3"/>
      <c r="K1296" s="26">
        <v>1</v>
      </c>
      <c r="L1296" s="2">
        <v>150752</v>
      </c>
      <c r="M1296" s="2">
        <v>150752</v>
      </c>
      <c r="N1296" s="2">
        <v>150752</v>
      </c>
      <c r="O1296" s="2">
        <v>150703.9755</v>
      </c>
      <c r="P1296" s="2">
        <v>-48.024500000000003</v>
      </c>
      <c r="Q1296" s="2">
        <v>-48.024500000000003</v>
      </c>
      <c r="R1296" s="4">
        <v>-3.1866803681492077E-4</v>
      </c>
      <c r="T1296">
        <v>314773</v>
      </c>
      <c r="U1296" s="2"/>
      <c r="V1296">
        <v>6116</v>
      </c>
      <c r="W1296" s="2">
        <v>6579000000</v>
      </c>
      <c r="X1296" s="6">
        <v>150703.97545999996</v>
      </c>
      <c r="Y1296" s="38">
        <v>10010</v>
      </c>
      <c r="Z1296" s="86">
        <f>+((DETALLE_GD_1[[#This Row],[VALOR X UN (GD)]]-DETALLE_GD_1[[#This Row],[VALOR PPTO]])/DETALLE_GD_1[[#This Row],[VALOR PPTO]])</f>
        <v>3.186677713090557E-4</v>
      </c>
      <c r="AA1296" s="2">
        <f>+DETALLE_GD_1[[#This Row],[VALOR PPTO]]*DETALLE_GD_1[[#This Row],[CANTIDAD RECIBIDA]]</f>
        <v>150703.9755</v>
      </c>
      <c r="AB1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6" s="3">
        <f>+DETALLE_GD_1[[#This Row],[CANTIDAD SOLICITADA]]-DETALLE_GD_1[[#This Row],[DEVOLUCIÓN]]</f>
        <v>1</v>
      </c>
      <c r="AD1296" s="38">
        <f>+_xlfn.XLOOKUP(DETALLE_GD_1[[#This Row],[CODIGO]],PRODUCTOS[CODIGO],PRODUCTOS[DESC CORTA],"",0)</f>
        <v>0</v>
      </c>
    </row>
    <row r="1297" spans="1:30" x14ac:dyDescent="0.25">
      <c r="A1297" s="1">
        <v>46149</v>
      </c>
      <c r="B1297" s="1">
        <v>46149</v>
      </c>
      <c r="C1297" s="81" t="s">
        <v>169</v>
      </c>
      <c r="D1297" s="38">
        <v>5</v>
      </c>
      <c r="E1297" s="81" t="s">
        <v>169</v>
      </c>
      <c r="F1297">
        <v>410045</v>
      </c>
      <c r="G1297" s="81" t="s">
        <v>110</v>
      </c>
      <c r="H1297" s="81" t="s">
        <v>31</v>
      </c>
      <c r="I1297" s="3">
        <v>232</v>
      </c>
      <c r="J1297" s="3"/>
      <c r="K1297" s="26">
        <v>232</v>
      </c>
      <c r="L1297" s="2">
        <v>335.9828</v>
      </c>
      <c r="M1297" s="2">
        <v>77948</v>
      </c>
      <c r="N1297" s="2">
        <v>77948</v>
      </c>
      <c r="O1297" s="2">
        <v>368.00139999999999</v>
      </c>
      <c r="P1297" s="2">
        <v>32.018599999999999</v>
      </c>
      <c r="Q1297" s="2">
        <v>7428.3158000000003</v>
      </c>
      <c r="R1297" s="4">
        <v>8.7006749899792554E-2</v>
      </c>
      <c r="T1297">
        <v>314773</v>
      </c>
      <c r="U1297" s="2"/>
      <c r="V1297">
        <v>6116</v>
      </c>
      <c r="W1297" s="2">
        <v>6579000000</v>
      </c>
      <c r="X1297" s="6">
        <v>85376.31575199998</v>
      </c>
      <c r="Y1297" s="38">
        <v>10010</v>
      </c>
      <c r="Z1297" s="86">
        <f>+((DETALLE_GD_1[[#This Row],[VALOR X UN (GD)]]-DETALLE_GD_1[[#This Row],[VALOR PPTO]])/DETALLE_GD_1[[#This Row],[VALOR PPTO]])</f>
        <v>-8.7006734213511128E-2</v>
      </c>
      <c r="AA1297" s="2">
        <f>+DETALLE_GD_1[[#This Row],[VALOR PPTO]]*DETALLE_GD_1[[#This Row],[CANTIDAD RECIBIDA]]</f>
        <v>85376.324800000002</v>
      </c>
      <c r="AB1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7" s="3">
        <f>+DETALLE_GD_1[[#This Row],[CANTIDAD SOLICITADA]]-DETALLE_GD_1[[#This Row],[DEVOLUCIÓN]]</f>
        <v>232</v>
      </c>
      <c r="AD1297" s="38" t="str">
        <f>+_xlfn.XLOOKUP(DETALLE_GD_1[[#This Row],[CODIGO]],PRODUCTOS[CODIGO],PRODUCTOS[DESC CORTA],"",0)</f>
        <v>CONECTOR DENTADO</v>
      </c>
    </row>
    <row r="1298" spans="1:30" x14ac:dyDescent="0.25">
      <c r="A1298" s="1">
        <v>46149</v>
      </c>
      <c r="B1298" s="1">
        <v>46149</v>
      </c>
      <c r="C1298" s="81" t="s">
        <v>169</v>
      </c>
      <c r="D1298" s="38">
        <v>5</v>
      </c>
      <c r="E1298" s="81" t="s">
        <v>169</v>
      </c>
      <c r="F1298" t="s">
        <v>386</v>
      </c>
      <c r="G1298" s="81" t="s">
        <v>83</v>
      </c>
      <c r="H1298" s="81" t="s">
        <v>36</v>
      </c>
      <c r="I1298" s="3">
        <v>2</v>
      </c>
      <c r="J1298" s="3"/>
      <c r="K1298" s="26">
        <v>2</v>
      </c>
      <c r="L1298" s="2">
        <v>36940</v>
      </c>
      <c r="M1298" s="2">
        <v>73880</v>
      </c>
      <c r="N1298" s="2">
        <v>73880</v>
      </c>
      <c r="O1298" s="2">
        <v>36939.818200000002</v>
      </c>
      <c r="P1298" s="2">
        <v>-0.18179999999999999</v>
      </c>
      <c r="Q1298" s="2">
        <v>-0.36359999999999998</v>
      </c>
      <c r="R1298" s="4">
        <v>-4.9220058181131147E-6</v>
      </c>
      <c r="T1298">
        <v>314773</v>
      </c>
      <c r="U1298" s="2"/>
      <c r="V1298">
        <v>6116</v>
      </c>
      <c r="W1298" s="2">
        <v>6579000000</v>
      </c>
      <c r="X1298" s="6">
        <v>73879.636363999962</v>
      </c>
      <c r="Y1298" s="38">
        <v>10010</v>
      </c>
      <c r="Z1298" s="86">
        <f>+((DETALLE_GD_1[[#This Row],[VALOR X UN (GD)]]-DETALLE_GD_1[[#This Row],[VALOR PPTO]])/DETALLE_GD_1[[#This Row],[VALOR PPTO]])</f>
        <v>4.92151853628979E-6</v>
      </c>
      <c r="AA1298" s="2">
        <f>+DETALLE_GD_1[[#This Row],[VALOR PPTO]]*DETALLE_GD_1[[#This Row],[CANTIDAD RECIBIDA]]</f>
        <v>73879.636400000003</v>
      </c>
      <c r="AB12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8" s="3">
        <f>+DETALLE_GD_1[[#This Row],[CANTIDAD SOLICITADA]]-DETALLE_GD_1[[#This Row],[DEVOLUCIÓN]]</f>
        <v>2</v>
      </c>
      <c r="AD1298" s="38" t="str">
        <f>+_xlfn.XLOOKUP(DETALLE_GD_1[[#This Row],[CODIGO]],PRODUCTOS[CODIGO],PRODUCTOS[DESC CORTA],"",0)</f>
        <v>CLAVO R20</v>
      </c>
    </row>
    <row r="1299" spans="1:30" x14ac:dyDescent="0.25">
      <c r="A1299" s="1">
        <v>46149</v>
      </c>
      <c r="B1299" s="1">
        <v>46149</v>
      </c>
      <c r="C1299" s="81" t="s">
        <v>169</v>
      </c>
      <c r="D1299" s="38">
        <v>5</v>
      </c>
      <c r="E1299" s="81" t="s">
        <v>169</v>
      </c>
      <c r="F1299">
        <v>701043</v>
      </c>
      <c r="G1299" s="81" t="s">
        <v>197</v>
      </c>
      <c r="H1299" s="81" t="s">
        <v>18</v>
      </c>
      <c r="I1299" s="3">
        <v>80</v>
      </c>
      <c r="J1299" s="3"/>
      <c r="K1299" s="26">
        <v>80</v>
      </c>
      <c r="L1299" s="2">
        <v>22739.125</v>
      </c>
      <c r="M1299" s="2">
        <v>1819130</v>
      </c>
      <c r="N1299" s="2">
        <v>1819130</v>
      </c>
      <c r="O1299" s="2">
        <v>22146.362799999999</v>
      </c>
      <c r="P1299" s="2">
        <v>-592.76220000000001</v>
      </c>
      <c r="Q1299" s="2">
        <v>-47420.978199999998</v>
      </c>
      <c r="R1299" s="4">
        <v>-2.6765669564007971E-2</v>
      </c>
      <c r="T1299">
        <v>314773</v>
      </c>
      <c r="U1299" s="2"/>
      <c r="V1299">
        <v>6116</v>
      </c>
      <c r="W1299" s="2">
        <v>6579000000</v>
      </c>
      <c r="X1299" s="6">
        <v>1771709.0217599999</v>
      </c>
      <c r="Y1299" s="38">
        <v>10010</v>
      </c>
      <c r="Z1299" s="86">
        <f>+((DETALLE_GD_1[[#This Row],[VALOR X UN (GD)]]-DETALLE_GD_1[[#This Row],[VALOR PPTO]])/DETALLE_GD_1[[#This Row],[VALOR PPTO]])</f>
        <v>2.6765668265851812E-2</v>
      </c>
      <c r="AA1299" s="2">
        <f>+DETALLE_GD_1[[#This Row],[VALOR PPTO]]*DETALLE_GD_1[[#This Row],[CANTIDAD RECIBIDA]]</f>
        <v>1771709.024</v>
      </c>
      <c r="AB12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9" s="3">
        <f>+DETALLE_GD_1[[#This Row],[CANTIDAD SOLICITADA]]-DETALLE_GD_1[[#This Row],[DEVOLUCIÓN]]</f>
        <v>80</v>
      </c>
      <c r="AD1299" s="38" t="str">
        <f>+_xlfn.XLOOKUP(DETALLE_GD_1[[#This Row],[CODIGO]],PRODUCTOS[CODIGO],PRODUCTOS[DESC CORTA],"",0)</f>
        <v>VOLCANITA EMPAPELADA CIELO</v>
      </c>
    </row>
    <row r="1300" spans="1:30" x14ac:dyDescent="0.25">
      <c r="A1300" s="1">
        <v>46149</v>
      </c>
      <c r="B1300" s="1">
        <v>46149</v>
      </c>
      <c r="C1300" s="81" t="s">
        <v>169</v>
      </c>
      <c r="D1300" s="38">
        <v>5</v>
      </c>
      <c r="E1300" s="81" t="s">
        <v>169</v>
      </c>
      <c r="F1300">
        <v>304101</v>
      </c>
      <c r="G1300" s="81" t="s">
        <v>17</v>
      </c>
      <c r="H1300" s="81" t="s">
        <v>18</v>
      </c>
      <c r="I1300" s="3">
        <v>168</v>
      </c>
      <c r="J1300" s="3"/>
      <c r="K1300" s="26">
        <v>168</v>
      </c>
      <c r="L1300" s="2">
        <v>9620.9940000000006</v>
      </c>
      <c r="M1300" s="2">
        <v>1616327</v>
      </c>
      <c r="N1300" s="2">
        <v>1616327</v>
      </c>
      <c r="O1300" s="2">
        <v>9657.5879999999997</v>
      </c>
      <c r="P1300" s="2">
        <v>36.593899999999998</v>
      </c>
      <c r="Q1300" s="2">
        <v>6147.7755999999999</v>
      </c>
      <c r="R1300" s="4">
        <v>3.7891347788302481E-3</v>
      </c>
      <c r="T1300">
        <v>314773</v>
      </c>
      <c r="U1300" s="2"/>
      <c r="V1300">
        <v>6116</v>
      </c>
      <c r="W1300" s="2">
        <v>6579000000</v>
      </c>
      <c r="X1300" s="6">
        <v>1622474.7756000008</v>
      </c>
      <c r="Y1300" s="38">
        <v>10010</v>
      </c>
      <c r="Z1300" s="86">
        <f>+((DETALLE_GD_1[[#This Row],[VALOR X UN (GD)]]-DETALLE_GD_1[[#This Row],[VALOR PPTO]])/DETALLE_GD_1[[#This Row],[VALOR PPTO]])</f>
        <v>-3.7891448672276291E-3</v>
      </c>
      <c r="AA1300" s="2">
        <f>+DETALLE_GD_1[[#This Row],[VALOR PPTO]]*DETALLE_GD_1[[#This Row],[CANTIDAD RECIBIDA]]</f>
        <v>1622474.784</v>
      </c>
      <c r="AB1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00" s="3">
        <f>+DETALLE_GD_1[[#This Row],[CANTIDAD SOLICITADA]]-DETALLE_GD_1[[#This Row],[DEVOLUCIÓN]]</f>
        <v>168</v>
      </c>
      <c r="AD1300" s="38" t="str">
        <f>+_xlfn.XLOOKUP(DETALLE_GD_1[[#This Row],[CODIGO]],PRODUCTOS[CODIGO],PRODUCTOS[DESC CORTA],"",0)</f>
        <v>OSB 9.5</v>
      </c>
    </row>
    <row r="1301" spans="1:30" x14ac:dyDescent="0.25">
      <c r="A1301" s="1">
        <v>46149</v>
      </c>
      <c r="B1301" s="1">
        <v>46149</v>
      </c>
      <c r="C1301" s="81" t="s">
        <v>169</v>
      </c>
      <c r="D1301" s="38">
        <v>5</v>
      </c>
      <c r="E1301" s="81" t="s">
        <v>169</v>
      </c>
      <c r="F1301">
        <v>412281</v>
      </c>
      <c r="G1301" s="81" t="s">
        <v>326</v>
      </c>
      <c r="H1301" s="81" t="s">
        <v>31</v>
      </c>
      <c r="I1301" s="3">
        <v>10</v>
      </c>
      <c r="J1301" s="3"/>
      <c r="K1301" s="26">
        <v>10</v>
      </c>
      <c r="L1301" s="2">
        <v>8951.4</v>
      </c>
      <c r="M1301" s="2">
        <v>89514</v>
      </c>
      <c r="N1301" s="2">
        <v>89514</v>
      </c>
      <c r="O1301" s="2">
        <v>0</v>
      </c>
      <c r="P1301" s="2">
        <v>-8951.4</v>
      </c>
      <c r="Q1301" s="2">
        <v>-89514</v>
      </c>
      <c r="R1301" s="4"/>
      <c r="T1301">
        <v>314773</v>
      </c>
      <c r="U1301" s="2"/>
      <c r="V1301">
        <v>6116</v>
      </c>
      <c r="W1301" s="2">
        <v>6579000000</v>
      </c>
      <c r="X1301" s="6">
        <v>0</v>
      </c>
      <c r="Y1301" s="38">
        <v>10010</v>
      </c>
      <c r="Z1301" s="86" t="e">
        <f>+((DETALLE_GD_1[[#This Row],[VALOR X UN (GD)]]-DETALLE_GD_1[[#This Row],[VALOR PPTO]])/DETALLE_GD_1[[#This Row],[VALOR PPTO]])</f>
        <v>#DIV/0!</v>
      </c>
      <c r="AA1301" s="2">
        <f>+DETALLE_GD_1[[#This Row],[VALOR PPTO]]*DETALLE_GD_1[[#This Row],[CANTIDAD RECIBIDA]]</f>
        <v>0</v>
      </c>
      <c r="AB1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1" s="3">
        <f>+DETALLE_GD_1[[#This Row],[CANTIDAD SOLICITADA]]-DETALLE_GD_1[[#This Row],[DEVOLUCIÓN]]</f>
        <v>10</v>
      </c>
      <c r="AD1301" s="38" t="str">
        <f>+_xlfn.XLOOKUP(DETALLE_GD_1[[#This Row],[CODIGO]],PRODUCTOS[CODIGO],PRODUCTOS[DESC CORTA],"",0)</f>
        <v>HOLDOWN TENSIONADOR</v>
      </c>
    </row>
    <row r="1302" spans="1:30" x14ac:dyDescent="0.25">
      <c r="A1302" s="1">
        <v>46149</v>
      </c>
      <c r="B1302" s="1">
        <v>46149</v>
      </c>
      <c r="C1302" s="81" t="s">
        <v>169</v>
      </c>
      <c r="D1302" s="38">
        <v>5</v>
      </c>
      <c r="E1302" s="81" t="s">
        <v>169</v>
      </c>
      <c r="F1302">
        <v>412280</v>
      </c>
      <c r="G1302" s="81" t="s">
        <v>40</v>
      </c>
      <c r="H1302" s="81" t="s">
        <v>31</v>
      </c>
      <c r="I1302" s="3">
        <v>100</v>
      </c>
      <c r="J1302" s="3"/>
      <c r="K1302" s="26">
        <v>100</v>
      </c>
      <c r="L1302" s="2">
        <v>39389.86</v>
      </c>
      <c r="M1302" s="2">
        <v>3938986</v>
      </c>
      <c r="N1302" s="2">
        <v>3938986</v>
      </c>
      <c r="O1302" s="2">
        <v>40002.920100000003</v>
      </c>
      <c r="P1302" s="2">
        <v>613.06010000000003</v>
      </c>
      <c r="Q1302" s="2">
        <v>61306.009299999998</v>
      </c>
      <c r="R1302" s="4">
        <v>1.532538353637033E-2</v>
      </c>
      <c r="T1302">
        <v>314773</v>
      </c>
      <c r="U1302" s="2"/>
      <c r="V1302">
        <v>6116</v>
      </c>
      <c r="W1302" s="2">
        <v>6579000000</v>
      </c>
      <c r="X1302" s="6">
        <v>4000292.0093</v>
      </c>
      <c r="Y1302" s="38">
        <v>10010</v>
      </c>
      <c r="Z1302" s="86">
        <f>+((DETALLE_GD_1[[#This Row],[VALOR X UN (GD)]]-DETALLE_GD_1[[#This Row],[VALOR PPTO]])/DETALLE_GD_1[[#This Row],[VALOR PPTO]])</f>
        <v>-1.5325383708675866E-2</v>
      </c>
      <c r="AA1302" s="2">
        <f>+DETALLE_GD_1[[#This Row],[VALOR PPTO]]*DETALLE_GD_1[[#This Row],[CANTIDAD RECIBIDA]]</f>
        <v>4000292.0100000002</v>
      </c>
      <c r="AB13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02" s="3">
        <f>+DETALLE_GD_1[[#This Row],[CANTIDAD SOLICITADA]]-DETALLE_GD_1[[#This Row],[DEVOLUCIÓN]]</f>
        <v>100</v>
      </c>
      <c r="AD1302" s="38" t="str">
        <f>+_xlfn.XLOOKUP(DETALLE_GD_1[[#This Row],[CODIGO]],PRODUCTOS[CODIGO],PRODUCTOS[DESC CORTA],"",0)</f>
        <v>PB2</v>
      </c>
    </row>
    <row r="1303" spans="1:30" x14ac:dyDescent="0.25">
      <c r="A1303" s="1">
        <v>46149</v>
      </c>
      <c r="B1303" s="1">
        <v>46149</v>
      </c>
      <c r="C1303" s="81" t="s">
        <v>169</v>
      </c>
      <c r="D1303" s="38">
        <v>5</v>
      </c>
      <c r="E1303" s="81" t="s">
        <v>169</v>
      </c>
      <c r="F1303">
        <v>302048</v>
      </c>
      <c r="G1303" s="81" t="s">
        <v>126</v>
      </c>
      <c r="H1303" s="81" t="s">
        <v>20</v>
      </c>
      <c r="I1303" s="3">
        <v>216</v>
      </c>
      <c r="J1303" s="3"/>
      <c r="K1303" s="26">
        <v>216</v>
      </c>
      <c r="L1303" s="2">
        <v>12921.9213</v>
      </c>
      <c r="M1303" s="2">
        <v>2791135</v>
      </c>
      <c r="N1303" s="2">
        <v>2791135</v>
      </c>
      <c r="O1303" s="2">
        <v>13710.695</v>
      </c>
      <c r="P1303" s="2">
        <v>788.77369999999996</v>
      </c>
      <c r="Q1303" s="2">
        <v>170375.1116</v>
      </c>
      <c r="R1303" s="4">
        <v>5.7529809170677799E-2</v>
      </c>
      <c r="T1303">
        <v>314773</v>
      </c>
      <c r="U1303" s="2"/>
      <c r="V1303">
        <v>6116</v>
      </c>
      <c r="W1303" s="2">
        <v>6579000000</v>
      </c>
      <c r="X1303" s="6">
        <v>2961510.1115760002</v>
      </c>
      <c r="Y1303" s="38">
        <v>10010</v>
      </c>
      <c r="Z1303" s="86">
        <f>+((DETALLE_GD_1[[#This Row],[VALOR X UN (GD)]]-DETALLE_GD_1[[#This Row],[VALOR PPTO]])/DETALLE_GD_1[[#This Row],[VALOR PPTO]])</f>
        <v>-5.7529811581396841E-2</v>
      </c>
      <c r="AA1303" s="2">
        <f>+DETALLE_GD_1[[#This Row],[VALOR PPTO]]*DETALLE_GD_1[[#This Row],[CANTIDAD RECIBIDA]]</f>
        <v>2961510.12</v>
      </c>
      <c r="AB13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03" s="3">
        <f>+DETALLE_GD_1[[#This Row],[CANTIDAD SOLICITADA]]-DETALLE_GD_1[[#This Row],[DEVOLUCIÓN]]</f>
        <v>216</v>
      </c>
      <c r="AD1303" s="38" t="str">
        <f>+_xlfn.XLOOKUP(DETALLE_GD_1[[#This Row],[CODIGO]],PRODUCTOS[CODIGO],PRODUCTOS[DESC CORTA],"",0)</f>
        <v>PINO 2X8X4</v>
      </c>
    </row>
    <row r="1304" spans="1:30" x14ac:dyDescent="0.25">
      <c r="A1304" s="1">
        <v>46149</v>
      </c>
      <c r="B1304" s="1">
        <v>46149</v>
      </c>
      <c r="C1304" s="81" t="s">
        <v>169</v>
      </c>
      <c r="D1304" s="38">
        <v>5</v>
      </c>
      <c r="E1304" s="81" t="s">
        <v>169</v>
      </c>
      <c r="F1304">
        <v>1902014</v>
      </c>
      <c r="G1304" s="81" t="s">
        <v>316</v>
      </c>
      <c r="H1304" s="81" t="s">
        <v>18</v>
      </c>
      <c r="I1304" s="3">
        <v>160</v>
      </c>
      <c r="J1304" s="3"/>
      <c r="K1304" s="26">
        <v>160</v>
      </c>
      <c r="L1304" s="2">
        <v>29778.875</v>
      </c>
      <c r="M1304" s="2">
        <v>4764620</v>
      </c>
      <c r="N1304" s="2">
        <v>4764620</v>
      </c>
      <c r="O1304" s="2">
        <v>29779</v>
      </c>
      <c r="P1304" s="2">
        <v>0.125</v>
      </c>
      <c r="Q1304" s="2">
        <v>20</v>
      </c>
      <c r="R1304" s="4">
        <v>4.1975889050551708E-6</v>
      </c>
      <c r="T1304">
        <v>314799</v>
      </c>
      <c r="U1304" s="2">
        <v>4764620</v>
      </c>
      <c r="V1304">
        <v>6116</v>
      </c>
      <c r="W1304" s="2">
        <v>6579000000</v>
      </c>
      <c r="X1304" s="6">
        <v>4764640.0000000009</v>
      </c>
      <c r="Y1304" s="38">
        <v>10010</v>
      </c>
      <c r="Z1304" s="86">
        <f>+((DETALLE_GD_1[[#This Row],[VALOR X UN (GD)]]-DETALLE_GD_1[[#This Row],[VALOR PPTO]])/DETALLE_GD_1[[#This Row],[VALOR PPTO]])</f>
        <v>-4.1975889049330066E-6</v>
      </c>
      <c r="AA1304" s="2">
        <f>+DETALLE_GD_1[[#This Row],[VALOR PPTO]]*DETALLE_GD_1[[#This Row],[CANTIDAD RECIBIDA]]</f>
        <v>4764640</v>
      </c>
      <c r="AB13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04" s="3">
        <f>+DETALLE_GD_1[[#This Row],[CANTIDAD SOLICITADA]]-DETALLE_GD_1[[#This Row],[DEVOLUCIÓN]]</f>
        <v>160</v>
      </c>
      <c r="AD1304" s="38" t="str">
        <f>+_xlfn.XLOOKUP(DETALLE_GD_1[[#This Row],[CODIGO]],PRODUCTOS[CODIGO],PRODUCTOS[DESC CORTA],"",0)</f>
        <v>VOLCOGLASS</v>
      </c>
    </row>
    <row r="1305" spans="1:30" x14ac:dyDescent="0.25">
      <c r="A1305" s="1">
        <v>46121</v>
      </c>
      <c r="B1305" s="1">
        <v>46121</v>
      </c>
      <c r="C1305" s="81" t="s">
        <v>169</v>
      </c>
      <c r="D1305" s="38">
        <v>4</v>
      </c>
      <c r="E1305" s="81" t="s">
        <v>169</v>
      </c>
      <c r="F1305">
        <v>1207210</v>
      </c>
      <c r="G1305" s="81" t="s">
        <v>784</v>
      </c>
      <c r="H1305" s="81" t="s">
        <v>785</v>
      </c>
      <c r="I1305" s="3">
        <v>44</v>
      </c>
      <c r="J1305" s="3"/>
      <c r="K1305" s="26">
        <v>44.29</v>
      </c>
      <c r="L1305" s="2">
        <v>57000</v>
      </c>
      <c r="M1305" s="2">
        <v>2524530</v>
      </c>
      <c r="N1305" s="2">
        <v>2524530</v>
      </c>
      <c r="O1305" s="2"/>
      <c r="P1305" s="2"/>
      <c r="Q1305" s="2">
        <v>-2524530</v>
      </c>
      <c r="R1305" s="4"/>
      <c r="T1305">
        <v>31491</v>
      </c>
      <c r="U1305" s="2">
        <v>2524530</v>
      </c>
      <c r="V1305">
        <v>5861</v>
      </c>
      <c r="W1305" s="2">
        <v>6579000000</v>
      </c>
      <c r="X1305" s="6" t="s">
        <v>355</v>
      </c>
      <c r="Y1305" s="38">
        <v>10010</v>
      </c>
      <c r="Z1305" s="86" t="e">
        <f>+((DETALLE_GD_1[[#This Row],[VALOR X UN (GD)]]-DETALLE_GD_1[[#This Row],[VALOR PPTO]])/DETALLE_GD_1[[#This Row],[VALOR PPTO]])</f>
        <v>#DIV/0!</v>
      </c>
      <c r="AA1305" s="2">
        <f>+DETALLE_GD_1[[#This Row],[VALOR PPTO]]*DETALLE_GD_1[[#This Row],[CANTIDAD RECIBIDA]]</f>
        <v>0</v>
      </c>
      <c r="AB1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5" s="3">
        <f>+DETALLE_GD_1[[#This Row],[CANTIDAD SOLICITADA]]-DETALLE_GD_1[[#This Row],[DEVOLUCIÓN]]</f>
        <v>44</v>
      </c>
      <c r="AD1305" s="38" t="str">
        <f>+_xlfn.XLOOKUP(DETALLE_GD_1[[#This Row],[CODIGO]],PRODUCTOS[CODIGO],PRODUCTOS[DESC CORTA],"",0)</f>
        <v/>
      </c>
    </row>
    <row r="1306" spans="1:30" x14ac:dyDescent="0.25">
      <c r="A1306" s="1">
        <v>46139</v>
      </c>
      <c r="B1306" s="1">
        <v>46139</v>
      </c>
      <c r="C1306" s="81" t="s">
        <v>169</v>
      </c>
      <c r="D1306" s="38">
        <v>4</v>
      </c>
      <c r="E1306" s="81" t="s">
        <v>169</v>
      </c>
      <c r="F1306">
        <v>1207210</v>
      </c>
      <c r="G1306" s="81" t="s">
        <v>786</v>
      </c>
      <c r="H1306" s="81" t="s">
        <v>785</v>
      </c>
      <c r="I1306" s="3">
        <v>42</v>
      </c>
      <c r="J1306" s="3"/>
      <c r="K1306" s="26">
        <v>41.63</v>
      </c>
      <c r="L1306" s="2">
        <v>60000</v>
      </c>
      <c r="M1306" s="2">
        <v>2497800</v>
      </c>
      <c r="N1306" s="2">
        <v>2497800</v>
      </c>
      <c r="O1306" s="2"/>
      <c r="P1306" s="2"/>
      <c r="Q1306" s="2">
        <v>-2497800</v>
      </c>
      <c r="R1306" s="4"/>
      <c r="T1306">
        <v>881</v>
      </c>
      <c r="U1306" s="2">
        <v>2497800</v>
      </c>
      <c r="V1306">
        <v>6051</v>
      </c>
      <c r="W1306" s="2">
        <v>6579000000</v>
      </c>
      <c r="X1306" s="6" t="s">
        <v>355</v>
      </c>
      <c r="Y1306" s="38">
        <v>10010</v>
      </c>
      <c r="Z1306" s="86" t="e">
        <f>+((DETALLE_GD_1[[#This Row],[VALOR X UN (GD)]]-DETALLE_GD_1[[#This Row],[VALOR PPTO]])/DETALLE_GD_1[[#This Row],[VALOR PPTO]])</f>
        <v>#DIV/0!</v>
      </c>
      <c r="AA1306" s="2">
        <f>+DETALLE_GD_1[[#This Row],[VALOR PPTO]]*DETALLE_GD_1[[#This Row],[CANTIDAD RECIBIDA]]</f>
        <v>0</v>
      </c>
      <c r="AB1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6" s="3">
        <f>+DETALLE_GD_1[[#This Row],[CANTIDAD SOLICITADA]]-DETALLE_GD_1[[#This Row],[DEVOLUCIÓN]]</f>
        <v>42</v>
      </c>
      <c r="AD1306" s="38" t="str">
        <f>+_xlfn.XLOOKUP(DETALLE_GD_1[[#This Row],[CODIGO]],PRODUCTOS[CODIGO],PRODUCTOS[DESC CORTA],"",0)</f>
        <v/>
      </c>
    </row>
    <row r="1307" spans="1:30" x14ac:dyDescent="0.25">
      <c r="A1307" s="1">
        <v>46150</v>
      </c>
      <c r="B1307" s="1">
        <v>46150</v>
      </c>
      <c r="C1307" s="81" t="s">
        <v>169</v>
      </c>
      <c r="D1307" s="38">
        <v>5</v>
      </c>
      <c r="E1307" s="81" t="s">
        <v>169</v>
      </c>
      <c r="F1307" t="s">
        <v>787</v>
      </c>
      <c r="G1307" s="81" t="s">
        <v>95</v>
      </c>
      <c r="H1307" s="81" t="s">
        <v>31</v>
      </c>
      <c r="I1307" s="3">
        <v>8</v>
      </c>
      <c r="J1307" s="3"/>
      <c r="K1307" s="26">
        <v>8</v>
      </c>
      <c r="L1307" s="2">
        <v>3021.25</v>
      </c>
      <c r="M1307" s="2">
        <v>24170</v>
      </c>
      <c r="N1307" s="2">
        <v>24170</v>
      </c>
      <c r="O1307" s="2">
        <v>3021.2829000000002</v>
      </c>
      <c r="P1307" s="2">
        <v>3.2899999999999999E-2</v>
      </c>
      <c r="Q1307" s="2">
        <v>0.26300000000000001</v>
      </c>
      <c r="R1307" s="4">
        <v>1.0879153467497972E-5</v>
      </c>
      <c r="T1307">
        <v>314846</v>
      </c>
      <c r="U1307" s="2">
        <v>69697</v>
      </c>
      <c r="V1307">
        <v>6116</v>
      </c>
      <c r="W1307" s="2">
        <v>6579000000</v>
      </c>
      <c r="X1307" s="6">
        <v>24170.262952000005</v>
      </c>
      <c r="Y1307" s="38">
        <v>10010</v>
      </c>
      <c r="Z1307" s="86">
        <f>+((DETALLE_GD_1[[#This Row],[VALOR X UN (GD)]]-DETALLE_GD_1[[#This Row],[VALOR PPTO]])/DETALLE_GD_1[[#This Row],[VALOR PPTO]])</f>
        <v>-1.0889413897703603E-5</v>
      </c>
      <c r="AA1307" s="2">
        <f>+DETALLE_GD_1[[#This Row],[VALOR PPTO]]*DETALLE_GD_1[[#This Row],[CANTIDAD RECIBIDA]]</f>
        <v>24170.263200000001</v>
      </c>
      <c r="AB1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7" s="3">
        <f>+DETALLE_GD_1[[#This Row],[CANTIDAD SOLICITADA]]-DETALLE_GD_1[[#This Row],[DEVOLUCIÓN]]</f>
        <v>8</v>
      </c>
      <c r="AD1307" s="38" t="str">
        <f>+_xlfn.XLOOKUP(DETALLE_GD_1[[#This Row],[CODIGO]],PRODUCTOS[CODIGO],PRODUCTOS[DESC CORTA],"",0)</f>
        <v>TOPE DE PUERTA</v>
      </c>
    </row>
    <row r="1308" spans="1:30" x14ac:dyDescent="0.25">
      <c r="A1308" s="1">
        <v>46150</v>
      </c>
      <c r="B1308" s="1">
        <v>46150</v>
      </c>
      <c r="C1308" s="81" t="s">
        <v>169</v>
      </c>
      <c r="D1308" s="38">
        <v>5</v>
      </c>
      <c r="E1308" s="81" t="s">
        <v>169</v>
      </c>
      <c r="F1308">
        <v>1802659</v>
      </c>
      <c r="G1308" s="81" t="s">
        <v>161</v>
      </c>
      <c r="H1308" s="81" t="s">
        <v>31</v>
      </c>
      <c r="I1308" s="3">
        <v>8</v>
      </c>
      <c r="J1308" s="3"/>
      <c r="K1308" s="26">
        <v>8</v>
      </c>
      <c r="L1308" s="2">
        <v>2446.625</v>
      </c>
      <c r="M1308" s="2">
        <v>19573</v>
      </c>
      <c r="N1308" s="2">
        <v>19573</v>
      </c>
      <c r="O1308" s="2">
        <v>2929.4632000000001</v>
      </c>
      <c r="P1308" s="2">
        <v>482.83819999999997</v>
      </c>
      <c r="Q1308" s="2">
        <v>3862.7053000000001</v>
      </c>
      <c r="R1308" s="4">
        <v>0.16482137919414655</v>
      </c>
      <c r="T1308">
        <v>314846</v>
      </c>
      <c r="U1308" s="2"/>
      <c r="V1308">
        <v>6116</v>
      </c>
      <c r="W1308" s="2">
        <v>6579000000</v>
      </c>
      <c r="X1308" s="6">
        <v>23435.705264</v>
      </c>
      <c r="Y1308" s="38">
        <v>10010</v>
      </c>
      <c r="Z1308" s="86">
        <f>+((DETALLE_GD_1[[#This Row],[VALOR X UN (GD)]]-DETALLE_GD_1[[#This Row],[VALOR PPTO]])/DETALLE_GD_1[[#This Row],[VALOR PPTO]])</f>
        <v>-0.16482139116818403</v>
      </c>
      <c r="AA1308" s="2">
        <f>+DETALLE_GD_1[[#This Row],[VALOR PPTO]]*DETALLE_GD_1[[#This Row],[CANTIDAD RECIBIDA]]</f>
        <v>23435.705600000001</v>
      </c>
      <c r="AB1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8" s="3">
        <f>+DETALLE_GD_1[[#This Row],[CANTIDAD SOLICITADA]]-DETALLE_GD_1[[#This Row],[DEVOLUCIÓN]]</f>
        <v>8</v>
      </c>
      <c r="AD1308" s="38">
        <f>+_xlfn.XLOOKUP(DETALLE_GD_1[[#This Row],[CODIGO]],PRODUCTOS[CODIGO],PRODUCTOS[DESC CORTA],"",0)</f>
        <v>0</v>
      </c>
    </row>
    <row r="1309" spans="1:30" x14ac:dyDescent="0.25">
      <c r="A1309" s="1">
        <v>46150</v>
      </c>
      <c r="B1309" s="1">
        <v>46150</v>
      </c>
      <c r="C1309" s="81" t="s">
        <v>169</v>
      </c>
      <c r="D1309" s="38">
        <v>5</v>
      </c>
      <c r="E1309" s="81" t="s">
        <v>169</v>
      </c>
      <c r="F1309">
        <v>412016</v>
      </c>
      <c r="G1309" s="81" t="s">
        <v>722</v>
      </c>
      <c r="H1309" s="81" t="s">
        <v>31</v>
      </c>
      <c r="I1309" s="3">
        <v>4</v>
      </c>
      <c r="J1309" s="3"/>
      <c r="K1309" s="26">
        <v>4</v>
      </c>
      <c r="L1309" s="2">
        <v>4210.25</v>
      </c>
      <c r="M1309" s="2">
        <v>16841</v>
      </c>
      <c r="N1309" s="2">
        <v>16841</v>
      </c>
      <c r="O1309" s="2"/>
      <c r="P1309" s="2"/>
      <c r="Q1309" s="2">
        <v>-16841</v>
      </c>
      <c r="R1309" s="4"/>
      <c r="T1309">
        <v>314846</v>
      </c>
      <c r="U1309" s="2"/>
      <c r="V1309">
        <v>6116</v>
      </c>
      <c r="W1309" s="2">
        <v>6579000000</v>
      </c>
      <c r="X1309" s="6" t="s">
        <v>355</v>
      </c>
      <c r="Y1309" s="38">
        <v>10010</v>
      </c>
      <c r="Z1309" s="86" t="e">
        <f>+((DETALLE_GD_1[[#This Row],[VALOR X UN (GD)]]-DETALLE_GD_1[[#This Row],[VALOR PPTO]])/DETALLE_GD_1[[#This Row],[VALOR PPTO]])</f>
        <v>#DIV/0!</v>
      </c>
      <c r="AA1309" s="2">
        <f>+DETALLE_GD_1[[#This Row],[VALOR PPTO]]*DETALLE_GD_1[[#This Row],[CANTIDAD RECIBIDA]]</f>
        <v>0</v>
      </c>
      <c r="AB1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9" s="3">
        <f>+DETALLE_GD_1[[#This Row],[CANTIDAD SOLICITADA]]-DETALLE_GD_1[[#This Row],[DEVOLUCIÓN]]</f>
        <v>4</v>
      </c>
      <c r="AD1309" s="38" t="str">
        <f>+_xlfn.XLOOKUP(DETALLE_GD_1[[#This Row],[CODIGO]],PRODUCTOS[CODIGO],PRODUCTOS[DESC CORTA],"",0)</f>
        <v/>
      </c>
    </row>
    <row r="1310" spans="1:30" x14ac:dyDescent="0.25">
      <c r="A1310" s="1">
        <v>46150</v>
      </c>
      <c r="B1310" s="1">
        <v>46150</v>
      </c>
      <c r="C1310" s="81" t="s">
        <v>169</v>
      </c>
      <c r="D1310" s="38">
        <v>5</v>
      </c>
      <c r="E1310" s="81" t="s">
        <v>169</v>
      </c>
      <c r="F1310">
        <v>1610023</v>
      </c>
      <c r="G1310" s="81" t="s">
        <v>351</v>
      </c>
      <c r="H1310" s="81" t="s">
        <v>28</v>
      </c>
      <c r="I1310" s="3">
        <v>4</v>
      </c>
      <c r="J1310" s="3"/>
      <c r="K1310" s="26">
        <v>4</v>
      </c>
      <c r="L1310" s="2">
        <v>2278.25</v>
      </c>
      <c r="M1310" s="2">
        <v>9113</v>
      </c>
      <c r="N1310" s="2">
        <v>9113</v>
      </c>
      <c r="O1310" s="2">
        <v>2109.0585000000001</v>
      </c>
      <c r="P1310" s="2">
        <v>-169.19149999999999</v>
      </c>
      <c r="Q1310" s="2">
        <v>-676.76580000000001</v>
      </c>
      <c r="R1310" s="4">
        <v>-8.0221318958532614E-2</v>
      </c>
      <c r="T1310">
        <v>314846</v>
      </c>
      <c r="U1310" s="2"/>
      <c r="V1310">
        <v>6116</v>
      </c>
      <c r="W1310" s="2">
        <v>6579000000</v>
      </c>
      <c r="X1310" s="6">
        <v>8436.2341680000009</v>
      </c>
      <c r="Y1310" s="38">
        <v>10010</v>
      </c>
      <c r="Z1310" s="86">
        <f>+((DETALLE_GD_1[[#This Row],[VALOR X UN (GD)]]-DETALLE_GD_1[[#This Row],[VALOR PPTO]])/DETALLE_GD_1[[#This Row],[VALOR PPTO]])</f>
        <v>8.0221340470167088E-2</v>
      </c>
      <c r="AA1310" s="2">
        <f>+DETALLE_GD_1[[#This Row],[VALOR PPTO]]*DETALLE_GD_1[[#This Row],[CANTIDAD RECIBIDA]]</f>
        <v>8436.2340000000004</v>
      </c>
      <c r="AB1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10" s="3">
        <f>+DETALLE_GD_1[[#This Row],[CANTIDAD SOLICITADA]]-DETALLE_GD_1[[#This Row],[DEVOLUCIÓN]]</f>
        <v>4</v>
      </c>
      <c r="AD1310" s="38" t="str">
        <f>+_xlfn.XLOOKUP(DETALLE_GD_1[[#This Row],[CODIGO]],PRODUCTOS[CODIGO],PRODUCTOS[DESC CORTA],"",0)</f>
        <v>TRAPOS DE ASEO</v>
      </c>
    </row>
    <row r="1311" spans="1:30" x14ac:dyDescent="0.25">
      <c r="A1311" s="1">
        <v>46150</v>
      </c>
      <c r="B1311" s="1">
        <v>46150</v>
      </c>
      <c r="C1311" s="81" t="s">
        <v>169</v>
      </c>
      <c r="D1311" s="38">
        <v>5</v>
      </c>
      <c r="E1311" s="81" t="s">
        <v>169</v>
      </c>
      <c r="F1311">
        <v>1901008</v>
      </c>
      <c r="G1311" s="81" t="s">
        <v>278</v>
      </c>
      <c r="H1311" s="81" t="s">
        <v>26</v>
      </c>
      <c r="I1311" s="3">
        <v>270</v>
      </c>
      <c r="J1311" s="3"/>
      <c r="K1311" s="26">
        <v>270</v>
      </c>
      <c r="L1311" s="2">
        <v>2030.3851999999999</v>
      </c>
      <c r="M1311" s="2">
        <v>548204</v>
      </c>
      <c r="N1311" s="2">
        <v>548204</v>
      </c>
      <c r="O1311" s="2">
        <v>2112.7957999999999</v>
      </c>
      <c r="P1311" s="2">
        <v>82.410600000000002</v>
      </c>
      <c r="Q1311" s="2">
        <v>22250.8603</v>
      </c>
      <c r="R1311" s="4">
        <v>3.9005470681989077E-2</v>
      </c>
      <c r="T1311">
        <v>314834</v>
      </c>
      <c r="U1311" s="2">
        <v>548204</v>
      </c>
      <c r="V1311">
        <v>6116</v>
      </c>
      <c r="W1311" s="2">
        <v>6579000000</v>
      </c>
      <c r="X1311" s="6">
        <v>570454.86033000005</v>
      </c>
      <c r="Y1311" s="38">
        <v>10010</v>
      </c>
      <c r="Z1311" s="86">
        <f>+((DETALLE_GD_1[[#This Row],[VALOR X UN (GD)]]-DETALLE_GD_1[[#This Row],[VALOR PPTO]])/DETALLE_GD_1[[#This Row],[VALOR PPTO]])</f>
        <v>-3.9005473221785054E-2</v>
      </c>
      <c r="AA1311" s="2">
        <f>+DETALLE_GD_1[[#This Row],[VALOR PPTO]]*DETALLE_GD_1[[#This Row],[CANTIDAD RECIBIDA]]</f>
        <v>570454.86599999992</v>
      </c>
      <c r="AB13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1" s="3">
        <f>+DETALLE_GD_1[[#This Row],[CANTIDAD SOLICITADA]]-DETALLE_GD_1[[#This Row],[DEVOLUCIÓN]]</f>
        <v>270</v>
      </c>
      <c r="AD1311" s="38" t="str">
        <f>+_xlfn.XLOOKUP(DETALLE_GD_1[[#This Row],[CODIGO]],PRODUCTOS[CODIGO],PRODUCTOS[DESC CORTA],"",0)</f>
        <v>AISLAN GLASS 90MM</v>
      </c>
    </row>
    <row r="1312" spans="1:30" x14ac:dyDescent="0.25">
      <c r="A1312" s="1">
        <v>46150</v>
      </c>
      <c r="B1312" s="1">
        <v>46150</v>
      </c>
      <c r="C1312" s="81" t="s">
        <v>169</v>
      </c>
      <c r="D1312" s="38">
        <v>5</v>
      </c>
      <c r="E1312" s="81" t="s">
        <v>169</v>
      </c>
      <c r="F1312">
        <v>1801230</v>
      </c>
      <c r="G1312" s="81" t="s">
        <v>51</v>
      </c>
      <c r="H1312" s="81" t="s">
        <v>31</v>
      </c>
      <c r="I1312" s="3">
        <v>78</v>
      </c>
      <c r="J1312" s="3"/>
      <c r="K1312" s="26">
        <v>78</v>
      </c>
      <c r="L1312" s="2">
        <v>3554.4872</v>
      </c>
      <c r="M1312" s="2">
        <v>277250</v>
      </c>
      <c r="N1312" s="2">
        <v>277250</v>
      </c>
      <c r="O1312" s="2">
        <v>9309.8462</v>
      </c>
      <c r="P1312" s="2">
        <v>5755.3590000000004</v>
      </c>
      <c r="Q1312" s="2">
        <v>448918</v>
      </c>
      <c r="R1312" s="4">
        <v>0.61820129777762389</v>
      </c>
      <c r="T1312">
        <v>314800</v>
      </c>
      <c r="U1312" s="2">
        <v>277250</v>
      </c>
      <c r="V1312">
        <v>6116</v>
      </c>
      <c r="W1312" s="2">
        <v>6579000000</v>
      </c>
      <c r="X1312" s="6">
        <v>726168.00001200021</v>
      </c>
      <c r="Y1312" s="38">
        <v>10010</v>
      </c>
      <c r="Z1312" s="86">
        <f>+((DETALLE_GD_1[[#This Row],[VALOR X UN (GD)]]-DETALLE_GD_1[[#This Row],[VALOR PPTO]])/DETALLE_GD_1[[#This Row],[VALOR PPTO]])</f>
        <v>-0.61820129746074648</v>
      </c>
      <c r="AA1312" s="2">
        <f>+DETALLE_GD_1[[#This Row],[VALOR PPTO]]*DETALLE_GD_1[[#This Row],[CANTIDAD RECIBIDA]]</f>
        <v>726168.00359999994</v>
      </c>
      <c r="AB13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12" s="3">
        <f>+DETALLE_GD_1[[#This Row],[CANTIDAD SOLICITADA]]-DETALLE_GD_1[[#This Row],[DEVOLUCIÓN]]</f>
        <v>78</v>
      </c>
      <c r="AD1312" s="38" t="str">
        <f>+_xlfn.XLOOKUP(DETALLE_GD_1[[#This Row],[CODIGO]],PRODUCTOS[CODIGO],PRODUCTOS[DESC CORTA],"",0)</f>
        <v>SOPORTE TINA</v>
      </c>
    </row>
    <row r="1313" spans="1:30" x14ac:dyDescent="0.25">
      <c r="A1313" s="1">
        <v>46150</v>
      </c>
      <c r="B1313" s="1">
        <v>46150</v>
      </c>
      <c r="C1313" s="81" t="s">
        <v>169</v>
      </c>
      <c r="D1313" s="38">
        <v>5</v>
      </c>
      <c r="E1313" s="81" t="s">
        <v>169</v>
      </c>
      <c r="F1313">
        <v>2304003</v>
      </c>
      <c r="G1313" s="81" t="s">
        <v>132</v>
      </c>
      <c r="H1313" s="81" t="s">
        <v>31</v>
      </c>
      <c r="I1313" s="3">
        <v>12</v>
      </c>
      <c r="J1313" s="3"/>
      <c r="K1313" s="26">
        <v>12</v>
      </c>
      <c r="L1313" s="2">
        <v>1297.1667</v>
      </c>
      <c r="M1313" s="2">
        <v>15566</v>
      </c>
      <c r="N1313" s="2">
        <v>15566</v>
      </c>
      <c r="O1313" s="2">
        <v>1297.1352999999999</v>
      </c>
      <c r="P1313" s="2">
        <v>-3.1399999999999997E-2</v>
      </c>
      <c r="Q1313" s="2">
        <v>-0.37690000000000001</v>
      </c>
      <c r="R1313" s="4">
        <v>-2.4210787869808846E-5</v>
      </c>
      <c r="T1313">
        <v>314922</v>
      </c>
      <c r="U1313" s="2">
        <v>6976655</v>
      </c>
      <c r="V1313">
        <v>6116</v>
      </c>
      <c r="W1313" s="2">
        <v>6579000000</v>
      </c>
      <c r="X1313" s="6">
        <v>15565.623143999999</v>
      </c>
      <c r="Y1313" s="38">
        <v>10010</v>
      </c>
      <c r="Z1313" s="86">
        <f>+((DETALLE_GD_1[[#This Row],[VALOR X UN (GD)]]-DETALLE_GD_1[[#This Row],[VALOR PPTO]])/DETALLE_GD_1[[#This Row],[VALOR PPTO]])</f>
        <v>2.4207189489081083E-5</v>
      </c>
      <c r="AA1313" s="2">
        <f>+DETALLE_GD_1[[#This Row],[VALOR PPTO]]*DETALLE_GD_1[[#This Row],[CANTIDAD RECIBIDA]]</f>
        <v>15565.623599999999</v>
      </c>
      <c r="AB1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13" s="3">
        <f>+DETALLE_GD_1[[#This Row],[CANTIDAD SOLICITADA]]-DETALLE_GD_1[[#This Row],[DEVOLUCIÓN]]</f>
        <v>12</v>
      </c>
      <c r="AD1313" s="38" t="str">
        <f>+_xlfn.XLOOKUP(DETALLE_GD_1[[#This Row],[CODIGO]],PRODUCTOS[CODIGO],PRODUCTOS[DESC CORTA],"",0)</f>
        <v>SELLO FUNGICIDA</v>
      </c>
    </row>
    <row r="1314" spans="1:30" x14ac:dyDescent="0.25">
      <c r="A1314" s="1">
        <v>46150</v>
      </c>
      <c r="B1314" s="1">
        <v>46150</v>
      </c>
      <c r="C1314" s="81" t="s">
        <v>169</v>
      </c>
      <c r="D1314" s="38">
        <v>5</v>
      </c>
      <c r="E1314" s="81" t="s">
        <v>169</v>
      </c>
      <c r="F1314">
        <v>701096</v>
      </c>
      <c r="G1314" s="81" t="s">
        <v>204</v>
      </c>
      <c r="H1314" s="81" t="s">
        <v>18</v>
      </c>
      <c r="I1314" s="3">
        <v>140</v>
      </c>
      <c r="J1314" s="3"/>
      <c r="K1314" s="26">
        <v>140</v>
      </c>
      <c r="L1314" s="2">
        <v>16352.821400000001</v>
      </c>
      <c r="M1314" s="2">
        <v>2289395</v>
      </c>
      <c r="N1314" s="2">
        <v>2289395</v>
      </c>
      <c r="O1314" s="2">
        <v>16019.885700000001</v>
      </c>
      <c r="P1314" s="2">
        <v>-332.9357</v>
      </c>
      <c r="Q1314" s="2">
        <v>-46611.004099999998</v>
      </c>
      <c r="R1314" s="4">
        <v>-2.0782654141107023E-2</v>
      </c>
      <c r="T1314">
        <v>314922</v>
      </c>
      <c r="U1314" s="2"/>
      <c r="V1314">
        <v>6116</v>
      </c>
      <c r="W1314" s="2">
        <v>6579000000</v>
      </c>
      <c r="X1314" s="6">
        <v>2242783.9959000004</v>
      </c>
      <c r="Y1314" s="38">
        <v>10010</v>
      </c>
      <c r="Z1314" s="86">
        <f>+((DETALLE_GD_1[[#This Row],[VALOR X UN (GD)]]-DETALLE_GD_1[[#This Row],[VALOR PPTO]])/DETALLE_GD_1[[#This Row],[VALOR PPTO]])</f>
        <v>2.0782651401813682E-2</v>
      </c>
      <c r="AA1314" s="2">
        <f>+DETALLE_GD_1[[#This Row],[VALOR PPTO]]*DETALLE_GD_1[[#This Row],[CANTIDAD RECIBIDA]]</f>
        <v>2242783.9980000001</v>
      </c>
      <c r="AB13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4" s="3">
        <f>+DETALLE_GD_1[[#This Row],[CANTIDAD SOLICITADA]]-DETALLE_GD_1[[#This Row],[DEVOLUCIÓN]]</f>
        <v>140</v>
      </c>
      <c r="AD1314" s="38" t="str">
        <f>+_xlfn.XLOOKUP(DETALLE_GD_1[[#This Row],[CODIGO]],PRODUCTOS[CODIGO],PRODUCTOS[DESC CORTA],"",0)</f>
        <v>VOCANITA EMPAPELADA MURO</v>
      </c>
    </row>
    <row r="1315" spans="1:30" x14ac:dyDescent="0.25">
      <c r="A1315" s="1">
        <v>46150</v>
      </c>
      <c r="B1315" s="1">
        <v>46150</v>
      </c>
      <c r="C1315" s="81" t="s">
        <v>169</v>
      </c>
      <c r="D1315" s="38">
        <v>5</v>
      </c>
      <c r="E1315" s="81" t="s">
        <v>169</v>
      </c>
      <c r="F1315">
        <v>701040</v>
      </c>
      <c r="G1315" s="81" t="s">
        <v>19</v>
      </c>
      <c r="H1315" s="81" t="s">
        <v>18</v>
      </c>
      <c r="I1315" s="3">
        <v>80</v>
      </c>
      <c r="J1315" s="3"/>
      <c r="K1315" s="26">
        <v>80</v>
      </c>
      <c r="L1315" s="2">
        <v>7885.8125</v>
      </c>
      <c r="M1315" s="2">
        <v>630865</v>
      </c>
      <c r="N1315" s="2">
        <v>630865</v>
      </c>
      <c r="O1315" s="2">
        <v>7835.7259999999997</v>
      </c>
      <c r="P1315" s="2">
        <v>-50.086500000000001</v>
      </c>
      <c r="Q1315" s="2">
        <v>-4006.9236999999998</v>
      </c>
      <c r="R1315" s="4">
        <v>-6.3920747476414724E-3</v>
      </c>
      <c r="T1315">
        <v>314922</v>
      </c>
      <c r="U1315" s="2"/>
      <c r="V1315">
        <v>6116</v>
      </c>
      <c r="W1315" s="2">
        <v>6579000000</v>
      </c>
      <c r="X1315" s="6">
        <v>626858.07631999976</v>
      </c>
      <c r="Y1315" s="38">
        <v>10010</v>
      </c>
      <c r="Z1315" s="86">
        <f>+((DETALLE_GD_1[[#This Row],[VALOR X UN (GD)]]-DETALLE_GD_1[[#This Row],[VALOR PPTO]])/DETALLE_GD_1[[#This Row],[VALOR PPTO]])</f>
        <v>6.392068839568962E-3</v>
      </c>
      <c r="AA1315" s="2">
        <f>+DETALLE_GD_1[[#This Row],[VALOR PPTO]]*DETALLE_GD_1[[#This Row],[CANTIDAD RECIBIDA]]</f>
        <v>626858.07999999996</v>
      </c>
      <c r="AB1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15" s="3">
        <f>+DETALLE_GD_1[[#This Row],[CANTIDAD SOLICITADA]]-DETALLE_GD_1[[#This Row],[DEVOLUCIÓN]]</f>
        <v>80</v>
      </c>
      <c r="AD1315" s="38" t="str">
        <f>+_xlfn.XLOOKUP(DETALLE_GD_1[[#This Row],[CODIGO]],PRODUCTOS[CODIGO],PRODUCTOS[DESC CORTA],"",0)</f>
        <v>VOLCANITA RF</v>
      </c>
    </row>
    <row r="1316" spans="1:30" x14ac:dyDescent="0.25">
      <c r="A1316" s="1">
        <v>46150</v>
      </c>
      <c r="B1316" s="1">
        <v>46150</v>
      </c>
      <c r="C1316" s="81" t="s">
        <v>169</v>
      </c>
      <c r="D1316" s="38">
        <v>5</v>
      </c>
      <c r="E1316" s="81" t="s">
        <v>169</v>
      </c>
      <c r="F1316">
        <v>304101</v>
      </c>
      <c r="G1316" s="81" t="s">
        <v>17</v>
      </c>
      <c r="H1316" s="81" t="s">
        <v>18</v>
      </c>
      <c r="I1316" s="3">
        <v>168</v>
      </c>
      <c r="J1316" s="3"/>
      <c r="K1316" s="26">
        <v>168</v>
      </c>
      <c r="L1316" s="2">
        <v>9620.9940000000006</v>
      </c>
      <c r="M1316" s="2">
        <v>1616327</v>
      </c>
      <c r="N1316" s="2">
        <v>1616327</v>
      </c>
      <c r="O1316" s="2">
        <v>9657.5879999999997</v>
      </c>
      <c r="P1316" s="2">
        <v>36.593899999999998</v>
      </c>
      <c r="Q1316" s="2">
        <v>6147.7755999999999</v>
      </c>
      <c r="R1316" s="4">
        <v>3.7891347788302481E-3</v>
      </c>
      <c r="T1316">
        <v>314922</v>
      </c>
      <c r="U1316" s="2"/>
      <c r="V1316">
        <v>6116</v>
      </c>
      <c r="W1316" s="2">
        <v>6579000000</v>
      </c>
      <c r="X1316" s="6">
        <v>1622474.7756000008</v>
      </c>
      <c r="Y1316" s="38">
        <v>10010</v>
      </c>
      <c r="Z1316" s="86">
        <f>+((DETALLE_GD_1[[#This Row],[VALOR X UN (GD)]]-DETALLE_GD_1[[#This Row],[VALOR PPTO]])/DETALLE_GD_1[[#This Row],[VALOR PPTO]])</f>
        <v>-3.7891448672276291E-3</v>
      </c>
      <c r="AA1316" s="2">
        <f>+DETALLE_GD_1[[#This Row],[VALOR PPTO]]*DETALLE_GD_1[[#This Row],[CANTIDAD RECIBIDA]]</f>
        <v>1622474.784</v>
      </c>
      <c r="AB13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6" s="3">
        <f>+DETALLE_GD_1[[#This Row],[CANTIDAD SOLICITADA]]-DETALLE_GD_1[[#This Row],[DEVOLUCIÓN]]</f>
        <v>168</v>
      </c>
      <c r="AD1316" s="38" t="str">
        <f>+_xlfn.XLOOKUP(DETALLE_GD_1[[#This Row],[CODIGO]],PRODUCTOS[CODIGO],PRODUCTOS[DESC CORTA],"",0)</f>
        <v>OSB 9.5</v>
      </c>
    </row>
    <row r="1317" spans="1:30" x14ac:dyDescent="0.25">
      <c r="A1317" s="1">
        <v>46150</v>
      </c>
      <c r="B1317" s="1">
        <v>46150</v>
      </c>
      <c r="C1317" s="81" t="s">
        <v>169</v>
      </c>
      <c r="D1317" s="38">
        <v>5</v>
      </c>
      <c r="E1317" s="81" t="s">
        <v>169</v>
      </c>
      <c r="F1317">
        <v>304007</v>
      </c>
      <c r="G1317" s="81" t="s">
        <v>80</v>
      </c>
      <c r="H1317" s="81" t="s">
        <v>18</v>
      </c>
      <c r="I1317" s="3">
        <v>144</v>
      </c>
      <c r="J1317" s="3"/>
      <c r="K1317" s="26">
        <v>144</v>
      </c>
      <c r="L1317" s="2">
        <v>11238.0764</v>
      </c>
      <c r="M1317" s="2">
        <v>1618283</v>
      </c>
      <c r="N1317" s="2">
        <v>1618283</v>
      </c>
      <c r="O1317" s="2">
        <v>11444.352999999999</v>
      </c>
      <c r="P1317" s="2">
        <v>206.2766</v>
      </c>
      <c r="Q1317" s="2">
        <v>29703.835200000001</v>
      </c>
      <c r="R1317" s="4">
        <v>1.8024315810126805E-2</v>
      </c>
      <c r="T1317">
        <v>314922</v>
      </c>
      <c r="U1317" s="2"/>
      <c r="V1317">
        <v>6116</v>
      </c>
      <c r="W1317" s="2">
        <v>6579000000</v>
      </c>
      <c r="X1317" s="6">
        <v>1647986.8351679994</v>
      </c>
      <c r="Y1317" s="38">
        <v>10010</v>
      </c>
      <c r="Z1317" s="86">
        <f>+((DETALLE_GD_1[[#This Row],[VALOR X UN (GD)]]-DETALLE_GD_1[[#This Row],[VALOR PPTO]])/DETALLE_GD_1[[#This Row],[VALOR PPTO]])</f>
        <v>-1.8024312951549052E-2</v>
      </c>
      <c r="AA1317" s="2">
        <f>+DETALLE_GD_1[[#This Row],[VALOR PPTO]]*DETALLE_GD_1[[#This Row],[CANTIDAD RECIBIDA]]</f>
        <v>1647986.8319999999</v>
      </c>
      <c r="AB1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7" s="3">
        <f>+DETALLE_GD_1[[#This Row],[CANTIDAD SOLICITADA]]-DETALLE_GD_1[[#This Row],[DEVOLUCIÓN]]</f>
        <v>144</v>
      </c>
      <c r="AD1317" s="38" t="str">
        <f>+_xlfn.XLOOKUP(DETALLE_GD_1[[#This Row],[CODIGO]],PRODUCTOS[CODIGO],PRODUCTOS[DESC CORTA],"",0)</f>
        <v>OSB 11MM</v>
      </c>
    </row>
    <row r="1318" spans="1:30" x14ac:dyDescent="0.25">
      <c r="A1318" s="1">
        <v>46150</v>
      </c>
      <c r="B1318" s="1">
        <v>46150</v>
      </c>
      <c r="C1318" s="81" t="s">
        <v>169</v>
      </c>
      <c r="D1318" s="38">
        <v>5</v>
      </c>
      <c r="E1318" s="81" t="s">
        <v>169</v>
      </c>
      <c r="F1318">
        <v>1901086</v>
      </c>
      <c r="G1318" s="81" t="s">
        <v>279</v>
      </c>
      <c r="H1318" s="81" t="s">
        <v>26</v>
      </c>
      <c r="I1318" s="3">
        <v>121</v>
      </c>
      <c r="J1318" s="3"/>
      <c r="K1318" s="26">
        <v>121</v>
      </c>
      <c r="L1318" s="2">
        <v>3611.6694000000002</v>
      </c>
      <c r="M1318" s="2">
        <v>437012</v>
      </c>
      <c r="N1318" s="2">
        <v>437012</v>
      </c>
      <c r="O1318" s="2">
        <v>3711.587</v>
      </c>
      <c r="P1318" s="2">
        <v>99.917599999999993</v>
      </c>
      <c r="Q1318" s="2">
        <v>12090.031999999999</v>
      </c>
      <c r="R1318" s="4">
        <v>2.6920457046718325E-2</v>
      </c>
      <c r="T1318">
        <v>314922</v>
      </c>
      <c r="U1318" s="2"/>
      <c r="V1318">
        <v>6116</v>
      </c>
      <c r="W1318" s="2">
        <v>6579000000</v>
      </c>
      <c r="X1318" s="6">
        <v>449102.031961</v>
      </c>
      <c r="Y1318" s="38">
        <v>10010</v>
      </c>
      <c r="Z1318" s="86">
        <f>+((DETALLE_GD_1[[#This Row],[VALOR X UN (GD)]]-DETALLE_GD_1[[#This Row],[VALOR PPTO]])/DETALLE_GD_1[[#This Row],[VALOR PPTO]])</f>
        <v>-2.6920452086937413E-2</v>
      </c>
      <c r="AA1318" s="2">
        <f>+DETALLE_GD_1[[#This Row],[VALOR PPTO]]*DETALLE_GD_1[[#This Row],[CANTIDAD RECIBIDA]]</f>
        <v>449102.027</v>
      </c>
      <c r="AB1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8" s="3">
        <f>+DETALLE_GD_1[[#This Row],[CANTIDAD SOLICITADA]]-DETALLE_GD_1[[#This Row],[DEVOLUCIÓN]]</f>
        <v>121</v>
      </c>
      <c r="AD1318" s="38" t="str">
        <f>+_xlfn.XLOOKUP(DETALLE_GD_1[[#This Row],[CODIGO]],PRODUCTOS[CODIGO],PRODUCTOS[DESC CORTA],"",0)</f>
        <v>AISLAN GLASS 140MM</v>
      </c>
    </row>
    <row r="1319" spans="1:30" x14ac:dyDescent="0.25">
      <c r="A1319" s="1">
        <v>46150</v>
      </c>
      <c r="B1319" s="1">
        <v>46150</v>
      </c>
      <c r="C1319" s="81" t="s">
        <v>169</v>
      </c>
      <c r="D1319" s="38">
        <v>5</v>
      </c>
      <c r="E1319" s="81" t="s">
        <v>169</v>
      </c>
      <c r="F1319">
        <v>1901008</v>
      </c>
      <c r="G1319" s="81" t="s">
        <v>278</v>
      </c>
      <c r="H1319" s="81" t="s">
        <v>26</v>
      </c>
      <c r="I1319" s="3">
        <v>135</v>
      </c>
      <c r="J1319" s="3"/>
      <c r="K1319" s="26">
        <v>135</v>
      </c>
      <c r="L1319" s="2">
        <v>2030.3851999999999</v>
      </c>
      <c r="M1319" s="2">
        <v>274102</v>
      </c>
      <c r="N1319" s="2">
        <v>274102</v>
      </c>
      <c r="O1319" s="2">
        <v>2112.7957999999999</v>
      </c>
      <c r="P1319" s="2">
        <v>82.410600000000002</v>
      </c>
      <c r="Q1319" s="2">
        <v>11125.430200000001</v>
      </c>
      <c r="R1319" s="4">
        <v>3.9005470681989077E-2</v>
      </c>
      <c r="T1319">
        <v>314922</v>
      </c>
      <c r="U1319" s="2"/>
      <c r="V1319">
        <v>6116</v>
      </c>
      <c r="W1319" s="2">
        <v>6579000000</v>
      </c>
      <c r="X1319" s="6">
        <v>285227.43016500003</v>
      </c>
      <c r="Y1319" s="38">
        <v>10010</v>
      </c>
      <c r="Z1319" s="86">
        <f>+((DETALLE_GD_1[[#This Row],[VALOR X UN (GD)]]-DETALLE_GD_1[[#This Row],[VALOR PPTO]])/DETALLE_GD_1[[#This Row],[VALOR PPTO]])</f>
        <v>-3.9005473221785054E-2</v>
      </c>
      <c r="AA1319" s="2">
        <f>+DETALLE_GD_1[[#This Row],[VALOR PPTO]]*DETALLE_GD_1[[#This Row],[CANTIDAD RECIBIDA]]</f>
        <v>285227.43299999996</v>
      </c>
      <c r="AB1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9" s="3">
        <f>+DETALLE_GD_1[[#This Row],[CANTIDAD SOLICITADA]]-DETALLE_GD_1[[#This Row],[DEVOLUCIÓN]]</f>
        <v>135</v>
      </c>
      <c r="AD1319" s="38" t="str">
        <f>+_xlfn.XLOOKUP(DETALLE_GD_1[[#This Row],[CODIGO]],PRODUCTOS[CODIGO],PRODUCTOS[DESC CORTA],"",0)</f>
        <v>AISLAN GLASS 90MM</v>
      </c>
    </row>
    <row r="1320" spans="1:30" x14ac:dyDescent="0.25">
      <c r="A1320" s="1">
        <v>46150</v>
      </c>
      <c r="B1320" s="1">
        <v>46150</v>
      </c>
      <c r="C1320" s="81" t="s">
        <v>169</v>
      </c>
      <c r="D1320" s="38">
        <v>5</v>
      </c>
      <c r="E1320" s="81" t="s">
        <v>169</v>
      </c>
      <c r="F1320">
        <v>704079</v>
      </c>
      <c r="G1320" s="81" t="s">
        <v>209</v>
      </c>
      <c r="H1320" s="81" t="s">
        <v>47</v>
      </c>
      <c r="I1320" s="3">
        <v>4</v>
      </c>
      <c r="J1320" s="3"/>
      <c r="K1320" s="26">
        <v>4</v>
      </c>
      <c r="L1320" s="2">
        <v>722.25</v>
      </c>
      <c r="M1320" s="2">
        <v>2889</v>
      </c>
      <c r="N1320" s="2">
        <v>2889</v>
      </c>
      <c r="O1320" s="2">
        <v>755.70489999999995</v>
      </c>
      <c r="P1320" s="2">
        <v>33.454900000000002</v>
      </c>
      <c r="Q1320" s="2">
        <v>133.81950000000001</v>
      </c>
      <c r="R1320" s="4">
        <v>4.4269770907739085E-2</v>
      </c>
      <c r="T1320">
        <v>314922</v>
      </c>
      <c r="U1320" s="2"/>
      <c r="V1320">
        <v>6116</v>
      </c>
      <c r="W1320" s="2">
        <v>6579000000</v>
      </c>
      <c r="X1320" s="6">
        <v>3022.819528</v>
      </c>
      <c r="Y1320" s="38">
        <v>10010</v>
      </c>
      <c r="Z1320" s="86">
        <f>+((DETALLE_GD_1[[#This Row],[VALOR X UN (GD)]]-DETALLE_GD_1[[#This Row],[VALOR PPTO]])/DETALLE_GD_1[[#This Row],[VALOR PPTO]])</f>
        <v>-4.4269793672106601E-2</v>
      </c>
      <c r="AA1320" s="2">
        <f>+DETALLE_GD_1[[#This Row],[VALOR PPTO]]*DETALLE_GD_1[[#This Row],[CANTIDAD RECIBIDA]]</f>
        <v>3022.8195999999998</v>
      </c>
      <c r="AB1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0" s="3">
        <f>+DETALLE_GD_1[[#This Row],[CANTIDAD SOLICITADA]]-DETALLE_GD_1[[#This Row],[DEVOLUCIÓN]]</f>
        <v>4</v>
      </c>
      <c r="AD1320" s="38">
        <f>+_xlfn.XLOOKUP(DETALLE_GD_1[[#This Row],[CODIGO]],PRODUCTOS[CODIGO],PRODUCTOS[DESC CORTA],"",0)</f>
        <v>0</v>
      </c>
    </row>
    <row r="1321" spans="1:30" x14ac:dyDescent="0.25">
      <c r="A1321" s="1">
        <v>46150</v>
      </c>
      <c r="B1321" s="1">
        <v>46150</v>
      </c>
      <c r="C1321" s="81" t="s">
        <v>169</v>
      </c>
      <c r="D1321" s="38">
        <v>5</v>
      </c>
      <c r="E1321" s="81" t="s">
        <v>169</v>
      </c>
      <c r="F1321">
        <v>707023</v>
      </c>
      <c r="G1321" s="81" t="s">
        <v>797</v>
      </c>
      <c r="H1321" s="81" t="s">
        <v>31</v>
      </c>
      <c r="I1321" s="3">
        <v>2</v>
      </c>
      <c r="J1321" s="3"/>
      <c r="K1321" s="26">
        <v>2</v>
      </c>
      <c r="L1321" s="2">
        <v>16734.5</v>
      </c>
      <c r="M1321" s="2">
        <v>33469</v>
      </c>
      <c r="N1321" s="2">
        <v>33469</v>
      </c>
      <c r="O1321" s="2"/>
      <c r="P1321" s="2"/>
      <c r="Q1321" s="2">
        <v>-33469</v>
      </c>
      <c r="R1321" s="4"/>
      <c r="T1321">
        <v>314922</v>
      </c>
      <c r="U1321" s="2"/>
      <c r="V1321">
        <v>6116</v>
      </c>
      <c r="W1321" s="2">
        <v>6579000000</v>
      </c>
      <c r="X1321" s="6" t="s">
        <v>355</v>
      </c>
      <c r="Y1321" s="38">
        <v>10010</v>
      </c>
      <c r="Z1321" s="86" t="e">
        <f>+((DETALLE_GD_1[[#This Row],[VALOR X UN (GD)]]-DETALLE_GD_1[[#This Row],[VALOR PPTO]])/DETALLE_GD_1[[#This Row],[VALOR PPTO]])</f>
        <v>#DIV/0!</v>
      </c>
      <c r="AA1321" s="2">
        <f>+DETALLE_GD_1[[#This Row],[VALOR PPTO]]*DETALLE_GD_1[[#This Row],[CANTIDAD RECIBIDA]]</f>
        <v>0</v>
      </c>
      <c r="AB1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1" s="3">
        <f>+DETALLE_GD_1[[#This Row],[CANTIDAD SOLICITADA]]-DETALLE_GD_1[[#This Row],[DEVOLUCIÓN]]</f>
        <v>2</v>
      </c>
      <c r="AD1321" s="38" t="str">
        <f>+_xlfn.XLOOKUP(DETALLE_GD_1[[#This Row],[CODIGO]],PRODUCTOS[CODIGO],PRODUCTOS[DESC CORTA],"",0)</f>
        <v/>
      </c>
    </row>
    <row r="1322" spans="1:30" x14ac:dyDescent="0.25">
      <c r="A1322" s="1">
        <v>46150</v>
      </c>
      <c r="B1322" s="1">
        <v>46150</v>
      </c>
      <c r="C1322" s="81" t="s">
        <v>169</v>
      </c>
      <c r="D1322" s="38">
        <v>5</v>
      </c>
      <c r="E1322" s="81" t="s">
        <v>169</v>
      </c>
      <c r="F1322">
        <v>608013</v>
      </c>
      <c r="G1322" s="81" t="s">
        <v>328</v>
      </c>
      <c r="H1322" s="81" t="s">
        <v>31</v>
      </c>
      <c r="I1322" s="3">
        <v>2</v>
      </c>
      <c r="J1322" s="3"/>
      <c r="K1322" s="26">
        <v>2</v>
      </c>
      <c r="L1322" s="2">
        <v>8471.5</v>
      </c>
      <c r="M1322" s="2">
        <v>16943</v>
      </c>
      <c r="N1322" s="2">
        <v>16943</v>
      </c>
      <c r="O1322" s="2">
        <v>8471</v>
      </c>
      <c r="P1322" s="2">
        <v>-0.5</v>
      </c>
      <c r="Q1322" s="2">
        <v>-1</v>
      </c>
      <c r="R1322" s="4">
        <v>-5.9024908511391805E-5</v>
      </c>
      <c r="T1322">
        <v>314922</v>
      </c>
      <c r="U1322" s="2"/>
      <c r="V1322">
        <v>6116</v>
      </c>
      <c r="W1322" s="2">
        <v>6579000000</v>
      </c>
      <c r="X1322" s="6">
        <v>16942</v>
      </c>
      <c r="Y1322" s="38">
        <v>10010</v>
      </c>
      <c r="Z1322" s="86">
        <f>+((DETALLE_GD_1[[#This Row],[VALOR X UN (GD)]]-DETALLE_GD_1[[#This Row],[VALOR PPTO]])/DETALLE_GD_1[[#This Row],[VALOR PPTO]])</f>
        <v>5.9024908511391805E-5</v>
      </c>
      <c r="AA1322" s="2">
        <f>+DETALLE_GD_1[[#This Row],[VALOR PPTO]]*DETALLE_GD_1[[#This Row],[CANTIDAD RECIBIDA]]</f>
        <v>16942</v>
      </c>
      <c r="AB1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2" s="3">
        <f>+DETALLE_GD_1[[#This Row],[CANTIDAD SOLICITADA]]-DETALLE_GD_1[[#This Row],[DEVOLUCIÓN]]</f>
        <v>2</v>
      </c>
      <c r="AD1322" s="38" t="str">
        <f>+_xlfn.XLOOKUP(DETALLE_GD_1[[#This Row],[CODIGO]],PRODUCTOS[CODIGO],PRODUCTOS[DESC CORTA],"",0)</f>
        <v>PASTA RETAPE</v>
      </c>
    </row>
    <row r="1323" spans="1:30" x14ac:dyDescent="0.25">
      <c r="A1323" s="1">
        <v>46150</v>
      </c>
      <c r="B1323" s="1">
        <v>46150</v>
      </c>
      <c r="C1323" s="81" t="s">
        <v>169</v>
      </c>
      <c r="D1323" s="38">
        <v>5</v>
      </c>
      <c r="E1323" s="81" t="s">
        <v>169</v>
      </c>
      <c r="F1323">
        <v>2304053</v>
      </c>
      <c r="G1323" s="81" t="s">
        <v>213</v>
      </c>
      <c r="H1323" s="81" t="s">
        <v>31</v>
      </c>
      <c r="I1323" s="3">
        <v>24</v>
      </c>
      <c r="J1323" s="3"/>
      <c r="K1323" s="26">
        <v>24</v>
      </c>
      <c r="L1323" s="2">
        <v>1021.9167</v>
      </c>
      <c r="M1323" s="2">
        <v>24526</v>
      </c>
      <c r="N1323" s="2">
        <v>24526</v>
      </c>
      <c r="O1323" s="2">
        <v>862</v>
      </c>
      <c r="P1323" s="2">
        <v>-159.91669999999999</v>
      </c>
      <c r="Q1323" s="2">
        <v>-3838</v>
      </c>
      <c r="R1323" s="4">
        <v>-0.18551817478731611</v>
      </c>
      <c r="T1323">
        <v>314922</v>
      </c>
      <c r="U1323" s="2"/>
      <c r="V1323">
        <v>6116</v>
      </c>
      <c r="W1323" s="2">
        <v>6579000000</v>
      </c>
      <c r="X1323" s="6">
        <v>20688.000000000004</v>
      </c>
      <c r="Y1323" s="38">
        <v>10010</v>
      </c>
      <c r="Z1323" s="86">
        <f>+((DETALLE_GD_1[[#This Row],[VALOR X UN (GD)]]-DETALLE_GD_1[[#This Row],[VALOR PPTO]])/DETALLE_GD_1[[#This Row],[VALOR PPTO]])</f>
        <v>0.18551821345707656</v>
      </c>
      <c r="AA1323" s="2">
        <f>+DETALLE_GD_1[[#This Row],[VALOR PPTO]]*DETALLE_GD_1[[#This Row],[CANTIDAD RECIBIDA]]</f>
        <v>20688</v>
      </c>
      <c r="AB1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3" s="3">
        <f>+DETALLE_GD_1[[#This Row],[CANTIDAD SOLICITADA]]-DETALLE_GD_1[[#This Row],[DEVOLUCIÓN]]</f>
        <v>24</v>
      </c>
      <c r="AD1323" s="38">
        <f>+_xlfn.XLOOKUP(DETALLE_GD_1[[#This Row],[CODIGO]],PRODUCTOS[CODIGO],PRODUCTOS[DESC CORTA],"",0)</f>
        <v>0</v>
      </c>
    </row>
    <row r="1324" spans="1:30" x14ac:dyDescent="0.25">
      <c r="A1324" s="1">
        <v>46150</v>
      </c>
      <c r="B1324" s="1">
        <v>46150</v>
      </c>
      <c r="C1324" s="81" t="s">
        <v>169</v>
      </c>
      <c r="D1324" s="38">
        <v>5</v>
      </c>
      <c r="E1324" s="81" t="s">
        <v>169</v>
      </c>
      <c r="F1324">
        <v>1610023</v>
      </c>
      <c r="G1324" s="81" t="s">
        <v>351</v>
      </c>
      <c r="H1324" s="81" t="s">
        <v>28</v>
      </c>
      <c r="I1324" s="3">
        <v>4</v>
      </c>
      <c r="J1324" s="3"/>
      <c r="K1324" s="26">
        <v>4</v>
      </c>
      <c r="L1324" s="2">
        <v>2278.25</v>
      </c>
      <c r="M1324" s="2">
        <v>9113</v>
      </c>
      <c r="N1324" s="2">
        <v>9113</v>
      </c>
      <c r="O1324" s="2">
        <v>2109.0585000000001</v>
      </c>
      <c r="P1324" s="2">
        <v>-169.19149999999999</v>
      </c>
      <c r="Q1324" s="2">
        <v>-676.76580000000001</v>
      </c>
      <c r="R1324" s="4">
        <v>-8.0221318958532614E-2</v>
      </c>
      <c r="T1324">
        <v>314922</v>
      </c>
      <c r="U1324" s="2"/>
      <c r="V1324">
        <v>6116</v>
      </c>
      <c r="W1324" s="2">
        <v>6579000000</v>
      </c>
      <c r="X1324" s="6">
        <v>8436.2341680000009</v>
      </c>
      <c r="Y1324" s="38">
        <v>10010</v>
      </c>
      <c r="Z1324" s="86">
        <f>+((DETALLE_GD_1[[#This Row],[VALOR X UN (GD)]]-DETALLE_GD_1[[#This Row],[VALOR PPTO]])/DETALLE_GD_1[[#This Row],[VALOR PPTO]])</f>
        <v>8.0221340470167088E-2</v>
      </c>
      <c r="AA1324" s="2">
        <f>+DETALLE_GD_1[[#This Row],[VALOR PPTO]]*DETALLE_GD_1[[#This Row],[CANTIDAD RECIBIDA]]</f>
        <v>8436.2340000000004</v>
      </c>
      <c r="AB1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4" s="3">
        <f>+DETALLE_GD_1[[#This Row],[CANTIDAD SOLICITADA]]-DETALLE_GD_1[[#This Row],[DEVOLUCIÓN]]</f>
        <v>4</v>
      </c>
      <c r="AD1324" s="38" t="str">
        <f>+_xlfn.XLOOKUP(DETALLE_GD_1[[#This Row],[CODIGO]],PRODUCTOS[CODIGO],PRODUCTOS[DESC CORTA],"",0)</f>
        <v>TRAPOS DE ASEO</v>
      </c>
    </row>
    <row r="1325" spans="1:30" x14ac:dyDescent="0.25">
      <c r="A1325" s="1">
        <v>46150</v>
      </c>
      <c r="B1325" s="1">
        <v>46150</v>
      </c>
      <c r="C1325" s="81" t="s">
        <v>169</v>
      </c>
      <c r="D1325" s="38">
        <v>5</v>
      </c>
      <c r="E1325" s="81" t="s">
        <v>169</v>
      </c>
      <c r="F1325">
        <v>609007</v>
      </c>
      <c r="G1325" s="81" t="s">
        <v>210</v>
      </c>
      <c r="H1325" s="81" t="s">
        <v>211</v>
      </c>
      <c r="I1325" s="3">
        <v>1</v>
      </c>
      <c r="J1325" s="3"/>
      <c r="K1325" s="26">
        <v>1</v>
      </c>
      <c r="L1325" s="2">
        <v>8165</v>
      </c>
      <c r="M1325" s="2">
        <v>8165</v>
      </c>
      <c r="N1325" s="2">
        <v>8165</v>
      </c>
      <c r="O1325" s="2">
        <v>8164.9821000000002</v>
      </c>
      <c r="P1325" s="2">
        <v>-1.7899999999999999E-2</v>
      </c>
      <c r="Q1325" s="2">
        <v>-1.7899999999999999E-2</v>
      </c>
      <c r="R1325" s="4">
        <v>-2.1870225417615723E-6</v>
      </c>
      <c r="T1325">
        <v>314922</v>
      </c>
      <c r="U1325" s="2"/>
      <c r="V1325">
        <v>6116</v>
      </c>
      <c r="W1325" s="2">
        <v>6579000000</v>
      </c>
      <c r="X1325" s="6">
        <v>8164.9821430000002</v>
      </c>
      <c r="Y1325" s="38">
        <v>10010</v>
      </c>
      <c r="Z1325" s="86">
        <f>+((DETALLE_GD_1[[#This Row],[VALOR X UN (GD)]]-DETALLE_GD_1[[#This Row],[VALOR PPTO]])/DETALLE_GD_1[[#This Row],[VALOR PPTO]])</f>
        <v>2.1922889457194073E-6</v>
      </c>
      <c r="AA1325" s="2">
        <f>+DETALLE_GD_1[[#This Row],[VALOR PPTO]]*DETALLE_GD_1[[#This Row],[CANTIDAD RECIBIDA]]</f>
        <v>8164.9821000000002</v>
      </c>
      <c r="AB1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5" s="3">
        <f>+DETALLE_GD_1[[#This Row],[CANTIDAD SOLICITADA]]-DETALLE_GD_1[[#This Row],[DEVOLUCIÓN]]</f>
        <v>1</v>
      </c>
      <c r="AD1325" s="38">
        <f>+_xlfn.XLOOKUP(DETALLE_GD_1[[#This Row],[CODIGO]],PRODUCTOS[CODIGO],PRODUCTOS[DESC CORTA],"",0)</f>
        <v>0</v>
      </c>
    </row>
    <row r="1326" spans="1:30" x14ac:dyDescent="0.25">
      <c r="A1326" s="1">
        <v>46153</v>
      </c>
      <c r="B1326" s="1">
        <v>46153</v>
      </c>
      <c r="C1326" s="81" t="s">
        <v>169</v>
      </c>
      <c r="D1326" s="38">
        <v>5</v>
      </c>
      <c r="E1326" s="81" t="s">
        <v>169</v>
      </c>
      <c r="F1326">
        <v>404252</v>
      </c>
      <c r="G1326" s="81" t="s">
        <v>181</v>
      </c>
      <c r="H1326" s="81" t="s">
        <v>31</v>
      </c>
      <c r="I1326" s="3">
        <v>40</v>
      </c>
      <c r="J1326" s="3"/>
      <c r="K1326" s="26">
        <v>40</v>
      </c>
      <c r="L1326" s="2">
        <v>1110.05</v>
      </c>
      <c r="M1326" s="2">
        <v>44402</v>
      </c>
      <c r="N1326" s="2">
        <v>44402</v>
      </c>
      <c r="O1326" s="2">
        <v>1110.0438999999999</v>
      </c>
      <c r="P1326" s="2">
        <v>-6.1000000000000004E-3</v>
      </c>
      <c r="Q1326" s="2">
        <v>-0.245</v>
      </c>
      <c r="R1326" s="4">
        <v>-5.5168990455290766E-6</v>
      </c>
      <c r="T1326">
        <v>314974</v>
      </c>
      <c r="U1326" s="2">
        <v>704709</v>
      </c>
      <c r="V1326">
        <v>6161</v>
      </c>
      <c r="W1326" s="2">
        <v>6579000000</v>
      </c>
      <c r="X1326" s="6">
        <v>44401.755039999996</v>
      </c>
      <c r="Y1326" s="38">
        <v>10010</v>
      </c>
      <c r="Z1326" s="86">
        <f>+((DETALLE_GD_1[[#This Row],[VALOR X UN (GD)]]-DETALLE_GD_1[[#This Row],[VALOR PPTO]])/DETALLE_GD_1[[#This Row],[VALOR PPTO]])</f>
        <v>5.4952781597740329E-6</v>
      </c>
      <c r="AA1326" s="2">
        <f>+DETALLE_GD_1[[#This Row],[VALOR PPTO]]*DETALLE_GD_1[[#This Row],[CANTIDAD RECIBIDA]]</f>
        <v>44401.755999999994</v>
      </c>
      <c r="AB1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6" s="3">
        <f>+DETALLE_GD_1[[#This Row],[CANTIDAD SOLICITADA]]-DETALLE_GD_1[[#This Row],[DEVOLUCIÓN]]</f>
        <v>40</v>
      </c>
      <c r="AD1326" s="38">
        <f>+_xlfn.XLOOKUP(DETALLE_GD_1[[#This Row],[CODIGO]],PRODUCTOS[CODIGO],PRODUCTOS[DESC CORTA],"",0)</f>
        <v>0</v>
      </c>
    </row>
    <row r="1327" spans="1:30" x14ac:dyDescent="0.25">
      <c r="A1327" s="1">
        <v>46153</v>
      </c>
      <c r="B1327" s="1">
        <v>46153</v>
      </c>
      <c r="C1327" s="81" t="s">
        <v>169</v>
      </c>
      <c r="D1327" s="38">
        <v>5</v>
      </c>
      <c r="E1327" s="81" t="s">
        <v>169</v>
      </c>
      <c r="F1327">
        <v>2304053</v>
      </c>
      <c r="G1327" s="81" t="s">
        <v>213</v>
      </c>
      <c r="H1327" s="81" t="s">
        <v>31</v>
      </c>
      <c r="I1327" s="3">
        <v>48</v>
      </c>
      <c r="J1327" s="3"/>
      <c r="K1327" s="26">
        <v>48</v>
      </c>
      <c r="L1327" s="2">
        <v>1021.9167</v>
      </c>
      <c r="M1327" s="2">
        <v>49052</v>
      </c>
      <c r="N1327" s="2">
        <v>49052</v>
      </c>
      <c r="O1327" s="2">
        <v>862</v>
      </c>
      <c r="P1327" s="2">
        <v>-159.91669999999999</v>
      </c>
      <c r="Q1327" s="2">
        <v>-7676</v>
      </c>
      <c r="R1327" s="4">
        <v>-0.18551817478731611</v>
      </c>
      <c r="T1327">
        <v>314974</v>
      </c>
      <c r="U1327" s="2"/>
      <c r="V1327">
        <v>6161</v>
      </c>
      <c r="W1327" s="2">
        <v>6579000000</v>
      </c>
      <c r="X1327" s="6">
        <v>41376.000000000007</v>
      </c>
      <c r="Y1327" s="38">
        <v>10010</v>
      </c>
      <c r="Z1327" s="86">
        <f>+((DETALLE_GD_1[[#This Row],[VALOR X UN (GD)]]-DETALLE_GD_1[[#This Row],[VALOR PPTO]])/DETALLE_GD_1[[#This Row],[VALOR PPTO]])</f>
        <v>0.18551821345707656</v>
      </c>
      <c r="AA1327" s="2">
        <f>+DETALLE_GD_1[[#This Row],[VALOR PPTO]]*DETALLE_GD_1[[#This Row],[CANTIDAD RECIBIDA]]</f>
        <v>41376</v>
      </c>
      <c r="AB1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7" s="3">
        <f>+DETALLE_GD_1[[#This Row],[CANTIDAD SOLICITADA]]-DETALLE_GD_1[[#This Row],[DEVOLUCIÓN]]</f>
        <v>48</v>
      </c>
      <c r="AD1327" s="38">
        <f>+_xlfn.XLOOKUP(DETALLE_GD_1[[#This Row],[CODIGO]],PRODUCTOS[CODIGO],PRODUCTOS[DESC CORTA],"",0)</f>
        <v>0</v>
      </c>
    </row>
    <row r="1328" spans="1:30" x14ac:dyDescent="0.25">
      <c r="A1328" s="1">
        <v>46153</v>
      </c>
      <c r="B1328" s="1">
        <v>46153</v>
      </c>
      <c r="C1328" s="81" t="s">
        <v>169</v>
      </c>
      <c r="D1328" s="38">
        <v>5</v>
      </c>
      <c r="E1328" s="81" t="s">
        <v>169</v>
      </c>
      <c r="F1328">
        <v>2302119</v>
      </c>
      <c r="G1328" s="81" t="s">
        <v>74</v>
      </c>
      <c r="H1328" s="81" t="s">
        <v>31</v>
      </c>
      <c r="I1328" s="3">
        <v>36</v>
      </c>
      <c r="J1328" s="3"/>
      <c r="K1328" s="26">
        <v>36</v>
      </c>
      <c r="L1328" s="2">
        <v>3679.8888999999999</v>
      </c>
      <c r="M1328" s="2">
        <v>132476</v>
      </c>
      <c r="N1328" s="2">
        <v>132476</v>
      </c>
      <c r="O1328" s="2">
        <v>3671</v>
      </c>
      <c r="P1328" s="2">
        <v>-8.8888999999999996</v>
      </c>
      <c r="Q1328" s="2">
        <v>-320</v>
      </c>
      <c r="R1328" s="4">
        <v>-2.4213807923968091E-3</v>
      </c>
      <c r="T1328">
        <v>314974</v>
      </c>
      <c r="U1328" s="2"/>
      <c r="V1328">
        <v>6161</v>
      </c>
      <c r="W1328" s="2">
        <v>6579000000</v>
      </c>
      <c r="X1328" s="6">
        <v>132156</v>
      </c>
      <c r="Y1328" s="38">
        <v>10010</v>
      </c>
      <c r="Z1328" s="86">
        <f>+((DETALLE_GD_1[[#This Row],[VALOR X UN (GD)]]-DETALLE_GD_1[[#This Row],[VALOR PPTO]])/DETALLE_GD_1[[#This Row],[VALOR PPTO]])</f>
        <v>2.4213838191228334E-3</v>
      </c>
      <c r="AA1328" s="2">
        <f>+DETALLE_GD_1[[#This Row],[VALOR PPTO]]*DETALLE_GD_1[[#This Row],[CANTIDAD RECIBIDA]]</f>
        <v>132156</v>
      </c>
      <c r="AB1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8" s="3">
        <f>+DETALLE_GD_1[[#This Row],[CANTIDAD SOLICITADA]]-DETALLE_GD_1[[#This Row],[DEVOLUCIÓN]]</f>
        <v>36</v>
      </c>
      <c r="AD1328" s="38" t="str">
        <f>+_xlfn.XLOOKUP(DETALLE_GD_1[[#This Row],[CODIGO]],PRODUCTOS[CODIGO],PRODUCTOS[DESC CORTA],"",0)</f>
        <v>SELLO</v>
      </c>
    </row>
    <row r="1329" spans="1:30" x14ac:dyDescent="0.25">
      <c r="A1329" s="1">
        <v>46153</v>
      </c>
      <c r="B1329" s="1">
        <v>46153</v>
      </c>
      <c r="C1329" s="81" t="s">
        <v>169</v>
      </c>
      <c r="D1329" s="38">
        <v>5</v>
      </c>
      <c r="E1329" s="81" t="s">
        <v>169</v>
      </c>
      <c r="F1329">
        <v>407185</v>
      </c>
      <c r="G1329" s="81" t="s">
        <v>43</v>
      </c>
      <c r="H1329" s="81" t="s">
        <v>31</v>
      </c>
      <c r="I1329" s="3">
        <v>5000</v>
      </c>
      <c r="J1329" s="3"/>
      <c r="K1329" s="26">
        <v>5000</v>
      </c>
      <c r="L1329" s="2">
        <v>6.2656000000000001</v>
      </c>
      <c r="M1329" s="2">
        <v>31328</v>
      </c>
      <c r="N1329" s="2">
        <v>31328</v>
      </c>
      <c r="O1329" s="2">
        <v>6.8783000000000003</v>
      </c>
      <c r="P1329" s="2">
        <v>0.61270000000000002</v>
      </c>
      <c r="Q1329" s="2">
        <v>3063.6</v>
      </c>
      <c r="R1329" s="4">
        <v>8.9079891601437602E-2</v>
      </c>
      <c r="T1329">
        <v>314974</v>
      </c>
      <c r="U1329" s="2"/>
      <c r="V1329">
        <v>6161</v>
      </c>
      <c r="W1329" s="2">
        <v>6579000000</v>
      </c>
      <c r="X1329" s="6">
        <v>34391.599999999999</v>
      </c>
      <c r="Y1329" s="38">
        <v>10010</v>
      </c>
      <c r="Z1329" s="86">
        <f>+((DETALLE_GD_1[[#This Row],[VALOR X UN (GD)]]-DETALLE_GD_1[[#This Row],[VALOR PPTO]])/DETALLE_GD_1[[#This Row],[VALOR PPTO]])</f>
        <v>-8.9077242923396804E-2</v>
      </c>
      <c r="AA1329" s="2">
        <f>+DETALLE_GD_1[[#This Row],[VALOR PPTO]]*DETALLE_GD_1[[#This Row],[CANTIDAD RECIBIDA]]</f>
        <v>34391.5</v>
      </c>
      <c r="AB1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9" s="3">
        <f>+DETALLE_GD_1[[#This Row],[CANTIDAD SOLICITADA]]-DETALLE_GD_1[[#This Row],[DEVOLUCIÓN]]</f>
        <v>5000</v>
      </c>
      <c r="AD1329" s="38">
        <f>+_xlfn.XLOOKUP(DETALLE_GD_1[[#This Row],[CODIGO]],PRODUCTOS[CODIGO],PRODUCTOS[DESC CORTA],"",0)</f>
        <v>0</v>
      </c>
    </row>
    <row r="1330" spans="1:30" x14ac:dyDescent="0.25">
      <c r="A1330" s="1">
        <v>46153</v>
      </c>
      <c r="B1330" s="1">
        <v>46153</v>
      </c>
      <c r="C1330" s="81" t="s">
        <v>169</v>
      </c>
      <c r="D1330" s="38">
        <v>5</v>
      </c>
      <c r="E1330" s="81" t="s">
        <v>169</v>
      </c>
      <c r="F1330">
        <v>307096</v>
      </c>
      <c r="G1330" s="81" t="s">
        <v>249</v>
      </c>
      <c r="H1330" s="81" t="s">
        <v>137</v>
      </c>
      <c r="I1330" s="3">
        <v>70</v>
      </c>
      <c r="J1330" s="3"/>
      <c r="K1330" s="26">
        <v>70</v>
      </c>
      <c r="L1330" s="2">
        <v>1795.6</v>
      </c>
      <c r="M1330" s="2">
        <v>125692</v>
      </c>
      <c r="N1330" s="2">
        <v>125692</v>
      </c>
      <c r="O1330" s="2">
        <v>2095.3501000000001</v>
      </c>
      <c r="P1330" s="2">
        <v>299.75009999999997</v>
      </c>
      <c r="Q1330" s="2">
        <v>20982.508999999998</v>
      </c>
      <c r="R1330" s="4">
        <v>0.14305491232773293</v>
      </c>
      <c r="T1330">
        <v>314974</v>
      </c>
      <c r="U1330" s="2"/>
      <c r="V1330">
        <v>6161</v>
      </c>
      <c r="W1330" s="2">
        <v>6579000000</v>
      </c>
      <c r="X1330" s="6">
        <v>146674.5090299999</v>
      </c>
      <c r="Y1330" s="38">
        <v>10010</v>
      </c>
      <c r="Z1330" s="86">
        <f>+((DETALLE_GD_1[[#This Row],[VALOR X UN (GD)]]-DETALLE_GD_1[[#This Row],[VALOR PPTO]])/DETALLE_GD_1[[#This Row],[VALOR PPTO]])</f>
        <v>-0.14305490046746852</v>
      </c>
      <c r="AA1330" s="2">
        <f>+DETALLE_GD_1[[#This Row],[VALOR PPTO]]*DETALLE_GD_1[[#This Row],[CANTIDAD RECIBIDA]]</f>
        <v>146674.50700000001</v>
      </c>
      <c r="AB13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30" s="3">
        <f>+DETALLE_GD_1[[#This Row],[CANTIDAD SOLICITADA]]-DETALLE_GD_1[[#This Row],[DEVOLUCIÓN]]</f>
        <v>70</v>
      </c>
      <c r="AD1330" s="38" t="str">
        <f>+_xlfn.XLOOKUP(DETALLE_GD_1[[#This Row],[CODIGO]],PRODUCTOS[CODIGO],PRODUCTOS[DESC CORTA],"",0)</f>
        <v>CUBREJUNTA</v>
      </c>
    </row>
    <row r="1331" spans="1:30" x14ac:dyDescent="0.25">
      <c r="A1331" s="1">
        <v>46153</v>
      </c>
      <c r="B1331" s="1">
        <v>46153</v>
      </c>
      <c r="C1331" s="81" t="s">
        <v>169</v>
      </c>
      <c r="D1331" s="38">
        <v>5</v>
      </c>
      <c r="E1331" s="81" t="s">
        <v>169</v>
      </c>
      <c r="F1331">
        <v>307032</v>
      </c>
      <c r="G1331" s="81" t="s">
        <v>186</v>
      </c>
      <c r="H1331" s="81" t="s">
        <v>137</v>
      </c>
      <c r="I1331" s="3">
        <v>50</v>
      </c>
      <c r="J1331" s="3"/>
      <c r="K1331" s="26">
        <v>50</v>
      </c>
      <c r="L1331" s="2">
        <v>2280.1</v>
      </c>
      <c r="M1331" s="2">
        <v>114005</v>
      </c>
      <c r="N1331" s="2">
        <v>114005</v>
      </c>
      <c r="O1331" s="2">
        <v>2378.375</v>
      </c>
      <c r="P1331" s="2">
        <v>98.275000000000006</v>
      </c>
      <c r="Q1331" s="2">
        <v>4913.7520000000004</v>
      </c>
      <c r="R1331" s="4">
        <v>4.1320245674407875E-2</v>
      </c>
      <c r="T1331">
        <v>314974</v>
      </c>
      <c r="U1331" s="2"/>
      <c r="V1331">
        <v>6161</v>
      </c>
      <c r="W1331" s="2">
        <v>6579000000</v>
      </c>
      <c r="X1331" s="6">
        <v>118918.75205</v>
      </c>
      <c r="Y1331" s="38">
        <v>10010</v>
      </c>
      <c r="Z1331" s="86">
        <f>+((DETALLE_GD_1[[#This Row],[VALOR X UN (GD)]]-DETALLE_GD_1[[#This Row],[VALOR PPTO]])/DETALLE_GD_1[[#This Row],[VALOR PPTO]])</f>
        <v>-4.1320229148052806E-2</v>
      </c>
      <c r="AA1331" s="2">
        <f>+DETALLE_GD_1[[#This Row],[VALOR PPTO]]*DETALLE_GD_1[[#This Row],[CANTIDAD RECIBIDA]]</f>
        <v>118918.75</v>
      </c>
      <c r="AB1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1" s="3">
        <f>+DETALLE_GD_1[[#This Row],[CANTIDAD SOLICITADA]]-DETALLE_GD_1[[#This Row],[DEVOLUCIÓN]]</f>
        <v>50</v>
      </c>
      <c r="AD1331" s="38">
        <f>+_xlfn.XLOOKUP(DETALLE_GD_1[[#This Row],[CODIGO]],PRODUCTOS[CODIGO],PRODUCTOS[DESC CORTA],"",0)</f>
        <v>0</v>
      </c>
    </row>
    <row r="1332" spans="1:30" x14ac:dyDescent="0.25">
      <c r="A1332" s="1">
        <v>46153</v>
      </c>
      <c r="B1332" s="1">
        <v>46153</v>
      </c>
      <c r="C1332" s="81" t="s">
        <v>169</v>
      </c>
      <c r="D1332" s="38">
        <v>5</v>
      </c>
      <c r="E1332" s="81" t="s">
        <v>169</v>
      </c>
      <c r="F1332">
        <v>704024</v>
      </c>
      <c r="G1332" s="81" t="s">
        <v>332</v>
      </c>
      <c r="H1332" s="81" t="s">
        <v>31</v>
      </c>
      <c r="I1332" s="3">
        <v>200</v>
      </c>
      <c r="J1332" s="3"/>
      <c r="K1332" s="26">
        <v>200</v>
      </c>
      <c r="L1332" s="2">
        <v>317.93</v>
      </c>
      <c r="M1332" s="2">
        <v>63586</v>
      </c>
      <c r="N1332" s="2">
        <v>63586</v>
      </c>
      <c r="O1332" s="2">
        <v>363</v>
      </c>
      <c r="P1332" s="2">
        <v>45.07</v>
      </c>
      <c r="Q1332" s="2">
        <v>9014</v>
      </c>
      <c r="R1332" s="4">
        <v>0.12415977961432503</v>
      </c>
      <c r="T1332">
        <v>314974</v>
      </c>
      <c r="U1332" s="2"/>
      <c r="V1332">
        <v>6161</v>
      </c>
      <c r="W1332" s="2">
        <v>6579000000</v>
      </c>
      <c r="X1332" s="6">
        <v>72600</v>
      </c>
      <c r="Y1332" s="38">
        <v>10010</v>
      </c>
      <c r="Z1332" s="86">
        <f>+((DETALLE_GD_1[[#This Row],[VALOR X UN (GD)]]-DETALLE_GD_1[[#This Row],[VALOR PPTO]])/DETALLE_GD_1[[#This Row],[VALOR PPTO]])</f>
        <v>-0.12415977961432505</v>
      </c>
      <c r="AA1332" s="2">
        <f>+DETALLE_GD_1[[#This Row],[VALOR PPTO]]*DETALLE_GD_1[[#This Row],[CANTIDAD RECIBIDA]]</f>
        <v>72600</v>
      </c>
      <c r="AB1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2" s="3">
        <f>+DETALLE_GD_1[[#This Row],[CANTIDAD SOLICITADA]]-DETALLE_GD_1[[#This Row],[DEVOLUCIÓN]]</f>
        <v>200</v>
      </c>
      <c r="AD1332" s="38" t="str">
        <f>+_xlfn.XLOOKUP(DETALLE_GD_1[[#This Row],[CODIGO]],PRODUCTOS[CODIGO],PRODUCTOS[DESC CORTA],"",0)</f>
        <v>ESQUINERO CORNIZA EXTERIOR</v>
      </c>
    </row>
    <row r="1333" spans="1:30" x14ac:dyDescent="0.25">
      <c r="A1333" s="1">
        <v>46153</v>
      </c>
      <c r="B1333" s="1">
        <v>46153</v>
      </c>
      <c r="C1333" s="81" t="s">
        <v>169</v>
      </c>
      <c r="D1333" s="38">
        <v>5</v>
      </c>
      <c r="E1333" s="81" t="s">
        <v>169</v>
      </c>
      <c r="F1333">
        <v>704022</v>
      </c>
      <c r="G1333" s="81" t="s">
        <v>330</v>
      </c>
      <c r="H1333" s="81" t="s">
        <v>31</v>
      </c>
      <c r="I1333" s="3">
        <v>181</v>
      </c>
      <c r="J1333" s="3"/>
      <c r="K1333" s="26">
        <v>181</v>
      </c>
      <c r="L1333" s="2">
        <v>258.38670000000002</v>
      </c>
      <c r="M1333" s="2">
        <v>46768</v>
      </c>
      <c r="N1333" s="2">
        <v>46768</v>
      </c>
      <c r="O1333" s="2">
        <v>306</v>
      </c>
      <c r="P1333" s="2">
        <v>47.613300000000002</v>
      </c>
      <c r="Q1333" s="2">
        <v>8618</v>
      </c>
      <c r="R1333" s="4">
        <v>0.15559888780558287</v>
      </c>
      <c r="T1333">
        <v>314974</v>
      </c>
      <c r="U1333" s="2"/>
      <c r="V1333">
        <v>6161</v>
      </c>
      <c r="W1333" s="2">
        <v>6579000000</v>
      </c>
      <c r="X1333" s="6">
        <v>55386.000000000007</v>
      </c>
      <c r="Y1333" s="38">
        <v>10010</v>
      </c>
      <c r="Z1333" s="86">
        <f>+((DETALLE_GD_1[[#This Row],[VALOR X UN (GD)]]-DETALLE_GD_1[[#This Row],[VALOR PPTO]])/DETALLE_GD_1[[#This Row],[VALOR PPTO]])</f>
        <v>-0.15559901960784309</v>
      </c>
      <c r="AA1333" s="2">
        <f>+DETALLE_GD_1[[#This Row],[VALOR PPTO]]*DETALLE_GD_1[[#This Row],[CANTIDAD RECIBIDA]]</f>
        <v>55386</v>
      </c>
      <c r="AB1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3" s="3">
        <f>+DETALLE_GD_1[[#This Row],[CANTIDAD SOLICITADA]]-DETALLE_GD_1[[#This Row],[DEVOLUCIÓN]]</f>
        <v>181</v>
      </c>
      <c r="AD1333" s="38" t="str">
        <f>+_xlfn.XLOOKUP(DETALLE_GD_1[[#This Row],[CODIGO]],PRODUCTOS[CODIGO],PRODUCTOS[DESC CORTA],"",0)</f>
        <v>ESQUINERO CORNIZA INTERIOR</v>
      </c>
    </row>
    <row r="1334" spans="1:30" x14ac:dyDescent="0.25">
      <c r="A1334" s="1">
        <v>46153</v>
      </c>
      <c r="B1334" s="1">
        <v>46153</v>
      </c>
      <c r="C1334" s="81" t="s">
        <v>169</v>
      </c>
      <c r="D1334" s="38">
        <v>5</v>
      </c>
      <c r="E1334" s="81" t="s">
        <v>169</v>
      </c>
      <c r="F1334">
        <v>704021</v>
      </c>
      <c r="G1334" s="81" t="s">
        <v>329</v>
      </c>
      <c r="H1334" s="81" t="s">
        <v>31</v>
      </c>
      <c r="I1334" s="3">
        <v>200</v>
      </c>
      <c r="J1334" s="3"/>
      <c r="K1334" s="26">
        <v>200</v>
      </c>
      <c r="L1334" s="2">
        <v>487</v>
      </c>
      <c r="M1334" s="2">
        <v>97400</v>
      </c>
      <c r="N1334" s="2">
        <v>97400</v>
      </c>
      <c r="O1334" s="2">
        <v>487</v>
      </c>
      <c r="P1334" s="2">
        <v>0</v>
      </c>
      <c r="Q1334" s="2">
        <v>0</v>
      </c>
      <c r="R1334" s="4">
        <v>0</v>
      </c>
      <c r="T1334">
        <v>314974</v>
      </c>
      <c r="U1334" s="2"/>
      <c r="V1334">
        <v>6161</v>
      </c>
      <c r="W1334" s="2">
        <v>6579000000</v>
      </c>
      <c r="X1334" s="6">
        <v>97400</v>
      </c>
      <c r="Y1334" s="38">
        <v>10010</v>
      </c>
      <c r="Z1334" s="86">
        <f>+((DETALLE_GD_1[[#This Row],[VALOR X UN (GD)]]-DETALLE_GD_1[[#This Row],[VALOR PPTO]])/DETALLE_GD_1[[#This Row],[VALOR PPTO]])</f>
        <v>0</v>
      </c>
      <c r="AA1334" s="2">
        <f>+DETALLE_GD_1[[#This Row],[VALOR PPTO]]*DETALLE_GD_1[[#This Row],[CANTIDAD RECIBIDA]]</f>
        <v>97400</v>
      </c>
      <c r="AB1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4" s="3">
        <f>+DETALLE_GD_1[[#This Row],[CANTIDAD SOLICITADA]]-DETALLE_GD_1[[#This Row],[DEVOLUCIÓN]]</f>
        <v>200</v>
      </c>
      <c r="AD1334" s="38" t="str">
        <f>+_xlfn.XLOOKUP(DETALLE_GD_1[[#This Row],[CODIGO]],PRODUCTOS[CODIGO],PRODUCTOS[DESC CORTA],"",0)</f>
        <v>ESQUINERO PILASTRA PVC</v>
      </c>
    </row>
    <row r="1335" spans="1:30" x14ac:dyDescent="0.25">
      <c r="A1335" s="1">
        <v>46153</v>
      </c>
      <c r="B1335" s="1">
        <v>46153</v>
      </c>
      <c r="C1335" s="81" t="s">
        <v>169</v>
      </c>
      <c r="D1335" s="38">
        <v>5</v>
      </c>
      <c r="E1335" s="81" t="s">
        <v>169</v>
      </c>
      <c r="F1335">
        <v>106022</v>
      </c>
      <c r="G1335" s="81" t="s">
        <v>245</v>
      </c>
      <c r="H1335" s="81" t="s">
        <v>31</v>
      </c>
      <c r="I1335" s="3">
        <v>5</v>
      </c>
      <c r="J1335" s="3"/>
      <c r="K1335" s="26">
        <v>5</v>
      </c>
      <c r="L1335" s="2">
        <v>3800.2</v>
      </c>
      <c r="M1335" s="2">
        <v>19001</v>
      </c>
      <c r="N1335" s="2">
        <v>19001</v>
      </c>
      <c r="O1335" s="2">
        <v>3800.6911</v>
      </c>
      <c r="P1335" s="2">
        <v>0.49109999999999998</v>
      </c>
      <c r="Q1335" s="2">
        <v>2.4554999999999998</v>
      </c>
      <c r="R1335" s="4">
        <v>1.2921307920287753E-4</v>
      </c>
      <c r="T1335">
        <v>314980</v>
      </c>
      <c r="U1335" s="2">
        <v>52829</v>
      </c>
      <c r="V1335">
        <v>6161</v>
      </c>
      <c r="W1335" s="2">
        <v>6579000000</v>
      </c>
      <c r="X1335" s="6">
        <v>19003.455494999998</v>
      </c>
      <c r="Y1335" s="38">
        <v>10010</v>
      </c>
      <c r="Z1335" s="86">
        <f>+((DETALLE_GD_1[[#This Row],[VALOR X UN (GD)]]-DETALLE_GD_1[[#This Row],[VALOR PPTO]])/DETALLE_GD_1[[#This Row],[VALOR PPTO]])</f>
        <v>-1.292133422787734E-4</v>
      </c>
      <c r="AA1335" s="2">
        <f>+DETALLE_GD_1[[#This Row],[VALOR PPTO]]*DETALLE_GD_1[[#This Row],[CANTIDAD RECIBIDA]]</f>
        <v>19003.4555</v>
      </c>
      <c r="AB1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5" s="3">
        <f>+DETALLE_GD_1[[#This Row],[CANTIDAD SOLICITADA]]-DETALLE_GD_1[[#This Row],[DEVOLUCIÓN]]</f>
        <v>5</v>
      </c>
      <c r="AD1335" s="38">
        <f>+_xlfn.XLOOKUP(DETALLE_GD_1[[#This Row],[CODIGO]],PRODUCTOS[CODIGO],PRODUCTOS[DESC CORTA],"",0)</f>
        <v>0</v>
      </c>
    </row>
    <row r="1336" spans="1:30" x14ac:dyDescent="0.25">
      <c r="A1336" s="1">
        <v>46153</v>
      </c>
      <c r="B1336" s="1">
        <v>46153</v>
      </c>
      <c r="C1336" s="81" t="s">
        <v>169</v>
      </c>
      <c r="D1336" s="38">
        <v>5</v>
      </c>
      <c r="E1336" s="81" t="s">
        <v>169</v>
      </c>
      <c r="F1336">
        <v>2304002</v>
      </c>
      <c r="G1336" s="81" t="s">
        <v>212</v>
      </c>
      <c r="H1336" s="81" t="s">
        <v>31</v>
      </c>
      <c r="I1336" s="3">
        <v>24</v>
      </c>
      <c r="J1336" s="3"/>
      <c r="K1336" s="26">
        <v>24</v>
      </c>
      <c r="L1336" s="2">
        <v>1409.5</v>
      </c>
      <c r="M1336" s="2">
        <v>33828</v>
      </c>
      <c r="N1336" s="2">
        <v>33828</v>
      </c>
      <c r="O1336" s="2">
        <v>1376.4717000000001</v>
      </c>
      <c r="P1336" s="2">
        <v>-33.028300000000002</v>
      </c>
      <c r="Q1336" s="2">
        <v>-792.67859999999996</v>
      </c>
      <c r="R1336" s="4">
        <v>-2.399488156866781E-2</v>
      </c>
      <c r="T1336">
        <v>314980</v>
      </c>
      <c r="U1336" s="2"/>
      <c r="V1336">
        <v>6161</v>
      </c>
      <c r="W1336" s="2">
        <v>6579000000</v>
      </c>
      <c r="X1336" s="6">
        <v>33035.321376</v>
      </c>
      <c r="Y1336" s="38">
        <v>10010</v>
      </c>
      <c r="Z1336" s="86">
        <f>+((DETALLE_GD_1[[#This Row],[VALOR X UN (GD)]]-DETALLE_GD_1[[#This Row],[VALOR PPTO]])/DETALLE_GD_1[[#This Row],[VALOR PPTO]])</f>
        <v>2.3994899422923075E-2</v>
      </c>
      <c r="AA1336" s="2">
        <f>+DETALLE_GD_1[[#This Row],[VALOR PPTO]]*DETALLE_GD_1[[#This Row],[CANTIDAD RECIBIDA]]</f>
        <v>33035.320800000001</v>
      </c>
      <c r="AB1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6" s="3">
        <f>+DETALLE_GD_1[[#This Row],[CANTIDAD SOLICITADA]]-DETALLE_GD_1[[#This Row],[DEVOLUCIÓN]]</f>
        <v>24</v>
      </c>
      <c r="AD1336" s="38">
        <f>+_xlfn.XLOOKUP(DETALLE_GD_1[[#This Row],[CODIGO]],PRODUCTOS[CODIGO],PRODUCTOS[DESC CORTA],"",0)</f>
        <v>0</v>
      </c>
    </row>
    <row r="1337" spans="1:30" x14ac:dyDescent="0.25">
      <c r="A1337" s="1">
        <v>46153</v>
      </c>
      <c r="B1337" s="1">
        <v>46153</v>
      </c>
      <c r="C1337" s="81" t="s">
        <v>169</v>
      </c>
      <c r="D1337" s="38">
        <v>5</v>
      </c>
      <c r="E1337" s="81" t="s">
        <v>169</v>
      </c>
      <c r="F1337">
        <v>2304002</v>
      </c>
      <c r="G1337" s="81" t="s">
        <v>212</v>
      </c>
      <c r="H1337" s="81" t="s">
        <v>31</v>
      </c>
      <c r="I1337" s="3">
        <v>12</v>
      </c>
      <c r="J1337" s="3"/>
      <c r="K1337" s="26">
        <v>12</v>
      </c>
      <c r="L1337" s="2">
        <v>1409.5</v>
      </c>
      <c r="M1337" s="2">
        <v>16914</v>
      </c>
      <c r="N1337" s="2">
        <v>16914</v>
      </c>
      <c r="O1337" s="2">
        <v>1376.4717000000001</v>
      </c>
      <c r="P1337" s="2">
        <v>-33.028300000000002</v>
      </c>
      <c r="Q1337" s="2">
        <v>-396.33929999999998</v>
      </c>
      <c r="R1337" s="4">
        <v>-2.399488156866781E-2</v>
      </c>
      <c r="T1337">
        <v>314982</v>
      </c>
      <c r="U1337" s="2">
        <v>2000708</v>
      </c>
      <c r="V1337">
        <v>6161</v>
      </c>
      <c r="W1337" s="2">
        <v>6579000000</v>
      </c>
      <c r="X1337" s="6">
        <v>16517.660688</v>
      </c>
      <c r="Y1337" s="38">
        <v>10010</v>
      </c>
      <c r="Z1337" s="86">
        <f>+((DETALLE_GD_1[[#This Row],[VALOR X UN (GD)]]-DETALLE_GD_1[[#This Row],[VALOR PPTO]])/DETALLE_GD_1[[#This Row],[VALOR PPTO]])</f>
        <v>2.3994899422923075E-2</v>
      </c>
      <c r="AA1337" s="2">
        <f>+DETALLE_GD_1[[#This Row],[VALOR PPTO]]*DETALLE_GD_1[[#This Row],[CANTIDAD RECIBIDA]]</f>
        <v>16517.660400000001</v>
      </c>
      <c r="AB1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7" s="3">
        <f>+DETALLE_GD_1[[#This Row],[CANTIDAD SOLICITADA]]-DETALLE_GD_1[[#This Row],[DEVOLUCIÓN]]</f>
        <v>12</v>
      </c>
      <c r="AD1337" s="38">
        <f>+_xlfn.XLOOKUP(DETALLE_GD_1[[#This Row],[CODIGO]],PRODUCTOS[CODIGO],PRODUCTOS[DESC CORTA],"",0)</f>
        <v>0</v>
      </c>
    </row>
    <row r="1338" spans="1:30" x14ac:dyDescent="0.25">
      <c r="A1338" s="1">
        <v>46153</v>
      </c>
      <c r="B1338" s="1">
        <v>46153</v>
      </c>
      <c r="C1338" s="81" t="s">
        <v>169</v>
      </c>
      <c r="D1338" s="38">
        <v>5</v>
      </c>
      <c r="E1338" s="81" t="s">
        <v>169</v>
      </c>
      <c r="F1338">
        <v>412280</v>
      </c>
      <c r="G1338" s="81" t="s">
        <v>40</v>
      </c>
      <c r="H1338" s="81" t="s">
        <v>31</v>
      </c>
      <c r="I1338" s="3">
        <v>44</v>
      </c>
      <c r="J1338" s="3"/>
      <c r="K1338" s="26">
        <v>44</v>
      </c>
      <c r="L1338" s="2">
        <v>39389.863599999997</v>
      </c>
      <c r="M1338" s="2">
        <v>1733154</v>
      </c>
      <c r="N1338" s="2">
        <v>1733154</v>
      </c>
      <c r="O1338" s="2">
        <v>40002.920100000003</v>
      </c>
      <c r="P1338" s="2">
        <v>613.05650000000003</v>
      </c>
      <c r="Q1338" s="2">
        <v>26974.484100000001</v>
      </c>
      <c r="R1338" s="4">
        <v>1.5325292633915443E-2</v>
      </c>
      <c r="T1338">
        <v>314982</v>
      </c>
      <c r="U1338" s="2"/>
      <c r="V1338">
        <v>6161</v>
      </c>
      <c r="W1338" s="2">
        <v>6579000000</v>
      </c>
      <c r="X1338" s="6">
        <v>1760128.4840919999</v>
      </c>
      <c r="Y1338" s="38">
        <v>10010</v>
      </c>
      <c r="Z1338" s="86">
        <f>+((DETALLE_GD_1[[#This Row],[VALOR X UN (GD)]]-DETALLE_GD_1[[#This Row],[VALOR PPTO]])/DETALLE_GD_1[[#This Row],[VALOR PPTO]])</f>
        <v>-1.5325293715245703E-2</v>
      </c>
      <c r="AA1338" s="2">
        <f>+DETALLE_GD_1[[#This Row],[VALOR PPTO]]*DETALLE_GD_1[[#This Row],[CANTIDAD RECIBIDA]]</f>
        <v>1760128.4844000002</v>
      </c>
      <c r="AB13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38" s="3">
        <f>+DETALLE_GD_1[[#This Row],[CANTIDAD SOLICITADA]]-DETALLE_GD_1[[#This Row],[DEVOLUCIÓN]]</f>
        <v>44</v>
      </c>
      <c r="AD1338" s="38" t="str">
        <f>+_xlfn.XLOOKUP(DETALLE_GD_1[[#This Row],[CODIGO]],PRODUCTOS[CODIGO],PRODUCTOS[DESC CORTA],"",0)</f>
        <v>PB2</v>
      </c>
    </row>
    <row r="1339" spans="1:30" x14ac:dyDescent="0.25">
      <c r="A1339" s="1">
        <v>46153</v>
      </c>
      <c r="B1339" s="1">
        <v>46153</v>
      </c>
      <c r="C1339" s="81" t="s">
        <v>169</v>
      </c>
      <c r="D1339" s="38">
        <v>5</v>
      </c>
      <c r="E1339" s="81" t="s">
        <v>169</v>
      </c>
      <c r="F1339">
        <v>412281</v>
      </c>
      <c r="G1339" s="81" t="s">
        <v>326</v>
      </c>
      <c r="H1339" s="81" t="s">
        <v>31</v>
      </c>
      <c r="I1339" s="3">
        <v>28</v>
      </c>
      <c r="J1339" s="3"/>
      <c r="K1339" s="26">
        <v>28</v>
      </c>
      <c r="L1339" s="2">
        <v>8951.4285999999993</v>
      </c>
      <c r="M1339" s="2">
        <v>250640</v>
      </c>
      <c r="N1339" s="2">
        <v>250640</v>
      </c>
      <c r="O1339" s="2">
        <v>33</v>
      </c>
      <c r="P1339" s="2">
        <v>-8918.4285999999993</v>
      </c>
      <c r="Q1339" s="2">
        <v>-249716</v>
      </c>
      <c r="R1339" s="4">
        <v>-270.25541125541122</v>
      </c>
      <c r="T1339">
        <v>314982</v>
      </c>
      <c r="U1339" s="2"/>
      <c r="V1339">
        <v>6161</v>
      </c>
      <c r="W1339" s="2">
        <v>6579000000</v>
      </c>
      <c r="X1339" s="6">
        <v>924</v>
      </c>
      <c r="Y1339" s="38">
        <v>10010</v>
      </c>
      <c r="Z1339" s="86">
        <f>+((DETALLE_GD_1[[#This Row],[VALOR X UN (GD)]]-DETALLE_GD_1[[#This Row],[VALOR PPTO]])/DETALLE_GD_1[[#This Row],[VALOR PPTO]])</f>
        <v>270.25541212121209</v>
      </c>
      <c r="AA1339" s="2">
        <f>+DETALLE_GD_1[[#This Row],[VALOR PPTO]]*DETALLE_GD_1[[#This Row],[CANTIDAD RECIBIDA]]</f>
        <v>924</v>
      </c>
      <c r="AB1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9" s="3">
        <f>+DETALLE_GD_1[[#This Row],[CANTIDAD SOLICITADA]]-DETALLE_GD_1[[#This Row],[DEVOLUCIÓN]]</f>
        <v>28</v>
      </c>
      <c r="AD1339" s="38" t="str">
        <f>+_xlfn.XLOOKUP(DETALLE_GD_1[[#This Row],[CODIGO]],PRODUCTOS[CODIGO],PRODUCTOS[DESC CORTA],"",0)</f>
        <v>HOLDOWN TENSIONADOR</v>
      </c>
    </row>
    <row r="1340" spans="1:30" x14ac:dyDescent="0.25">
      <c r="A1340" s="1">
        <v>46153</v>
      </c>
      <c r="B1340" s="1">
        <v>46153</v>
      </c>
      <c r="C1340" s="81" t="s">
        <v>169</v>
      </c>
      <c r="D1340" s="38">
        <v>5</v>
      </c>
      <c r="E1340" s="81" t="s">
        <v>169</v>
      </c>
      <c r="F1340">
        <v>1901038</v>
      </c>
      <c r="G1340" s="81" t="s">
        <v>39</v>
      </c>
      <c r="H1340" s="81" t="s">
        <v>26</v>
      </c>
      <c r="I1340" s="3">
        <v>75</v>
      </c>
      <c r="J1340" s="3"/>
      <c r="K1340" s="26">
        <v>75</v>
      </c>
      <c r="L1340" s="2">
        <v>4596.6532999999999</v>
      </c>
      <c r="M1340" s="2">
        <v>344749</v>
      </c>
      <c r="N1340" s="2">
        <v>344749</v>
      </c>
      <c r="O1340" s="2">
        <v>4197.4179000000004</v>
      </c>
      <c r="P1340" s="2">
        <v>-399.2355</v>
      </c>
      <c r="Q1340" s="2">
        <v>-29942.6594</v>
      </c>
      <c r="R1340" s="4">
        <v>-9.5114537132744384E-2</v>
      </c>
      <c r="T1340">
        <v>315028</v>
      </c>
      <c r="U1340" s="2">
        <v>344749</v>
      </c>
      <c r="V1340">
        <v>6161</v>
      </c>
      <c r="W1340" s="2">
        <v>6579000000</v>
      </c>
      <c r="X1340" s="6">
        <v>314806.34062500007</v>
      </c>
      <c r="Y1340" s="38">
        <v>10010</v>
      </c>
      <c r="Z1340" s="86">
        <f>+((DETALLE_GD_1[[#This Row],[VALOR X UN (GD)]]-DETALLE_GD_1[[#This Row],[VALOR PPTO]])/DETALLE_GD_1[[#This Row],[VALOR PPTO]])</f>
        <v>9.5114522668805393E-2</v>
      </c>
      <c r="AA1340" s="2">
        <f>+DETALLE_GD_1[[#This Row],[VALOR PPTO]]*DETALLE_GD_1[[#This Row],[CANTIDAD RECIBIDA]]</f>
        <v>314806.34250000003</v>
      </c>
      <c r="AB13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40" s="3">
        <f>+DETALLE_GD_1[[#This Row],[CANTIDAD SOLICITADA]]-DETALLE_GD_1[[#This Row],[DEVOLUCIÓN]]</f>
        <v>75</v>
      </c>
      <c r="AD1340" s="38" t="str">
        <f>+_xlfn.XLOOKUP(DETALLE_GD_1[[#This Row],[CODIGO]],PRODUCTOS[CODIGO],PRODUCTOS[DESC CORTA],"",0)</f>
        <v>AISLAN ROCA 90MM</v>
      </c>
    </row>
    <row r="1341" spans="1:30" x14ac:dyDescent="0.25">
      <c r="A1341" s="1">
        <v>46153</v>
      </c>
      <c r="B1341" s="1">
        <v>46153</v>
      </c>
      <c r="C1341" s="81" t="s">
        <v>169</v>
      </c>
      <c r="D1341" s="38">
        <v>5</v>
      </c>
      <c r="E1341" s="81" t="s">
        <v>169</v>
      </c>
      <c r="F1341">
        <v>1901038</v>
      </c>
      <c r="G1341" s="81" t="s">
        <v>39</v>
      </c>
      <c r="H1341" s="81" t="s">
        <v>26</v>
      </c>
      <c r="I1341" s="3">
        <v>54</v>
      </c>
      <c r="J1341" s="3"/>
      <c r="K1341" s="26">
        <v>54</v>
      </c>
      <c r="L1341" s="2">
        <v>4560.1666999999998</v>
      </c>
      <c r="M1341" s="2">
        <v>246249</v>
      </c>
      <c r="N1341" s="2">
        <v>246249</v>
      </c>
      <c r="O1341" s="2">
        <v>4197.4179000000004</v>
      </c>
      <c r="P1341" s="2">
        <v>-362.74880000000002</v>
      </c>
      <c r="Q1341" s="2">
        <v>-19588.434700000002</v>
      </c>
      <c r="R1341" s="4">
        <v>-8.6421891379272295E-2</v>
      </c>
      <c r="T1341">
        <v>315029</v>
      </c>
      <c r="U1341" s="2">
        <v>246249</v>
      </c>
      <c r="V1341">
        <v>6161</v>
      </c>
      <c r="W1341" s="2">
        <v>6579000000</v>
      </c>
      <c r="X1341" s="6">
        <v>226660.56525000004</v>
      </c>
      <c r="Y1341" s="38">
        <v>10010</v>
      </c>
      <c r="Z1341" s="86">
        <f>+((DETALLE_GD_1[[#This Row],[VALOR X UN (GD)]]-DETALLE_GD_1[[#This Row],[VALOR PPTO]])/DETALLE_GD_1[[#This Row],[VALOR PPTO]])</f>
        <v>8.6421892849887397E-2</v>
      </c>
      <c r="AA1341" s="2">
        <f>+DETALLE_GD_1[[#This Row],[VALOR PPTO]]*DETALLE_GD_1[[#This Row],[CANTIDAD RECIBIDA]]</f>
        <v>226660.56660000002</v>
      </c>
      <c r="AB134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41" s="3">
        <f>+DETALLE_GD_1[[#This Row],[CANTIDAD SOLICITADA]]-DETALLE_GD_1[[#This Row],[DEVOLUCIÓN]]</f>
        <v>54</v>
      </c>
      <c r="AD1341" s="38" t="str">
        <f>+_xlfn.XLOOKUP(DETALLE_GD_1[[#This Row],[CODIGO]],PRODUCTOS[CODIGO],PRODUCTOS[DESC CORTA],"",0)</f>
        <v>AISLAN ROCA 90MM</v>
      </c>
    </row>
    <row r="1342" spans="1:30" x14ac:dyDescent="0.25">
      <c r="A1342" s="1">
        <v>46153</v>
      </c>
      <c r="B1342" s="1">
        <v>46153</v>
      </c>
      <c r="C1342" s="81" t="s">
        <v>169</v>
      </c>
      <c r="D1342" s="38">
        <v>5</v>
      </c>
      <c r="E1342" s="81" t="s">
        <v>169</v>
      </c>
      <c r="F1342">
        <v>407185</v>
      </c>
      <c r="G1342" s="81" t="s">
        <v>43</v>
      </c>
      <c r="H1342" s="81" t="s">
        <v>31</v>
      </c>
      <c r="I1342" s="3">
        <v>4500</v>
      </c>
      <c r="J1342" s="3"/>
      <c r="K1342" s="26">
        <v>4500</v>
      </c>
      <c r="L1342" s="2">
        <v>6.2656000000000001</v>
      </c>
      <c r="M1342" s="2">
        <v>28195</v>
      </c>
      <c r="N1342" s="2">
        <v>28195</v>
      </c>
      <c r="O1342" s="2">
        <v>6.8783000000000003</v>
      </c>
      <c r="P1342" s="2">
        <v>0.61280000000000001</v>
      </c>
      <c r="Q1342" s="2">
        <v>2757.44</v>
      </c>
      <c r="R1342" s="4">
        <v>8.9086353127572598E-2</v>
      </c>
      <c r="T1342">
        <v>315065</v>
      </c>
      <c r="U1342" s="2">
        <v>28195</v>
      </c>
      <c r="V1342">
        <v>6161</v>
      </c>
      <c r="W1342" s="2">
        <v>6579000000</v>
      </c>
      <c r="X1342" s="6">
        <v>30952.44</v>
      </c>
      <c r="Y1342" s="38">
        <v>10010</v>
      </c>
      <c r="Z1342" s="86">
        <f>+((DETALLE_GD_1[[#This Row],[VALOR X UN (GD)]]-DETALLE_GD_1[[#This Row],[VALOR PPTO]])/DETALLE_GD_1[[#This Row],[VALOR PPTO]])</f>
        <v>-8.9077242923396804E-2</v>
      </c>
      <c r="AA1342" s="2">
        <f>+DETALLE_GD_1[[#This Row],[VALOR PPTO]]*DETALLE_GD_1[[#This Row],[CANTIDAD RECIBIDA]]</f>
        <v>30952.350000000002</v>
      </c>
      <c r="AB1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2" s="3">
        <f>+DETALLE_GD_1[[#This Row],[CANTIDAD SOLICITADA]]-DETALLE_GD_1[[#This Row],[DEVOLUCIÓN]]</f>
        <v>4500</v>
      </c>
      <c r="AD1342" s="38">
        <f>+_xlfn.XLOOKUP(DETALLE_GD_1[[#This Row],[CODIGO]],PRODUCTOS[CODIGO],PRODUCTOS[DESC CORTA],"",0)</f>
        <v>0</v>
      </c>
    </row>
    <row r="1343" spans="1:30" x14ac:dyDescent="0.25">
      <c r="A1343" s="1">
        <v>46153</v>
      </c>
      <c r="B1343" s="1">
        <v>46153</v>
      </c>
      <c r="C1343" s="81" t="s">
        <v>169</v>
      </c>
      <c r="D1343" s="38">
        <v>5</v>
      </c>
      <c r="E1343" s="81" t="s">
        <v>169</v>
      </c>
      <c r="F1343">
        <v>2304008</v>
      </c>
      <c r="G1343" s="81" t="s">
        <v>707</v>
      </c>
      <c r="H1343" s="81" t="s">
        <v>31</v>
      </c>
      <c r="I1343" s="3">
        <v>2</v>
      </c>
      <c r="J1343" s="3"/>
      <c r="K1343" s="26">
        <v>2</v>
      </c>
      <c r="L1343" s="2">
        <v>2550</v>
      </c>
      <c r="M1343" s="2">
        <v>5100</v>
      </c>
      <c r="N1343" s="2">
        <v>5100</v>
      </c>
      <c r="O1343" s="2"/>
      <c r="P1343" s="2"/>
      <c r="Q1343" s="2">
        <v>-5100</v>
      </c>
      <c r="R1343" s="4"/>
      <c r="T1343">
        <v>315088</v>
      </c>
      <c r="U1343" s="2">
        <v>2301490</v>
      </c>
      <c r="V1343">
        <v>6161</v>
      </c>
      <c r="W1343" s="2">
        <v>6579000000</v>
      </c>
      <c r="X1343" s="6" t="s">
        <v>355</v>
      </c>
      <c r="Y1343" s="38">
        <v>10010</v>
      </c>
      <c r="Z1343" s="86" t="e">
        <f>+((DETALLE_GD_1[[#This Row],[VALOR X UN (GD)]]-DETALLE_GD_1[[#This Row],[VALOR PPTO]])/DETALLE_GD_1[[#This Row],[VALOR PPTO]])</f>
        <v>#DIV/0!</v>
      </c>
      <c r="AA1343" s="2">
        <f>+DETALLE_GD_1[[#This Row],[VALOR PPTO]]*DETALLE_GD_1[[#This Row],[CANTIDAD RECIBIDA]]</f>
        <v>0</v>
      </c>
      <c r="AB1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3" s="3">
        <f>+DETALLE_GD_1[[#This Row],[CANTIDAD SOLICITADA]]-DETALLE_GD_1[[#This Row],[DEVOLUCIÓN]]</f>
        <v>2</v>
      </c>
      <c r="AD1343" s="38" t="str">
        <f>+_xlfn.XLOOKUP(DETALLE_GD_1[[#This Row],[CODIGO]],PRODUCTOS[CODIGO],PRODUCTOS[DESC CORTA],"",0)</f>
        <v/>
      </c>
    </row>
    <row r="1344" spans="1:30" x14ac:dyDescent="0.25">
      <c r="A1344" s="1">
        <v>46153</v>
      </c>
      <c r="B1344" s="1">
        <v>46153</v>
      </c>
      <c r="C1344" s="81" t="s">
        <v>169</v>
      </c>
      <c r="D1344" s="38">
        <v>5</v>
      </c>
      <c r="E1344" s="81" t="s">
        <v>169</v>
      </c>
      <c r="F1344">
        <v>1103076</v>
      </c>
      <c r="G1344" s="81" t="s">
        <v>311</v>
      </c>
      <c r="H1344" s="81" t="s">
        <v>31</v>
      </c>
      <c r="I1344" s="3">
        <v>6</v>
      </c>
      <c r="J1344" s="3"/>
      <c r="K1344" s="26">
        <v>6</v>
      </c>
      <c r="L1344" s="2">
        <v>3190.8332999999998</v>
      </c>
      <c r="M1344" s="2">
        <v>19145</v>
      </c>
      <c r="N1344" s="2">
        <v>19145</v>
      </c>
      <c r="O1344" s="2">
        <v>3191</v>
      </c>
      <c r="P1344" s="2">
        <v>0.16669999999999999</v>
      </c>
      <c r="Q1344" s="2">
        <v>1</v>
      </c>
      <c r="R1344" s="4">
        <v>5.2230230857572885E-5</v>
      </c>
      <c r="T1344">
        <v>315088</v>
      </c>
      <c r="U1344" s="2"/>
      <c r="V1344">
        <v>6161</v>
      </c>
      <c r="W1344" s="2">
        <v>6579000000</v>
      </c>
      <c r="X1344" s="6">
        <v>19146</v>
      </c>
      <c r="Y1344" s="38">
        <v>10010</v>
      </c>
      <c r="Z1344" s="86">
        <f>+((DETALLE_GD_1[[#This Row],[VALOR X UN (GD)]]-DETALLE_GD_1[[#This Row],[VALOR PPTO]])/DETALLE_GD_1[[#This Row],[VALOR PPTO]])</f>
        <v>-5.2240676903860547E-5</v>
      </c>
      <c r="AA1344" s="2">
        <f>+DETALLE_GD_1[[#This Row],[VALOR PPTO]]*DETALLE_GD_1[[#This Row],[CANTIDAD RECIBIDA]]</f>
        <v>19146</v>
      </c>
      <c r="AB1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4" s="3">
        <f>+DETALLE_GD_1[[#This Row],[CANTIDAD SOLICITADA]]-DETALLE_GD_1[[#This Row],[DEVOLUCIÓN]]</f>
        <v>6</v>
      </c>
      <c r="AD1344" s="38" t="str">
        <f>+_xlfn.XLOOKUP(DETALLE_GD_1[[#This Row],[CODIGO]],PRODUCTOS[CODIGO],PRODUCTOS[DESC CORTA],"",0)</f>
        <v>PERFIL ESQUINERO INTERIOR</v>
      </c>
    </row>
    <row r="1345" spans="1:30" x14ac:dyDescent="0.25">
      <c r="A1345" s="1">
        <v>46153</v>
      </c>
      <c r="B1345" s="1">
        <v>46153</v>
      </c>
      <c r="C1345" s="81" t="s">
        <v>169</v>
      </c>
      <c r="D1345" s="38">
        <v>5</v>
      </c>
      <c r="E1345" s="81" t="s">
        <v>169</v>
      </c>
      <c r="F1345">
        <v>705028</v>
      </c>
      <c r="G1345" s="81" t="s">
        <v>72</v>
      </c>
      <c r="H1345" s="81" t="s">
        <v>18</v>
      </c>
      <c r="I1345" s="3">
        <v>20</v>
      </c>
      <c r="J1345" s="3"/>
      <c r="K1345" s="26">
        <v>20</v>
      </c>
      <c r="L1345" s="2">
        <v>22787.5</v>
      </c>
      <c r="M1345" s="2">
        <v>455750</v>
      </c>
      <c r="N1345" s="2">
        <v>455750</v>
      </c>
      <c r="O1345" s="2">
        <v>22927.086200000002</v>
      </c>
      <c r="P1345" s="2">
        <v>139.58619999999999</v>
      </c>
      <c r="Q1345" s="2">
        <v>2791.7240999999999</v>
      </c>
      <c r="R1345" s="4">
        <v>6.0882663300398992E-3</v>
      </c>
      <c r="T1345">
        <v>315088</v>
      </c>
      <c r="U1345" s="2"/>
      <c r="V1345">
        <v>6161</v>
      </c>
      <c r="W1345" s="2">
        <v>6579000000</v>
      </c>
      <c r="X1345" s="6">
        <v>458541.72414000001</v>
      </c>
      <c r="Y1345" s="38">
        <v>10010</v>
      </c>
      <c r="Z1345" s="86">
        <f>+((DETALLE_GD_1[[#This Row],[VALOR X UN (GD)]]-DETALLE_GD_1[[#This Row],[VALOR PPTO]])/DETALLE_GD_1[[#This Row],[VALOR PPTO]])</f>
        <v>-6.0882660265830701E-3</v>
      </c>
      <c r="AA1345" s="2">
        <f>+DETALLE_GD_1[[#This Row],[VALOR PPTO]]*DETALLE_GD_1[[#This Row],[CANTIDAD RECIBIDA]]</f>
        <v>458541.72400000005</v>
      </c>
      <c r="AB13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45" s="3">
        <f>+DETALLE_GD_1[[#This Row],[CANTIDAD SOLICITADA]]-DETALLE_GD_1[[#This Row],[DEVOLUCIÓN]]</f>
        <v>20</v>
      </c>
      <c r="AD1345" s="38" t="str">
        <f>+_xlfn.XLOOKUP(DETALLE_GD_1[[#This Row],[CODIGO]],PRODUCTOS[CODIGO],PRODUCTOS[DESC CORTA],"",0)</f>
        <v>SIMPLISIMA</v>
      </c>
    </row>
    <row r="1346" spans="1:30" x14ac:dyDescent="0.25">
      <c r="A1346" s="1">
        <v>46153</v>
      </c>
      <c r="B1346" s="1">
        <v>46153</v>
      </c>
      <c r="C1346" s="81" t="s">
        <v>169</v>
      </c>
      <c r="D1346" s="38">
        <v>5</v>
      </c>
      <c r="E1346" s="81" t="s">
        <v>169</v>
      </c>
      <c r="F1346">
        <v>704021</v>
      </c>
      <c r="G1346" s="81" t="s">
        <v>329</v>
      </c>
      <c r="H1346" s="81" t="s">
        <v>31</v>
      </c>
      <c r="I1346" s="3">
        <v>18</v>
      </c>
      <c r="J1346" s="3"/>
      <c r="K1346" s="26">
        <v>18</v>
      </c>
      <c r="L1346" s="2">
        <v>487</v>
      </c>
      <c r="M1346" s="2">
        <v>8766</v>
      </c>
      <c r="N1346" s="2">
        <v>8766</v>
      </c>
      <c r="O1346" s="2">
        <v>487</v>
      </c>
      <c r="P1346" s="2">
        <v>0</v>
      </c>
      <c r="Q1346" s="2">
        <v>0</v>
      </c>
      <c r="R1346" s="4">
        <v>0</v>
      </c>
      <c r="T1346">
        <v>315088</v>
      </c>
      <c r="U1346" s="2"/>
      <c r="V1346">
        <v>6161</v>
      </c>
      <c r="W1346" s="2">
        <v>6579000000</v>
      </c>
      <c r="X1346" s="6">
        <v>8766</v>
      </c>
      <c r="Y1346" s="38">
        <v>10010</v>
      </c>
      <c r="Z1346" s="86">
        <f>+((DETALLE_GD_1[[#This Row],[VALOR X UN (GD)]]-DETALLE_GD_1[[#This Row],[VALOR PPTO]])/DETALLE_GD_1[[#This Row],[VALOR PPTO]])</f>
        <v>0</v>
      </c>
      <c r="AA1346" s="2">
        <f>+DETALLE_GD_1[[#This Row],[VALOR PPTO]]*DETALLE_GD_1[[#This Row],[CANTIDAD RECIBIDA]]</f>
        <v>8766</v>
      </c>
      <c r="AB1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6" s="3">
        <f>+DETALLE_GD_1[[#This Row],[CANTIDAD SOLICITADA]]-DETALLE_GD_1[[#This Row],[DEVOLUCIÓN]]</f>
        <v>18</v>
      </c>
      <c r="AD1346" s="38" t="str">
        <f>+_xlfn.XLOOKUP(DETALLE_GD_1[[#This Row],[CODIGO]],PRODUCTOS[CODIGO],PRODUCTOS[DESC CORTA],"",0)</f>
        <v>ESQUINERO PILASTRA PVC</v>
      </c>
    </row>
    <row r="1347" spans="1:30" x14ac:dyDescent="0.25">
      <c r="A1347" s="1">
        <v>46153</v>
      </c>
      <c r="B1347" s="1">
        <v>46153</v>
      </c>
      <c r="C1347" s="81" t="s">
        <v>169</v>
      </c>
      <c r="D1347" s="38">
        <v>5</v>
      </c>
      <c r="E1347" s="81" t="s">
        <v>169</v>
      </c>
      <c r="F1347">
        <v>307033</v>
      </c>
      <c r="G1347" s="81" t="s">
        <v>248</v>
      </c>
      <c r="H1347" s="81" t="s">
        <v>31</v>
      </c>
      <c r="I1347" s="3">
        <v>15</v>
      </c>
      <c r="J1347" s="3"/>
      <c r="K1347" s="26">
        <v>15</v>
      </c>
      <c r="L1347" s="2">
        <v>1889.6</v>
      </c>
      <c r="M1347" s="2">
        <v>28344</v>
      </c>
      <c r="N1347" s="2">
        <v>28344</v>
      </c>
      <c r="O1347" s="2">
        <v>1889.0535</v>
      </c>
      <c r="P1347" s="2">
        <v>-0.54649999999999999</v>
      </c>
      <c r="Q1347" s="2">
        <v>-8.1967999999999996</v>
      </c>
      <c r="R1347" s="4">
        <v>-2.8927501908862502E-4</v>
      </c>
      <c r="T1347">
        <v>315088</v>
      </c>
      <c r="U1347" s="2"/>
      <c r="V1347">
        <v>6161</v>
      </c>
      <c r="W1347" s="2">
        <v>6579000000</v>
      </c>
      <c r="X1347" s="6">
        <v>28335.803159999999</v>
      </c>
      <c r="Y1347" s="38">
        <v>10010</v>
      </c>
      <c r="Z1347" s="86">
        <f>+((DETALLE_GD_1[[#This Row],[VALOR X UN (GD)]]-DETALLE_GD_1[[#This Row],[VALOR PPTO]])/DETALLE_GD_1[[#This Row],[VALOR PPTO]])</f>
        <v>2.8929831791419546E-4</v>
      </c>
      <c r="AA1347" s="2">
        <f>+DETALLE_GD_1[[#This Row],[VALOR PPTO]]*DETALLE_GD_1[[#This Row],[CANTIDAD RECIBIDA]]</f>
        <v>28335.802499999998</v>
      </c>
      <c r="AB1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7" s="3">
        <f>+DETALLE_GD_1[[#This Row],[CANTIDAD SOLICITADA]]-DETALLE_GD_1[[#This Row],[DEVOLUCIÓN]]</f>
        <v>15</v>
      </c>
      <c r="AD1347" s="38">
        <f>+_xlfn.XLOOKUP(DETALLE_GD_1[[#This Row],[CODIGO]],PRODUCTOS[CODIGO],PRODUCTOS[DESC CORTA],"",0)</f>
        <v>0</v>
      </c>
    </row>
    <row r="1348" spans="1:30" x14ac:dyDescent="0.25">
      <c r="A1348" s="1">
        <v>46153</v>
      </c>
      <c r="B1348" s="1">
        <v>46153</v>
      </c>
      <c r="C1348" s="81" t="s">
        <v>169</v>
      </c>
      <c r="D1348" s="38">
        <v>5</v>
      </c>
      <c r="E1348" s="81" t="s">
        <v>169</v>
      </c>
      <c r="F1348">
        <v>404252</v>
      </c>
      <c r="G1348" s="81" t="s">
        <v>181</v>
      </c>
      <c r="H1348" s="81" t="s">
        <v>31</v>
      </c>
      <c r="I1348" s="3">
        <v>7</v>
      </c>
      <c r="J1348" s="3"/>
      <c r="K1348" s="26">
        <v>7</v>
      </c>
      <c r="L1348" s="2">
        <v>1110</v>
      </c>
      <c r="M1348" s="2">
        <v>7770</v>
      </c>
      <c r="N1348" s="2">
        <v>7770</v>
      </c>
      <c r="O1348" s="2">
        <v>1110.0438999999999</v>
      </c>
      <c r="P1348" s="2">
        <v>4.3900000000000002E-2</v>
      </c>
      <c r="Q1348" s="2">
        <v>0.30709999999999998</v>
      </c>
      <c r="R1348" s="4">
        <v>3.9526365532559117E-5</v>
      </c>
      <c r="T1348">
        <v>315088</v>
      </c>
      <c r="U1348" s="2"/>
      <c r="V1348">
        <v>6161</v>
      </c>
      <c r="W1348" s="2">
        <v>6579000000</v>
      </c>
      <c r="X1348" s="6">
        <v>7770.3071319999999</v>
      </c>
      <c r="Y1348" s="38">
        <v>10010</v>
      </c>
      <c r="Z1348" s="86">
        <f>+((DETALLE_GD_1[[#This Row],[VALOR X UN (GD)]]-DETALLE_GD_1[[#This Row],[VALOR PPTO]])/DETALLE_GD_1[[#This Row],[VALOR PPTO]])</f>
        <v>-3.9547985444444259E-5</v>
      </c>
      <c r="AA1348" s="2">
        <f>+DETALLE_GD_1[[#This Row],[VALOR PPTO]]*DETALLE_GD_1[[#This Row],[CANTIDAD RECIBIDA]]</f>
        <v>7770.3072999999995</v>
      </c>
      <c r="AB1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8" s="3">
        <f>+DETALLE_GD_1[[#This Row],[CANTIDAD SOLICITADA]]-DETALLE_GD_1[[#This Row],[DEVOLUCIÓN]]</f>
        <v>7</v>
      </c>
      <c r="AD1348" s="38">
        <f>+_xlfn.XLOOKUP(DETALLE_GD_1[[#This Row],[CODIGO]],PRODUCTOS[CODIGO],PRODUCTOS[DESC CORTA],"",0)</f>
        <v>0</v>
      </c>
    </row>
    <row r="1349" spans="1:30" x14ac:dyDescent="0.25">
      <c r="A1349" s="1">
        <v>46153</v>
      </c>
      <c r="B1349" s="1">
        <v>46153</v>
      </c>
      <c r="C1349" s="81" t="s">
        <v>169</v>
      </c>
      <c r="D1349" s="38">
        <v>5</v>
      </c>
      <c r="E1349" s="81" t="s">
        <v>169</v>
      </c>
      <c r="F1349">
        <v>704025</v>
      </c>
      <c r="G1349" s="81" t="s">
        <v>333</v>
      </c>
      <c r="H1349" s="81" t="s">
        <v>31</v>
      </c>
      <c r="I1349" s="3">
        <v>100</v>
      </c>
      <c r="J1349" s="3"/>
      <c r="K1349" s="26">
        <v>100</v>
      </c>
      <c r="L1349" s="2">
        <v>579.9</v>
      </c>
      <c r="M1349" s="2">
        <v>57990</v>
      </c>
      <c r="N1349" s="2">
        <v>57990</v>
      </c>
      <c r="O1349" s="2">
        <v>580</v>
      </c>
      <c r="P1349" s="2">
        <v>0.1</v>
      </c>
      <c r="Q1349" s="2">
        <v>10</v>
      </c>
      <c r="R1349" s="4">
        <v>1.7241379310348748E-4</v>
      </c>
      <c r="T1349">
        <v>315088</v>
      </c>
      <c r="U1349" s="2"/>
      <c r="V1349">
        <v>6161</v>
      </c>
      <c r="W1349" s="2">
        <v>6579000000</v>
      </c>
      <c r="X1349" s="6">
        <v>58000</v>
      </c>
      <c r="Y1349" s="38">
        <v>10010</v>
      </c>
      <c r="Z1349" s="86">
        <f>+((DETALLE_GD_1[[#This Row],[VALOR X UN (GD)]]-DETALLE_GD_1[[#This Row],[VALOR PPTO]])/DETALLE_GD_1[[#This Row],[VALOR PPTO]])</f>
        <v>-1.7241379310348748E-4</v>
      </c>
      <c r="AA1349" s="2">
        <f>+DETALLE_GD_1[[#This Row],[VALOR PPTO]]*DETALLE_GD_1[[#This Row],[CANTIDAD RECIBIDA]]</f>
        <v>58000</v>
      </c>
      <c r="AB1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9" s="3">
        <f>+DETALLE_GD_1[[#This Row],[CANTIDAD SOLICITADA]]-DETALLE_GD_1[[#This Row],[DEVOLUCIÓN]]</f>
        <v>100</v>
      </c>
      <c r="AD1349" s="38" t="str">
        <f>+_xlfn.XLOOKUP(DETALLE_GD_1[[#This Row],[CODIGO]],PRODUCTOS[CODIGO],PRODUCTOS[DESC CORTA],"",0)</f>
        <v>ESQUINERO GUARDAPOLVO EXTERIOR</v>
      </c>
    </row>
    <row r="1350" spans="1:30" x14ac:dyDescent="0.25">
      <c r="A1350" s="1">
        <v>46153</v>
      </c>
      <c r="B1350" s="1">
        <v>46153</v>
      </c>
      <c r="C1350" s="81" t="s">
        <v>169</v>
      </c>
      <c r="D1350" s="38">
        <v>5</v>
      </c>
      <c r="E1350" s="81" t="s">
        <v>169</v>
      </c>
      <c r="F1350">
        <v>704023</v>
      </c>
      <c r="G1350" s="81" t="s">
        <v>331</v>
      </c>
      <c r="H1350" s="81" t="s">
        <v>31</v>
      </c>
      <c r="I1350" s="3">
        <v>100</v>
      </c>
      <c r="J1350" s="3"/>
      <c r="K1350" s="26">
        <v>100</v>
      </c>
      <c r="L1350" s="2">
        <v>324</v>
      </c>
      <c r="M1350" s="2">
        <v>32400</v>
      </c>
      <c r="N1350" s="2">
        <v>32400</v>
      </c>
      <c r="O1350" s="2">
        <v>324</v>
      </c>
      <c r="P1350" s="2">
        <v>0</v>
      </c>
      <c r="Q1350" s="2">
        <v>0</v>
      </c>
      <c r="R1350" s="4">
        <v>0</v>
      </c>
      <c r="T1350">
        <v>315088</v>
      </c>
      <c r="U1350" s="2"/>
      <c r="V1350">
        <v>6161</v>
      </c>
      <c r="W1350" s="2">
        <v>6579000000</v>
      </c>
      <c r="X1350" s="6">
        <v>32400</v>
      </c>
      <c r="Y1350" s="38">
        <v>10010</v>
      </c>
      <c r="Z1350" s="86">
        <f>+((DETALLE_GD_1[[#This Row],[VALOR X UN (GD)]]-DETALLE_GD_1[[#This Row],[VALOR PPTO]])/DETALLE_GD_1[[#This Row],[VALOR PPTO]])</f>
        <v>0</v>
      </c>
      <c r="AA1350" s="2">
        <f>+DETALLE_GD_1[[#This Row],[VALOR PPTO]]*DETALLE_GD_1[[#This Row],[CANTIDAD RECIBIDA]]</f>
        <v>32400</v>
      </c>
      <c r="AB1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0" s="3">
        <f>+DETALLE_GD_1[[#This Row],[CANTIDAD SOLICITADA]]-DETALLE_GD_1[[#This Row],[DEVOLUCIÓN]]</f>
        <v>100</v>
      </c>
      <c r="AD1350" s="38" t="str">
        <f>+_xlfn.XLOOKUP(DETALLE_GD_1[[#This Row],[CODIGO]],PRODUCTOS[CODIGO],PRODUCTOS[DESC CORTA],"",0)</f>
        <v>ESQUINERO GUARDAPOLVO INTERIOR</v>
      </c>
    </row>
    <row r="1351" spans="1:30" x14ac:dyDescent="0.25">
      <c r="A1351" s="1">
        <v>46153</v>
      </c>
      <c r="B1351" s="1">
        <v>46153</v>
      </c>
      <c r="C1351" s="81" t="s">
        <v>169</v>
      </c>
      <c r="D1351" s="38">
        <v>5</v>
      </c>
      <c r="E1351" s="81" t="s">
        <v>169</v>
      </c>
      <c r="F1351">
        <v>307030</v>
      </c>
      <c r="G1351" s="81" t="s">
        <v>64</v>
      </c>
      <c r="H1351" s="81" t="s">
        <v>31</v>
      </c>
      <c r="I1351" s="3">
        <v>100</v>
      </c>
      <c r="J1351" s="3"/>
      <c r="K1351" s="26">
        <v>100</v>
      </c>
      <c r="L1351" s="2">
        <v>2730</v>
      </c>
      <c r="M1351" s="2">
        <v>273000</v>
      </c>
      <c r="N1351" s="2">
        <v>273000</v>
      </c>
      <c r="O1351" s="2">
        <v>2729.9989</v>
      </c>
      <c r="P1351" s="2">
        <v>-1.1000000000000001E-3</v>
      </c>
      <c r="Q1351" s="2">
        <v>-0.1144</v>
      </c>
      <c r="R1351" s="4">
        <v>-4.190477945900508E-7</v>
      </c>
      <c r="T1351">
        <v>315088</v>
      </c>
      <c r="U1351" s="2"/>
      <c r="V1351">
        <v>6161</v>
      </c>
      <c r="W1351" s="2">
        <v>6579000000</v>
      </c>
      <c r="X1351" s="6">
        <v>272999.88560000004</v>
      </c>
      <c r="Y1351" s="38">
        <v>10010</v>
      </c>
      <c r="Z1351" s="86">
        <f>+((DETALLE_GD_1[[#This Row],[VALOR X UN (GD)]]-DETALLE_GD_1[[#This Row],[VALOR PPTO]])/DETALLE_GD_1[[#This Row],[VALOR PPTO]])</f>
        <v>4.0293056526552117E-7</v>
      </c>
      <c r="AA1351" s="2">
        <f>+DETALLE_GD_1[[#This Row],[VALOR PPTO]]*DETALLE_GD_1[[#This Row],[CANTIDAD RECIBIDA]]</f>
        <v>272999.89</v>
      </c>
      <c r="AB1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1" s="3">
        <f>+DETALLE_GD_1[[#This Row],[CANTIDAD SOLICITADA]]-DETALLE_GD_1[[#This Row],[DEVOLUCIÓN]]</f>
        <v>100</v>
      </c>
      <c r="AD1351" s="38" t="str">
        <f>+_xlfn.XLOOKUP(DETALLE_GD_1[[#This Row],[CODIGO]],PRODUCTOS[CODIGO],PRODUCTOS[DESC CORTA],"",0)</f>
        <v>GUARDAPOLVO BLANCO</v>
      </c>
    </row>
    <row r="1352" spans="1:30" x14ac:dyDescent="0.25">
      <c r="A1352" s="1">
        <v>46153</v>
      </c>
      <c r="B1352" s="1">
        <v>46153</v>
      </c>
      <c r="C1352" s="81" t="s">
        <v>169</v>
      </c>
      <c r="D1352" s="38">
        <v>5</v>
      </c>
      <c r="E1352" s="81" t="s">
        <v>169</v>
      </c>
      <c r="F1352">
        <v>704024</v>
      </c>
      <c r="G1352" s="81" t="s">
        <v>332</v>
      </c>
      <c r="H1352" s="81" t="s">
        <v>31</v>
      </c>
      <c r="I1352" s="3">
        <v>7</v>
      </c>
      <c r="J1352" s="3"/>
      <c r="K1352" s="26">
        <v>7</v>
      </c>
      <c r="L1352" s="2">
        <v>318</v>
      </c>
      <c r="M1352" s="2">
        <v>2226</v>
      </c>
      <c r="N1352" s="2">
        <v>2226</v>
      </c>
      <c r="O1352" s="2">
        <v>363</v>
      </c>
      <c r="P1352" s="2">
        <v>45</v>
      </c>
      <c r="Q1352" s="2">
        <v>315</v>
      </c>
      <c r="R1352" s="4">
        <v>0.12396694214876032</v>
      </c>
      <c r="T1352">
        <v>315088</v>
      </c>
      <c r="U1352" s="2"/>
      <c r="V1352">
        <v>6161</v>
      </c>
      <c r="W1352" s="2">
        <v>6579000000</v>
      </c>
      <c r="X1352" s="6">
        <v>2541</v>
      </c>
      <c r="Y1352" s="38">
        <v>10010</v>
      </c>
      <c r="Z1352" s="86">
        <f>+((DETALLE_GD_1[[#This Row],[VALOR X UN (GD)]]-DETALLE_GD_1[[#This Row],[VALOR PPTO]])/DETALLE_GD_1[[#This Row],[VALOR PPTO]])</f>
        <v>-0.12396694214876033</v>
      </c>
      <c r="AA1352" s="2">
        <f>+DETALLE_GD_1[[#This Row],[VALOR PPTO]]*DETALLE_GD_1[[#This Row],[CANTIDAD RECIBIDA]]</f>
        <v>2541</v>
      </c>
      <c r="AB1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2" s="3">
        <f>+DETALLE_GD_1[[#This Row],[CANTIDAD SOLICITADA]]-DETALLE_GD_1[[#This Row],[DEVOLUCIÓN]]</f>
        <v>7</v>
      </c>
      <c r="AD1352" s="38" t="str">
        <f>+_xlfn.XLOOKUP(DETALLE_GD_1[[#This Row],[CODIGO]],PRODUCTOS[CODIGO],PRODUCTOS[DESC CORTA],"",0)</f>
        <v>ESQUINERO CORNIZA EXTERIOR</v>
      </c>
    </row>
    <row r="1353" spans="1:30" x14ac:dyDescent="0.25">
      <c r="A1353" s="1">
        <v>46153</v>
      </c>
      <c r="B1353" s="1">
        <v>46153</v>
      </c>
      <c r="C1353" s="81" t="s">
        <v>169</v>
      </c>
      <c r="D1353" s="38">
        <v>5</v>
      </c>
      <c r="E1353" s="81" t="s">
        <v>169</v>
      </c>
      <c r="F1353">
        <v>307031</v>
      </c>
      <c r="G1353" s="81" t="s">
        <v>65</v>
      </c>
      <c r="H1353" s="81" t="s">
        <v>31</v>
      </c>
      <c r="I1353" s="3">
        <v>30</v>
      </c>
      <c r="J1353" s="3"/>
      <c r="K1353" s="26">
        <v>30</v>
      </c>
      <c r="L1353" s="2">
        <v>2700</v>
      </c>
      <c r="M1353" s="2">
        <v>81000</v>
      </c>
      <c r="N1353" s="2">
        <v>81000</v>
      </c>
      <c r="O1353" s="2">
        <v>2699.9985999999999</v>
      </c>
      <c r="P1353" s="2">
        <v>-1.4E-3</v>
      </c>
      <c r="Q1353" s="2">
        <v>-4.1799999999999997E-2</v>
      </c>
      <c r="R1353" s="4">
        <v>-5.1666693335944687E-7</v>
      </c>
      <c r="T1353">
        <v>315088</v>
      </c>
      <c r="U1353" s="2"/>
      <c r="V1353">
        <v>6161</v>
      </c>
      <c r="W1353" s="2">
        <v>6579000000</v>
      </c>
      <c r="X1353" s="6">
        <v>80999.95815000002</v>
      </c>
      <c r="Y1353" s="38">
        <v>10010</v>
      </c>
      <c r="Z1353" s="86">
        <f>+((DETALLE_GD_1[[#This Row],[VALOR X UN (GD)]]-DETALLE_GD_1[[#This Row],[VALOR PPTO]])/DETALLE_GD_1[[#This Row],[VALOR PPTO]])</f>
        <v>5.1851878741837811E-7</v>
      </c>
      <c r="AA1353" s="2">
        <f>+DETALLE_GD_1[[#This Row],[VALOR PPTO]]*DETALLE_GD_1[[#This Row],[CANTIDAD RECIBIDA]]</f>
        <v>80999.957999999999</v>
      </c>
      <c r="AB1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3" s="3">
        <f>+DETALLE_GD_1[[#This Row],[CANTIDAD SOLICITADA]]-DETALLE_GD_1[[#This Row],[DEVOLUCIÓN]]</f>
        <v>30</v>
      </c>
      <c r="AD1353" s="38" t="str">
        <f>+_xlfn.XLOOKUP(DETALLE_GD_1[[#This Row],[CODIGO]],PRODUCTOS[CODIGO],PRODUCTOS[DESC CORTA],"",0)</f>
        <v>CORNIZA BLANCA</v>
      </c>
    </row>
    <row r="1354" spans="1:30" x14ac:dyDescent="0.25">
      <c r="A1354" s="1">
        <v>46153</v>
      </c>
      <c r="B1354" s="1">
        <v>46153</v>
      </c>
      <c r="C1354" s="81" t="s">
        <v>169</v>
      </c>
      <c r="D1354" s="38">
        <v>5</v>
      </c>
      <c r="E1354" s="81" t="s">
        <v>169</v>
      </c>
      <c r="F1354">
        <v>307096</v>
      </c>
      <c r="G1354" s="81" t="s">
        <v>249</v>
      </c>
      <c r="H1354" s="81" t="s">
        <v>137</v>
      </c>
      <c r="I1354" s="3">
        <v>41</v>
      </c>
      <c r="J1354" s="3"/>
      <c r="K1354" s="26">
        <v>41</v>
      </c>
      <c r="L1354" s="2">
        <v>1795.6098</v>
      </c>
      <c r="M1354" s="2">
        <v>73620</v>
      </c>
      <c r="N1354" s="2">
        <v>73620</v>
      </c>
      <c r="O1354" s="2">
        <v>2095.3501000000001</v>
      </c>
      <c r="P1354" s="2">
        <v>299.74040000000002</v>
      </c>
      <c r="Q1354" s="2">
        <v>12289.355299999999</v>
      </c>
      <c r="R1354" s="4">
        <v>0.14305025625740561</v>
      </c>
      <c r="T1354">
        <v>315088</v>
      </c>
      <c r="U1354" s="2"/>
      <c r="V1354">
        <v>6161</v>
      </c>
      <c r="W1354" s="2">
        <v>6579000000</v>
      </c>
      <c r="X1354" s="6">
        <v>85909.355288999941</v>
      </c>
      <c r="Y1354" s="38">
        <v>10010</v>
      </c>
      <c r="Z1354" s="86">
        <f>+((DETALLE_GD_1[[#This Row],[VALOR X UN (GD)]]-DETALLE_GD_1[[#This Row],[VALOR PPTO]])/DETALLE_GD_1[[#This Row],[VALOR PPTO]])</f>
        <v>-0.14305022344475996</v>
      </c>
      <c r="AA1354" s="2">
        <f>+DETALLE_GD_1[[#This Row],[VALOR PPTO]]*DETALLE_GD_1[[#This Row],[CANTIDAD RECIBIDA]]</f>
        <v>85909.354100000011</v>
      </c>
      <c r="AB13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54" s="3">
        <f>+DETALLE_GD_1[[#This Row],[CANTIDAD SOLICITADA]]-DETALLE_GD_1[[#This Row],[DEVOLUCIÓN]]</f>
        <v>41</v>
      </c>
      <c r="AD1354" s="38" t="str">
        <f>+_xlfn.XLOOKUP(DETALLE_GD_1[[#This Row],[CODIGO]],PRODUCTOS[CODIGO],PRODUCTOS[DESC CORTA],"",0)</f>
        <v>CUBREJUNTA</v>
      </c>
    </row>
    <row r="1355" spans="1:30" x14ac:dyDescent="0.25">
      <c r="A1355" s="1">
        <v>46153</v>
      </c>
      <c r="B1355" s="1">
        <v>46153</v>
      </c>
      <c r="C1355" s="81" t="s">
        <v>169</v>
      </c>
      <c r="D1355" s="38">
        <v>5</v>
      </c>
      <c r="E1355" s="81" t="s">
        <v>169</v>
      </c>
      <c r="F1355">
        <v>307032</v>
      </c>
      <c r="G1355" s="81" t="s">
        <v>186</v>
      </c>
      <c r="H1355" s="81" t="s">
        <v>137</v>
      </c>
      <c r="I1355" s="3">
        <v>16</v>
      </c>
      <c r="J1355" s="3"/>
      <c r="K1355" s="26">
        <v>16</v>
      </c>
      <c r="L1355" s="2">
        <v>2280.125</v>
      </c>
      <c r="M1355" s="2">
        <v>36482</v>
      </c>
      <c r="N1355" s="2">
        <v>36482</v>
      </c>
      <c r="O1355" s="2">
        <v>2378.375</v>
      </c>
      <c r="P1355" s="2">
        <v>98.25</v>
      </c>
      <c r="Q1355" s="2">
        <v>1572.0007000000001</v>
      </c>
      <c r="R1355" s="4">
        <v>4.1309734296021729E-2</v>
      </c>
      <c r="T1355">
        <v>315088</v>
      </c>
      <c r="U1355" s="2"/>
      <c r="V1355">
        <v>6161</v>
      </c>
      <c r="W1355" s="2">
        <v>6579000000</v>
      </c>
      <c r="X1355" s="6">
        <v>38054.000655999997</v>
      </c>
      <c r="Y1355" s="38">
        <v>10010</v>
      </c>
      <c r="Z1355" s="86">
        <f>+((DETALLE_GD_1[[#This Row],[VALOR X UN (GD)]]-DETALLE_GD_1[[#This Row],[VALOR PPTO]])/DETALLE_GD_1[[#This Row],[VALOR PPTO]])</f>
        <v>-4.1309717769485471E-2</v>
      </c>
      <c r="AA1355" s="2">
        <f>+DETALLE_GD_1[[#This Row],[VALOR PPTO]]*DETALLE_GD_1[[#This Row],[CANTIDAD RECIBIDA]]</f>
        <v>38054</v>
      </c>
      <c r="AB1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5" s="3">
        <f>+DETALLE_GD_1[[#This Row],[CANTIDAD SOLICITADA]]-DETALLE_GD_1[[#This Row],[DEVOLUCIÓN]]</f>
        <v>16</v>
      </c>
      <c r="AD1355" s="38">
        <f>+_xlfn.XLOOKUP(DETALLE_GD_1[[#This Row],[CODIGO]],PRODUCTOS[CODIGO],PRODUCTOS[DESC CORTA],"",0)</f>
        <v>0</v>
      </c>
    </row>
    <row r="1356" spans="1:30" x14ac:dyDescent="0.25">
      <c r="A1356" s="1">
        <v>46153</v>
      </c>
      <c r="B1356" s="1">
        <v>46153</v>
      </c>
      <c r="C1356" s="81" t="s">
        <v>169</v>
      </c>
      <c r="D1356" s="38">
        <v>5</v>
      </c>
      <c r="E1356" s="81" t="s">
        <v>169</v>
      </c>
      <c r="F1356">
        <v>5314002</v>
      </c>
      <c r="G1356" s="81" t="s">
        <v>342</v>
      </c>
      <c r="H1356" s="81" t="s">
        <v>31</v>
      </c>
      <c r="I1356" s="3">
        <v>1</v>
      </c>
      <c r="J1356" s="3"/>
      <c r="K1356" s="26">
        <v>1</v>
      </c>
      <c r="L1356" s="2">
        <v>312</v>
      </c>
      <c r="M1356" s="2">
        <v>312</v>
      </c>
      <c r="N1356" s="2">
        <v>312</v>
      </c>
      <c r="O1356" s="2">
        <v>311.91989999999998</v>
      </c>
      <c r="P1356" s="2">
        <v>-8.0100000000000005E-2</v>
      </c>
      <c r="Q1356" s="2">
        <v>-8.0100000000000005E-2</v>
      </c>
      <c r="R1356" s="4">
        <v>-2.569057271907998E-4</v>
      </c>
      <c r="T1356">
        <v>315088</v>
      </c>
      <c r="U1356" s="2"/>
      <c r="V1356">
        <v>6161</v>
      </c>
      <c r="W1356" s="2">
        <v>6579000000</v>
      </c>
      <c r="X1356" s="6">
        <v>311.91986600000001</v>
      </c>
      <c r="Y1356" s="38">
        <v>10010</v>
      </c>
      <c r="Z1356" s="86">
        <f>+((DETALLE_GD_1[[#This Row],[VALOR X UN (GD)]]-DETALLE_GD_1[[#This Row],[VALOR PPTO]])/DETALLE_GD_1[[#This Row],[VALOR PPTO]])</f>
        <v>2.5679669684433674E-4</v>
      </c>
      <c r="AA1356" s="2">
        <f>+DETALLE_GD_1[[#This Row],[VALOR PPTO]]*DETALLE_GD_1[[#This Row],[CANTIDAD RECIBIDA]]</f>
        <v>311.91989999999998</v>
      </c>
      <c r="AB1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6" s="3">
        <f>+DETALLE_GD_1[[#This Row],[CANTIDAD SOLICITADA]]-DETALLE_GD_1[[#This Row],[DEVOLUCIÓN]]</f>
        <v>1</v>
      </c>
      <c r="AD1356" s="38" t="str">
        <f>+_xlfn.XLOOKUP(DETALLE_GD_1[[#This Row],[CODIGO]],PRODUCTOS[CODIGO],PRODUCTOS[DESC CORTA],"",0)</f>
        <v>CINTA EMBALAJE TRANSPARENTE</v>
      </c>
    </row>
    <row r="1357" spans="1:30" x14ac:dyDescent="0.25">
      <c r="A1357" s="1">
        <v>46153</v>
      </c>
      <c r="B1357" s="1">
        <v>46153</v>
      </c>
      <c r="C1357" s="81" t="s">
        <v>169</v>
      </c>
      <c r="D1357" s="38">
        <v>5</v>
      </c>
      <c r="E1357" s="81" t="s">
        <v>169</v>
      </c>
      <c r="F1357">
        <v>1610023</v>
      </c>
      <c r="G1357" s="81" t="s">
        <v>351</v>
      </c>
      <c r="H1357" s="81" t="s">
        <v>28</v>
      </c>
      <c r="I1357" s="3">
        <v>1</v>
      </c>
      <c r="J1357" s="3"/>
      <c r="K1357" s="26">
        <v>1</v>
      </c>
      <c r="L1357" s="2">
        <v>2278</v>
      </c>
      <c r="M1357" s="2">
        <v>2278</v>
      </c>
      <c r="N1357" s="2">
        <v>2278</v>
      </c>
      <c r="O1357" s="2">
        <v>2109.0585000000001</v>
      </c>
      <c r="P1357" s="2">
        <v>-168.94149999999999</v>
      </c>
      <c r="Q1357" s="2">
        <v>-168.94149999999999</v>
      </c>
      <c r="R1357" s="4">
        <v>-8.0102782656660737E-2</v>
      </c>
      <c r="T1357">
        <v>315088</v>
      </c>
      <c r="U1357" s="2"/>
      <c r="V1357">
        <v>6161</v>
      </c>
      <c r="W1357" s="2">
        <v>6579000000</v>
      </c>
      <c r="X1357" s="6">
        <v>2109.0585420000002</v>
      </c>
      <c r="Y1357" s="38">
        <v>10010</v>
      </c>
      <c r="Z1357" s="86">
        <f>+((DETALLE_GD_1[[#This Row],[VALOR X UN (GD)]]-DETALLE_GD_1[[#This Row],[VALOR PPTO]])/DETALLE_GD_1[[#This Row],[VALOR PPTO]])</f>
        <v>8.0102804165934655E-2</v>
      </c>
      <c r="AA1357" s="2">
        <f>+DETALLE_GD_1[[#This Row],[VALOR PPTO]]*DETALLE_GD_1[[#This Row],[CANTIDAD RECIBIDA]]</f>
        <v>2109.0585000000001</v>
      </c>
      <c r="AB1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7" s="3">
        <f>+DETALLE_GD_1[[#This Row],[CANTIDAD SOLICITADA]]-DETALLE_GD_1[[#This Row],[DEVOLUCIÓN]]</f>
        <v>1</v>
      </c>
      <c r="AD1357" s="38" t="str">
        <f>+_xlfn.XLOOKUP(DETALLE_GD_1[[#This Row],[CODIGO]],PRODUCTOS[CODIGO],PRODUCTOS[DESC CORTA],"",0)</f>
        <v>TRAPOS DE ASEO</v>
      </c>
    </row>
    <row r="1358" spans="1:30" x14ac:dyDescent="0.25">
      <c r="A1358" s="1">
        <v>46153</v>
      </c>
      <c r="B1358" s="1">
        <v>46153</v>
      </c>
      <c r="C1358" s="81" t="s">
        <v>169</v>
      </c>
      <c r="D1358" s="38">
        <v>5</v>
      </c>
      <c r="E1358" s="81" t="s">
        <v>169</v>
      </c>
      <c r="F1358">
        <v>1610007</v>
      </c>
      <c r="G1358" s="81" t="s">
        <v>334</v>
      </c>
      <c r="H1358" s="81" t="s">
        <v>28</v>
      </c>
      <c r="I1358" s="3">
        <v>2</v>
      </c>
      <c r="J1358" s="3"/>
      <c r="K1358" s="26">
        <v>2</v>
      </c>
      <c r="L1358" s="2">
        <v>1622</v>
      </c>
      <c r="M1358" s="2">
        <v>3244</v>
      </c>
      <c r="N1358" s="2">
        <v>3244</v>
      </c>
      <c r="O1358" s="2">
        <v>1624.4739999999999</v>
      </c>
      <c r="P1358" s="2">
        <v>2.4740000000000002</v>
      </c>
      <c r="Q1358" s="2">
        <v>4.9481000000000002</v>
      </c>
      <c r="R1358" s="4">
        <v>1.5229772490355615E-3</v>
      </c>
      <c r="T1358">
        <v>315088</v>
      </c>
      <c r="U1358" s="2"/>
      <c r="V1358">
        <v>6161</v>
      </c>
      <c r="W1358" s="2">
        <v>6579000000</v>
      </c>
      <c r="X1358" s="6">
        <v>3248.9480739999999</v>
      </c>
      <c r="Y1358" s="38">
        <v>10010</v>
      </c>
      <c r="Z1358" s="86">
        <f>+((DETALLE_GD_1[[#This Row],[VALOR X UN (GD)]]-DETALLE_GD_1[[#This Row],[VALOR PPTO]])/DETALLE_GD_1[[#This Row],[VALOR PPTO]])</f>
        <v>-1.5229545071204172E-3</v>
      </c>
      <c r="AA1358" s="2">
        <f>+DETALLE_GD_1[[#This Row],[VALOR PPTO]]*DETALLE_GD_1[[#This Row],[CANTIDAD RECIBIDA]]</f>
        <v>3248.9479999999999</v>
      </c>
      <c r="AB1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8" s="3">
        <f>+DETALLE_GD_1[[#This Row],[CANTIDAD SOLICITADA]]-DETALLE_GD_1[[#This Row],[DEVOLUCIÓN]]</f>
        <v>2</v>
      </c>
      <c r="AD1358" s="38" t="str">
        <f>+_xlfn.XLOOKUP(DETALLE_GD_1[[#This Row],[CODIGO]],PRODUCTOS[CODIGO],PRODUCTOS[DESC CORTA],"",0)</f>
        <v>HUAIPE BLANCO BOLSA</v>
      </c>
    </row>
    <row r="1359" spans="1:30" x14ac:dyDescent="0.25">
      <c r="A1359" s="1">
        <v>46153</v>
      </c>
      <c r="B1359" s="1">
        <v>46153</v>
      </c>
      <c r="C1359" s="81" t="s">
        <v>169</v>
      </c>
      <c r="D1359" s="38">
        <v>5</v>
      </c>
      <c r="E1359" s="81" t="s">
        <v>169</v>
      </c>
      <c r="F1359">
        <v>608013</v>
      </c>
      <c r="G1359" s="81" t="s">
        <v>328</v>
      </c>
      <c r="H1359" s="81" t="s">
        <v>31</v>
      </c>
      <c r="I1359" s="3">
        <v>1</v>
      </c>
      <c r="J1359" s="3"/>
      <c r="K1359" s="26">
        <v>1</v>
      </c>
      <c r="L1359" s="2">
        <v>8472</v>
      </c>
      <c r="M1359" s="2">
        <v>8472</v>
      </c>
      <c r="N1359" s="2">
        <v>8472</v>
      </c>
      <c r="O1359" s="2">
        <v>8471</v>
      </c>
      <c r="P1359" s="2">
        <v>-1</v>
      </c>
      <c r="Q1359" s="2">
        <v>-1</v>
      </c>
      <c r="R1359" s="4">
        <v>-1.180498170227836E-4</v>
      </c>
      <c r="T1359">
        <v>315088</v>
      </c>
      <c r="U1359" s="2"/>
      <c r="V1359">
        <v>6161</v>
      </c>
      <c r="W1359" s="2">
        <v>6579000000</v>
      </c>
      <c r="X1359" s="6">
        <v>8471</v>
      </c>
      <c r="Y1359" s="38">
        <v>10010</v>
      </c>
      <c r="Z1359" s="86">
        <f>+((DETALLE_GD_1[[#This Row],[VALOR X UN (GD)]]-DETALLE_GD_1[[#This Row],[VALOR PPTO]])/DETALLE_GD_1[[#This Row],[VALOR PPTO]])</f>
        <v>1.1804981702278361E-4</v>
      </c>
      <c r="AA1359" s="2">
        <f>+DETALLE_GD_1[[#This Row],[VALOR PPTO]]*DETALLE_GD_1[[#This Row],[CANTIDAD RECIBIDA]]</f>
        <v>8471</v>
      </c>
      <c r="AB1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9" s="3">
        <f>+DETALLE_GD_1[[#This Row],[CANTIDAD SOLICITADA]]-DETALLE_GD_1[[#This Row],[DEVOLUCIÓN]]</f>
        <v>1</v>
      </c>
      <c r="AD1359" s="38" t="str">
        <f>+_xlfn.XLOOKUP(DETALLE_GD_1[[#This Row],[CODIGO]],PRODUCTOS[CODIGO],PRODUCTOS[DESC CORTA],"",0)</f>
        <v>PASTA RETAPE</v>
      </c>
    </row>
    <row r="1360" spans="1:30" x14ac:dyDescent="0.25">
      <c r="A1360" s="1">
        <v>46153</v>
      </c>
      <c r="B1360" s="1">
        <v>46153</v>
      </c>
      <c r="C1360" s="81" t="s">
        <v>169</v>
      </c>
      <c r="D1360" s="38">
        <v>5</v>
      </c>
      <c r="E1360" s="81" t="s">
        <v>169</v>
      </c>
      <c r="F1360">
        <v>304012</v>
      </c>
      <c r="G1360" s="81" t="s">
        <v>710</v>
      </c>
      <c r="H1360" s="81" t="s">
        <v>18</v>
      </c>
      <c r="I1360" s="3">
        <v>4</v>
      </c>
      <c r="J1360" s="3"/>
      <c r="K1360" s="26">
        <v>4</v>
      </c>
      <c r="L1360" s="2">
        <v>6004.5</v>
      </c>
      <c r="M1360" s="2">
        <v>24018</v>
      </c>
      <c r="N1360" s="2">
        <v>24018</v>
      </c>
      <c r="O1360" s="2">
        <v>0</v>
      </c>
      <c r="P1360" s="2">
        <v>-6004.5</v>
      </c>
      <c r="Q1360" s="2">
        <v>-24018</v>
      </c>
      <c r="R1360" s="4"/>
      <c r="T1360">
        <v>315088</v>
      </c>
      <c r="U1360" s="2"/>
      <c r="V1360">
        <v>6161</v>
      </c>
      <c r="W1360" s="2">
        <v>6579000000</v>
      </c>
      <c r="X1360" s="6">
        <v>0</v>
      </c>
      <c r="Y1360" s="38">
        <v>10010</v>
      </c>
      <c r="Z1360" s="86" t="e">
        <f>+((DETALLE_GD_1[[#This Row],[VALOR X UN (GD)]]-DETALLE_GD_1[[#This Row],[VALOR PPTO]])/DETALLE_GD_1[[#This Row],[VALOR PPTO]])</f>
        <v>#DIV/0!</v>
      </c>
      <c r="AA1360" s="2">
        <f>+DETALLE_GD_1[[#This Row],[VALOR PPTO]]*DETALLE_GD_1[[#This Row],[CANTIDAD RECIBIDA]]</f>
        <v>0</v>
      </c>
      <c r="AB1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0" s="3">
        <f>+DETALLE_GD_1[[#This Row],[CANTIDAD SOLICITADA]]-DETALLE_GD_1[[#This Row],[DEVOLUCIÓN]]</f>
        <v>4</v>
      </c>
      <c r="AD1360" s="38" t="str">
        <f>+_xlfn.XLOOKUP(DETALLE_GD_1[[#This Row],[CODIGO]],PRODUCTOS[CODIGO],PRODUCTOS[DESC CORTA],"",0)</f>
        <v/>
      </c>
    </row>
    <row r="1361" spans="1:30" x14ac:dyDescent="0.25">
      <c r="A1361" s="1">
        <v>46153</v>
      </c>
      <c r="B1361" s="1">
        <v>46153</v>
      </c>
      <c r="C1361" s="81" t="s">
        <v>169</v>
      </c>
      <c r="D1361" s="38">
        <v>5</v>
      </c>
      <c r="E1361" s="81" t="s">
        <v>169</v>
      </c>
      <c r="F1361" t="s">
        <v>760</v>
      </c>
      <c r="G1361" s="81" t="s">
        <v>226</v>
      </c>
      <c r="H1361" s="81" t="s">
        <v>36</v>
      </c>
      <c r="I1361" s="3">
        <v>1</v>
      </c>
      <c r="J1361" s="3"/>
      <c r="K1361" s="26">
        <v>1</v>
      </c>
      <c r="L1361" s="2">
        <v>49031</v>
      </c>
      <c r="M1361" s="2">
        <v>49031</v>
      </c>
      <c r="N1361" s="2">
        <v>49031</v>
      </c>
      <c r="O1361" s="2">
        <v>49030.713300000003</v>
      </c>
      <c r="P1361" s="2">
        <v>-0.28670000000000001</v>
      </c>
      <c r="Q1361" s="2">
        <v>-0.28670000000000001</v>
      </c>
      <c r="R1361" s="4">
        <v>-5.8472940873648096E-6</v>
      </c>
      <c r="T1361">
        <v>315088</v>
      </c>
      <c r="U1361" s="2"/>
      <c r="V1361">
        <v>6161</v>
      </c>
      <c r="W1361" s="2">
        <v>6579000000</v>
      </c>
      <c r="X1361" s="6">
        <v>49030.713302999997</v>
      </c>
      <c r="Y1361" s="38">
        <v>10010</v>
      </c>
      <c r="Z1361" s="86">
        <f>+((DETALLE_GD_1[[#This Row],[VALOR X UN (GD)]]-DETALLE_GD_1[[#This Row],[VALOR PPTO]])/DETALLE_GD_1[[#This Row],[VALOR PPTO]])</f>
        <v>5.8473552738814962E-6</v>
      </c>
      <c r="AA1361" s="2">
        <f>+DETALLE_GD_1[[#This Row],[VALOR PPTO]]*DETALLE_GD_1[[#This Row],[CANTIDAD RECIBIDA]]</f>
        <v>49030.713300000003</v>
      </c>
      <c r="AB1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1" s="3">
        <f>+DETALLE_GD_1[[#This Row],[CANTIDAD SOLICITADA]]-DETALLE_GD_1[[#This Row],[DEVOLUCIÓN]]</f>
        <v>1</v>
      </c>
      <c r="AD1361" s="38">
        <f>+_xlfn.XLOOKUP(DETALLE_GD_1[[#This Row],[CODIGO]],PRODUCTOS[CODIGO],PRODUCTOS[DESC CORTA],"",0)</f>
        <v>0</v>
      </c>
    </row>
    <row r="1362" spans="1:30" x14ac:dyDescent="0.25">
      <c r="A1362" s="1">
        <v>46153</v>
      </c>
      <c r="B1362" s="1">
        <v>46153</v>
      </c>
      <c r="C1362" s="81" t="s">
        <v>169</v>
      </c>
      <c r="D1362" s="38">
        <v>5</v>
      </c>
      <c r="E1362" s="81" t="s">
        <v>169</v>
      </c>
      <c r="F1362">
        <v>701096</v>
      </c>
      <c r="G1362" s="81" t="s">
        <v>204</v>
      </c>
      <c r="H1362" s="81" t="s">
        <v>18</v>
      </c>
      <c r="I1362" s="3">
        <v>70</v>
      </c>
      <c r="J1362" s="3"/>
      <c r="K1362" s="26">
        <v>70</v>
      </c>
      <c r="L1362" s="2">
        <v>16179.171399999999</v>
      </c>
      <c r="M1362" s="2">
        <v>1132542</v>
      </c>
      <c r="N1362" s="2">
        <v>1132542</v>
      </c>
      <c r="O1362" s="2">
        <v>16019.885700000001</v>
      </c>
      <c r="P1362" s="2">
        <v>-159.28569999999999</v>
      </c>
      <c r="Q1362" s="2">
        <v>-11150.002</v>
      </c>
      <c r="R1362" s="4">
        <v>-9.9430012612742903E-3</v>
      </c>
      <c r="T1362">
        <v>315088</v>
      </c>
      <c r="U1362" s="2"/>
      <c r="V1362">
        <v>6161</v>
      </c>
      <c r="W1362" s="2">
        <v>6579000000</v>
      </c>
      <c r="X1362" s="6">
        <v>1121391.9979500002</v>
      </c>
      <c r="Y1362" s="38">
        <v>10010</v>
      </c>
      <c r="Z1362" s="86">
        <f>+((DETALLE_GD_1[[#This Row],[VALOR X UN (GD)]]-DETALLE_GD_1[[#This Row],[VALOR PPTO]])/DETALLE_GD_1[[#This Row],[VALOR PPTO]])</f>
        <v>9.9429985321305096E-3</v>
      </c>
      <c r="AA1362" s="2">
        <f>+DETALLE_GD_1[[#This Row],[VALOR PPTO]]*DETALLE_GD_1[[#This Row],[CANTIDAD RECIBIDA]]</f>
        <v>1121391.9990000001</v>
      </c>
      <c r="AB13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62" s="3">
        <f>+DETALLE_GD_1[[#This Row],[CANTIDAD SOLICITADA]]-DETALLE_GD_1[[#This Row],[DEVOLUCIÓN]]</f>
        <v>70</v>
      </c>
      <c r="AD1362" s="38" t="str">
        <f>+_xlfn.XLOOKUP(DETALLE_GD_1[[#This Row],[CODIGO]],PRODUCTOS[CODIGO],PRODUCTOS[DESC CORTA],"",0)</f>
        <v>VOCANITA EMPAPELADA MURO</v>
      </c>
    </row>
    <row r="1363" spans="1:30" x14ac:dyDescent="0.25">
      <c r="A1363" s="1">
        <v>46153</v>
      </c>
      <c r="B1363" s="1">
        <v>46153</v>
      </c>
      <c r="C1363" s="81" t="s">
        <v>169</v>
      </c>
      <c r="D1363" s="38">
        <v>5</v>
      </c>
      <c r="E1363" s="81" t="s">
        <v>169</v>
      </c>
      <c r="F1363">
        <v>1802659</v>
      </c>
      <c r="G1363" s="81" t="s">
        <v>161</v>
      </c>
      <c r="H1363" s="81" t="s">
        <v>31</v>
      </c>
      <c r="I1363" s="3">
        <v>1</v>
      </c>
      <c r="J1363" s="3"/>
      <c r="K1363" s="26">
        <v>1</v>
      </c>
      <c r="L1363" s="2">
        <v>2447</v>
      </c>
      <c r="M1363" s="2">
        <v>2447</v>
      </c>
      <c r="N1363" s="2">
        <v>2447</v>
      </c>
      <c r="O1363" s="2">
        <v>2929.4632000000001</v>
      </c>
      <c r="P1363" s="2">
        <v>482.46319999999997</v>
      </c>
      <c r="Q1363" s="2">
        <v>482.46319999999997</v>
      </c>
      <c r="R1363" s="4">
        <v>0.16469336939174437</v>
      </c>
      <c r="T1363">
        <v>315092</v>
      </c>
      <c r="U1363" s="2">
        <v>573462</v>
      </c>
      <c r="V1363">
        <v>6161</v>
      </c>
      <c r="W1363" s="2">
        <v>6579000000</v>
      </c>
      <c r="X1363" s="6">
        <v>2929.463158</v>
      </c>
      <c r="Y1363" s="38">
        <v>10010</v>
      </c>
      <c r="Z1363" s="86">
        <f>+((DETALLE_GD_1[[#This Row],[VALOR X UN (GD)]]-DETALLE_GD_1[[#This Row],[VALOR PPTO]])/DETALLE_GD_1[[#This Row],[VALOR PPTO]])</f>
        <v>-0.16469338136761716</v>
      </c>
      <c r="AA1363" s="2">
        <f>+DETALLE_GD_1[[#This Row],[VALOR PPTO]]*DETALLE_GD_1[[#This Row],[CANTIDAD RECIBIDA]]</f>
        <v>2929.4632000000001</v>
      </c>
      <c r="AB1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3" s="3">
        <f>+DETALLE_GD_1[[#This Row],[CANTIDAD SOLICITADA]]-DETALLE_GD_1[[#This Row],[DEVOLUCIÓN]]</f>
        <v>1</v>
      </c>
      <c r="AD1363" s="38">
        <f>+_xlfn.XLOOKUP(DETALLE_GD_1[[#This Row],[CODIGO]],PRODUCTOS[CODIGO],PRODUCTOS[DESC CORTA],"",0)</f>
        <v>0</v>
      </c>
    </row>
    <row r="1364" spans="1:30" x14ac:dyDescent="0.25">
      <c r="A1364" s="1">
        <v>46153</v>
      </c>
      <c r="B1364" s="1">
        <v>46153</v>
      </c>
      <c r="C1364" s="81" t="s">
        <v>169</v>
      </c>
      <c r="D1364" s="38">
        <v>5</v>
      </c>
      <c r="E1364" s="81" t="s">
        <v>169</v>
      </c>
      <c r="F1364">
        <v>617057</v>
      </c>
      <c r="G1364" s="81" t="s">
        <v>134</v>
      </c>
      <c r="H1364" s="81" t="s">
        <v>31</v>
      </c>
      <c r="I1364" s="3">
        <v>1</v>
      </c>
      <c r="J1364" s="3"/>
      <c r="K1364" s="26">
        <v>1</v>
      </c>
      <c r="L1364" s="2">
        <v>1698</v>
      </c>
      <c r="M1364" s="2">
        <v>1698</v>
      </c>
      <c r="N1364" s="2">
        <v>1698</v>
      </c>
      <c r="O1364" s="2">
        <v>2042.1197</v>
      </c>
      <c r="P1364" s="2">
        <v>344.11970000000002</v>
      </c>
      <c r="Q1364" s="2">
        <v>344.11970000000002</v>
      </c>
      <c r="R1364" s="4">
        <v>0.16851103536630774</v>
      </c>
      <c r="T1364">
        <v>315092</v>
      </c>
      <c r="U1364" s="2"/>
      <c r="V1364">
        <v>6161</v>
      </c>
      <c r="W1364" s="2">
        <v>6579000000</v>
      </c>
      <c r="X1364" s="6">
        <v>2042.119706</v>
      </c>
      <c r="Y1364" s="38">
        <v>10010</v>
      </c>
      <c r="Z1364" s="86">
        <f>+((DETALLE_GD_1[[#This Row],[VALOR X UN (GD)]]-DETALLE_GD_1[[#This Row],[VALOR PPTO]])/DETALLE_GD_1[[#This Row],[VALOR PPTO]])</f>
        <v>-0.16851103292329042</v>
      </c>
      <c r="AA1364" s="2">
        <f>+DETALLE_GD_1[[#This Row],[VALOR PPTO]]*DETALLE_GD_1[[#This Row],[CANTIDAD RECIBIDA]]</f>
        <v>2042.1197</v>
      </c>
      <c r="AB1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4" s="3">
        <f>+DETALLE_GD_1[[#This Row],[CANTIDAD SOLICITADA]]-DETALLE_GD_1[[#This Row],[DEVOLUCIÓN]]</f>
        <v>1</v>
      </c>
      <c r="AD1364" s="38" t="str">
        <f>+_xlfn.XLOOKUP(DETALLE_GD_1[[#This Row],[CODIGO]],PRODUCTOS[CODIGO],PRODUCTOS[DESC CORTA],"",0)</f>
        <v>BROCHA 5/8 X4</v>
      </c>
    </row>
    <row r="1365" spans="1:30" x14ac:dyDescent="0.25">
      <c r="A1365" s="1">
        <v>46153</v>
      </c>
      <c r="B1365" s="1">
        <v>46153</v>
      </c>
      <c r="C1365" s="81" t="s">
        <v>169</v>
      </c>
      <c r="D1365" s="38">
        <v>5</v>
      </c>
      <c r="E1365" s="81" t="s">
        <v>169</v>
      </c>
      <c r="F1365">
        <v>810007</v>
      </c>
      <c r="G1365" s="81" t="s">
        <v>235</v>
      </c>
      <c r="H1365" s="81" t="s">
        <v>137</v>
      </c>
      <c r="I1365" s="3">
        <v>2</v>
      </c>
      <c r="J1365" s="3"/>
      <c r="K1365" s="26">
        <v>2</v>
      </c>
      <c r="L1365" s="2">
        <v>3372</v>
      </c>
      <c r="M1365" s="2">
        <v>6744</v>
      </c>
      <c r="N1365" s="2">
        <v>6744</v>
      </c>
      <c r="O1365" s="2">
        <v>3274.7246</v>
      </c>
      <c r="P1365" s="2">
        <v>-97.275400000000005</v>
      </c>
      <c r="Q1365" s="2">
        <v>-194.55070000000001</v>
      </c>
      <c r="R1365" s="4">
        <v>-2.9704898198527511E-2</v>
      </c>
      <c r="T1365">
        <v>315092</v>
      </c>
      <c r="U1365" s="2"/>
      <c r="V1365">
        <v>6161</v>
      </c>
      <c r="W1365" s="2">
        <v>6579000000</v>
      </c>
      <c r="X1365" s="6">
        <v>6549.4492760000003</v>
      </c>
      <c r="Y1365" s="38">
        <v>10010</v>
      </c>
      <c r="Z1365" s="86">
        <f>+((DETALLE_GD_1[[#This Row],[VALOR X UN (GD)]]-DETALLE_GD_1[[#This Row],[VALOR PPTO]])/DETALLE_GD_1[[#This Row],[VALOR PPTO]])</f>
        <v>2.9704910147253297E-2</v>
      </c>
      <c r="AA1365" s="2">
        <f>+DETALLE_GD_1[[#This Row],[VALOR PPTO]]*DETALLE_GD_1[[#This Row],[CANTIDAD RECIBIDA]]</f>
        <v>6549.4492</v>
      </c>
      <c r="AB1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5" s="3">
        <f>+DETALLE_GD_1[[#This Row],[CANTIDAD SOLICITADA]]-DETALLE_GD_1[[#This Row],[DEVOLUCIÓN]]</f>
        <v>2</v>
      </c>
      <c r="AD1365" s="38">
        <f>+_xlfn.XLOOKUP(DETALLE_GD_1[[#This Row],[CODIGO]],PRODUCTOS[CODIGO],PRODUCTOS[DESC CORTA],"",0)</f>
        <v>0</v>
      </c>
    </row>
    <row r="1366" spans="1:30" x14ac:dyDescent="0.25">
      <c r="A1366" s="1">
        <v>46153</v>
      </c>
      <c r="B1366" s="1">
        <v>46153</v>
      </c>
      <c r="C1366" s="81" t="s">
        <v>169</v>
      </c>
      <c r="D1366" s="38">
        <v>5</v>
      </c>
      <c r="E1366" s="81" t="s">
        <v>169</v>
      </c>
      <c r="F1366">
        <v>2302024</v>
      </c>
      <c r="G1366" s="81" t="s">
        <v>234</v>
      </c>
      <c r="H1366" s="81" t="s">
        <v>68</v>
      </c>
      <c r="I1366" s="3">
        <v>1</v>
      </c>
      <c r="J1366" s="3"/>
      <c r="K1366" s="26">
        <v>1</v>
      </c>
      <c r="L1366" s="2">
        <v>20156</v>
      </c>
      <c r="M1366" s="2">
        <v>20156</v>
      </c>
      <c r="N1366" s="2">
        <v>20156</v>
      </c>
      <c r="O1366" s="2">
        <v>22292</v>
      </c>
      <c r="P1366" s="2">
        <v>2136</v>
      </c>
      <c r="Q1366" s="2">
        <v>2136</v>
      </c>
      <c r="R1366" s="4">
        <v>9.5819127938273824E-2</v>
      </c>
      <c r="T1366">
        <v>315092</v>
      </c>
      <c r="U1366" s="2"/>
      <c r="V1366">
        <v>6161</v>
      </c>
      <c r="W1366" s="2">
        <v>6579000000</v>
      </c>
      <c r="X1366" s="6">
        <v>22292</v>
      </c>
      <c r="Y1366" s="38">
        <v>10010</v>
      </c>
      <c r="Z1366" s="86">
        <f>+((DETALLE_GD_1[[#This Row],[VALOR X UN (GD)]]-DETALLE_GD_1[[#This Row],[VALOR PPTO]])/DETALLE_GD_1[[#This Row],[VALOR PPTO]])</f>
        <v>-9.5819127938273824E-2</v>
      </c>
      <c r="AA1366" s="2">
        <f>+DETALLE_GD_1[[#This Row],[VALOR PPTO]]*DETALLE_GD_1[[#This Row],[CANTIDAD RECIBIDA]]</f>
        <v>22292</v>
      </c>
      <c r="AB1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6" s="3">
        <f>+DETALLE_GD_1[[#This Row],[CANTIDAD SOLICITADA]]-DETALLE_GD_1[[#This Row],[DEVOLUCIÓN]]</f>
        <v>1</v>
      </c>
      <c r="AD1366" s="38">
        <f>+_xlfn.XLOOKUP(DETALLE_GD_1[[#This Row],[CODIGO]],PRODUCTOS[CODIGO],PRODUCTOS[DESC CORTA],"",0)</f>
        <v>0</v>
      </c>
    </row>
    <row r="1367" spans="1:30" x14ac:dyDescent="0.25">
      <c r="A1367" s="1">
        <v>46153</v>
      </c>
      <c r="B1367" s="1">
        <v>46153</v>
      </c>
      <c r="C1367" s="81" t="s">
        <v>169</v>
      </c>
      <c r="D1367" s="38">
        <v>5</v>
      </c>
      <c r="E1367" s="81" t="s">
        <v>169</v>
      </c>
      <c r="F1367">
        <v>2304056</v>
      </c>
      <c r="G1367" s="81" t="s">
        <v>417</v>
      </c>
      <c r="H1367" s="81" t="s">
        <v>31</v>
      </c>
      <c r="I1367" s="3">
        <v>2</v>
      </c>
      <c r="J1367" s="3"/>
      <c r="K1367" s="26">
        <v>2</v>
      </c>
      <c r="L1367" s="2">
        <v>3163</v>
      </c>
      <c r="M1367" s="2">
        <v>6326</v>
      </c>
      <c r="N1367" s="2">
        <v>6326</v>
      </c>
      <c r="O1367" s="2">
        <v>2979</v>
      </c>
      <c r="P1367" s="2">
        <v>-184</v>
      </c>
      <c r="Q1367" s="2">
        <v>-368</v>
      </c>
      <c r="R1367" s="4">
        <v>-6.1765693185632763E-2</v>
      </c>
      <c r="T1367">
        <v>315092</v>
      </c>
      <c r="U1367" s="2"/>
      <c r="V1367">
        <v>6161</v>
      </c>
      <c r="W1367" s="2">
        <v>6579000000</v>
      </c>
      <c r="X1367" s="6">
        <v>5958</v>
      </c>
      <c r="Y1367" s="38">
        <v>10010</v>
      </c>
      <c r="Z1367" s="86">
        <f>+((DETALLE_GD_1[[#This Row],[VALOR X UN (GD)]]-DETALLE_GD_1[[#This Row],[VALOR PPTO]])/DETALLE_GD_1[[#This Row],[VALOR PPTO]])</f>
        <v>6.1765693185632763E-2</v>
      </c>
      <c r="AA1367" s="2">
        <f>+DETALLE_GD_1[[#This Row],[VALOR PPTO]]*DETALLE_GD_1[[#This Row],[CANTIDAD RECIBIDA]]</f>
        <v>5958</v>
      </c>
      <c r="AB1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7" s="3">
        <f>+DETALLE_GD_1[[#This Row],[CANTIDAD SOLICITADA]]-DETALLE_GD_1[[#This Row],[DEVOLUCIÓN]]</f>
        <v>2</v>
      </c>
      <c r="AD1367" s="38" t="str">
        <f>+_xlfn.XLOOKUP(DETALLE_GD_1[[#This Row],[CODIGO]],PRODUCTOS[CODIGO],PRODUCTOS[DESC CORTA],"",0)</f>
        <v/>
      </c>
    </row>
    <row r="1368" spans="1:30" x14ac:dyDescent="0.25">
      <c r="A1368" s="1">
        <v>46153</v>
      </c>
      <c r="B1368" s="1">
        <v>46153</v>
      </c>
      <c r="C1368" s="81" t="s">
        <v>169</v>
      </c>
      <c r="D1368" s="38">
        <v>5</v>
      </c>
      <c r="E1368" s="81" t="s">
        <v>169</v>
      </c>
      <c r="F1368" t="s">
        <v>345</v>
      </c>
      <c r="G1368" s="81" t="s">
        <v>167</v>
      </c>
      <c r="H1368" s="81" t="s">
        <v>26</v>
      </c>
      <c r="I1368" s="3">
        <v>40</v>
      </c>
      <c r="J1368" s="3"/>
      <c r="K1368" s="26">
        <v>40</v>
      </c>
      <c r="L1368" s="2">
        <v>12991.95</v>
      </c>
      <c r="M1368" s="2">
        <v>519678</v>
      </c>
      <c r="N1368" s="2">
        <v>519678</v>
      </c>
      <c r="O1368" s="2">
        <v>11882.3879</v>
      </c>
      <c r="P1368" s="2">
        <v>-1109.5621000000001</v>
      </c>
      <c r="Q1368" s="2">
        <v>-44382.4833</v>
      </c>
      <c r="R1368" s="4">
        <v>-9.337871232200412E-2</v>
      </c>
      <c r="T1368">
        <v>315092</v>
      </c>
      <c r="U1368" s="2"/>
      <c r="V1368">
        <v>6161</v>
      </c>
      <c r="W1368" s="2">
        <v>6579000000</v>
      </c>
      <c r="X1368" s="6">
        <v>475295.51668</v>
      </c>
      <c r="Y1368" s="38">
        <v>10010</v>
      </c>
      <c r="Z1368" s="86">
        <f>+((DETALLE_GD_1[[#This Row],[VALOR X UN (GD)]]-DETALLE_GD_1[[#This Row],[VALOR PPTO]])/DETALLE_GD_1[[#This Row],[VALOR PPTO]])</f>
        <v>9.3378713886288892E-2</v>
      </c>
      <c r="AA1368" s="2">
        <f>+DETALLE_GD_1[[#This Row],[VALOR PPTO]]*DETALLE_GD_1[[#This Row],[CANTIDAD RECIBIDA]]</f>
        <v>475295.516</v>
      </c>
      <c r="AB13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68" s="3">
        <f>+DETALLE_GD_1[[#This Row],[CANTIDAD SOLICITADA]]-DETALLE_GD_1[[#This Row],[DEVOLUCIÓN]]</f>
        <v>40</v>
      </c>
      <c r="AD1368" s="38" t="str">
        <f>+_xlfn.XLOOKUP(DETALLE_GD_1[[#This Row],[CODIGO]],PRODUCTOS[CODIGO],PRODUCTOS[DESC CORTA],"",0)</f>
        <v>PISO TARKET</v>
      </c>
    </row>
    <row r="1369" spans="1:30" x14ac:dyDescent="0.25">
      <c r="A1369" s="1">
        <v>46153</v>
      </c>
      <c r="B1369" s="1">
        <v>46153</v>
      </c>
      <c r="C1369" s="81" t="s">
        <v>169</v>
      </c>
      <c r="D1369" s="38">
        <v>5</v>
      </c>
      <c r="E1369" s="81" t="s">
        <v>169</v>
      </c>
      <c r="F1369" t="s">
        <v>562</v>
      </c>
      <c r="G1369" s="81" t="s">
        <v>708</v>
      </c>
      <c r="H1369" s="81" t="s">
        <v>47</v>
      </c>
      <c r="I1369" s="3">
        <v>50</v>
      </c>
      <c r="J1369" s="3"/>
      <c r="K1369" s="26">
        <v>50</v>
      </c>
      <c r="L1369" s="2">
        <v>328.26</v>
      </c>
      <c r="M1369" s="2">
        <v>16413</v>
      </c>
      <c r="N1369" s="2">
        <v>16413</v>
      </c>
      <c r="O1369" s="2"/>
      <c r="P1369" s="2"/>
      <c r="Q1369" s="2">
        <v>-16413</v>
      </c>
      <c r="R1369" s="4"/>
      <c r="T1369">
        <v>315092</v>
      </c>
      <c r="U1369" s="2"/>
      <c r="V1369">
        <v>6161</v>
      </c>
      <c r="W1369" s="2">
        <v>6579000000</v>
      </c>
      <c r="X1369" s="6" t="s">
        <v>355</v>
      </c>
      <c r="Y1369" s="38">
        <v>10010</v>
      </c>
      <c r="Z1369" s="86" t="e">
        <f>+((DETALLE_GD_1[[#This Row],[VALOR X UN (GD)]]-DETALLE_GD_1[[#This Row],[VALOR PPTO]])/DETALLE_GD_1[[#This Row],[VALOR PPTO]])</f>
        <v>#DIV/0!</v>
      </c>
      <c r="AA1369" s="2">
        <f>+DETALLE_GD_1[[#This Row],[VALOR PPTO]]*DETALLE_GD_1[[#This Row],[CANTIDAD RECIBIDA]]</f>
        <v>0</v>
      </c>
      <c r="AB1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9" s="3">
        <f>+DETALLE_GD_1[[#This Row],[CANTIDAD SOLICITADA]]-DETALLE_GD_1[[#This Row],[DEVOLUCIÓN]]</f>
        <v>50</v>
      </c>
      <c r="AD1369" s="38" t="str">
        <f>+_xlfn.XLOOKUP(DETALLE_GD_1[[#This Row],[CODIGO]],PRODUCTOS[CODIGO],PRODUCTOS[DESC CORTA],"",0)</f>
        <v/>
      </c>
    </row>
    <row r="1370" spans="1:30" x14ac:dyDescent="0.25">
      <c r="A1370" s="1">
        <v>46154</v>
      </c>
      <c r="B1370" s="1">
        <v>46154</v>
      </c>
      <c r="C1370" s="81" t="s">
        <v>169</v>
      </c>
      <c r="D1370" s="38">
        <v>5</v>
      </c>
      <c r="E1370" s="81" t="s">
        <v>169</v>
      </c>
      <c r="F1370">
        <v>1610023</v>
      </c>
      <c r="G1370" s="81" t="s">
        <v>351</v>
      </c>
      <c r="H1370" s="81" t="s">
        <v>28</v>
      </c>
      <c r="I1370" s="3">
        <v>5</v>
      </c>
      <c r="J1370" s="3"/>
      <c r="K1370" s="26">
        <v>5</v>
      </c>
      <c r="L1370" s="2">
        <v>2278.1999999999998</v>
      </c>
      <c r="M1370" s="2">
        <v>11391</v>
      </c>
      <c r="N1370" s="2">
        <v>11391</v>
      </c>
      <c r="O1370" s="2">
        <v>2109.0585000000001</v>
      </c>
      <c r="P1370" s="2">
        <v>-169.14150000000001</v>
      </c>
      <c r="Q1370" s="2">
        <v>-845.70730000000003</v>
      </c>
      <c r="R1370" s="4">
        <v>-8.0197611698158158E-2</v>
      </c>
      <c r="T1370">
        <v>315145</v>
      </c>
      <c r="U1370" s="2">
        <v>171945</v>
      </c>
      <c r="V1370">
        <v>6161</v>
      </c>
      <c r="W1370" s="2">
        <v>6579000000</v>
      </c>
      <c r="X1370" s="6">
        <v>10545.292710000002</v>
      </c>
      <c r="Y1370" s="38">
        <v>10010</v>
      </c>
      <c r="Z1370" s="86">
        <f>+((DETALLE_GD_1[[#This Row],[VALOR X UN (GD)]]-DETALLE_GD_1[[#This Row],[VALOR PPTO]])/DETALLE_GD_1[[#This Row],[VALOR PPTO]])</f>
        <v>8.0197633209320524E-2</v>
      </c>
      <c r="AA1370" s="2">
        <f>+DETALLE_GD_1[[#This Row],[VALOR PPTO]]*DETALLE_GD_1[[#This Row],[CANTIDAD RECIBIDA]]</f>
        <v>10545.2925</v>
      </c>
      <c r="AB1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0" s="3">
        <f>+DETALLE_GD_1[[#This Row],[CANTIDAD SOLICITADA]]-DETALLE_GD_1[[#This Row],[DEVOLUCIÓN]]</f>
        <v>5</v>
      </c>
      <c r="AD1370" s="38" t="str">
        <f>+_xlfn.XLOOKUP(DETALLE_GD_1[[#This Row],[CODIGO]],PRODUCTOS[CODIGO],PRODUCTOS[DESC CORTA],"",0)</f>
        <v>TRAPOS DE ASEO</v>
      </c>
    </row>
    <row r="1371" spans="1:30" x14ac:dyDescent="0.25">
      <c r="A1371" s="1">
        <v>46154</v>
      </c>
      <c r="B1371" s="1">
        <v>46154</v>
      </c>
      <c r="C1371" s="81" t="s">
        <v>169</v>
      </c>
      <c r="D1371" s="38">
        <v>5</v>
      </c>
      <c r="E1371" s="81" t="s">
        <v>169</v>
      </c>
      <c r="F1371">
        <v>609007</v>
      </c>
      <c r="G1371" s="81" t="s">
        <v>210</v>
      </c>
      <c r="H1371" s="81" t="s">
        <v>211</v>
      </c>
      <c r="I1371" s="3">
        <v>1</v>
      </c>
      <c r="J1371" s="3"/>
      <c r="K1371" s="26">
        <v>1</v>
      </c>
      <c r="L1371" s="2">
        <v>8165</v>
      </c>
      <c r="M1371" s="2">
        <v>8165</v>
      </c>
      <c r="N1371" s="2">
        <v>8165</v>
      </c>
      <c r="O1371" s="2">
        <v>8164.9821000000002</v>
      </c>
      <c r="P1371" s="2">
        <v>-1.7899999999999999E-2</v>
      </c>
      <c r="Q1371" s="2">
        <v>-1.7899999999999999E-2</v>
      </c>
      <c r="R1371" s="4">
        <v>-2.1870225417615723E-6</v>
      </c>
      <c r="T1371">
        <v>315145</v>
      </c>
      <c r="U1371" s="2"/>
      <c r="V1371">
        <v>6161</v>
      </c>
      <c r="W1371" s="2">
        <v>6579000000</v>
      </c>
      <c r="X1371" s="6">
        <v>8164.9821430000002</v>
      </c>
      <c r="Y1371" s="38">
        <v>10010</v>
      </c>
      <c r="Z1371" s="86">
        <f>+((DETALLE_GD_1[[#This Row],[VALOR X UN (GD)]]-DETALLE_GD_1[[#This Row],[VALOR PPTO]])/DETALLE_GD_1[[#This Row],[VALOR PPTO]])</f>
        <v>2.1922889457194073E-6</v>
      </c>
      <c r="AA1371" s="2">
        <f>+DETALLE_GD_1[[#This Row],[VALOR PPTO]]*DETALLE_GD_1[[#This Row],[CANTIDAD RECIBIDA]]</f>
        <v>8164.9821000000002</v>
      </c>
      <c r="AB1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1" s="3">
        <f>+DETALLE_GD_1[[#This Row],[CANTIDAD SOLICITADA]]-DETALLE_GD_1[[#This Row],[DEVOLUCIÓN]]</f>
        <v>1</v>
      </c>
      <c r="AD1371" s="38">
        <f>+_xlfn.XLOOKUP(DETALLE_GD_1[[#This Row],[CODIGO]],PRODUCTOS[CODIGO],PRODUCTOS[DESC CORTA],"",0)</f>
        <v>0</v>
      </c>
    </row>
    <row r="1372" spans="1:30" x14ac:dyDescent="0.25">
      <c r="A1372" s="1">
        <v>46154</v>
      </c>
      <c r="B1372" s="1">
        <v>46154</v>
      </c>
      <c r="C1372" s="81" t="s">
        <v>169</v>
      </c>
      <c r="D1372" s="38">
        <v>5</v>
      </c>
      <c r="E1372" s="81" t="s">
        <v>169</v>
      </c>
      <c r="F1372">
        <v>1405040</v>
      </c>
      <c r="G1372" s="81" t="s">
        <v>451</v>
      </c>
      <c r="H1372" s="81" t="s">
        <v>31</v>
      </c>
      <c r="I1372" s="3">
        <v>8</v>
      </c>
      <c r="J1372" s="3"/>
      <c r="K1372" s="26">
        <v>8</v>
      </c>
      <c r="L1372" s="2">
        <v>7577.375</v>
      </c>
      <c r="M1372" s="2">
        <v>60619</v>
      </c>
      <c r="N1372" s="2">
        <v>60619</v>
      </c>
      <c r="O1372" s="2">
        <v>7568</v>
      </c>
      <c r="P1372" s="2">
        <v>-9.375</v>
      </c>
      <c r="Q1372" s="2">
        <v>-75</v>
      </c>
      <c r="R1372" s="4">
        <v>-1.2387684989429177E-3</v>
      </c>
      <c r="T1372">
        <v>315145</v>
      </c>
      <c r="U1372" s="2"/>
      <c r="V1372">
        <v>6161</v>
      </c>
      <c r="W1372" s="2">
        <v>6579000000</v>
      </c>
      <c r="X1372" s="6">
        <v>60544</v>
      </c>
      <c r="Y1372" s="38">
        <v>10010</v>
      </c>
      <c r="Z1372" s="86">
        <f>+((DETALLE_GD_1[[#This Row],[VALOR X UN (GD)]]-DETALLE_GD_1[[#This Row],[VALOR PPTO]])/DETALLE_GD_1[[#This Row],[VALOR PPTO]])</f>
        <v>1.2387684989429175E-3</v>
      </c>
      <c r="AA1372" s="2">
        <f>+DETALLE_GD_1[[#This Row],[VALOR PPTO]]*DETALLE_GD_1[[#This Row],[CANTIDAD RECIBIDA]]</f>
        <v>60544</v>
      </c>
      <c r="AB1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2" s="3">
        <f>+DETALLE_GD_1[[#This Row],[CANTIDAD SOLICITADA]]-DETALLE_GD_1[[#This Row],[DEVOLUCIÓN]]</f>
        <v>8</v>
      </c>
      <c r="AD1372" s="38" t="str">
        <f>+_xlfn.XLOOKUP(DETALLE_GD_1[[#This Row],[CODIGO]],PRODUCTOS[CODIGO],PRODUCTOS[DESC CORTA],"",0)</f>
        <v>CEERRADURA BAÑO 815 TUBULAR</v>
      </c>
    </row>
    <row r="1373" spans="1:30" x14ac:dyDescent="0.25">
      <c r="A1373" s="1">
        <v>46154</v>
      </c>
      <c r="B1373" s="1">
        <v>46154</v>
      </c>
      <c r="C1373" s="81" t="s">
        <v>169</v>
      </c>
      <c r="D1373" s="38">
        <v>5</v>
      </c>
      <c r="E1373" s="81" t="s">
        <v>169</v>
      </c>
      <c r="F1373">
        <v>412016</v>
      </c>
      <c r="G1373" s="81" t="s">
        <v>722</v>
      </c>
      <c r="H1373" s="81" t="s">
        <v>31</v>
      </c>
      <c r="I1373" s="3">
        <v>4</v>
      </c>
      <c r="J1373" s="3"/>
      <c r="K1373" s="26">
        <v>4</v>
      </c>
      <c r="L1373" s="2">
        <v>4210.25</v>
      </c>
      <c r="M1373" s="2">
        <v>16841</v>
      </c>
      <c r="N1373" s="2">
        <v>16841</v>
      </c>
      <c r="O1373" s="2"/>
      <c r="P1373" s="2"/>
      <c r="Q1373" s="2">
        <v>-16841</v>
      </c>
      <c r="R1373" s="4"/>
      <c r="T1373">
        <v>315145</v>
      </c>
      <c r="U1373" s="2"/>
      <c r="V1373">
        <v>6161</v>
      </c>
      <c r="W1373" s="2">
        <v>6579000000</v>
      </c>
      <c r="X1373" s="6" t="s">
        <v>355</v>
      </c>
      <c r="Y1373" s="38">
        <v>10010</v>
      </c>
      <c r="Z1373" s="86" t="e">
        <f>+((DETALLE_GD_1[[#This Row],[VALOR X UN (GD)]]-DETALLE_GD_1[[#This Row],[VALOR PPTO]])/DETALLE_GD_1[[#This Row],[VALOR PPTO]])</f>
        <v>#DIV/0!</v>
      </c>
      <c r="AA1373" s="2">
        <f>+DETALLE_GD_1[[#This Row],[VALOR PPTO]]*DETALLE_GD_1[[#This Row],[CANTIDAD RECIBIDA]]</f>
        <v>0</v>
      </c>
      <c r="AB1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3" s="3">
        <f>+DETALLE_GD_1[[#This Row],[CANTIDAD SOLICITADA]]-DETALLE_GD_1[[#This Row],[DEVOLUCIÓN]]</f>
        <v>4</v>
      </c>
      <c r="AD1373" s="38" t="str">
        <f>+_xlfn.XLOOKUP(DETALLE_GD_1[[#This Row],[CODIGO]],PRODUCTOS[CODIGO],PRODUCTOS[DESC CORTA],"",0)</f>
        <v/>
      </c>
    </row>
    <row r="1374" spans="1:30" x14ac:dyDescent="0.25">
      <c r="A1374" s="1">
        <v>46154</v>
      </c>
      <c r="B1374" s="1">
        <v>46154</v>
      </c>
      <c r="C1374" s="81" t="s">
        <v>169</v>
      </c>
      <c r="D1374" s="38">
        <v>5</v>
      </c>
      <c r="E1374" s="81" t="s">
        <v>169</v>
      </c>
      <c r="F1374">
        <v>1802659</v>
      </c>
      <c r="G1374" s="81" t="s">
        <v>161</v>
      </c>
      <c r="H1374" s="81" t="s">
        <v>31</v>
      </c>
      <c r="I1374" s="3">
        <v>6</v>
      </c>
      <c r="J1374" s="3"/>
      <c r="K1374" s="26">
        <v>6</v>
      </c>
      <c r="L1374" s="2">
        <v>2446.6667000000002</v>
      </c>
      <c r="M1374" s="2">
        <v>14680</v>
      </c>
      <c r="N1374" s="2">
        <v>14680</v>
      </c>
      <c r="O1374" s="2">
        <v>2929.4632000000001</v>
      </c>
      <c r="P1374" s="2">
        <v>482.79649999999998</v>
      </c>
      <c r="Q1374" s="2">
        <v>2896.7788999999998</v>
      </c>
      <c r="R1374" s="4">
        <v>0.16480715588276856</v>
      </c>
      <c r="T1374">
        <v>315145</v>
      </c>
      <c r="U1374" s="2"/>
      <c r="V1374">
        <v>6161</v>
      </c>
      <c r="W1374" s="2">
        <v>6579000000</v>
      </c>
      <c r="X1374" s="6">
        <v>17576.778947999999</v>
      </c>
      <c r="Y1374" s="38">
        <v>10010</v>
      </c>
      <c r="Z1374" s="86">
        <f>+((DETALLE_GD_1[[#This Row],[VALOR X UN (GD)]]-DETALLE_GD_1[[#This Row],[VALOR PPTO]])/DETALLE_GD_1[[#This Row],[VALOR PPTO]])</f>
        <v>-0.16480715647836092</v>
      </c>
      <c r="AA1374" s="2">
        <f>+DETALLE_GD_1[[#This Row],[VALOR PPTO]]*DETALLE_GD_1[[#This Row],[CANTIDAD RECIBIDA]]</f>
        <v>17576.779200000001</v>
      </c>
      <c r="AB1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4" s="3">
        <f>+DETALLE_GD_1[[#This Row],[CANTIDAD SOLICITADA]]-DETALLE_GD_1[[#This Row],[DEVOLUCIÓN]]</f>
        <v>6</v>
      </c>
      <c r="AD1374" s="38">
        <f>+_xlfn.XLOOKUP(DETALLE_GD_1[[#This Row],[CODIGO]],PRODUCTOS[CODIGO],PRODUCTOS[DESC CORTA],"",0)</f>
        <v>0</v>
      </c>
    </row>
    <row r="1375" spans="1:30" x14ac:dyDescent="0.25">
      <c r="A1375" s="1">
        <v>46154</v>
      </c>
      <c r="B1375" s="1">
        <v>46154</v>
      </c>
      <c r="C1375" s="81" t="s">
        <v>169</v>
      </c>
      <c r="D1375" s="38">
        <v>5</v>
      </c>
      <c r="E1375" s="81" t="s">
        <v>169</v>
      </c>
      <c r="F1375" t="s">
        <v>787</v>
      </c>
      <c r="G1375" s="81" t="s">
        <v>95</v>
      </c>
      <c r="H1375" s="81" t="s">
        <v>31</v>
      </c>
      <c r="I1375" s="3">
        <v>10</v>
      </c>
      <c r="J1375" s="3"/>
      <c r="K1375" s="26">
        <v>10</v>
      </c>
      <c r="L1375" s="2">
        <v>3021.3</v>
      </c>
      <c r="M1375" s="2">
        <v>30213</v>
      </c>
      <c r="N1375" s="2">
        <v>30213</v>
      </c>
      <c r="O1375" s="2">
        <v>3021.2829000000002</v>
      </c>
      <c r="P1375" s="2">
        <v>-1.7100000000000001E-2</v>
      </c>
      <c r="Q1375" s="2">
        <v>-0.17130000000000001</v>
      </c>
      <c r="R1375" s="4">
        <v>-5.6701079449996769E-6</v>
      </c>
      <c r="T1375">
        <v>315145</v>
      </c>
      <c r="U1375" s="2"/>
      <c r="V1375">
        <v>6161</v>
      </c>
      <c r="W1375" s="2">
        <v>6579000000</v>
      </c>
      <c r="X1375" s="6">
        <v>30212.828690000009</v>
      </c>
      <c r="Y1375" s="38">
        <v>10010</v>
      </c>
      <c r="Z1375" s="86">
        <f>+((DETALLE_GD_1[[#This Row],[VALOR X UN (GD)]]-DETALLE_GD_1[[#This Row],[VALOR PPTO]])/DETALLE_GD_1[[#This Row],[VALOR PPTO]])</f>
        <v>5.6598473449896557E-6</v>
      </c>
      <c r="AA1375" s="2">
        <f>+DETALLE_GD_1[[#This Row],[VALOR PPTO]]*DETALLE_GD_1[[#This Row],[CANTIDAD RECIBIDA]]</f>
        <v>30212.829000000002</v>
      </c>
      <c r="AB13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5" s="3">
        <f>+DETALLE_GD_1[[#This Row],[CANTIDAD SOLICITADA]]-DETALLE_GD_1[[#This Row],[DEVOLUCIÓN]]</f>
        <v>10</v>
      </c>
      <c r="AD1375" s="38" t="str">
        <f>+_xlfn.XLOOKUP(DETALLE_GD_1[[#This Row],[CODIGO]],PRODUCTOS[CODIGO],PRODUCTOS[DESC CORTA],"",0)</f>
        <v>TOPE DE PUERTA</v>
      </c>
    </row>
    <row r="1376" spans="1:30" x14ac:dyDescent="0.25">
      <c r="A1376" s="1">
        <v>46154</v>
      </c>
      <c r="B1376" s="1">
        <v>46154</v>
      </c>
      <c r="C1376" s="81" t="s">
        <v>169</v>
      </c>
      <c r="D1376" s="38">
        <v>5</v>
      </c>
      <c r="E1376" s="81" t="s">
        <v>169</v>
      </c>
      <c r="F1376">
        <v>704079</v>
      </c>
      <c r="G1376" s="81" t="s">
        <v>209</v>
      </c>
      <c r="H1376" s="81" t="s">
        <v>47</v>
      </c>
      <c r="I1376" s="3">
        <v>10</v>
      </c>
      <c r="J1376" s="3"/>
      <c r="K1376" s="26">
        <v>10</v>
      </c>
      <c r="L1376" s="2">
        <v>722.3</v>
      </c>
      <c r="M1376" s="2">
        <v>7223</v>
      </c>
      <c r="N1376" s="2">
        <v>7223</v>
      </c>
      <c r="O1376" s="2">
        <v>755.70489999999995</v>
      </c>
      <c r="P1376" s="2">
        <v>33.404899999999998</v>
      </c>
      <c r="Q1376" s="2">
        <v>334.04880000000003</v>
      </c>
      <c r="R1376" s="4">
        <v>4.4203607513547918E-2</v>
      </c>
      <c r="T1376">
        <v>315145</v>
      </c>
      <c r="U1376" s="2"/>
      <c r="V1376">
        <v>6161</v>
      </c>
      <c r="W1376" s="2">
        <v>6579000000</v>
      </c>
      <c r="X1376" s="6">
        <v>7557.04882</v>
      </c>
      <c r="Y1376" s="38">
        <v>10010</v>
      </c>
      <c r="Z1376" s="86">
        <f>+((DETALLE_GD_1[[#This Row],[VALOR X UN (GD)]]-DETALLE_GD_1[[#This Row],[VALOR PPTO]])/DETALLE_GD_1[[#This Row],[VALOR PPTO]])</f>
        <v>-4.4203630279491375E-2</v>
      </c>
      <c r="AA1376" s="2">
        <f>+DETALLE_GD_1[[#This Row],[VALOR PPTO]]*DETALLE_GD_1[[#This Row],[CANTIDAD RECIBIDA]]</f>
        <v>7557.0489999999991</v>
      </c>
      <c r="AB1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6" s="3">
        <f>+DETALLE_GD_1[[#This Row],[CANTIDAD SOLICITADA]]-DETALLE_GD_1[[#This Row],[DEVOLUCIÓN]]</f>
        <v>10</v>
      </c>
      <c r="AD1376" s="38">
        <f>+_xlfn.XLOOKUP(DETALLE_GD_1[[#This Row],[CODIGO]],PRODUCTOS[CODIGO],PRODUCTOS[DESC CORTA],"",0)</f>
        <v>0</v>
      </c>
    </row>
    <row r="1377" spans="1:30" x14ac:dyDescent="0.25">
      <c r="A1377" s="1">
        <v>46154</v>
      </c>
      <c r="B1377" s="1">
        <v>46154</v>
      </c>
      <c r="C1377" s="81" t="s">
        <v>169</v>
      </c>
      <c r="D1377" s="38">
        <v>5</v>
      </c>
      <c r="E1377" s="81" t="s">
        <v>169</v>
      </c>
      <c r="F1377">
        <v>617057</v>
      </c>
      <c r="G1377" s="81" t="s">
        <v>134</v>
      </c>
      <c r="H1377" s="81" t="s">
        <v>31</v>
      </c>
      <c r="I1377" s="3">
        <v>5</v>
      </c>
      <c r="J1377" s="3"/>
      <c r="K1377" s="26">
        <v>5</v>
      </c>
      <c r="L1377" s="2">
        <v>1698.4</v>
      </c>
      <c r="M1377" s="2">
        <v>8492</v>
      </c>
      <c r="N1377" s="2">
        <v>8492</v>
      </c>
      <c r="O1377" s="2">
        <v>2042.1197</v>
      </c>
      <c r="P1377" s="2">
        <v>343.71969999999999</v>
      </c>
      <c r="Q1377" s="2">
        <v>1718.5985000000001</v>
      </c>
      <c r="R1377" s="4">
        <v>0.1683151604629782</v>
      </c>
      <c r="T1377">
        <v>315145</v>
      </c>
      <c r="U1377" s="2"/>
      <c r="V1377">
        <v>6161</v>
      </c>
      <c r="W1377" s="2">
        <v>6579000000</v>
      </c>
      <c r="X1377" s="6">
        <v>10210.598529999999</v>
      </c>
      <c r="Y1377" s="38">
        <v>10010</v>
      </c>
      <c r="Z1377" s="86">
        <f>+((DETALLE_GD_1[[#This Row],[VALOR X UN (GD)]]-DETALLE_GD_1[[#This Row],[VALOR PPTO]])/DETALLE_GD_1[[#This Row],[VALOR PPTO]])</f>
        <v>-0.16831515801938537</v>
      </c>
      <c r="AA1377" s="2">
        <f>+DETALLE_GD_1[[#This Row],[VALOR PPTO]]*DETALLE_GD_1[[#This Row],[CANTIDAD RECIBIDA]]</f>
        <v>10210.5985</v>
      </c>
      <c r="AB13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7" s="3">
        <f>+DETALLE_GD_1[[#This Row],[CANTIDAD SOLICITADA]]-DETALLE_GD_1[[#This Row],[DEVOLUCIÓN]]</f>
        <v>5</v>
      </c>
      <c r="AD1377" s="38" t="str">
        <f>+_xlfn.XLOOKUP(DETALLE_GD_1[[#This Row],[CODIGO]],PRODUCTOS[CODIGO],PRODUCTOS[DESC CORTA],"",0)</f>
        <v>BROCHA 5/8 X4</v>
      </c>
    </row>
    <row r="1378" spans="1:30" x14ac:dyDescent="0.25">
      <c r="A1378" s="1">
        <v>46154</v>
      </c>
      <c r="B1378" s="1">
        <v>46154</v>
      </c>
      <c r="C1378" s="81" t="s">
        <v>169</v>
      </c>
      <c r="D1378" s="38">
        <v>5</v>
      </c>
      <c r="E1378" s="81" t="s">
        <v>169</v>
      </c>
      <c r="F1378">
        <v>617016</v>
      </c>
      <c r="G1378" s="81" t="s">
        <v>133</v>
      </c>
      <c r="H1378" s="81" t="s">
        <v>31</v>
      </c>
      <c r="I1378" s="3">
        <v>5</v>
      </c>
      <c r="J1378" s="3"/>
      <c r="K1378" s="26">
        <v>5</v>
      </c>
      <c r="L1378" s="2">
        <v>2864.2</v>
      </c>
      <c r="M1378" s="2">
        <v>14321</v>
      </c>
      <c r="N1378" s="2">
        <v>14321</v>
      </c>
      <c r="O1378" s="2">
        <v>2857.5133000000001</v>
      </c>
      <c r="P1378" s="2">
        <v>-6.6867000000000001</v>
      </c>
      <c r="Q1378" s="2">
        <v>-33.433599999999998</v>
      </c>
      <c r="R1378" s="4">
        <v>-2.3400507220180662E-3</v>
      </c>
      <c r="T1378">
        <v>315145</v>
      </c>
      <c r="U1378" s="2"/>
      <c r="V1378">
        <v>6161</v>
      </c>
      <c r="W1378" s="2">
        <v>6579000000</v>
      </c>
      <c r="X1378" s="6">
        <v>14287.56637</v>
      </c>
      <c r="Y1378" s="38">
        <v>10010</v>
      </c>
      <c r="Z1378" s="86">
        <f>+((DETALLE_GD_1[[#This Row],[VALOR X UN (GD)]]-DETALLE_GD_1[[#This Row],[VALOR PPTO]])/DETALLE_GD_1[[#This Row],[VALOR PPTO]])</f>
        <v>2.3400416019060161E-3</v>
      </c>
      <c r="AA1378" s="2">
        <f>+DETALLE_GD_1[[#This Row],[VALOR PPTO]]*DETALLE_GD_1[[#This Row],[CANTIDAD RECIBIDA]]</f>
        <v>14287.566500000001</v>
      </c>
      <c r="AB13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8" s="3">
        <f>+DETALLE_GD_1[[#This Row],[CANTIDAD SOLICITADA]]-DETALLE_GD_1[[#This Row],[DEVOLUCIÓN]]</f>
        <v>5</v>
      </c>
      <c r="AD1378" s="38" t="str">
        <f>+_xlfn.XLOOKUP(DETALLE_GD_1[[#This Row],[CODIGO]],PRODUCTOS[CODIGO],PRODUCTOS[DESC CORTA],"",0)</f>
        <v>RODILLO CHIPORRO</v>
      </c>
    </row>
    <row r="1379" spans="1:30" x14ac:dyDescent="0.25">
      <c r="A1379" s="1">
        <v>46154</v>
      </c>
      <c r="B1379" s="1">
        <v>46154</v>
      </c>
      <c r="C1379" s="81" t="s">
        <v>169</v>
      </c>
      <c r="D1379" s="38">
        <v>5</v>
      </c>
      <c r="E1379" s="81" t="s">
        <v>169</v>
      </c>
      <c r="F1379">
        <v>106022</v>
      </c>
      <c r="G1379" s="81" t="s">
        <v>245</v>
      </c>
      <c r="H1379" s="81" t="s">
        <v>31</v>
      </c>
      <c r="I1379" s="3">
        <v>12</v>
      </c>
      <c r="J1379" s="3"/>
      <c r="K1379" s="26">
        <v>12</v>
      </c>
      <c r="L1379" s="2">
        <v>3800.25</v>
      </c>
      <c r="M1379" s="2">
        <v>45603</v>
      </c>
      <c r="N1379" s="2">
        <v>45603</v>
      </c>
      <c r="O1379" s="2">
        <v>3800.6911</v>
      </c>
      <c r="P1379" s="2">
        <v>0.44109999999999999</v>
      </c>
      <c r="Q1379" s="2">
        <v>5.2931999999999997</v>
      </c>
      <c r="R1379" s="4">
        <v>1.1605757703293336E-4</v>
      </c>
      <c r="T1379">
        <v>315180</v>
      </c>
      <c r="U1379" s="2">
        <v>11865193</v>
      </c>
      <c r="V1379">
        <v>6161</v>
      </c>
      <c r="W1379" s="2">
        <v>6579000000</v>
      </c>
      <c r="X1379" s="6">
        <v>45608.293188000011</v>
      </c>
      <c r="Y1379" s="38">
        <v>10010</v>
      </c>
      <c r="Z1379" s="86">
        <f>+((DETALLE_GD_1[[#This Row],[VALOR X UN (GD)]]-DETALLE_GD_1[[#This Row],[VALOR PPTO]])/DETALLE_GD_1[[#This Row],[VALOR PPTO]])</f>
        <v>-1.1605784011229058E-4</v>
      </c>
      <c r="AA1379" s="2">
        <f>+DETALLE_GD_1[[#This Row],[VALOR PPTO]]*DETALLE_GD_1[[#This Row],[CANTIDAD RECIBIDA]]</f>
        <v>45608.2932</v>
      </c>
      <c r="AB1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9" s="3">
        <f>+DETALLE_GD_1[[#This Row],[CANTIDAD SOLICITADA]]-DETALLE_GD_1[[#This Row],[DEVOLUCIÓN]]</f>
        <v>12</v>
      </c>
      <c r="AD1379" s="38">
        <f>+_xlfn.XLOOKUP(DETALLE_GD_1[[#This Row],[CODIGO]],PRODUCTOS[CODIGO],PRODUCTOS[DESC CORTA],"",0)</f>
        <v>0</v>
      </c>
    </row>
    <row r="1380" spans="1:30" x14ac:dyDescent="0.25">
      <c r="A1380" s="1">
        <v>46154</v>
      </c>
      <c r="B1380" s="1">
        <v>46154</v>
      </c>
      <c r="C1380" s="81" t="s">
        <v>169</v>
      </c>
      <c r="D1380" s="38">
        <v>5</v>
      </c>
      <c r="E1380" s="81" t="s">
        <v>169</v>
      </c>
      <c r="F1380">
        <v>1901505</v>
      </c>
      <c r="G1380" s="81" t="s">
        <v>27</v>
      </c>
      <c r="H1380" s="81" t="s">
        <v>28</v>
      </c>
      <c r="I1380" s="3">
        <v>47</v>
      </c>
      <c r="J1380" s="3"/>
      <c r="K1380" s="26">
        <v>47</v>
      </c>
      <c r="L1380" s="2">
        <v>1895</v>
      </c>
      <c r="M1380" s="2">
        <v>89065</v>
      </c>
      <c r="N1380" s="2">
        <v>89065</v>
      </c>
      <c r="O1380" s="2">
        <v>1895</v>
      </c>
      <c r="P1380" s="2">
        <v>0</v>
      </c>
      <c r="Q1380" s="2">
        <v>0</v>
      </c>
      <c r="R1380" s="4">
        <v>0</v>
      </c>
      <c r="T1380">
        <v>315180</v>
      </c>
      <c r="U1380" s="2"/>
      <c r="V1380">
        <v>6161</v>
      </c>
      <c r="W1380" s="2">
        <v>6579000000</v>
      </c>
      <c r="X1380" s="6">
        <v>89065</v>
      </c>
      <c r="Y1380" s="38">
        <v>10010</v>
      </c>
      <c r="Z1380" s="86">
        <f>+((DETALLE_GD_1[[#This Row],[VALOR X UN (GD)]]-DETALLE_GD_1[[#This Row],[VALOR PPTO]])/DETALLE_GD_1[[#This Row],[VALOR PPTO]])</f>
        <v>0</v>
      </c>
      <c r="AA1380" s="2">
        <f>+DETALLE_GD_1[[#This Row],[VALOR PPTO]]*DETALLE_GD_1[[#This Row],[CANTIDAD RECIBIDA]]</f>
        <v>89065</v>
      </c>
      <c r="AB1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0" s="3">
        <f>+DETALLE_GD_1[[#This Row],[CANTIDAD SOLICITADA]]-DETALLE_GD_1[[#This Row],[DEVOLUCIÓN]]</f>
        <v>47</v>
      </c>
      <c r="AD1380" s="38" t="str">
        <f>+_xlfn.XLOOKUP(DETALLE_GD_1[[#This Row],[CODIGO]],PRODUCTOS[CODIGO],PRODUCTOS[DESC CORTA],"",0)</f>
        <v>POLIETILENO</v>
      </c>
    </row>
    <row r="1381" spans="1:30" x14ac:dyDescent="0.25">
      <c r="A1381" s="1">
        <v>46154</v>
      </c>
      <c r="B1381" s="1">
        <v>46154</v>
      </c>
      <c r="C1381" s="81" t="s">
        <v>169</v>
      </c>
      <c r="D1381" s="38">
        <v>5</v>
      </c>
      <c r="E1381" s="81" t="s">
        <v>169</v>
      </c>
      <c r="F1381">
        <v>304049</v>
      </c>
      <c r="G1381" s="81" t="s">
        <v>318</v>
      </c>
      <c r="H1381" s="81" t="s">
        <v>18</v>
      </c>
      <c r="I1381" s="3">
        <v>195</v>
      </c>
      <c r="J1381" s="3"/>
      <c r="K1381" s="26">
        <v>195</v>
      </c>
      <c r="L1381" s="2">
        <v>14981.2256</v>
      </c>
      <c r="M1381" s="2">
        <v>2921339</v>
      </c>
      <c r="N1381" s="2">
        <v>2921339</v>
      </c>
      <c r="O1381" s="2">
        <v>14982</v>
      </c>
      <c r="P1381" s="2">
        <v>0.77439999999999998</v>
      </c>
      <c r="Q1381" s="2">
        <v>151</v>
      </c>
      <c r="R1381" s="4">
        <v>5.168595476914593E-5</v>
      </c>
      <c r="T1381">
        <v>315180</v>
      </c>
      <c r="U1381" s="2"/>
      <c r="V1381">
        <v>6161</v>
      </c>
      <c r="W1381" s="2">
        <v>6579000000</v>
      </c>
      <c r="X1381" s="6">
        <v>2921489.9999999986</v>
      </c>
      <c r="Y1381" s="38">
        <v>10010</v>
      </c>
      <c r="Z1381" s="86">
        <f>+((DETALLE_GD_1[[#This Row],[VALOR X UN (GD)]]-DETALLE_GD_1[[#This Row],[VALOR PPTO]])/DETALLE_GD_1[[#This Row],[VALOR PPTO]])</f>
        <v>-5.1688693098400854E-5</v>
      </c>
      <c r="AA1381" s="2">
        <f>+DETALLE_GD_1[[#This Row],[VALOR PPTO]]*DETALLE_GD_1[[#This Row],[CANTIDAD RECIBIDA]]</f>
        <v>2921490</v>
      </c>
      <c r="AB13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81" s="3">
        <f>+DETALLE_GD_1[[#This Row],[CANTIDAD SOLICITADA]]-DETALLE_GD_1[[#This Row],[DEVOLUCIÓN]]</f>
        <v>195</v>
      </c>
      <c r="AD1381" s="38" t="str">
        <f>+_xlfn.XLOOKUP(DETALLE_GD_1[[#This Row],[CODIGO]],PRODUCTOS[CODIGO],PRODUCTOS[DESC CORTA],"",0)</f>
        <v>TERCIADO FENOLICO</v>
      </c>
    </row>
    <row r="1382" spans="1:30" x14ac:dyDescent="0.25">
      <c r="A1382" s="1">
        <v>46154</v>
      </c>
      <c r="B1382" s="1">
        <v>46154</v>
      </c>
      <c r="C1382" s="81" t="s">
        <v>169</v>
      </c>
      <c r="D1382" s="38">
        <v>5</v>
      </c>
      <c r="E1382" s="81" t="s">
        <v>169</v>
      </c>
      <c r="F1382">
        <v>408014</v>
      </c>
      <c r="G1382" s="81" t="s">
        <v>108</v>
      </c>
      <c r="H1382" s="81" t="s">
        <v>36</v>
      </c>
      <c r="I1382" s="3">
        <v>4</v>
      </c>
      <c r="J1382" s="3"/>
      <c r="K1382" s="26">
        <v>4</v>
      </c>
      <c r="L1382" s="2">
        <v>16182</v>
      </c>
      <c r="M1382" s="2">
        <v>64728</v>
      </c>
      <c r="N1382" s="2">
        <v>64728</v>
      </c>
      <c r="O1382" s="2">
        <v>16182.1068</v>
      </c>
      <c r="P1382" s="2">
        <v>0.10680000000000001</v>
      </c>
      <c r="Q1382" s="2">
        <v>0.42699999999999999</v>
      </c>
      <c r="R1382" s="4">
        <v>6.5975340279806539E-6</v>
      </c>
      <c r="T1382">
        <v>315180</v>
      </c>
      <c r="U1382" s="2"/>
      <c r="V1382">
        <v>6161</v>
      </c>
      <c r="W1382" s="2">
        <v>6579000000</v>
      </c>
      <c r="X1382" s="6">
        <v>64728.427048000027</v>
      </c>
      <c r="Y1382" s="38">
        <v>10010</v>
      </c>
      <c r="Z1382" s="86">
        <f>+((DETALLE_GD_1[[#This Row],[VALOR X UN (GD)]]-DETALLE_GD_1[[#This Row],[VALOR PPTO]])/DETALLE_GD_1[[#This Row],[VALOR PPTO]])</f>
        <v>-6.5998822847693946E-6</v>
      </c>
      <c r="AA1382" s="2">
        <f>+DETALLE_GD_1[[#This Row],[VALOR PPTO]]*DETALLE_GD_1[[#This Row],[CANTIDAD RECIBIDA]]</f>
        <v>64728.427199999998</v>
      </c>
      <c r="AB1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2" s="3">
        <f>+DETALLE_GD_1[[#This Row],[CANTIDAD SOLICITADA]]-DETALLE_GD_1[[#This Row],[DEVOLUCIÓN]]</f>
        <v>4</v>
      </c>
      <c r="AD1382" s="38" t="str">
        <f>+_xlfn.XLOOKUP(DETALLE_GD_1[[#This Row],[CODIGO]],PRODUCTOS[CODIGO],PRODUCTOS[DESC CORTA],"",0)</f>
        <v>GRAPA T40</v>
      </c>
    </row>
    <row r="1383" spans="1:30" x14ac:dyDescent="0.25">
      <c r="A1383" s="1">
        <v>46154</v>
      </c>
      <c r="B1383" s="1">
        <v>46154</v>
      </c>
      <c r="C1383" s="81" t="s">
        <v>169</v>
      </c>
      <c r="D1383" s="38">
        <v>5</v>
      </c>
      <c r="E1383" s="81" t="s">
        <v>169</v>
      </c>
      <c r="F1383">
        <v>407011</v>
      </c>
      <c r="G1383" s="81" t="s">
        <v>30</v>
      </c>
      <c r="H1383" s="81" t="s">
        <v>31</v>
      </c>
      <c r="I1383" s="3">
        <v>2500</v>
      </c>
      <c r="J1383" s="3"/>
      <c r="K1383" s="26">
        <v>2500</v>
      </c>
      <c r="L1383" s="2">
        <v>473.17520000000002</v>
      </c>
      <c r="M1383" s="2">
        <v>1182938</v>
      </c>
      <c r="N1383" s="2">
        <v>1182938</v>
      </c>
      <c r="O1383" s="2">
        <v>473.17520000000002</v>
      </c>
      <c r="P1383" s="2">
        <v>0</v>
      </c>
      <c r="Q1383" s="2">
        <v>0.1</v>
      </c>
      <c r="R1383" s="4">
        <v>8.4535276822620125E-8</v>
      </c>
      <c r="T1383">
        <v>315180</v>
      </c>
      <c r="U1383" s="2"/>
      <c r="V1383">
        <v>6161</v>
      </c>
      <c r="W1383" s="2">
        <v>6579000000</v>
      </c>
      <c r="X1383" s="6">
        <v>1182938.1000000001</v>
      </c>
      <c r="Y1383" s="38">
        <v>10010</v>
      </c>
      <c r="Z1383" s="86">
        <f>+((DETALLE_GD_1[[#This Row],[VALOR X UN (GD)]]-DETALLE_GD_1[[#This Row],[VALOR PPTO]])/DETALLE_GD_1[[#This Row],[VALOR PPTO]])</f>
        <v>0</v>
      </c>
      <c r="AA1383" s="2">
        <f>+DETALLE_GD_1[[#This Row],[VALOR PPTO]]*DETALLE_GD_1[[#This Row],[CANTIDAD RECIBIDA]]</f>
        <v>1182938</v>
      </c>
      <c r="AB1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83" s="3">
        <f>+DETALLE_GD_1[[#This Row],[CANTIDAD SOLICITADA]]-DETALLE_GD_1[[#This Row],[DEVOLUCIÓN]]</f>
        <v>2500</v>
      </c>
      <c r="AD1383" s="38" t="str">
        <f>+_xlfn.XLOOKUP(DETALLE_GD_1[[#This Row],[CODIGO]],PRODUCTOS[CODIGO],PRODUCTOS[DESC CORTA],"",0)</f>
        <v>TORNILLO SIMPSON 6"</v>
      </c>
    </row>
    <row r="1384" spans="1:30" x14ac:dyDescent="0.25">
      <c r="A1384" s="1">
        <v>46154</v>
      </c>
      <c r="B1384" s="1">
        <v>46154</v>
      </c>
      <c r="C1384" s="81" t="s">
        <v>169</v>
      </c>
      <c r="D1384" s="38">
        <v>5</v>
      </c>
      <c r="E1384" s="81" t="s">
        <v>169</v>
      </c>
      <c r="F1384">
        <v>412313</v>
      </c>
      <c r="G1384" s="81" t="s">
        <v>253</v>
      </c>
      <c r="H1384" s="81" t="s">
        <v>36</v>
      </c>
      <c r="I1384" s="3">
        <v>5</v>
      </c>
      <c r="J1384" s="3"/>
      <c r="K1384" s="26">
        <v>5</v>
      </c>
      <c r="L1384" s="2">
        <v>23724</v>
      </c>
      <c r="M1384" s="2">
        <v>118620</v>
      </c>
      <c r="N1384" s="2">
        <v>118620</v>
      </c>
      <c r="O1384" s="2">
        <v>23724.0674</v>
      </c>
      <c r="P1384" s="2">
        <v>6.7400000000000002E-2</v>
      </c>
      <c r="Q1384" s="2">
        <v>0.33689999999999998</v>
      </c>
      <c r="R1384" s="4">
        <v>2.8403645506871342E-6</v>
      </c>
      <c r="T1384">
        <v>315180</v>
      </c>
      <c r="U1384" s="2"/>
      <c r="V1384">
        <v>6161</v>
      </c>
      <c r="W1384" s="2">
        <v>6579000000</v>
      </c>
      <c r="X1384" s="6">
        <v>118620.336925</v>
      </c>
      <c r="Y1384" s="38">
        <v>10010</v>
      </c>
      <c r="Z1384" s="86">
        <f>+((DETALLE_GD_1[[#This Row],[VALOR X UN (GD)]]-DETALLE_GD_1[[#This Row],[VALOR PPTO]])/DETALLE_GD_1[[#This Row],[VALOR PPTO]])</f>
        <v>-2.8409968182735337E-6</v>
      </c>
      <c r="AA1384" s="2">
        <f>+DETALLE_GD_1[[#This Row],[VALOR PPTO]]*DETALLE_GD_1[[#This Row],[CANTIDAD RECIBIDA]]</f>
        <v>118620.337</v>
      </c>
      <c r="AB1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4" s="3">
        <f>+DETALLE_GD_1[[#This Row],[CANTIDAD SOLICITADA]]-DETALLE_GD_1[[#This Row],[DEVOLUCIÓN]]</f>
        <v>5</v>
      </c>
      <c r="AD1384" s="38">
        <f>+_xlfn.XLOOKUP(DETALLE_GD_1[[#This Row],[CODIGO]],PRODUCTOS[CODIGO],PRODUCTOS[DESC CORTA],"",0)</f>
        <v>0</v>
      </c>
    </row>
    <row r="1385" spans="1:30" x14ac:dyDescent="0.25">
      <c r="A1385" s="1">
        <v>46154</v>
      </c>
      <c r="B1385" s="1">
        <v>46154</v>
      </c>
      <c r="C1385" s="81" t="s">
        <v>169</v>
      </c>
      <c r="D1385" s="38">
        <v>5</v>
      </c>
      <c r="E1385" s="81" t="s">
        <v>169</v>
      </c>
      <c r="F1385" t="s">
        <v>386</v>
      </c>
      <c r="G1385" s="81" t="s">
        <v>83</v>
      </c>
      <c r="H1385" s="81" t="s">
        <v>36</v>
      </c>
      <c r="I1385" s="3">
        <v>1</v>
      </c>
      <c r="J1385" s="3"/>
      <c r="K1385" s="26">
        <v>1</v>
      </c>
      <c r="L1385" s="2">
        <v>36940</v>
      </c>
      <c r="M1385" s="2">
        <v>36940</v>
      </c>
      <c r="N1385" s="2">
        <v>36940</v>
      </c>
      <c r="O1385" s="2">
        <v>36939.818200000002</v>
      </c>
      <c r="P1385" s="2">
        <v>-0.18179999999999999</v>
      </c>
      <c r="Q1385" s="2">
        <v>-0.18179999999999999</v>
      </c>
      <c r="R1385" s="4">
        <v>-4.9220058181131147E-6</v>
      </c>
      <c r="T1385">
        <v>315180</v>
      </c>
      <c r="U1385" s="2"/>
      <c r="V1385">
        <v>6161</v>
      </c>
      <c r="W1385" s="2">
        <v>6579000000</v>
      </c>
      <c r="X1385" s="6">
        <v>36939.818181999981</v>
      </c>
      <c r="Y1385" s="38">
        <v>10010</v>
      </c>
      <c r="Z1385" s="86">
        <f>+((DETALLE_GD_1[[#This Row],[VALOR X UN (GD)]]-DETALLE_GD_1[[#This Row],[VALOR PPTO]])/DETALLE_GD_1[[#This Row],[VALOR PPTO]])</f>
        <v>4.92151853628979E-6</v>
      </c>
      <c r="AA1385" s="2">
        <f>+DETALLE_GD_1[[#This Row],[VALOR PPTO]]*DETALLE_GD_1[[#This Row],[CANTIDAD RECIBIDA]]</f>
        <v>36939.818200000002</v>
      </c>
      <c r="AB13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85" s="3">
        <f>+DETALLE_GD_1[[#This Row],[CANTIDAD SOLICITADA]]-DETALLE_GD_1[[#This Row],[DEVOLUCIÓN]]</f>
        <v>1</v>
      </c>
      <c r="AD1385" s="38" t="str">
        <f>+_xlfn.XLOOKUP(DETALLE_GD_1[[#This Row],[CODIGO]],PRODUCTOS[CODIGO],PRODUCTOS[DESC CORTA],"",0)</f>
        <v>CLAVO R20</v>
      </c>
    </row>
    <row r="1386" spans="1:30" x14ac:dyDescent="0.25">
      <c r="A1386" s="1">
        <v>46154</v>
      </c>
      <c r="B1386" s="1">
        <v>46154</v>
      </c>
      <c r="C1386" s="81" t="s">
        <v>169</v>
      </c>
      <c r="D1386" s="38">
        <v>5</v>
      </c>
      <c r="E1386" s="81" t="s">
        <v>169</v>
      </c>
      <c r="F1386">
        <v>1901008</v>
      </c>
      <c r="G1386" s="81" t="s">
        <v>278</v>
      </c>
      <c r="H1386" s="81" t="s">
        <v>26</v>
      </c>
      <c r="I1386" s="3">
        <v>135</v>
      </c>
      <c r="J1386" s="3"/>
      <c r="K1386" s="26">
        <v>135</v>
      </c>
      <c r="L1386" s="2">
        <v>2030.3851999999999</v>
      </c>
      <c r="M1386" s="2">
        <v>274102</v>
      </c>
      <c r="N1386" s="2">
        <v>274102</v>
      </c>
      <c r="O1386" s="2">
        <v>2112.7957999999999</v>
      </c>
      <c r="P1386" s="2">
        <v>82.410600000000002</v>
      </c>
      <c r="Q1386" s="2">
        <v>11125.430200000001</v>
      </c>
      <c r="R1386" s="4">
        <v>3.9005470681989077E-2</v>
      </c>
      <c r="T1386">
        <v>315180</v>
      </c>
      <c r="U1386" s="2"/>
      <c r="V1386">
        <v>6161</v>
      </c>
      <c r="W1386" s="2">
        <v>6579000000</v>
      </c>
      <c r="X1386" s="6">
        <v>285227.43016500003</v>
      </c>
      <c r="Y1386" s="38">
        <v>10010</v>
      </c>
      <c r="Z1386" s="86">
        <f>+((DETALLE_GD_1[[#This Row],[VALOR X UN (GD)]]-DETALLE_GD_1[[#This Row],[VALOR PPTO]])/DETALLE_GD_1[[#This Row],[VALOR PPTO]])</f>
        <v>-3.9005473221785054E-2</v>
      </c>
      <c r="AA1386" s="2">
        <f>+DETALLE_GD_1[[#This Row],[VALOR PPTO]]*DETALLE_GD_1[[#This Row],[CANTIDAD RECIBIDA]]</f>
        <v>285227.43299999996</v>
      </c>
      <c r="AB1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86" s="3">
        <f>+DETALLE_GD_1[[#This Row],[CANTIDAD SOLICITADA]]-DETALLE_GD_1[[#This Row],[DEVOLUCIÓN]]</f>
        <v>135</v>
      </c>
      <c r="AD1386" s="38" t="str">
        <f>+_xlfn.XLOOKUP(DETALLE_GD_1[[#This Row],[CODIGO]],PRODUCTOS[CODIGO],PRODUCTOS[DESC CORTA],"",0)</f>
        <v>AISLAN GLASS 90MM</v>
      </c>
    </row>
    <row r="1387" spans="1:30" x14ac:dyDescent="0.25">
      <c r="A1387" s="1">
        <v>46154</v>
      </c>
      <c r="B1387" s="1">
        <v>46154</v>
      </c>
      <c r="C1387" s="81" t="s">
        <v>169</v>
      </c>
      <c r="D1387" s="38">
        <v>5</v>
      </c>
      <c r="E1387" s="81" t="s">
        <v>169</v>
      </c>
      <c r="F1387">
        <v>1902013</v>
      </c>
      <c r="G1387" s="81" t="s">
        <v>338</v>
      </c>
      <c r="H1387" s="81" t="s">
        <v>47</v>
      </c>
      <c r="I1387" s="3">
        <v>10</v>
      </c>
      <c r="J1387" s="3"/>
      <c r="K1387" s="26">
        <v>10</v>
      </c>
      <c r="L1387" s="2">
        <v>39045.300000000003</v>
      </c>
      <c r="M1387" s="2">
        <v>390453</v>
      </c>
      <c r="N1387" s="2">
        <v>390453</v>
      </c>
      <c r="O1387" s="2">
        <v>29779</v>
      </c>
      <c r="P1387" s="2">
        <v>-9266.2999999999993</v>
      </c>
      <c r="Q1387" s="2">
        <v>-92663</v>
      </c>
      <c r="R1387" s="4">
        <v>-0.31116894455824584</v>
      </c>
      <c r="T1387">
        <v>315180</v>
      </c>
      <c r="U1387" s="2"/>
      <c r="V1387">
        <v>6161</v>
      </c>
      <c r="W1387" s="2">
        <v>6579000000</v>
      </c>
      <c r="X1387" s="6">
        <v>297790</v>
      </c>
      <c r="Y1387" s="38">
        <v>10010</v>
      </c>
      <c r="Z1387" s="86">
        <f>+((DETALLE_GD_1[[#This Row],[VALOR X UN (GD)]]-DETALLE_GD_1[[#This Row],[VALOR PPTO]])/DETALLE_GD_1[[#This Row],[VALOR PPTO]])</f>
        <v>0.31116894455824584</v>
      </c>
      <c r="AA1387" s="2">
        <f>+DETALLE_GD_1[[#This Row],[VALOR PPTO]]*DETALLE_GD_1[[#This Row],[CANTIDAD RECIBIDA]]</f>
        <v>297790</v>
      </c>
      <c r="AB13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87" s="3">
        <f>+DETALLE_GD_1[[#This Row],[CANTIDAD SOLICITADA]]-DETALLE_GD_1[[#This Row],[DEVOLUCIÓN]]</f>
        <v>10</v>
      </c>
      <c r="AD1387" s="38">
        <f>+_xlfn.XLOOKUP(DETALLE_GD_1[[#This Row],[CODIGO]],PRODUCTOS[CODIGO],PRODUCTOS[DESC CORTA],"",0)</f>
        <v>0</v>
      </c>
    </row>
    <row r="1388" spans="1:30" x14ac:dyDescent="0.25">
      <c r="A1388" s="1">
        <v>46154</v>
      </c>
      <c r="B1388" s="1">
        <v>46154</v>
      </c>
      <c r="C1388" s="81" t="s">
        <v>169</v>
      </c>
      <c r="D1388" s="38">
        <v>5</v>
      </c>
      <c r="E1388" s="81" t="s">
        <v>169</v>
      </c>
      <c r="F1388">
        <v>1902003</v>
      </c>
      <c r="G1388" s="81" t="s">
        <v>155</v>
      </c>
      <c r="H1388" s="81" t="s">
        <v>47</v>
      </c>
      <c r="I1388" s="3">
        <v>1</v>
      </c>
      <c r="J1388" s="3"/>
      <c r="K1388" s="26">
        <v>1</v>
      </c>
      <c r="L1388" s="2">
        <v>150752</v>
      </c>
      <c r="M1388" s="2">
        <v>150752</v>
      </c>
      <c r="N1388" s="2">
        <v>150752</v>
      </c>
      <c r="O1388" s="2">
        <v>150703.9755</v>
      </c>
      <c r="P1388" s="2">
        <v>-48.024500000000003</v>
      </c>
      <c r="Q1388" s="2">
        <v>-48.024500000000003</v>
      </c>
      <c r="R1388" s="4">
        <v>-3.1866803681492077E-4</v>
      </c>
      <c r="T1388">
        <v>315180</v>
      </c>
      <c r="U1388" s="2"/>
      <c r="V1388">
        <v>6161</v>
      </c>
      <c r="W1388" s="2">
        <v>6579000000</v>
      </c>
      <c r="X1388" s="6">
        <v>150703.97545999996</v>
      </c>
      <c r="Y1388" s="38">
        <v>10010</v>
      </c>
      <c r="Z1388" s="86">
        <f>+((DETALLE_GD_1[[#This Row],[VALOR X UN (GD)]]-DETALLE_GD_1[[#This Row],[VALOR PPTO]])/DETALLE_GD_1[[#This Row],[VALOR PPTO]])</f>
        <v>3.186677713090557E-4</v>
      </c>
      <c r="AA1388" s="2">
        <f>+DETALLE_GD_1[[#This Row],[VALOR PPTO]]*DETALLE_GD_1[[#This Row],[CANTIDAD RECIBIDA]]</f>
        <v>150703.9755</v>
      </c>
      <c r="AB1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8" s="3">
        <f>+DETALLE_GD_1[[#This Row],[CANTIDAD SOLICITADA]]-DETALLE_GD_1[[#This Row],[DEVOLUCIÓN]]</f>
        <v>1</v>
      </c>
      <c r="AD1388" s="38">
        <f>+_xlfn.XLOOKUP(DETALLE_GD_1[[#This Row],[CODIGO]],PRODUCTOS[CODIGO],PRODUCTOS[DESC CORTA],"",0)</f>
        <v>0</v>
      </c>
    </row>
    <row r="1389" spans="1:30" x14ac:dyDescent="0.25">
      <c r="A1389" s="1">
        <v>46154</v>
      </c>
      <c r="B1389" s="1">
        <v>46154</v>
      </c>
      <c r="C1389" s="81" t="s">
        <v>169</v>
      </c>
      <c r="D1389" s="38">
        <v>5</v>
      </c>
      <c r="E1389" s="81" t="s">
        <v>169</v>
      </c>
      <c r="F1389">
        <v>302054</v>
      </c>
      <c r="G1389" s="81" t="s">
        <v>356</v>
      </c>
      <c r="H1389" s="81" t="s">
        <v>20</v>
      </c>
      <c r="I1389" s="3">
        <v>936</v>
      </c>
      <c r="J1389" s="3"/>
      <c r="K1389" s="26">
        <v>936</v>
      </c>
      <c r="L1389" s="2">
        <v>4575.8216000000002</v>
      </c>
      <c r="M1389" s="2">
        <v>4282969</v>
      </c>
      <c r="N1389" s="2">
        <v>4282969</v>
      </c>
      <c r="O1389" s="2">
        <v>5713</v>
      </c>
      <c r="P1389" s="2">
        <v>1137.1784</v>
      </c>
      <c r="Q1389" s="2">
        <v>1064399</v>
      </c>
      <c r="R1389" s="4">
        <v>0.19905100976779608</v>
      </c>
      <c r="T1389">
        <v>315180</v>
      </c>
      <c r="U1389" s="2"/>
      <c r="V1389">
        <v>6161</v>
      </c>
      <c r="W1389" s="2">
        <v>6579000000</v>
      </c>
      <c r="X1389" s="6">
        <v>5347368</v>
      </c>
      <c r="Y1389" s="38">
        <v>10010</v>
      </c>
      <c r="Z1389" s="86">
        <f>+((DETALLE_GD_1[[#This Row],[VALOR X UN (GD)]]-DETALLE_GD_1[[#This Row],[VALOR PPTO]])/DETALLE_GD_1[[#This Row],[VALOR PPTO]])</f>
        <v>-0.19905100647645715</v>
      </c>
      <c r="AA1389" s="2">
        <f>+DETALLE_GD_1[[#This Row],[VALOR PPTO]]*DETALLE_GD_1[[#This Row],[CANTIDAD RECIBIDA]]</f>
        <v>5347368</v>
      </c>
      <c r="AB13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89" s="3">
        <f>+DETALLE_GD_1[[#This Row],[CANTIDAD SOLICITADA]]-DETALLE_GD_1[[#This Row],[DEVOLUCIÓN]]</f>
        <v>936</v>
      </c>
      <c r="AD1389" s="38">
        <f>+_xlfn.XLOOKUP(DETALLE_GD_1[[#This Row],[CODIGO]],PRODUCTOS[CODIGO],PRODUCTOS[DESC CORTA],"",0)</f>
        <v>0</v>
      </c>
    </row>
    <row r="1390" spans="1:30" x14ac:dyDescent="0.25">
      <c r="A1390" s="1">
        <v>46154</v>
      </c>
      <c r="B1390" s="1">
        <v>46154</v>
      </c>
      <c r="C1390" s="81" t="s">
        <v>169</v>
      </c>
      <c r="D1390" s="38">
        <v>5</v>
      </c>
      <c r="E1390" s="81" t="s">
        <v>169</v>
      </c>
      <c r="F1390">
        <v>302028</v>
      </c>
      <c r="G1390" s="81" t="s">
        <v>246</v>
      </c>
      <c r="H1390" s="81" t="s">
        <v>20</v>
      </c>
      <c r="I1390" s="3">
        <v>240</v>
      </c>
      <c r="J1390" s="3"/>
      <c r="K1390" s="26">
        <v>240</v>
      </c>
      <c r="L1390" s="2">
        <v>4940.6041999999998</v>
      </c>
      <c r="M1390" s="2">
        <v>1185745</v>
      </c>
      <c r="N1390" s="2">
        <v>1185745</v>
      </c>
      <c r="O1390" s="2">
        <v>5123.8024999999998</v>
      </c>
      <c r="P1390" s="2">
        <v>183.19839999999999</v>
      </c>
      <c r="Q1390" s="2">
        <v>43967.606500000002</v>
      </c>
      <c r="R1390" s="4">
        <v>3.5754375655183135E-2</v>
      </c>
      <c r="T1390">
        <v>315180</v>
      </c>
      <c r="U1390" s="2"/>
      <c r="V1390">
        <v>6161</v>
      </c>
      <c r="W1390" s="2">
        <v>6579000000</v>
      </c>
      <c r="X1390" s="6">
        <v>1229712.6064800003</v>
      </c>
      <c r="Y1390" s="38">
        <v>10010</v>
      </c>
      <c r="Z1390" s="86">
        <f>+((DETALLE_GD_1[[#This Row],[VALOR X UN (GD)]]-DETALLE_GD_1[[#This Row],[VALOR PPTO]])/DETALLE_GD_1[[#This Row],[VALOR PPTO]])</f>
        <v>-3.5754364068482349E-2</v>
      </c>
      <c r="AA1390" s="2">
        <f>+DETALLE_GD_1[[#This Row],[VALOR PPTO]]*DETALLE_GD_1[[#This Row],[CANTIDAD RECIBIDA]]</f>
        <v>1229712.5999999999</v>
      </c>
      <c r="AB13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90" s="3">
        <f>+DETALLE_GD_1[[#This Row],[CANTIDAD SOLICITADA]]-DETALLE_GD_1[[#This Row],[DEVOLUCIÓN]]</f>
        <v>240</v>
      </c>
      <c r="AD1390" s="38" t="str">
        <f>+_xlfn.XLOOKUP(DETALLE_GD_1[[#This Row],[CODIGO]],PRODUCTOS[CODIGO],PRODUCTOS[DESC CORTA],"",0)</f>
        <v>PINO 2X4X320</v>
      </c>
    </row>
    <row r="1391" spans="1:30" x14ac:dyDescent="0.25">
      <c r="A1391" s="1">
        <v>46154</v>
      </c>
      <c r="B1391" s="1">
        <v>46154</v>
      </c>
      <c r="C1391" s="81" t="s">
        <v>169</v>
      </c>
      <c r="D1391" s="38">
        <v>5</v>
      </c>
      <c r="E1391" s="81" t="s">
        <v>169</v>
      </c>
      <c r="F1391">
        <v>302010</v>
      </c>
      <c r="G1391" s="81" t="s">
        <v>323</v>
      </c>
      <c r="H1391" s="81" t="s">
        <v>20</v>
      </c>
      <c r="I1391" s="3">
        <v>168</v>
      </c>
      <c r="J1391" s="3"/>
      <c r="K1391" s="26">
        <v>168</v>
      </c>
      <c r="L1391" s="2">
        <v>6678.2083000000002</v>
      </c>
      <c r="M1391" s="2">
        <v>1121939</v>
      </c>
      <c r="N1391" s="2">
        <v>1121939</v>
      </c>
      <c r="O1391" s="2">
        <v>6585.1337000000003</v>
      </c>
      <c r="P1391" s="2">
        <v>-93.074600000000004</v>
      </c>
      <c r="Q1391" s="2">
        <v>-15636.5308</v>
      </c>
      <c r="R1391" s="4">
        <v>-1.4134046769211253E-2</v>
      </c>
      <c r="T1391">
        <v>315180</v>
      </c>
      <c r="U1391" s="2"/>
      <c r="V1391">
        <v>6161</v>
      </c>
      <c r="W1391" s="2">
        <v>6579000000</v>
      </c>
      <c r="X1391" s="6">
        <v>1106302.4691599987</v>
      </c>
      <c r="Y1391" s="38">
        <v>10010</v>
      </c>
      <c r="Z1391" s="86">
        <f>+((DETALLE_GD_1[[#This Row],[VALOR X UN (GD)]]-DETALLE_GD_1[[#This Row],[VALOR PPTO]])/DETALLE_GD_1[[#This Row],[VALOR PPTO]])</f>
        <v>1.413404863746349E-2</v>
      </c>
      <c r="AA1391" s="2">
        <f>+DETALLE_GD_1[[#This Row],[VALOR PPTO]]*DETALLE_GD_1[[#This Row],[CANTIDAD RECIBIDA]]</f>
        <v>1106302.4616</v>
      </c>
      <c r="AB13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91" s="3">
        <f>+DETALLE_GD_1[[#This Row],[CANTIDAD SOLICITADA]]-DETALLE_GD_1[[#This Row],[DEVOLUCIÓN]]</f>
        <v>168</v>
      </c>
      <c r="AD1391" s="38" t="str">
        <f>+_xlfn.XLOOKUP(DETALLE_GD_1[[#This Row],[CODIGO]],PRODUCTOS[CODIGO],PRODUCTOS[DESC CORTA],"",0)</f>
        <v>PINO 2X6X320</v>
      </c>
    </row>
    <row r="1392" spans="1:30" x14ac:dyDescent="0.25">
      <c r="A1392" s="1">
        <v>46154</v>
      </c>
      <c r="B1392" s="1">
        <v>46154</v>
      </c>
      <c r="C1392" s="81" t="s">
        <v>169</v>
      </c>
      <c r="D1392" s="38">
        <v>5</v>
      </c>
      <c r="E1392" s="81" t="s">
        <v>169</v>
      </c>
      <c r="F1392">
        <v>2302119</v>
      </c>
      <c r="G1392" s="81" t="s">
        <v>74</v>
      </c>
      <c r="H1392" s="81" t="s">
        <v>31</v>
      </c>
      <c r="I1392" s="3">
        <v>12</v>
      </c>
      <c r="J1392" s="3"/>
      <c r="K1392" s="26">
        <v>12</v>
      </c>
      <c r="L1392" s="2">
        <v>3679.9167000000002</v>
      </c>
      <c r="M1392" s="2">
        <v>44159</v>
      </c>
      <c r="N1392" s="2">
        <v>44159</v>
      </c>
      <c r="O1392" s="2">
        <v>3671</v>
      </c>
      <c r="P1392" s="2">
        <v>-8.9167000000000005</v>
      </c>
      <c r="Q1392" s="2">
        <v>-107</v>
      </c>
      <c r="R1392" s="4">
        <v>-2.4289476073730632E-3</v>
      </c>
      <c r="T1392">
        <v>315248</v>
      </c>
      <c r="U1392" s="2">
        <v>532557</v>
      </c>
      <c r="V1392">
        <v>6161</v>
      </c>
      <c r="W1392" s="2">
        <v>6579000000</v>
      </c>
      <c r="X1392" s="6">
        <v>44052</v>
      </c>
      <c r="Y1392" s="38">
        <v>10010</v>
      </c>
      <c r="Z1392" s="86">
        <f>+((DETALLE_GD_1[[#This Row],[VALOR X UN (GD)]]-DETALLE_GD_1[[#This Row],[VALOR PPTO]])/DETALLE_GD_1[[#This Row],[VALOR PPTO]])</f>
        <v>2.4289566875511357E-3</v>
      </c>
      <c r="AA1392" s="2">
        <f>+DETALLE_GD_1[[#This Row],[VALOR PPTO]]*DETALLE_GD_1[[#This Row],[CANTIDAD RECIBIDA]]</f>
        <v>44052</v>
      </c>
      <c r="AB1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2" s="3">
        <f>+DETALLE_GD_1[[#This Row],[CANTIDAD SOLICITADA]]-DETALLE_GD_1[[#This Row],[DEVOLUCIÓN]]</f>
        <v>12</v>
      </c>
      <c r="AD1392" s="38" t="str">
        <f>+_xlfn.XLOOKUP(DETALLE_GD_1[[#This Row],[CODIGO]],PRODUCTOS[CODIGO],PRODUCTOS[DESC CORTA],"",0)</f>
        <v>SELLO</v>
      </c>
    </row>
    <row r="1393" spans="1:30" x14ac:dyDescent="0.25">
      <c r="A1393" s="1">
        <v>46154</v>
      </c>
      <c r="B1393" s="1">
        <v>46154</v>
      </c>
      <c r="C1393" s="81" t="s">
        <v>169</v>
      </c>
      <c r="D1393" s="38">
        <v>5</v>
      </c>
      <c r="E1393" s="81" t="s">
        <v>169</v>
      </c>
      <c r="F1393">
        <v>408034</v>
      </c>
      <c r="G1393" s="81" t="s">
        <v>250</v>
      </c>
      <c r="H1393" s="81" t="s">
        <v>36</v>
      </c>
      <c r="I1393" s="3">
        <v>1</v>
      </c>
      <c r="J1393" s="3"/>
      <c r="K1393" s="26">
        <v>1</v>
      </c>
      <c r="L1393" s="2">
        <v>1867</v>
      </c>
      <c r="M1393" s="2">
        <v>1867</v>
      </c>
      <c r="N1393" s="2">
        <v>1867</v>
      </c>
      <c r="O1393" s="2">
        <v>1866.9503999999999</v>
      </c>
      <c r="P1393" s="2">
        <v>-4.9599999999999998E-2</v>
      </c>
      <c r="Q1393" s="2">
        <v>-4.9599999999999998E-2</v>
      </c>
      <c r="R1393" s="4">
        <v>-2.6591494447838636E-5</v>
      </c>
      <c r="T1393">
        <v>315248</v>
      </c>
      <c r="U1393" s="2"/>
      <c r="V1393">
        <v>6161</v>
      </c>
      <c r="W1393" s="2">
        <v>6579000000</v>
      </c>
      <c r="X1393" s="6">
        <v>1866.9503550000009</v>
      </c>
      <c r="Y1393" s="38">
        <v>10010</v>
      </c>
      <c r="Z1393" s="86">
        <f>+((DETALLE_GD_1[[#This Row],[VALOR X UN (GD)]]-DETALLE_GD_1[[#This Row],[VALOR PPTO]])/DETALLE_GD_1[[#This Row],[VALOR PPTO]])</f>
        <v>2.6567390328128124E-5</v>
      </c>
      <c r="AA1393" s="2">
        <f>+DETALLE_GD_1[[#This Row],[VALOR PPTO]]*DETALLE_GD_1[[#This Row],[CANTIDAD RECIBIDA]]</f>
        <v>1866.9503999999999</v>
      </c>
      <c r="AB1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3" s="3">
        <f>+DETALLE_GD_1[[#This Row],[CANTIDAD SOLICITADA]]-DETALLE_GD_1[[#This Row],[DEVOLUCIÓN]]</f>
        <v>1</v>
      </c>
      <c r="AD1393" s="38">
        <f>+_xlfn.XLOOKUP(DETALLE_GD_1[[#This Row],[CODIGO]],PRODUCTOS[CODIGO],PRODUCTOS[DESC CORTA],"",0)</f>
        <v>0</v>
      </c>
    </row>
    <row r="1394" spans="1:30" x14ac:dyDescent="0.25">
      <c r="A1394" s="1">
        <v>46154</v>
      </c>
      <c r="B1394" s="1">
        <v>46154</v>
      </c>
      <c r="C1394" s="81" t="s">
        <v>169</v>
      </c>
      <c r="D1394" s="38">
        <v>5</v>
      </c>
      <c r="E1394" s="81" t="s">
        <v>169</v>
      </c>
      <c r="F1394">
        <v>407185</v>
      </c>
      <c r="G1394" s="81" t="s">
        <v>43</v>
      </c>
      <c r="H1394" s="81" t="s">
        <v>31</v>
      </c>
      <c r="I1394" s="3">
        <v>782</v>
      </c>
      <c r="J1394" s="3"/>
      <c r="K1394" s="26">
        <v>782</v>
      </c>
      <c r="L1394" s="2">
        <v>6.266</v>
      </c>
      <c r="M1394" s="2">
        <v>4900</v>
      </c>
      <c r="N1394" s="2">
        <v>4900</v>
      </c>
      <c r="O1394" s="2">
        <v>6.8783000000000003</v>
      </c>
      <c r="P1394" s="2">
        <v>0.61229999999999996</v>
      </c>
      <c r="Q1394" s="2">
        <v>478.84620000000001</v>
      </c>
      <c r="R1394" s="4">
        <v>8.9023968827932176E-2</v>
      </c>
      <c r="T1394">
        <v>315248</v>
      </c>
      <c r="U1394" s="2"/>
      <c r="V1394">
        <v>6161</v>
      </c>
      <c r="W1394" s="2">
        <v>6579000000</v>
      </c>
      <c r="X1394" s="6">
        <v>5378.8462400000008</v>
      </c>
      <c r="Y1394" s="38">
        <v>10010</v>
      </c>
      <c r="Z1394" s="86">
        <f>+((DETALLE_GD_1[[#This Row],[VALOR X UN (GD)]]-DETALLE_GD_1[[#This Row],[VALOR PPTO]])/DETALLE_GD_1[[#This Row],[VALOR PPTO]])</f>
        <v>-8.9019089019089059E-2</v>
      </c>
      <c r="AA1394" s="2">
        <f>+DETALLE_GD_1[[#This Row],[VALOR PPTO]]*DETALLE_GD_1[[#This Row],[CANTIDAD RECIBIDA]]</f>
        <v>5378.8306000000002</v>
      </c>
      <c r="AB1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4" s="3">
        <f>+DETALLE_GD_1[[#This Row],[CANTIDAD SOLICITADA]]-DETALLE_GD_1[[#This Row],[DEVOLUCIÓN]]</f>
        <v>782</v>
      </c>
      <c r="AD1394" s="38">
        <f>+_xlfn.XLOOKUP(DETALLE_GD_1[[#This Row],[CODIGO]],PRODUCTOS[CODIGO],PRODUCTOS[DESC CORTA],"",0)</f>
        <v>0</v>
      </c>
    </row>
    <row r="1395" spans="1:30" x14ac:dyDescent="0.25">
      <c r="A1395" s="1">
        <v>46154</v>
      </c>
      <c r="B1395" s="1">
        <v>46154</v>
      </c>
      <c r="C1395" s="81" t="s">
        <v>169</v>
      </c>
      <c r="D1395" s="38">
        <v>5</v>
      </c>
      <c r="E1395" s="81" t="s">
        <v>169</v>
      </c>
      <c r="F1395">
        <v>1405039</v>
      </c>
      <c r="G1395" s="81" t="s">
        <v>314</v>
      </c>
      <c r="H1395" s="81" t="s">
        <v>31</v>
      </c>
      <c r="I1395" s="3">
        <v>1</v>
      </c>
      <c r="J1395" s="3"/>
      <c r="K1395" s="26">
        <v>1</v>
      </c>
      <c r="L1395" s="2">
        <v>7637</v>
      </c>
      <c r="M1395" s="2">
        <v>7637</v>
      </c>
      <c r="N1395" s="2">
        <v>7637</v>
      </c>
      <c r="O1395" s="2">
        <v>7596</v>
      </c>
      <c r="P1395" s="2">
        <v>-41</v>
      </c>
      <c r="Q1395" s="2">
        <v>-41</v>
      </c>
      <c r="R1395" s="4">
        <v>-5.3975776724591888E-3</v>
      </c>
      <c r="T1395">
        <v>315248</v>
      </c>
      <c r="U1395" s="2"/>
      <c r="V1395">
        <v>6161</v>
      </c>
      <c r="W1395" s="2">
        <v>6579000000</v>
      </c>
      <c r="X1395" s="6">
        <v>7596</v>
      </c>
      <c r="Y1395" s="38">
        <v>10010</v>
      </c>
      <c r="Z1395" s="86">
        <f>+((DETALLE_GD_1[[#This Row],[VALOR X UN (GD)]]-DETALLE_GD_1[[#This Row],[VALOR PPTO]])/DETALLE_GD_1[[#This Row],[VALOR PPTO]])</f>
        <v>5.3975776724591888E-3</v>
      </c>
      <c r="AA1395" s="2">
        <f>+DETALLE_GD_1[[#This Row],[VALOR PPTO]]*DETALLE_GD_1[[#This Row],[CANTIDAD RECIBIDA]]</f>
        <v>7596</v>
      </c>
      <c r="AB1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5" s="3">
        <f>+DETALLE_GD_1[[#This Row],[CANTIDAD SOLICITADA]]-DETALLE_GD_1[[#This Row],[DEVOLUCIÓN]]</f>
        <v>1</v>
      </c>
      <c r="AD1395" s="38" t="str">
        <f>+_xlfn.XLOOKUP(DETALLE_GD_1[[#This Row],[CODIGO]],PRODUCTOS[CODIGO],PRODUCTOS[DESC CORTA],"",0)</f>
        <v>CERRADURA INOX 304</v>
      </c>
    </row>
    <row r="1396" spans="1:30" x14ac:dyDescent="0.25">
      <c r="A1396" s="1">
        <v>46154</v>
      </c>
      <c r="B1396" s="1">
        <v>46154</v>
      </c>
      <c r="C1396" s="81" t="s">
        <v>169</v>
      </c>
      <c r="D1396" s="38">
        <v>5</v>
      </c>
      <c r="E1396" s="81" t="s">
        <v>169</v>
      </c>
      <c r="F1396">
        <v>1405040</v>
      </c>
      <c r="G1396" s="81" t="s">
        <v>451</v>
      </c>
      <c r="H1396" s="81" t="s">
        <v>31</v>
      </c>
      <c r="I1396" s="3">
        <v>3</v>
      </c>
      <c r="J1396" s="3"/>
      <c r="K1396" s="26">
        <v>3</v>
      </c>
      <c r="L1396" s="2">
        <v>7574.6666999999998</v>
      </c>
      <c r="M1396" s="2">
        <v>22724</v>
      </c>
      <c r="N1396" s="2">
        <v>22724</v>
      </c>
      <c r="O1396" s="2">
        <v>7568</v>
      </c>
      <c r="P1396" s="2">
        <v>-6.6666999999999996</v>
      </c>
      <c r="Q1396" s="2">
        <v>-20</v>
      </c>
      <c r="R1396" s="4">
        <v>-8.8090204369278141E-4</v>
      </c>
      <c r="T1396">
        <v>315248</v>
      </c>
      <c r="U1396" s="2"/>
      <c r="V1396">
        <v>6161</v>
      </c>
      <c r="W1396" s="2">
        <v>6579000000</v>
      </c>
      <c r="X1396" s="6">
        <v>22704</v>
      </c>
      <c r="Y1396" s="38">
        <v>10010</v>
      </c>
      <c r="Z1396" s="86">
        <f>+((DETALLE_GD_1[[#This Row],[VALOR X UN (GD)]]-DETALLE_GD_1[[#This Row],[VALOR PPTO]])/DETALLE_GD_1[[#This Row],[VALOR PPTO]])</f>
        <v>8.8090644820292864E-4</v>
      </c>
      <c r="AA1396" s="2">
        <f>+DETALLE_GD_1[[#This Row],[VALOR PPTO]]*DETALLE_GD_1[[#This Row],[CANTIDAD RECIBIDA]]</f>
        <v>22704</v>
      </c>
      <c r="AB1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6" s="3">
        <f>+DETALLE_GD_1[[#This Row],[CANTIDAD SOLICITADA]]-DETALLE_GD_1[[#This Row],[DEVOLUCIÓN]]</f>
        <v>3</v>
      </c>
      <c r="AD1396" s="38" t="str">
        <f>+_xlfn.XLOOKUP(DETALLE_GD_1[[#This Row],[CODIGO]],PRODUCTOS[CODIGO],PRODUCTOS[DESC CORTA],"",0)</f>
        <v>CEERRADURA BAÑO 815 TUBULAR</v>
      </c>
    </row>
    <row r="1397" spans="1:30" x14ac:dyDescent="0.25">
      <c r="A1397" s="1">
        <v>46154</v>
      </c>
      <c r="B1397" s="1">
        <v>46154</v>
      </c>
      <c r="C1397" s="81" t="s">
        <v>169</v>
      </c>
      <c r="D1397" s="38">
        <v>5</v>
      </c>
      <c r="E1397" s="81" t="s">
        <v>169</v>
      </c>
      <c r="F1397">
        <v>407423</v>
      </c>
      <c r="G1397" s="81" t="s">
        <v>106</v>
      </c>
      <c r="H1397" s="81" t="s">
        <v>31</v>
      </c>
      <c r="I1397" s="3">
        <v>1000</v>
      </c>
      <c r="J1397" s="3"/>
      <c r="K1397" s="26">
        <v>1000</v>
      </c>
      <c r="L1397" s="2">
        <v>3.4660000000000002</v>
      </c>
      <c r="M1397" s="2">
        <v>3466</v>
      </c>
      <c r="N1397" s="2">
        <v>3466</v>
      </c>
      <c r="O1397" s="2">
        <v>106.6405</v>
      </c>
      <c r="P1397" s="2">
        <v>103.17449999999999</v>
      </c>
      <c r="Q1397" s="2">
        <v>103174.50199999999</v>
      </c>
      <c r="R1397" s="4">
        <v>0.96749827752567163</v>
      </c>
      <c r="T1397">
        <v>315248</v>
      </c>
      <c r="U1397" s="2"/>
      <c r="V1397">
        <v>6161</v>
      </c>
      <c r="W1397" s="2">
        <v>6579000000</v>
      </c>
      <c r="X1397" s="6">
        <v>106640.50198378378</v>
      </c>
      <c r="Y1397" s="38">
        <v>10010</v>
      </c>
      <c r="Z1397" s="86">
        <f>+((DETALLE_GD_1[[#This Row],[VALOR X UN (GD)]]-DETALLE_GD_1[[#This Row],[VALOR PPTO]])/DETALLE_GD_1[[#This Row],[VALOR PPTO]])</f>
        <v>-0.96749827692105728</v>
      </c>
      <c r="AA1397" s="2">
        <f>+DETALLE_GD_1[[#This Row],[VALOR PPTO]]*DETALLE_GD_1[[#This Row],[CANTIDAD RECIBIDA]]</f>
        <v>106640.5</v>
      </c>
      <c r="AB1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7" s="3">
        <f>+DETALLE_GD_1[[#This Row],[CANTIDAD SOLICITADA]]-DETALLE_GD_1[[#This Row],[DEVOLUCIÓN]]</f>
        <v>1000</v>
      </c>
      <c r="AD1397" s="38" t="str">
        <f>+_xlfn.XLOOKUP(DETALLE_GD_1[[#This Row],[CODIGO]],PRODUCTOS[CODIGO],PRODUCTOS[DESC CORTA],"",0)</f>
        <v>TORNILLO CRS 6X1 5/8</v>
      </c>
    </row>
    <row r="1398" spans="1:30" x14ac:dyDescent="0.25">
      <c r="A1398" s="1">
        <v>46154</v>
      </c>
      <c r="B1398" s="1">
        <v>46154</v>
      </c>
      <c r="C1398" s="81" t="s">
        <v>169</v>
      </c>
      <c r="D1398" s="38">
        <v>5</v>
      </c>
      <c r="E1398" s="81" t="s">
        <v>169</v>
      </c>
      <c r="F1398">
        <v>1803045</v>
      </c>
      <c r="G1398" s="81" t="s">
        <v>337</v>
      </c>
      <c r="H1398" s="81" t="s">
        <v>90</v>
      </c>
      <c r="I1398" s="3">
        <v>3</v>
      </c>
      <c r="J1398" s="3"/>
      <c r="K1398" s="26">
        <v>3</v>
      </c>
      <c r="L1398" s="2">
        <v>51881.666700000002</v>
      </c>
      <c r="M1398" s="2">
        <v>155645</v>
      </c>
      <c r="N1398" s="2">
        <v>155645</v>
      </c>
      <c r="O1398" s="2">
        <v>51873</v>
      </c>
      <c r="P1398" s="2">
        <v>-8.6667000000000005</v>
      </c>
      <c r="Q1398" s="2">
        <v>-26</v>
      </c>
      <c r="R1398" s="4">
        <v>-1.6707471452723997E-4</v>
      </c>
      <c r="T1398">
        <v>315248</v>
      </c>
      <c r="U1398" s="2"/>
      <c r="V1398">
        <v>6161</v>
      </c>
      <c r="W1398" s="2">
        <v>6579000000</v>
      </c>
      <c r="X1398" s="6">
        <v>155618.99999999997</v>
      </c>
      <c r="Y1398" s="38">
        <v>10010</v>
      </c>
      <c r="Z1398" s="86">
        <f>+((DETALLE_GD_1[[#This Row],[VALOR X UN (GD)]]-DETALLE_GD_1[[#This Row],[VALOR PPTO]])/DETALLE_GD_1[[#This Row],[VALOR PPTO]])</f>
        <v>1.6707535712223284E-4</v>
      </c>
      <c r="AA1398" s="2">
        <f>+DETALLE_GD_1[[#This Row],[VALOR PPTO]]*DETALLE_GD_1[[#This Row],[CANTIDAD RECIBIDA]]</f>
        <v>155619</v>
      </c>
      <c r="AB13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98" s="3">
        <f>+DETALLE_GD_1[[#This Row],[CANTIDAD SOLICITADA]]-DETALLE_GD_1[[#This Row],[DEVOLUCIÓN]]</f>
        <v>3</v>
      </c>
      <c r="AD1398" s="38" t="str">
        <f>+_xlfn.XLOOKUP(DETALLE_GD_1[[#This Row],[CODIGO]],PRODUCTOS[CODIGO],PRODUCTOS[DESC CORTA],"",0)</f>
        <v>PUERTA INTERIOR</v>
      </c>
    </row>
    <row r="1399" spans="1:30" x14ac:dyDescent="0.25">
      <c r="A1399" s="1">
        <v>46154</v>
      </c>
      <c r="B1399" s="1">
        <v>46154</v>
      </c>
      <c r="C1399" s="81" t="s">
        <v>169</v>
      </c>
      <c r="D1399" s="38">
        <v>5</v>
      </c>
      <c r="E1399" s="81" t="s">
        <v>169</v>
      </c>
      <c r="F1399">
        <v>1803044</v>
      </c>
      <c r="G1399" s="81" t="s">
        <v>336</v>
      </c>
      <c r="H1399" s="81" t="s">
        <v>90</v>
      </c>
      <c r="I1399" s="3">
        <v>1</v>
      </c>
      <c r="J1399" s="3"/>
      <c r="K1399" s="26">
        <v>1</v>
      </c>
      <c r="L1399" s="2">
        <v>51876</v>
      </c>
      <c r="M1399" s="2">
        <v>51876</v>
      </c>
      <c r="N1399" s="2">
        <v>51876</v>
      </c>
      <c r="O1399" s="2">
        <v>52920</v>
      </c>
      <c r="P1399" s="2">
        <v>1044</v>
      </c>
      <c r="Q1399" s="2">
        <v>1044</v>
      </c>
      <c r="R1399" s="4">
        <v>1.9727891156462583E-2</v>
      </c>
      <c r="T1399">
        <v>315248</v>
      </c>
      <c r="U1399" s="2"/>
      <c r="V1399">
        <v>6161</v>
      </c>
      <c r="W1399" s="2">
        <v>6579000000</v>
      </c>
      <c r="X1399" s="6">
        <v>52920</v>
      </c>
      <c r="Y1399" s="38">
        <v>10010</v>
      </c>
      <c r="Z1399" s="86">
        <f>+((DETALLE_GD_1[[#This Row],[VALOR X UN (GD)]]-DETALLE_GD_1[[#This Row],[VALOR PPTO]])/DETALLE_GD_1[[#This Row],[VALOR PPTO]])</f>
        <v>-1.9727891156462583E-2</v>
      </c>
      <c r="AA1399" s="2">
        <f>+DETALLE_GD_1[[#This Row],[VALOR PPTO]]*DETALLE_GD_1[[#This Row],[CANTIDAD RECIBIDA]]</f>
        <v>52920</v>
      </c>
      <c r="AB1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9" s="3">
        <f>+DETALLE_GD_1[[#This Row],[CANTIDAD SOLICITADA]]-DETALLE_GD_1[[#This Row],[DEVOLUCIÓN]]</f>
        <v>1</v>
      </c>
      <c r="AD1399" s="38" t="str">
        <f>+_xlfn.XLOOKUP(DETALLE_GD_1[[#This Row],[CODIGO]],PRODUCTOS[CODIGO],PRODUCTOS[DESC CORTA],"",0)</f>
        <v/>
      </c>
    </row>
    <row r="1400" spans="1:30" x14ac:dyDescent="0.25">
      <c r="A1400" s="1">
        <v>46154</v>
      </c>
      <c r="B1400" s="1">
        <v>46154</v>
      </c>
      <c r="C1400" s="81" t="s">
        <v>169</v>
      </c>
      <c r="D1400" s="38">
        <v>5</v>
      </c>
      <c r="E1400" s="81" t="s">
        <v>169</v>
      </c>
      <c r="F1400">
        <v>2508993</v>
      </c>
      <c r="G1400" s="81" t="s">
        <v>487</v>
      </c>
      <c r="H1400" s="81" t="s">
        <v>31</v>
      </c>
      <c r="I1400" s="3">
        <v>2</v>
      </c>
      <c r="J1400" s="3"/>
      <c r="K1400" s="26">
        <v>2</v>
      </c>
      <c r="L1400" s="2">
        <v>1461.5</v>
      </c>
      <c r="M1400" s="2">
        <v>2923</v>
      </c>
      <c r="N1400" s="2">
        <v>2923</v>
      </c>
      <c r="O1400" s="2">
        <v>1410</v>
      </c>
      <c r="P1400" s="2">
        <v>-51.5</v>
      </c>
      <c r="Q1400" s="2">
        <v>-103</v>
      </c>
      <c r="R1400" s="4">
        <v>-3.6524822695035458E-2</v>
      </c>
      <c r="T1400">
        <v>315248</v>
      </c>
      <c r="U1400" s="2"/>
      <c r="V1400">
        <v>6161</v>
      </c>
      <c r="W1400" s="2">
        <v>6579000000</v>
      </c>
      <c r="X1400" s="6">
        <v>2820</v>
      </c>
      <c r="Y1400" s="38">
        <v>10010</v>
      </c>
      <c r="Z1400" s="86">
        <f>+((DETALLE_GD_1[[#This Row],[VALOR X UN (GD)]]-DETALLE_GD_1[[#This Row],[VALOR PPTO]])/DETALLE_GD_1[[#This Row],[VALOR PPTO]])</f>
        <v>3.6524822695035458E-2</v>
      </c>
      <c r="AA1400" s="2">
        <f>+DETALLE_GD_1[[#This Row],[VALOR PPTO]]*DETALLE_GD_1[[#This Row],[CANTIDAD RECIBIDA]]</f>
        <v>2820</v>
      </c>
      <c r="AB1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0" s="3">
        <f>+DETALLE_GD_1[[#This Row],[CANTIDAD SOLICITADA]]-DETALLE_GD_1[[#This Row],[DEVOLUCIÓN]]</f>
        <v>2</v>
      </c>
      <c r="AD1400" s="38" t="str">
        <f>+_xlfn.XLOOKUP(DETALLE_GD_1[[#This Row],[CODIGO]],PRODUCTOS[CODIGO],PRODUCTOS[DESC CORTA],"",0)</f>
        <v>BOCALLAVE B1 800 ACCESO</v>
      </c>
    </row>
    <row r="1401" spans="1:30" x14ac:dyDescent="0.25">
      <c r="A1401" s="1">
        <v>46154</v>
      </c>
      <c r="B1401" s="1">
        <v>46154</v>
      </c>
      <c r="C1401" s="81" t="s">
        <v>169</v>
      </c>
      <c r="D1401" s="38">
        <v>5</v>
      </c>
      <c r="E1401" s="81" t="s">
        <v>169</v>
      </c>
      <c r="F1401">
        <v>2508994</v>
      </c>
      <c r="G1401" s="81" t="s">
        <v>488</v>
      </c>
      <c r="H1401" s="81" t="s">
        <v>31</v>
      </c>
      <c r="I1401" s="3">
        <v>1</v>
      </c>
      <c r="J1401" s="3"/>
      <c r="K1401" s="26">
        <v>1</v>
      </c>
      <c r="L1401" s="2">
        <v>1691</v>
      </c>
      <c r="M1401" s="2">
        <v>1691</v>
      </c>
      <c r="N1401" s="2">
        <v>1691</v>
      </c>
      <c r="O1401" s="2">
        <v>1598</v>
      </c>
      <c r="P1401" s="2">
        <v>-93</v>
      </c>
      <c r="Q1401" s="2">
        <v>-93</v>
      </c>
      <c r="R1401" s="4">
        <v>-5.8197747183979978E-2</v>
      </c>
      <c r="T1401">
        <v>315248</v>
      </c>
      <c r="U1401" s="2"/>
      <c r="V1401">
        <v>6161</v>
      </c>
      <c r="W1401" s="2">
        <v>6579000000</v>
      </c>
      <c r="X1401" s="6">
        <v>1598</v>
      </c>
      <c r="Y1401" s="38">
        <v>10010</v>
      </c>
      <c r="Z1401" s="86">
        <f>+((DETALLE_GD_1[[#This Row],[VALOR X UN (GD)]]-DETALLE_GD_1[[#This Row],[VALOR PPTO]])/DETALLE_GD_1[[#This Row],[VALOR PPTO]])</f>
        <v>5.8197747183979978E-2</v>
      </c>
      <c r="AA1401" s="2">
        <f>+DETALLE_GD_1[[#This Row],[VALOR PPTO]]*DETALLE_GD_1[[#This Row],[CANTIDAD RECIBIDA]]</f>
        <v>1598</v>
      </c>
      <c r="AB1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1" s="3">
        <f>+DETALLE_GD_1[[#This Row],[CANTIDAD SOLICITADA]]-DETALLE_GD_1[[#This Row],[DEVOLUCIÓN]]</f>
        <v>1</v>
      </c>
      <c r="AD1401" s="38" t="str">
        <f>+_xlfn.XLOOKUP(DETALLE_GD_1[[#This Row],[CODIGO]],PRODUCTOS[CODIGO],PRODUCTOS[DESC CORTA],"",0)</f>
        <v>CUADRADILLO EXPANSION 8X</v>
      </c>
    </row>
    <row r="1402" spans="1:30" x14ac:dyDescent="0.25">
      <c r="A1402" s="1">
        <v>46154</v>
      </c>
      <c r="B1402" s="1">
        <v>46154</v>
      </c>
      <c r="C1402" s="81" t="s">
        <v>169</v>
      </c>
      <c r="D1402" s="38">
        <v>5</v>
      </c>
      <c r="E1402" s="81" t="s">
        <v>169</v>
      </c>
      <c r="F1402">
        <v>2508992</v>
      </c>
      <c r="G1402" s="81" t="s">
        <v>486</v>
      </c>
      <c r="H1402" s="81" t="s">
        <v>31</v>
      </c>
      <c r="I1402" s="3">
        <v>2</v>
      </c>
      <c r="J1402" s="3"/>
      <c r="K1402" s="26">
        <v>2</v>
      </c>
      <c r="L1402" s="2">
        <v>5068.5</v>
      </c>
      <c r="M1402" s="2">
        <v>10137</v>
      </c>
      <c r="N1402" s="2">
        <v>10137</v>
      </c>
      <c r="O1402" s="2">
        <v>5084</v>
      </c>
      <c r="P1402" s="2">
        <v>15.5</v>
      </c>
      <c r="Q1402" s="2">
        <v>31</v>
      </c>
      <c r="R1402" s="4">
        <v>3.0487804878048786E-3</v>
      </c>
      <c r="T1402">
        <v>315248</v>
      </c>
      <c r="U1402" s="2"/>
      <c r="V1402">
        <v>6161</v>
      </c>
      <c r="W1402" s="2">
        <v>6579000000</v>
      </c>
      <c r="X1402" s="6">
        <v>10168</v>
      </c>
      <c r="Y1402" s="38">
        <v>10010</v>
      </c>
      <c r="Z1402" s="86">
        <f>+((DETALLE_GD_1[[#This Row],[VALOR X UN (GD)]]-DETALLE_GD_1[[#This Row],[VALOR PPTO]])/DETALLE_GD_1[[#This Row],[VALOR PPTO]])</f>
        <v>-3.0487804878048782E-3</v>
      </c>
      <c r="AA1402" s="2">
        <f>+DETALLE_GD_1[[#This Row],[VALOR PPTO]]*DETALLE_GD_1[[#This Row],[CANTIDAD RECIBIDA]]</f>
        <v>10168</v>
      </c>
      <c r="AB1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2" s="3">
        <f>+DETALLE_GD_1[[#This Row],[CANTIDAD SOLICITADA]]-DETALLE_GD_1[[#This Row],[DEVOLUCIÓN]]</f>
        <v>2</v>
      </c>
      <c r="AD1402" s="38" t="str">
        <f>+_xlfn.XLOOKUP(DETALLE_GD_1[[#This Row],[CODIGO]],PRODUCTOS[CODIGO],PRODUCTOS[DESC CORTA],"",0)</f>
        <v>MANILLA JUEGO</v>
      </c>
    </row>
    <row r="1403" spans="1:30" x14ac:dyDescent="0.25">
      <c r="A1403" s="1">
        <v>46154</v>
      </c>
      <c r="B1403" s="1">
        <v>46154</v>
      </c>
      <c r="C1403" s="81" t="s">
        <v>169</v>
      </c>
      <c r="D1403" s="38">
        <v>5</v>
      </c>
      <c r="E1403" s="81" t="s">
        <v>169</v>
      </c>
      <c r="F1403">
        <v>2508991</v>
      </c>
      <c r="G1403" s="81" t="s">
        <v>485</v>
      </c>
      <c r="H1403" s="81" t="s">
        <v>31</v>
      </c>
      <c r="I1403" s="3">
        <v>2</v>
      </c>
      <c r="J1403" s="3"/>
      <c r="K1403" s="26">
        <v>2</v>
      </c>
      <c r="L1403" s="2">
        <v>4785.5</v>
      </c>
      <c r="M1403" s="2">
        <v>9571</v>
      </c>
      <c r="N1403" s="2">
        <v>9571</v>
      </c>
      <c r="O1403" s="2">
        <v>4798</v>
      </c>
      <c r="P1403" s="2">
        <v>12.5</v>
      </c>
      <c r="Q1403" s="2">
        <v>25</v>
      </c>
      <c r="R1403" s="4">
        <v>2.6052521884118384E-3</v>
      </c>
      <c r="T1403">
        <v>315248</v>
      </c>
      <c r="U1403" s="2"/>
      <c r="V1403">
        <v>6161</v>
      </c>
      <c r="W1403" s="2">
        <v>6579000000</v>
      </c>
      <c r="X1403" s="6">
        <v>9596</v>
      </c>
      <c r="Y1403" s="38">
        <v>10010</v>
      </c>
      <c r="Z1403" s="86">
        <f>+((DETALLE_GD_1[[#This Row],[VALOR X UN (GD)]]-DETALLE_GD_1[[#This Row],[VALOR PPTO]])/DETALLE_GD_1[[#This Row],[VALOR PPTO]])</f>
        <v>-2.6052521884118384E-3</v>
      </c>
      <c r="AA1403" s="2">
        <f>+DETALLE_GD_1[[#This Row],[VALOR PPTO]]*DETALLE_GD_1[[#This Row],[CANTIDAD RECIBIDA]]</f>
        <v>9596</v>
      </c>
      <c r="AB1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3" s="3">
        <f>+DETALLE_GD_1[[#This Row],[CANTIDAD SOLICITADA]]-DETALLE_GD_1[[#This Row],[DEVOLUCIÓN]]</f>
        <v>2</v>
      </c>
      <c r="AD1403" s="38" t="str">
        <f>+_xlfn.XLOOKUP(DETALLE_GD_1[[#This Row],[CODIGO]],PRODUCTOS[CODIGO],PRODUCTOS[DESC CORTA],"",0)</f>
        <v>CILINDRO 03 LLAVE/LLAVE</v>
      </c>
    </row>
    <row r="1404" spans="1:30" x14ac:dyDescent="0.25">
      <c r="A1404" s="1">
        <v>46154</v>
      </c>
      <c r="B1404" s="1">
        <v>46154</v>
      </c>
      <c r="C1404" s="81" t="s">
        <v>169</v>
      </c>
      <c r="D1404" s="38">
        <v>5</v>
      </c>
      <c r="E1404" s="81" t="s">
        <v>169</v>
      </c>
      <c r="F1404">
        <v>2508990</v>
      </c>
      <c r="G1404" s="81" t="s">
        <v>484</v>
      </c>
      <c r="H1404" s="81" t="s">
        <v>31</v>
      </c>
      <c r="I1404" s="3">
        <v>2</v>
      </c>
      <c r="J1404" s="3"/>
      <c r="K1404" s="26">
        <v>2</v>
      </c>
      <c r="L1404" s="2">
        <v>6688.5</v>
      </c>
      <c r="M1404" s="2">
        <v>13377</v>
      </c>
      <c r="N1404" s="2">
        <v>13377</v>
      </c>
      <c r="O1404" s="2">
        <v>6738</v>
      </c>
      <c r="P1404" s="2">
        <v>49.5</v>
      </c>
      <c r="Q1404" s="2">
        <v>99</v>
      </c>
      <c r="R1404" s="4">
        <v>7.3463935886019602E-3</v>
      </c>
      <c r="T1404">
        <v>315248</v>
      </c>
      <c r="U1404" s="2"/>
      <c r="V1404">
        <v>6161</v>
      </c>
      <c r="W1404" s="2">
        <v>6579000000</v>
      </c>
      <c r="X1404" s="6">
        <v>13476</v>
      </c>
      <c r="Y1404" s="38">
        <v>10010</v>
      </c>
      <c r="Z1404" s="86">
        <f>+((DETALLE_GD_1[[#This Row],[VALOR X UN (GD)]]-DETALLE_GD_1[[#This Row],[VALOR PPTO]])/DETALLE_GD_1[[#This Row],[VALOR PPTO]])</f>
        <v>-7.3463935886019594E-3</v>
      </c>
      <c r="AA1404" s="2">
        <f>+DETALLE_GD_1[[#This Row],[VALOR PPTO]]*DETALLE_GD_1[[#This Row],[CANTIDAD RECIBIDA]]</f>
        <v>13476</v>
      </c>
      <c r="AB1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4" s="3">
        <f>+DETALLE_GD_1[[#This Row],[CANTIDAD SOLICITADA]]-DETALLE_GD_1[[#This Row],[DEVOLUCIÓN]]</f>
        <v>2</v>
      </c>
      <c r="AD1404" s="38" t="str">
        <f>+_xlfn.XLOOKUP(DETALLE_GD_1[[#This Row],[CODIGO]],PRODUCTOS[CODIGO],PRODUCTOS[DESC CORTA],"",0)</f>
        <v>CERRADURA DE EMB</v>
      </c>
    </row>
    <row r="1405" spans="1:30" x14ac:dyDescent="0.25">
      <c r="A1405" s="1">
        <v>46154</v>
      </c>
      <c r="B1405" s="1">
        <v>46154</v>
      </c>
      <c r="C1405" s="81" t="s">
        <v>169</v>
      </c>
      <c r="D1405" s="38">
        <v>5</v>
      </c>
      <c r="E1405" s="81" t="s">
        <v>169</v>
      </c>
      <c r="F1405">
        <v>1405025</v>
      </c>
      <c r="G1405" s="81" t="s">
        <v>189</v>
      </c>
      <c r="H1405" s="81" t="s">
        <v>31</v>
      </c>
      <c r="I1405" s="3">
        <v>1</v>
      </c>
      <c r="J1405" s="3"/>
      <c r="K1405" s="26">
        <v>1</v>
      </c>
      <c r="L1405" s="2">
        <v>6988</v>
      </c>
      <c r="M1405" s="2">
        <v>6988</v>
      </c>
      <c r="N1405" s="2">
        <v>6988</v>
      </c>
      <c r="O1405" s="2">
        <v>6758.5333000000001</v>
      </c>
      <c r="P1405" s="2">
        <v>-229.4667</v>
      </c>
      <c r="Q1405" s="2">
        <v>-229.4667</v>
      </c>
      <c r="R1405" s="4">
        <v>-3.3952139568444395E-2</v>
      </c>
      <c r="T1405">
        <v>315248</v>
      </c>
      <c r="U1405" s="2"/>
      <c r="V1405">
        <v>6161</v>
      </c>
      <c r="W1405" s="2">
        <v>6579000000</v>
      </c>
      <c r="X1405" s="6">
        <v>6758.5333330000003</v>
      </c>
      <c r="Y1405" s="38">
        <v>10010</v>
      </c>
      <c r="Z1405" s="86">
        <f>+((DETALLE_GD_1[[#This Row],[VALOR X UN (GD)]]-DETALLE_GD_1[[#This Row],[VALOR PPTO]])/DETALLE_GD_1[[#This Row],[VALOR PPTO]])</f>
        <v>3.3952144616939288E-2</v>
      </c>
      <c r="AA1405" s="2">
        <f>+DETALLE_GD_1[[#This Row],[VALOR PPTO]]*DETALLE_GD_1[[#This Row],[CANTIDAD RECIBIDA]]</f>
        <v>6758.5333000000001</v>
      </c>
      <c r="AB1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5" s="3">
        <f>+DETALLE_GD_1[[#This Row],[CANTIDAD SOLICITADA]]-DETALLE_GD_1[[#This Row],[DEVOLUCIÓN]]</f>
        <v>1</v>
      </c>
      <c r="AD1405" s="38">
        <f>+_xlfn.XLOOKUP(DETALLE_GD_1[[#This Row],[CODIGO]],PRODUCTOS[CODIGO],PRODUCTOS[DESC CORTA],"",0)</f>
        <v>0</v>
      </c>
    </row>
    <row r="1406" spans="1:30" x14ac:dyDescent="0.25">
      <c r="A1406" s="1">
        <v>46154</v>
      </c>
      <c r="B1406" s="1">
        <v>46154</v>
      </c>
      <c r="C1406" s="81" t="s">
        <v>169</v>
      </c>
      <c r="D1406" s="38">
        <v>5</v>
      </c>
      <c r="E1406" s="81" t="s">
        <v>169</v>
      </c>
      <c r="F1406">
        <v>106022</v>
      </c>
      <c r="G1406" s="81" t="s">
        <v>245</v>
      </c>
      <c r="H1406" s="81" t="s">
        <v>31</v>
      </c>
      <c r="I1406" s="3">
        <v>3</v>
      </c>
      <c r="J1406" s="3"/>
      <c r="K1406" s="26">
        <v>3</v>
      </c>
      <c r="L1406" s="2">
        <v>3800.3332999999998</v>
      </c>
      <c r="M1406" s="2">
        <v>11401</v>
      </c>
      <c r="N1406" s="2">
        <v>11401</v>
      </c>
      <c r="O1406" s="2">
        <v>3800.6911</v>
      </c>
      <c r="P1406" s="2">
        <v>0.35780000000000001</v>
      </c>
      <c r="Q1406" s="2">
        <v>1.0732999999999999</v>
      </c>
      <c r="R1406" s="4">
        <v>9.4131740083066347E-5</v>
      </c>
      <c r="T1406">
        <v>315248</v>
      </c>
      <c r="U1406" s="2"/>
      <c r="V1406">
        <v>6161</v>
      </c>
      <c r="W1406" s="2">
        <v>6579000000</v>
      </c>
      <c r="X1406" s="6">
        <v>11402.073297000004</v>
      </c>
      <c r="Y1406" s="38">
        <v>10010</v>
      </c>
      <c r="Z1406" s="86">
        <f>+((DETALLE_GD_1[[#This Row],[VALOR X UN (GD)]]-DETALLE_GD_1[[#This Row],[VALOR PPTO]])/DETALLE_GD_1[[#This Row],[VALOR PPTO]])</f>
        <v>-9.414077350306759E-5</v>
      </c>
      <c r="AA1406" s="2">
        <f>+DETALLE_GD_1[[#This Row],[VALOR PPTO]]*DETALLE_GD_1[[#This Row],[CANTIDAD RECIBIDA]]</f>
        <v>11402.0733</v>
      </c>
      <c r="AB1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6" s="3">
        <f>+DETALLE_GD_1[[#This Row],[CANTIDAD SOLICITADA]]-DETALLE_GD_1[[#This Row],[DEVOLUCIÓN]]</f>
        <v>3</v>
      </c>
      <c r="AD1406" s="38">
        <f>+_xlfn.XLOOKUP(DETALLE_GD_1[[#This Row],[CODIGO]],PRODUCTOS[CODIGO],PRODUCTOS[DESC CORTA],"",0)</f>
        <v>0</v>
      </c>
    </row>
    <row r="1407" spans="1:30" x14ac:dyDescent="0.25">
      <c r="A1407" s="1">
        <v>46154</v>
      </c>
      <c r="B1407" s="1">
        <v>46154</v>
      </c>
      <c r="C1407" s="81" t="s">
        <v>169</v>
      </c>
      <c r="D1407" s="38">
        <v>5</v>
      </c>
      <c r="E1407" s="81" t="s">
        <v>169</v>
      </c>
      <c r="F1407" t="s">
        <v>94</v>
      </c>
      <c r="G1407" s="81" t="s">
        <v>95</v>
      </c>
      <c r="H1407" s="81" t="s">
        <v>31</v>
      </c>
      <c r="I1407" s="3">
        <v>6</v>
      </c>
      <c r="J1407" s="3"/>
      <c r="K1407" s="26">
        <v>6</v>
      </c>
      <c r="L1407" s="2">
        <v>3021.3332999999998</v>
      </c>
      <c r="M1407" s="2">
        <v>18128</v>
      </c>
      <c r="N1407" s="2">
        <v>18128</v>
      </c>
      <c r="O1407" s="2">
        <v>3021.2829000000002</v>
      </c>
      <c r="P1407" s="2">
        <v>-5.0500000000000003E-2</v>
      </c>
      <c r="Q1407" s="2">
        <v>-0.30280000000000001</v>
      </c>
      <c r="R1407" s="4">
        <v>-1.6702948886614604E-5</v>
      </c>
      <c r="T1407">
        <v>315248</v>
      </c>
      <c r="U1407" s="2"/>
      <c r="V1407">
        <v>6161</v>
      </c>
      <c r="W1407" s="2">
        <v>6579000000</v>
      </c>
      <c r="X1407" s="6">
        <v>18127.697214000003</v>
      </c>
      <c r="Y1407" s="38">
        <v>10010</v>
      </c>
      <c r="Z1407" s="86">
        <f>+((DETALLE_GD_1[[#This Row],[VALOR X UN (GD)]]-DETALLE_GD_1[[#This Row],[VALOR PPTO]])/DETALLE_GD_1[[#This Row],[VALOR PPTO]])</f>
        <v>1.6681655332450576E-5</v>
      </c>
      <c r="AA1407" s="2">
        <f>+DETALLE_GD_1[[#This Row],[VALOR PPTO]]*DETALLE_GD_1[[#This Row],[CANTIDAD RECIBIDA]]</f>
        <v>18127.697400000001</v>
      </c>
      <c r="AB1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7" s="3">
        <f>+DETALLE_GD_1[[#This Row],[CANTIDAD SOLICITADA]]-DETALLE_GD_1[[#This Row],[DEVOLUCIÓN]]</f>
        <v>6</v>
      </c>
      <c r="AD1407" s="38" t="str">
        <f>+_xlfn.XLOOKUP(DETALLE_GD_1[[#This Row],[CODIGO]],PRODUCTOS[CODIGO],PRODUCTOS[DESC CORTA],"",0)</f>
        <v>TOPE DE PUERTA</v>
      </c>
    </row>
    <row r="1408" spans="1:30" x14ac:dyDescent="0.25">
      <c r="A1408" s="1">
        <v>46154</v>
      </c>
      <c r="B1408" s="1">
        <v>46154</v>
      </c>
      <c r="C1408" s="81" t="s">
        <v>169</v>
      </c>
      <c r="D1408" s="38">
        <v>5</v>
      </c>
      <c r="E1408" s="81" t="s">
        <v>169</v>
      </c>
      <c r="F1408">
        <v>1405040</v>
      </c>
      <c r="G1408" s="81" t="s">
        <v>451</v>
      </c>
      <c r="H1408" s="81" t="s">
        <v>31</v>
      </c>
      <c r="I1408" s="3">
        <v>1</v>
      </c>
      <c r="J1408" s="3"/>
      <c r="K1408" s="26">
        <v>1</v>
      </c>
      <c r="L1408" s="2">
        <v>7575</v>
      </c>
      <c r="M1408" s="2">
        <v>7575</v>
      </c>
      <c r="N1408" s="2">
        <v>7575</v>
      </c>
      <c r="O1408" s="2">
        <v>7568</v>
      </c>
      <c r="P1408" s="2">
        <v>-7</v>
      </c>
      <c r="Q1408" s="2">
        <v>-7</v>
      </c>
      <c r="R1408" s="4">
        <v>-9.2494714587737839E-4</v>
      </c>
      <c r="T1408">
        <v>315248</v>
      </c>
      <c r="U1408" s="2"/>
      <c r="V1408">
        <v>6161</v>
      </c>
      <c r="W1408" s="2">
        <v>6579000000</v>
      </c>
      <c r="X1408" s="6">
        <v>7568</v>
      </c>
      <c r="Y1408" s="38">
        <v>10010</v>
      </c>
      <c r="Z1408" s="86">
        <f>+((DETALLE_GD_1[[#This Row],[VALOR X UN (GD)]]-DETALLE_GD_1[[#This Row],[VALOR PPTO]])/DETALLE_GD_1[[#This Row],[VALOR PPTO]])</f>
        <v>9.2494714587737839E-4</v>
      </c>
      <c r="AA1408" s="2">
        <f>+DETALLE_GD_1[[#This Row],[VALOR PPTO]]*DETALLE_GD_1[[#This Row],[CANTIDAD RECIBIDA]]</f>
        <v>7568</v>
      </c>
      <c r="AB1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8" s="3">
        <f>+DETALLE_GD_1[[#This Row],[CANTIDAD SOLICITADA]]-DETALLE_GD_1[[#This Row],[DEVOLUCIÓN]]</f>
        <v>1</v>
      </c>
      <c r="AD1408" s="38" t="str">
        <f>+_xlfn.XLOOKUP(DETALLE_GD_1[[#This Row],[CODIGO]],PRODUCTOS[CODIGO],PRODUCTOS[DESC CORTA],"",0)</f>
        <v>CEERRADURA BAÑO 815 TUBULAR</v>
      </c>
    </row>
    <row r="1409" spans="1:30" x14ac:dyDescent="0.25">
      <c r="A1409" s="1">
        <v>46154</v>
      </c>
      <c r="B1409" s="1">
        <v>46154</v>
      </c>
      <c r="C1409" s="81" t="s">
        <v>169</v>
      </c>
      <c r="D1409" s="38">
        <v>5</v>
      </c>
      <c r="E1409" s="81" t="s">
        <v>169</v>
      </c>
      <c r="F1409">
        <v>2508988</v>
      </c>
      <c r="G1409" s="81" t="s">
        <v>469</v>
      </c>
      <c r="H1409" s="81" t="s">
        <v>90</v>
      </c>
      <c r="I1409" s="3">
        <v>1</v>
      </c>
      <c r="J1409" s="3"/>
      <c r="K1409" s="26">
        <v>1</v>
      </c>
      <c r="L1409" s="2">
        <v>142676</v>
      </c>
      <c r="M1409" s="2">
        <v>142676</v>
      </c>
      <c r="N1409" s="2">
        <v>142676</v>
      </c>
      <c r="O1409" s="2"/>
      <c r="P1409" s="2"/>
      <c r="Q1409" s="2">
        <v>-142676</v>
      </c>
      <c r="R1409" s="4"/>
      <c r="T1409">
        <v>315248</v>
      </c>
      <c r="U1409" s="2"/>
      <c r="V1409">
        <v>6161</v>
      </c>
      <c r="W1409" s="2">
        <v>6579000000</v>
      </c>
      <c r="X1409" s="6" t="s">
        <v>355</v>
      </c>
      <c r="Y1409" s="38">
        <v>10010</v>
      </c>
      <c r="Z1409" s="86" t="e">
        <f>+((DETALLE_GD_1[[#This Row],[VALOR X UN (GD)]]-DETALLE_GD_1[[#This Row],[VALOR PPTO]])/DETALLE_GD_1[[#This Row],[VALOR PPTO]])</f>
        <v>#DIV/0!</v>
      </c>
      <c r="AA1409" s="2">
        <f>+DETALLE_GD_1[[#This Row],[VALOR PPTO]]*DETALLE_GD_1[[#This Row],[CANTIDAD RECIBIDA]]</f>
        <v>0</v>
      </c>
      <c r="AB1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9" s="3">
        <f>+DETALLE_GD_1[[#This Row],[CANTIDAD SOLICITADA]]-DETALLE_GD_1[[#This Row],[DEVOLUCIÓN]]</f>
        <v>1</v>
      </c>
      <c r="AD1409" s="38" t="str">
        <f>+_xlfn.XLOOKUP(DETALLE_GD_1[[#This Row],[CODIGO]],PRODUCTOS[CODIGO],PRODUCTOS[DESC CORTA],"",0)</f>
        <v/>
      </c>
    </row>
    <row r="1410" spans="1:30" x14ac:dyDescent="0.25">
      <c r="A1410" s="1">
        <v>46154</v>
      </c>
      <c r="B1410" s="1">
        <v>46154</v>
      </c>
      <c r="C1410" s="81" t="s">
        <v>169</v>
      </c>
      <c r="D1410" s="38">
        <v>5</v>
      </c>
      <c r="E1410" s="81" t="s">
        <v>169</v>
      </c>
      <c r="F1410">
        <v>2304056</v>
      </c>
      <c r="G1410" s="81" t="s">
        <v>417</v>
      </c>
      <c r="H1410" s="81" t="s">
        <v>31</v>
      </c>
      <c r="I1410" s="3">
        <v>5</v>
      </c>
      <c r="J1410" s="3"/>
      <c r="K1410" s="26">
        <v>5</v>
      </c>
      <c r="L1410" s="2">
        <v>3163.2</v>
      </c>
      <c r="M1410" s="2">
        <v>15816</v>
      </c>
      <c r="N1410" s="2">
        <v>15816</v>
      </c>
      <c r="O1410" s="2">
        <v>2979</v>
      </c>
      <c r="P1410" s="2">
        <v>-184.2</v>
      </c>
      <c r="Q1410" s="2">
        <v>-921</v>
      </c>
      <c r="R1410" s="4">
        <v>-6.1832829808660561E-2</v>
      </c>
      <c r="T1410">
        <v>315248</v>
      </c>
      <c r="U1410" s="2"/>
      <c r="V1410">
        <v>6161</v>
      </c>
      <c r="W1410" s="2">
        <v>6579000000</v>
      </c>
      <c r="X1410" s="6">
        <v>14895</v>
      </c>
      <c r="Y1410" s="38">
        <v>10010</v>
      </c>
      <c r="Z1410" s="86">
        <f>+((DETALLE_GD_1[[#This Row],[VALOR X UN (GD)]]-DETALLE_GD_1[[#This Row],[VALOR PPTO]])/DETALLE_GD_1[[#This Row],[VALOR PPTO]])</f>
        <v>6.1832829808660561E-2</v>
      </c>
      <c r="AA1410" s="2">
        <f>+DETALLE_GD_1[[#This Row],[VALOR PPTO]]*DETALLE_GD_1[[#This Row],[CANTIDAD RECIBIDA]]</f>
        <v>14895</v>
      </c>
      <c r="AB1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0" s="3">
        <f>+DETALLE_GD_1[[#This Row],[CANTIDAD SOLICITADA]]-DETALLE_GD_1[[#This Row],[DEVOLUCIÓN]]</f>
        <v>5</v>
      </c>
      <c r="AD1410" s="38" t="str">
        <f>+_xlfn.XLOOKUP(DETALLE_GD_1[[#This Row],[CODIGO]],PRODUCTOS[CODIGO],PRODUCTOS[DESC CORTA],"",0)</f>
        <v/>
      </c>
    </row>
    <row r="1411" spans="1:30" x14ac:dyDescent="0.25">
      <c r="A1411" s="1">
        <v>46155</v>
      </c>
      <c r="B1411" s="1">
        <v>46155</v>
      </c>
      <c r="C1411" s="81" t="s">
        <v>169</v>
      </c>
      <c r="D1411" s="38">
        <v>5</v>
      </c>
      <c r="E1411" s="81" t="s">
        <v>169</v>
      </c>
      <c r="F1411">
        <v>617016</v>
      </c>
      <c r="G1411" s="81" t="s">
        <v>133</v>
      </c>
      <c r="H1411" s="81" t="s">
        <v>31</v>
      </c>
      <c r="I1411" s="3">
        <v>4</v>
      </c>
      <c r="J1411" s="3"/>
      <c r="K1411" s="26">
        <v>4</v>
      </c>
      <c r="L1411" s="2">
        <v>2864.25</v>
      </c>
      <c r="M1411" s="2">
        <v>11457</v>
      </c>
      <c r="N1411" s="2">
        <v>11457</v>
      </c>
      <c r="O1411" s="2">
        <v>2857.5133000000001</v>
      </c>
      <c r="P1411" s="2">
        <v>-6.7366999999999999</v>
      </c>
      <c r="Q1411" s="2">
        <v>-26.946899999999999</v>
      </c>
      <c r="R1411" s="4">
        <v>-2.3575484535089822E-3</v>
      </c>
      <c r="T1411">
        <v>315357</v>
      </c>
      <c r="U1411" s="2">
        <v>2013129</v>
      </c>
      <c r="V1411">
        <v>6161</v>
      </c>
      <c r="W1411" s="2">
        <v>6579000000</v>
      </c>
      <c r="X1411" s="6">
        <v>11430.053096</v>
      </c>
      <c r="Y1411" s="38">
        <v>10010</v>
      </c>
      <c r="Z1411" s="86">
        <f>+((DETALLE_GD_1[[#This Row],[VALOR X UN (GD)]]-DETALLE_GD_1[[#This Row],[VALOR PPTO]])/DETALLE_GD_1[[#This Row],[VALOR PPTO]])</f>
        <v>2.3575393332377239E-3</v>
      </c>
      <c r="AA1411" s="2">
        <f>+DETALLE_GD_1[[#This Row],[VALOR PPTO]]*DETALLE_GD_1[[#This Row],[CANTIDAD RECIBIDA]]</f>
        <v>11430.0532</v>
      </c>
      <c r="AB1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1" s="3">
        <f>+DETALLE_GD_1[[#This Row],[CANTIDAD SOLICITADA]]-DETALLE_GD_1[[#This Row],[DEVOLUCIÓN]]</f>
        <v>4</v>
      </c>
      <c r="AD1411" s="38" t="str">
        <f>+_xlfn.XLOOKUP(DETALLE_GD_1[[#This Row],[CODIGO]],PRODUCTOS[CODIGO],PRODUCTOS[DESC CORTA],"",0)</f>
        <v>RODILLO CHIPORRO</v>
      </c>
    </row>
    <row r="1412" spans="1:30" x14ac:dyDescent="0.25">
      <c r="A1412" s="1">
        <v>46155</v>
      </c>
      <c r="B1412" s="1">
        <v>46155</v>
      </c>
      <c r="C1412" s="81" t="s">
        <v>169</v>
      </c>
      <c r="D1412" s="38">
        <v>5</v>
      </c>
      <c r="E1412" s="81" t="s">
        <v>169</v>
      </c>
      <c r="F1412">
        <v>617057</v>
      </c>
      <c r="G1412" s="81" t="s">
        <v>134</v>
      </c>
      <c r="H1412" s="81" t="s">
        <v>31</v>
      </c>
      <c r="I1412" s="3">
        <v>4</v>
      </c>
      <c r="J1412" s="3"/>
      <c r="K1412" s="26">
        <v>4</v>
      </c>
      <c r="L1412" s="2">
        <v>1698.25</v>
      </c>
      <c r="M1412" s="2">
        <v>6793</v>
      </c>
      <c r="N1412" s="2">
        <v>6793</v>
      </c>
      <c r="O1412" s="2">
        <v>2042.1197</v>
      </c>
      <c r="P1412" s="2">
        <v>343.86970000000002</v>
      </c>
      <c r="Q1412" s="2">
        <v>1375.4788000000001</v>
      </c>
      <c r="R1412" s="4">
        <v>0.1683886135517268</v>
      </c>
      <c r="T1412">
        <v>315357</v>
      </c>
      <c r="U1412" s="2"/>
      <c r="V1412">
        <v>6161</v>
      </c>
      <c r="W1412" s="2">
        <v>6579000000</v>
      </c>
      <c r="X1412" s="6">
        <v>8168.4788239999998</v>
      </c>
      <c r="Y1412" s="38">
        <v>10010</v>
      </c>
      <c r="Z1412" s="86">
        <f>+((DETALLE_GD_1[[#This Row],[VALOR X UN (GD)]]-DETALLE_GD_1[[#This Row],[VALOR PPTO]])/DETALLE_GD_1[[#This Row],[VALOR PPTO]])</f>
        <v>-0.16838861110834979</v>
      </c>
      <c r="AA1412" s="2">
        <f>+DETALLE_GD_1[[#This Row],[VALOR PPTO]]*DETALLE_GD_1[[#This Row],[CANTIDAD RECIBIDA]]</f>
        <v>8168.4787999999999</v>
      </c>
      <c r="AB1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2" s="3">
        <f>+DETALLE_GD_1[[#This Row],[CANTIDAD SOLICITADA]]-DETALLE_GD_1[[#This Row],[DEVOLUCIÓN]]</f>
        <v>4</v>
      </c>
      <c r="AD1412" s="38" t="str">
        <f>+_xlfn.XLOOKUP(DETALLE_GD_1[[#This Row],[CODIGO]],PRODUCTOS[CODIGO],PRODUCTOS[DESC CORTA],"",0)</f>
        <v>BROCHA 5/8 X4</v>
      </c>
    </row>
    <row r="1413" spans="1:30" x14ac:dyDescent="0.25">
      <c r="A1413" s="1">
        <v>46155</v>
      </c>
      <c r="B1413" s="1">
        <v>46155</v>
      </c>
      <c r="C1413" s="81" t="s">
        <v>169</v>
      </c>
      <c r="D1413" s="38">
        <v>5</v>
      </c>
      <c r="E1413" s="81" t="s">
        <v>169</v>
      </c>
      <c r="F1413">
        <v>2304053</v>
      </c>
      <c r="G1413" s="81" t="s">
        <v>213</v>
      </c>
      <c r="H1413" s="81" t="s">
        <v>31</v>
      </c>
      <c r="I1413" s="3">
        <v>48</v>
      </c>
      <c r="J1413" s="3"/>
      <c r="K1413" s="26">
        <v>48</v>
      </c>
      <c r="L1413" s="2">
        <v>1021.9167</v>
      </c>
      <c r="M1413" s="2">
        <v>49052</v>
      </c>
      <c r="N1413" s="2">
        <v>49052</v>
      </c>
      <c r="O1413" s="2">
        <v>862</v>
      </c>
      <c r="P1413" s="2">
        <v>-159.91669999999999</v>
      </c>
      <c r="Q1413" s="2">
        <v>-7676</v>
      </c>
      <c r="R1413" s="4">
        <v>-0.18551817478731611</v>
      </c>
      <c r="T1413">
        <v>315357</v>
      </c>
      <c r="U1413" s="2"/>
      <c r="V1413">
        <v>6161</v>
      </c>
      <c r="W1413" s="2">
        <v>6579000000</v>
      </c>
      <c r="X1413" s="6">
        <v>41376.000000000007</v>
      </c>
      <c r="Y1413" s="38">
        <v>10010</v>
      </c>
      <c r="Z1413" s="86">
        <f>+((DETALLE_GD_1[[#This Row],[VALOR X UN (GD)]]-DETALLE_GD_1[[#This Row],[VALOR PPTO]])/DETALLE_GD_1[[#This Row],[VALOR PPTO]])</f>
        <v>0.18551821345707656</v>
      </c>
      <c r="AA1413" s="2">
        <f>+DETALLE_GD_1[[#This Row],[VALOR PPTO]]*DETALLE_GD_1[[#This Row],[CANTIDAD RECIBIDA]]</f>
        <v>41376</v>
      </c>
      <c r="AB14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3" s="3">
        <f>+DETALLE_GD_1[[#This Row],[CANTIDAD SOLICITADA]]-DETALLE_GD_1[[#This Row],[DEVOLUCIÓN]]</f>
        <v>48</v>
      </c>
      <c r="AD1413" s="38">
        <f>+_xlfn.XLOOKUP(DETALLE_GD_1[[#This Row],[CODIGO]],PRODUCTOS[CODIGO],PRODUCTOS[DESC CORTA],"",0)</f>
        <v>0</v>
      </c>
    </row>
    <row r="1414" spans="1:30" x14ac:dyDescent="0.25">
      <c r="A1414" s="1">
        <v>46155</v>
      </c>
      <c r="B1414" s="1">
        <v>46155</v>
      </c>
      <c r="C1414" s="81" t="s">
        <v>169</v>
      </c>
      <c r="D1414" s="38">
        <v>5</v>
      </c>
      <c r="E1414" s="81" t="s">
        <v>169</v>
      </c>
      <c r="F1414">
        <v>2304002</v>
      </c>
      <c r="G1414" s="81" t="s">
        <v>212</v>
      </c>
      <c r="H1414" s="81" t="s">
        <v>31</v>
      </c>
      <c r="I1414" s="3">
        <v>24</v>
      </c>
      <c r="J1414" s="3"/>
      <c r="K1414" s="26">
        <v>24</v>
      </c>
      <c r="L1414" s="2">
        <v>1409.5</v>
      </c>
      <c r="M1414" s="2">
        <v>33828</v>
      </c>
      <c r="N1414" s="2">
        <v>33828</v>
      </c>
      <c r="O1414" s="2">
        <v>1376.4717000000001</v>
      </c>
      <c r="P1414" s="2">
        <v>-33.028300000000002</v>
      </c>
      <c r="Q1414" s="2">
        <v>-792.67859999999996</v>
      </c>
      <c r="R1414" s="4">
        <v>-2.399488156866781E-2</v>
      </c>
      <c r="T1414">
        <v>315357</v>
      </c>
      <c r="U1414" s="2"/>
      <c r="V1414">
        <v>6161</v>
      </c>
      <c r="W1414" s="2">
        <v>6579000000</v>
      </c>
      <c r="X1414" s="6">
        <v>33035.321376</v>
      </c>
      <c r="Y1414" s="38">
        <v>10010</v>
      </c>
      <c r="Z1414" s="86">
        <f>+((DETALLE_GD_1[[#This Row],[VALOR X UN (GD)]]-DETALLE_GD_1[[#This Row],[VALOR PPTO]])/DETALLE_GD_1[[#This Row],[VALOR PPTO]])</f>
        <v>2.3994899422923075E-2</v>
      </c>
      <c r="AA1414" s="2">
        <f>+DETALLE_GD_1[[#This Row],[VALOR PPTO]]*DETALLE_GD_1[[#This Row],[CANTIDAD RECIBIDA]]</f>
        <v>33035.320800000001</v>
      </c>
      <c r="AB1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4" s="3">
        <f>+DETALLE_GD_1[[#This Row],[CANTIDAD SOLICITADA]]-DETALLE_GD_1[[#This Row],[DEVOLUCIÓN]]</f>
        <v>24</v>
      </c>
      <c r="AD1414" s="38">
        <f>+_xlfn.XLOOKUP(DETALLE_GD_1[[#This Row],[CODIGO]],PRODUCTOS[CODIGO],PRODUCTOS[DESC CORTA],"",0)</f>
        <v>0</v>
      </c>
    </row>
    <row r="1415" spans="1:30" x14ac:dyDescent="0.25">
      <c r="A1415" s="1">
        <v>46155</v>
      </c>
      <c r="B1415" s="1">
        <v>46155</v>
      </c>
      <c r="C1415" s="81" t="s">
        <v>169</v>
      </c>
      <c r="D1415" s="38">
        <v>5</v>
      </c>
      <c r="E1415" s="81" t="s">
        <v>169</v>
      </c>
      <c r="F1415">
        <v>2302119</v>
      </c>
      <c r="G1415" s="81" t="s">
        <v>74</v>
      </c>
      <c r="H1415" s="81" t="s">
        <v>31</v>
      </c>
      <c r="I1415" s="3">
        <v>24</v>
      </c>
      <c r="J1415" s="3"/>
      <c r="K1415" s="26">
        <v>24</v>
      </c>
      <c r="L1415" s="2">
        <v>3679.875</v>
      </c>
      <c r="M1415" s="2">
        <v>88317</v>
      </c>
      <c r="N1415" s="2">
        <v>88317</v>
      </c>
      <c r="O1415" s="2">
        <v>3671</v>
      </c>
      <c r="P1415" s="2">
        <v>-8.875</v>
      </c>
      <c r="Q1415" s="2">
        <v>-213</v>
      </c>
      <c r="R1415" s="4">
        <v>-2.4175973849087443E-3</v>
      </c>
      <c r="T1415">
        <v>315357</v>
      </c>
      <c r="U1415" s="2"/>
      <c r="V1415">
        <v>6161</v>
      </c>
      <c r="W1415" s="2">
        <v>6579000000</v>
      </c>
      <c r="X1415" s="6">
        <v>88104</v>
      </c>
      <c r="Y1415" s="38">
        <v>10010</v>
      </c>
      <c r="Z1415" s="86">
        <f>+((DETALLE_GD_1[[#This Row],[VALOR X UN (GD)]]-DETALLE_GD_1[[#This Row],[VALOR PPTO]])/DETALLE_GD_1[[#This Row],[VALOR PPTO]])</f>
        <v>2.4175973849087443E-3</v>
      </c>
      <c r="AA1415" s="2">
        <f>+DETALLE_GD_1[[#This Row],[VALOR PPTO]]*DETALLE_GD_1[[#This Row],[CANTIDAD RECIBIDA]]</f>
        <v>88104</v>
      </c>
      <c r="AB1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5" s="3">
        <f>+DETALLE_GD_1[[#This Row],[CANTIDAD SOLICITADA]]-DETALLE_GD_1[[#This Row],[DEVOLUCIÓN]]</f>
        <v>24</v>
      </c>
      <c r="AD1415" s="38" t="str">
        <f>+_xlfn.XLOOKUP(DETALLE_GD_1[[#This Row],[CODIGO]],PRODUCTOS[CODIGO],PRODUCTOS[DESC CORTA],"",0)</f>
        <v>SELLO</v>
      </c>
    </row>
    <row r="1416" spans="1:30" x14ac:dyDescent="0.25">
      <c r="A1416" s="1">
        <v>46155</v>
      </c>
      <c r="B1416" s="1">
        <v>46155</v>
      </c>
      <c r="C1416" s="81" t="s">
        <v>169</v>
      </c>
      <c r="D1416" s="38">
        <v>5</v>
      </c>
      <c r="E1416" s="81" t="s">
        <v>169</v>
      </c>
      <c r="F1416">
        <v>407423</v>
      </c>
      <c r="G1416" s="81" t="s">
        <v>106</v>
      </c>
      <c r="H1416" s="81" t="s">
        <v>31</v>
      </c>
      <c r="I1416" s="3">
        <v>2000</v>
      </c>
      <c r="J1416" s="3"/>
      <c r="K1416" s="26">
        <v>2000</v>
      </c>
      <c r="L1416" s="2">
        <v>3.4660000000000002</v>
      </c>
      <c r="M1416" s="2">
        <v>6932</v>
      </c>
      <c r="N1416" s="2">
        <v>6932</v>
      </c>
      <c r="O1416" s="2">
        <v>106.6405</v>
      </c>
      <c r="P1416" s="2">
        <v>103.17449999999999</v>
      </c>
      <c r="Q1416" s="2">
        <v>206349.00399999999</v>
      </c>
      <c r="R1416" s="4">
        <v>0.96749827752567163</v>
      </c>
      <c r="T1416">
        <v>315357</v>
      </c>
      <c r="U1416" s="2"/>
      <c r="V1416">
        <v>6161</v>
      </c>
      <c r="W1416" s="2">
        <v>6579000000</v>
      </c>
      <c r="X1416" s="6">
        <v>213281.00396756755</v>
      </c>
      <c r="Y1416" s="38">
        <v>10010</v>
      </c>
      <c r="Z1416" s="86">
        <f>+((DETALLE_GD_1[[#This Row],[VALOR X UN (GD)]]-DETALLE_GD_1[[#This Row],[VALOR PPTO]])/DETALLE_GD_1[[#This Row],[VALOR PPTO]])</f>
        <v>-0.96749827692105728</v>
      </c>
      <c r="AA1416" s="2">
        <f>+DETALLE_GD_1[[#This Row],[VALOR PPTO]]*DETALLE_GD_1[[#This Row],[CANTIDAD RECIBIDA]]</f>
        <v>213281</v>
      </c>
      <c r="AB14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6" s="3">
        <f>+DETALLE_GD_1[[#This Row],[CANTIDAD SOLICITADA]]-DETALLE_GD_1[[#This Row],[DEVOLUCIÓN]]</f>
        <v>2000</v>
      </c>
      <c r="AD1416" s="38" t="str">
        <f>+_xlfn.XLOOKUP(DETALLE_GD_1[[#This Row],[CODIGO]],PRODUCTOS[CODIGO],PRODUCTOS[DESC CORTA],"",0)</f>
        <v>TORNILLO CRS 6X1 5/8</v>
      </c>
    </row>
    <row r="1417" spans="1:30" x14ac:dyDescent="0.25">
      <c r="A1417" s="1">
        <v>46155</v>
      </c>
      <c r="B1417" s="1">
        <v>46155</v>
      </c>
      <c r="C1417" s="81" t="s">
        <v>169</v>
      </c>
      <c r="D1417" s="38">
        <v>5</v>
      </c>
      <c r="E1417" s="81" t="s">
        <v>169</v>
      </c>
      <c r="F1417">
        <v>407185</v>
      </c>
      <c r="G1417" s="81" t="s">
        <v>43</v>
      </c>
      <c r="H1417" s="81" t="s">
        <v>31</v>
      </c>
      <c r="I1417" s="3">
        <v>4500</v>
      </c>
      <c r="J1417" s="3"/>
      <c r="K1417" s="26">
        <v>4500</v>
      </c>
      <c r="L1417" s="2">
        <v>6.2656000000000001</v>
      </c>
      <c r="M1417" s="2">
        <v>28195</v>
      </c>
      <c r="N1417" s="2">
        <v>28195</v>
      </c>
      <c r="O1417" s="2">
        <v>6.8783000000000003</v>
      </c>
      <c r="P1417" s="2">
        <v>0.61280000000000001</v>
      </c>
      <c r="Q1417" s="2">
        <v>2757.44</v>
      </c>
      <c r="R1417" s="4">
        <v>8.9086353127572598E-2</v>
      </c>
      <c r="T1417">
        <v>315357</v>
      </c>
      <c r="U1417" s="2"/>
      <c r="V1417">
        <v>6161</v>
      </c>
      <c r="W1417" s="2">
        <v>6579000000</v>
      </c>
      <c r="X1417" s="6">
        <v>30952.44</v>
      </c>
      <c r="Y1417" s="38">
        <v>10010</v>
      </c>
      <c r="Z1417" s="86">
        <f>+((DETALLE_GD_1[[#This Row],[VALOR X UN (GD)]]-DETALLE_GD_1[[#This Row],[VALOR PPTO]])/DETALLE_GD_1[[#This Row],[VALOR PPTO]])</f>
        <v>-8.9077242923396804E-2</v>
      </c>
      <c r="AA1417" s="2">
        <f>+DETALLE_GD_1[[#This Row],[VALOR PPTO]]*DETALLE_GD_1[[#This Row],[CANTIDAD RECIBIDA]]</f>
        <v>30952.350000000002</v>
      </c>
      <c r="AB1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7" s="3">
        <f>+DETALLE_GD_1[[#This Row],[CANTIDAD SOLICITADA]]-DETALLE_GD_1[[#This Row],[DEVOLUCIÓN]]</f>
        <v>4500</v>
      </c>
      <c r="AD1417" s="38">
        <f>+_xlfn.XLOOKUP(DETALLE_GD_1[[#This Row],[CODIGO]],PRODUCTOS[CODIGO],PRODUCTOS[DESC CORTA],"",0)</f>
        <v>0</v>
      </c>
    </row>
    <row r="1418" spans="1:30" x14ac:dyDescent="0.25">
      <c r="A1418" s="1">
        <v>46155</v>
      </c>
      <c r="B1418" s="1">
        <v>46155</v>
      </c>
      <c r="C1418" s="81" t="s">
        <v>169</v>
      </c>
      <c r="D1418" s="38">
        <v>5</v>
      </c>
      <c r="E1418" s="81" t="s">
        <v>169</v>
      </c>
      <c r="F1418">
        <v>1402016</v>
      </c>
      <c r="G1418" s="81" t="s">
        <v>798</v>
      </c>
      <c r="H1418" s="81" t="s">
        <v>31</v>
      </c>
      <c r="I1418" s="3">
        <v>21</v>
      </c>
      <c r="J1418" s="3"/>
      <c r="K1418" s="26">
        <v>21</v>
      </c>
      <c r="L1418" s="2">
        <v>754.23810000000003</v>
      </c>
      <c r="M1418" s="2">
        <v>15839</v>
      </c>
      <c r="N1418" s="2">
        <v>15839</v>
      </c>
      <c r="O1418" s="2"/>
      <c r="P1418" s="2"/>
      <c r="Q1418" s="2">
        <v>-15839</v>
      </c>
      <c r="R1418" s="4"/>
      <c r="T1418">
        <v>315357</v>
      </c>
      <c r="U1418" s="2"/>
      <c r="V1418">
        <v>6161</v>
      </c>
      <c r="W1418" s="2">
        <v>6579000000</v>
      </c>
      <c r="X1418" s="6" t="s">
        <v>355</v>
      </c>
      <c r="Y1418" s="38">
        <v>10010</v>
      </c>
      <c r="Z1418" s="86" t="e">
        <f>+((DETALLE_GD_1[[#This Row],[VALOR X UN (GD)]]-DETALLE_GD_1[[#This Row],[VALOR PPTO]])/DETALLE_GD_1[[#This Row],[VALOR PPTO]])</f>
        <v>#DIV/0!</v>
      </c>
      <c r="AA1418" s="2">
        <f>+DETALLE_GD_1[[#This Row],[VALOR PPTO]]*DETALLE_GD_1[[#This Row],[CANTIDAD RECIBIDA]]</f>
        <v>0</v>
      </c>
      <c r="AB1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8" s="3">
        <f>+DETALLE_GD_1[[#This Row],[CANTIDAD SOLICITADA]]-DETALLE_GD_1[[#This Row],[DEVOLUCIÓN]]</f>
        <v>21</v>
      </c>
      <c r="AD1418" s="38" t="str">
        <f>+_xlfn.XLOOKUP(DETALLE_GD_1[[#This Row],[CODIGO]],PRODUCTOS[CODIGO],PRODUCTOS[DESC CORTA],"",0)</f>
        <v/>
      </c>
    </row>
    <row r="1419" spans="1:30" x14ac:dyDescent="0.25">
      <c r="A1419" s="1">
        <v>46155</v>
      </c>
      <c r="B1419" s="1">
        <v>46155</v>
      </c>
      <c r="C1419" s="81" t="s">
        <v>169</v>
      </c>
      <c r="D1419" s="38">
        <v>5</v>
      </c>
      <c r="E1419" s="81" t="s">
        <v>169</v>
      </c>
      <c r="F1419">
        <v>1101298</v>
      </c>
      <c r="G1419" s="81" t="s">
        <v>799</v>
      </c>
      <c r="H1419" s="81" t="s">
        <v>31</v>
      </c>
      <c r="I1419" s="3">
        <v>7</v>
      </c>
      <c r="J1419" s="3"/>
      <c r="K1419" s="26">
        <v>7</v>
      </c>
      <c r="L1419" s="2">
        <v>73070</v>
      </c>
      <c r="M1419" s="2">
        <v>511490</v>
      </c>
      <c r="N1419" s="2">
        <v>511490</v>
      </c>
      <c r="O1419" s="2"/>
      <c r="P1419" s="2"/>
      <c r="Q1419" s="2">
        <v>-511490</v>
      </c>
      <c r="R1419" s="4"/>
      <c r="T1419">
        <v>315357</v>
      </c>
      <c r="U1419" s="2"/>
      <c r="V1419">
        <v>6161</v>
      </c>
      <c r="W1419" s="2">
        <v>6579000000</v>
      </c>
      <c r="X1419" s="6" t="s">
        <v>355</v>
      </c>
      <c r="Y1419" s="38">
        <v>10010</v>
      </c>
      <c r="Z1419" s="86" t="e">
        <f>+((DETALLE_GD_1[[#This Row],[VALOR X UN (GD)]]-DETALLE_GD_1[[#This Row],[VALOR PPTO]])/DETALLE_GD_1[[#This Row],[VALOR PPTO]])</f>
        <v>#DIV/0!</v>
      </c>
      <c r="AA1419" s="2">
        <f>+DETALLE_GD_1[[#This Row],[VALOR PPTO]]*DETALLE_GD_1[[#This Row],[CANTIDAD RECIBIDA]]</f>
        <v>0</v>
      </c>
      <c r="AB1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9" s="3">
        <f>+DETALLE_GD_1[[#This Row],[CANTIDAD SOLICITADA]]-DETALLE_GD_1[[#This Row],[DEVOLUCIÓN]]</f>
        <v>7</v>
      </c>
      <c r="AD1419" s="38" t="str">
        <f>+_xlfn.XLOOKUP(DETALLE_GD_1[[#This Row],[CODIGO]],PRODUCTOS[CODIGO],PRODUCTOS[DESC CORTA],"",0)</f>
        <v/>
      </c>
    </row>
    <row r="1420" spans="1:30" x14ac:dyDescent="0.25">
      <c r="A1420" s="1">
        <v>46155</v>
      </c>
      <c r="B1420" s="1">
        <v>46155</v>
      </c>
      <c r="C1420" s="81" t="s">
        <v>169</v>
      </c>
      <c r="D1420" s="38">
        <v>5</v>
      </c>
      <c r="E1420" s="81" t="s">
        <v>169</v>
      </c>
      <c r="F1420">
        <v>1610023</v>
      </c>
      <c r="G1420" s="81" t="s">
        <v>351</v>
      </c>
      <c r="H1420" s="81" t="s">
        <v>28</v>
      </c>
      <c r="I1420" s="3">
        <v>5</v>
      </c>
      <c r="J1420" s="3"/>
      <c r="K1420" s="26">
        <v>5</v>
      </c>
      <c r="L1420" s="2">
        <v>2278.1999999999998</v>
      </c>
      <c r="M1420" s="2">
        <v>11391</v>
      </c>
      <c r="N1420" s="2">
        <v>11391</v>
      </c>
      <c r="O1420" s="2">
        <v>2109.0585000000001</v>
      </c>
      <c r="P1420" s="2">
        <v>-169.14150000000001</v>
      </c>
      <c r="Q1420" s="2">
        <v>-845.70730000000003</v>
      </c>
      <c r="R1420" s="4">
        <v>-8.0197611698158158E-2</v>
      </c>
      <c r="T1420">
        <v>315357</v>
      </c>
      <c r="U1420" s="2"/>
      <c r="V1420">
        <v>6161</v>
      </c>
      <c r="W1420" s="2">
        <v>6579000000</v>
      </c>
      <c r="X1420" s="6">
        <v>10545.292710000002</v>
      </c>
      <c r="Y1420" s="38">
        <v>10010</v>
      </c>
      <c r="Z1420" s="86">
        <f>+((DETALLE_GD_1[[#This Row],[VALOR X UN (GD)]]-DETALLE_GD_1[[#This Row],[VALOR PPTO]])/DETALLE_GD_1[[#This Row],[VALOR PPTO]])</f>
        <v>8.0197633209320524E-2</v>
      </c>
      <c r="AA1420" s="2">
        <f>+DETALLE_GD_1[[#This Row],[VALOR PPTO]]*DETALLE_GD_1[[#This Row],[CANTIDAD RECIBIDA]]</f>
        <v>10545.2925</v>
      </c>
      <c r="AB1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0" s="3">
        <f>+DETALLE_GD_1[[#This Row],[CANTIDAD SOLICITADA]]-DETALLE_GD_1[[#This Row],[DEVOLUCIÓN]]</f>
        <v>5</v>
      </c>
      <c r="AD1420" s="38" t="str">
        <f>+_xlfn.XLOOKUP(DETALLE_GD_1[[#This Row],[CODIGO]],PRODUCTOS[CODIGO],PRODUCTOS[DESC CORTA],"",0)</f>
        <v>TRAPOS DE ASEO</v>
      </c>
    </row>
    <row r="1421" spans="1:30" x14ac:dyDescent="0.25">
      <c r="A1421" s="1">
        <v>46155</v>
      </c>
      <c r="B1421" s="1">
        <v>46155</v>
      </c>
      <c r="C1421" s="81" t="s">
        <v>169</v>
      </c>
      <c r="D1421" s="38">
        <v>5</v>
      </c>
      <c r="E1421" s="81" t="s">
        <v>169</v>
      </c>
      <c r="F1421">
        <v>609007</v>
      </c>
      <c r="G1421" s="81" t="s">
        <v>210</v>
      </c>
      <c r="H1421" s="81" t="s">
        <v>211</v>
      </c>
      <c r="I1421" s="3">
        <v>2</v>
      </c>
      <c r="J1421" s="3"/>
      <c r="K1421" s="26">
        <v>2</v>
      </c>
      <c r="L1421" s="2">
        <v>8165</v>
      </c>
      <c r="M1421" s="2">
        <v>16330</v>
      </c>
      <c r="N1421" s="2">
        <v>16330</v>
      </c>
      <c r="O1421" s="2">
        <v>8164.9821000000002</v>
      </c>
      <c r="P1421" s="2">
        <v>-1.7899999999999999E-2</v>
      </c>
      <c r="Q1421" s="2">
        <v>-3.5700000000000003E-2</v>
      </c>
      <c r="R1421" s="4">
        <v>-2.1870225417615723E-6</v>
      </c>
      <c r="T1421">
        <v>315357</v>
      </c>
      <c r="U1421" s="2"/>
      <c r="V1421">
        <v>6161</v>
      </c>
      <c r="W1421" s="2">
        <v>6579000000</v>
      </c>
      <c r="X1421" s="6">
        <v>16329.964286</v>
      </c>
      <c r="Y1421" s="38">
        <v>10010</v>
      </c>
      <c r="Z1421" s="86">
        <f>+((DETALLE_GD_1[[#This Row],[VALOR X UN (GD)]]-DETALLE_GD_1[[#This Row],[VALOR PPTO]])/DETALLE_GD_1[[#This Row],[VALOR PPTO]])</f>
        <v>2.1922889457194073E-6</v>
      </c>
      <c r="AA1421" s="2">
        <f>+DETALLE_GD_1[[#This Row],[VALOR PPTO]]*DETALLE_GD_1[[#This Row],[CANTIDAD RECIBIDA]]</f>
        <v>16329.9642</v>
      </c>
      <c r="AB1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1" s="3">
        <f>+DETALLE_GD_1[[#This Row],[CANTIDAD SOLICITADA]]-DETALLE_GD_1[[#This Row],[DEVOLUCIÓN]]</f>
        <v>2</v>
      </c>
      <c r="AD1421" s="38">
        <f>+_xlfn.XLOOKUP(DETALLE_GD_1[[#This Row],[CODIGO]],PRODUCTOS[CODIGO],PRODUCTOS[DESC CORTA],"",0)</f>
        <v>0</v>
      </c>
    </row>
    <row r="1422" spans="1:30" x14ac:dyDescent="0.25">
      <c r="A1422" s="1">
        <v>46155</v>
      </c>
      <c r="B1422" s="1">
        <v>46155</v>
      </c>
      <c r="C1422" s="81" t="s">
        <v>169</v>
      </c>
      <c r="D1422" s="38">
        <v>5</v>
      </c>
      <c r="E1422" s="81" t="s">
        <v>169</v>
      </c>
      <c r="F1422">
        <v>907034</v>
      </c>
      <c r="G1422" s="81" t="s">
        <v>256</v>
      </c>
      <c r="H1422" s="81" t="s">
        <v>47</v>
      </c>
      <c r="I1422" s="3">
        <v>10</v>
      </c>
      <c r="J1422" s="3"/>
      <c r="K1422" s="26">
        <v>10</v>
      </c>
      <c r="L1422" s="2">
        <v>114865.3</v>
      </c>
      <c r="M1422" s="2">
        <v>1148653</v>
      </c>
      <c r="N1422" s="2">
        <v>1148653</v>
      </c>
      <c r="O1422" s="2">
        <v>156269.1667</v>
      </c>
      <c r="P1422" s="2">
        <v>41403.866699999999</v>
      </c>
      <c r="Q1422" s="2">
        <v>414038.6667</v>
      </c>
      <c r="R1422" s="4">
        <v>0.26495224585940941</v>
      </c>
      <c r="T1422">
        <v>315357</v>
      </c>
      <c r="U1422" s="2"/>
      <c r="V1422">
        <v>6161</v>
      </c>
      <c r="W1422" s="2">
        <v>6579000000</v>
      </c>
      <c r="X1422" s="6">
        <v>1562691.6666700002</v>
      </c>
      <c r="Y1422" s="38">
        <v>10010</v>
      </c>
      <c r="Z1422" s="86">
        <f>+((DETALLE_GD_1[[#This Row],[VALOR X UN (GD)]]-DETALLE_GD_1[[#This Row],[VALOR PPTO]])/DETALLE_GD_1[[#This Row],[VALOR PPTO]])</f>
        <v>-0.26495224601463241</v>
      </c>
      <c r="AA1422" s="2">
        <f>+DETALLE_GD_1[[#This Row],[VALOR PPTO]]*DETALLE_GD_1[[#This Row],[CANTIDAD RECIBIDA]]</f>
        <v>1562691.6669999999</v>
      </c>
      <c r="AB1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2" s="3">
        <f>+DETALLE_GD_1[[#This Row],[CANTIDAD SOLICITADA]]-DETALLE_GD_1[[#This Row],[DEVOLUCIÓN]]</f>
        <v>10</v>
      </c>
      <c r="AD1422" s="38" t="str">
        <f>+_xlfn.XLOOKUP(DETALLE_GD_1[[#This Row],[CODIGO]],PRODUCTOS[CODIGO],PRODUCTOS[DESC CORTA],"",0)</f>
        <v/>
      </c>
    </row>
    <row r="1423" spans="1:30" x14ac:dyDescent="0.25">
      <c r="A1423" s="1">
        <v>46155</v>
      </c>
      <c r="B1423" s="1">
        <v>46155</v>
      </c>
      <c r="C1423" s="81" t="s">
        <v>169</v>
      </c>
      <c r="D1423" s="38">
        <v>5</v>
      </c>
      <c r="E1423" s="81" t="s">
        <v>169</v>
      </c>
      <c r="F1423">
        <v>2302098</v>
      </c>
      <c r="G1423" s="81" t="s">
        <v>24</v>
      </c>
      <c r="H1423" s="81" t="s">
        <v>25</v>
      </c>
      <c r="I1423" s="3">
        <v>4</v>
      </c>
      <c r="J1423" s="3"/>
      <c r="K1423" s="26">
        <v>4</v>
      </c>
      <c r="L1423" s="2">
        <v>21213</v>
      </c>
      <c r="M1423" s="2">
        <v>84852</v>
      </c>
      <c r="N1423" s="2">
        <v>84852</v>
      </c>
      <c r="O1423" s="2">
        <v>21213</v>
      </c>
      <c r="P1423" s="2">
        <v>0</v>
      </c>
      <c r="Q1423" s="2">
        <v>0</v>
      </c>
      <c r="R1423" s="4">
        <v>-1.7149761029050001E-16</v>
      </c>
      <c r="T1423">
        <v>315357</v>
      </c>
      <c r="U1423" s="2"/>
      <c r="V1423">
        <v>6161</v>
      </c>
      <c r="W1423" s="2">
        <v>6579000000</v>
      </c>
      <c r="X1423" s="6">
        <v>84851.999999999985</v>
      </c>
      <c r="Y1423" s="38">
        <v>10010</v>
      </c>
      <c r="Z1423" s="86">
        <f>+((DETALLE_GD_1[[#This Row],[VALOR X UN (GD)]]-DETALLE_GD_1[[#This Row],[VALOR PPTO]])/DETALLE_GD_1[[#This Row],[VALOR PPTO]])</f>
        <v>0</v>
      </c>
      <c r="AA1423" s="2">
        <f>+DETALLE_GD_1[[#This Row],[VALOR PPTO]]*DETALLE_GD_1[[#This Row],[CANTIDAD RECIBIDA]]</f>
        <v>84852</v>
      </c>
      <c r="AB14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3" s="3">
        <f>+DETALLE_GD_1[[#This Row],[CANTIDAD SOLICITADA]]-DETALLE_GD_1[[#This Row],[DEVOLUCIÓN]]</f>
        <v>4</v>
      </c>
      <c r="AD1423" s="38" t="str">
        <f>+_xlfn.XLOOKUP(DETALLE_GD_1[[#This Row],[CODIGO]],PRODUCTOS[CODIGO],PRODUCTOS[DESC CORTA],"",0)</f>
        <v>COLA FRIA</v>
      </c>
    </row>
    <row r="1424" spans="1:30" x14ac:dyDescent="0.25">
      <c r="A1424" s="1">
        <v>46155</v>
      </c>
      <c r="B1424" s="1">
        <v>46155</v>
      </c>
      <c r="C1424" s="81" t="s">
        <v>169</v>
      </c>
      <c r="D1424" s="38">
        <v>5</v>
      </c>
      <c r="E1424" s="81" t="s">
        <v>169</v>
      </c>
      <c r="F1424">
        <v>1701154</v>
      </c>
      <c r="G1424" s="81" t="s">
        <v>713</v>
      </c>
      <c r="H1424" s="81" t="s">
        <v>31</v>
      </c>
      <c r="I1424" s="3">
        <v>3</v>
      </c>
      <c r="J1424" s="3"/>
      <c r="K1424" s="26">
        <v>3</v>
      </c>
      <c r="L1424" s="2">
        <v>1229.6667</v>
      </c>
      <c r="M1424" s="2">
        <v>3689</v>
      </c>
      <c r="N1424" s="2">
        <v>3689</v>
      </c>
      <c r="O1424" s="2">
        <v>1230</v>
      </c>
      <c r="P1424" s="2">
        <v>0.33329999999999999</v>
      </c>
      <c r="Q1424" s="2">
        <v>1</v>
      </c>
      <c r="R1424" s="4">
        <v>2.7100271002703863E-4</v>
      </c>
      <c r="T1424">
        <v>315381</v>
      </c>
      <c r="U1424" s="2">
        <v>220344</v>
      </c>
      <c r="V1424">
        <v>6161</v>
      </c>
      <c r="W1424" s="2">
        <v>6579000000</v>
      </c>
      <c r="X1424" s="6">
        <v>3690</v>
      </c>
      <c r="Y1424" s="38">
        <v>10010</v>
      </c>
      <c r="Z1424" s="86">
        <f>+((DETALLE_GD_1[[#This Row],[VALOR X UN (GD)]]-DETALLE_GD_1[[#This Row],[VALOR PPTO]])/DETALLE_GD_1[[#This Row],[VALOR PPTO]])</f>
        <v>-2.7097560975610435E-4</v>
      </c>
      <c r="AA1424" s="2">
        <f>+DETALLE_GD_1[[#This Row],[VALOR PPTO]]*DETALLE_GD_1[[#This Row],[CANTIDAD RECIBIDA]]</f>
        <v>3690</v>
      </c>
      <c r="AB14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4" s="3">
        <f>+DETALLE_GD_1[[#This Row],[CANTIDAD SOLICITADA]]-DETALLE_GD_1[[#This Row],[DEVOLUCIÓN]]</f>
        <v>3</v>
      </c>
      <c r="AD1424" s="38" t="str">
        <f>+_xlfn.XLOOKUP(DETALLE_GD_1[[#This Row],[CODIGO]],PRODUCTOS[CODIGO],PRODUCTOS[DESC CORTA],"",0)</f>
        <v/>
      </c>
    </row>
    <row r="1425" spans="1:30" x14ac:dyDescent="0.25">
      <c r="A1425" s="1">
        <v>46155</v>
      </c>
      <c r="B1425" s="1">
        <v>46155</v>
      </c>
      <c r="C1425" s="81" t="s">
        <v>169</v>
      </c>
      <c r="D1425" s="38">
        <v>5</v>
      </c>
      <c r="E1425" s="81" t="s">
        <v>169</v>
      </c>
      <c r="F1425">
        <v>1802175</v>
      </c>
      <c r="G1425" s="81" t="s">
        <v>269</v>
      </c>
      <c r="H1425" s="81" t="s">
        <v>31</v>
      </c>
      <c r="I1425" s="3">
        <v>3</v>
      </c>
      <c r="J1425" s="3"/>
      <c r="K1425" s="26">
        <v>3</v>
      </c>
      <c r="L1425" s="2">
        <v>1079</v>
      </c>
      <c r="M1425" s="2">
        <v>3237</v>
      </c>
      <c r="N1425" s="2">
        <v>3237</v>
      </c>
      <c r="O1425" s="2">
        <v>1079</v>
      </c>
      <c r="P1425" s="2">
        <v>0</v>
      </c>
      <c r="Q1425" s="2">
        <v>0</v>
      </c>
      <c r="R1425" s="4">
        <v>0</v>
      </c>
      <c r="T1425">
        <v>315381</v>
      </c>
      <c r="U1425" s="2"/>
      <c r="V1425">
        <v>6161</v>
      </c>
      <c r="W1425" s="2">
        <v>6579000000</v>
      </c>
      <c r="X1425" s="6">
        <v>3237</v>
      </c>
      <c r="Y1425" s="38">
        <v>10010</v>
      </c>
      <c r="Z1425" s="86">
        <f>+((DETALLE_GD_1[[#This Row],[VALOR X UN (GD)]]-DETALLE_GD_1[[#This Row],[VALOR PPTO]])/DETALLE_GD_1[[#This Row],[VALOR PPTO]])</f>
        <v>0</v>
      </c>
      <c r="AA1425" s="2">
        <f>+DETALLE_GD_1[[#This Row],[VALOR PPTO]]*DETALLE_GD_1[[#This Row],[CANTIDAD RECIBIDA]]</f>
        <v>3237</v>
      </c>
      <c r="AB14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5" s="3">
        <f>+DETALLE_GD_1[[#This Row],[CANTIDAD SOLICITADA]]-DETALLE_GD_1[[#This Row],[DEVOLUCIÓN]]</f>
        <v>3</v>
      </c>
      <c r="AD1425" s="38" t="str">
        <f>+_xlfn.XLOOKUP(DETALLE_GD_1[[#This Row],[CODIGO]],PRODUCTOS[CODIGO],PRODUCTOS[DESC CORTA],"",0)</f>
        <v>UÑETAS INSTLACION LAVAMANOS</v>
      </c>
    </row>
    <row r="1426" spans="1:30" x14ac:dyDescent="0.25">
      <c r="A1426" s="1">
        <v>46155</v>
      </c>
      <c r="B1426" s="1">
        <v>46155</v>
      </c>
      <c r="C1426" s="81" t="s">
        <v>169</v>
      </c>
      <c r="D1426" s="38">
        <v>5</v>
      </c>
      <c r="E1426" s="81" t="s">
        <v>169</v>
      </c>
      <c r="F1426">
        <v>1802174</v>
      </c>
      <c r="G1426" s="81" t="s">
        <v>268</v>
      </c>
      <c r="H1426" s="81" t="s">
        <v>31</v>
      </c>
      <c r="I1426" s="3">
        <v>3</v>
      </c>
      <c r="J1426" s="3"/>
      <c r="K1426" s="26">
        <v>3</v>
      </c>
      <c r="L1426" s="2">
        <v>7701.6666999999998</v>
      </c>
      <c r="M1426" s="2">
        <v>23105</v>
      </c>
      <c r="N1426" s="2">
        <v>23105</v>
      </c>
      <c r="O1426" s="2">
        <v>7709</v>
      </c>
      <c r="P1426" s="2">
        <v>7.3333000000000004</v>
      </c>
      <c r="Q1426" s="2">
        <v>22</v>
      </c>
      <c r="R1426" s="4">
        <v>9.5126907943092877E-4</v>
      </c>
      <c r="T1426">
        <v>315381</v>
      </c>
      <c r="U1426" s="2"/>
      <c r="V1426">
        <v>6161</v>
      </c>
      <c r="W1426" s="2">
        <v>6579000000</v>
      </c>
      <c r="X1426" s="6">
        <v>23127</v>
      </c>
      <c r="Y1426" s="38">
        <v>10010</v>
      </c>
      <c r="Z1426" s="86">
        <f>+((DETALLE_GD_1[[#This Row],[VALOR X UN (GD)]]-DETALLE_GD_1[[#This Row],[VALOR PPTO]])/DETALLE_GD_1[[#This Row],[VALOR PPTO]])</f>
        <v>-9.5126475548063763E-4</v>
      </c>
      <c r="AA1426" s="2">
        <f>+DETALLE_GD_1[[#This Row],[VALOR PPTO]]*DETALLE_GD_1[[#This Row],[CANTIDAD RECIBIDA]]</f>
        <v>23127</v>
      </c>
      <c r="AB1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6" s="3">
        <f>+DETALLE_GD_1[[#This Row],[CANTIDAD SOLICITADA]]-DETALLE_GD_1[[#This Row],[DEVOLUCIÓN]]</f>
        <v>3</v>
      </c>
      <c r="AD1426" s="38" t="str">
        <f>+_xlfn.XLOOKUP(DETALLE_GD_1[[#This Row],[CODIGO]],PRODUCTOS[CODIGO],PRODUCTOS[DESC CORTA],"",0)</f>
        <v>PEDESTAL DS THEOS</v>
      </c>
    </row>
    <row r="1427" spans="1:30" x14ac:dyDescent="0.25">
      <c r="A1427" s="1">
        <v>46155</v>
      </c>
      <c r="B1427" s="1">
        <v>46155</v>
      </c>
      <c r="C1427" s="81" t="s">
        <v>169</v>
      </c>
      <c r="D1427" s="38">
        <v>5</v>
      </c>
      <c r="E1427" s="81" t="s">
        <v>169</v>
      </c>
      <c r="F1427">
        <v>1802173</v>
      </c>
      <c r="G1427" s="81" t="s">
        <v>267</v>
      </c>
      <c r="H1427" s="81" t="s">
        <v>31</v>
      </c>
      <c r="I1427" s="3">
        <v>4</v>
      </c>
      <c r="J1427" s="3"/>
      <c r="K1427" s="26">
        <v>4</v>
      </c>
      <c r="L1427" s="2">
        <v>11984.75</v>
      </c>
      <c r="M1427" s="2">
        <v>47939</v>
      </c>
      <c r="N1427" s="2">
        <v>47939</v>
      </c>
      <c r="O1427" s="2">
        <v>11996</v>
      </c>
      <c r="P1427" s="2">
        <v>11.25</v>
      </c>
      <c r="Q1427" s="2">
        <v>45</v>
      </c>
      <c r="R1427" s="4">
        <v>9.3781260420140039E-4</v>
      </c>
      <c r="T1427">
        <v>315381</v>
      </c>
      <c r="U1427" s="2"/>
      <c r="V1427">
        <v>6161</v>
      </c>
      <c r="W1427" s="2">
        <v>6579000000</v>
      </c>
      <c r="X1427" s="6">
        <v>47984</v>
      </c>
      <c r="Y1427" s="38">
        <v>10010</v>
      </c>
      <c r="Z1427" s="86">
        <f>+((DETALLE_GD_1[[#This Row],[VALOR X UN (GD)]]-DETALLE_GD_1[[#This Row],[VALOR PPTO]])/DETALLE_GD_1[[#This Row],[VALOR PPTO]])</f>
        <v>-9.378126042014005E-4</v>
      </c>
      <c r="AA1427" s="2">
        <f>+DETALLE_GD_1[[#This Row],[VALOR PPTO]]*DETALLE_GD_1[[#This Row],[CANTIDAD RECIBIDA]]</f>
        <v>47984</v>
      </c>
      <c r="AB1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7" s="3">
        <f>+DETALLE_GD_1[[#This Row],[CANTIDAD SOLICITADA]]-DETALLE_GD_1[[#This Row],[DEVOLUCIÓN]]</f>
        <v>4</v>
      </c>
      <c r="AD1427" s="38" t="str">
        <f>+_xlfn.XLOOKUP(DETALLE_GD_1[[#This Row],[CODIGO]],PRODUCTOS[CODIGO],PRODUCTOS[DESC CORTA],"",0)</f>
        <v>LAVAMANOS DS THEOS</v>
      </c>
    </row>
    <row r="1428" spans="1:30" x14ac:dyDescent="0.25">
      <c r="A1428" s="1">
        <v>46155</v>
      </c>
      <c r="B1428" s="1">
        <v>46155</v>
      </c>
      <c r="C1428" s="81" t="s">
        <v>169</v>
      </c>
      <c r="D1428" s="38">
        <v>5</v>
      </c>
      <c r="E1428" s="81" t="s">
        <v>169</v>
      </c>
      <c r="F1428">
        <v>5316484</v>
      </c>
      <c r="G1428" s="81" t="s">
        <v>96</v>
      </c>
      <c r="H1428" s="81" t="s">
        <v>31</v>
      </c>
      <c r="I1428" s="3">
        <v>6</v>
      </c>
      <c r="J1428" s="3"/>
      <c r="K1428" s="26">
        <v>6</v>
      </c>
      <c r="L1428" s="2">
        <v>4283.5</v>
      </c>
      <c r="M1428" s="2">
        <v>25701</v>
      </c>
      <c r="N1428" s="2">
        <v>25701</v>
      </c>
      <c r="O1428" s="2">
        <v>4372.7272999999996</v>
      </c>
      <c r="P1428" s="2">
        <v>89.2273</v>
      </c>
      <c r="Q1428" s="2">
        <v>535.36360000000002</v>
      </c>
      <c r="R1428" s="4">
        <v>2.0405405466502876E-2</v>
      </c>
      <c r="T1428">
        <v>315381</v>
      </c>
      <c r="U1428" s="2"/>
      <c r="V1428">
        <v>6161</v>
      </c>
      <c r="W1428" s="2">
        <v>6579000000</v>
      </c>
      <c r="X1428" s="6">
        <v>26236.363638000003</v>
      </c>
      <c r="Y1428" s="38">
        <v>10010</v>
      </c>
      <c r="Z1428" s="86">
        <f>+((DETALLE_GD_1[[#This Row],[VALOR X UN (GD)]]-DETALLE_GD_1[[#This Row],[VALOR PPTO]])/DETALLE_GD_1[[#This Row],[VALOR PPTO]])</f>
        <v>-2.0405411515142864E-2</v>
      </c>
      <c r="AA1428" s="2">
        <f>+DETALLE_GD_1[[#This Row],[VALOR PPTO]]*DETALLE_GD_1[[#This Row],[CANTIDAD RECIBIDA]]</f>
        <v>26236.363799999999</v>
      </c>
      <c r="AB1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8" s="3">
        <f>+DETALLE_GD_1[[#This Row],[CANTIDAD SOLICITADA]]-DETALLE_GD_1[[#This Row],[DEVOLUCIÓN]]</f>
        <v>6</v>
      </c>
      <c r="AD1428" s="38" t="str">
        <f>+_xlfn.XLOOKUP(DETALLE_GD_1[[#This Row],[CODIGO]],PRODUCTOS[CODIGO],PRODUCTOS[DESC CORTA],"",0)</f>
        <v>LLAVE DE BOLA AC</v>
      </c>
    </row>
    <row r="1429" spans="1:30" x14ac:dyDescent="0.25">
      <c r="A1429" s="1">
        <v>46155</v>
      </c>
      <c r="B1429" s="1">
        <v>46155</v>
      </c>
      <c r="C1429" s="81" t="s">
        <v>169</v>
      </c>
      <c r="D1429" s="38">
        <v>5</v>
      </c>
      <c r="E1429" s="81" t="s">
        <v>169</v>
      </c>
      <c r="F1429">
        <v>5316483</v>
      </c>
      <c r="G1429" s="81" t="s">
        <v>97</v>
      </c>
      <c r="H1429" s="81" t="s">
        <v>31</v>
      </c>
      <c r="I1429" s="3">
        <v>6</v>
      </c>
      <c r="J1429" s="3"/>
      <c r="K1429" s="26">
        <v>6</v>
      </c>
      <c r="L1429" s="2">
        <v>2984.1667000000002</v>
      </c>
      <c r="M1429" s="2">
        <v>17905</v>
      </c>
      <c r="N1429" s="2">
        <v>17905</v>
      </c>
      <c r="O1429" s="2">
        <v>3237.6071000000002</v>
      </c>
      <c r="P1429" s="2">
        <v>253.44049999999999</v>
      </c>
      <c r="Q1429" s="2">
        <v>1520.6429000000001</v>
      </c>
      <c r="R1429" s="4">
        <v>7.8280181979859698E-2</v>
      </c>
      <c r="T1429">
        <v>315381</v>
      </c>
      <c r="U1429" s="2"/>
      <c r="V1429">
        <v>6161</v>
      </c>
      <c r="W1429" s="2">
        <v>6579000000</v>
      </c>
      <c r="X1429" s="6">
        <v>19425.642857999999</v>
      </c>
      <c r="Y1429" s="38">
        <v>10010</v>
      </c>
      <c r="Z1429" s="86">
        <f>+((DETALLE_GD_1[[#This Row],[VALOR X UN (GD)]]-DETALLE_GD_1[[#This Row],[VALOR PPTO]])/DETALLE_GD_1[[#This Row],[VALOR PPTO]])</f>
        <v>-7.8280159442447456E-2</v>
      </c>
      <c r="AA1429" s="2">
        <f>+DETALLE_GD_1[[#This Row],[VALOR PPTO]]*DETALLE_GD_1[[#This Row],[CANTIDAD RECIBIDA]]</f>
        <v>19425.642599999999</v>
      </c>
      <c r="AB1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9" s="3">
        <f>+DETALLE_GD_1[[#This Row],[CANTIDAD SOLICITADA]]-DETALLE_GD_1[[#This Row],[DEVOLUCIÓN]]</f>
        <v>6</v>
      </c>
      <c r="AD1429" s="38" t="str">
        <f>+_xlfn.XLOOKUP(DETALLE_GD_1[[#This Row],[CODIGO]],PRODUCTOS[CODIGO],PRODUCTOS[DESC CORTA],"",0)</f>
        <v>LLAVE DE BOLA AF</v>
      </c>
    </row>
    <row r="1430" spans="1:30" x14ac:dyDescent="0.25">
      <c r="A1430" s="1">
        <v>46155</v>
      </c>
      <c r="B1430" s="1">
        <v>46155</v>
      </c>
      <c r="C1430" s="81" t="s">
        <v>169</v>
      </c>
      <c r="D1430" s="38">
        <v>5</v>
      </c>
      <c r="E1430" s="81" t="s">
        <v>169</v>
      </c>
      <c r="F1430">
        <v>1802170</v>
      </c>
      <c r="G1430" s="81" t="s">
        <v>264</v>
      </c>
      <c r="H1430" s="81" t="s">
        <v>31</v>
      </c>
      <c r="I1430" s="3">
        <v>3</v>
      </c>
      <c r="J1430" s="3"/>
      <c r="K1430" s="26">
        <v>3</v>
      </c>
      <c r="L1430" s="2">
        <v>2043</v>
      </c>
      <c r="M1430" s="2">
        <v>6129</v>
      </c>
      <c r="N1430" s="2">
        <v>6129</v>
      </c>
      <c r="O1430" s="2">
        <v>2043</v>
      </c>
      <c r="P1430" s="2">
        <v>0</v>
      </c>
      <c r="Q1430" s="2">
        <v>0</v>
      </c>
      <c r="R1430" s="4">
        <v>0</v>
      </c>
      <c r="T1430">
        <v>315381</v>
      </c>
      <c r="U1430" s="2"/>
      <c r="V1430">
        <v>6161</v>
      </c>
      <c r="W1430" s="2">
        <v>6579000000</v>
      </c>
      <c r="X1430" s="6">
        <v>6129</v>
      </c>
      <c r="Y1430" s="38">
        <v>10010</v>
      </c>
      <c r="Z1430" s="86">
        <f>+((DETALLE_GD_1[[#This Row],[VALOR X UN (GD)]]-DETALLE_GD_1[[#This Row],[VALOR PPTO]])/DETALLE_GD_1[[#This Row],[VALOR PPTO]])</f>
        <v>0</v>
      </c>
      <c r="AA1430" s="2">
        <f>+DETALLE_GD_1[[#This Row],[VALOR PPTO]]*DETALLE_GD_1[[#This Row],[CANTIDAD RECIBIDA]]</f>
        <v>6129</v>
      </c>
      <c r="AB1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0" s="3">
        <f>+DETALLE_GD_1[[#This Row],[CANTIDAD SOLICITADA]]-DETALLE_GD_1[[#This Row],[DEVOLUCIÓN]]</f>
        <v>3</v>
      </c>
      <c r="AD1430" s="38">
        <f>+_xlfn.XLOOKUP(DETALLE_GD_1[[#This Row],[CODIGO]],PRODUCTOS[CODIGO],PRODUCTOS[DESC CORTA],"",0)</f>
        <v>0</v>
      </c>
    </row>
    <row r="1431" spans="1:30" x14ac:dyDescent="0.25">
      <c r="A1431" s="1">
        <v>46155</v>
      </c>
      <c r="B1431" s="1">
        <v>46155</v>
      </c>
      <c r="C1431" s="81" t="s">
        <v>169</v>
      </c>
      <c r="D1431" s="38">
        <v>5</v>
      </c>
      <c r="E1431" s="81" t="s">
        <v>169</v>
      </c>
      <c r="F1431">
        <v>1802169</v>
      </c>
      <c r="G1431" s="81" t="s">
        <v>263</v>
      </c>
      <c r="H1431" s="81" t="s">
        <v>31</v>
      </c>
      <c r="I1431" s="3">
        <v>3</v>
      </c>
      <c r="J1431" s="3"/>
      <c r="K1431" s="26">
        <v>3</v>
      </c>
      <c r="L1431" s="2">
        <v>10730</v>
      </c>
      <c r="M1431" s="2">
        <v>32190</v>
      </c>
      <c r="N1431" s="2">
        <v>32190</v>
      </c>
      <c r="O1431" s="2">
        <v>10741</v>
      </c>
      <c r="P1431" s="2">
        <v>11</v>
      </c>
      <c r="Q1431" s="2">
        <v>33</v>
      </c>
      <c r="R1431" s="4">
        <v>1.0241132110604227E-3</v>
      </c>
      <c r="T1431">
        <v>315381</v>
      </c>
      <c r="U1431" s="2"/>
      <c r="V1431">
        <v>6161</v>
      </c>
      <c r="W1431" s="2">
        <v>6579000000</v>
      </c>
      <c r="X1431" s="6">
        <v>32223</v>
      </c>
      <c r="Y1431" s="38">
        <v>10010</v>
      </c>
      <c r="Z1431" s="86">
        <f>+((DETALLE_GD_1[[#This Row],[VALOR X UN (GD)]]-DETALLE_GD_1[[#This Row],[VALOR PPTO]])/DETALLE_GD_1[[#This Row],[VALOR PPTO]])</f>
        <v>-1.0241132110604227E-3</v>
      </c>
      <c r="AA1431" s="2">
        <f>+DETALLE_GD_1[[#This Row],[VALOR PPTO]]*DETALLE_GD_1[[#This Row],[CANTIDAD RECIBIDA]]</f>
        <v>32223</v>
      </c>
      <c r="AB14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1" s="3">
        <f>+DETALLE_GD_1[[#This Row],[CANTIDAD SOLICITADA]]-DETALLE_GD_1[[#This Row],[DEVOLUCIÓN]]</f>
        <v>3</v>
      </c>
      <c r="AD1431" s="38" t="str">
        <f>+_xlfn.XLOOKUP(DETALLE_GD_1[[#This Row],[CODIGO]],PRODUCTOS[CODIGO],PRODUCTOS[DESC CORTA],"",0)</f>
        <v>LAVARROPA PLATICO DS</v>
      </c>
    </row>
    <row r="1432" spans="1:30" x14ac:dyDescent="0.25">
      <c r="A1432" s="1">
        <v>46155</v>
      </c>
      <c r="B1432" s="1">
        <v>46155</v>
      </c>
      <c r="C1432" s="81" t="s">
        <v>169</v>
      </c>
      <c r="D1432" s="38">
        <v>5</v>
      </c>
      <c r="E1432" s="81" t="s">
        <v>169</v>
      </c>
      <c r="F1432">
        <v>1802167</v>
      </c>
      <c r="G1432" s="81" t="s">
        <v>262</v>
      </c>
      <c r="H1432" s="81" t="s">
        <v>31</v>
      </c>
      <c r="I1432" s="3">
        <v>3</v>
      </c>
      <c r="J1432" s="3"/>
      <c r="K1432" s="26">
        <v>3</v>
      </c>
      <c r="L1432" s="2">
        <v>14972</v>
      </c>
      <c r="M1432" s="2">
        <v>44916</v>
      </c>
      <c r="N1432" s="2">
        <v>44916</v>
      </c>
      <c r="O1432" s="2">
        <v>14972</v>
      </c>
      <c r="P1432" s="2">
        <v>0</v>
      </c>
      <c r="Q1432" s="2">
        <v>0</v>
      </c>
      <c r="R1432" s="4">
        <v>0</v>
      </c>
      <c r="T1432">
        <v>315381</v>
      </c>
      <c r="U1432" s="2"/>
      <c r="V1432">
        <v>6161</v>
      </c>
      <c r="W1432" s="2">
        <v>6579000000</v>
      </c>
      <c r="X1432" s="6">
        <v>44916</v>
      </c>
      <c r="Y1432" s="38">
        <v>10010</v>
      </c>
      <c r="Z1432" s="86">
        <f>+((DETALLE_GD_1[[#This Row],[VALOR X UN (GD)]]-DETALLE_GD_1[[#This Row],[VALOR PPTO]])/DETALLE_GD_1[[#This Row],[VALOR PPTO]])</f>
        <v>0</v>
      </c>
      <c r="AA1432" s="2">
        <f>+DETALLE_GD_1[[#This Row],[VALOR PPTO]]*DETALLE_GD_1[[#This Row],[CANTIDAD RECIBIDA]]</f>
        <v>44916</v>
      </c>
      <c r="AB1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2" s="3">
        <f>+DETALLE_GD_1[[#This Row],[CANTIDAD SOLICITADA]]-DETALLE_GD_1[[#This Row],[DEVOLUCIÓN]]</f>
        <v>3</v>
      </c>
      <c r="AD1432" s="38" t="str">
        <f>+_xlfn.XLOOKUP(DETALLE_GD_1[[#This Row],[CODIGO]],PRODUCTOS[CODIGO],PRODUCTOS[DESC CORTA],"",0)</f>
        <v>NEW DUCHA SIMPLE, SOPORTE Y FLEXIBLE 1.5M 8LPM, ESTIU (TS2024020)</v>
      </c>
    </row>
    <row r="1433" spans="1:30" x14ac:dyDescent="0.25">
      <c r="A1433" s="1">
        <v>46155</v>
      </c>
      <c r="B1433" s="1">
        <v>46155</v>
      </c>
      <c r="C1433" s="81" t="s">
        <v>169</v>
      </c>
      <c r="D1433" s="38">
        <v>5</v>
      </c>
      <c r="E1433" s="81" t="s">
        <v>169</v>
      </c>
      <c r="F1433">
        <v>1801229</v>
      </c>
      <c r="G1433" s="81" t="s">
        <v>259</v>
      </c>
      <c r="H1433" s="81" t="s">
        <v>31</v>
      </c>
      <c r="I1433" s="3">
        <v>3</v>
      </c>
      <c r="J1433" s="3"/>
      <c r="K1433" s="26">
        <v>3</v>
      </c>
      <c r="L1433" s="2">
        <v>5177.6666999999998</v>
      </c>
      <c r="M1433" s="2">
        <v>15533</v>
      </c>
      <c r="N1433" s="2">
        <v>15533</v>
      </c>
      <c r="O1433" s="2">
        <v>4675.5185000000001</v>
      </c>
      <c r="P1433" s="2">
        <v>-502.1481</v>
      </c>
      <c r="Q1433" s="2">
        <v>-1506.4444000000001</v>
      </c>
      <c r="R1433" s="4">
        <v>-0.10739945647227726</v>
      </c>
      <c r="T1433">
        <v>315381</v>
      </c>
      <c r="U1433" s="2"/>
      <c r="V1433">
        <v>6161</v>
      </c>
      <c r="W1433" s="2">
        <v>6579000000</v>
      </c>
      <c r="X1433" s="6">
        <v>14026.555557</v>
      </c>
      <c r="Y1433" s="38">
        <v>10010</v>
      </c>
      <c r="Z1433" s="86">
        <f>+((DETALLE_GD_1[[#This Row],[VALOR X UN (GD)]]-DETALLE_GD_1[[#This Row],[VALOR PPTO]])/DETALLE_GD_1[[#This Row],[VALOR PPTO]])</f>
        <v>0.10739946810177302</v>
      </c>
      <c r="AA1433" s="2">
        <f>+DETALLE_GD_1[[#This Row],[VALOR PPTO]]*DETALLE_GD_1[[#This Row],[CANTIDAD RECIBIDA]]</f>
        <v>14026.5555</v>
      </c>
      <c r="AB1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3" s="3">
        <f>+DETALLE_GD_1[[#This Row],[CANTIDAD SOLICITADA]]-DETALLE_GD_1[[#This Row],[DEVOLUCIÓN]]</f>
        <v>3</v>
      </c>
      <c r="AD1433" s="38" t="str">
        <f>+_xlfn.XLOOKUP(DETALLE_GD_1[[#This Row],[CODIGO]],PRODUCTOS[CODIGO],PRODUCTOS[DESC CORTA],"",0)</f>
        <v>KIT DESAGUE TINA</v>
      </c>
    </row>
    <row r="1434" spans="1:30" x14ac:dyDescent="0.25">
      <c r="A1434" s="1">
        <v>46155</v>
      </c>
      <c r="B1434" s="1">
        <v>46155</v>
      </c>
      <c r="C1434" s="81" t="s">
        <v>169</v>
      </c>
      <c r="D1434" s="38">
        <v>5</v>
      </c>
      <c r="E1434" s="81" t="s">
        <v>169</v>
      </c>
      <c r="F1434">
        <v>1808146</v>
      </c>
      <c r="G1434" s="81" t="s">
        <v>274</v>
      </c>
      <c r="H1434" s="81" t="s">
        <v>31</v>
      </c>
      <c r="I1434" s="3">
        <v>6</v>
      </c>
      <c r="J1434" s="3"/>
      <c r="K1434" s="26">
        <v>6</v>
      </c>
      <c r="L1434" s="2">
        <v>3325.3332999999998</v>
      </c>
      <c r="M1434" s="2">
        <v>19952</v>
      </c>
      <c r="N1434" s="2">
        <v>19952</v>
      </c>
      <c r="O1434" s="2">
        <v>3404</v>
      </c>
      <c r="P1434" s="2">
        <v>78.666700000000006</v>
      </c>
      <c r="Q1434" s="2">
        <v>472</v>
      </c>
      <c r="R1434" s="4">
        <v>2.3110066588327413E-2</v>
      </c>
      <c r="T1434">
        <v>315382</v>
      </c>
      <c r="U1434" s="2">
        <v>412409</v>
      </c>
      <c r="V1434">
        <v>6161</v>
      </c>
      <c r="W1434" s="2">
        <v>6579000000</v>
      </c>
      <c r="X1434" s="6">
        <v>20424</v>
      </c>
      <c r="Y1434" s="38">
        <v>10010</v>
      </c>
      <c r="Z1434" s="86">
        <f>+((DETALLE_GD_1[[#This Row],[VALOR X UN (GD)]]-DETALLE_GD_1[[#This Row],[VALOR PPTO]])/DETALLE_GD_1[[#This Row],[VALOR PPTO]])</f>
        <v>-2.3110076380728619E-2</v>
      </c>
      <c r="AA1434" s="2">
        <f>+DETALLE_GD_1[[#This Row],[VALOR PPTO]]*DETALLE_GD_1[[#This Row],[CANTIDAD RECIBIDA]]</f>
        <v>20424</v>
      </c>
      <c r="AB1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4" s="3">
        <f>+DETALLE_GD_1[[#This Row],[CANTIDAD SOLICITADA]]-DETALLE_GD_1[[#This Row],[DEVOLUCIÓN]]</f>
        <v>6</v>
      </c>
      <c r="AD1434" s="38" t="str">
        <f>+_xlfn.XLOOKUP(DETALLE_GD_1[[#This Row],[CODIGO]],PRODUCTOS[CODIGO],PRODUCTOS[DESC CORTA],"",0)</f>
        <v>NUEVA</v>
      </c>
    </row>
    <row r="1435" spans="1:30" x14ac:dyDescent="0.25">
      <c r="A1435" s="1">
        <v>46155</v>
      </c>
      <c r="B1435" s="1">
        <v>46155</v>
      </c>
      <c r="C1435" s="81" t="s">
        <v>169</v>
      </c>
      <c r="D1435" s="38">
        <v>5</v>
      </c>
      <c r="E1435" s="81" t="s">
        <v>169</v>
      </c>
      <c r="F1435">
        <v>2304002</v>
      </c>
      <c r="G1435" s="81" t="s">
        <v>212</v>
      </c>
      <c r="H1435" s="81" t="s">
        <v>31</v>
      </c>
      <c r="I1435" s="3">
        <v>3</v>
      </c>
      <c r="J1435" s="3"/>
      <c r="K1435" s="26">
        <v>3</v>
      </c>
      <c r="L1435" s="2">
        <v>1409.6667</v>
      </c>
      <c r="M1435" s="2">
        <v>4229</v>
      </c>
      <c r="N1435" s="2">
        <v>4229</v>
      </c>
      <c r="O1435" s="2">
        <v>1376.4717000000001</v>
      </c>
      <c r="P1435" s="2">
        <v>-33.194899999999997</v>
      </c>
      <c r="Q1435" s="2">
        <v>-99.584800000000001</v>
      </c>
      <c r="R1435" s="4">
        <v>-2.4115964089841884E-2</v>
      </c>
      <c r="T1435">
        <v>315382</v>
      </c>
      <c r="U1435" s="2"/>
      <c r="V1435">
        <v>6161</v>
      </c>
      <c r="W1435" s="2">
        <v>6579000000</v>
      </c>
      <c r="X1435" s="6">
        <v>4129.415172</v>
      </c>
      <c r="Y1435" s="38">
        <v>10010</v>
      </c>
      <c r="Z1435" s="86">
        <f>+((DETALLE_GD_1[[#This Row],[VALOR X UN (GD)]]-DETALLE_GD_1[[#This Row],[VALOR PPTO]])/DETALLE_GD_1[[#This Row],[VALOR PPTO]])</f>
        <v>2.4116006162712925E-2</v>
      </c>
      <c r="AA1435" s="2">
        <f>+DETALLE_GD_1[[#This Row],[VALOR PPTO]]*DETALLE_GD_1[[#This Row],[CANTIDAD RECIBIDA]]</f>
        <v>4129.4151000000002</v>
      </c>
      <c r="AB14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5" s="3">
        <f>+DETALLE_GD_1[[#This Row],[CANTIDAD SOLICITADA]]-DETALLE_GD_1[[#This Row],[DEVOLUCIÓN]]</f>
        <v>3</v>
      </c>
      <c r="AD1435" s="38">
        <f>+_xlfn.XLOOKUP(DETALLE_GD_1[[#This Row],[CODIGO]],PRODUCTOS[CODIGO],PRODUCTOS[DESC CORTA],"",0)</f>
        <v>0</v>
      </c>
    </row>
    <row r="1436" spans="1:30" x14ac:dyDescent="0.25">
      <c r="A1436" s="1">
        <v>46155</v>
      </c>
      <c r="B1436" s="1">
        <v>46155</v>
      </c>
      <c r="C1436" s="81" t="s">
        <v>169</v>
      </c>
      <c r="D1436" s="38">
        <v>5</v>
      </c>
      <c r="E1436" s="81" t="s">
        <v>169</v>
      </c>
      <c r="F1436">
        <v>1808148</v>
      </c>
      <c r="G1436" s="81" t="s">
        <v>276</v>
      </c>
      <c r="H1436" s="81" t="s">
        <v>31</v>
      </c>
      <c r="I1436" s="3">
        <v>3</v>
      </c>
      <c r="J1436" s="3"/>
      <c r="K1436" s="26">
        <v>3</v>
      </c>
      <c r="L1436" s="2">
        <v>1098.6667</v>
      </c>
      <c r="M1436" s="2">
        <v>3296</v>
      </c>
      <c r="N1436" s="2">
        <v>3296</v>
      </c>
      <c r="O1436" s="2">
        <v>1089</v>
      </c>
      <c r="P1436" s="2">
        <v>-9.6667000000000005</v>
      </c>
      <c r="Q1436" s="2">
        <v>-29</v>
      </c>
      <c r="R1436" s="4">
        <v>-8.8766452402816737E-3</v>
      </c>
      <c r="T1436">
        <v>315382</v>
      </c>
      <c r="U1436" s="2"/>
      <c r="V1436">
        <v>6161</v>
      </c>
      <c r="W1436" s="2">
        <v>6579000000</v>
      </c>
      <c r="X1436" s="6">
        <v>3267</v>
      </c>
      <c r="Y1436" s="38">
        <v>10010</v>
      </c>
      <c r="Z1436" s="86">
        <f>+((DETALLE_GD_1[[#This Row],[VALOR X UN (GD)]]-DETALLE_GD_1[[#This Row],[VALOR PPTO]])/DETALLE_GD_1[[#This Row],[VALOR PPTO]])</f>
        <v>8.8766758494031144E-3</v>
      </c>
      <c r="AA1436" s="2">
        <f>+DETALLE_GD_1[[#This Row],[VALOR PPTO]]*DETALLE_GD_1[[#This Row],[CANTIDAD RECIBIDA]]</f>
        <v>3267</v>
      </c>
      <c r="AB14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6" s="3">
        <f>+DETALLE_GD_1[[#This Row],[CANTIDAD SOLICITADA]]-DETALLE_GD_1[[#This Row],[DEVOLUCIÓN]]</f>
        <v>3</v>
      </c>
      <c r="AD1436" s="38" t="str">
        <f>+_xlfn.XLOOKUP(DETALLE_GD_1[[#This Row],[CODIGO]],PRODUCTOS[CODIGO],PRODUCTOS[DESC CORTA],"",0)</f>
        <v>SELLO INSTALACION WC</v>
      </c>
    </row>
    <row r="1437" spans="1:30" x14ac:dyDescent="0.25">
      <c r="A1437" s="1">
        <v>46155</v>
      </c>
      <c r="B1437" s="1">
        <v>46155</v>
      </c>
      <c r="C1437" s="81" t="s">
        <v>169</v>
      </c>
      <c r="D1437" s="38">
        <v>5</v>
      </c>
      <c r="E1437" s="81" t="s">
        <v>169</v>
      </c>
      <c r="F1437">
        <v>1808147</v>
      </c>
      <c r="G1437" s="81" t="s">
        <v>275</v>
      </c>
      <c r="H1437" s="81" t="s">
        <v>31</v>
      </c>
      <c r="I1437" s="3">
        <v>3</v>
      </c>
      <c r="J1437" s="3"/>
      <c r="K1437" s="26">
        <v>3</v>
      </c>
      <c r="L1437" s="2">
        <v>2219.6667000000002</v>
      </c>
      <c r="M1437" s="2">
        <v>6659</v>
      </c>
      <c r="N1437" s="2">
        <v>6659</v>
      </c>
      <c r="O1437" s="2">
        <v>2293</v>
      </c>
      <c r="P1437" s="2">
        <v>73.333299999999994</v>
      </c>
      <c r="Q1437" s="2">
        <v>220</v>
      </c>
      <c r="R1437" s="4">
        <v>3.1981392644279759E-2</v>
      </c>
      <c r="T1437">
        <v>315382</v>
      </c>
      <c r="U1437" s="2"/>
      <c r="V1437">
        <v>6161</v>
      </c>
      <c r="W1437" s="2">
        <v>6579000000</v>
      </c>
      <c r="X1437" s="6">
        <v>6879</v>
      </c>
      <c r="Y1437" s="38">
        <v>10010</v>
      </c>
      <c r="Z1437" s="86">
        <f>+((DETALLE_GD_1[[#This Row],[VALOR X UN (GD)]]-DETALLE_GD_1[[#This Row],[VALOR PPTO]])/DETALLE_GD_1[[#This Row],[VALOR PPTO]])</f>
        <v>-3.1981378107282937E-2</v>
      </c>
      <c r="AA1437" s="2">
        <f>+DETALLE_GD_1[[#This Row],[VALOR PPTO]]*DETALLE_GD_1[[#This Row],[CANTIDAD RECIBIDA]]</f>
        <v>6879</v>
      </c>
      <c r="AB14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7" s="3">
        <f>+DETALLE_GD_1[[#This Row],[CANTIDAD SOLICITADA]]-DETALLE_GD_1[[#This Row],[DEVOLUCIÓN]]</f>
        <v>3</v>
      </c>
      <c r="AD1437" s="38" t="str">
        <f>+_xlfn.XLOOKUP(DETALLE_GD_1[[#This Row],[CODIGO]],PRODUCTOS[CODIGO],PRODUCTOS[DESC CORTA],"",0)</f>
        <v>LLAVE ANGULAR 1/2X</v>
      </c>
    </row>
    <row r="1438" spans="1:30" x14ac:dyDescent="0.25">
      <c r="A1438" s="1">
        <v>46155</v>
      </c>
      <c r="B1438" s="1">
        <v>46155</v>
      </c>
      <c r="C1438" s="81" t="s">
        <v>169</v>
      </c>
      <c r="D1438" s="38">
        <v>5</v>
      </c>
      <c r="E1438" s="81" t="s">
        <v>169</v>
      </c>
      <c r="F1438">
        <v>1808145</v>
      </c>
      <c r="G1438" s="81" t="s">
        <v>273</v>
      </c>
      <c r="H1438" s="81" t="s">
        <v>31</v>
      </c>
      <c r="I1438" s="3">
        <v>3</v>
      </c>
      <c r="J1438" s="3"/>
      <c r="K1438" s="26">
        <v>3</v>
      </c>
      <c r="L1438" s="2">
        <v>16269.6667</v>
      </c>
      <c r="M1438" s="2">
        <v>48809</v>
      </c>
      <c r="N1438" s="2">
        <v>48809</v>
      </c>
      <c r="O1438" s="2">
        <v>17145</v>
      </c>
      <c r="P1438" s="2">
        <v>875.33330000000001</v>
      </c>
      <c r="Q1438" s="2">
        <v>2626</v>
      </c>
      <c r="R1438" s="4">
        <v>5.1054729269952401E-2</v>
      </c>
      <c r="T1438">
        <v>315382</v>
      </c>
      <c r="U1438" s="2"/>
      <c r="V1438">
        <v>6161</v>
      </c>
      <c r="W1438" s="2">
        <v>6579000000</v>
      </c>
      <c r="X1438" s="6">
        <v>51435</v>
      </c>
      <c r="Y1438" s="38">
        <v>10010</v>
      </c>
      <c r="Z1438" s="86">
        <f>+((DETALLE_GD_1[[#This Row],[VALOR X UN (GD)]]-DETALLE_GD_1[[#This Row],[VALOR PPTO]])/DETALLE_GD_1[[#This Row],[VALOR PPTO]])</f>
        <v>-5.1054727325750962E-2</v>
      </c>
      <c r="AA1438" s="2">
        <f>+DETALLE_GD_1[[#This Row],[VALOR PPTO]]*DETALLE_GD_1[[#This Row],[CANTIDAD RECIBIDA]]</f>
        <v>51435</v>
      </c>
      <c r="AB14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8" s="3">
        <f>+DETALLE_GD_1[[#This Row],[CANTIDAD SOLICITADA]]-DETALLE_GD_1[[#This Row],[DEVOLUCIÓN]]</f>
        <v>3</v>
      </c>
      <c r="AD1438" s="38" t="str">
        <f>+_xlfn.XLOOKUP(DETALLE_GD_1[[#This Row],[CODIGO]],PRODUCTOS[CODIGO],PRODUCTOS[DESC CORTA],"",0)</f>
        <v>ESTANQUE WC AURA</v>
      </c>
    </row>
    <row r="1439" spans="1:30" x14ac:dyDescent="0.25">
      <c r="A1439" s="1">
        <v>46155</v>
      </c>
      <c r="B1439" s="1">
        <v>46155</v>
      </c>
      <c r="C1439" s="81" t="s">
        <v>169</v>
      </c>
      <c r="D1439" s="38">
        <v>5</v>
      </c>
      <c r="E1439" s="81" t="s">
        <v>169</v>
      </c>
      <c r="F1439">
        <v>1808144</v>
      </c>
      <c r="G1439" s="81" t="s">
        <v>272</v>
      </c>
      <c r="H1439" s="81" t="s">
        <v>31</v>
      </c>
      <c r="I1439" s="3">
        <v>3</v>
      </c>
      <c r="J1439" s="3"/>
      <c r="K1439" s="26">
        <v>3</v>
      </c>
      <c r="L1439" s="2">
        <v>23316.666700000002</v>
      </c>
      <c r="M1439" s="2">
        <v>69950</v>
      </c>
      <c r="N1439" s="2">
        <v>69950</v>
      </c>
      <c r="O1439" s="2">
        <v>23228</v>
      </c>
      <c r="P1439" s="2">
        <v>-88.666700000000006</v>
      </c>
      <c r="Q1439" s="2">
        <v>-266</v>
      </c>
      <c r="R1439" s="4">
        <v>-3.8172320762298894E-3</v>
      </c>
      <c r="T1439">
        <v>315382</v>
      </c>
      <c r="U1439" s="2"/>
      <c r="V1439">
        <v>6161</v>
      </c>
      <c r="W1439" s="2">
        <v>6579000000</v>
      </c>
      <c r="X1439" s="6">
        <v>69684</v>
      </c>
      <c r="Y1439" s="38">
        <v>10010</v>
      </c>
      <c r="Z1439" s="86">
        <f>+((DETALLE_GD_1[[#This Row],[VALOR X UN (GD)]]-DETALLE_GD_1[[#This Row],[VALOR PPTO]])/DETALLE_GD_1[[#This Row],[VALOR PPTO]])</f>
        <v>3.8172335112795584E-3</v>
      </c>
      <c r="AA1439" s="2">
        <f>+DETALLE_GD_1[[#This Row],[VALOR PPTO]]*DETALLE_GD_1[[#This Row],[CANTIDAD RECIBIDA]]</f>
        <v>69684</v>
      </c>
      <c r="AB1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9" s="3">
        <f>+DETALLE_GD_1[[#This Row],[CANTIDAD SOLICITADA]]-DETALLE_GD_1[[#This Row],[DEVOLUCIÓN]]</f>
        <v>3</v>
      </c>
      <c r="AD1439" s="38" t="str">
        <f>+_xlfn.XLOOKUP(DETALLE_GD_1[[#This Row],[CODIGO]],PRODUCTOS[CODIGO],PRODUCTOS[DESC CORTA],"",0)</f>
        <v>TAZA WC AURA</v>
      </c>
    </row>
    <row r="1440" spans="1:30" x14ac:dyDescent="0.25">
      <c r="A1440" s="1">
        <v>46155</v>
      </c>
      <c r="B1440" s="1">
        <v>46155</v>
      </c>
      <c r="C1440" s="81" t="s">
        <v>169</v>
      </c>
      <c r="D1440" s="38">
        <v>5</v>
      </c>
      <c r="E1440" s="81" t="s">
        <v>169</v>
      </c>
      <c r="F1440">
        <v>407795</v>
      </c>
      <c r="G1440" s="81" t="s">
        <v>325</v>
      </c>
      <c r="H1440" s="81" t="s">
        <v>31</v>
      </c>
      <c r="I1440" s="3">
        <v>3</v>
      </c>
      <c r="J1440" s="3"/>
      <c r="K1440" s="26">
        <v>3</v>
      </c>
      <c r="L1440" s="2">
        <v>1611</v>
      </c>
      <c r="M1440" s="2">
        <v>4833</v>
      </c>
      <c r="N1440" s="2">
        <v>4833</v>
      </c>
      <c r="O1440" s="2">
        <v>1610.9336000000001</v>
      </c>
      <c r="P1440" s="2">
        <v>-6.6400000000000001E-2</v>
      </c>
      <c r="Q1440" s="2">
        <v>-0.19919999999999999</v>
      </c>
      <c r="R1440" s="4">
        <v>-4.1212126674764554E-5</v>
      </c>
      <c r="T1440">
        <v>315382</v>
      </c>
      <c r="U1440" s="2"/>
      <c r="V1440">
        <v>6161</v>
      </c>
      <c r="W1440" s="2">
        <v>6579000000</v>
      </c>
      <c r="X1440" s="6">
        <v>4832.8008300000001</v>
      </c>
      <c r="Y1440" s="38">
        <v>10010</v>
      </c>
      <c r="Z1440" s="86">
        <f>+((DETALLE_GD_1[[#This Row],[VALOR X UN (GD)]]-DETALLE_GD_1[[#This Row],[VALOR PPTO]])/DETALLE_GD_1[[#This Row],[VALOR PPTO]])</f>
        <v>4.1218334511075141E-5</v>
      </c>
      <c r="AA1440" s="2">
        <f>+DETALLE_GD_1[[#This Row],[VALOR PPTO]]*DETALLE_GD_1[[#This Row],[CANTIDAD RECIBIDA]]</f>
        <v>4832.8008</v>
      </c>
      <c r="AB14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0" s="3">
        <f>+DETALLE_GD_1[[#This Row],[CANTIDAD SOLICITADA]]-DETALLE_GD_1[[#This Row],[DEVOLUCIÓN]]</f>
        <v>3</v>
      </c>
      <c r="AD1440" s="38" t="str">
        <f>+_xlfn.XLOOKUP(DETALLE_GD_1[[#This Row],[CODIGO]],PRODUCTOS[CODIGO],PRODUCTOS[DESC CORTA],"",0)</f>
        <v>SET BALCON</v>
      </c>
    </row>
    <row r="1441" spans="1:30" x14ac:dyDescent="0.25">
      <c r="A1441" s="1">
        <v>46155</v>
      </c>
      <c r="B1441" s="1">
        <v>46155</v>
      </c>
      <c r="C1441" s="81" t="s">
        <v>169</v>
      </c>
      <c r="D1441" s="38">
        <v>5</v>
      </c>
      <c r="E1441" s="81" t="s">
        <v>169</v>
      </c>
      <c r="F1441">
        <v>1802166</v>
      </c>
      <c r="G1441" s="81" t="s">
        <v>283</v>
      </c>
      <c r="H1441" s="81" t="s">
        <v>31</v>
      </c>
      <c r="I1441" s="3">
        <v>3</v>
      </c>
      <c r="J1441" s="3"/>
      <c r="K1441" s="26">
        <v>3</v>
      </c>
      <c r="L1441" s="2">
        <v>13869</v>
      </c>
      <c r="M1441" s="2">
        <v>41607</v>
      </c>
      <c r="N1441" s="2">
        <v>41607</v>
      </c>
      <c r="O1441" s="2">
        <v>13869</v>
      </c>
      <c r="P1441" s="2">
        <v>0</v>
      </c>
      <c r="Q1441" s="2">
        <v>0</v>
      </c>
      <c r="R1441" s="4">
        <v>0</v>
      </c>
      <c r="T1441">
        <v>315382</v>
      </c>
      <c r="U1441" s="2"/>
      <c r="V1441">
        <v>6161</v>
      </c>
      <c r="W1441" s="2">
        <v>6579000000</v>
      </c>
      <c r="X1441" s="6">
        <v>41607</v>
      </c>
      <c r="Y1441" s="38">
        <v>10010</v>
      </c>
      <c r="Z1441" s="86">
        <f>+((DETALLE_GD_1[[#This Row],[VALOR X UN (GD)]]-DETALLE_GD_1[[#This Row],[VALOR PPTO]])/DETALLE_GD_1[[#This Row],[VALOR PPTO]])</f>
        <v>0</v>
      </c>
      <c r="AA1441" s="2">
        <f>+DETALLE_GD_1[[#This Row],[VALOR PPTO]]*DETALLE_GD_1[[#This Row],[CANTIDAD RECIBIDA]]</f>
        <v>41607</v>
      </c>
      <c r="AB1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1" s="3">
        <f>+DETALLE_GD_1[[#This Row],[CANTIDAD SOLICITADA]]-DETALLE_GD_1[[#This Row],[DEVOLUCIÓN]]</f>
        <v>3</v>
      </c>
      <c r="AD1441" s="38" t="str">
        <f>+_xlfn.XLOOKUP(DETALLE_GD_1[[#This Row],[CODIGO]],PRODUCTOS[CODIGO],PRODUCTOS[DESC CORTA],"",0)</f>
        <v>NEW TS2024022)</v>
      </c>
    </row>
    <row r="1442" spans="1:30" x14ac:dyDescent="0.25">
      <c r="A1442" s="1">
        <v>46155</v>
      </c>
      <c r="B1442" s="1">
        <v>46155</v>
      </c>
      <c r="C1442" s="81" t="s">
        <v>169</v>
      </c>
      <c r="D1442" s="38">
        <v>5</v>
      </c>
      <c r="E1442" s="81" t="s">
        <v>169</v>
      </c>
      <c r="F1442">
        <v>1703006</v>
      </c>
      <c r="G1442" s="81" t="s">
        <v>48</v>
      </c>
      <c r="H1442" s="81" t="s">
        <v>31</v>
      </c>
      <c r="I1442" s="3">
        <v>3</v>
      </c>
      <c r="J1442" s="3"/>
      <c r="K1442" s="26">
        <v>3</v>
      </c>
      <c r="L1442" s="2">
        <v>1662.3333</v>
      </c>
      <c r="M1442" s="2">
        <v>4987</v>
      </c>
      <c r="N1442" s="2">
        <v>4987</v>
      </c>
      <c r="O1442" s="2">
        <v>1662</v>
      </c>
      <c r="P1442" s="2">
        <v>-0.33329999999999999</v>
      </c>
      <c r="Q1442" s="2">
        <v>-1</v>
      </c>
      <c r="R1442" s="4">
        <v>-2.0056157240268204E-4</v>
      </c>
      <c r="T1442">
        <v>315382</v>
      </c>
      <c r="U1442" s="2"/>
      <c r="V1442">
        <v>6161</v>
      </c>
      <c r="W1442" s="2">
        <v>6579000000</v>
      </c>
      <c r="X1442" s="6">
        <v>4986</v>
      </c>
      <c r="Y1442" s="38">
        <v>10010</v>
      </c>
      <c r="Z1442" s="86">
        <f>+((DETALLE_GD_1[[#This Row],[VALOR X UN (GD)]]-DETALLE_GD_1[[#This Row],[VALOR PPTO]])/DETALLE_GD_1[[#This Row],[VALOR PPTO]])</f>
        <v>2.0054151624549239E-4</v>
      </c>
      <c r="AA1442" s="2">
        <f>+DETALLE_GD_1[[#This Row],[VALOR PPTO]]*DETALLE_GD_1[[#This Row],[CANTIDAD RECIBIDA]]</f>
        <v>4986</v>
      </c>
      <c r="AB1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2" s="3">
        <f>+DETALLE_GD_1[[#This Row],[CANTIDAD SOLICITADA]]-DETALLE_GD_1[[#This Row],[DEVOLUCIÓN]]</f>
        <v>3</v>
      </c>
      <c r="AD1442" s="38" t="str">
        <f>+_xlfn.XLOOKUP(DETALLE_GD_1[[#This Row],[CODIGO]],PRODUCTOS[CODIGO],PRODUCTOS[DESC CORTA],"",0)</f>
        <v>SIFON LAVAPLATO</v>
      </c>
    </row>
    <row r="1443" spans="1:30" x14ac:dyDescent="0.25">
      <c r="A1443" s="1">
        <v>46155</v>
      </c>
      <c r="B1443" s="1">
        <v>46155</v>
      </c>
      <c r="C1443" s="81" t="s">
        <v>169</v>
      </c>
      <c r="D1443" s="38">
        <v>5</v>
      </c>
      <c r="E1443" s="81" t="s">
        <v>169</v>
      </c>
      <c r="F1443">
        <v>5316509</v>
      </c>
      <c r="G1443" s="81" t="s">
        <v>56</v>
      </c>
      <c r="H1443" s="81" t="s">
        <v>31</v>
      </c>
      <c r="I1443" s="3">
        <v>3</v>
      </c>
      <c r="J1443" s="3"/>
      <c r="K1443" s="26">
        <v>3</v>
      </c>
      <c r="L1443" s="2">
        <v>14549.6667</v>
      </c>
      <c r="M1443" s="2">
        <v>43649</v>
      </c>
      <c r="N1443" s="2">
        <v>43649</v>
      </c>
      <c r="O1443" s="2">
        <v>15433.3333</v>
      </c>
      <c r="P1443" s="2">
        <v>883.66669999999999</v>
      </c>
      <c r="Q1443" s="2">
        <v>2651</v>
      </c>
      <c r="R1443" s="4">
        <v>5.7257019418083373E-2</v>
      </c>
      <c r="T1443">
        <v>315382</v>
      </c>
      <c r="U1443" s="2"/>
      <c r="V1443">
        <v>6161</v>
      </c>
      <c r="W1443" s="2">
        <v>6579000000</v>
      </c>
      <c r="X1443" s="6">
        <v>46299.999999</v>
      </c>
      <c r="Y1443" s="38">
        <v>10010</v>
      </c>
      <c r="Z1443" s="86">
        <f>+((DETALLE_GD_1[[#This Row],[VALOR X UN (GD)]]-DETALLE_GD_1[[#This Row],[VALOR PPTO]])/DETALLE_GD_1[[#This Row],[VALOR PPTO]])</f>
        <v>-5.7257015242455786E-2</v>
      </c>
      <c r="AA1443" s="2">
        <f>+DETALLE_GD_1[[#This Row],[VALOR PPTO]]*DETALLE_GD_1[[#This Row],[CANTIDAD RECIBIDA]]</f>
        <v>46299.999900000003</v>
      </c>
      <c r="AB1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3" s="3">
        <f>+DETALLE_GD_1[[#This Row],[CANTIDAD SOLICITADA]]-DETALLE_GD_1[[#This Row],[DEVOLUCIÓN]]</f>
        <v>3</v>
      </c>
      <c r="AD1443" s="38" t="str">
        <f>+_xlfn.XLOOKUP(DETALLE_GD_1[[#This Row],[CODIGO]],PRODUCTOS[CODIGO],PRODUCTOS[DESC CORTA],"",0)</f>
        <v>LAVAPLATOS</v>
      </c>
    </row>
    <row r="1444" spans="1:30" x14ac:dyDescent="0.25">
      <c r="A1444" s="1">
        <v>46155</v>
      </c>
      <c r="B1444" s="1">
        <v>46155</v>
      </c>
      <c r="C1444" s="81" t="s">
        <v>169</v>
      </c>
      <c r="D1444" s="38">
        <v>5</v>
      </c>
      <c r="E1444" s="81" t="s">
        <v>169</v>
      </c>
      <c r="F1444">
        <v>5316507</v>
      </c>
      <c r="G1444" s="81" t="s">
        <v>55</v>
      </c>
      <c r="H1444" s="81" t="s">
        <v>31</v>
      </c>
      <c r="I1444" s="3">
        <v>3</v>
      </c>
      <c r="J1444" s="3"/>
      <c r="K1444" s="26">
        <v>3</v>
      </c>
      <c r="L1444" s="2">
        <v>41766</v>
      </c>
      <c r="M1444" s="2">
        <v>125298</v>
      </c>
      <c r="N1444" s="2">
        <v>125298</v>
      </c>
      <c r="O1444" s="2">
        <v>41419.666700000002</v>
      </c>
      <c r="P1444" s="2">
        <v>-346.33330000000001</v>
      </c>
      <c r="Q1444" s="2">
        <v>-1039</v>
      </c>
      <c r="R1444" s="4">
        <v>-8.3615673632625835E-3</v>
      </c>
      <c r="T1444">
        <v>315382</v>
      </c>
      <c r="U1444" s="2"/>
      <c r="V1444">
        <v>6161</v>
      </c>
      <c r="W1444" s="2">
        <v>6579000000</v>
      </c>
      <c r="X1444" s="6">
        <v>124259.00000099999</v>
      </c>
      <c r="Y1444" s="38">
        <v>10010</v>
      </c>
      <c r="Z1444" s="86">
        <f>+((DETALLE_GD_1[[#This Row],[VALOR X UN (GD)]]-DETALLE_GD_1[[#This Row],[VALOR PPTO]])/DETALLE_GD_1[[#This Row],[VALOR PPTO]])</f>
        <v>8.3615665598776624E-3</v>
      </c>
      <c r="AA1444" s="2">
        <f>+DETALLE_GD_1[[#This Row],[VALOR PPTO]]*DETALLE_GD_1[[#This Row],[CANTIDAD RECIBIDA]]</f>
        <v>124259.0001</v>
      </c>
      <c r="AB1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4" s="3">
        <f>+DETALLE_GD_1[[#This Row],[CANTIDAD SOLICITADA]]-DETALLE_GD_1[[#This Row],[DEVOLUCIÓN]]</f>
        <v>3</v>
      </c>
      <c r="AD1444" s="38" t="str">
        <f>+_xlfn.XLOOKUP(DETALLE_GD_1[[#This Row],[CODIGO]],PRODUCTOS[CODIGO],PRODUCTOS[DESC CORTA],"",0)</f>
        <v>MUEBLE LAVAPLATOS</v>
      </c>
    </row>
    <row r="1445" spans="1:30" x14ac:dyDescent="0.25">
      <c r="A1445" s="1">
        <v>46155</v>
      </c>
      <c r="B1445" s="1">
        <v>46155</v>
      </c>
      <c r="C1445" s="81" t="s">
        <v>169</v>
      </c>
      <c r="D1445" s="38">
        <v>5</v>
      </c>
      <c r="E1445" s="81" t="s">
        <v>169</v>
      </c>
      <c r="F1445">
        <v>2505426</v>
      </c>
      <c r="G1445" s="81" t="s">
        <v>711</v>
      </c>
      <c r="H1445" s="81" t="s">
        <v>31</v>
      </c>
      <c r="I1445" s="3">
        <v>3</v>
      </c>
      <c r="J1445" s="3"/>
      <c r="K1445" s="26">
        <v>3</v>
      </c>
      <c r="L1445" s="2">
        <v>1725.6667</v>
      </c>
      <c r="M1445" s="2">
        <v>5177</v>
      </c>
      <c r="N1445" s="2">
        <v>5177</v>
      </c>
      <c r="O1445" s="2">
        <v>1684</v>
      </c>
      <c r="P1445" s="2">
        <v>-41.666699999999999</v>
      </c>
      <c r="Q1445" s="2">
        <v>-125</v>
      </c>
      <c r="R1445" s="4">
        <v>-2.4742676167854361E-2</v>
      </c>
      <c r="T1445">
        <v>315382</v>
      </c>
      <c r="U1445" s="2"/>
      <c r="V1445">
        <v>6161</v>
      </c>
      <c r="W1445" s="2">
        <v>6579000000</v>
      </c>
      <c r="X1445" s="6">
        <v>5052</v>
      </c>
      <c r="Y1445" s="38">
        <v>10010</v>
      </c>
      <c r="Z1445" s="86">
        <f>+((DETALLE_GD_1[[#This Row],[VALOR X UN (GD)]]-DETALLE_GD_1[[#This Row],[VALOR PPTO]])/DETALLE_GD_1[[#This Row],[VALOR PPTO]])</f>
        <v>2.4742695961995246E-2</v>
      </c>
      <c r="AA1445" s="2">
        <f>+DETALLE_GD_1[[#This Row],[VALOR PPTO]]*DETALLE_GD_1[[#This Row],[CANTIDAD RECIBIDA]]</f>
        <v>5052</v>
      </c>
      <c r="AB1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5" s="3">
        <f>+DETALLE_GD_1[[#This Row],[CANTIDAD SOLICITADA]]-DETALLE_GD_1[[#This Row],[DEVOLUCIÓN]]</f>
        <v>3</v>
      </c>
      <c r="AD1445" s="38" t="str">
        <f>+_xlfn.XLOOKUP(DETALLE_GD_1[[#This Row],[CODIGO]],PRODUCTOS[CODIGO],PRODUCTOS[DESC CORTA],"",0)</f>
        <v/>
      </c>
    </row>
    <row r="1446" spans="1:30" x14ac:dyDescent="0.25">
      <c r="A1446" s="1">
        <v>46155</v>
      </c>
      <c r="B1446" s="1">
        <v>46155</v>
      </c>
      <c r="C1446" s="81" t="s">
        <v>169</v>
      </c>
      <c r="D1446" s="38">
        <v>5</v>
      </c>
      <c r="E1446" s="81" t="s">
        <v>169</v>
      </c>
      <c r="F1446">
        <v>1802176</v>
      </c>
      <c r="G1446" s="81" t="s">
        <v>196</v>
      </c>
      <c r="H1446" s="81" t="s">
        <v>31</v>
      </c>
      <c r="I1446" s="3">
        <v>3</v>
      </c>
      <c r="J1446" s="3"/>
      <c r="K1446" s="26">
        <v>3</v>
      </c>
      <c r="L1446" s="2">
        <v>2199</v>
      </c>
      <c r="M1446" s="2">
        <v>6597</v>
      </c>
      <c r="N1446" s="2">
        <v>6597</v>
      </c>
      <c r="O1446" s="2">
        <v>2199</v>
      </c>
      <c r="P1446" s="2">
        <v>0</v>
      </c>
      <c r="Q1446" s="2">
        <v>0</v>
      </c>
      <c r="R1446" s="4">
        <v>0</v>
      </c>
      <c r="T1446">
        <v>315382</v>
      </c>
      <c r="U1446" s="2"/>
      <c r="V1446">
        <v>6161</v>
      </c>
      <c r="W1446" s="2">
        <v>6579000000</v>
      </c>
      <c r="X1446" s="6">
        <v>6597</v>
      </c>
      <c r="Y1446" s="38">
        <v>10010</v>
      </c>
      <c r="Z1446" s="86">
        <f>+((DETALLE_GD_1[[#This Row],[VALOR X UN (GD)]]-DETALLE_GD_1[[#This Row],[VALOR PPTO]])/DETALLE_GD_1[[#This Row],[VALOR PPTO]])</f>
        <v>0</v>
      </c>
      <c r="AA1446" s="2">
        <f>+DETALLE_GD_1[[#This Row],[VALOR PPTO]]*DETALLE_GD_1[[#This Row],[CANTIDAD RECIBIDA]]</f>
        <v>6597</v>
      </c>
      <c r="AB14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6" s="3">
        <f>+DETALLE_GD_1[[#This Row],[CANTIDAD SOLICITADA]]-DETALLE_GD_1[[#This Row],[DEVOLUCIÓN]]</f>
        <v>3</v>
      </c>
      <c r="AD1446" s="38">
        <f>+_xlfn.XLOOKUP(DETALLE_GD_1[[#This Row],[CODIGO]],PRODUCTOS[CODIGO],PRODUCTOS[DESC CORTA],"",0)</f>
        <v>0</v>
      </c>
    </row>
    <row r="1447" spans="1:30" x14ac:dyDescent="0.25">
      <c r="A1447" s="1">
        <v>46155</v>
      </c>
      <c r="B1447" s="1">
        <v>46155</v>
      </c>
      <c r="C1447" s="81" t="s">
        <v>169</v>
      </c>
      <c r="D1447" s="38">
        <v>5</v>
      </c>
      <c r="E1447" s="81" t="s">
        <v>169</v>
      </c>
      <c r="F1447">
        <v>1802165</v>
      </c>
      <c r="G1447" s="81" t="s">
        <v>261</v>
      </c>
      <c r="H1447" s="81" t="s">
        <v>31</v>
      </c>
      <c r="I1447" s="3">
        <v>3</v>
      </c>
      <c r="J1447" s="3"/>
      <c r="K1447" s="26">
        <v>3</v>
      </c>
      <c r="L1447" s="2">
        <v>9122</v>
      </c>
      <c r="M1447" s="2">
        <v>27366</v>
      </c>
      <c r="N1447" s="2">
        <v>27366</v>
      </c>
      <c r="O1447" s="2">
        <v>9122</v>
      </c>
      <c r="P1447" s="2">
        <v>0</v>
      </c>
      <c r="Q1447" s="2">
        <v>0</v>
      </c>
      <c r="R1447" s="4">
        <v>0</v>
      </c>
      <c r="T1447">
        <v>315382</v>
      </c>
      <c r="U1447" s="2"/>
      <c r="V1447">
        <v>6161</v>
      </c>
      <c r="W1447" s="2">
        <v>6579000000</v>
      </c>
      <c r="X1447" s="6">
        <v>27366</v>
      </c>
      <c r="Y1447" s="38">
        <v>10010</v>
      </c>
      <c r="Z1447" s="86">
        <f>+((DETALLE_GD_1[[#This Row],[VALOR X UN (GD)]]-DETALLE_GD_1[[#This Row],[VALOR PPTO]])/DETALLE_GD_1[[#This Row],[VALOR PPTO]])</f>
        <v>0</v>
      </c>
      <c r="AA1447" s="2">
        <f>+DETALLE_GD_1[[#This Row],[VALOR PPTO]]*DETALLE_GD_1[[#This Row],[CANTIDAD RECIBIDA]]</f>
        <v>27366</v>
      </c>
      <c r="AB14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7" s="3">
        <f>+DETALLE_GD_1[[#This Row],[CANTIDAD SOLICITADA]]-DETALLE_GD_1[[#This Row],[DEVOLUCIÓN]]</f>
        <v>3</v>
      </c>
      <c r="AD1447" s="38" t="str">
        <f>+_xlfn.XLOOKUP(DETALLE_GD_1[[#This Row],[CODIGO]],PRODUCTOS[CODIGO],PRODUCTOS[DESC CORTA],"",0)</f>
        <v>NEW TS2024019)</v>
      </c>
    </row>
    <row r="1448" spans="1:30" x14ac:dyDescent="0.25">
      <c r="A1448" s="1">
        <v>46155</v>
      </c>
      <c r="B1448" s="1">
        <v>46155</v>
      </c>
      <c r="C1448" s="81" t="s">
        <v>169</v>
      </c>
      <c r="D1448" s="38">
        <v>5</v>
      </c>
      <c r="E1448" s="81" t="s">
        <v>169</v>
      </c>
      <c r="F1448">
        <v>609007</v>
      </c>
      <c r="G1448" s="81" t="s">
        <v>210</v>
      </c>
      <c r="H1448" s="81" t="s">
        <v>211</v>
      </c>
      <c r="I1448" s="3">
        <v>1</v>
      </c>
      <c r="J1448" s="3"/>
      <c r="K1448" s="26">
        <v>1</v>
      </c>
      <c r="L1448" s="2">
        <v>8165</v>
      </c>
      <c r="M1448" s="2">
        <v>8165</v>
      </c>
      <c r="N1448" s="2">
        <v>8165</v>
      </c>
      <c r="O1448" s="2">
        <v>8164.9821000000002</v>
      </c>
      <c r="P1448" s="2">
        <v>-1.7899999999999999E-2</v>
      </c>
      <c r="Q1448" s="2">
        <v>-1.7899999999999999E-2</v>
      </c>
      <c r="R1448" s="4">
        <v>-2.1870225417615723E-6</v>
      </c>
      <c r="T1448">
        <v>315378</v>
      </c>
      <c r="U1448" s="2">
        <v>10032</v>
      </c>
      <c r="V1448">
        <v>6161</v>
      </c>
      <c r="W1448" s="2">
        <v>6579000000</v>
      </c>
      <c r="X1448" s="6">
        <v>8164.9821430000002</v>
      </c>
      <c r="Y1448" s="38">
        <v>10010</v>
      </c>
      <c r="Z1448" s="86">
        <f>+((DETALLE_GD_1[[#This Row],[VALOR X UN (GD)]]-DETALLE_GD_1[[#This Row],[VALOR PPTO]])/DETALLE_GD_1[[#This Row],[VALOR PPTO]])</f>
        <v>2.1922889457194073E-6</v>
      </c>
      <c r="AA1448" s="2">
        <f>+DETALLE_GD_1[[#This Row],[VALOR PPTO]]*DETALLE_GD_1[[#This Row],[CANTIDAD RECIBIDA]]</f>
        <v>8164.9821000000002</v>
      </c>
      <c r="AB1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8" s="3">
        <f>+DETALLE_GD_1[[#This Row],[CANTIDAD SOLICITADA]]-DETALLE_GD_1[[#This Row],[DEVOLUCIÓN]]</f>
        <v>1</v>
      </c>
      <c r="AD1448" s="38">
        <f>+_xlfn.XLOOKUP(DETALLE_GD_1[[#This Row],[CODIGO]],PRODUCTOS[CODIGO],PRODUCTOS[DESC CORTA],"",0)</f>
        <v>0</v>
      </c>
    </row>
    <row r="1449" spans="1:30" x14ac:dyDescent="0.25">
      <c r="A1449" s="1">
        <v>46155</v>
      </c>
      <c r="B1449" s="1">
        <v>46155</v>
      </c>
      <c r="C1449" s="81" t="s">
        <v>169</v>
      </c>
      <c r="D1449" s="38">
        <v>5</v>
      </c>
      <c r="E1449" s="81" t="s">
        <v>169</v>
      </c>
      <c r="F1449">
        <v>408034</v>
      </c>
      <c r="G1449" s="81" t="s">
        <v>250</v>
      </c>
      <c r="H1449" s="81" t="s">
        <v>36</v>
      </c>
      <c r="I1449" s="3">
        <v>1</v>
      </c>
      <c r="J1449" s="3"/>
      <c r="K1449" s="26">
        <v>1</v>
      </c>
      <c r="L1449" s="2">
        <v>1867</v>
      </c>
      <c r="M1449" s="2">
        <v>1867</v>
      </c>
      <c r="N1449" s="2">
        <v>1867</v>
      </c>
      <c r="O1449" s="2">
        <v>1866.9503999999999</v>
      </c>
      <c r="P1449" s="2">
        <v>-4.9599999999999998E-2</v>
      </c>
      <c r="Q1449" s="2">
        <v>-4.9599999999999998E-2</v>
      </c>
      <c r="R1449" s="4">
        <v>-2.6591494447838636E-5</v>
      </c>
      <c r="T1449">
        <v>315378</v>
      </c>
      <c r="U1449" s="2"/>
      <c r="V1449">
        <v>6161</v>
      </c>
      <c r="W1449" s="2">
        <v>6579000000</v>
      </c>
      <c r="X1449" s="6">
        <v>1866.9503550000009</v>
      </c>
      <c r="Y1449" s="38">
        <v>10010</v>
      </c>
      <c r="Z1449" s="86">
        <f>+((DETALLE_GD_1[[#This Row],[VALOR X UN (GD)]]-DETALLE_GD_1[[#This Row],[VALOR PPTO]])/DETALLE_GD_1[[#This Row],[VALOR PPTO]])</f>
        <v>2.6567390328128124E-5</v>
      </c>
      <c r="AA1449" s="2">
        <f>+DETALLE_GD_1[[#This Row],[VALOR PPTO]]*DETALLE_GD_1[[#This Row],[CANTIDAD RECIBIDA]]</f>
        <v>1866.9503999999999</v>
      </c>
      <c r="AB1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9" s="3">
        <f>+DETALLE_GD_1[[#This Row],[CANTIDAD SOLICITADA]]-DETALLE_GD_1[[#This Row],[DEVOLUCIÓN]]</f>
        <v>1</v>
      </c>
      <c r="AD1449" s="38">
        <f>+_xlfn.XLOOKUP(DETALLE_GD_1[[#This Row],[CODIGO]],PRODUCTOS[CODIGO],PRODUCTOS[DESC CORTA],"",0)</f>
        <v>0</v>
      </c>
    </row>
    <row r="1450" spans="1:30" x14ac:dyDescent="0.25">
      <c r="A1450" s="1">
        <v>46155</v>
      </c>
      <c r="B1450" s="1">
        <v>46155</v>
      </c>
      <c r="C1450" s="81" t="s">
        <v>169</v>
      </c>
      <c r="D1450" s="38">
        <v>5</v>
      </c>
      <c r="E1450" s="81" t="s">
        <v>169</v>
      </c>
      <c r="F1450" t="s">
        <v>562</v>
      </c>
      <c r="G1450" s="81" t="s">
        <v>708</v>
      </c>
      <c r="H1450" s="81" t="s">
        <v>47</v>
      </c>
      <c r="I1450" s="3">
        <v>50</v>
      </c>
      <c r="J1450" s="3"/>
      <c r="K1450" s="26">
        <v>50</v>
      </c>
      <c r="L1450" s="2">
        <v>328.28</v>
      </c>
      <c r="M1450" s="2">
        <v>16414</v>
      </c>
      <c r="N1450" s="2">
        <v>16414</v>
      </c>
      <c r="O1450" s="2"/>
      <c r="P1450" s="2"/>
      <c r="Q1450" s="2">
        <v>-16414</v>
      </c>
      <c r="R1450" s="4"/>
      <c r="T1450">
        <v>315384</v>
      </c>
      <c r="U1450" s="2">
        <v>117519</v>
      </c>
      <c r="V1450">
        <v>6161</v>
      </c>
      <c r="W1450" s="2">
        <v>6579000000</v>
      </c>
      <c r="X1450" s="6" t="s">
        <v>355</v>
      </c>
      <c r="Y1450" s="38">
        <v>10010</v>
      </c>
      <c r="Z1450" s="86" t="e">
        <f>+((DETALLE_GD_1[[#This Row],[VALOR X UN (GD)]]-DETALLE_GD_1[[#This Row],[VALOR PPTO]])/DETALLE_GD_1[[#This Row],[VALOR PPTO]])</f>
        <v>#DIV/0!</v>
      </c>
      <c r="AA1450" s="2">
        <f>+DETALLE_GD_1[[#This Row],[VALOR PPTO]]*DETALLE_GD_1[[#This Row],[CANTIDAD RECIBIDA]]</f>
        <v>0</v>
      </c>
      <c r="AB1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0" s="3">
        <f>+DETALLE_GD_1[[#This Row],[CANTIDAD SOLICITADA]]-DETALLE_GD_1[[#This Row],[DEVOLUCIÓN]]</f>
        <v>50</v>
      </c>
      <c r="AD1450" s="38" t="str">
        <f>+_xlfn.XLOOKUP(DETALLE_GD_1[[#This Row],[CODIGO]],PRODUCTOS[CODIGO],PRODUCTOS[DESC CORTA],"",0)</f>
        <v/>
      </c>
    </row>
    <row r="1451" spans="1:30" x14ac:dyDescent="0.25">
      <c r="A1451" s="1">
        <v>46155</v>
      </c>
      <c r="B1451" s="1">
        <v>46155</v>
      </c>
      <c r="C1451" s="81" t="s">
        <v>169</v>
      </c>
      <c r="D1451" s="38">
        <v>5</v>
      </c>
      <c r="E1451" s="81" t="s">
        <v>169</v>
      </c>
      <c r="F1451">
        <v>408034</v>
      </c>
      <c r="G1451" s="81" t="s">
        <v>250</v>
      </c>
      <c r="H1451" s="81" t="s">
        <v>36</v>
      </c>
      <c r="I1451" s="3">
        <v>1</v>
      </c>
      <c r="J1451" s="3"/>
      <c r="K1451" s="26">
        <v>1</v>
      </c>
      <c r="L1451" s="2">
        <v>1867</v>
      </c>
      <c r="M1451" s="2">
        <v>1867</v>
      </c>
      <c r="N1451" s="2">
        <v>1867</v>
      </c>
      <c r="O1451" s="2">
        <v>1866.9503999999999</v>
      </c>
      <c r="P1451" s="2">
        <v>-4.9599999999999998E-2</v>
      </c>
      <c r="Q1451" s="2">
        <v>-4.9599999999999998E-2</v>
      </c>
      <c r="R1451" s="4">
        <v>-2.6591494447838636E-5</v>
      </c>
      <c r="T1451">
        <v>315384</v>
      </c>
      <c r="U1451" s="2"/>
      <c r="V1451">
        <v>6161</v>
      </c>
      <c r="W1451" s="2">
        <v>6579000000</v>
      </c>
      <c r="X1451" s="6">
        <v>1866.9503550000009</v>
      </c>
      <c r="Y1451" s="38">
        <v>10010</v>
      </c>
      <c r="Z1451" s="86">
        <f>+((DETALLE_GD_1[[#This Row],[VALOR X UN (GD)]]-DETALLE_GD_1[[#This Row],[VALOR PPTO]])/DETALLE_GD_1[[#This Row],[VALOR PPTO]])</f>
        <v>2.6567390328128124E-5</v>
      </c>
      <c r="AA1451" s="2">
        <f>+DETALLE_GD_1[[#This Row],[VALOR PPTO]]*DETALLE_GD_1[[#This Row],[CANTIDAD RECIBIDA]]</f>
        <v>1866.9503999999999</v>
      </c>
      <c r="AB14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1" s="3">
        <f>+DETALLE_GD_1[[#This Row],[CANTIDAD SOLICITADA]]-DETALLE_GD_1[[#This Row],[DEVOLUCIÓN]]</f>
        <v>1</v>
      </c>
      <c r="AD1451" s="38">
        <f>+_xlfn.XLOOKUP(DETALLE_GD_1[[#This Row],[CODIGO]],PRODUCTOS[CODIGO],PRODUCTOS[DESC CORTA],"",0)</f>
        <v>0</v>
      </c>
    </row>
    <row r="1452" spans="1:30" x14ac:dyDescent="0.25">
      <c r="A1452" s="1">
        <v>46155</v>
      </c>
      <c r="B1452" s="1">
        <v>46155</v>
      </c>
      <c r="C1452" s="81" t="s">
        <v>169</v>
      </c>
      <c r="D1452" s="38">
        <v>5</v>
      </c>
      <c r="E1452" s="81" t="s">
        <v>169</v>
      </c>
      <c r="F1452">
        <v>2505058</v>
      </c>
      <c r="G1452" s="81" t="s">
        <v>142</v>
      </c>
      <c r="H1452" s="81" t="s">
        <v>31</v>
      </c>
      <c r="I1452" s="3">
        <v>6</v>
      </c>
      <c r="J1452" s="3"/>
      <c r="K1452" s="26">
        <v>6</v>
      </c>
      <c r="L1452" s="2">
        <v>16539.666700000002</v>
      </c>
      <c r="M1452" s="2">
        <v>99238</v>
      </c>
      <c r="N1452" s="2">
        <v>99238</v>
      </c>
      <c r="O1452" s="2">
        <v>17870.144100000001</v>
      </c>
      <c r="P1452" s="2">
        <v>1330.4774</v>
      </c>
      <c r="Q1452" s="2">
        <v>7982.8644000000004</v>
      </c>
      <c r="R1452" s="4">
        <v>7.4452527985815961E-2</v>
      </c>
      <c r="T1452">
        <v>315384</v>
      </c>
      <c r="U1452" s="2"/>
      <c r="V1452">
        <v>6161</v>
      </c>
      <c r="W1452" s="2">
        <v>6579000000</v>
      </c>
      <c r="X1452" s="6">
        <v>107220.86440799999</v>
      </c>
      <c r="Y1452" s="38">
        <v>10010</v>
      </c>
      <c r="Z1452" s="86">
        <f>+((DETALLE_GD_1[[#This Row],[VALOR X UN (GD)]]-DETALLE_GD_1[[#This Row],[VALOR PPTO]])/DETALLE_GD_1[[#This Row],[VALOR PPTO]])</f>
        <v>-7.445252777788175E-2</v>
      </c>
      <c r="AA1452" s="2">
        <f>+DETALLE_GD_1[[#This Row],[VALOR PPTO]]*DETALLE_GD_1[[#This Row],[CANTIDAD RECIBIDA]]</f>
        <v>107220.8646</v>
      </c>
      <c r="AB14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2" s="3">
        <f>+DETALLE_GD_1[[#This Row],[CANTIDAD SOLICITADA]]-DETALLE_GD_1[[#This Row],[DEVOLUCIÓN]]</f>
        <v>6</v>
      </c>
      <c r="AD1452" s="38" t="str">
        <f>+_xlfn.XLOOKUP(DETALLE_GD_1[[#This Row],[CODIGO]],PRODUCTOS[CODIGO],PRODUCTOS[DESC CORTA],"",0)</f>
        <v>VENTILACIÓN PASIVA</v>
      </c>
    </row>
    <row r="1453" spans="1:30" x14ac:dyDescent="0.25">
      <c r="A1453" s="1">
        <v>46155</v>
      </c>
      <c r="B1453" s="1">
        <v>46155</v>
      </c>
      <c r="C1453" s="81" t="s">
        <v>169</v>
      </c>
      <c r="D1453" s="38">
        <v>5</v>
      </c>
      <c r="E1453" s="81" t="s">
        <v>169</v>
      </c>
      <c r="F1453">
        <v>609007</v>
      </c>
      <c r="G1453" s="81" t="s">
        <v>210</v>
      </c>
      <c r="H1453" s="81" t="s">
        <v>211</v>
      </c>
      <c r="I1453" s="3">
        <v>1</v>
      </c>
      <c r="J1453" s="3"/>
      <c r="K1453" s="26">
        <v>1</v>
      </c>
      <c r="L1453" s="2">
        <v>8165</v>
      </c>
      <c r="M1453" s="2">
        <v>8165</v>
      </c>
      <c r="N1453" s="2">
        <v>8165</v>
      </c>
      <c r="O1453" s="2">
        <v>8164.9821000000002</v>
      </c>
      <c r="P1453" s="2">
        <v>-1.7899999999999999E-2</v>
      </c>
      <c r="Q1453" s="2">
        <v>-1.7899999999999999E-2</v>
      </c>
      <c r="R1453" s="4">
        <v>-2.1870225417615723E-6</v>
      </c>
      <c r="T1453">
        <v>315397</v>
      </c>
      <c r="U1453" s="2">
        <v>705122</v>
      </c>
      <c r="V1453">
        <v>6161</v>
      </c>
      <c r="W1453" s="2">
        <v>6579000000</v>
      </c>
      <c r="X1453" s="6">
        <v>8164.9821430000002</v>
      </c>
      <c r="Y1453" s="38">
        <v>10010</v>
      </c>
      <c r="Z1453" s="86">
        <f>+((DETALLE_GD_1[[#This Row],[VALOR X UN (GD)]]-DETALLE_GD_1[[#This Row],[VALOR PPTO]])/DETALLE_GD_1[[#This Row],[VALOR PPTO]])</f>
        <v>2.1922889457194073E-6</v>
      </c>
      <c r="AA1453" s="2">
        <f>+DETALLE_GD_1[[#This Row],[VALOR PPTO]]*DETALLE_GD_1[[#This Row],[CANTIDAD RECIBIDA]]</f>
        <v>8164.9821000000002</v>
      </c>
      <c r="AB1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3" s="3">
        <f>+DETALLE_GD_1[[#This Row],[CANTIDAD SOLICITADA]]-DETALLE_GD_1[[#This Row],[DEVOLUCIÓN]]</f>
        <v>1</v>
      </c>
      <c r="AD1453" s="38">
        <f>+_xlfn.XLOOKUP(DETALLE_GD_1[[#This Row],[CODIGO]],PRODUCTOS[CODIGO],PRODUCTOS[DESC CORTA],"",0)</f>
        <v>0</v>
      </c>
    </row>
    <row r="1454" spans="1:30" x14ac:dyDescent="0.25">
      <c r="A1454" s="1">
        <v>46155</v>
      </c>
      <c r="B1454" s="1">
        <v>46155</v>
      </c>
      <c r="C1454" s="81" t="s">
        <v>169</v>
      </c>
      <c r="D1454" s="38">
        <v>5</v>
      </c>
      <c r="E1454" s="81" t="s">
        <v>169</v>
      </c>
      <c r="F1454">
        <v>1610023</v>
      </c>
      <c r="G1454" s="81" t="s">
        <v>351</v>
      </c>
      <c r="H1454" s="81" t="s">
        <v>28</v>
      </c>
      <c r="I1454" s="3">
        <v>1</v>
      </c>
      <c r="J1454" s="3"/>
      <c r="K1454" s="26">
        <v>1</v>
      </c>
      <c r="L1454" s="2">
        <v>2278</v>
      </c>
      <c r="M1454" s="2">
        <v>2278</v>
      </c>
      <c r="N1454" s="2">
        <v>2278</v>
      </c>
      <c r="O1454" s="2">
        <v>2109.0585000000001</v>
      </c>
      <c r="P1454" s="2">
        <v>-168.94149999999999</v>
      </c>
      <c r="Q1454" s="2">
        <v>-168.94149999999999</v>
      </c>
      <c r="R1454" s="4">
        <v>-8.0102782656660737E-2</v>
      </c>
      <c r="T1454">
        <v>315397</v>
      </c>
      <c r="U1454" s="2"/>
      <c r="V1454">
        <v>6161</v>
      </c>
      <c r="W1454" s="2">
        <v>6579000000</v>
      </c>
      <c r="X1454" s="6">
        <v>2109.0585420000002</v>
      </c>
      <c r="Y1454" s="38">
        <v>10010</v>
      </c>
      <c r="Z1454" s="86">
        <f>+((DETALLE_GD_1[[#This Row],[VALOR X UN (GD)]]-DETALLE_GD_1[[#This Row],[VALOR PPTO]])/DETALLE_GD_1[[#This Row],[VALOR PPTO]])</f>
        <v>8.0102804165934655E-2</v>
      </c>
      <c r="AA1454" s="2">
        <f>+DETALLE_GD_1[[#This Row],[VALOR PPTO]]*DETALLE_GD_1[[#This Row],[CANTIDAD RECIBIDA]]</f>
        <v>2109.0585000000001</v>
      </c>
      <c r="AB14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4" s="3">
        <f>+DETALLE_GD_1[[#This Row],[CANTIDAD SOLICITADA]]-DETALLE_GD_1[[#This Row],[DEVOLUCIÓN]]</f>
        <v>1</v>
      </c>
      <c r="AD1454" s="38" t="str">
        <f>+_xlfn.XLOOKUP(DETALLE_GD_1[[#This Row],[CODIGO]],PRODUCTOS[CODIGO],PRODUCTOS[DESC CORTA],"",0)</f>
        <v>TRAPOS DE ASEO</v>
      </c>
    </row>
    <row r="1455" spans="1:30" x14ac:dyDescent="0.25">
      <c r="A1455" s="1">
        <v>46155</v>
      </c>
      <c r="B1455" s="1">
        <v>46155</v>
      </c>
      <c r="C1455" s="81" t="s">
        <v>169</v>
      </c>
      <c r="D1455" s="38">
        <v>5</v>
      </c>
      <c r="E1455" s="81" t="s">
        <v>169</v>
      </c>
      <c r="F1455">
        <v>2508987</v>
      </c>
      <c r="G1455" s="81" t="s">
        <v>305</v>
      </c>
      <c r="H1455" s="81" t="s">
        <v>31</v>
      </c>
      <c r="I1455" s="3">
        <v>1</v>
      </c>
      <c r="J1455" s="3"/>
      <c r="K1455" s="26">
        <v>1</v>
      </c>
      <c r="L1455" s="2">
        <v>142532</v>
      </c>
      <c r="M1455" s="2">
        <v>142532</v>
      </c>
      <c r="N1455" s="2">
        <v>142532</v>
      </c>
      <c r="O1455" s="2">
        <v>145847</v>
      </c>
      <c r="P1455" s="2">
        <v>3315</v>
      </c>
      <c r="Q1455" s="2">
        <v>3315</v>
      </c>
      <c r="R1455" s="4">
        <v>2.2729298511453784E-2</v>
      </c>
      <c r="T1455">
        <v>315397</v>
      </c>
      <c r="U1455" s="2"/>
      <c r="V1455">
        <v>6161</v>
      </c>
      <c r="W1455" s="2">
        <v>6579000000</v>
      </c>
      <c r="X1455" s="6">
        <v>145847</v>
      </c>
      <c r="Y1455" s="38">
        <v>10010</v>
      </c>
      <c r="Z1455" s="86">
        <f>+((DETALLE_GD_1[[#This Row],[VALOR X UN (GD)]]-DETALLE_GD_1[[#This Row],[VALOR PPTO]])/DETALLE_GD_1[[#This Row],[VALOR PPTO]])</f>
        <v>-2.2729298511453784E-2</v>
      </c>
      <c r="AA1455" s="2">
        <f>+DETALLE_GD_1[[#This Row],[VALOR PPTO]]*DETALLE_GD_1[[#This Row],[CANTIDAD RECIBIDA]]</f>
        <v>145847</v>
      </c>
      <c r="AB14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5" s="3">
        <f>+DETALLE_GD_1[[#This Row],[CANTIDAD SOLICITADA]]-DETALLE_GD_1[[#This Row],[DEVOLUCIÓN]]</f>
        <v>1</v>
      </c>
      <c r="AD1455" s="38" t="str">
        <f>+_xlfn.XLOOKUP(DETALLE_GD_1[[#This Row],[CODIGO]],PRODUCTOS[CODIGO],PRODUCTOS[DESC CORTA],"",0)</f>
        <v>KIT PREC</v>
      </c>
    </row>
    <row r="1456" spans="1:30" x14ac:dyDescent="0.25">
      <c r="A1456" s="1">
        <v>46155</v>
      </c>
      <c r="B1456" s="1">
        <v>46155</v>
      </c>
      <c r="C1456" s="81" t="s">
        <v>169</v>
      </c>
      <c r="D1456" s="38">
        <v>5</v>
      </c>
      <c r="E1456" s="81" t="s">
        <v>169</v>
      </c>
      <c r="F1456">
        <v>1803045</v>
      </c>
      <c r="G1456" s="81" t="s">
        <v>337</v>
      </c>
      <c r="H1456" s="81" t="s">
        <v>90</v>
      </c>
      <c r="I1456" s="3">
        <v>1</v>
      </c>
      <c r="J1456" s="3"/>
      <c r="K1456" s="26">
        <v>1</v>
      </c>
      <c r="L1456" s="2">
        <v>51882</v>
      </c>
      <c r="M1456" s="2">
        <v>51882</v>
      </c>
      <c r="N1456" s="2">
        <v>51882</v>
      </c>
      <c r="O1456" s="2">
        <v>51873</v>
      </c>
      <c r="P1456" s="2">
        <v>-9</v>
      </c>
      <c r="Q1456" s="2">
        <v>-9</v>
      </c>
      <c r="R1456" s="4">
        <v>-1.7350066508602311E-4</v>
      </c>
      <c r="T1456">
        <v>315397</v>
      </c>
      <c r="U1456" s="2"/>
      <c r="V1456">
        <v>6161</v>
      </c>
      <c r="W1456" s="2">
        <v>6579000000</v>
      </c>
      <c r="X1456" s="6">
        <v>51872.999999999993</v>
      </c>
      <c r="Y1456" s="38">
        <v>10010</v>
      </c>
      <c r="Z1456" s="86">
        <f>+((DETALLE_GD_1[[#This Row],[VALOR X UN (GD)]]-DETALLE_GD_1[[#This Row],[VALOR PPTO]])/DETALLE_GD_1[[#This Row],[VALOR PPTO]])</f>
        <v>1.7350066508588284E-4</v>
      </c>
      <c r="AA1456" s="2">
        <f>+DETALLE_GD_1[[#This Row],[VALOR PPTO]]*DETALLE_GD_1[[#This Row],[CANTIDAD RECIBIDA]]</f>
        <v>51873</v>
      </c>
      <c r="AB14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56" s="3">
        <f>+DETALLE_GD_1[[#This Row],[CANTIDAD SOLICITADA]]-DETALLE_GD_1[[#This Row],[DEVOLUCIÓN]]</f>
        <v>1</v>
      </c>
      <c r="AD1456" s="38" t="str">
        <f>+_xlfn.XLOOKUP(DETALLE_GD_1[[#This Row],[CODIGO]],PRODUCTOS[CODIGO],PRODUCTOS[DESC CORTA],"",0)</f>
        <v>PUERTA INTERIOR</v>
      </c>
    </row>
    <row r="1457" spans="1:30" x14ac:dyDescent="0.25">
      <c r="A1457" s="1">
        <v>46155</v>
      </c>
      <c r="B1457" s="1">
        <v>46155</v>
      </c>
      <c r="C1457" s="81" t="s">
        <v>169</v>
      </c>
      <c r="D1457" s="38">
        <v>5</v>
      </c>
      <c r="E1457" s="81" t="s">
        <v>169</v>
      </c>
      <c r="F1457">
        <v>1803044</v>
      </c>
      <c r="G1457" s="81" t="s">
        <v>336</v>
      </c>
      <c r="H1457" s="81" t="s">
        <v>90</v>
      </c>
      <c r="I1457" s="3">
        <v>3</v>
      </c>
      <c r="J1457" s="3"/>
      <c r="K1457" s="26">
        <v>3</v>
      </c>
      <c r="L1457" s="2">
        <v>51876</v>
      </c>
      <c r="M1457" s="2">
        <v>155628</v>
      </c>
      <c r="N1457" s="2">
        <v>155628</v>
      </c>
      <c r="O1457" s="2">
        <v>52920</v>
      </c>
      <c r="P1457" s="2">
        <v>1044</v>
      </c>
      <c r="Q1457" s="2">
        <v>3132</v>
      </c>
      <c r="R1457" s="4">
        <v>1.9727891156462583E-2</v>
      </c>
      <c r="T1457">
        <v>315397</v>
      </c>
      <c r="U1457" s="2"/>
      <c r="V1457">
        <v>6161</v>
      </c>
      <c r="W1457" s="2">
        <v>6579000000</v>
      </c>
      <c r="X1457" s="6">
        <v>158760</v>
      </c>
      <c r="Y1457" s="38">
        <v>10010</v>
      </c>
      <c r="Z1457" s="86">
        <f>+((DETALLE_GD_1[[#This Row],[VALOR X UN (GD)]]-DETALLE_GD_1[[#This Row],[VALOR PPTO]])/DETALLE_GD_1[[#This Row],[VALOR PPTO]])</f>
        <v>-1.9727891156462583E-2</v>
      </c>
      <c r="AA1457" s="2">
        <f>+DETALLE_GD_1[[#This Row],[VALOR PPTO]]*DETALLE_GD_1[[#This Row],[CANTIDAD RECIBIDA]]</f>
        <v>158760</v>
      </c>
      <c r="AB1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7" s="3">
        <f>+DETALLE_GD_1[[#This Row],[CANTIDAD SOLICITADA]]-DETALLE_GD_1[[#This Row],[DEVOLUCIÓN]]</f>
        <v>3</v>
      </c>
      <c r="AD1457" s="38" t="str">
        <f>+_xlfn.XLOOKUP(DETALLE_GD_1[[#This Row],[CODIGO]],PRODUCTOS[CODIGO],PRODUCTOS[DESC CORTA],"",0)</f>
        <v/>
      </c>
    </row>
    <row r="1458" spans="1:30" x14ac:dyDescent="0.25">
      <c r="A1458" s="1">
        <v>46155</v>
      </c>
      <c r="B1458" s="1">
        <v>46155</v>
      </c>
      <c r="C1458" s="81" t="s">
        <v>169</v>
      </c>
      <c r="D1458" s="38">
        <v>5</v>
      </c>
      <c r="E1458" s="81" t="s">
        <v>169</v>
      </c>
      <c r="F1458">
        <v>407423</v>
      </c>
      <c r="G1458" s="81" t="s">
        <v>106</v>
      </c>
      <c r="H1458" s="81" t="s">
        <v>31</v>
      </c>
      <c r="I1458" s="3">
        <v>9000</v>
      </c>
      <c r="J1458" s="3"/>
      <c r="K1458" s="26">
        <v>9000</v>
      </c>
      <c r="L1458" s="2">
        <v>3.4662000000000002</v>
      </c>
      <c r="M1458" s="2">
        <v>31196</v>
      </c>
      <c r="N1458" s="2">
        <v>31196</v>
      </c>
      <c r="O1458" s="2">
        <v>106.6405</v>
      </c>
      <c r="P1458" s="2">
        <v>103.1743</v>
      </c>
      <c r="Q1458" s="2">
        <v>928568.51789999998</v>
      </c>
      <c r="R1458" s="4">
        <v>0.96749619368118389</v>
      </c>
      <c r="T1458">
        <v>315397</v>
      </c>
      <c r="U1458" s="2"/>
      <c r="V1458">
        <v>6161</v>
      </c>
      <c r="W1458" s="2">
        <v>6579000000</v>
      </c>
      <c r="X1458" s="6">
        <v>959764.51785405388</v>
      </c>
      <c r="Y1458" s="38">
        <v>10010</v>
      </c>
      <c r="Z1458" s="86">
        <f>+((DETALLE_GD_1[[#This Row],[VALOR X UN (GD)]]-DETALLE_GD_1[[#This Row],[VALOR PPTO]])/DETALLE_GD_1[[#This Row],[VALOR PPTO]])</f>
        <v>-0.96749640146098337</v>
      </c>
      <c r="AA1458" s="2">
        <f>+DETALLE_GD_1[[#This Row],[VALOR PPTO]]*DETALLE_GD_1[[#This Row],[CANTIDAD RECIBIDA]]</f>
        <v>959764.5</v>
      </c>
      <c r="AB1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8" s="3">
        <f>+DETALLE_GD_1[[#This Row],[CANTIDAD SOLICITADA]]-DETALLE_GD_1[[#This Row],[DEVOLUCIÓN]]</f>
        <v>9000</v>
      </c>
      <c r="AD1458" s="38" t="str">
        <f>+_xlfn.XLOOKUP(DETALLE_GD_1[[#This Row],[CODIGO]],PRODUCTOS[CODIGO],PRODUCTOS[DESC CORTA],"",0)</f>
        <v>TORNILLO CRS 6X1 5/8</v>
      </c>
    </row>
    <row r="1459" spans="1:30" x14ac:dyDescent="0.25">
      <c r="A1459" s="1">
        <v>46155</v>
      </c>
      <c r="B1459" s="1">
        <v>46155</v>
      </c>
      <c r="C1459" s="81" t="s">
        <v>169</v>
      </c>
      <c r="D1459" s="38">
        <v>5</v>
      </c>
      <c r="E1459" s="81" t="s">
        <v>169</v>
      </c>
      <c r="F1459">
        <v>407185</v>
      </c>
      <c r="G1459" s="81" t="s">
        <v>43</v>
      </c>
      <c r="H1459" s="81" t="s">
        <v>31</v>
      </c>
      <c r="I1459" s="3">
        <v>4500</v>
      </c>
      <c r="J1459" s="3"/>
      <c r="K1459" s="26">
        <v>4500</v>
      </c>
      <c r="L1459" s="2">
        <v>6.2656000000000001</v>
      </c>
      <c r="M1459" s="2">
        <v>28195</v>
      </c>
      <c r="N1459" s="2">
        <v>28195</v>
      </c>
      <c r="O1459" s="2">
        <v>6.8783000000000003</v>
      </c>
      <c r="P1459" s="2">
        <v>0.61280000000000001</v>
      </c>
      <c r="Q1459" s="2">
        <v>2757.44</v>
      </c>
      <c r="R1459" s="4">
        <v>8.9086353127572598E-2</v>
      </c>
      <c r="T1459">
        <v>315397</v>
      </c>
      <c r="U1459" s="2"/>
      <c r="V1459">
        <v>6161</v>
      </c>
      <c r="W1459" s="2">
        <v>6579000000</v>
      </c>
      <c r="X1459" s="6">
        <v>30952.44</v>
      </c>
      <c r="Y1459" s="38">
        <v>10010</v>
      </c>
      <c r="Z1459" s="86">
        <f>+((DETALLE_GD_1[[#This Row],[VALOR X UN (GD)]]-DETALLE_GD_1[[#This Row],[VALOR PPTO]])/DETALLE_GD_1[[#This Row],[VALOR PPTO]])</f>
        <v>-8.9077242923396804E-2</v>
      </c>
      <c r="AA1459" s="2">
        <f>+DETALLE_GD_1[[#This Row],[VALOR PPTO]]*DETALLE_GD_1[[#This Row],[CANTIDAD RECIBIDA]]</f>
        <v>30952.350000000002</v>
      </c>
      <c r="AB1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9" s="3">
        <f>+DETALLE_GD_1[[#This Row],[CANTIDAD SOLICITADA]]-DETALLE_GD_1[[#This Row],[DEVOLUCIÓN]]</f>
        <v>4500</v>
      </c>
      <c r="AD1459" s="38">
        <f>+_xlfn.XLOOKUP(DETALLE_GD_1[[#This Row],[CODIGO]],PRODUCTOS[CODIGO],PRODUCTOS[DESC CORTA],"",0)</f>
        <v>0</v>
      </c>
    </row>
    <row r="1460" spans="1:30" x14ac:dyDescent="0.25">
      <c r="A1460" s="1">
        <v>46155</v>
      </c>
      <c r="B1460" s="1">
        <v>46155</v>
      </c>
      <c r="C1460" s="81" t="s">
        <v>169</v>
      </c>
      <c r="D1460" s="38">
        <v>5</v>
      </c>
      <c r="E1460" s="81" t="s">
        <v>169</v>
      </c>
      <c r="F1460">
        <v>617055</v>
      </c>
      <c r="G1460" s="81" t="s">
        <v>182</v>
      </c>
      <c r="H1460" s="81" t="s">
        <v>31</v>
      </c>
      <c r="I1460" s="3">
        <v>6</v>
      </c>
      <c r="J1460" s="3"/>
      <c r="K1460" s="26">
        <v>6</v>
      </c>
      <c r="L1460" s="2">
        <v>694.66669999999999</v>
      </c>
      <c r="M1460" s="2">
        <v>4168</v>
      </c>
      <c r="N1460" s="2">
        <v>4168</v>
      </c>
      <c r="O1460" s="2">
        <v>920.35379999999998</v>
      </c>
      <c r="P1460" s="2">
        <v>225.68709999999999</v>
      </c>
      <c r="Q1460" s="2">
        <v>1354.1226999999999</v>
      </c>
      <c r="R1460" s="4">
        <v>0.24521778363111152</v>
      </c>
      <c r="T1460">
        <v>315397</v>
      </c>
      <c r="U1460" s="2"/>
      <c r="V1460">
        <v>6161</v>
      </c>
      <c r="W1460" s="2">
        <v>6579000000</v>
      </c>
      <c r="X1460" s="6">
        <v>5522.1226860000006</v>
      </c>
      <c r="Y1460" s="38">
        <v>10010</v>
      </c>
      <c r="Z1460" s="86">
        <f>+((DETALLE_GD_1[[#This Row],[VALOR X UN (GD)]]-DETALLE_GD_1[[#This Row],[VALOR PPTO]])/DETALLE_GD_1[[#This Row],[VALOR PPTO]])</f>
        <v>-0.2452177629950569</v>
      </c>
      <c r="AA1460" s="2">
        <f>+DETALLE_GD_1[[#This Row],[VALOR PPTO]]*DETALLE_GD_1[[#This Row],[CANTIDAD RECIBIDA]]</f>
        <v>5522.1228000000001</v>
      </c>
      <c r="AB1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0" s="3">
        <f>+DETALLE_GD_1[[#This Row],[CANTIDAD SOLICITADA]]-DETALLE_GD_1[[#This Row],[DEVOLUCIÓN]]</f>
        <v>6</v>
      </c>
      <c r="AD1460" s="38">
        <f>+_xlfn.XLOOKUP(DETALLE_GD_1[[#This Row],[CODIGO]],PRODUCTOS[CODIGO],PRODUCTOS[DESC CORTA],"",0)</f>
        <v>0</v>
      </c>
    </row>
    <row r="1461" spans="1:30" x14ac:dyDescent="0.25">
      <c r="A1461" s="1">
        <v>46155</v>
      </c>
      <c r="B1461" s="1">
        <v>46155</v>
      </c>
      <c r="C1461" s="81" t="s">
        <v>169</v>
      </c>
      <c r="D1461" s="38">
        <v>5</v>
      </c>
      <c r="E1461" s="81" t="s">
        <v>169</v>
      </c>
      <c r="F1461">
        <v>1402016</v>
      </c>
      <c r="G1461" s="81" t="s">
        <v>798</v>
      </c>
      <c r="H1461" s="81" t="s">
        <v>31</v>
      </c>
      <c r="I1461" s="3">
        <v>3</v>
      </c>
      <c r="J1461" s="3"/>
      <c r="K1461" s="26">
        <v>3</v>
      </c>
      <c r="L1461" s="2">
        <v>754.33330000000001</v>
      </c>
      <c r="M1461" s="2">
        <v>2263</v>
      </c>
      <c r="N1461" s="2">
        <v>2263</v>
      </c>
      <c r="O1461" s="2"/>
      <c r="P1461" s="2"/>
      <c r="Q1461" s="2">
        <v>-2263</v>
      </c>
      <c r="R1461" s="4"/>
      <c r="T1461">
        <v>315397</v>
      </c>
      <c r="U1461" s="2"/>
      <c r="V1461">
        <v>6161</v>
      </c>
      <c r="W1461" s="2">
        <v>6579000000</v>
      </c>
      <c r="X1461" s="6" t="s">
        <v>355</v>
      </c>
      <c r="Y1461" s="38">
        <v>10010</v>
      </c>
      <c r="Z1461" s="86" t="e">
        <f>+((DETALLE_GD_1[[#This Row],[VALOR X UN (GD)]]-DETALLE_GD_1[[#This Row],[VALOR PPTO]])/DETALLE_GD_1[[#This Row],[VALOR PPTO]])</f>
        <v>#DIV/0!</v>
      </c>
      <c r="AA1461" s="2">
        <f>+DETALLE_GD_1[[#This Row],[VALOR PPTO]]*DETALLE_GD_1[[#This Row],[CANTIDAD RECIBIDA]]</f>
        <v>0</v>
      </c>
      <c r="AB1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1" s="3">
        <f>+DETALLE_GD_1[[#This Row],[CANTIDAD SOLICITADA]]-DETALLE_GD_1[[#This Row],[DEVOLUCIÓN]]</f>
        <v>3</v>
      </c>
      <c r="AD1461" s="38" t="str">
        <f>+_xlfn.XLOOKUP(DETALLE_GD_1[[#This Row],[CODIGO]],PRODUCTOS[CODIGO],PRODUCTOS[DESC CORTA],"",0)</f>
        <v/>
      </c>
    </row>
    <row r="1462" spans="1:30" x14ac:dyDescent="0.25">
      <c r="A1462" s="1">
        <v>46155</v>
      </c>
      <c r="B1462" s="1">
        <v>46155</v>
      </c>
      <c r="C1462" s="81" t="s">
        <v>169</v>
      </c>
      <c r="D1462" s="38">
        <v>5</v>
      </c>
      <c r="E1462" s="81" t="s">
        <v>169</v>
      </c>
      <c r="F1462">
        <v>1101298</v>
      </c>
      <c r="G1462" s="81" t="s">
        <v>799</v>
      </c>
      <c r="H1462" s="81" t="s">
        <v>31</v>
      </c>
      <c r="I1462" s="3">
        <v>1</v>
      </c>
      <c r="J1462" s="3"/>
      <c r="K1462" s="26">
        <v>1</v>
      </c>
      <c r="L1462" s="2">
        <v>73070</v>
      </c>
      <c r="M1462" s="2">
        <v>73070</v>
      </c>
      <c r="N1462" s="2">
        <v>73070</v>
      </c>
      <c r="O1462" s="2"/>
      <c r="P1462" s="2"/>
      <c r="Q1462" s="2">
        <v>-73070</v>
      </c>
      <c r="R1462" s="4"/>
      <c r="T1462">
        <v>315397</v>
      </c>
      <c r="U1462" s="2"/>
      <c r="V1462">
        <v>6161</v>
      </c>
      <c r="W1462" s="2">
        <v>6579000000</v>
      </c>
      <c r="X1462" s="6" t="s">
        <v>355</v>
      </c>
      <c r="Y1462" s="38">
        <v>10010</v>
      </c>
      <c r="Z1462" s="86" t="e">
        <f>+((DETALLE_GD_1[[#This Row],[VALOR X UN (GD)]]-DETALLE_GD_1[[#This Row],[VALOR PPTO]])/DETALLE_GD_1[[#This Row],[VALOR PPTO]])</f>
        <v>#DIV/0!</v>
      </c>
      <c r="AA1462" s="2">
        <f>+DETALLE_GD_1[[#This Row],[VALOR PPTO]]*DETALLE_GD_1[[#This Row],[CANTIDAD RECIBIDA]]</f>
        <v>0</v>
      </c>
      <c r="AB14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2" s="3">
        <f>+DETALLE_GD_1[[#This Row],[CANTIDAD SOLICITADA]]-DETALLE_GD_1[[#This Row],[DEVOLUCIÓN]]</f>
        <v>1</v>
      </c>
      <c r="AD1462" s="38" t="str">
        <f>+_xlfn.XLOOKUP(DETALLE_GD_1[[#This Row],[CODIGO]],PRODUCTOS[CODIGO],PRODUCTOS[DESC CORTA],"",0)</f>
        <v/>
      </c>
    </row>
    <row r="1463" spans="1:30" x14ac:dyDescent="0.25">
      <c r="A1463" s="1">
        <v>46155</v>
      </c>
      <c r="B1463" s="1">
        <v>46155</v>
      </c>
      <c r="C1463" s="81" t="s">
        <v>169</v>
      </c>
      <c r="D1463" s="38">
        <v>5</v>
      </c>
      <c r="E1463" s="81" t="s">
        <v>169</v>
      </c>
      <c r="F1463">
        <v>2304053</v>
      </c>
      <c r="G1463" s="81" t="s">
        <v>213</v>
      </c>
      <c r="H1463" s="81" t="s">
        <v>31</v>
      </c>
      <c r="I1463" s="3">
        <v>12</v>
      </c>
      <c r="J1463" s="3"/>
      <c r="K1463" s="26">
        <v>12</v>
      </c>
      <c r="L1463" s="2">
        <v>1021.9167</v>
      </c>
      <c r="M1463" s="2">
        <v>12263</v>
      </c>
      <c r="N1463" s="2">
        <v>12263</v>
      </c>
      <c r="O1463" s="2">
        <v>862</v>
      </c>
      <c r="P1463" s="2">
        <v>-159.91669999999999</v>
      </c>
      <c r="Q1463" s="2">
        <v>-1919</v>
      </c>
      <c r="R1463" s="4">
        <v>-0.18551817478731611</v>
      </c>
      <c r="T1463">
        <v>315397</v>
      </c>
      <c r="U1463" s="2"/>
      <c r="V1463">
        <v>6161</v>
      </c>
      <c r="W1463" s="2">
        <v>6579000000</v>
      </c>
      <c r="X1463" s="6">
        <v>10344.000000000002</v>
      </c>
      <c r="Y1463" s="38">
        <v>10010</v>
      </c>
      <c r="Z1463" s="86">
        <f>+((DETALLE_GD_1[[#This Row],[VALOR X UN (GD)]]-DETALLE_GD_1[[#This Row],[VALOR PPTO]])/DETALLE_GD_1[[#This Row],[VALOR PPTO]])</f>
        <v>0.18551821345707656</v>
      </c>
      <c r="AA1463" s="2">
        <f>+DETALLE_GD_1[[#This Row],[VALOR PPTO]]*DETALLE_GD_1[[#This Row],[CANTIDAD RECIBIDA]]</f>
        <v>10344</v>
      </c>
      <c r="AB1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3" s="3">
        <f>+DETALLE_GD_1[[#This Row],[CANTIDAD SOLICITADA]]-DETALLE_GD_1[[#This Row],[DEVOLUCIÓN]]</f>
        <v>12</v>
      </c>
      <c r="AD1463" s="38">
        <f>+_xlfn.XLOOKUP(DETALLE_GD_1[[#This Row],[CODIGO]],PRODUCTOS[CODIGO],PRODUCTOS[DESC CORTA],"",0)</f>
        <v>0</v>
      </c>
    </row>
    <row r="1464" spans="1:30" x14ac:dyDescent="0.25">
      <c r="A1464" s="1">
        <v>46155</v>
      </c>
      <c r="B1464" s="1">
        <v>46155</v>
      </c>
      <c r="C1464" s="81" t="s">
        <v>169</v>
      </c>
      <c r="D1464" s="38">
        <v>5</v>
      </c>
      <c r="E1464" s="81" t="s">
        <v>169</v>
      </c>
      <c r="F1464">
        <v>307096</v>
      </c>
      <c r="G1464" s="81" t="s">
        <v>249</v>
      </c>
      <c r="H1464" s="81" t="s">
        <v>137</v>
      </c>
      <c r="I1464" s="3">
        <v>100</v>
      </c>
      <c r="J1464" s="3"/>
      <c r="K1464" s="26">
        <v>100</v>
      </c>
      <c r="L1464" s="2">
        <v>1398.52</v>
      </c>
      <c r="M1464" s="2">
        <v>139852</v>
      </c>
      <c r="N1464" s="2">
        <v>139852</v>
      </c>
      <c r="O1464" s="2">
        <v>2095.3501000000001</v>
      </c>
      <c r="P1464" s="2">
        <v>696.83010000000002</v>
      </c>
      <c r="Q1464" s="2">
        <v>69683.012900000002</v>
      </c>
      <c r="R1464" s="4">
        <v>0.3325602338987419</v>
      </c>
      <c r="T1464">
        <v>315397</v>
      </c>
      <c r="U1464" s="2"/>
      <c r="V1464">
        <v>6161</v>
      </c>
      <c r="W1464" s="2">
        <v>6579000000</v>
      </c>
      <c r="X1464" s="6">
        <v>209535.01289999983</v>
      </c>
      <c r="Y1464" s="38">
        <v>10010</v>
      </c>
      <c r="Z1464" s="86">
        <f>+((DETALLE_GD_1[[#This Row],[VALOR X UN (GD)]]-DETALLE_GD_1[[#This Row],[VALOR PPTO]])/DETALLE_GD_1[[#This Row],[VALOR PPTO]])</f>
        <v>-0.33256022466126312</v>
      </c>
      <c r="AA1464" s="2">
        <f>+DETALLE_GD_1[[#This Row],[VALOR PPTO]]*DETALLE_GD_1[[#This Row],[CANTIDAD RECIBIDA]]</f>
        <v>209535.01</v>
      </c>
      <c r="AB1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64" s="3">
        <f>+DETALLE_GD_1[[#This Row],[CANTIDAD SOLICITADA]]-DETALLE_GD_1[[#This Row],[DEVOLUCIÓN]]</f>
        <v>100</v>
      </c>
      <c r="AD1464" s="38" t="str">
        <f>+_xlfn.XLOOKUP(DETALLE_GD_1[[#This Row],[CODIGO]],PRODUCTOS[CODIGO],PRODUCTOS[DESC CORTA],"",0)</f>
        <v>CUBREJUNTA</v>
      </c>
    </row>
    <row r="1465" spans="1:30" x14ac:dyDescent="0.25">
      <c r="A1465" s="1">
        <v>46155</v>
      </c>
      <c r="B1465" s="1">
        <v>46155</v>
      </c>
      <c r="C1465" s="81" t="s">
        <v>169</v>
      </c>
      <c r="D1465" s="38">
        <v>5</v>
      </c>
      <c r="E1465" s="81" t="s">
        <v>169</v>
      </c>
      <c r="F1465">
        <v>1405040</v>
      </c>
      <c r="G1465" s="81" t="s">
        <v>451</v>
      </c>
      <c r="H1465" s="81" t="s">
        <v>31</v>
      </c>
      <c r="I1465" s="3">
        <v>1</v>
      </c>
      <c r="J1465" s="3"/>
      <c r="K1465" s="26">
        <v>1</v>
      </c>
      <c r="L1465" s="2">
        <v>7574</v>
      </c>
      <c r="M1465" s="2">
        <v>7574</v>
      </c>
      <c r="N1465" s="2">
        <v>7574</v>
      </c>
      <c r="O1465" s="2">
        <v>7568</v>
      </c>
      <c r="P1465" s="2">
        <v>-6</v>
      </c>
      <c r="Q1465" s="2">
        <v>-6</v>
      </c>
      <c r="R1465" s="4">
        <v>-7.9281183932346721E-4</v>
      </c>
      <c r="T1465">
        <v>315397</v>
      </c>
      <c r="U1465" s="2"/>
      <c r="V1465">
        <v>6161</v>
      </c>
      <c r="W1465" s="2">
        <v>6579000000</v>
      </c>
      <c r="X1465" s="6">
        <v>7568</v>
      </c>
      <c r="Y1465" s="38">
        <v>10010</v>
      </c>
      <c r="Z1465" s="86">
        <f>+((DETALLE_GD_1[[#This Row],[VALOR X UN (GD)]]-DETALLE_GD_1[[#This Row],[VALOR PPTO]])/DETALLE_GD_1[[#This Row],[VALOR PPTO]])</f>
        <v>7.9281183932346721E-4</v>
      </c>
      <c r="AA1465" s="2">
        <f>+DETALLE_GD_1[[#This Row],[VALOR PPTO]]*DETALLE_GD_1[[#This Row],[CANTIDAD RECIBIDA]]</f>
        <v>7568</v>
      </c>
      <c r="AB14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5" s="3">
        <f>+DETALLE_GD_1[[#This Row],[CANTIDAD SOLICITADA]]-DETALLE_GD_1[[#This Row],[DEVOLUCIÓN]]</f>
        <v>1</v>
      </c>
      <c r="AD1465" s="38" t="str">
        <f>+_xlfn.XLOOKUP(DETALLE_GD_1[[#This Row],[CODIGO]],PRODUCTOS[CODIGO],PRODUCTOS[DESC CORTA],"",0)</f>
        <v>CEERRADURA BAÑO 815 TUBULAR</v>
      </c>
    </row>
    <row r="1466" spans="1:30" x14ac:dyDescent="0.25">
      <c r="A1466" s="1">
        <v>46155</v>
      </c>
      <c r="B1466" s="1">
        <v>46155</v>
      </c>
      <c r="C1466" s="81" t="s">
        <v>169</v>
      </c>
      <c r="D1466" s="38">
        <v>5</v>
      </c>
      <c r="E1466" s="81" t="s">
        <v>169</v>
      </c>
      <c r="F1466">
        <v>704079</v>
      </c>
      <c r="G1466" s="81" t="s">
        <v>209</v>
      </c>
      <c r="H1466" s="81" t="s">
        <v>47</v>
      </c>
      <c r="I1466" s="3">
        <v>10</v>
      </c>
      <c r="J1466" s="3"/>
      <c r="K1466" s="26">
        <v>10</v>
      </c>
      <c r="L1466" s="2">
        <v>722.3</v>
      </c>
      <c r="M1466" s="2">
        <v>7223</v>
      </c>
      <c r="N1466" s="2">
        <v>7223</v>
      </c>
      <c r="O1466" s="2">
        <v>755.70489999999995</v>
      </c>
      <c r="P1466" s="2">
        <v>33.404899999999998</v>
      </c>
      <c r="Q1466" s="2">
        <v>334.04880000000003</v>
      </c>
      <c r="R1466" s="4">
        <v>4.4203607513547918E-2</v>
      </c>
      <c r="T1466">
        <v>315397</v>
      </c>
      <c r="U1466" s="2"/>
      <c r="V1466">
        <v>6161</v>
      </c>
      <c r="W1466" s="2">
        <v>6579000000</v>
      </c>
      <c r="X1466" s="6">
        <v>7557.04882</v>
      </c>
      <c r="Y1466" s="38">
        <v>10010</v>
      </c>
      <c r="Z1466" s="86">
        <f>+((DETALLE_GD_1[[#This Row],[VALOR X UN (GD)]]-DETALLE_GD_1[[#This Row],[VALOR PPTO]])/DETALLE_GD_1[[#This Row],[VALOR PPTO]])</f>
        <v>-4.4203630279491375E-2</v>
      </c>
      <c r="AA1466" s="2">
        <f>+DETALLE_GD_1[[#This Row],[VALOR PPTO]]*DETALLE_GD_1[[#This Row],[CANTIDAD RECIBIDA]]</f>
        <v>7557.0489999999991</v>
      </c>
      <c r="AB1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6" s="3">
        <f>+DETALLE_GD_1[[#This Row],[CANTIDAD SOLICITADA]]-DETALLE_GD_1[[#This Row],[DEVOLUCIÓN]]</f>
        <v>10</v>
      </c>
      <c r="AD1466" s="38">
        <f>+_xlfn.XLOOKUP(DETALLE_GD_1[[#This Row],[CODIGO]],PRODUCTOS[CODIGO],PRODUCTOS[DESC CORTA],"",0)</f>
        <v>0</v>
      </c>
    </row>
    <row r="1467" spans="1:30" x14ac:dyDescent="0.25">
      <c r="A1467" s="1">
        <v>46155</v>
      </c>
      <c r="B1467" s="1">
        <v>46155</v>
      </c>
      <c r="C1467" s="81" t="s">
        <v>169</v>
      </c>
      <c r="D1467" s="38">
        <v>5</v>
      </c>
      <c r="E1467" s="81" t="s">
        <v>169</v>
      </c>
      <c r="F1467">
        <v>617057</v>
      </c>
      <c r="G1467" s="81" t="s">
        <v>134</v>
      </c>
      <c r="H1467" s="81" t="s">
        <v>31</v>
      </c>
      <c r="I1467" s="3">
        <v>6</v>
      </c>
      <c r="J1467" s="3"/>
      <c r="K1467" s="26">
        <v>6</v>
      </c>
      <c r="L1467" s="2">
        <v>1698.3333</v>
      </c>
      <c r="M1467" s="2">
        <v>10190</v>
      </c>
      <c r="N1467" s="2">
        <v>10190</v>
      </c>
      <c r="O1467" s="2">
        <v>2042.1197</v>
      </c>
      <c r="P1467" s="2">
        <v>343.78640000000001</v>
      </c>
      <c r="Q1467" s="2">
        <v>2062.7181999999998</v>
      </c>
      <c r="R1467" s="4">
        <v>0.16834780628019985</v>
      </c>
      <c r="T1467">
        <v>315397</v>
      </c>
      <c r="U1467" s="2"/>
      <c r="V1467">
        <v>6161</v>
      </c>
      <c r="W1467" s="2">
        <v>6579000000</v>
      </c>
      <c r="X1467" s="6">
        <v>12252.718236000001</v>
      </c>
      <c r="Y1467" s="38">
        <v>10010</v>
      </c>
      <c r="Z1467" s="86">
        <f>+((DETALLE_GD_1[[#This Row],[VALOR X UN (GD)]]-DETALLE_GD_1[[#This Row],[VALOR PPTO]])/DETALLE_GD_1[[#This Row],[VALOR PPTO]])</f>
        <v>-0.16834782015961158</v>
      </c>
      <c r="AA1467" s="2">
        <f>+DETALLE_GD_1[[#This Row],[VALOR PPTO]]*DETALLE_GD_1[[#This Row],[CANTIDAD RECIBIDA]]</f>
        <v>12252.718199999999</v>
      </c>
      <c r="AB14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7" s="3">
        <f>+DETALLE_GD_1[[#This Row],[CANTIDAD SOLICITADA]]-DETALLE_GD_1[[#This Row],[DEVOLUCIÓN]]</f>
        <v>6</v>
      </c>
      <c r="AD1467" s="38" t="str">
        <f>+_xlfn.XLOOKUP(DETALLE_GD_1[[#This Row],[CODIGO]],PRODUCTOS[CODIGO],PRODUCTOS[DESC CORTA],"",0)</f>
        <v>BROCHA 5/8 X4</v>
      </c>
    </row>
    <row r="1468" spans="1:30" x14ac:dyDescent="0.25">
      <c r="A1468" s="1">
        <v>46155</v>
      </c>
      <c r="B1468" s="1">
        <v>46155</v>
      </c>
      <c r="C1468" s="81" t="s">
        <v>169</v>
      </c>
      <c r="D1468" s="38">
        <v>5</v>
      </c>
      <c r="E1468" s="81" t="s">
        <v>169</v>
      </c>
      <c r="F1468">
        <v>617016</v>
      </c>
      <c r="G1468" s="81" t="s">
        <v>133</v>
      </c>
      <c r="H1468" s="81" t="s">
        <v>31</v>
      </c>
      <c r="I1468" s="3">
        <v>10</v>
      </c>
      <c r="J1468" s="3"/>
      <c r="K1468" s="26">
        <v>10</v>
      </c>
      <c r="L1468" s="2">
        <v>2864.3</v>
      </c>
      <c r="M1468" s="2">
        <v>28643</v>
      </c>
      <c r="N1468" s="2">
        <v>28643</v>
      </c>
      <c r="O1468" s="2">
        <v>2857.5133000000001</v>
      </c>
      <c r="P1468" s="2">
        <v>-6.7866999999999997</v>
      </c>
      <c r="Q1468" s="2">
        <v>-67.8673</v>
      </c>
      <c r="R1468" s="4">
        <v>-2.3750461849998991E-3</v>
      </c>
      <c r="T1468">
        <v>315397</v>
      </c>
      <c r="U1468" s="2"/>
      <c r="V1468">
        <v>6161</v>
      </c>
      <c r="W1468" s="2">
        <v>6579000000</v>
      </c>
      <c r="X1468" s="6">
        <v>28575.132740000001</v>
      </c>
      <c r="Y1468" s="38">
        <v>10010</v>
      </c>
      <c r="Z1468" s="86">
        <f>+((DETALLE_GD_1[[#This Row],[VALOR X UN (GD)]]-DETALLE_GD_1[[#This Row],[VALOR PPTO]])/DETALLE_GD_1[[#This Row],[VALOR PPTO]])</f>
        <v>2.3750370645694318E-3</v>
      </c>
      <c r="AA1468" s="2">
        <f>+DETALLE_GD_1[[#This Row],[VALOR PPTO]]*DETALLE_GD_1[[#This Row],[CANTIDAD RECIBIDA]]</f>
        <v>28575.133000000002</v>
      </c>
      <c r="AB1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8" s="3">
        <f>+DETALLE_GD_1[[#This Row],[CANTIDAD SOLICITADA]]-DETALLE_GD_1[[#This Row],[DEVOLUCIÓN]]</f>
        <v>10</v>
      </c>
      <c r="AD1468" s="38" t="str">
        <f>+_xlfn.XLOOKUP(DETALLE_GD_1[[#This Row],[CODIGO]],PRODUCTOS[CODIGO],PRODUCTOS[DESC CORTA],"",0)</f>
        <v>RODILLO CHIPORRO</v>
      </c>
    </row>
    <row r="1469" spans="1:30" x14ac:dyDescent="0.25">
      <c r="A1469" s="1">
        <v>46156</v>
      </c>
      <c r="B1469" s="1">
        <v>46156</v>
      </c>
      <c r="C1469" s="81" t="s">
        <v>169</v>
      </c>
      <c r="D1469" s="38">
        <v>5</v>
      </c>
      <c r="E1469" s="81" t="s">
        <v>169</v>
      </c>
      <c r="F1469">
        <v>407423</v>
      </c>
      <c r="G1469" s="81" t="s">
        <v>106</v>
      </c>
      <c r="H1469" s="81" t="s">
        <v>31</v>
      </c>
      <c r="I1469" s="3">
        <v>3000</v>
      </c>
      <c r="J1469" s="3"/>
      <c r="K1469" s="26">
        <v>3000</v>
      </c>
      <c r="L1469" s="2">
        <v>3.4662999999999999</v>
      </c>
      <c r="M1469" s="2">
        <v>10399</v>
      </c>
      <c r="N1469" s="2">
        <v>10399</v>
      </c>
      <c r="O1469" s="2">
        <v>106.6405</v>
      </c>
      <c r="P1469" s="2">
        <v>103.1742</v>
      </c>
      <c r="Q1469" s="2">
        <v>309522.50599999999</v>
      </c>
      <c r="R1469" s="4">
        <v>0.96749515175894019</v>
      </c>
      <c r="T1469">
        <v>315534</v>
      </c>
      <c r="U1469" s="2">
        <v>11296181</v>
      </c>
      <c r="V1469">
        <v>6161</v>
      </c>
      <c r="W1469" s="2">
        <v>6579000000</v>
      </c>
      <c r="X1469" s="6">
        <v>319921.50595135131</v>
      </c>
      <c r="Y1469" s="38">
        <v>10010</v>
      </c>
      <c r="Z1469" s="86">
        <f>+((DETALLE_GD_1[[#This Row],[VALOR X UN (GD)]]-DETALLE_GD_1[[#This Row],[VALOR PPTO]])/DETALLE_GD_1[[#This Row],[VALOR PPTO]])</f>
        <v>-0.96749546373094641</v>
      </c>
      <c r="AA1469" s="2">
        <f>+DETALLE_GD_1[[#This Row],[VALOR PPTO]]*DETALLE_GD_1[[#This Row],[CANTIDAD RECIBIDA]]</f>
        <v>319921.5</v>
      </c>
      <c r="AB14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9" s="3">
        <f>+DETALLE_GD_1[[#This Row],[CANTIDAD SOLICITADA]]-DETALLE_GD_1[[#This Row],[DEVOLUCIÓN]]</f>
        <v>3000</v>
      </c>
      <c r="AD1469" s="38" t="str">
        <f>+_xlfn.XLOOKUP(DETALLE_GD_1[[#This Row],[CODIGO]],PRODUCTOS[CODIGO],PRODUCTOS[DESC CORTA],"",0)</f>
        <v>TORNILLO CRS 6X1 5/8</v>
      </c>
    </row>
    <row r="1470" spans="1:30" x14ac:dyDescent="0.25">
      <c r="A1470" s="1">
        <v>46156</v>
      </c>
      <c r="B1470" s="1">
        <v>46156</v>
      </c>
      <c r="C1470" s="81" t="s">
        <v>169</v>
      </c>
      <c r="D1470" s="38">
        <v>5</v>
      </c>
      <c r="E1470" s="81" t="s">
        <v>169</v>
      </c>
      <c r="F1470">
        <v>1901086</v>
      </c>
      <c r="G1470" s="81" t="s">
        <v>279</v>
      </c>
      <c r="H1470" s="81" t="s">
        <v>26</v>
      </c>
      <c r="I1470" s="3">
        <v>81</v>
      </c>
      <c r="J1470" s="3"/>
      <c r="K1470" s="26">
        <v>81</v>
      </c>
      <c r="L1470" s="2">
        <v>3596.8148000000001</v>
      </c>
      <c r="M1470" s="2">
        <v>291342</v>
      </c>
      <c r="N1470" s="2">
        <v>291342</v>
      </c>
      <c r="O1470" s="2">
        <v>3711.587</v>
      </c>
      <c r="P1470" s="2">
        <v>114.7722</v>
      </c>
      <c r="Q1470" s="2">
        <v>9296.5503000000008</v>
      </c>
      <c r="R1470" s="4">
        <v>3.0922682108045826E-2</v>
      </c>
      <c r="T1470">
        <v>315534</v>
      </c>
      <c r="U1470" s="2"/>
      <c r="V1470">
        <v>6161</v>
      </c>
      <c r="W1470" s="2">
        <v>6579000000</v>
      </c>
      <c r="X1470" s="6">
        <v>300638.55032100005</v>
      </c>
      <c r="Y1470" s="38">
        <v>10010</v>
      </c>
      <c r="Z1470" s="86">
        <f>+((DETALLE_GD_1[[#This Row],[VALOR X UN (GD)]]-DETALLE_GD_1[[#This Row],[VALOR PPTO]])/DETALLE_GD_1[[#This Row],[VALOR PPTO]])</f>
        <v>-3.0922675394649213E-2</v>
      </c>
      <c r="AA1470" s="2">
        <f>+DETALLE_GD_1[[#This Row],[VALOR PPTO]]*DETALLE_GD_1[[#This Row],[CANTIDAD RECIBIDA]]</f>
        <v>300638.54700000002</v>
      </c>
      <c r="AB14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70" s="3">
        <f>+DETALLE_GD_1[[#This Row],[CANTIDAD SOLICITADA]]-DETALLE_GD_1[[#This Row],[DEVOLUCIÓN]]</f>
        <v>81</v>
      </c>
      <c r="AD1470" s="38" t="str">
        <f>+_xlfn.XLOOKUP(DETALLE_GD_1[[#This Row],[CODIGO]],PRODUCTOS[CODIGO],PRODUCTOS[DESC CORTA],"",0)</f>
        <v>AISLAN GLASS 140MM</v>
      </c>
    </row>
    <row r="1471" spans="1:30" x14ac:dyDescent="0.25">
      <c r="A1471" s="1">
        <v>46156</v>
      </c>
      <c r="B1471" s="1">
        <v>46156</v>
      </c>
      <c r="C1471" s="81" t="s">
        <v>169</v>
      </c>
      <c r="D1471" s="38">
        <v>5</v>
      </c>
      <c r="E1471" s="81" t="s">
        <v>169</v>
      </c>
      <c r="F1471">
        <v>1901466</v>
      </c>
      <c r="G1471" s="81" t="s">
        <v>398</v>
      </c>
      <c r="H1471" s="81" t="s">
        <v>26</v>
      </c>
      <c r="I1471" s="3">
        <v>202</v>
      </c>
      <c r="J1471" s="3"/>
      <c r="K1471" s="26">
        <v>202</v>
      </c>
      <c r="L1471" s="2">
        <v>1974.8761999999999</v>
      </c>
      <c r="M1471" s="2">
        <v>398925</v>
      </c>
      <c r="N1471" s="2">
        <v>398925</v>
      </c>
      <c r="O1471" s="2">
        <v>2112.7957999999999</v>
      </c>
      <c r="P1471" s="2">
        <v>137.9195</v>
      </c>
      <c r="Q1471" s="2">
        <v>27859.7474</v>
      </c>
      <c r="R1471" s="4">
        <v>6.5278217017981699E-2</v>
      </c>
      <c r="T1471">
        <v>315534</v>
      </c>
      <c r="U1471" s="2"/>
      <c r="V1471">
        <v>6161</v>
      </c>
      <c r="W1471" s="2">
        <v>6579000000</v>
      </c>
      <c r="X1471" s="6">
        <v>426784.74735800002</v>
      </c>
      <c r="Y1471" s="38">
        <v>10010</v>
      </c>
      <c r="Z1471" s="86">
        <f>+((DETALLE_GD_1[[#This Row],[VALOR X UN (GD)]]-DETALLE_GD_1[[#This Row],[VALOR PPTO]])/DETALLE_GD_1[[#This Row],[VALOR PPTO]])</f>
        <v>-6.5278244116161135E-2</v>
      </c>
      <c r="AA1471" s="2">
        <f>+DETALLE_GD_1[[#This Row],[VALOR PPTO]]*DETALLE_GD_1[[#This Row],[CANTIDAD RECIBIDA]]</f>
        <v>426784.75159999996</v>
      </c>
      <c r="AB14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1" s="3">
        <f>+DETALLE_GD_1[[#This Row],[CANTIDAD SOLICITADA]]-DETALLE_GD_1[[#This Row],[DEVOLUCIÓN]]</f>
        <v>202</v>
      </c>
      <c r="AD1471" s="38" t="str">
        <f>+_xlfn.XLOOKUP(DETALLE_GD_1[[#This Row],[CODIGO]],PRODUCTOS[CODIGO],PRODUCTOS[DESC CORTA],"",0)</f>
        <v>AISLAN DENSIDAD 14 KG/M3 (13.5 M2 X BOLSA) SKU 4000147</v>
      </c>
    </row>
    <row r="1472" spans="1:30" x14ac:dyDescent="0.25">
      <c r="A1472" s="1">
        <v>46156</v>
      </c>
      <c r="B1472" s="1">
        <v>46156</v>
      </c>
      <c r="C1472" s="81" t="s">
        <v>169</v>
      </c>
      <c r="D1472" s="38">
        <v>5</v>
      </c>
      <c r="E1472" s="81" t="s">
        <v>169</v>
      </c>
      <c r="F1472">
        <v>1901038</v>
      </c>
      <c r="G1472" s="81" t="s">
        <v>39</v>
      </c>
      <c r="H1472" s="81" t="s">
        <v>26</v>
      </c>
      <c r="I1472" s="3">
        <v>108</v>
      </c>
      <c r="J1472" s="3"/>
      <c r="K1472" s="26">
        <v>108</v>
      </c>
      <c r="L1472" s="2">
        <v>4652.4074000000001</v>
      </c>
      <c r="M1472" s="2">
        <v>502460</v>
      </c>
      <c r="N1472" s="2">
        <v>502460</v>
      </c>
      <c r="O1472" s="2">
        <v>4197.4179000000004</v>
      </c>
      <c r="P1472" s="2">
        <v>-454.98950000000002</v>
      </c>
      <c r="Q1472" s="2">
        <v>-49138.869500000001</v>
      </c>
      <c r="R1472" s="4">
        <v>-0.10839748291856852</v>
      </c>
      <c r="T1472">
        <v>315534</v>
      </c>
      <c r="U1472" s="2"/>
      <c r="V1472">
        <v>6161</v>
      </c>
      <c r="W1472" s="2">
        <v>6579000000</v>
      </c>
      <c r="X1472" s="6">
        <v>453321.13050000009</v>
      </c>
      <c r="Y1472" s="38">
        <v>10010</v>
      </c>
      <c r="Z1472" s="86">
        <f>+((DETALLE_GD_1[[#This Row],[VALOR X UN (GD)]]-DETALLE_GD_1[[#This Row],[VALOR PPTO]])/DETALLE_GD_1[[#This Row],[VALOR PPTO]])</f>
        <v>0.10839747455215255</v>
      </c>
      <c r="AA1472" s="2">
        <f>+DETALLE_GD_1[[#This Row],[VALOR PPTO]]*DETALLE_GD_1[[#This Row],[CANTIDAD RECIBIDA]]</f>
        <v>453321.13320000004</v>
      </c>
      <c r="AB1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72" s="3">
        <f>+DETALLE_GD_1[[#This Row],[CANTIDAD SOLICITADA]]-DETALLE_GD_1[[#This Row],[DEVOLUCIÓN]]</f>
        <v>108</v>
      </c>
      <c r="AD1472" s="38" t="str">
        <f>+_xlfn.XLOOKUP(DETALLE_GD_1[[#This Row],[CODIGO]],PRODUCTOS[CODIGO],PRODUCTOS[DESC CORTA],"",0)</f>
        <v>AISLAN ROCA 90MM</v>
      </c>
    </row>
    <row r="1473" spans="1:30" x14ac:dyDescent="0.25">
      <c r="A1473" s="1">
        <v>46156</v>
      </c>
      <c r="B1473" s="1">
        <v>46156</v>
      </c>
      <c r="C1473" s="81" t="s">
        <v>169</v>
      </c>
      <c r="D1473" s="38">
        <v>5</v>
      </c>
      <c r="E1473" s="81" t="s">
        <v>169</v>
      </c>
      <c r="F1473">
        <v>609008</v>
      </c>
      <c r="G1473" s="81" t="s">
        <v>57</v>
      </c>
      <c r="H1473" s="81" t="s">
        <v>58</v>
      </c>
      <c r="I1473" s="3">
        <v>2</v>
      </c>
      <c r="J1473" s="3"/>
      <c r="K1473" s="26">
        <v>2</v>
      </c>
      <c r="L1473" s="2">
        <v>2018.5</v>
      </c>
      <c r="M1473" s="2">
        <v>4037</v>
      </c>
      <c r="N1473" s="2">
        <v>4037</v>
      </c>
      <c r="O1473" s="2">
        <v>2130.7573000000002</v>
      </c>
      <c r="P1473" s="2">
        <v>112.2573</v>
      </c>
      <c r="Q1473" s="2">
        <v>224.5146</v>
      </c>
      <c r="R1473" s="4">
        <v>5.268423084748209E-2</v>
      </c>
      <c r="T1473">
        <v>315534</v>
      </c>
      <c r="U1473" s="2"/>
      <c r="V1473">
        <v>6161</v>
      </c>
      <c r="W1473" s="2">
        <v>6579000000</v>
      </c>
      <c r="X1473" s="6">
        <v>4261.5146199999999</v>
      </c>
      <c r="Y1473" s="38">
        <v>10010</v>
      </c>
      <c r="Z1473" s="86">
        <f>+((DETALLE_GD_1[[#This Row],[VALOR X UN (GD)]]-DETALLE_GD_1[[#This Row],[VALOR PPTO]])/DETALLE_GD_1[[#This Row],[VALOR PPTO]])</f>
        <v>-5.2684226401571027E-2</v>
      </c>
      <c r="AA1473" s="2">
        <f>+DETALLE_GD_1[[#This Row],[VALOR PPTO]]*DETALLE_GD_1[[#This Row],[CANTIDAD RECIBIDA]]</f>
        <v>4261.5146000000004</v>
      </c>
      <c r="AB1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3" s="3">
        <f>+DETALLE_GD_1[[#This Row],[CANTIDAD SOLICITADA]]-DETALLE_GD_1[[#This Row],[DEVOLUCIÓN]]</f>
        <v>2</v>
      </c>
      <c r="AD1473" s="38" t="str">
        <f>+_xlfn.XLOOKUP(DETALLE_GD_1[[#This Row],[CODIGO]],PRODUCTOS[CODIGO],PRODUCTOS[DESC CORTA],"",0)</f>
        <v>DUCO</v>
      </c>
    </row>
    <row r="1474" spans="1:30" x14ac:dyDescent="0.25">
      <c r="A1474" s="1">
        <v>46156</v>
      </c>
      <c r="B1474" s="1">
        <v>46156</v>
      </c>
      <c r="C1474" s="81" t="s">
        <v>169</v>
      </c>
      <c r="D1474" s="38">
        <v>5</v>
      </c>
      <c r="E1474" s="81" t="s">
        <v>169</v>
      </c>
      <c r="F1474">
        <v>617057</v>
      </c>
      <c r="G1474" s="81" t="s">
        <v>134</v>
      </c>
      <c r="H1474" s="81" t="s">
        <v>31</v>
      </c>
      <c r="I1474" s="3">
        <v>6</v>
      </c>
      <c r="J1474" s="3"/>
      <c r="K1474" s="26">
        <v>6</v>
      </c>
      <c r="L1474" s="2">
        <v>1698.3333</v>
      </c>
      <c r="M1474" s="2">
        <v>10190</v>
      </c>
      <c r="N1474" s="2">
        <v>10190</v>
      </c>
      <c r="O1474" s="2">
        <v>2042.1197</v>
      </c>
      <c r="P1474" s="2">
        <v>343.78640000000001</v>
      </c>
      <c r="Q1474" s="2">
        <v>2062.7181999999998</v>
      </c>
      <c r="R1474" s="4">
        <v>0.16834780628019985</v>
      </c>
      <c r="T1474">
        <v>315534</v>
      </c>
      <c r="U1474" s="2"/>
      <c r="V1474">
        <v>6161</v>
      </c>
      <c r="W1474" s="2">
        <v>6579000000</v>
      </c>
      <c r="X1474" s="6">
        <v>12252.718236000001</v>
      </c>
      <c r="Y1474" s="38">
        <v>10010</v>
      </c>
      <c r="Z1474" s="86">
        <f>+((DETALLE_GD_1[[#This Row],[VALOR X UN (GD)]]-DETALLE_GD_1[[#This Row],[VALOR PPTO]])/DETALLE_GD_1[[#This Row],[VALOR PPTO]])</f>
        <v>-0.16834782015961158</v>
      </c>
      <c r="AA1474" s="2">
        <f>+DETALLE_GD_1[[#This Row],[VALOR PPTO]]*DETALLE_GD_1[[#This Row],[CANTIDAD RECIBIDA]]</f>
        <v>12252.718199999999</v>
      </c>
      <c r="AB1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4" s="3">
        <f>+DETALLE_GD_1[[#This Row],[CANTIDAD SOLICITADA]]-DETALLE_GD_1[[#This Row],[DEVOLUCIÓN]]</f>
        <v>6</v>
      </c>
      <c r="AD1474" s="38" t="str">
        <f>+_xlfn.XLOOKUP(DETALLE_GD_1[[#This Row],[CODIGO]],PRODUCTOS[CODIGO],PRODUCTOS[DESC CORTA],"",0)</f>
        <v>BROCHA 5/8 X4</v>
      </c>
    </row>
    <row r="1475" spans="1:30" x14ac:dyDescent="0.25">
      <c r="A1475" s="1">
        <v>46156</v>
      </c>
      <c r="B1475" s="1">
        <v>46156</v>
      </c>
      <c r="C1475" s="81" t="s">
        <v>169</v>
      </c>
      <c r="D1475" s="38">
        <v>5</v>
      </c>
      <c r="E1475" s="81" t="s">
        <v>169</v>
      </c>
      <c r="F1475">
        <v>617055</v>
      </c>
      <c r="G1475" s="81" t="s">
        <v>182</v>
      </c>
      <c r="H1475" s="81" t="s">
        <v>31</v>
      </c>
      <c r="I1475" s="3">
        <v>6</v>
      </c>
      <c r="J1475" s="3"/>
      <c r="K1475" s="26">
        <v>6</v>
      </c>
      <c r="L1475" s="2">
        <v>694.66669999999999</v>
      </c>
      <c r="M1475" s="2">
        <v>4168</v>
      </c>
      <c r="N1475" s="2">
        <v>4168</v>
      </c>
      <c r="O1475" s="2">
        <v>920.35379999999998</v>
      </c>
      <c r="P1475" s="2">
        <v>225.68709999999999</v>
      </c>
      <c r="Q1475" s="2">
        <v>1354.1226999999999</v>
      </c>
      <c r="R1475" s="4">
        <v>0.24521778363111152</v>
      </c>
      <c r="T1475">
        <v>315534</v>
      </c>
      <c r="U1475" s="2"/>
      <c r="V1475">
        <v>6161</v>
      </c>
      <c r="W1475" s="2">
        <v>6579000000</v>
      </c>
      <c r="X1475" s="6">
        <v>5522.1226860000006</v>
      </c>
      <c r="Y1475" s="38">
        <v>10010</v>
      </c>
      <c r="Z1475" s="86">
        <f>+((DETALLE_GD_1[[#This Row],[VALOR X UN (GD)]]-DETALLE_GD_1[[#This Row],[VALOR PPTO]])/DETALLE_GD_1[[#This Row],[VALOR PPTO]])</f>
        <v>-0.2452177629950569</v>
      </c>
      <c r="AA1475" s="2">
        <f>+DETALLE_GD_1[[#This Row],[VALOR PPTO]]*DETALLE_GD_1[[#This Row],[CANTIDAD RECIBIDA]]</f>
        <v>5522.1228000000001</v>
      </c>
      <c r="AB1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5" s="3">
        <f>+DETALLE_GD_1[[#This Row],[CANTIDAD SOLICITADA]]-DETALLE_GD_1[[#This Row],[DEVOLUCIÓN]]</f>
        <v>6</v>
      </c>
      <c r="AD1475" s="38">
        <f>+_xlfn.XLOOKUP(DETALLE_GD_1[[#This Row],[CODIGO]],PRODUCTOS[CODIGO],PRODUCTOS[DESC CORTA],"",0)</f>
        <v>0</v>
      </c>
    </row>
    <row r="1476" spans="1:30" x14ac:dyDescent="0.25">
      <c r="A1476" s="1">
        <v>46156</v>
      </c>
      <c r="B1476" s="1">
        <v>46156</v>
      </c>
      <c r="C1476" s="81" t="s">
        <v>169</v>
      </c>
      <c r="D1476" s="38">
        <v>5</v>
      </c>
      <c r="E1476" s="81" t="s">
        <v>169</v>
      </c>
      <c r="F1476">
        <v>5309018</v>
      </c>
      <c r="G1476" s="81" t="s">
        <v>112</v>
      </c>
      <c r="H1476" s="81" t="s">
        <v>113</v>
      </c>
      <c r="I1476" s="3">
        <v>300</v>
      </c>
      <c r="J1476" s="3"/>
      <c r="K1476" s="26">
        <v>300</v>
      </c>
      <c r="L1476" s="2">
        <v>717.12670000000003</v>
      </c>
      <c r="M1476" s="2">
        <v>215138</v>
      </c>
      <c r="N1476" s="2">
        <v>215138</v>
      </c>
      <c r="O1476" s="2">
        <v>699.99919999999997</v>
      </c>
      <c r="P1476" s="2">
        <v>-17.127400000000002</v>
      </c>
      <c r="Q1476" s="2">
        <v>-5138.2304000000004</v>
      </c>
      <c r="R1476" s="4">
        <v>-2.446779065418488E-2</v>
      </c>
      <c r="T1476">
        <v>315534</v>
      </c>
      <c r="U1476" s="2"/>
      <c r="V1476">
        <v>6161</v>
      </c>
      <c r="W1476" s="2">
        <v>6579000000</v>
      </c>
      <c r="X1476" s="6">
        <v>209999.76960000017</v>
      </c>
      <c r="Y1476" s="38">
        <v>10010</v>
      </c>
      <c r="Z1476" s="86">
        <f>+((DETALLE_GD_1[[#This Row],[VALOR X UN (GD)]]-DETALLE_GD_1[[#This Row],[VALOR PPTO]])/DETALLE_GD_1[[#This Row],[VALOR PPTO]])</f>
        <v>2.4467885106154486E-2</v>
      </c>
      <c r="AA1476" s="2">
        <f>+DETALLE_GD_1[[#This Row],[VALOR PPTO]]*DETALLE_GD_1[[#This Row],[CANTIDAD RECIBIDA]]</f>
        <v>209999.75999999998</v>
      </c>
      <c r="AB1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6" s="3">
        <f>+DETALLE_GD_1[[#This Row],[CANTIDAD SOLICITADA]]-DETALLE_GD_1[[#This Row],[DEVOLUCIÓN]]</f>
        <v>300</v>
      </c>
      <c r="AD1476" s="38">
        <f>+_xlfn.XLOOKUP(DETALLE_GD_1[[#This Row],[CODIGO]],PRODUCTOS[CODIGO],PRODUCTOS[DESC CORTA],"",0)</f>
        <v>0</v>
      </c>
    </row>
    <row r="1477" spans="1:30" x14ac:dyDescent="0.25">
      <c r="A1477" s="1">
        <v>46156</v>
      </c>
      <c r="B1477" s="1">
        <v>46156</v>
      </c>
      <c r="C1477" s="81" t="s">
        <v>169</v>
      </c>
      <c r="D1477" s="38">
        <v>5</v>
      </c>
      <c r="E1477" s="81" t="s">
        <v>169</v>
      </c>
      <c r="F1477">
        <v>302054</v>
      </c>
      <c r="G1477" s="81" t="s">
        <v>356</v>
      </c>
      <c r="H1477" s="81" t="s">
        <v>20</v>
      </c>
      <c r="I1477" s="3">
        <v>624</v>
      </c>
      <c r="J1477" s="3"/>
      <c r="K1477" s="26">
        <v>624</v>
      </c>
      <c r="L1477" s="2">
        <v>4575.8221000000003</v>
      </c>
      <c r="M1477" s="2">
        <v>2855313</v>
      </c>
      <c r="N1477" s="2">
        <v>2855313</v>
      </c>
      <c r="O1477" s="2">
        <v>5713</v>
      </c>
      <c r="P1477" s="2">
        <v>1137.1778999999999</v>
      </c>
      <c r="Q1477" s="2">
        <v>709599</v>
      </c>
      <c r="R1477" s="4">
        <v>0.19905091626385171</v>
      </c>
      <c r="T1477">
        <v>315534</v>
      </c>
      <c r="U1477" s="2"/>
      <c r="V1477">
        <v>6161</v>
      </c>
      <c r="W1477" s="2">
        <v>6579000000</v>
      </c>
      <c r="X1477" s="6">
        <v>3564912</v>
      </c>
      <c r="Y1477" s="38">
        <v>10010</v>
      </c>
      <c r="Z1477" s="86">
        <f>+((DETALLE_GD_1[[#This Row],[VALOR X UN (GD)]]-DETALLE_GD_1[[#This Row],[VALOR PPTO]])/DETALLE_GD_1[[#This Row],[VALOR PPTO]])</f>
        <v>-0.19905091895676522</v>
      </c>
      <c r="AA1477" s="2">
        <f>+DETALLE_GD_1[[#This Row],[VALOR PPTO]]*DETALLE_GD_1[[#This Row],[CANTIDAD RECIBIDA]]</f>
        <v>3564912</v>
      </c>
      <c r="AB14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77" s="3">
        <f>+DETALLE_GD_1[[#This Row],[CANTIDAD SOLICITADA]]-DETALLE_GD_1[[#This Row],[DEVOLUCIÓN]]</f>
        <v>624</v>
      </c>
      <c r="AD1477" s="38">
        <f>+_xlfn.XLOOKUP(DETALLE_GD_1[[#This Row],[CODIGO]],PRODUCTOS[CODIGO],PRODUCTOS[DESC CORTA],"",0)</f>
        <v>0</v>
      </c>
    </row>
    <row r="1478" spans="1:30" x14ac:dyDescent="0.25">
      <c r="A1478" s="1">
        <v>46156</v>
      </c>
      <c r="B1478" s="1">
        <v>46156</v>
      </c>
      <c r="C1478" s="81" t="s">
        <v>169</v>
      </c>
      <c r="D1478" s="38">
        <v>5</v>
      </c>
      <c r="E1478" s="81" t="s">
        <v>169</v>
      </c>
      <c r="F1478">
        <v>1610023</v>
      </c>
      <c r="G1478" s="81" t="s">
        <v>351</v>
      </c>
      <c r="H1478" s="81" t="s">
        <v>28</v>
      </c>
      <c r="I1478" s="3">
        <v>5</v>
      </c>
      <c r="J1478" s="3"/>
      <c r="K1478" s="26">
        <v>5</v>
      </c>
      <c r="L1478" s="2">
        <v>2278.1999999999998</v>
      </c>
      <c r="M1478" s="2">
        <v>11391</v>
      </c>
      <c r="N1478" s="2">
        <v>11391</v>
      </c>
      <c r="O1478" s="2">
        <v>2109.0585000000001</v>
      </c>
      <c r="P1478" s="2">
        <v>-169.14150000000001</v>
      </c>
      <c r="Q1478" s="2">
        <v>-845.70730000000003</v>
      </c>
      <c r="R1478" s="4">
        <v>-8.0197611698158158E-2</v>
      </c>
      <c r="T1478">
        <v>315534</v>
      </c>
      <c r="U1478" s="2"/>
      <c r="V1478">
        <v>6161</v>
      </c>
      <c r="W1478" s="2">
        <v>6579000000</v>
      </c>
      <c r="X1478" s="6">
        <v>10545.292710000002</v>
      </c>
      <c r="Y1478" s="38">
        <v>10010</v>
      </c>
      <c r="Z1478" s="86">
        <f>+((DETALLE_GD_1[[#This Row],[VALOR X UN (GD)]]-DETALLE_GD_1[[#This Row],[VALOR PPTO]])/DETALLE_GD_1[[#This Row],[VALOR PPTO]])</f>
        <v>8.0197633209320524E-2</v>
      </c>
      <c r="AA1478" s="2">
        <f>+DETALLE_GD_1[[#This Row],[VALOR PPTO]]*DETALLE_GD_1[[#This Row],[CANTIDAD RECIBIDA]]</f>
        <v>10545.2925</v>
      </c>
      <c r="AB14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8" s="3">
        <f>+DETALLE_GD_1[[#This Row],[CANTIDAD SOLICITADA]]-DETALLE_GD_1[[#This Row],[DEVOLUCIÓN]]</f>
        <v>5</v>
      </c>
      <c r="AD1478" s="38" t="str">
        <f>+_xlfn.XLOOKUP(DETALLE_GD_1[[#This Row],[CODIGO]],PRODUCTOS[CODIGO],PRODUCTOS[DESC CORTA],"",0)</f>
        <v>TRAPOS DE ASEO</v>
      </c>
    </row>
    <row r="1479" spans="1:30" x14ac:dyDescent="0.25">
      <c r="A1479" s="1">
        <v>46156</v>
      </c>
      <c r="B1479" s="1">
        <v>46156</v>
      </c>
      <c r="C1479" s="81" t="s">
        <v>169</v>
      </c>
      <c r="D1479" s="38">
        <v>5</v>
      </c>
      <c r="E1479" s="81" t="s">
        <v>169</v>
      </c>
      <c r="F1479">
        <v>407427</v>
      </c>
      <c r="G1479" s="81" t="s">
        <v>172</v>
      </c>
      <c r="H1479" s="81" t="s">
        <v>36</v>
      </c>
      <c r="I1479" s="3">
        <v>1</v>
      </c>
      <c r="J1479" s="3"/>
      <c r="K1479" s="26">
        <v>1</v>
      </c>
      <c r="L1479" s="2">
        <v>22558</v>
      </c>
      <c r="M1479" s="2">
        <v>22558</v>
      </c>
      <c r="N1479" s="2">
        <v>22558</v>
      </c>
      <c r="O1479" s="2">
        <v>22557.5455</v>
      </c>
      <c r="P1479" s="2">
        <v>-0.45450000000000002</v>
      </c>
      <c r="Q1479" s="2">
        <v>-0.45450000000000002</v>
      </c>
      <c r="R1479" s="4">
        <v>-2.0150463662249002E-5</v>
      </c>
      <c r="T1479">
        <v>315534</v>
      </c>
      <c r="U1479" s="2"/>
      <c r="V1479">
        <v>6161</v>
      </c>
      <c r="W1479" s="2">
        <v>6579000000</v>
      </c>
      <c r="X1479" s="6">
        <v>22557.545454999999</v>
      </c>
      <c r="Y1479" s="38">
        <v>10010</v>
      </c>
      <c r="Z1479" s="86">
        <f>+((DETALLE_GD_1[[#This Row],[VALOR X UN (GD)]]-DETALLE_GD_1[[#This Row],[VALOR PPTO]])/DETALLE_GD_1[[#This Row],[VALOR PPTO]])</f>
        <v>2.014846872412716E-5</v>
      </c>
      <c r="AA1479" s="2">
        <f>+DETALLE_GD_1[[#This Row],[VALOR PPTO]]*DETALLE_GD_1[[#This Row],[CANTIDAD RECIBIDA]]</f>
        <v>22557.5455</v>
      </c>
      <c r="AB14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9" s="3">
        <f>+DETALLE_GD_1[[#This Row],[CANTIDAD SOLICITADA]]-DETALLE_GD_1[[#This Row],[DEVOLUCIÓN]]</f>
        <v>1</v>
      </c>
      <c r="AD1479" s="38">
        <f>+_xlfn.XLOOKUP(DETALLE_GD_1[[#This Row],[CODIGO]],PRODUCTOS[CODIGO],PRODUCTOS[DESC CORTA],"",0)</f>
        <v>0</v>
      </c>
    </row>
    <row r="1480" spans="1:30" x14ac:dyDescent="0.25">
      <c r="A1480" s="1">
        <v>46156</v>
      </c>
      <c r="B1480" s="1">
        <v>46156</v>
      </c>
      <c r="C1480" s="81" t="s">
        <v>169</v>
      </c>
      <c r="D1480" s="38">
        <v>5</v>
      </c>
      <c r="E1480" s="81" t="s">
        <v>169</v>
      </c>
      <c r="F1480">
        <v>2304053</v>
      </c>
      <c r="G1480" s="81" t="s">
        <v>213</v>
      </c>
      <c r="H1480" s="81" t="s">
        <v>31</v>
      </c>
      <c r="I1480" s="3">
        <v>12</v>
      </c>
      <c r="J1480" s="3"/>
      <c r="K1480" s="26">
        <v>12</v>
      </c>
      <c r="L1480" s="2">
        <v>1021.9167</v>
      </c>
      <c r="M1480" s="2">
        <v>12263</v>
      </c>
      <c r="N1480" s="2">
        <v>12263</v>
      </c>
      <c r="O1480" s="2">
        <v>862</v>
      </c>
      <c r="P1480" s="2">
        <v>-159.91669999999999</v>
      </c>
      <c r="Q1480" s="2">
        <v>-1919</v>
      </c>
      <c r="R1480" s="4">
        <v>-0.18551817478731611</v>
      </c>
      <c r="T1480">
        <v>315534</v>
      </c>
      <c r="U1480" s="2"/>
      <c r="V1480">
        <v>6161</v>
      </c>
      <c r="W1480" s="2">
        <v>6579000000</v>
      </c>
      <c r="X1480" s="6">
        <v>10344.000000000002</v>
      </c>
      <c r="Y1480" s="38">
        <v>10010</v>
      </c>
      <c r="Z1480" s="86">
        <f>+((DETALLE_GD_1[[#This Row],[VALOR X UN (GD)]]-DETALLE_GD_1[[#This Row],[VALOR PPTO]])/DETALLE_GD_1[[#This Row],[VALOR PPTO]])</f>
        <v>0.18551821345707656</v>
      </c>
      <c r="AA1480" s="2">
        <f>+DETALLE_GD_1[[#This Row],[VALOR PPTO]]*DETALLE_GD_1[[#This Row],[CANTIDAD RECIBIDA]]</f>
        <v>10344</v>
      </c>
      <c r="AB14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0" s="3">
        <f>+DETALLE_GD_1[[#This Row],[CANTIDAD SOLICITADA]]-DETALLE_GD_1[[#This Row],[DEVOLUCIÓN]]</f>
        <v>12</v>
      </c>
      <c r="AD1480" s="38">
        <f>+_xlfn.XLOOKUP(DETALLE_GD_1[[#This Row],[CODIGO]],PRODUCTOS[CODIGO],PRODUCTOS[DESC CORTA],"",0)</f>
        <v>0</v>
      </c>
    </row>
    <row r="1481" spans="1:30" x14ac:dyDescent="0.25">
      <c r="A1481" s="1">
        <v>46156</v>
      </c>
      <c r="B1481" s="1">
        <v>46156</v>
      </c>
      <c r="C1481" s="81" t="s">
        <v>169</v>
      </c>
      <c r="D1481" s="38">
        <v>5</v>
      </c>
      <c r="E1481" s="81" t="s">
        <v>169</v>
      </c>
      <c r="F1481">
        <v>2304002</v>
      </c>
      <c r="G1481" s="81" t="s">
        <v>212</v>
      </c>
      <c r="H1481" s="81" t="s">
        <v>31</v>
      </c>
      <c r="I1481" s="3">
        <v>12</v>
      </c>
      <c r="J1481" s="3"/>
      <c r="K1481" s="26">
        <v>12</v>
      </c>
      <c r="L1481" s="2">
        <v>1409.5</v>
      </c>
      <c r="M1481" s="2">
        <v>16914</v>
      </c>
      <c r="N1481" s="2">
        <v>16914</v>
      </c>
      <c r="O1481" s="2">
        <v>1376.4717000000001</v>
      </c>
      <c r="P1481" s="2">
        <v>-33.028300000000002</v>
      </c>
      <c r="Q1481" s="2">
        <v>-396.33929999999998</v>
      </c>
      <c r="R1481" s="4">
        <v>-2.399488156866781E-2</v>
      </c>
      <c r="T1481">
        <v>315534</v>
      </c>
      <c r="U1481" s="2"/>
      <c r="V1481">
        <v>6161</v>
      </c>
      <c r="W1481" s="2">
        <v>6579000000</v>
      </c>
      <c r="X1481" s="6">
        <v>16517.660688</v>
      </c>
      <c r="Y1481" s="38">
        <v>10010</v>
      </c>
      <c r="Z1481" s="86">
        <f>+((DETALLE_GD_1[[#This Row],[VALOR X UN (GD)]]-DETALLE_GD_1[[#This Row],[VALOR PPTO]])/DETALLE_GD_1[[#This Row],[VALOR PPTO]])</f>
        <v>2.3994899422923075E-2</v>
      </c>
      <c r="AA1481" s="2">
        <f>+DETALLE_GD_1[[#This Row],[VALOR PPTO]]*DETALLE_GD_1[[#This Row],[CANTIDAD RECIBIDA]]</f>
        <v>16517.660400000001</v>
      </c>
      <c r="AB14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1" s="3">
        <f>+DETALLE_GD_1[[#This Row],[CANTIDAD SOLICITADA]]-DETALLE_GD_1[[#This Row],[DEVOLUCIÓN]]</f>
        <v>12</v>
      </c>
      <c r="AD1481" s="38">
        <f>+_xlfn.XLOOKUP(DETALLE_GD_1[[#This Row],[CODIGO]],PRODUCTOS[CODIGO],PRODUCTOS[DESC CORTA],"",0)</f>
        <v>0</v>
      </c>
    </row>
    <row r="1482" spans="1:30" x14ac:dyDescent="0.25">
      <c r="A1482" s="1">
        <v>46156</v>
      </c>
      <c r="B1482" s="1">
        <v>46156</v>
      </c>
      <c r="C1482" s="81" t="s">
        <v>169</v>
      </c>
      <c r="D1482" s="38">
        <v>5</v>
      </c>
      <c r="E1482" s="81" t="s">
        <v>169</v>
      </c>
      <c r="F1482" t="s">
        <v>21</v>
      </c>
      <c r="G1482" s="81" t="s">
        <v>22</v>
      </c>
      <c r="H1482" s="81" t="s">
        <v>20</v>
      </c>
      <c r="I1482" s="3">
        <v>40</v>
      </c>
      <c r="J1482" s="3"/>
      <c r="K1482" s="26">
        <v>40</v>
      </c>
      <c r="L1482" s="2">
        <v>15359.7</v>
      </c>
      <c r="M1482" s="2">
        <v>614388</v>
      </c>
      <c r="N1482" s="2">
        <v>614388</v>
      </c>
      <c r="O1482" s="2">
        <v>15359.702799999999</v>
      </c>
      <c r="P1482" s="2">
        <v>2.8E-3</v>
      </c>
      <c r="Q1482" s="2">
        <v>0.1114</v>
      </c>
      <c r="R1482" s="4">
        <v>1.81318612826567E-7</v>
      </c>
      <c r="T1482">
        <v>315534</v>
      </c>
      <c r="U1482" s="2"/>
      <c r="V1482">
        <v>6161</v>
      </c>
      <c r="W1482" s="2">
        <v>6579000000</v>
      </c>
      <c r="X1482" s="6">
        <v>614388.11140000017</v>
      </c>
      <c r="Y1482" s="38">
        <v>10010</v>
      </c>
      <c r="Z1482" s="86">
        <f>+((DETALLE_GD_1[[#This Row],[VALOR X UN (GD)]]-DETALLE_GD_1[[#This Row],[VALOR PPTO]])/DETALLE_GD_1[[#This Row],[VALOR PPTO]])</f>
        <v>-1.8229519378380471E-7</v>
      </c>
      <c r="AA1482" s="2">
        <f>+DETALLE_GD_1[[#This Row],[VALOR PPTO]]*DETALLE_GD_1[[#This Row],[CANTIDAD RECIBIDA]]</f>
        <v>614388.11199999996</v>
      </c>
      <c r="AB1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82" s="3">
        <f>+DETALLE_GD_1[[#This Row],[CANTIDAD SOLICITADA]]-DETALLE_GD_1[[#This Row],[DEVOLUCIÓN]]</f>
        <v>40</v>
      </c>
      <c r="AD1482" s="38" t="str">
        <f>+_xlfn.XLOOKUP(DETALLE_GD_1[[#This Row],[CODIGO]],PRODUCTOS[CODIGO],PRODUCTOS[DESC CORTA],"",0)</f>
        <v>PINO 3X8X320</v>
      </c>
    </row>
    <row r="1483" spans="1:30" x14ac:dyDescent="0.25">
      <c r="A1483" s="1">
        <v>46156</v>
      </c>
      <c r="B1483" s="1">
        <v>46156</v>
      </c>
      <c r="C1483" s="81" t="s">
        <v>169</v>
      </c>
      <c r="D1483" s="38">
        <v>5</v>
      </c>
      <c r="E1483" s="81" t="s">
        <v>169</v>
      </c>
      <c r="F1483">
        <v>2302098</v>
      </c>
      <c r="G1483" s="81" t="s">
        <v>24</v>
      </c>
      <c r="H1483" s="81" t="s">
        <v>25</v>
      </c>
      <c r="I1483" s="3">
        <v>6</v>
      </c>
      <c r="J1483" s="3"/>
      <c r="K1483" s="26">
        <v>6</v>
      </c>
      <c r="L1483" s="2">
        <v>21213</v>
      </c>
      <c r="M1483" s="2">
        <v>127278</v>
      </c>
      <c r="N1483" s="2">
        <v>127278</v>
      </c>
      <c r="O1483" s="2">
        <v>21213</v>
      </c>
      <c r="P1483" s="2">
        <v>0</v>
      </c>
      <c r="Q1483" s="2">
        <v>0</v>
      </c>
      <c r="R1483" s="4">
        <v>-1.7149761029050001E-16</v>
      </c>
      <c r="T1483">
        <v>315534</v>
      </c>
      <c r="U1483" s="2"/>
      <c r="V1483">
        <v>6161</v>
      </c>
      <c r="W1483" s="2">
        <v>6579000000</v>
      </c>
      <c r="X1483" s="6">
        <v>127277.99999999996</v>
      </c>
      <c r="Y1483" s="38">
        <v>10010</v>
      </c>
      <c r="Z1483" s="86">
        <f>+((DETALLE_GD_1[[#This Row],[VALOR X UN (GD)]]-DETALLE_GD_1[[#This Row],[VALOR PPTO]])/DETALLE_GD_1[[#This Row],[VALOR PPTO]])</f>
        <v>0</v>
      </c>
      <c r="AA1483" s="2">
        <f>+DETALLE_GD_1[[#This Row],[VALOR PPTO]]*DETALLE_GD_1[[#This Row],[CANTIDAD RECIBIDA]]</f>
        <v>127278</v>
      </c>
      <c r="AB14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3" s="3">
        <f>+DETALLE_GD_1[[#This Row],[CANTIDAD SOLICITADA]]-DETALLE_GD_1[[#This Row],[DEVOLUCIÓN]]</f>
        <v>6</v>
      </c>
      <c r="AD1483" s="38" t="str">
        <f>+_xlfn.XLOOKUP(DETALLE_GD_1[[#This Row],[CODIGO]],PRODUCTOS[CODIGO],PRODUCTOS[DESC CORTA],"",0)</f>
        <v>COLA FRIA</v>
      </c>
    </row>
    <row r="1484" spans="1:30" x14ac:dyDescent="0.25">
      <c r="A1484" s="1">
        <v>46156</v>
      </c>
      <c r="B1484" s="1">
        <v>46156</v>
      </c>
      <c r="C1484" s="81" t="s">
        <v>169</v>
      </c>
      <c r="D1484" s="38">
        <v>5</v>
      </c>
      <c r="E1484" s="81" t="s">
        <v>169</v>
      </c>
      <c r="F1484">
        <v>1902003</v>
      </c>
      <c r="G1484" s="81" t="s">
        <v>155</v>
      </c>
      <c r="H1484" s="81" t="s">
        <v>47</v>
      </c>
      <c r="I1484" s="3">
        <v>2</v>
      </c>
      <c r="J1484" s="3"/>
      <c r="K1484" s="26">
        <v>2</v>
      </c>
      <c r="L1484" s="2">
        <v>150752.5</v>
      </c>
      <c r="M1484" s="2">
        <v>301505</v>
      </c>
      <c r="N1484" s="2">
        <v>301505</v>
      </c>
      <c r="O1484" s="2">
        <v>150703.9755</v>
      </c>
      <c r="P1484" s="2">
        <v>-48.524500000000003</v>
      </c>
      <c r="Q1484" s="2">
        <v>-97.049099999999996</v>
      </c>
      <c r="R1484" s="4">
        <v>-3.2198579932565628E-4</v>
      </c>
      <c r="T1484">
        <v>315534</v>
      </c>
      <c r="U1484" s="2"/>
      <c r="V1484">
        <v>6161</v>
      </c>
      <c r="W1484" s="2">
        <v>6579000000</v>
      </c>
      <c r="X1484" s="6">
        <v>301407.95091999992</v>
      </c>
      <c r="Y1484" s="38">
        <v>10010</v>
      </c>
      <c r="Z1484" s="86">
        <f>+((DETALLE_GD_1[[#This Row],[VALOR X UN (GD)]]-DETALLE_GD_1[[#This Row],[VALOR PPTO]])/DETALLE_GD_1[[#This Row],[VALOR PPTO]])</f>
        <v>3.2198553381891068E-4</v>
      </c>
      <c r="AA1484" s="2">
        <f>+DETALLE_GD_1[[#This Row],[VALOR PPTO]]*DETALLE_GD_1[[#This Row],[CANTIDAD RECIBIDA]]</f>
        <v>301407.951</v>
      </c>
      <c r="AB1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4" s="3">
        <f>+DETALLE_GD_1[[#This Row],[CANTIDAD SOLICITADA]]-DETALLE_GD_1[[#This Row],[DEVOLUCIÓN]]</f>
        <v>2</v>
      </c>
      <c r="AD1484" s="38">
        <f>+_xlfn.XLOOKUP(DETALLE_GD_1[[#This Row],[CODIGO]],PRODUCTOS[CODIGO],PRODUCTOS[DESC CORTA],"",0)</f>
        <v>0</v>
      </c>
    </row>
    <row r="1485" spans="1:30" x14ac:dyDescent="0.25">
      <c r="A1485" s="1">
        <v>46156</v>
      </c>
      <c r="B1485" s="1">
        <v>46156</v>
      </c>
      <c r="C1485" s="81" t="s">
        <v>169</v>
      </c>
      <c r="D1485" s="38">
        <v>5</v>
      </c>
      <c r="E1485" s="81" t="s">
        <v>169</v>
      </c>
      <c r="F1485">
        <v>412302</v>
      </c>
      <c r="G1485" s="81" t="s">
        <v>165</v>
      </c>
      <c r="H1485" s="81" t="s">
        <v>31</v>
      </c>
      <c r="I1485" s="3">
        <v>10</v>
      </c>
      <c r="J1485" s="3"/>
      <c r="K1485" s="26">
        <v>10</v>
      </c>
      <c r="L1485" s="2">
        <v>4742.5</v>
      </c>
      <c r="M1485" s="2">
        <v>47425</v>
      </c>
      <c r="N1485" s="2">
        <v>47425</v>
      </c>
      <c r="O1485" s="2">
        <v>4742.4587000000001</v>
      </c>
      <c r="P1485" s="2">
        <v>-4.1300000000000003E-2</v>
      </c>
      <c r="Q1485" s="2">
        <v>-0.4133</v>
      </c>
      <c r="R1485" s="4">
        <v>-8.7155213998457421E-6</v>
      </c>
      <c r="T1485">
        <v>315534</v>
      </c>
      <c r="U1485" s="2"/>
      <c r="V1485">
        <v>6161</v>
      </c>
      <c r="W1485" s="2">
        <v>6579000000</v>
      </c>
      <c r="X1485" s="6">
        <v>47424.586669999997</v>
      </c>
      <c r="Y1485" s="38">
        <v>10010</v>
      </c>
      <c r="Z1485" s="86">
        <f>+((DETALLE_GD_1[[#This Row],[VALOR X UN (GD)]]-DETALLE_GD_1[[#This Row],[VALOR PPTO]])/DETALLE_GD_1[[#This Row],[VALOR PPTO]])</f>
        <v>8.7085629232500571E-6</v>
      </c>
      <c r="AA1485" s="2">
        <f>+DETALLE_GD_1[[#This Row],[VALOR PPTO]]*DETALLE_GD_1[[#This Row],[CANTIDAD RECIBIDA]]</f>
        <v>47424.587</v>
      </c>
      <c r="AB14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5" s="3">
        <f>+DETALLE_GD_1[[#This Row],[CANTIDAD SOLICITADA]]-DETALLE_GD_1[[#This Row],[DEVOLUCIÓN]]</f>
        <v>10</v>
      </c>
      <c r="AD1485" s="38">
        <f>+_xlfn.XLOOKUP(DETALLE_GD_1[[#This Row],[CODIGO]],PRODUCTOS[CODIGO],PRODUCTOS[DESC CORTA],"",0)</f>
        <v>0</v>
      </c>
    </row>
    <row r="1486" spans="1:30" x14ac:dyDescent="0.25">
      <c r="A1486" s="1">
        <v>46156</v>
      </c>
      <c r="B1486" s="1">
        <v>46156</v>
      </c>
      <c r="C1486" s="81" t="s">
        <v>169</v>
      </c>
      <c r="D1486" s="38">
        <v>5</v>
      </c>
      <c r="E1486" s="81" t="s">
        <v>169</v>
      </c>
      <c r="F1486">
        <v>302048</v>
      </c>
      <c r="G1486" s="81" t="s">
        <v>126</v>
      </c>
      <c r="H1486" s="81" t="s">
        <v>20</v>
      </c>
      <c r="I1486" s="3">
        <v>216</v>
      </c>
      <c r="J1486" s="3"/>
      <c r="K1486" s="26">
        <v>216</v>
      </c>
      <c r="L1486" s="2">
        <v>12921.9213</v>
      </c>
      <c r="M1486" s="2">
        <v>2791135</v>
      </c>
      <c r="N1486" s="2">
        <v>2791135</v>
      </c>
      <c r="O1486" s="2">
        <v>13710.695</v>
      </c>
      <c r="P1486" s="2">
        <v>788.77369999999996</v>
      </c>
      <c r="Q1486" s="2">
        <v>170375.1116</v>
      </c>
      <c r="R1486" s="4">
        <v>5.7529809170677799E-2</v>
      </c>
      <c r="T1486">
        <v>315534</v>
      </c>
      <c r="U1486" s="2"/>
      <c r="V1486">
        <v>6161</v>
      </c>
      <c r="W1486" s="2">
        <v>6579000000</v>
      </c>
      <c r="X1486" s="6">
        <v>2961510.1115760002</v>
      </c>
      <c r="Y1486" s="38">
        <v>10010</v>
      </c>
      <c r="Z1486" s="86">
        <f>+((DETALLE_GD_1[[#This Row],[VALOR X UN (GD)]]-DETALLE_GD_1[[#This Row],[VALOR PPTO]])/DETALLE_GD_1[[#This Row],[VALOR PPTO]])</f>
        <v>-5.7529811581396841E-2</v>
      </c>
      <c r="AA1486" s="2">
        <f>+DETALLE_GD_1[[#This Row],[VALOR PPTO]]*DETALLE_GD_1[[#This Row],[CANTIDAD RECIBIDA]]</f>
        <v>2961510.12</v>
      </c>
      <c r="AB14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86" s="3">
        <f>+DETALLE_GD_1[[#This Row],[CANTIDAD SOLICITADA]]-DETALLE_GD_1[[#This Row],[DEVOLUCIÓN]]</f>
        <v>216</v>
      </c>
      <c r="AD1486" s="38" t="str">
        <f>+_xlfn.XLOOKUP(DETALLE_GD_1[[#This Row],[CODIGO]],PRODUCTOS[CODIGO],PRODUCTOS[DESC CORTA],"",0)</f>
        <v>PINO 2X8X4</v>
      </c>
    </row>
    <row r="1487" spans="1:30" x14ac:dyDescent="0.25">
      <c r="A1487" s="1">
        <v>46156</v>
      </c>
      <c r="B1487" s="1">
        <v>46156</v>
      </c>
      <c r="C1487" s="81" t="s">
        <v>169</v>
      </c>
      <c r="D1487" s="38">
        <v>5</v>
      </c>
      <c r="E1487" s="81" t="s">
        <v>169</v>
      </c>
      <c r="F1487">
        <v>302028</v>
      </c>
      <c r="G1487" s="81" t="s">
        <v>246</v>
      </c>
      <c r="H1487" s="81" t="s">
        <v>20</v>
      </c>
      <c r="I1487" s="3">
        <v>120</v>
      </c>
      <c r="J1487" s="3"/>
      <c r="K1487" s="26">
        <v>120</v>
      </c>
      <c r="L1487" s="2">
        <v>4940.6000000000004</v>
      </c>
      <c r="M1487" s="2">
        <v>592872</v>
      </c>
      <c r="N1487" s="2">
        <v>592872</v>
      </c>
      <c r="O1487" s="2">
        <v>5123.8024999999998</v>
      </c>
      <c r="P1487" s="2">
        <v>183.20249999999999</v>
      </c>
      <c r="Q1487" s="2">
        <v>21984.303199999998</v>
      </c>
      <c r="R1487" s="4">
        <v>3.5755188853319603E-2</v>
      </c>
      <c r="T1487">
        <v>315534</v>
      </c>
      <c r="U1487" s="2"/>
      <c r="V1487">
        <v>6161</v>
      </c>
      <c r="W1487" s="2">
        <v>6579000000</v>
      </c>
      <c r="X1487" s="6">
        <v>614856.30324000015</v>
      </c>
      <c r="Y1487" s="38">
        <v>10010</v>
      </c>
      <c r="Z1487" s="86">
        <f>+((DETALLE_GD_1[[#This Row],[VALOR X UN (GD)]]-DETALLE_GD_1[[#This Row],[VALOR PPTO]])/DETALLE_GD_1[[#This Row],[VALOR PPTO]])</f>
        <v>-3.5755183772208127E-2</v>
      </c>
      <c r="AA1487" s="2">
        <f>+DETALLE_GD_1[[#This Row],[VALOR PPTO]]*DETALLE_GD_1[[#This Row],[CANTIDAD RECIBIDA]]</f>
        <v>614856.29999999993</v>
      </c>
      <c r="AB1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87" s="3">
        <f>+DETALLE_GD_1[[#This Row],[CANTIDAD SOLICITADA]]-DETALLE_GD_1[[#This Row],[DEVOLUCIÓN]]</f>
        <v>120</v>
      </c>
      <c r="AD1487" s="38" t="str">
        <f>+_xlfn.XLOOKUP(DETALLE_GD_1[[#This Row],[CODIGO]],PRODUCTOS[CODIGO],PRODUCTOS[DESC CORTA],"",0)</f>
        <v>PINO 2X4X320</v>
      </c>
    </row>
    <row r="1488" spans="1:30" x14ac:dyDescent="0.25">
      <c r="A1488" s="1">
        <v>46156</v>
      </c>
      <c r="B1488" s="1">
        <v>46156</v>
      </c>
      <c r="C1488" s="81" t="s">
        <v>169</v>
      </c>
      <c r="D1488" s="38">
        <v>5</v>
      </c>
      <c r="E1488" s="81" t="s">
        <v>169</v>
      </c>
      <c r="F1488">
        <v>302010</v>
      </c>
      <c r="G1488" s="81" t="s">
        <v>323</v>
      </c>
      <c r="H1488" s="81" t="s">
        <v>20</v>
      </c>
      <c r="I1488" s="3">
        <v>168</v>
      </c>
      <c r="J1488" s="3"/>
      <c r="K1488" s="26">
        <v>168</v>
      </c>
      <c r="L1488" s="2">
        <v>6678.2083000000002</v>
      </c>
      <c r="M1488" s="2">
        <v>1121939</v>
      </c>
      <c r="N1488" s="2">
        <v>1121939</v>
      </c>
      <c r="O1488" s="2">
        <v>6585.1337000000003</v>
      </c>
      <c r="P1488" s="2">
        <v>-93.074600000000004</v>
      </c>
      <c r="Q1488" s="2">
        <v>-15636.5308</v>
      </c>
      <c r="R1488" s="4">
        <v>-1.4134046769211253E-2</v>
      </c>
      <c r="T1488">
        <v>315534</v>
      </c>
      <c r="U1488" s="2"/>
      <c r="V1488">
        <v>6161</v>
      </c>
      <c r="W1488" s="2">
        <v>6579000000</v>
      </c>
      <c r="X1488" s="6">
        <v>1106302.4691599987</v>
      </c>
      <c r="Y1488" s="38">
        <v>10010</v>
      </c>
      <c r="Z1488" s="86">
        <f>+((DETALLE_GD_1[[#This Row],[VALOR X UN (GD)]]-DETALLE_GD_1[[#This Row],[VALOR PPTO]])/DETALLE_GD_1[[#This Row],[VALOR PPTO]])</f>
        <v>1.413404863746349E-2</v>
      </c>
      <c r="AA1488" s="2">
        <f>+DETALLE_GD_1[[#This Row],[VALOR PPTO]]*DETALLE_GD_1[[#This Row],[CANTIDAD RECIBIDA]]</f>
        <v>1106302.4616</v>
      </c>
      <c r="AB14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88" s="3">
        <f>+DETALLE_GD_1[[#This Row],[CANTIDAD SOLICITADA]]-DETALLE_GD_1[[#This Row],[DEVOLUCIÓN]]</f>
        <v>168</v>
      </c>
      <c r="AD1488" s="38" t="str">
        <f>+_xlfn.XLOOKUP(DETALLE_GD_1[[#This Row],[CODIGO]],PRODUCTOS[CODIGO],PRODUCTOS[DESC CORTA],"",0)</f>
        <v>PINO 2X6X320</v>
      </c>
    </row>
    <row r="1489" spans="1:30" x14ac:dyDescent="0.25">
      <c r="A1489" s="1">
        <v>46156</v>
      </c>
      <c r="B1489" s="1">
        <v>46156</v>
      </c>
      <c r="C1489" s="81" t="s">
        <v>169</v>
      </c>
      <c r="D1489" s="38">
        <v>5</v>
      </c>
      <c r="E1489" s="81" t="s">
        <v>169</v>
      </c>
      <c r="F1489">
        <v>1902013</v>
      </c>
      <c r="G1489" s="81" t="s">
        <v>338</v>
      </c>
      <c r="H1489" s="81" t="s">
        <v>47</v>
      </c>
      <c r="I1489" s="3">
        <v>20</v>
      </c>
      <c r="J1489" s="3"/>
      <c r="K1489" s="26">
        <v>20</v>
      </c>
      <c r="L1489" s="2">
        <v>39045.300000000003</v>
      </c>
      <c r="M1489" s="2">
        <v>780906</v>
      </c>
      <c r="N1489" s="2">
        <v>780906</v>
      </c>
      <c r="O1489" s="2">
        <v>29779</v>
      </c>
      <c r="P1489" s="2">
        <v>-9266.2999999999993</v>
      </c>
      <c r="Q1489" s="2">
        <v>-185326</v>
      </c>
      <c r="R1489" s="4">
        <v>-0.31116894455824584</v>
      </c>
      <c r="T1489">
        <v>315534</v>
      </c>
      <c r="U1489" s="2"/>
      <c r="V1489">
        <v>6161</v>
      </c>
      <c r="W1489" s="2">
        <v>6579000000</v>
      </c>
      <c r="X1489" s="6">
        <v>595580</v>
      </c>
      <c r="Y1489" s="38">
        <v>10010</v>
      </c>
      <c r="Z1489" s="86">
        <f>+((DETALLE_GD_1[[#This Row],[VALOR X UN (GD)]]-DETALLE_GD_1[[#This Row],[VALOR PPTO]])/DETALLE_GD_1[[#This Row],[VALOR PPTO]])</f>
        <v>0.31116894455824584</v>
      </c>
      <c r="AA1489" s="2">
        <f>+DETALLE_GD_1[[#This Row],[VALOR PPTO]]*DETALLE_GD_1[[#This Row],[CANTIDAD RECIBIDA]]</f>
        <v>595580</v>
      </c>
      <c r="AB14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89" s="3">
        <f>+DETALLE_GD_1[[#This Row],[CANTIDAD SOLICITADA]]-DETALLE_GD_1[[#This Row],[DEVOLUCIÓN]]</f>
        <v>20</v>
      </c>
      <c r="AD1489" s="38">
        <f>+_xlfn.XLOOKUP(DETALLE_GD_1[[#This Row],[CODIGO]],PRODUCTOS[CODIGO],PRODUCTOS[DESC CORTA],"",0)</f>
        <v>0</v>
      </c>
    </row>
    <row r="1490" spans="1:30" x14ac:dyDescent="0.25">
      <c r="A1490" s="1">
        <v>46156</v>
      </c>
      <c r="B1490" s="1">
        <v>46156</v>
      </c>
      <c r="C1490" s="81" t="s">
        <v>169</v>
      </c>
      <c r="D1490" s="38">
        <v>5</v>
      </c>
      <c r="E1490" s="81" t="s">
        <v>169</v>
      </c>
      <c r="F1490">
        <v>1901008</v>
      </c>
      <c r="G1490" s="81" t="s">
        <v>278</v>
      </c>
      <c r="H1490" s="81" t="s">
        <v>26</v>
      </c>
      <c r="I1490" s="3">
        <v>270</v>
      </c>
      <c r="J1490" s="3"/>
      <c r="K1490" s="26">
        <v>270</v>
      </c>
      <c r="L1490" s="2">
        <v>2087.5369999999998</v>
      </c>
      <c r="M1490" s="2">
        <v>563635</v>
      </c>
      <c r="N1490" s="2">
        <v>563635</v>
      </c>
      <c r="O1490" s="2">
        <v>2112.7957999999999</v>
      </c>
      <c r="P1490" s="2">
        <v>25.258700000000001</v>
      </c>
      <c r="Q1490" s="2">
        <v>6819.8603000000003</v>
      </c>
      <c r="R1490" s="4">
        <v>1.1955127047308951E-2</v>
      </c>
      <c r="T1490">
        <v>315534</v>
      </c>
      <c r="U1490" s="2"/>
      <c r="V1490">
        <v>6161</v>
      </c>
      <c r="W1490" s="2">
        <v>6579000000</v>
      </c>
      <c r="X1490" s="6">
        <v>570454.86033000005</v>
      </c>
      <c r="Y1490" s="38">
        <v>10010</v>
      </c>
      <c r="Z1490" s="86">
        <f>+((DETALLE_GD_1[[#This Row],[VALOR X UN (GD)]]-DETALLE_GD_1[[#This Row],[VALOR PPTO]])/DETALLE_GD_1[[#This Row],[VALOR PPTO]])</f>
        <v>-1.1955154397788971E-2</v>
      </c>
      <c r="AA1490" s="2">
        <f>+DETALLE_GD_1[[#This Row],[VALOR PPTO]]*DETALLE_GD_1[[#This Row],[CANTIDAD RECIBIDA]]</f>
        <v>570454.86599999992</v>
      </c>
      <c r="AB1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90" s="3">
        <f>+DETALLE_GD_1[[#This Row],[CANTIDAD SOLICITADA]]-DETALLE_GD_1[[#This Row],[DEVOLUCIÓN]]</f>
        <v>270</v>
      </c>
      <c r="AD1490" s="38" t="str">
        <f>+_xlfn.XLOOKUP(DETALLE_GD_1[[#This Row],[CODIGO]],PRODUCTOS[CODIGO],PRODUCTOS[DESC CORTA],"",0)</f>
        <v>AISLAN GLASS 90MM</v>
      </c>
    </row>
    <row r="1491" spans="1:30" x14ac:dyDescent="0.25">
      <c r="A1491" s="1">
        <v>46157</v>
      </c>
      <c r="B1491" s="1">
        <v>46157</v>
      </c>
      <c r="C1491" s="81" t="s">
        <v>169</v>
      </c>
      <c r="D1491" s="38">
        <v>5</v>
      </c>
      <c r="E1491" s="81" t="s">
        <v>169</v>
      </c>
      <c r="F1491">
        <v>1803045</v>
      </c>
      <c r="G1491" s="81" t="s">
        <v>337</v>
      </c>
      <c r="H1491" s="81" t="s">
        <v>90</v>
      </c>
      <c r="I1491" s="3">
        <v>9</v>
      </c>
      <c r="J1491" s="3"/>
      <c r="K1491" s="26">
        <v>9</v>
      </c>
      <c r="L1491" s="2">
        <v>51881.5556</v>
      </c>
      <c r="M1491" s="2">
        <v>466934</v>
      </c>
      <c r="N1491" s="2">
        <v>466934</v>
      </c>
      <c r="O1491" s="2">
        <v>51873</v>
      </c>
      <c r="P1491" s="2">
        <v>-8.5556000000000001</v>
      </c>
      <c r="Q1491" s="2">
        <v>-77</v>
      </c>
      <c r="R1491" s="4">
        <v>-1.6493273100769233E-4</v>
      </c>
      <c r="T1491">
        <v>315560</v>
      </c>
      <c r="U1491" s="2">
        <v>2718059</v>
      </c>
      <c r="V1491">
        <v>6161</v>
      </c>
      <c r="W1491" s="2">
        <v>6579000000</v>
      </c>
      <c r="X1491" s="6">
        <v>466856.99999999994</v>
      </c>
      <c r="Y1491" s="38">
        <v>10010</v>
      </c>
      <c r="Z1491" s="86">
        <f>+((DETALLE_GD_1[[#This Row],[VALOR X UN (GD)]]-DETALLE_GD_1[[#This Row],[VALOR PPTO]])/DETALLE_GD_1[[#This Row],[VALOR PPTO]])</f>
        <v>1.6493358780096941E-4</v>
      </c>
      <c r="AA1491" s="2">
        <f>+DETALLE_GD_1[[#This Row],[VALOR PPTO]]*DETALLE_GD_1[[#This Row],[CANTIDAD RECIBIDA]]</f>
        <v>466857</v>
      </c>
      <c r="AB1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91" s="3">
        <f>+DETALLE_GD_1[[#This Row],[CANTIDAD SOLICITADA]]-DETALLE_GD_1[[#This Row],[DEVOLUCIÓN]]</f>
        <v>9</v>
      </c>
      <c r="AD1491" s="38" t="str">
        <f>+_xlfn.XLOOKUP(DETALLE_GD_1[[#This Row],[CODIGO]],PRODUCTOS[CODIGO],PRODUCTOS[DESC CORTA],"",0)</f>
        <v>PUERTA INTERIOR</v>
      </c>
    </row>
    <row r="1492" spans="1:30" x14ac:dyDescent="0.25">
      <c r="A1492" s="1">
        <v>46157</v>
      </c>
      <c r="B1492" s="1">
        <v>46157</v>
      </c>
      <c r="C1492" s="81" t="s">
        <v>169</v>
      </c>
      <c r="D1492" s="38">
        <v>5</v>
      </c>
      <c r="E1492" s="81" t="s">
        <v>169</v>
      </c>
      <c r="F1492">
        <v>1803044</v>
      </c>
      <c r="G1492" s="81" t="s">
        <v>336</v>
      </c>
      <c r="H1492" s="81" t="s">
        <v>90</v>
      </c>
      <c r="I1492" s="3">
        <v>9</v>
      </c>
      <c r="J1492" s="3"/>
      <c r="K1492" s="26">
        <v>9</v>
      </c>
      <c r="L1492" s="2">
        <v>51875.888899999998</v>
      </c>
      <c r="M1492" s="2">
        <v>466883</v>
      </c>
      <c r="N1492" s="2">
        <v>466883</v>
      </c>
      <c r="O1492" s="2">
        <v>52920</v>
      </c>
      <c r="P1492" s="2">
        <v>1044.1111000000001</v>
      </c>
      <c r="Q1492" s="2">
        <v>9397</v>
      </c>
      <c r="R1492" s="4">
        <v>1.9729990761736763E-2</v>
      </c>
      <c r="T1492">
        <v>315560</v>
      </c>
      <c r="U1492" s="2"/>
      <c r="V1492">
        <v>6161</v>
      </c>
      <c r="W1492" s="2">
        <v>6579000000</v>
      </c>
      <c r="X1492" s="6">
        <v>476280</v>
      </c>
      <c r="Y1492" s="38">
        <v>10010</v>
      </c>
      <c r="Z1492" s="86">
        <f>+((DETALLE_GD_1[[#This Row],[VALOR X UN (GD)]]-DETALLE_GD_1[[#This Row],[VALOR PPTO]])/DETALLE_GD_1[[#This Row],[VALOR PPTO]])</f>
        <v>-1.9729990551776301E-2</v>
      </c>
      <c r="AA1492" s="2">
        <f>+DETALLE_GD_1[[#This Row],[VALOR PPTO]]*DETALLE_GD_1[[#This Row],[CANTIDAD RECIBIDA]]</f>
        <v>476280</v>
      </c>
      <c r="AB1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2" s="3">
        <f>+DETALLE_GD_1[[#This Row],[CANTIDAD SOLICITADA]]-DETALLE_GD_1[[#This Row],[DEVOLUCIÓN]]</f>
        <v>9</v>
      </c>
      <c r="AD1492" s="38" t="str">
        <f>+_xlfn.XLOOKUP(DETALLE_GD_1[[#This Row],[CODIGO]],PRODUCTOS[CODIGO],PRODUCTOS[DESC CORTA],"",0)</f>
        <v/>
      </c>
    </row>
    <row r="1493" spans="1:30" x14ac:dyDescent="0.25">
      <c r="A1493" s="1">
        <v>46157</v>
      </c>
      <c r="B1493" s="1">
        <v>46157</v>
      </c>
      <c r="C1493" s="81" t="s">
        <v>169</v>
      </c>
      <c r="D1493" s="38">
        <v>5</v>
      </c>
      <c r="E1493" s="81" t="s">
        <v>169</v>
      </c>
      <c r="F1493">
        <v>2302119</v>
      </c>
      <c r="G1493" s="81" t="s">
        <v>74</v>
      </c>
      <c r="H1493" s="81" t="s">
        <v>31</v>
      </c>
      <c r="I1493" s="3">
        <v>36</v>
      </c>
      <c r="J1493" s="3"/>
      <c r="K1493" s="26">
        <v>36</v>
      </c>
      <c r="L1493" s="2">
        <v>3679.8888999999999</v>
      </c>
      <c r="M1493" s="2">
        <v>132476</v>
      </c>
      <c r="N1493" s="2">
        <v>132476</v>
      </c>
      <c r="O1493" s="2">
        <v>3671</v>
      </c>
      <c r="P1493" s="2">
        <v>-8.8888999999999996</v>
      </c>
      <c r="Q1493" s="2">
        <v>-320</v>
      </c>
      <c r="R1493" s="4">
        <v>-2.4213807923968091E-3</v>
      </c>
      <c r="T1493">
        <v>315560</v>
      </c>
      <c r="U1493" s="2"/>
      <c r="V1493">
        <v>6161</v>
      </c>
      <c r="W1493" s="2">
        <v>6579000000</v>
      </c>
      <c r="X1493" s="6">
        <v>132156</v>
      </c>
      <c r="Y1493" s="38">
        <v>10010</v>
      </c>
      <c r="Z1493" s="86">
        <f>+((DETALLE_GD_1[[#This Row],[VALOR X UN (GD)]]-DETALLE_GD_1[[#This Row],[VALOR PPTO]])/DETALLE_GD_1[[#This Row],[VALOR PPTO]])</f>
        <v>2.4213838191228334E-3</v>
      </c>
      <c r="AA1493" s="2">
        <f>+DETALLE_GD_1[[#This Row],[VALOR PPTO]]*DETALLE_GD_1[[#This Row],[CANTIDAD RECIBIDA]]</f>
        <v>132156</v>
      </c>
      <c r="AB14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3" s="3">
        <f>+DETALLE_GD_1[[#This Row],[CANTIDAD SOLICITADA]]-DETALLE_GD_1[[#This Row],[DEVOLUCIÓN]]</f>
        <v>36</v>
      </c>
      <c r="AD1493" s="38" t="str">
        <f>+_xlfn.XLOOKUP(DETALLE_GD_1[[#This Row],[CODIGO]],PRODUCTOS[CODIGO],PRODUCTOS[DESC CORTA],"",0)</f>
        <v>SELLO</v>
      </c>
    </row>
    <row r="1494" spans="1:30" x14ac:dyDescent="0.25">
      <c r="A1494" s="1">
        <v>46157</v>
      </c>
      <c r="B1494" s="1">
        <v>46157</v>
      </c>
      <c r="C1494" s="81" t="s">
        <v>169</v>
      </c>
      <c r="D1494" s="38">
        <v>5</v>
      </c>
      <c r="E1494" s="81" t="s">
        <v>169</v>
      </c>
      <c r="F1494">
        <v>617057</v>
      </c>
      <c r="G1494" s="81" t="s">
        <v>134</v>
      </c>
      <c r="H1494" s="81" t="s">
        <v>31</v>
      </c>
      <c r="I1494" s="3">
        <v>6</v>
      </c>
      <c r="J1494" s="3"/>
      <c r="K1494" s="26">
        <v>6</v>
      </c>
      <c r="L1494" s="2">
        <v>1698.3333</v>
      </c>
      <c r="M1494" s="2">
        <v>10190</v>
      </c>
      <c r="N1494" s="2">
        <v>10190</v>
      </c>
      <c r="O1494" s="2">
        <v>2042.1197</v>
      </c>
      <c r="P1494" s="2">
        <v>343.78640000000001</v>
      </c>
      <c r="Q1494" s="2">
        <v>2062.7181999999998</v>
      </c>
      <c r="R1494" s="4">
        <v>0.16834780628019985</v>
      </c>
      <c r="T1494">
        <v>315560</v>
      </c>
      <c r="U1494" s="2"/>
      <c r="V1494">
        <v>6161</v>
      </c>
      <c r="W1494" s="2">
        <v>6579000000</v>
      </c>
      <c r="X1494" s="6">
        <v>12252.718236000001</v>
      </c>
      <c r="Y1494" s="38">
        <v>10010</v>
      </c>
      <c r="Z1494" s="86">
        <f>+((DETALLE_GD_1[[#This Row],[VALOR X UN (GD)]]-DETALLE_GD_1[[#This Row],[VALOR PPTO]])/DETALLE_GD_1[[#This Row],[VALOR PPTO]])</f>
        <v>-0.16834782015961158</v>
      </c>
      <c r="AA1494" s="2">
        <f>+DETALLE_GD_1[[#This Row],[VALOR PPTO]]*DETALLE_GD_1[[#This Row],[CANTIDAD RECIBIDA]]</f>
        <v>12252.718199999999</v>
      </c>
      <c r="AB14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4" s="3">
        <f>+DETALLE_GD_1[[#This Row],[CANTIDAD SOLICITADA]]-DETALLE_GD_1[[#This Row],[DEVOLUCIÓN]]</f>
        <v>6</v>
      </c>
      <c r="AD1494" s="38" t="str">
        <f>+_xlfn.XLOOKUP(DETALLE_GD_1[[#This Row],[CODIGO]],PRODUCTOS[CODIGO],PRODUCTOS[DESC CORTA],"",0)</f>
        <v>BROCHA 5/8 X4</v>
      </c>
    </row>
    <row r="1495" spans="1:30" x14ac:dyDescent="0.25">
      <c r="A1495" s="1">
        <v>46157</v>
      </c>
      <c r="B1495" s="1">
        <v>46157</v>
      </c>
      <c r="C1495" s="81" t="s">
        <v>169</v>
      </c>
      <c r="D1495" s="38">
        <v>5</v>
      </c>
      <c r="E1495" s="81" t="s">
        <v>169</v>
      </c>
      <c r="F1495">
        <v>617055</v>
      </c>
      <c r="G1495" s="81" t="s">
        <v>182</v>
      </c>
      <c r="H1495" s="81" t="s">
        <v>31</v>
      </c>
      <c r="I1495" s="3">
        <v>6</v>
      </c>
      <c r="J1495" s="3"/>
      <c r="K1495" s="26">
        <v>6</v>
      </c>
      <c r="L1495" s="2">
        <v>694.66669999999999</v>
      </c>
      <c r="M1495" s="2">
        <v>4168</v>
      </c>
      <c r="N1495" s="2">
        <v>4168</v>
      </c>
      <c r="O1495" s="2">
        <v>920.35379999999998</v>
      </c>
      <c r="P1495" s="2">
        <v>225.68709999999999</v>
      </c>
      <c r="Q1495" s="2">
        <v>1354.1226999999999</v>
      </c>
      <c r="R1495" s="4">
        <v>0.24521778363111152</v>
      </c>
      <c r="T1495">
        <v>315560</v>
      </c>
      <c r="U1495" s="2"/>
      <c r="V1495">
        <v>6161</v>
      </c>
      <c r="W1495" s="2">
        <v>6579000000</v>
      </c>
      <c r="X1495" s="6">
        <v>5522.1226860000006</v>
      </c>
      <c r="Y1495" s="38">
        <v>10010</v>
      </c>
      <c r="Z1495" s="86">
        <f>+((DETALLE_GD_1[[#This Row],[VALOR X UN (GD)]]-DETALLE_GD_1[[#This Row],[VALOR PPTO]])/DETALLE_GD_1[[#This Row],[VALOR PPTO]])</f>
        <v>-0.2452177629950569</v>
      </c>
      <c r="AA1495" s="2">
        <f>+DETALLE_GD_1[[#This Row],[VALOR PPTO]]*DETALLE_GD_1[[#This Row],[CANTIDAD RECIBIDA]]</f>
        <v>5522.1228000000001</v>
      </c>
      <c r="AB14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5" s="3">
        <f>+DETALLE_GD_1[[#This Row],[CANTIDAD SOLICITADA]]-DETALLE_GD_1[[#This Row],[DEVOLUCIÓN]]</f>
        <v>6</v>
      </c>
      <c r="AD1495" s="38">
        <f>+_xlfn.XLOOKUP(DETALLE_GD_1[[#This Row],[CODIGO]],PRODUCTOS[CODIGO],PRODUCTOS[DESC CORTA],"",0)</f>
        <v>0</v>
      </c>
    </row>
    <row r="1496" spans="1:30" x14ac:dyDescent="0.25">
      <c r="A1496" s="1">
        <v>46157</v>
      </c>
      <c r="B1496" s="1">
        <v>46157</v>
      </c>
      <c r="C1496" s="81" t="s">
        <v>169</v>
      </c>
      <c r="D1496" s="38">
        <v>5</v>
      </c>
      <c r="E1496" s="81" t="s">
        <v>169</v>
      </c>
      <c r="F1496">
        <v>617016</v>
      </c>
      <c r="G1496" s="81" t="s">
        <v>133</v>
      </c>
      <c r="H1496" s="81" t="s">
        <v>31</v>
      </c>
      <c r="I1496" s="3">
        <v>6</v>
      </c>
      <c r="J1496" s="3"/>
      <c r="K1496" s="26">
        <v>6</v>
      </c>
      <c r="L1496" s="2">
        <v>2864.3332999999998</v>
      </c>
      <c r="M1496" s="2">
        <v>17186</v>
      </c>
      <c r="N1496" s="2">
        <v>17186</v>
      </c>
      <c r="O1496" s="2">
        <v>2857.5133000000001</v>
      </c>
      <c r="P1496" s="2">
        <v>-6.8201000000000001</v>
      </c>
      <c r="Q1496" s="2">
        <v>-40.920400000000001</v>
      </c>
      <c r="R1496" s="4">
        <v>-2.3867113393271238E-3</v>
      </c>
      <c r="T1496">
        <v>315560</v>
      </c>
      <c r="U1496" s="2"/>
      <c r="V1496">
        <v>6161</v>
      </c>
      <c r="W1496" s="2">
        <v>6579000000</v>
      </c>
      <c r="X1496" s="6">
        <v>17145.079643999998</v>
      </c>
      <c r="Y1496" s="38">
        <v>10010</v>
      </c>
      <c r="Z1496" s="86">
        <f>+((DETALLE_GD_1[[#This Row],[VALOR X UN (GD)]]-DETALLE_GD_1[[#This Row],[VALOR PPTO]])/DETALLE_GD_1[[#This Row],[VALOR PPTO]])</f>
        <v>2.3866905536361663E-3</v>
      </c>
      <c r="AA1496" s="2">
        <f>+DETALLE_GD_1[[#This Row],[VALOR PPTO]]*DETALLE_GD_1[[#This Row],[CANTIDAD RECIBIDA]]</f>
        <v>17145.0798</v>
      </c>
      <c r="AB14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6" s="3">
        <f>+DETALLE_GD_1[[#This Row],[CANTIDAD SOLICITADA]]-DETALLE_GD_1[[#This Row],[DEVOLUCIÓN]]</f>
        <v>6</v>
      </c>
      <c r="AD1496" s="38" t="str">
        <f>+_xlfn.XLOOKUP(DETALLE_GD_1[[#This Row],[CODIGO]],PRODUCTOS[CODIGO],PRODUCTOS[DESC CORTA],"",0)</f>
        <v>RODILLO CHIPORRO</v>
      </c>
    </row>
    <row r="1497" spans="1:30" x14ac:dyDescent="0.25">
      <c r="A1497" s="1">
        <v>46157</v>
      </c>
      <c r="B1497" s="1">
        <v>46157</v>
      </c>
      <c r="C1497" s="81" t="s">
        <v>169</v>
      </c>
      <c r="D1497" s="38">
        <v>5</v>
      </c>
      <c r="E1497" s="81" t="s">
        <v>169</v>
      </c>
      <c r="F1497">
        <v>2304053</v>
      </c>
      <c r="G1497" s="81" t="s">
        <v>213</v>
      </c>
      <c r="H1497" s="81" t="s">
        <v>31</v>
      </c>
      <c r="I1497" s="3">
        <v>48</v>
      </c>
      <c r="J1497" s="3"/>
      <c r="K1497" s="26">
        <v>48</v>
      </c>
      <c r="L1497" s="2">
        <v>1021.9167</v>
      </c>
      <c r="M1497" s="2">
        <v>49052</v>
      </c>
      <c r="N1497" s="2">
        <v>49052</v>
      </c>
      <c r="O1497" s="2">
        <v>862</v>
      </c>
      <c r="P1497" s="2">
        <v>-159.91669999999999</v>
      </c>
      <c r="Q1497" s="2">
        <v>-7676</v>
      </c>
      <c r="R1497" s="4">
        <v>-0.18551817478731611</v>
      </c>
      <c r="T1497">
        <v>315560</v>
      </c>
      <c r="U1497" s="2"/>
      <c r="V1497">
        <v>6161</v>
      </c>
      <c r="W1497" s="2">
        <v>6579000000</v>
      </c>
      <c r="X1497" s="6">
        <v>41376.000000000007</v>
      </c>
      <c r="Y1497" s="38">
        <v>10010</v>
      </c>
      <c r="Z1497" s="86">
        <f>+((DETALLE_GD_1[[#This Row],[VALOR X UN (GD)]]-DETALLE_GD_1[[#This Row],[VALOR PPTO]])/DETALLE_GD_1[[#This Row],[VALOR PPTO]])</f>
        <v>0.18551821345707656</v>
      </c>
      <c r="AA1497" s="2">
        <f>+DETALLE_GD_1[[#This Row],[VALOR PPTO]]*DETALLE_GD_1[[#This Row],[CANTIDAD RECIBIDA]]</f>
        <v>41376</v>
      </c>
      <c r="AB1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7" s="3">
        <f>+DETALLE_GD_1[[#This Row],[CANTIDAD SOLICITADA]]-DETALLE_GD_1[[#This Row],[DEVOLUCIÓN]]</f>
        <v>48</v>
      </c>
      <c r="AD1497" s="38">
        <f>+_xlfn.XLOOKUP(DETALLE_GD_1[[#This Row],[CODIGO]],PRODUCTOS[CODIGO],PRODUCTOS[DESC CORTA],"",0)</f>
        <v>0</v>
      </c>
    </row>
    <row r="1498" spans="1:30" x14ac:dyDescent="0.25">
      <c r="A1498" s="1">
        <v>46157</v>
      </c>
      <c r="B1498" s="1">
        <v>46157</v>
      </c>
      <c r="C1498" s="81" t="s">
        <v>169</v>
      </c>
      <c r="D1498" s="38">
        <v>5</v>
      </c>
      <c r="E1498" s="81" t="s">
        <v>169</v>
      </c>
      <c r="F1498">
        <v>2304002</v>
      </c>
      <c r="G1498" s="81" t="s">
        <v>212</v>
      </c>
      <c r="H1498" s="81" t="s">
        <v>31</v>
      </c>
      <c r="I1498" s="3">
        <v>24</v>
      </c>
      <c r="J1498" s="3"/>
      <c r="K1498" s="26">
        <v>24</v>
      </c>
      <c r="L1498" s="2">
        <v>1409.5</v>
      </c>
      <c r="M1498" s="2">
        <v>33828</v>
      </c>
      <c r="N1498" s="2">
        <v>33828</v>
      </c>
      <c r="O1498" s="2">
        <v>1376.4717000000001</v>
      </c>
      <c r="P1498" s="2">
        <v>-33.028300000000002</v>
      </c>
      <c r="Q1498" s="2">
        <v>-792.67859999999996</v>
      </c>
      <c r="R1498" s="4">
        <v>-2.399488156866781E-2</v>
      </c>
      <c r="T1498">
        <v>315560</v>
      </c>
      <c r="U1498" s="2"/>
      <c r="V1498">
        <v>6161</v>
      </c>
      <c r="W1498" s="2">
        <v>6579000000</v>
      </c>
      <c r="X1498" s="6">
        <v>33035.321376</v>
      </c>
      <c r="Y1498" s="38">
        <v>10010</v>
      </c>
      <c r="Z1498" s="86">
        <f>+((DETALLE_GD_1[[#This Row],[VALOR X UN (GD)]]-DETALLE_GD_1[[#This Row],[VALOR PPTO]])/DETALLE_GD_1[[#This Row],[VALOR PPTO]])</f>
        <v>2.3994899422923075E-2</v>
      </c>
      <c r="AA1498" s="2">
        <f>+DETALLE_GD_1[[#This Row],[VALOR PPTO]]*DETALLE_GD_1[[#This Row],[CANTIDAD RECIBIDA]]</f>
        <v>33035.320800000001</v>
      </c>
      <c r="AB14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8" s="3">
        <f>+DETALLE_GD_1[[#This Row],[CANTIDAD SOLICITADA]]-DETALLE_GD_1[[#This Row],[DEVOLUCIÓN]]</f>
        <v>24</v>
      </c>
      <c r="AD1498" s="38">
        <f>+_xlfn.XLOOKUP(DETALLE_GD_1[[#This Row],[CODIGO]],PRODUCTOS[CODIGO],PRODUCTOS[DESC CORTA],"",0)</f>
        <v>0</v>
      </c>
    </row>
    <row r="1499" spans="1:30" x14ac:dyDescent="0.25">
      <c r="A1499" s="1">
        <v>46157</v>
      </c>
      <c r="B1499" s="1">
        <v>46157</v>
      </c>
      <c r="C1499" s="81" t="s">
        <v>169</v>
      </c>
      <c r="D1499" s="38">
        <v>5</v>
      </c>
      <c r="E1499" s="81" t="s">
        <v>169</v>
      </c>
      <c r="F1499">
        <v>2304008</v>
      </c>
      <c r="G1499" s="81" t="s">
        <v>707</v>
      </c>
      <c r="H1499" s="81" t="s">
        <v>31</v>
      </c>
      <c r="I1499" s="3">
        <v>24</v>
      </c>
      <c r="J1499" s="3"/>
      <c r="K1499" s="26">
        <v>24</v>
      </c>
      <c r="L1499" s="2">
        <v>2550</v>
      </c>
      <c r="M1499" s="2">
        <v>61200</v>
      </c>
      <c r="N1499" s="2">
        <v>61200</v>
      </c>
      <c r="O1499" s="2"/>
      <c r="P1499" s="2"/>
      <c r="Q1499" s="2">
        <v>-61200</v>
      </c>
      <c r="R1499" s="4"/>
      <c r="T1499">
        <v>315560</v>
      </c>
      <c r="U1499" s="2"/>
      <c r="V1499">
        <v>6161</v>
      </c>
      <c r="W1499" s="2">
        <v>6579000000</v>
      </c>
      <c r="X1499" s="6" t="s">
        <v>355</v>
      </c>
      <c r="Y1499" s="38">
        <v>10010</v>
      </c>
      <c r="Z1499" s="86" t="e">
        <f>+((DETALLE_GD_1[[#This Row],[VALOR X UN (GD)]]-DETALLE_GD_1[[#This Row],[VALOR PPTO]])/DETALLE_GD_1[[#This Row],[VALOR PPTO]])</f>
        <v>#DIV/0!</v>
      </c>
      <c r="AA1499" s="2">
        <f>+DETALLE_GD_1[[#This Row],[VALOR PPTO]]*DETALLE_GD_1[[#This Row],[CANTIDAD RECIBIDA]]</f>
        <v>0</v>
      </c>
      <c r="AB1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9" s="3">
        <f>+DETALLE_GD_1[[#This Row],[CANTIDAD SOLICITADA]]-DETALLE_GD_1[[#This Row],[DEVOLUCIÓN]]</f>
        <v>24</v>
      </c>
      <c r="AD1499" s="38" t="str">
        <f>+_xlfn.XLOOKUP(DETALLE_GD_1[[#This Row],[CODIGO]],PRODUCTOS[CODIGO],PRODUCTOS[DESC CORTA],"",0)</f>
        <v/>
      </c>
    </row>
    <row r="1500" spans="1:30" x14ac:dyDescent="0.25">
      <c r="A1500" s="1">
        <v>46157</v>
      </c>
      <c r="B1500" s="1">
        <v>46157</v>
      </c>
      <c r="C1500" s="81" t="s">
        <v>169</v>
      </c>
      <c r="D1500" s="38">
        <v>5</v>
      </c>
      <c r="E1500" s="81" t="s">
        <v>169</v>
      </c>
      <c r="F1500">
        <v>412132</v>
      </c>
      <c r="G1500" s="81" t="s">
        <v>741</v>
      </c>
      <c r="H1500" s="81" t="s">
        <v>31</v>
      </c>
      <c r="I1500" s="3">
        <v>8</v>
      </c>
      <c r="J1500" s="3"/>
      <c r="K1500" s="26">
        <v>8</v>
      </c>
      <c r="L1500" s="2">
        <v>1037.5</v>
      </c>
      <c r="M1500" s="2">
        <v>8300</v>
      </c>
      <c r="N1500" s="2">
        <v>8300</v>
      </c>
      <c r="O1500" s="2"/>
      <c r="P1500" s="2"/>
      <c r="Q1500" s="2">
        <v>-8300</v>
      </c>
      <c r="R1500" s="4"/>
      <c r="T1500">
        <v>315560</v>
      </c>
      <c r="U1500" s="2"/>
      <c r="V1500">
        <v>6161</v>
      </c>
      <c r="W1500" s="2">
        <v>6579000000</v>
      </c>
      <c r="X1500" s="6" t="s">
        <v>355</v>
      </c>
      <c r="Y1500" s="38">
        <v>10010</v>
      </c>
      <c r="Z1500" s="86" t="e">
        <f>+((DETALLE_GD_1[[#This Row],[VALOR X UN (GD)]]-DETALLE_GD_1[[#This Row],[VALOR PPTO]])/DETALLE_GD_1[[#This Row],[VALOR PPTO]])</f>
        <v>#DIV/0!</v>
      </c>
      <c r="AA1500" s="2">
        <f>+DETALLE_GD_1[[#This Row],[VALOR PPTO]]*DETALLE_GD_1[[#This Row],[CANTIDAD RECIBIDA]]</f>
        <v>0</v>
      </c>
      <c r="AB15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0" s="3">
        <f>+DETALLE_GD_1[[#This Row],[CANTIDAD SOLICITADA]]-DETALLE_GD_1[[#This Row],[DEVOLUCIÓN]]</f>
        <v>8</v>
      </c>
      <c r="AD1500" s="38" t="str">
        <f>+_xlfn.XLOOKUP(DETALLE_GD_1[[#This Row],[CODIGO]],PRODUCTOS[CODIGO],PRODUCTOS[DESC CORTA],"",0)</f>
        <v/>
      </c>
    </row>
    <row r="1501" spans="1:30" x14ac:dyDescent="0.25">
      <c r="A1501" s="1">
        <v>46157</v>
      </c>
      <c r="B1501" s="1">
        <v>46157</v>
      </c>
      <c r="C1501" s="81" t="s">
        <v>169</v>
      </c>
      <c r="D1501" s="38">
        <v>5</v>
      </c>
      <c r="E1501" s="81" t="s">
        <v>169</v>
      </c>
      <c r="F1501">
        <v>412016</v>
      </c>
      <c r="G1501" s="81" t="s">
        <v>722</v>
      </c>
      <c r="H1501" s="81" t="s">
        <v>31</v>
      </c>
      <c r="I1501" s="3">
        <v>8</v>
      </c>
      <c r="J1501" s="3"/>
      <c r="K1501" s="26">
        <v>8</v>
      </c>
      <c r="L1501" s="2">
        <v>4210.375</v>
      </c>
      <c r="M1501" s="2">
        <v>33683</v>
      </c>
      <c r="N1501" s="2">
        <v>33683</v>
      </c>
      <c r="O1501" s="2"/>
      <c r="P1501" s="2"/>
      <c r="Q1501" s="2">
        <v>-33683</v>
      </c>
      <c r="R1501" s="4"/>
      <c r="T1501">
        <v>315560</v>
      </c>
      <c r="U1501" s="2"/>
      <c r="V1501">
        <v>6161</v>
      </c>
      <c r="W1501" s="2">
        <v>6579000000</v>
      </c>
      <c r="X1501" s="6" t="s">
        <v>355</v>
      </c>
      <c r="Y1501" s="38">
        <v>10010</v>
      </c>
      <c r="Z1501" s="86" t="e">
        <f>+((DETALLE_GD_1[[#This Row],[VALOR X UN (GD)]]-DETALLE_GD_1[[#This Row],[VALOR PPTO]])/DETALLE_GD_1[[#This Row],[VALOR PPTO]])</f>
        <v>#DIV/0!</v>
      </c>
      <c r="AA1501" s="2">
        <f>+DETALLE_GD_1[[#This Row],[VALOR PPTO]]*DETALLE_GD_1[[#This Row],[CANTIDAD RECIBIDA]]</f>
        <v>0</v>
      </c>
      <c r="AB15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1" s="3">
        <f>+DETALLE_GD_1[[#This Row],[CANTIDAD SOLICITADA]]-DETALLE_GD_1[[#This Row],[DEVOLUCIÓN]]</f>
        <v>8</v>
      </c>
      <c r="AD1501" s="38" t="str">
        <f>+_xlfn.XLOOKUP(DETALLE_GD_1[[#This Row],[CODIGO]],PRODUCTOS[CODIGO],PRODUCTOS[DESC CORTA],"",0)</f>
        <v/>
      </c>
    </row>
    <row r="1502" spans="1:30" x14ac:dyDescent="0.25">
      <c r="A1502" s="1">
        <v>46157</v>
      </c>
      <c r="B1502" s="1">
        <v>46157</v>
      </c>
      <c r="C1502" s="81" t="s">
        <v>169</v>
      </c>
      <c r="D1502" s="38">
        <v>5</v>
      </c>
      <c r="E1502" s="81" t="s">
        <v>169</v>
      </c>
      <c r="F1502">
        <v>609008</v>
      </c>
      <c r="G1502" s="81" t="s">
        <v>57</v>
      </c>
      <c r="H1502" s="81" t="s">
        <v>58</v>
      </c>
      <c r="I1502" s="3">
        <v>5</v>
      </c>
      <c r="J1502" s="3"/>
      <c r="K1502" s="26">
        <v>5</v>
      </c>
      <c r="L1502" s="2">
        <v>2018.6</v>
      </c>
      <c r="M1502" s="2">
        <v>10093</v>
      </c>
      <c r="N1502" s="2">
        <v>10093</v>
      </c>
      <c r="O1502" s="2">
        <v>2130.7573000000002</v>
      </c>
      <c r="P1502" s="2">
        <v>112.15730000000001</v>
      </c>
      <c r="Q1502" s="2">
        <v>560.78660000000002</v>
      </c>
      <c r="R1502" s="4">
        <v>5.2637299176976682E-2</v>
      </c>
      <c r="T1502">
        <v>315560</v>
      </c>
      <c r="U1502" s="2"/>
      <c r="V1502">
        <v>6161</v>
      </c>
      <c r="W1502" s="2">
        <v>6579000000</v>
      </c>
      <c r="X1502" s="6">
        <v>10653.786550000001</v>
      </c>
      <c r="Y1502" s="38">
        <v>10010</v>
      </c>
      <c r="Z1502" s="86">
        <f>+((DETALLE_GD_1[[#This Row],[VALOR X UN (GD)]]-DETALLE_GD_1[[#This Row],[VALOR PPTO]])/DETALLE_GD_1[[#This Row],[VALOR PPTO]])</f>
        <v>-5.2637294730845365E-2</v>
      </c>
      <c r="AA1502" s="2">
        <f>+DETALLE_GD_1[[#This Row],[VALOR PPTO]]*DETALLE_GD_1[[#This Row],[CANTIDAD RECIBIDA]]</f>
        <v>10653.786500000002</v>
      </c>
      <c r="AB1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2" s="3">
        <f>+DETALLE_GD_1[[#This Row],[CANTIDAD SOLICITADA]]-DETALLE_GD_1[[#This Row],[DEVOLUCIÓN]]</f>
        <v>5</v>
      </c>
      <c r="AD1502" s="38" t="str">
        <f>+_xlfn.XLOOKUP(DETALLE_GD_1[[#This Row],[CODIGO]],PRODUCTOS[CODIGO],PRODUCTOS[DESC CORTA],"",0)</f>
        <v>DUCO</v>
      </c>
    </row>
    <row r="1503" spans="1:30" x14ac:dyDescent="0.25">
      <c r="A1503" s="1">
        <v>46157</v>
      </c>
      <c r="B1503" s="1">
        <v>46157</v>
      </c>
      <c r="C1503" s="81" t="s">
        <v>169</v>
      </c>
      <c r="D1503" s="38">
        <v>5</v>
      </c>
      <c r="E1503" s="81" t="s">
        <v>169</v>
      </c>
      <c r="F1503">
        <v>307096</v>
      </c>
      <c r="G1503" s="81" t="s">
        <v>249</v>
      </c>
      <c r="H1503" s="81" t="s">
        <v>137</v>
      </c>
      <c r="I1503" s="3">
        <v>100</v>
      </c>
      <c r="J1503" s="3"/>
      <c r="K1503" s="26">
        <v>100</v>
      </c>
      <c r="L1503" s="2">
        <v>1398.52</v>
      </c>
      <c r="M1503" s="2">
        <v>139852</v>
      </c>
      <c r="N1503" s="2">
        <v>139852</v>
      </c>
      <c r="O1503" s="2">
        <v>2095.3501000000001</v>
      </c>
      <c r="P1503" s="2">
        <v>696.83010000000002</v>
      </c>
      <c r="Q1503" s="2">
        <v>69683.012900000002</v>
      </c>
      <c r="R1503" s="4">
        <v>0.3325602338987419</v>
      </c>
      <c r="T1503">
        <v>315560</v>
      </c>
      <c r="U1503" s="2"/>
      <c r="V1503">
        <v>6161</v>
      </c>
      <c r="W1503" s="2">
        <v>6579000000</v>
      </c>
      <c r="X1503" s="6">
        <v>209535.01289999983</v>
      </c>
      <c r="Y1503" s="38">
        <v>10010</v>
      </c>
      <c r="Z1503" s="86">
        <f>+((DETALLE_GD_1[[#This Row],[VALOR X UN (GD)]]-DETALLE_GD_1[[#This Row],[VALOR PPTO]])/DETALLE_GD_1[[#This Row],[VALOR PPTO]])</f>
        <v>-0.33256022466126312</v>
      </c>
      <c r="AA1503" s="2">
        <f>+DETALLE_GD_1[[#This Row],[VALOR PPTO]]*DETALLE_GD_1[[#This Row],[CANTIDAD RECIBIDA]]</f>
        <v>209535.01</v>
      </c>
      <c r="AB15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03" s="3">
        <f>+DETALLE_GD_1[[#This Row],[CANTIDAD SOLICITADA]]-DETALLE_GD_1[[#This Row],[DEVOLUCIÓN]]</f>
        <v>100</v>
      </c>
      <c r="AD1503" s="38" t="str">
        <f>+_xlfn.XLOOKUP(DETALLE_GD_1[[#This Row],[CODIGO]],PRODUCTOS[CODIGO],PRODUCTOS[DESC CORTA],"",0)</f>
        <v>CUBREJUNTA</v>
      </c>
    </row>
    <row r="1504" spans="1:30" x14ac:dyDescent="0.25">
      <c r="A1504" s="1">
        <v>46157</v>
      </c>
      <c r="B1504" s="1">
        <v>46157</v>
      </c>
      <c r="C1504" s="81" t="s">
        <v>169</v>
      </c>
      <c r="D1504" s="38">
        <v>5</v>
      </c>
      <c r="E1504" s="81" t="s">
        <v>169</v>
      </c>
      <c r="F1504">
        <v>307032</v>
      </c>
      <c r="G1504" s="81" t="s">
        <v>186</v>
      </c>
      <c r="H1504" s="81" t="s">
        <v>137</v>
      </c>
      <c r="I1504" s="3">
        <v>20</v>
      </c>
      <c r="J1504" s="3"/>
      <c r="K1504" s="26">
        <v>20</v>
      </c>
      <c r="L1504" s="2">
        <v>2181.35</v>
      </c>
      <c r="M1504" s="2">
        <v>43627</v>
      </c>
      <c r="N1504" s="2">
        <v>43627</v>
      </c>
      <c r="O1504" s="2">
        <v>2378.375</v>
      </c>
      <c r="P1504" s="2">
        <v>197.02500000000001</v>
      </c>
      <c r="Q1504" s="2">
        <v>3940.5007999999998</v>
      </c>
      <c r="R1504" s="4">
        <v>8.2840190299491079E-2</v>
      </c>
      <c r="T1504">
        <v>315560</v>
      </c>
      <c r="U1504" s="2"/>
      <c r="V1504">
        <v>6161</v>
      </c>
      <c r="W1504" s="2">
        <v>6579000000</v>
      </c>
      <c r="X1504" s="6">
        <v>47567.500819999994</v>
      </c>
      <c r="Y1504" s="38">
        <v>10010</v>
      </c>
      <c r="Z1504" s="86">
        <f>+((DETALLE_GD_1[[#This Row],[VALOR X UN (GD)]]-DETALLE_GD_1[[#This Row],[VALOR PPTO]])/DETALLE_GD_1[[#This Row],[VALOR PPTO]])</f>
        <v>-8.2840174488884255E-2</v>
      </c>
      <c r="AA1504" s="2">
        <f>+DETALLE_GD_1[[#This Row],[VALOR PPTO]]*DETALLE_GD_1[[#This Row],[CANTIDAD RECIBIDA]]</f>
        <v>47567.5</v>
      </c>
      <c r="AB1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4" s="3">
        <f>+DETALLE_GD_1[[#This Row],[CANTIDAD SOLICITADA]]-DETALLE_GD_1[[#This Row],[DEVOLUCIÓN]]</f>
        <v>20</v>
      </c>
      <c r="AD1504" s="38">
        <f>+_xlfn.XLOOKUP(DETALLE_GD_1[[#This Row],[CODIGO]],PRODUCTOS[CODIGO],PRODUCTOS[DESC CORTA],"",0)</f>
        <v>0</v>
      </c>
    </row>
    <row r="1505" spans="1:30" x14ac:dyDescent="0.25">
      <c r="A1505" s="1">
        <v>46157</v>
      </c>
      <c r="B1505" s="1">
        <v>46157</v>
      </c>
      <c r="C1505" s="81" t="s">
        <v>169</v>
      </c>
      <c r="D1505" s="38">
        <v>5</v>
      </c>
      <c r="E1505" s="81" t="s">
        <v>169</v>
      </c>
      <c r="F1505">
        <v>601047</v>
      </c>
      <c r="G1505" s="81" t="s">
        <v>129</v>
      </c>
      <c r="H1505" s="81" t="s">
        <v>25</v>
      </c>
      <c r="I1505" s="3">
        <v>4</v>
      </c>
      <c r="J1505" s="3"/>
      <c r="K1505" s="26">
        <v>4</v>
      </c>
      <c r="L1505" s="2">
        <v>49501.5</v>
      </c>
      <c r="M1505" s="2">
        <v>198006</v>
      </c>
      <c r="N1505" s="2">
        <v>198006</v>
      </c>
      <c r="O1505" s="2">
        <v>50286.86</v>
      </c>
      <c r="P1505" s="2">
        <v>785.36</v>
      </c>
      <c r="Q1505" s="2">
        <v>3141.44</v>
      </c>
      <c r="R1505" s="4">
        <v>1.5617598712665706E-2</v>
      </c>
      <c r="T1505">
        <v>315560</v>
      </c>
      <c r="U1505" s="2"/>
      <c r="V1505">
        <v>6161</v>
      </c>
      <c r="W1505" s="2">
        <v>6579000000</v>
      </c>
      <c r="X1505" s="6">
        <v>201147.44</v>
      </c>
      <c r="Y1505" s="38">
        <v>10010</v>
      </c>
      <c r="Z1505" s="86">
        <f>+((DETALLE_GD_1[[#This Row],[VALOR X UN (GD)]]-DETALLE_GD_1[[#This Row],[VALOR PPTO]])/DETALLE_GD_1[[#This Row],[VALOR PPTO]])</f>
        <v>-1.5617598712665706E-2</v>
      </c>
      <c r="AA1505" s="2">
        <f>+DETALLE_GD_1[[#This Row],[VALOR PPTO]]*DETALLE_GD_1[[#This Row],[CANTIDAD RECIBIDA]]</f>
        <v>201147.44</v>
      </c>
      <c r="AB1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5" s="3">
        <f>+DETALLE_GD_1[[#This Row],[CANTIDAD SOLICITADA]]-DETALLE_GD_1[[#This Row],[DEVOLUCIÓN]]</f>
        <v>4</v>
      </c>
      <c r="AD1505" s="38" t="str">
        <f>+_xlfn.XLOOKUP(DETALLE_GD_1[[#This Row],[CODIGO]],PRODUCTOS[CODIGO],PRODUCTOS[DESC CORTA],"",0)</f>
        <v>ESMALTE AL AGUA</v>
      </c>
    </row>
    <row r="1506" spans="1:30" x14ac:dyDescent="0.25">
      <c r="A1506" s="1">
        <v>46157</v>
      </c>
      <c r="B1506" s="1">
        <v>46157</v>
      </c>
      <c r="C1506" s="81" t="s">
        <v>169</v>
      </c>
      <c r="D1506" s="38">
        <v>5</v>
      </c>
      <c r="E1506" s="81" t="s">
        <v>169</v>
      </c>
      <c r="F1506">
        <v>602255</v>
      </c>
      <c r="G1506" s="81" t="s">
        <v>203</v>
      </c>
      <c r="H1506" s="81" t="s">
        <v>25</v>
      </c>
      <c r="I1506" s="3">
        <v>4</v>
      </c>
      <c r="J1506" s="3"/>
      <c r="K1506" s="26">
        <v>4</v>
      </c>
      <c r="L1506" s="2">
        <v>47890</v>
      </c>
      <c r="M1506" s="2">
        <v>191560</v>
      </c>
      <c r="N1506" s="2">
        <v>191560</v>
      </c>
      <c r="O1506" s="2">
        <v>47889.5</v>
      </c>
      <c r="P1506" s="2">
        <v>-0.5</v>
      </c>
      <c r="Q1506" s="2">
        <v>-2</v>
      </c>
      <c r="R1506" s="4">
        <v>-1.0440702032804683E-5</v>
      </c>
      <c r="T1506">
        <v>315560</v>
      </c>
      <c r="U1506" s="2"/>
      <c r="V1506">
        <v>6161</v>
      </c>
      <c r="W1506" s="2">
        <v>6579000000</v>
      </c>
      <c r="X1506" s="6">
        <v>191558</v>
      </c>
      <c r="Y1506" s="38">
        <v>10010</v>
      </c>
      <c r="Z1506" s="86">
        <f>+((DETALLE_GD_1[[#This Row],[VALOR X UN (GD)]]-DETALLE_GD_1[[#This Row],[VALOR PPTO]])/DETALLE_GD_1[[#This Row],[VALOR PPTO]])</f>
        <v>1.0440702032804685E-5</v>
      </c>
      <c r="AA1506" s="2">
        <f>+DETALLE_GD_1[[#This Row],[VALOR PPTO]]*DETALLE_GD_1[[#This Row],[CANTIDAD RECIBIDA]]</f>
        <v>191558</v>
      </c>
      <c r="AB15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6" s="3">
        <f>+DETALLE_GD_1[[#This Row],[CANTIDAD SOLICITADA]]-DETALLE_GD_1[[#This Row],[DEVOLUCIÓN]]</f>
        <v>4</v>
      </c>
      <c r="AD1506" s="38">
        <f>+_xlfn.XLOOKUP(DETALLE_GD_1[[#This Row],[CODIGO]],PRODUCTOS[CODIGO],PRODUCTOS[DESC CORTA],"",0)</f>
        <v>0</v>
      </c>
    </row>
    <row r="1507" spans="1:30" x14ac:dyDescent="0.25">
      <c r="A1507" s="1">
        <v>46157</v>
      </c>
      <c r="B1507" s="1">
        <v>46157</v>
      </c>
      <c r="C1507" s="81" t="s">
        <v>169</v>
      </c>
      <c r="D1507" s="38">
        <v>5</v>
      </c>
      <c r="E1507" s="81" t="s">
        <v>169</v>
      </c>
      <c r="F1507">
        <v>602254</v>
      </c>
      <c r="G1507" s="81" t="s">
        <v>214</v>
      </c>
      <c r="H1507" s="81" t="s">
        <v>25</v>
      </c>
      <c r="I1507" s="3">
        <v>4</v>
      </c>
      <c r="J1507" s="3"/>
      <c r="K1507" s="26">
        <v>4</v>
      </c>
      <c r="L1507" s="2">
        <v>46060</v>
      </c>
      <c r="M1507" s="2">
        <v>184240</v>
      </c>
      <c r="N1507" s="2">
        <v>184240</v>
      </c>
      <c r="O1507" s="2">
        <v>46060</v>
      </c>
      <c r="P1507" s="2">
        <v>0</v>
      </c>
      <c r="Q1507" s="2">
        <v>0</v>
      </c>
      <c r="R1507" s="4">
        <v>0</v>
      </c>
      <c r="T1507">
        <v>315560</v>
      </c>
      <c r="U1507" s="2"/>
      <c r="V1507">
        <v>6161</v>
      </c>
      <c r="W1507" s="2">
        <v>6579000000</v>
      </c>
      <c r="X1507" s="6">
        <v>184240</v>
      </c>
      <c r="Y1507" s="38">
        <v>10010</v>
      </c>
      <c r="Z1507" s="86">
        <f>+((DETALLE_GD_1[[#This Row],[VALOR X UN (GD)]]-DETALLE_GD_1[[#This Row],[VALOR PPTO]])/DETALLE_GD_1[[#This Row],[VALOR PPTO]])</f>
        <v>0</v>
      </c>
      <c r="AA1507" s="2">
        <f>+DETALLE_GD_1[[#This Row],[VALOR PPTO]]*DETALLE_GD_1[[#This Row],[CANTIDAD RECIBIDA]]</f>
        <v>184240</v>
      </c>
      <c r="AB15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7" s="3">
        <f>+DETALLE_GD_1[[#This Row],[CANTIDAD SOLICITADA]]-DETALLE_GD_1[[#This Row],[DEVOLUCIÓN]]</f>
        <v>4</v>
      </c>
      <c r="AD1507" s="38">
        <f>+_xlfn.XLOOKUP(DETALLE_GD_1[[#This Row],[CODIGO]],PRODUCTOS[CODIGO],PRODUCTOS[DESC CORTA],"",0)</f>
        <v>0</v>
      </c>
    </row>
    <row r="1508" spans="1:30" x14ac:dyDescent="0.25">
      <c r="A1508" s="1">
        <v>46157</v>
      </c>
      <c r="B1508" s="1">
        <v>46157</v>
      </c>
      <c r="C1508" s="81" t="s">
        <v>169</v>
      </c>
      <c r="D1508" s="38">
        <v>5</v>
      </c>
      <c r="E1508" s="81" t="s">
        <v>169</v>
      </c>
      <c r="F1508">
        <v>408042</v>
      </c>
      <c r="G1508" s="81" t="s">
        <v>144</v>
      </c>
      <c r="H1508" s="81" t="s">
        <v>36</v>
      </c>
      <c r="I1508" s="3">
        <v>10</v>
      </c>
      <c r="J1508" s="3"/>
      <c r="K1508" s="26">
        <v>10</v>
      </c>
      <c r="L1508" s="2">
        <v>35000</v>
      </c>
      <c r="M1508" s="2">
        <v>350000</v>
      </c>
      <c r="N1508" s="2">
        <v>350000</v>
      </c>
      <c r="O1508" s="2">
        <v>35000</v>
      </c>
      <c r="P1508" s="2">
        <v>0</v>
      </c>
      <c r="Q1508" s="2">
        <v>0</v>
      </c>
      <c r="R1508" s="4">
        <v>8.3153801304950006E-16</v>
      </c>
      <c r="T1508">
        <v>315560</v>
      </c>
      <c r="U1508" s="2"/>
      <c r="V1508">
        <v>6161</v>
      </c>
      <c r="W1508" s="2">
        <v>6579000000</v>
      </c>
      <c r="X1508" s="6">
        <v>350000.00000000029</v>
      </c>
      <c r="Y1508" s="38">
        <v>10010</v>
      </c>
      <c r="Z1508" s="86">
        <f>+((DETALLE_GD_1[[#This Row],[VALOR X UN (GD)]]-DETALLE_GD_1[[#This Row],[VALOR PPTO]])/DETALLE_GD_1[[#This Row],[VALOR PPTO]])</f>
        <v>0</v>
      </c>
      <c r="AA1508" s="2">
        <f>+DETALLE_GD_1[[#This Row],[VALOR PPTO]]*DETALLE_GD_1[[#This Row],[CANTIDAD RECIBIDA]]</f>
        <v>350000</v>
      </c>
      <c r="AB1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8" s="3">
        <f>+DETALLE_GD_1[[#This Row],[CANTIDAD SOLICITADA]]-DETALLE_GD_1[[#This Row],[DEVOLUCIÓN]]</f>
        <v>10</v>
      </c>
      <c r="AD1508" s="38" t="str">
        <f>+_xlfn.XLOOKUP(DETALLE_GD_1[[#This Row],[CODIGO]],PRODUCTOS[CODIGO],PRODUCTOS[DESC CORTA],"",0)</f>
        <v>CLAVO HELICOIDAL PROFIX</v>
      </c>
    </row>
    <row r="1509" spans="1:30" x14ac:dyDescent="0.25">
      <c r="A1509" s="1">
        <v>46157</v>
      </c>
      <c r="B1509" s="1">
        <v>46157</v>
      </c>
      <c r="C1509" s="81" t="s">
        <v>169</v>
      </c>
      <c r="D1509" s="38">
        <v>5</v>
      </c>
      <c r="E1509" s="81" t="s">
        <v>169</v>
      </c>
      <c r="F1509">
        <v>404252</v>
      </c>
      <c r="G1509" s="81" t="s">
        <v>181</v>
      </c>
      <c r="H1509" s="81" t="s">
        <v>31</v>
      </c>
      <c r="I1509" s="3">
        <v>28</v>
      </c>
      <c r="J1509" s="3"/>
      <c r="K1509" s="26">
        <v>28</v>
      </c>
      <c r="L1509" s="2">
        <v>1544.2143000000001</v>
      </c>
      <c r="M1509" s="2">
        <v>43238</v>
      </c>
      <c r="N1509" s="2">
        <v>43238</v>
      </c>
      <c r="O1509" s="2">
        <v>1110.0438999999999</v>
      </c>
      <c r="P1509" s="2">
        <v>-434.17039999999997</v>
      </c>
      <c r="Q1509" s="2">
        <v>-12156.771500000001</v>
      </c>
      <c r="R1509" s="4">
        <v>-0.39112905273510634</v>
      </c>
      <c r="T1509">
        <v>315560</v>
      </c>
      <c r="U1509" s="2"/>
      <c r="V1509">
        <v>6161</v>
      </c>
      <c r="W1509" s="2">
        <v>6579000000</v>
      </c>
      <c r="X1509" s="6">
        <v>31081.228528</v>
      </c>
      <c r="Y1509" s="38">
        <v>10010</v>
      </c>
      <c r="Z1509" s="86">
        <f>+((DETALLE_GD_1[[#This Row],[VALOR X UN (GD)]]-DETALLE_GD_1[[#This Row],[VALOR PPTO]])/DETALLE_GD_1[[#This Row],[VALOR PPTO]])</f>
        <v>0.39112903552733386</v>
      </c>
      <c r="AA1509" s="2">
        <f>+DETALLE_GD_1[[#This Row],[VALOR PPTO]]*DETALLE_GD_1[[#This Row],[CANTIDAD RECIBIDA]]</f>
        <v>31081.229199999998</v>
      </c>
      <c r="AB1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9" s="3">
        <f>+DETALLE_GD_1[[#This Row],[CANTIDAD SOLICITADA]]-DETALLE_GD_1[[#This Row],[DEVOLUCIÓN]]</f>
        <v>28</v>
      </c>
      <c r="AD1509" s="38">
        <f>+_xlfn.XLOOKUP(DETALLE_GD_1[[#This Row],[CODIGO]],PRODUCTOS[CODIGO],PRODUCTOS[DESC CORTA],"",0)</f>
        <v>0</v>
      </c>
    </row>
    <row r="1510" spans="1:30" x14ac:dyDescent="0.25">
      <c r="A1510" s="1">
        <v>46157</v>
      </c>
      <c r="B1510" s="1">
        <v>46157</v>
      </c>
      <c r="C1510" s="81" t="s">
        <v>169</v>
      </c>
      <c r="D1510" s="38">
        <v>5</v>
      </c>
      <c r="E1510" s="81" t="s">
        <v>169</v>
      </c>
      <c r="F1510">
        <v>704025</v>
      </c>
      <c r="G1510" s="81" t="s">
        <v>333</v>
      </c>
      <c r="H1510" s="81" t="s">
        <v>31</v>
      </c>
      <c r="I1510" s="3">
        <v>30</v>
      </c>
      <c r="J1510" s="3"/>
      <c r="K1510" s="26">
        <v>30</v>
      </c>
      <c r="L1510" s="2">
        <v>579.9</v>
      </c>
      <c r="M1510" s="2">
        <v>17397</v>
      </c>
      <c r="N1510" s="2">
        <v>17397</v>
      </c>
      <c r="O1510" s="2">
        <v>580</v>
      </c>
      <c r="P1510" s="2">
        <v>0.1</v>
      </c>
      <c r="Q1510" s="2">
        <v>3</v>
      </c>
      <c r="R1510" s="4">
        <v>1.7241379310348748E-4</v>
      </c>
      <c r="T1510">
        <v>315560</v>
      </c>
      <c r="U1510" s="2"/>
      <c r="V1510">
        <v>6161</v>
      </c>
      <c r="W1510" s="2">
        <v>6579000000</v>
      </c>
      <c r="X1510" s="6">
        <v>17400</v>
      </c>
      <c r="Y1510" s="38">
        <v>10010</v>
      </c>
      <c r="Z1510" s="86">
        <f>+((DETALLE_GD_1[[#This Row],[VALOR X UN (GD)]]-DETALLE_GD_1[[#This Row],[VALOR PPTO]])/DETALLE_GD_1[[#This Row],[VALOR PPTO]])</f>
        <v>-1.7241379310348748E-4</v>
      </c>
      <c r="AA1510" s="2">
        <f>+DETALLE_GD_1[[#This Row],[VALOR PPTO]]*DETALLE_GD_1[[#This Row],[CANTIDAD RECIBIDA]]</f>
        <v>17400</v>
      </c>
      <c r="AB1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0" s="3">
        <f>+DETALLE_GD_1[[#This Row],[CANTIDAD SOLICITADA]]-DETALLE_GD_1[[#This Row],[DEVOLUCIÓN]]</f>
        <v>30</v>
      </c>
      <c r="AD1510" s="38" t="str">
        <f>+_xlfn.XLOOKUP(DETALLE_GD_1[[#This Row],[CODIGO]],PRODUCTOS[CODIGO],PRODUCTOS[DESC CORTA],"",0)</f>
        <v>ESQUINERO GUARDAPOLVO EXTERIOR</v>
      </c>
    </row>
    <row r="1511" spans="1:30" x14ac:dyDescent="0.25">
      <c r="A1511" s="1">
        <v>46157</v>
      </c>
      <c r="B1511" s="1">
        <v>46157</v>
      </c>
      <c r="C1511" s="81" t="s">
        <v>169</v>
      </c>
      <c r="D1511" s="38">
        <v>5</v>
      </c>
      <c r="E1511" s="81" t="s">
        <v>169</v>
      </c>
      <c r="F1511">
        <v>704023</v>
      </c>
      <c r="G1511" s="81" t="s">
        <v>331</v>
      </c>
      <c r="H1511" s="81" t="s">
        <v>31</v>
      </c>
      <c r="I1511" s="3">
        <v>40</v>
      </c>
      <c r="J1511" s="3"/>
      <c r="K1511" s="26">
        <v>40</v>
      </c>
      <c r="L1511" s="2">
        <v>324</v>
      </c>
      <c r="M1511" s="2">
        <v>12960</v>
      </c>
      <c r="N1511" s="2">
        <v>12960</v>
      </c>
      <c r="O1511" s="2">
        <v>324</v>
      </c>
      <c r="P1511" s="2">
        <v>0</v>
      </c>
      <c r="Q1511" s="2">
        <v>0</v>
      </c>
      <c r="R1511" s="4">
        <v>0</v>
      </c>
      <c r="T1511">
        <v>315560</v>
      </c>
      <c r="U1511" s="2"/>
      <c r="V1511">
        <v>6161</v>
      </c>
      <c r="W1511" s="2">
        <v>6579000000</v>
      </c>
      <c r="X1511" s="6">
        <v>12960</v>
      </c>
      <c r="Y1511" s="38">
        <v>10010</v>
      </c>
      <c r="Z1511" s="86">
        <f>+((DETALLE_GD_1[[#This Row],[VALOR X UN (GD)]]-DETALLE_GD_1[[#This Row],[VALOR PPTO]])/DETALLE_GD_1[[#This Row],[VALOR PPTO]])</f>
        <v>0</v>
      </c>
      <c r="AA1511" s="2">
        <f>+DETALLE_GD_1[[#This Row],[VALOR PPTO]]*DETALLE_GD_1[[#This Row],[CANTIDAD RECIBIDA]]</f>
        <v>12960</v>
      </c>
      <c r="AB1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1" s="3">
        <f>+DETALLE_GD_1[[#This Row],[CANTIDAD SOLICITADA]]-DETALLE_GD_1[[#This Row],[DEVOLUCIÓN]]</f>
        <v>40</v>
      </c>
      <c r="AD1511" s="38" t="str">
        <f>+_xlfn.XLOOKUP(DETALLE_GD_1[[#This Row],[CODIGO]],PRODUCTOS[CODIGO],PRODUCTOS[DESC CORTA],"",0)</f>
        <v>ESQUINERO GUARDAPOLVO INTERIOR</v>
      </c>
    </row>
    <row r="1512" spans="1:30" x14ac:dyDescent="0.25">
      <c r="A1512" s="1">
        <v>46157</v>
      </c>
      <c r="B1512" s="1">
        <v>46157</v>
      </c>
      <c r="C1512" s="81" t="s">
        <v>169</v>
      </c>
      <c r="D1512" s="38">
        <v>5</v>
      </c>
      <c r="E1512" s="81" t="s">
        <v>169</v>
      </c>
      <c r="F1512">
        <v>1801735</v>
      </c>
      <c r="G1512" s="81" t="s">
        <v>73</v>
      </c>
      <c r="H1512" s="81" t="s">
        <v>31</v>
      </c>
      <c r="I1512" s="3">
        <v>20</v>
      </c>
      <c r="J1512" s="3"/>
      <c r="K1512" s="26">
        <v>20</v>
      </c>
      <c r="L1512" s="2">
        <v>3819.3</v>
      </c>
      <c r="M1512" s="2">
        <v>76386</v>
      </c>
      <c r="N1512" s="2">
        <v>76386</v>
      </c>
      <c r="O1512" s="2">
        <v>3495</v>
      </c>
      <c r="P1512" s="2">
        <v>-324.3</v>
      </c>
      <c r="Q1512" s="2">
        <v>-6486</v>
      </c>
      <c r="R1512" s="4">
        <v>-9.2789699570815509E-2</v>
      </c>
      <c r="T1512">
        <v>315560</v>
      </c>
      <c r="U1512" s="2"/>
      <c r="V1512">
        <v>6161</v>
      </c>
      <c r="W1512" s="2">
        <v>6579000000</v>
      </c>
      <c r="X1512" s="6">
        <v>69900</v>
      </c>
      <c r="Y1512" s="38">
        <v>10010</v>
      </c>
      <c r="Z1512" s="86">
        <f>+((DETALLE_GD_1[[#This Row],[VALOR X UN (GD)]]-DETALLE_GD_1[[#This Row],[VALOR PPTO]])/DETALLE_GD_1[[#This Row],[VALOR PPTO]])</f>
        <v>9.2789699570815509E-2</v>
      </c>
      <c r="AA1512" s="2">
        <f>+DETALLE_GD_1[[#This Row],[VALOR PPTO]]*DETALLE_GD_1[[#This Row],[CANTIDAD RECIBIDA]]</f>
        <v>69900</v>
      </c>
      <c r="AB1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2" s="3">
        <f>+DETALLE_GD_1[[#This Row],[CANTIDAD SOLICITADA]]-DETALLE_GD_1[[#This Row],[DEVOLUCIÓN]]</f>
        <v>20</v>
      </c>
      <c r="AD1512" s="38" t="str">
        <f>+_xlfn.XLOOKUP(DETALLE_GD_1[[#This Row],[CODIGO]],PRODUCTOS[CODIGO],PRODUCTOS[DESC CORTA],"",0)</f>
        <v>BURLETE PVC</v>
      </c>
    </row>
    <row r="1513" spans="1:30" x14ac:dyDescent="0.25">
      <c r="A1513" s="1">
        <v>46157</v>
      </c>
      <c r="B1513" s="1">
        <v>46157</v>
      </c>
      <c r="C1513" s="81" t="s">
        <v>169</v>
      </c>
      <c r="D1513" s="38">
        <v>5</v>
      </c>
      <c r="E1513" s="81" t="s">
        <v>169</v>
      </c>
      <c r="F1513">
        <v>2302017</v>
      </c>
      <c r="G1513" s="81" t="s">
        <v>156</v>
      </c>
      <c r="H1513" s="81" t="s">
        <v>25</v>
      </c>
      <c r="I1513" s="3">
        <v>2</v>
      </c>
      <c r="J1513" s="3"/>
      <c r="K1513" s="26">
        <v>2</v>
      </c>
      <c r="L1513" s="2">
        <v>83400</v>
      </c>
      <c r="M1513" s="2">
        <v>166800</v>
      </c>
      <c r="N1513" s="2">
        <v>166800</v>
      </c>
      <c r="O1513" s="2">
        <v>81197.881599999993</v>
      </c>
      <c r="P1513" s="2">
        <v>-2202.1183999999998</v>
      </c>
      <c r="Q1513" s="2">
        <v>-4404.2367999999997</v>
      </c>
      <c r="R1513" s="4">
        <v>-2.7120392529668531E-2</v>
      </c>
      <c r="T1513">
        <v>315560</v>
      </c>
      <c r="U1513" s="2"/>
      <c r="V1513">
        <v>6161</v>
      </c>
      <c r="W1513" s="2">
        <v>6579000000</v>
      </c>
      <c r="X1513" s="6">
        <v>162395.76315799996</v>
      </c>
      <c r="Y1513" s="38">
        <v>10010</v>
      </c>
      <c r="Z1513" s="86">
        <f>+((DETALLE_GD_1[[#This Row],[VALOR X UN (GD)]]-DETALLE_GD_1[[#This Row],[VALOR PPTO]])/DETALLE_GD_1[[#This Row],[VALOR PPTO]])</f>
        <v>2.7120392264026835E-2</v>
      </c>
      <c r="AA1513" s="2">
        <f>+DETALLE_GD_1[[#This Row],[VALOR PPTO]]*DETALLE_GD_1[[#This Row],[CANTIDAD RECIBIDA]]</f>
        <v>162395.76319999999</v>
      </c>
      <c r="AB1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3" s="3">
        <f>+DETALLE_GD_1[[#This Row],[CANTIDAD SOLICITADA]]-DETALLE_GD_1[[#This Row],[DEVOLUCIÓN]]</f>
        <v>2</v>
      </c>
      <c r="AD1513" s="38">
        <f>+_xlfn.XLOOKUP(DETALLE_GD_1[[#This Row],[CODIGO]],PRODUCTOS[CODIGO],PRODUCTOS[DESC CORTA],"",0)</f>
        <v>0</v>
      </c>
    </row>
    <row r="1514" spans="1:30" x14ac:dyDescent="0.25">
      <c r="A1514" s="1">
        <v>46157</v>
      </c>
      <c r="B1514" s="1">
        <v>46157</v>
      </c>
      <c r="C1514" s="81" t="s">
        <v>169</v>
      </c>
      <c r="D1514" s="38">
        <v>5</v>
      </c>
      <c r="E1514" s="81" t="s">
        <v>169</v>
      </c>
      <c r="F1514">
        <v>412630</v>
      </c>
      <c r="G1514" s="81" t="s">
        <v>284</v>
      </c>
      <c r="H1514" s="81" t="s">
        <v>31</v>
      </c>
      <c r="I1514" s="3">
        <v>10</v>
      </c>
      <c r="J1514" s="3"/>
      <c r="K1514" s="26">
        <v>10</v>
      </c>
      <c r="L1514" s="2">
        <v>150300</v>
      </c>
      <c r="M1514" s="2">
        <v>1503000</v>
      </c>
      <c r="N1514" s="2">
        <v>1503000</v>
      </c>
      <c r="O1514" s="2">
        <v>148200</v>
      </c>
      <c r="P1514" s="2">
        <v>-2100</v>
      </c>
      <c r="Q1514" s="2">
        <v>-21000</v>
      </c>
      <c r="R1514" s="4">
        <v>-1.417004048582996E-2</v>
      </c>
      <c r="T1514">
        <v>315563</v>
      </c>
      <c r="U1514" s="2">
        <v>1520185</v>
      </c>
      <c r="V1514">
        <v>6161</v>
      </c>
      <c r="W1514" s="2">
        <v>6579000000</v>
      </c>
      <c r="X1514" s="6">
        <v>1482000</v>
      </c>
      <c r="Y1514" s="38">
        <v>10010</v>
      </c>
      <c r="Z1514" s="86">
        <f>+((DETALLE_GD_1[[#This Row],[VALOR X UN (GD)]]-DETALLE_GD_1[[#This Row],[VALOR PPTO]])/DETALLE_GD_1[[#This Row],[VALOR PPTO]])</f>
        <v>1.417004048582996E-2</v>
      </c>
      <c r="AA1514" s="2">
        <f>+DETALLE_GD_1[[#This Row],[VALOR PPTO]]*DETALLE_GD_1[[#This Row],[CANTIDAD RECIBIDA]]</f>
        <v>1482000</v>
      </c>
      <c r="AB1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4" s="3">
        <f>+DETALLE_GD_1[[#This Row],[CANTIDAD SOLICITADA]]-DETALLE_GD_1[[#This Row],[DEVOLUCIÓN]]</f>
        <v>10</v>
      </c>
      <c r="AD1514" s="38">
        <f>+_xlfn.XLOOKUP(DETALLE_GD_1[[#This Row],[CODIGO]],PRODUCTOS[CODIGO],PRODUCTOS[DESC CORTA],"",0)</f>
        <v>0</v>
      </c>
    </row>
    <row r="1515" spans="1:30" x14ac:dyDescent="0.25">
      <c r="A1515" s="1">
        <v>46157</v>
      </c>
      <c r="B1515" s="1">
        <v>46157</v>
      </c>
      <c r="C1515" s="81" t="s">
        <v>169</v>
      </c>
      <c r="D1515" s="38">
        <v>5</v>
      </c>
      <c r="E1515" s="81" t="s">
        <v>169</v>
      </c>
      <c r="F1515">
        <v>617016</v>
      </c>
      <c r="G1515" s="81" t="s">
        <v>133</v>
      </c>
      <c r="H1515" s="81" t="s">
        <v>31</v>
      </c>
      <c r="I1515" s="3">
        <v>6</v>
      </c>
      <c r="J1515" s="3"/>
      <c r="K1515" s="26">
        <v>6</v>
      </c>
      <c r="L1515" s="2">
        <v>2864.1667000000002</v>
      </c>
      <c r="M1515" s="2">
        <v>17185</v>
      </c>
      <c r="N1515" s="2">
        <v>17185</v>
      </c>
      <c r="O1515" s="2">
        <v>2857.5133000000001</v>
      </c>
      <c r="P1515" s="2">
        <v>-6.6534000000000004</v>
      </c>
      <c r="Q1515" s="2">
        <v>-39.920400000000001</v>
      </c>
      <c r="R1515" s="4">
        <v>-2.3283855676908415E-3</v>
      </c>
      <c r="T1515">
        <v>315563</v>
      </c>
      <c r="U1515" s="2"/>
      <c r="V1515">
        <v>6161</v>
      </c>
      <c r="W1515" s="2">
        <v>6579000000</v>
      </c>
      <c r="X1515" s="6">
        <v>17145.079643999998</v>
      </c>
      <c r="Y1515" s="38">
        <v>10010</v>
      </c>
      <c r="Z1515" s="86">
        <f>+((DETALLE_GD_1[[#This Row],[VALOR X UN (GD)]]-DETALLE_GD_1[[#This Row],[VALOR PPTO]])/DETALLE_GD_1[[#This Row],[VALOR PPTO]])</f>
        <v>2.3283881128392811E-3</v>
      </c>
      <c r="AA1515" s="2">
        <f>+DETALLE_GD_1[[#This Row],[VALOR PPTO]]*DETALLE_GD_1[[#This Row],[CANTIDAD RECIBIDA]]</f>
        <v>17145.0798</v>
      </c>
      <c r="AB1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5" s="3">
        <f>+DETALLE_GD_1[[#This Row],[CANTIDAD SOLICITADA]]-DETALLE_GD_1[[#This Row],[DEVOLUCIÓN]]</f>
        <v>6</v>
      </c>
      <c r="AD1515" s="38" t="str">
        <f>+_xlfn.XLOOKUP(DETALLE_GD_1[[#This Row],[CODIGO]],PRODUCTOS[CODIGO],PRODUCTOS[DESC CORTA],"",0)</f>
        <v>RODILLO CHIPORRO</v>
      </c>
    </row>
    <row r="1516" spans="1:30" x14ac:dyDescent="0.25">
      <c r="A1516" s="1">
        <v>46157</v>
      </c>
      <c r="B1516" s="1">
        <v>46157</v>
      </c>
      <c r="C1516" s="81" t="s">
        <v>169</v>
      </c>
      <c r="D1516" s="38">
        <v>5</v>
      </c>
      <c r="E1516" s="81" t="s">
        <v>169</v>
      </c>
      <c r="F1516">
        <v>1402016</v>
      </c>
      <c r="G1516" s="81" t="s">
        <v>798</v>
      </c>
      <c r="H1516" s="81" t="s">
        <v>31</v>
      </c>
      <c r="I1516" s="3">
        <v>3</v>
      </c>
      <c r="J1516" s="3"/>
      <c r="K1516" s="26">
        <v>3</v>
      </c>
      <c r="L1516" s="2">
        <v>754.33330000000001</v>
      </c>
      <c r="M1516" s="2">
        <v>2263</v>
      </c>
      <c r="N1516" s="2">
        <v>2263</v>
      </c>
      <c r="O1516" s="2"/>
      <c r="P1516" s="2"/>
      <c r="Q1516" s="2">
        <v>-2263</v>
      </c>
      <c r="R1516" s="4"/>
      <c r="T1516">
        <v>315566</v>
      </c>
      <c r="U1516" s="2">
        <v>2195605</v>
      </c>
      <c r="V1516">
        <v>6161</v>
      </c>
      <c r="W1516" s="2">
        <v>6579000000</v>
      </c>
      <c r="X1516" s="6" t="s">
        <v>355</v>
      </c>
      <c r="Y1516" s="38">
        <v>10010</v>
      </c>
      <c r="Z1516" s="86" t="e">
        <f>+((DETALLE_GD_1[[#This Row],[VALOR X UN (GD)]]-DETALLE_GD_1[[#This Row],[VALOR PPTO]])/DETALLE_GD_1[[#This Row],[VALOR PPTO]])</f>
        <v>#DIV/0!</v>
      </c>
      <c r="AA1516" s="2">
        <f>+DETALLE_GD_1[[#This Row],[VALOR PPTO]]*DETALLE_GD_1[[#This Row],[CANTIDAD RECIBIDA]]</f>
        <v>0</v>
      </c>
      <c r="AB1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6" s="3">
        <f>+DETALLE_GD_1[[#This Row],[CANTIDAD SOLICITADA]]-DETALLE_GD_1[[#This Row],[DEVOLUCIÓN]]</f>
        <v>3</v>
      </c>
      <c r="AD1516" s="38" t="str">
        <f>+_xlfn.XLOOKUP(DETALLE_GD_1[[#This Row],[CODIGO]],PRODUCTOS[CODIGO],PRODUCTOS[DESC CORTA],"",0)</f>
        <v/>
      </c>
    </row>
    <row r="1517" spans="1:30" x14ac:dyDescent="0.25">
      <c r="A1517" s="1">
        <v>46157</v>
      </c>
      <c r="B1517" s="1">
        <v>46157</v>
      </c>
      <c r="C1517" s="81" t="s">
        <v>169</v>
      </c>
      <c r="D1517" s="38">
        <v>5</v>
      </c>
      <c r="E1517" s="81" t="s">
        <v>169</v>
      </c>
      <c r="F1517">
        <v>1101298</v>
      </c>
      <c r="G1517" s="81" t="s">
        <v>799</v>
      </c>
      <c r="H1517" s="81" t="s">
        <v>31</v>
      </c>
      <c r="I1517" s="3">
        <v>1</v>
      </c>
      <c r="J1517" s="3"/>
      <c r="K1517" s="26">
        <v>1</v>
      </c>
      <c r="L1517" s="2">
        <v>73070</v>
      </c>
      <c r="M1517" s="2">
        <v>73070</v>
      </c>
      <c r="N1517" s="2">
        <v>73070</v>
      </c>
      <c r="O1517" s="2"/>
      <c r="P1517" s="2"/>
      <c r="Q1517" s="2">
        <v>-73070</v>
      </c>
      <c r="R1517" s="4"/>
      <c r="T1517">
        <v>315566</v>
      </c>
      <c r="U1517" s="2"/>
      <c r="V1517">
        <v>6161</v>
      </c>
      <c r="W1517" s="2">
        <v>6579000000</v>
      </c>
      <c r="X1517" s="6" t="s">
        <v>355</v>
      </c>
      <c r="Y1517" s="38">
        <v>10010</v>
      </c>
      <c r="Z1517" s="86" t="e">
        <f>+((DETALLE_GD_1[[#This Row],[VALOR X UN (GD)]]-DETALLE_GD_1[[#This Row],[VALOR PPTO]])/DETALLE_GD_1[[#This Row],[VALOR PPTO]])</f>
        <v>#DIV/0!</v>
      </c>
      <c r="AA1517" s="2">
        <f>+DETALLE_GD_1[[#This Row],[VALOR PPTO]]*DETALLE_GD_1[[#This Row],[CANTIDAD RECIBIDA]]</f>
        <v>0</v>
      </c>
      <c r="AB1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7" s="3">
        <f>+DETALLE_GD_1[[#This Row],[CANTIDAD SOLICITADA]]-DETALLE_GD_1[[#This Row],[DEVOLUCIÓN]]</f>
        <v>1</v>
      </c>
      <c r="AD1517" s="38" t="str">
        <f>+_xlfn.XLOOKUP(DETALLE_GD_1[[#This Row],[CODIGO]],PRODUCTOS[CODIGO],PRODUCTOS[DESC CORTA],"",0)</f>
        <v/>
      </c>
    </row>
    <row r="1518" spans="1:30" x14ac:dyDescent="0.25">
      <c r="A1518" s="1">
        <v>46157</v>
      </c>
      <c r="B1518" s="1">
        <v>46157</v>
      </c>
      <c r="C1518" s="81" t="s">
        <v>169</v>
      </c>
      <c r="D1518" s="38">
        <v>5</v>
      </c>
      <c r="E1518" s="81" t="s">
        <v>169</v>
      </c>
      <c r="F1518" t="s">
        <v>787</v>
      </c>
      <c r="G1518" s="81" t="s">
        <v>95</v>
      </c>
      <c r="H1518" s="81" t="s">
        <v>31</v>
      </c>
      <c r="I1518" s="3">
        <v>6</v>
      </c>
      <c r="J1518" s="3"/>
      <c r="K1518" s="26">
        <v>6</v>
      </c>
      <c r="L1518" s="2">
        <v>3021.3332999999998</v>
      </c>
      <c r="M1518" s="2">
        <v>18128</v>
      </c>
      <c r="N1518" s="2">
        <v>18128</v>
      </c>
      <c r="O1518" s="2">
        <v>3021.2829000000002</v>
      </c>
      <c r="P1518" s="2">
        <v>-5.0500000000000003E-2</v>
      </c>
      <c r="Q1518" s="2">
        <v>-0.30280000000000001</v>
      </c>
      <c r="R1518" s="4">
        <v>-1.6702948886614604E-5</v>
      </c>
      <c r="T1518">
        <v>315566</v>
      </c>
      <c r="U1518" s="2"/>
      <c r="V1518">
        <v>6161</v>
      </c>
      <c r="W1518" s="2">
        <v>6579000000</v>
      </c>
      <c r="X1518" s="6">
        <v>18127.697214000003</v>
      </c>
      <c r="Y1518" s="38">
        <v>10010</v>
      </c>
      <c r="Z1518" s="86">
        <f>+((DETALLE_GD_1[[#This Row],[VALOR X UN (GD)]]-DETALLE_GD_1[[#This Row],[VALOR PPTO]])/DETALLE_GD_1[[#This Row],[VALOR PPTO]])</f>
        <v>1.6681655332450576E-5</v>
      </c>
      <c r="AA1518" s="2">
        <f>+DETALLE_GD_1[[#This Row],[VALOR PPTO]]*DETALLE_GD_1[[#This Row],[CANTIDAD RECIBIDA]]</f>
        <v>18127.697400000001</v>
      </c>
      <c r="AB1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8" s="3">
        <f>+DETALLE_GD_1[[#This Row],[CANTIDAD SOLICITADA]]-DETALLE_GD_1[[#This Row],[DEVOLUCIÓN]]</f>
        <v>6</v>
      </c>
      <c r="AD1518" s="38" t="str">
        <f>+_xlfn.XLOOKUP(DETALLE_GD_1[[#This Row],[CODIGO]],PRODUCTOS[CODIGO],PRODUCTOS[DESC CORTA],"",0)</f>
        <v>TOPE DE PUERTA</v>
      </c>
    </row>
    <row r="1519" spans="1:30" x14ac:dyDescent="0.25">
      <c r="A1519" s="1">
        <v>46157</v>
      </c>
      <c r="B1519" s="1">
        <v>46157</v>
      </c>
      <c r="C1519" s="81" t="s">
        <v>169</v>
      </c>
      <c r="D1519" s="38">
        <v>5</v>
      </c>
      <c r="E1519" s="81" t="s">
        <v>169</v>
      </c>
      <c r="F1519">
        <v>2508993</v>
      </c>
      <c r="G1519" s="81" t="s">
        <v>487</v>
      </c>
      <c r="H1519" s="81" t="s">
        <v>31</v>
      </c>
      <c r="I1519" s="3">
        <v>1</v>
      </c>
      <c r="J1519" s="3"/>
      <c r="K1519" s="26">
        <v>1</v>
      </c>
      <c r="L1519" s="2">
        <v>1462</v>
      </c>
      <c r="M1519" s="2">
        <v>1462</v>
      </c>
      <c r="N1519" s="2">
        <v>1462</v>
      </c>
      <c r="O1519" s="2">
        <v>1410</v>
      </c>
      <c r="P1519" s="2">
        <v>-52</v>
      </c>
      <c r="Q1519" s="2">
        <v>-52</v>
      </c>
      <c r="R1519" s="4">
        <v>-3.6879432624113473E-2</v>
      </c>
      <c r="T1519">
        <v>315566</v>
      </c>
      <c r="U1519" s="2"/>
      <c r="V1519">
        <v>6161</v>
      </c>
      <c r="W1519" s="2">
        <v>6579000000</v>
      </c>
      <c r="X1519" s="6">
        <v>1410</v>
      </c>
      <c r="Y1519" s="38">
        <v>10010</v>
      </c>
      <c r="Z1519" s="86">
        <f>+((DETALLE_GD_1[[#This Row],[VALOR X UN (GD)]]-DETALLE_GD_1[[#This Row],[VALOR PPTO]])/DETALLE_GD_1[[#This Row],[VALOR PPTO]])</f>
        <v>3.6879432624113473E-2</v>
      </c>
      <c r="AA1519" s="2">
        <f>+DETALLE_GD_1[[#This Row],[VALOR PPTO]]*DETALLE_GD_1[[#This Row],[CANTIDAD RECIBIDA]]</f>
        <v>1410</v>
      </c>
      <c r="AB1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9" s="3">
        <f>+DETALLE_GD_1[[#This Row],[CANTIDAD SOLICITADA]]-DETALLE_GD_1[[#This Row],[DEVOLUCIÓN]]</f>
        <v>1</v>
      </c>
      <c r="AD1519" s="38" t="str">
        <f>+_xlfn.XLOOKUP(DETALLE_GD_1[[#This Row],[CODIGO]],PRODUCTOS[CODIGO],PRODUCTOS[DESC CORTA],"",0)</f>
        <v>BOCALLAVE B1 800 ACCESO</v>
      </c>
    </row>
    <row r="1520" spans="1:30" x14ac:dyDescent="0.25">
      <c r="A1520" s="1">
        <v>46157</v>
      </c>
      <c r="B1520" s="1">
        <v>46157</v>
      </c>
      <c r="C1520" s="81" t="s">
        <v>169</v>
      </c>
      <c r="D1520" s="38">
        <v>5</v>
      </c>
      <c r="E1520" s="81" t="s">
        <v>169</v>
      </c>
      <c r="F1520">
        <v>2508994</v>
      </c>
      <c r="G1520" s="81" t="s">
        <v>488</v>
      </c>
      <c r="H1520" s="81" t="s">
        <v>31</v>
      </c>
      <c r="I1520" s="3">
        <v>1</v>
      </c>
      <c r="J1520" s="3"/>
      <c r="K1520" s="26">
        <v>1</v>
      </c>
      <c r="L1520" s="2">
        <v>1691</v>
      </c>
      <c r="M1520" s="2">
        <v>1691</v>
      </c>
      <c r="N1520" s="2">
        <v>1691</v>
      </c>
      <c r="O1520" s="2">
        <v>1598</v>
      </c>
      <c r="P1520" s="2">
        <v>-93</v>
      </c>
      <c r="Q1520" s="2">
        <v>-93</v>
      </c>
      <c r="R1520" s="4">
        <v>-5.8197747183979978E-2</v>
      </c>
      <c r="T1520">
        <v>315566</v>
      </c>
      <c r="U1520" s="2"/>
      <c r="V1520">
        <v>6161</v>
      </c>
      <c r="W1520" s="2">
        <v>6579000000</v>
      </c>
      <c r="X1520" s="6">
        <v>1598</v>
      </c>
      <c r="Y1520" s="38">
        <v>10010</v>
      </c>
      <c r="Z1520" s="86">
        <f>+((DETALLE_GD_1[[#This Row],[VALOR X UN (GD)]]-DETALLE_GD_1[[#This Row],[VALOR PPTO]])/DETALLE_GD_1[[#This Row],[VALOR PPTO]])</f>
        <v>5.8197747183979978E-2</v>
      </c>
      <c r="AA1520" s="2">
        <f>+DETALLE_GD_1[[#This Row],[VALOR PPTO]]*DETALLE_GD_1[[#This Row],[CANTIDAD RECIBIDA]]</f>
        <v>1598</v>
      </c>
      <c r="AB1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0" s="3">
        <f>+DETALLE_GD_1[[#This Row],[CANTIDAD SOLICITADA]]-DETALLE_GD_1[[#This Row],[DEVOLUCIÓN]]</f>
        <v>1</v>
      </c>
      <c r="AD1520" s="38" t="str">
        <f>+_xlfn.XLOOKUP(DETALLE_GD_1[[#This Row],[CODIGO]],PRODUCTOS[CODIGO],PRODUCTOS[DESC CORTA],"",0)</f>
        <v>CUADRADILLO EXPANSION 8X</v>
      </c>
    </row>
    <row r="1521" spans="1:30" x14ac:dyDescent="0.25">
      <c r="A1521" s="1">
        <v>46157</v>
      </c>
      <c r="B1521" s="1">
        <v>46157</v>
      </c>
      <c r="C1521" s="81" t="s">
        <v>169</v>
      </c>
      <c r="D1521" s="38">
        <v>5</v>
      </c>
      <c r="E1521" s="81" t="s">
        <v>169</v>
      </c>
      <c r="F1521">
        <v>2508992</v>
      </c>
      <c r="G1521" s="81" t="s">
        <v>486</v>
      </c>
      <c r="H1521" s="81" t="s">
        <v>31</v>
      </c>
      <c r="I1521" s="3">
        <v>1</v>
      </c>
      <c r="J1521" s="3"/>
      <c r="K1521" s="26">
        <v>1</v>
      </c>
      <c r="L1521" s="2">
        <v>5069</v>
      </c>
      <c r="M1521" s="2">
        <v>5069</v>
      </c>
      <c r="N1521" s="2">
        <v>5069</v>
      </c>
      <c r="O1521" s="2">
        <v>5084</v>
      </c>
      <c r="P1521" s="2">
        <v>15</v>
      </c>
      <c r="Q1521" s="2">
        <v>15</v>
      </c>
      <c r="R1521" s="4">
        <v>2.9504327301337532E-3</v>
      </c>
      <c r="T1521">
        <v>315566</v>
      </c>
      <c r="U1521" s="2"/>
      <c r="V1521">
        <v>6161</v>
      </c>
      <c r="W1521" s="2">
        <v>6579000000</v>
      </c>
      <c r="X1521" s="6">
        <v>5084</v>
      </c>
      <c r="Y1521" s="38">
        <v>10010</v>
      </c>
      <c r="Z1521" s="86">
        <f>+((DETALLE_GD_1[[#This Row],[VALOR X UN (GD)]]-DETALLE_GD_1[[#This Row],[VALOR PPTO]])/DETALLE_GD_1[[#This Row],[VALOR PPTO]])</f>
        <v>-2.9504327301337532E-3</v>
      </c>
      <c r="AA1521" s="2">
        <f>+DETALLE_GD_1[[#This Row],[VALOR PPTO]]*DETALLE_GD_1[[#This Row],[CANTIDAD RECIBIDA]]</f>
        <v>5084</v>
      </c>
      <c r="AB1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1" s="3">
        <f>+DETALLE_GD_1[[#This Row],[CANTIDAD SOLICITADA]]-DETALLE_GD_1[[#This Row],[DEVOLUCIÓN]]</f>
        <v>1</v>
      </c>
      <c r="AD1521" s="38" t="str">
        <f>+_xlfn.XLOOKUP(DETALLE_GD_1[[#This Row],[CODIGO]],PRODUCTOS[CODIGO],PRODUCTOS[DESC CORTA],"",0)</f>
        <v>MANILLA JUEGO</v>
      </c>
    </row>
    <row r="1522" spans="1:30" x14ac:dyDescent="0.25">
      <c r="A1522" s="1">
        <v>46157</v>
      </c>
      <c r="B1522" s="1">
        <v>46157</v>
      </c>
      <c r="C1522" s="81" t="s">
        <v>169</v>
      </c>
      <c r="D1522" s="38">
        <v>5</v>
      </c>
      <c r="E1522" s="81" t="s">
        <v>169</v>
      </c>
      <c r="F1522">
        <v>2508991</v>
      </c>
      <c r="G1522" s="81" t="s">
        <v>485</v>
      </c>
      <c r="H1522" s="81" t="s">
        <v>31</v>
      </c>
      <c r="I1522" s="3">
        <v>1</v>
      </c>
      <c r="J1522" s="3"/>
      <c r="K1522" s="26">
        <v>1</v>
      </c>
      <c r="L1522" s="2">
        <v>4785</v>
      </c>
      <c r="M1522" s="2">
        <v>4785</v>
      </c>
      <c r="N1522" s="2">
        <v>4785</v>
      </c>
      <c r="O1522" s="2">
        <v>4798</v>
      </c>
      <c r="P1522" s="2">
        <v>13</v>
      </c>
      <c r="Q1522" s="2">
        <v>13</v>
      </c>
      <c r="R1522" s="4">
        <v>2.7094622759483117E-3</v>
      </c>
      <c r="T1522">
        <v>315566</v>
      </c>
      <c r="U1522" s="2"/>
      <c r="V1522">
        <v>6161</v>
      </c>
      <c r="W1522" s="2">
        <v>6579000000</v>
      </c>
      <c r="X1522" s="6">
        <v>4798</v>
      </c>
      <c r="Y1522" s="38">
        <v>10010</v>
      </c>
      <c r="Z1522" s="86">
        <f>+((DETALLE_GD_1[[#This Row],[VALOR X UN (GD)]]-DETALLE_GD_1[[#This Row],[VALOR PPTO]])/DETALLE_GD_1[[#This Row],[VALOR PPTO]])</f>
        <v>-2.7094622759483117E-3</v>
      </c>
      <c r="AA1522" s="2">
        <f>+DETALLE_GD_1[[#This Row],[VALOR PPTO]]*DETALLE_GD_1[[#This Row],[CANTIDAD RECIBIDA]]</f>
        <v>4798</v>
      </c>
      <c r="AB1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2" s="3">
        <f>+DETALLE_GD_1[[#This Row],[CANTIDAD SOLICITADA]]-DETALLE_GD_1[[#This Row],[DEVOLUCIÓN]]</f>
        <v>1</v>
      </c>
      <c r="AD1522" s="38" t="str">
        <f>+_xlfn.XLOOKUP(DETALLE_GD_1[[#This Row],[CODIGO]],PRODUCTOS[CODIGO],PRODUCTOS[DESC CORTA],"",0)</f>
        <v>CILINDRO 03 LLAVE/LLAVE</v>
      </c>
    </row>
    <row r="1523" spans="1:30" x14ac:dyDescent="0.25">
      <c r="A1523" s="1">
        <v>46157</v>
      </c>
      <c r="B1523" s="1">
        <v>46157</v>
      </c>
      <c r="C1523" s="81" t="s">
        <v>169</v>
      </c>
      <c r="D1523" s="38">
        <v>5</v>
      </c>
      <c r="E1523" s="81" t="s">
        <v>169</v>
      </c>
      <c r="F1523">
        <v>2508990</v>
      </c>
      <c r="G1523" s="81" t="s">
        <v>484</v>
      </c>
      <c r="H1523" s="81" t="s">
        <v>31</v>
      </c>
      <c r="I1523" s="3">
        <v>1</v>
      </c>
      <c r="J1523" s="3"/>
      <c r="K1523" s="26">
        <v>1</v>
      </c>
      <c r="L1523" s="2">
        <v>6689</v>
      </c>
      <c r="M1523" s="2">
        <v>6689</v>
      </c>
      <c r="N1523" s="2">
        <v>6689</v>
      </c>
      <c r="O1523" s="2">
        <v>6738</v>
      </c>
      <c r="P1523" s="2">
        <v>49</v>
      </c>
      <c r="Q1523" s="2">
        <v>49</v>
      </c>
      <c r="R1523" s="4">
        <v>7.2721875927574944E-3</v>
      </c>
      <c r="T1523">
        <v>315566</v>
      </c>
      <c r="U1523" s="2"/>
      <c r="V1523">
        <v>6161</v>
      </c>
      <c r="W1523" s="2">
        <v>6579000000</v>
      </c>
      <c r="X1523" s="6">
        <v>6738</v>
      </c>
      <c r="Y1523" s="38">
        <v>10010</v>
      </c>
      <c r="Z1523" s="86">
        <f>+((DETALLE_GD_1[[#This Row],[VALOR X UN (GD)]]-DETALLE_GD_1[[#This Row],[VALOR PPTO]])/DETALLE_GD_1[[#This Row],[VALOR PPTO]])</f>
        <v>-7.2721875927574944E-3</v>
      </c>
      <c r="AA1523" s="2">
        <f>+DETALLE_GD_1[[#This Row],[VALOR PPTO]]*DETALLE_GD_1[[#This Row],[CANTIDAD RECIBIDA]]</f>
        <v>6738</v>
      </c>
      <c r="AB15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3" s="3">
        <f>+DETALLE_GD_1[[#This Row],[CANTIDAD SOLICITADA]]-DETALLE_GD_1[[#This Row],[DEVOLUCIÓN]]</f>
        <v>1</v>
      </c>
      <c r="AD1523" s="38" t="str">
        <f>+_xlfn.XLOOKUP(DETALLE_GD_1[[#This Row],[CODIGO]],PRODUCTOS[CODIGO],PRODUCTOS[DESC CORTA],"",0)</f>
        <v>CERRADURA DE EMB</v>
      </c>
    </row>
    <row r="1524" spans="1:30" x14ac:dyDescent="0.25">
      <c r="A1524" s="1">
        <v>46157</v>
      </c>
      <c r="B1524" s="1">
        <v>46157</v>
      </c>
      <c r="C1524" s="81" t="s">
        <v>169</v>
      </c>
      <c r="D1524" s="38">
        <v>5</v>
      </c>
      <c r="E1524" s="81" t="s">
        <v>169</v>
      </c>
      <c r="F1524">
        <v>1405039</v>
      </c>
      <c r="G1524" s="81" t="s">
        <v>314</v>
      </c>
      <c r="H1524" s="81" t="s">
        <v>31</v>
      </c>
      <c r="I1524" s="3">
        <v>4</v>
      </c>
      <c r="J1524" s="3"/>
      <c r="K1524" s="26">
        <v>4</v>
      </c>
      <c r="L1524" s="2">
        <v>7636.5</v>
      </c>
      <c r="M1524" s="2">
        <v>30546</v>
      </c>
      <c r="N1524" s="2">
        <v>30546</v>
      </c>
      <c r="O1524" s="2">
        <v>7596</v>
      </c>
      <c r="P1524" s="2">
        <v>-40.5</v>
      </c>
      <c r="Q1524" s="2">
        <v>-162</v>
      </c>
      <c r="R1524" s="4">
        <v>-5.3317535545023701E-3</v>
      </c>
      <c r="T1524">
        <v>315566</v>
      </c>
      <c r="U1524" s="2"/>
      <c r="V1524">
        <v>6161</v>
      </c>
      <c r="W1524" s="2">
        <v>6579000000</v>
      </c>
      <c r="X1524" s="6">
        <v>30384</v>
      </c>
      <c r="Y1524" s="38">
        <v>10010</v>
      </c>
      <c r="Z1524" s="86">
        <f>+((DETALLE_GD_1[[#This Row],[VALOR X UN (GD)]]-DETALLE_GD_1[[#This Row],[VALOR PPTO]])/DETALLE_GD_1[[#This Row],[VALOR PPTO]])</f>
        <v>5.3317535545023701E-3</v>
      </c>
      <c r="AA1524" s="2">
        <f>+DETALLE_GD_1[[#This Row],[VALOR PPTO]]*DETALLE_GD_1[[#This Row],[CANTIDAD RECIBIDA]]</f>
        <v>30384</v>
      </c>
      <c r="AB15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4" s="3">
        <f>+DETALLE_GD_1[[#This Row],[CANTIDAD SOLICITADA]]-DETALLE_GD_1[[#This Row],[DEVOLUCIÓN]]</f>
        <v>4</v>
      </c>
      <c r="AD1524" s="38" t="str">
        <f>+_xlfn.XLOOKUP(DETALLE_GD_1[[#This Row],[CODIGO]],PRODUCTOS[CODIGO],PRODUCTOS[DESC CORTA],"",0)</f>
        <v>CERRADURA INOX 304</v>
      </c>
    </row>
    <row r="1525" spans="1:30" x14ac:dyDescent="0.25">
      <c r="A1525" s="1">
        <v>46157</v>
      </c>
      <c r="B1525" s="1">
        <v>46157</v>
      </c>
      <c r="C1525" s="81" t="s">
        <v>169</v>
      </c>
      <c r="D1525" s="38">
        <v>5</v>
      </c>
      <c r="E1525" s="81" t="s">
        <v>169</v>
      </c>
      <c r="F1525">
        <v>304002</v>
      </c>
      <c r="G1525" s="81" t="s">
        <v>37</v>
      </c>
      <c r="H1525" s="81" t="s">
        <v>18</v>
      </c>
      <c r="I1525" s="3">
        <v>72</v>
      </c>
      <c r="J1525" s="3"/>
      <c r="K1525" s="26">
        <v>72</v>
      </c>
      <c r="L1525" s="2">
        <v>21611.361099999998</v>
      </c>
      <c r="M1525" s="2">
        <v>1556018</v>
      </c>
      <c r="N1525" s="2">
        <v>1556018</v>
      </c>
      <c r="O1525" s="2">
        <v>21246.5072</v>
      </c>
      <c r="P1525" s="2">
        <v>-364.85399999999998</v>
      </c>
      <c r="Q1525" s="2">
        <v>-26269.485000000001</v>
      </c>
      <c r="R1525" s="4">
        <v>-1.7172420647013967E-2</v>
      </c>
      <c r="T1525">
        <v>315566</v>
      </c>
      <c r="U1525" s="2"/>
      <c r="V1525">
        <v>6161</v>
      </c>
      <c r="W1525" s="2">
        <v>6579000000</v>
      </c>
      <c r="X1525" s="6">
        <v>1529748.5150160005</v>
      </c>
      <c r="Y1525" s="38">
        <v>10010</v>
      </c>
      <c r="Z1525" s="86">
        <f>+((DETALLE_GD_1[[#This Row],[VALOR X UN (GD)]]-DETALLE_GD_1[[#This Row],[VALOR PPTO]])/DETALLE_GD_1[[#This Row],[VALOR PPTO]])</f>
        <v>1.7172417873936391E-2</v>
      </c>
      <c r="AA1525" s="2">
        <f>+DETALLE_GD_1[[#This Row],[VALOR PPTO]]*DETALLE_GD_1[[#This Row],[CANTIDAD RECIBIDA]]</f>
        <v>1529748.5183999999</v>
      </c>
      <c r="AB15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25" s="3">
        <f>+DETALLE_GD_1[[#This Row],[CANTIDAD SOLICITADA]]-DETALLE_GD_1[[#This Row],[DEVOLUCIÓN]]</f>
        <v>72</v>
      </c>
      <c r="AD1525" s="38" t="str">
        <f>+_xlfn.XLOOKUP(DETALLE_GD_1[[#This Row],[CODIGO]],PRODUCTOS[CODIGO],PRODUCTOS[DESC CORTA],"",0)</f>
        <v>SMARTPANEL</v>
      </c>
    </row>
    <row r="1526" spans="1:30" x14ac:dyDescent="0.25">
      <c r="A1526" s="1">
        <v>46157</v>
      </c>
      <c r="B1526" s="1">
        <v>46157</v>
      </c>
      <c r="C1526" s="81" t="s">
        <v>169</v>
      </c>
      <c r="D1526" s="38">
        <v>5</v>
      </c>
      <c r="E1526" s="81" t="s">
        <v>169</v>
      </c>
      <c r="F1526">
        <v>602255</v>
      </c>
      <c r="G1526" s="81" t="s">
        <v>203</v>
      </c>
      <c r="H1526" s="81" t="s">
        <v>25</v>
      </c>
      <c r="I1526" s="3">
        <v>1</v>
      </c>
      <c r="J1526" s="3"/>
      <c r="K1526" s="26">
        <v>1</v>
      </c>
      <c r="L1526" s="2">
        <v>47890</v>
      </c>
      <c r="M1526" s="2">
        <v>47890</v>
      </c>
      <c r="N1526" s="2">
        <v>47890</v>
      </c>
      <c r="O1526" s="2">
        <v>47889.5</v>
      </c>
      <c r="P1526" s="2">
        <v>-0.5</v>
      </c>
      <c r="Q1526" s="2">
        <v>-0.5</v>
      </c>
      <c r="R1526" s="4">
        <v>-1.0440702032804683E-5</v>
      </c>
      <c r="T1526">
        <v>315566</v>
      </c>
      <c r="U1526" s="2"/>
      <c r="V1526">
        <v>6161</v>
      </c>
      <c r="W1526" s="2">
        <v>6579000000</v>
      </c>
      <c r="X1526" s="6">
        <v>47889.5</v>
      </c>
      <c r="Y1526" s="38">
        <v>10010</v>
      </c>
      <c r="Z1526" s="86">
        <f>+((DETALLE_GD_1[[#This Row],[VALOR X UN (GD)]]-DETALLE_GD_1[[#This Row],[VALOR PPTO]])/DETALLE_GD_1[[#This Row],[VALOR PPTO]])</f>
        <v>1.0440702032804685E-5</v>
      </c>
      <c r="AA1526" s="2">
        <f>+DETALLE_GD_1[[#This Row],[VALOR PPTO]]*DETALLE_GD_1[[#This Row],[CANTIDAD RECIBIDA]]</f>
        <v>47889.5</v>
      </c>
      <c r="AB1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6" s="3">
        <f>+DETALLE_GD_1[[#This Row],[CANTIDAD SOLICITADA]]-DETALLE_GD_1[[#This Row],[DEVOLUCIÓN]]</f>
        <v>1</v>
      </c>
      <c r="AD1526" s="38">
        <f>+_xlfn.XLOOKUP(DETALLE_GD_1[[#This Row],[CODIGO]],PRODUCTOS[CODIGO],PRODUCTOS[DESC CORTA],"",0)</f>
        <v>0</v>
      </c>
    </row>
    <row r="1527" spans="1:30" x14ac:dyDescent="0.25">
      <c r="A1527" s="1">
        <v>46157</v>
      </c>
      <c r="B1527" s="1">
        <v>46157</v>
      </c>
      <c r="C1527" s="81" t="s">
        <v>169</v>
      </c>
      <c r="D1527" s="38">
        <v>5</v>
      </c>
      <c r="E1527" s="81" t="s">
        <v>169</v>
      </c>
      <c r="F1527">
        <v>602254</v>
      </c>
      <c r="G1527" s="81" t="s">
        <v>214</v>
      </c>
      <c r="H1527" s="81" t="s">
        <v>25</v>
      </c>
      <c r="I1527" s="3">
        <v>1</v>
      </c>
      <c r="J1527" s="3"/>
      <c r="K1527" s="26">
        <v>1</v>
      </c>
      <c r="L1527" s="2">
        <v>46060</v>
      </c>
      <c r="M1527" s="2">
        <v>46060</v>
      </c>
      <c r="N1527" s="2">
        <v>46060</v>
      </c>
      <c r="O1527" s="2">
        <v>46060</v>
      </c>
      <c r="P1527" s="2">
        <v>0</v>
      </c>
      <c r="Q1527" s="2">
        <v>0</v>
      </c>
      <c r="R1527" s="4">
        <v>0</v>
      </c>
      <c r="T1527">
        <v>315566</v>
      </c>
      <c r="U1527" s="2"/>
      <c r="V1527">
        <v>6161</v>
      </c>
      <c r="W1527" s="2">
        <v>6579000000</v>
      </c>
      <c r="X1527" s="6">
        <v>46060</v>
      </c>
      <c r="Y1527" s="38">
        <v>10010</v>
      </c>
      <c r="Z1527" s="86">
        <f>+((DETALLE_GD_1[[#This Row],[VALOR X UN (GD)]]-DETALLE_GD_1[[#This Row],[VALOR PPTO]])/DETALLE_GD_1[[#This Row],[VALOR PPTO]])</f>
        <v>0</v>
      </c>
      <c r="AA1527" s="2">
        <f>+DETALLE_GD_1[[#This Row],[VALOR PPTO]]*DETALLE_GD_1[[#This Row],[CANTIDAD RECIBIDA]]</f>
        <v>46060</v>
      </c>
      <c r="AB1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7" s="3">
        <f>+DETALLE_GD_1[[#This Row],[CANTIDAD SOLICITADA]]-DETALLE_GD_1[[#This Row],[DEVOLUCIÓN]]</f>
        <v>1</v>
      </c>
      <c r="AD1527" s="38">
        <f>+_xlfn.XLOOKUP(DETALLE_GD_1[[#This Row],[CODIGO]],PRODUCTOS[CODIGO],PRODUCTOS[DESC CORTA],"",0)</f>
        <v>0</v>
      </c>
    </row>
    <row r="1528" spans="1:30" x14ac:dyDescent="0.25">
      <c r="A1528" s="1">
        <v>46157</v>
      </c>
      <c r="B1528" s="1">
        <v>46157</v>
      </c>
      <c r="C1528" s="81" t="s">
        <v>169</v>
      </c>
      <c r="D1528" s="38">
        <v>5</v>
      </c>
      <c r="E1528" s="81" t="s">
        <v>169</v>
      </c>
      <c r="F1528">
        <v>704021</v>
      </c>
      <c r="G1528" s="81" t="s">
        <v>329</v>
      </c>
      <c r="H1528" s="81" t="s">
        <v>31</v>
      </c>
      <c r="I1528" s="3">
        <v>100</v>
      </c>
      <c r="J1528" s="3"/>
      <c r="K1528" s="26">
        <v>100</v>
      </c>
      <c r="L1528" s="2">
        <v>487</v>
      </c>
      <c r="M1528" s="2">
        <v>48700</v>
      </c>
      <c r="N1528" s="2">
        <v>48700</v>
      </c>
      <c r="O1528" s="2">
        <v>487</v>
      </c>
      <c r="P1528" s="2">
        <v>0</v>
      </c>
      <c r="Q1528" s="2">
        <v>0</v>
      </c>
      <c r="R1528" s="4">
        <v>0</v>
      </c>
      <c r="T1528">
        <v>315566</v>
      </c>
      <c r="U1528" s="2"/>
      <c r="V1528">
        <v>6161</v>
      </c>
      <c r="W1528" s="2">
        <v>6579000000</v>
      </c>
      <c r="X1528" s="6">
        <v>48700</v>
      </c>
      <c r="Y1528" s="38">
        <v>10010</v>
      </c>
      <c r="Z1528" s="86">
        <f>+((DETALLE_GD_1[[#This Row],[VALOR X UN (GD)]]-DETALLE_GD_1[[#This Row],[VALOR PPTO]])/DETALLE_GD_1[[#This Row],[VALOR PPTO]])</f>
        <v>0</v>
      </c>
      <c r="AA1528" s="2">
        <f>+DETALLE_GD_1[[#This Row],[VALOR PPTO]]*DETALLE_GD_1[[#This Row],[CANTIDAD RECIBIDA]]</f>
        <v>48700</v>
      </c>
      <c r="AB1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8" s="3">
        <f>+DETALLE_GD_1[[#This Row],[CANTIDAD SOLICITADA]]-DETALLE_GD_1[[#This Row],[DEVOLUCIÓN]]</f>
        <v>100</v>
      </c>
      <c r="AD1528" s="38" t="str">
        <f>+_xlfn.XLOOKUP(DETALLE_GD_1[[#This Row],[CODIGO]],PRODUCTOS[CODIGO],PRODUCTOS[DESC CORTA],"",0)</f>
        <v>ESQUINERO PILASTRA PVC</v>
      </c>
    </row>
    <row r="1529" spans="1:30" x14ac:dyDescent="0.25">
      <c r="A1529" s="1">
        <v>46157</v>
      </c>
      <c r="B1529" s="1">
        <v>46157</v>
      </c>
      <c r="C1529" s="81" t="s">
        <v>169</v>
      </c>
      <c r="D1529" s="38">
        <v>5</v>
      </c>
      <c r="E1529" s="81" t="s">
        <v>169</v>
      </c>
      <c r="F1529">
        <v>704025</v>
      </c>
      <c r="G1529" s="81" t="s">
        <v>333</v>
      </c>
      <c r="H1529" s="81" t="s">
        <v>31</v>
      </c>
      <c r="I1529" s="3">
        <v>100</v>
      </c>
      <c r="J1529" s="3"/>
      <c r="K1529" s="26">
        <v>100</v>
      </c>
      <c r="L1529" s="2">
        <v>579.9</v>
      </c>
      <c r="M1529" s="2">
        <v>57990</v>
      </c>
      <c r="N1529" s="2">
        <v>57990</v>
      </c>
      <c r="O1529" s="2">
        <v>580</v>
      </c>
      <c r="P1529" s="2">
        <v>0.1</v>
      </c>
      <c r="Q1529" s="2">
        <v>10</v>
      </c>
      <c r="R1529" s="4">
        <v>1.7241379310348748E-4</v>
      </c>
      <c r="T1529">
        <v>315566</v>
      </c>
      <c r="U1529" s="2"/>
      <c r="V1529">
        <v>6161</v>
      </c>
      <c r="W1529" s="2">
        <v>6579000000</v>
      </c>
      <c r="X1529" s="6">
        <v>58000</v>
      </c>
      <c r="Y1529" s="38">
        <v>10010</v>
      </c>
      <c r="Z1529" s="86">
        <f>+((DETALLE_GD_1[[#This Row],[VALOR X UN (GD)]]-DETALLE_GD_1[[#This Row],[VALOR PPTO]])/DETALLE_GD_1[[#This Row],[VALOR PPTO]])</f>
        <v>-1.7241379310348748E-4</v>
      </c>
      <c r="AA1529" s="2">
        <f>+DETALLE_GD_1[[#This Row],[VALOR PPTO]]*DETALLE_GD_1[[#This Row],[CANTIDAD RECIBIDA]]</f>
        <v>58000</v>
      </c>
      <c r="AB1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9" s="3">
        <f>+DETALLE_GD_1[[#This Row],[CANTIDAD SOLICITADA]]-DETALLE_GD_1[[#This Row],[DEVOLUCIÓN]]</f>
        <v>100</v>
      </c>
      <c r="AD1529" s="38" t="str">
        <f>+_xlfn.XLOOKUP(DETALLE_GD_1[[#This Row],[CODIGO]],PRODUCTOS[CODIGO],PRODUCTOS[DESC CORTA],"",0)</f>
        <v>ESQUINERO GUARDAPOLVO EXTERIOR</v>
      </c>
    </row>
    <row r="1530" spans="1:30" x14ac:dyDescent="0.25">
      <c r="A1530" s="1">
        <v>46157</v>
      </c>
      <c r="B1530" s="1">
        <v>46157</v>
      </c>
      <c r="C1530" s="81" t="s">
        <v>169</v>
      </c>
      <c r="D1530" s="38">
        <v>5</v>
      </c>
      <c r="E1530" s="81" t="s">
        <v>169</v>
      </c>
      <c r="F1530">
        <v>704023</v>
      </c>
      <c r="G1530" s="81" t="s">
        <v>331</v>
      </c>
      <c r="H1530" s="81" t="s">
        <v>31</v>
      </c>
      <c r="I1530" s="3">
        <v>100</v>
      </c>
      <c r="J1530" s="3"/>
      <c r="K1530" s="26">
        <v>100</v>
      </c>
      <c r="L1530" s="2">
        <v>324</v>
      </c>
      <c r="M1530" s="2">
        <v>32400</v>
      </c>
      <c r="N1530" s="2">
        <v>32400</v>
      </c>
      <c r="O1530" s="2">
        <v>324</v>
      </c>
      <c r="P1530" s="2">
        <v>0</v>
      </c>
      <c r="Q1530" s="2">
        <v>0</v>
      </c>
      <c r="R1530" s="4">
        <v>0</v>
      </c>
      <c r="T1530">
        <v>315566</v>
      </c>
      <c r="U1530" s="2"/>
      <c r="V1530">
        <v>6161</v>
      </c>
      <c r="W1530" s="2">
        <v>6579000000</v>
      </c>
      <c r="X1530" s="6">
        <v>32400</v>
      </c>
      <c r="Y1530" s="38">
        <v>10010</v>
      </c>
      <c r="Z1530" s="86">
        <f>+((DETALLE_GD_1[[#This Row],[VALOR X UN (GD)]]-DETALLE_GD_1[[#This Row],[VALOR PPTO]])/DETALLE_GD_1[[#This Row],[VALOR PPTO]])</f>
        <v>0</v>
      </c>
      <c r="AA1530" s="2">
        <f>+DETALLE_GD_1[[#This Row],[VALOR PPTO]]*DETALLE_GD_1[[#This Row],[CANTIDAD RECIBIDA]]</f>
        <v>32400</v>
      </c>
      <c r="AB1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0" s="3">
        <f>+DETALLE_GD_1[[#This Row],[CANTIDAD SOLICITADA]]-DETALLE_GD_1[[#This Row],[DEVOLUCIÓN]]</f>
        <v>100</v>
      </c>
      <c r="AD1530" s="38" t="str">
        <f>+_xlfn.XLOOKUP(DETALLE_GD_1[[#This Row],[CODIGO]],PRODUCTOS[CODIGO],PRODUCTOS[DESC CORTA],"",0)</f>
        <v>ESQUINERO GUARDAPOLVO INTERIOR</v>
      </c>
    </row>
    <row r="1531" spans="1:30" x14ac:dyDescent="0.25">
      <c r="A1531" s="1">
        <v>46157</v>
      </c>
      <c r="B1531" s="1">
        <v>46157</v>
      </c>
      <c r="C1531" s="81" t="s">
        <v>169</v>
      </c>
      <c r="D1531" s="38">
        <v>5</v>
      </c>
      <c r="E1531" s="81" t="s">
        <v>169</v>
      </c>
      <c r="F1531">
        <v>704024</v>
      </c>
      <c r="G1531" s="81" t="s">
        <v>332</v>
      </c>
      <c r="H1531" s="81" t="s">
        <v>31</v>
      </c>
      <c r="I1531" s="3">
        <v>100</v>
      </c>
      <c r="J1531" s="3"/>
      <c r="K1531" s="26">
        <v>100</v>
      </c>
      <c r="L1531" s="2">
        <v>317.93</v>
      </c>
      <c r="M1531" s="2">
        <v>31793</v>
      </c>
      <c r="N1531" s="2">
        <v>31793</v>
      </c>
      <c r="O1531" s="2">
        <v>363</v>
      </c>
      <c r="P1531" s="2">
        <v>45.07</v>
      </c>
      <c r="Q1531" s="2">
        <v>4507</v>
      </c>
      <c r="R1531" s="4">
        <v>0.12415977961432503</v>
      </c>
      <c r="T1531">
        <v>315566</v>
      </c>
      <c r="U1531" s="2"/>
      <c r="V1531">
        <v>6161</v>
      </c>
      <c r="W1531" s="2">
        <v>6579000000</v>
      </c>
      <c r="X1531" s="6">
        <v>36300</v>
      </c>
      <c r="Y1531" s="38">
        <v>10010</v>
      </c>
      <c r="Z1531" s="86">
        <f>+((DETALLE_GD_1[[#This Row],[VALOR X UN (GD)]]-DETALLE_GD_1[[#This Row],[VALOR PPTO]])/DETALLE_GD_1[[#This Row],[VALOR PPTO]])</f>
        <v>-0.12415977961432505</v>
      </c>
      <c r="AA1531" s="2">
        <f>+DETALLE_GD_1[[#This Row],[VALOR PPTO]]*DETALLE_GD_1[[#This Row],[CANTIDAD RECIBIDA]]</f>
        <v>36300</v>
      </c>
      <c r="AB1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1" s="3">
        <f>+DETALLE_GD_1[[#This Row],[CANTIDAD SOLICITADA]]-DETALLE_GD_1[[#This Row],[DEVOLUCIÓN]]</f>
        <v>100</v>
      </c>
      <c r="AD1531" s="38" t="str">
        <f>+_xlfn.XLOOKUP(DETALLE_GD_1[[#This Row],[CODIGO]],PRODUCTOS[CODIGO],PRODUCTOS[DESC CORTA],"",0)</f>
        <v>ESQUINERO CORNIZA EXTERIOR</v>
      </c>
    </row>
    <row r="1532" spans="1:30" x14ac:dyDescent="0.25">
      <c r="A1532" s="1">
        <v>46157</v>
      </c>
      <c r="B1532" s="1">
        <v>46157</v>
      </c>
      <c r="C1532" s="81" t="s">
        <v>169</v>
      </c>
      <c r="D1532" s="38">
        <v>5</v>
      </c>
      <c r="E1532" s="81" t="s">
        <v>169</v>
      </c>
      <c r="F1532">
        <v>704022</v>
      </c>
      <c r="G1532" s="81" t="s">
        <v>330</v>
      </c>
      <c r="H1532" s="81" t="s">
        <v>31</v>
      </c>
      <c r="I1532" s="3">
        <v>100</v>
      </c>
      <c r="J1532" s="3"/>
      <c r="K1532" s="26">
        <v>100</v>
      </c>
      <c r="L1532" s="2">
        <v>258.39</v>
      </c>
      <c r="M1532" s="2">
        <v>25839</v>
      </c>
      <c r="N1532" s="2">
        <v>25839</v>
      </c>
      <c r="O1532" s="2">
        <v>306</v>
      </c>
      <c r="P1532" s="2">
        <v>47.61</v>
      </c>
      <c r="Q1532" s="2">
        <v>4761</v>
      </c>
      <c r="R1532" s="4">
        <v>0.15558823529411786</v>
      </c>
      <c r="T1532">
        <v>315566</v>
      </c>
      <c r="U1532" s="2"/>
      <c r="V1532">
        <v>6161</v>
      </c>
      <c r="W1532" s="2">
        <v>6579000000</v>
      </c>
      <c r="X1532" s="6">
        <v>30600.000000000007</v>
      </c>
      <c r="Y1532" s="38">
        <v>10010</v>
      </c>
      <c r="Z1532" s="86">
        <f>+((DETALLE_GD_1[[#This Row],[VALOR X UN (GD)]]-DETALLE_GD_1[[#This Row],[VALOR PPTO]])/DETALLE_GD_1[[#This Row],[VALOR PPTO]])</f>
        <v>-0.15558823529411769</v>
      </c>
      <c r="AA1532" s="2">
        <f>+DETALLE_GD_1[[#This Row],[VALOR PPTO]]*DETALLE_GD_1[[#This Row],[CANTIDAD RECIBIDA]]</f>
        <v>30600</v>
      </c>
      <c r="AB1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2" s="3">
        <f>+DETALLE_GD_1[[#This Row],[CANTIDAD SOLICITADA]]-DETALLE_GD_1[[#This Row],[DEVOLUCIÓN]]</f>
        <v>100</v>
      </c>
      <c r="AD1532" s="38" t="str">
        <f>+_xlfn.XLOOKUP(DETALLE_GD_1[[#This Row],[CODIGO]],PRODUCTOS[CODIGO],PRODUCTOS[DESC CORTA],"",0)</f>
        <v>ESQUINERO CORNIZA INTERIOR</v>
      </c>
    </row>
    <row r="1533" spans="1:30" x14ac:dyDescent="0.25">
      <c r="A1533" s="1">
        <v>46157</v>
      </c>
      <c r="B1533" s="1">
        <v>46157</v>
      </c>
      <c r="C1533" s="81" t="s">
        <v>169</v>
      </c>
      <c r="D1533" s="38">
        <v>5</v>
      </c>
      <c r="E1533" s="81" t="s">
        <v>169</v>
      </c>
      <c r="F1533">
        <v>2302017</v>
      </c>
      <c r="G1533" s="81" t="s">
        <v>156</v>
      </c>
      <c r="H1533" s="81" t="s">
        <v>25</v>
      </c>
      <c r="I1533" s="3">
        <v>1</v>
      </c>
      <c r="J1533" s="3"/>
      <c r="K1533" s="26">
        <v>1</v>
      </c>
      <c r="L1533" s="2">
        <v>83400</v>
      </c>
      <c r="M1533" s="2">
        <v>83400</v>
      </c>
      <c r="N1533" s="2">
        <v>83400</v>
      </c>
      <c r="O1533" s="2">
        <v>81197.881599999993</v>
      </c>
      <c r="P1533" s="2">
        <v>-2202.1183999999998</v>
      </c>
      <c r="Q1533" s="2">
        <v>-2202.1183999999998</v>
      </c>
      <c r="R1533" s="4">
        <v>-2.7120392529668531E-2</v>
      </c>
      <c r="T1533">
        <v>315566</v>
      </c>
      <c r="U1533" s="2"/>
      <c r="V1533">
        <v>6161</v>
      </c>
      <c r="W1533" s="2">
        <v>6579000000</v>
      </c>
      <c r="X1533" s="6">
        <v>81197.881578999979</v>
      </c>
      <c r="Y1533" s="38">
        <v>10010</v>
      </c>
      <c r="Z1533" s="86">
        <f>+((DETALLE_GD_1[[#This Row],[VALOR X UN (GD)]]-DETALLE_GD_1[[#This Row],[VALOR PPTO]])/DETALLE_GD_1[[#This Row],[VALOR PPTO]])</f>
        <v>2.7120392264026835E-2</v>
      </c>
      <c r="AA1533" s="2">
        <f>+DETALLE_GD_1[[#This Row],[VALOR PPTO]]*DETALLE_GD_1[[#This Row],[CANTIDAD RECIBIDA]]</f>
        <v>81197.881599999993</v>
      </c>
      <c r="AB1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3" s="3">
        <f>+DETALLE_GD_1[[#This Row],[CANTIDAD SOLICITADA]]-DETALLE_GD_1[[#This Row],[DEVOLUCIÓN]]</f>
        <v>1</v>
      </c>
      <c r="AD1533" s="38">
        <f>+_xlfn.XLOOKUP(DETALLE_GD_1[[#This Row],[CODIGO]],PRODUCTOS[CODIGO],PRODUCTOS[DESC CORTA],"",0)</f>
        <v>0</v>
      </c>
    </row>
    <row r="1534" spans="1:30" x14ac:dyDescent="0.25">
      <c r="A1534" s="1">
        <v>46157</v>
      </c>
      <c r="B1534" s="1">
        <v>46157</v>
      </c>
      <c r="C1534" s="81" t="s">
        <v>169</v>
      </c>
      <c r="D1534" s="38">
        <v>5</v>
      </c>
      <c r="E1534" s="81" t="s">
        <v>169</v>
      </c>
      <c r="F1534" t="s">
        <v>562</v>
      </c>
      <c r="G1534" s="81" t="s">
        <v>708</v>
      </c>
      <c r="H1534" s="81" t="s">
        <v>47</v>
      </c>
      <c r="I1534" s="3">
        <v>50</v>
      </c>
      <c r="J1534" s="3"/>
      <c r="K1534" s="26">
        <v>50</v>
      </c>
      <c r="L1534" s="2">
        <v>328.26</v>
      </c>
      <c r="M1534" s="2">
        <v>16413</v>
      </c>
      <c r="N1534" s="2">
        <v>16413</v>
      </c>
      <c r="O1534" s="2"/>
      <c r="P1534" s="2"/>
      <c r="Q1534" s="2">
        <v>-16413</v>
      </c>
      <c r="R1534" s="4"/>
      <c r="T1534">
        <v>315566</v>
      </c>
      <c r="U1534" s="2"/>
      <c r="V1534">
        <v>6161</v>
      </c>
      <c r="W1534" s="2">
        <v>6579000000</v>
      </c>
      <c r="X1534" s="6" t="s">
        <v>355</v>
      </c>
      <c r="Y1534" s="38">
        <v>10010</v>
      </c>
      <c r="Z1534" s="86" t="e">
        <f>+((DETALLE_GD_1[[#This Row],[VALOR X UN (GD)]]-DETALLE_GD_1[[#This Row],[VALOR PPTO]])/DETALLE_GD_1[[#This Row],[VALOR PPTO]])</f>
        <v>#DIV/0!</v>
      </c>
      <c r="AA1534" s="2">
        <f>+DETALLE_GD_1[[#This Row],[VALOR PPTO]]*DETALLE_GD_1[[#This Row],[CANTIDAD RECIBIDA]]</f>
        <v>0</v>
      </c>
      <c r="AB1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4" s="3">
        <f>+DETALLE_GD_1[[#This Row],[CANTIDAD SOLICITADA]]-DETALLE_GD_1[[#This Row],[DEVOLUCIÓN]]</f>
        <v>50</v>
      </c>
      <c r="AD1534" s="38" t="str">
        <f>+_xlfn.XLOOKUP(DETALLE_GD_1[[#This Row],[CODIGO]],PRODUCTOS[CODIGO],PRODUCTOS[DESC CORTA],"",0)</f>
        <v/>
      </c>
    </row>
    <row r="1535" spans="1:30" x14ac:dyDescent="0.25">
      <c r="A1535" s="1">
        <v>46157</v>
      </c>
      <c r="B1535" s="1">
        <v>46157</v>
      </c>
      <c r="C1535" s="81" t="s">
        <v>169</v>
      </c>
      <c r="D1535" s="38">
        <v>5</v>
      </c>
      <c r="E1535" s="81" t="s">
        <v>169</v>
      </c>
      <c r="F1535">
        <v>2304056</v>
      </c>
      <c r="G1535" s="81" t="s">
        <v>417</v>
      </c>
      <c r="H1535" s="81" t="s">
        <v>31</v>
      </c>
      <c r="I1535" s="3">
        <v>12</v>
      </c>
      <c r="J1535" s="3"/>
      <c r="K1535" s="26">
        <v>12</v>
      </c>
      <c r="L1535" s="2">
        <v>3163.1667000000002</v>
      </c>
      <c r="M1535" s="2">
        <v>37958</v>
      </c>
      <c r="N1535" s="2">
        <v>37958</v>
      </c>
      <c r="O1535" s="2">
        <v>2979</v>
      </c>
      <c r="P1535" s="2">
        <v>-184.16669999999999</v>
      </c>
      <c r="Q1535" s="2">
        <v>-2210</v>
      </c>
      <c r="R1535" s="4">
        <v>-6.182164037148926E-2</v>
      </c>
      <c r="T1535">
        <v>315566</v>
      </c>
      <c r="U1535" s="2"/>
      <c r="V1535">
        <v>6161</v>
      </c>
      <c r="W1535" s="2">
        <v>6579000000</v>
      </c>
      <c r="X1535" s="6">
        <v>35748</v>
      </c>
      <c r="Y1535" s="38">
        <v>10010</v>
      </c>
      <c r="Z1535" s="86">
        <f>+((DETALLE_GD_1[[#This Row],[VALOR X UN (GD)]]-DETALLE_GD_1[[#This Row],[VALOR PPTO]])/DETALLE_GD_1[[#This Row],[VALOR PPTO]])</f>
        <v>6.182165156092656E-2</v>
      </c>
      <c r="AA1535" s="2">
        <f>+DETALLE_GD_1[[#This Row],[VALOR PPTO]]*DETALLE_GD_1[[#This Row],[CANTIDAD RECIBIDA]]</f>
        <v>35748</v>
      </c>
      <c r="AB1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5" s="3">
        <f>+DETALLE_GD_1[[#This Row],[CANTIDAD SOLICITADA]]-DETALLE_GD_1[[#This Row],[DEVOLUCIÓN]]</f>
        <v>12</v>
      </c>
      <c r="AD1535" s="38" t="str">
        <f>+_xlfn.XLOOKUP(DETALLE_GD_1[[#This Row],[CODIGO]],PRODUCTOS[CODIGO],PRODUCTOS[DESC CORTA],"",0)</f>
        <v/>
      </c>
    </row>
    <row r="1536" spans="1:30" x14ac:dyDescent="0.25">
      <c r="A1536" s="1">
        <v>46157</v>
      </c>
      <c r="B1536" s="1">
        <v>46157</v>
      </c>
      <c r="C1536" s="81" t="s">
        <v>169</v>
      </c>
      <c r="D1536" s="38">
        <v>5</v>
      </c>
      <c r="E1536" s="81" t="s">
        <v>169</v>
      </c>
      <c r="F1536">
        <v>810007</v>
      </c>
      <c r="G1536" s="81" t="s">
        <v>235</v>
      </c>
      <c r="H1536" s="81" t="s">
        <v>137</v>
      </c>
      <c r="I1536" s="3">
        <v>20</v>
      </c>
      <c r="J1536" s="3"/>
      <c r="K1536" s="26">
        <v>20</v>
      </c>
      <c r="L1536" s="2">
        <v>3372.05</v>
      </c>
      <c r="M1536" s="2">
        <v>67441</v>
      </c>
      <c r="N1536" s="2">
        <v>67441</v>
      </c>
      <c r="O1536" s="2">
        <v>3274.7246</v>
      </c>
      <c r="P1536" s="2">
        <v>-97.325400000000002</v>
      </c>
      <c r="Q1536" s="2">
        <v>-1946.5072</v>
      </c>
      <c r="R1536" s="4">
        <v>-2.9720166657872148E-2</v>
      </c>
      <c r="T1536">
        <v>315566</v>
      </c>
      <c r="U1536" s="2"/>
      <c r="V1536">
        <v>6161</v>
      </c>
      <c r="W1536" s="2">
        <v>6579000000</v>
      </c>
      <c r="X1536" s="6">
        <v>65494.492760000001</v>
      </c>
      <c r="Y1536" s="38">
        <v>10010</v>
      </c>
      <c r="Z1536" s="86">
        <f>+((DETALLE_GD_1[[#This Row],[VALOR X UN (GD)]]-DETALLE_GD_1[[#This Row],[VALOR PPTO]])/DETALLE_GD_1[[#This Row],[VALOR PPTO]])</f>
        <v>2.9720178606775109E-2</v>
      </c>
      <c r="AA1536" s="2">
        <f>+DETALLE_GD_1[[#This Row],[VALOR PPTO]]*DETALLE_GD_1[[#This Row],[CANTIDAD RECIBIDA]]</f>
        <v>65494.491999999998</v>
      </c>
      <c r="AB15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6" s="3">
        <f>+DETALLE_GD_1[[#This Row],[CANTIDAD SOLICITADA]]-DETALLE_GD_1[[#This Row],[DEVOLUCIÓN]]</f>
        <v>20</v>
      </c>
      <c r="AD1536" s="38">
        <f>+_xlfn.XLOOKUP(DETALLE_GD_1[[#This Row],[CODIGO]],PRODUCTOS[CODIGO],PRODUCTOS[DESC CORTA],"",0)</f>
        <v>0</v>
      </c>
    </row>
    <row r="1537" spans="1:30" x14ac:dyDescent="0.25">
      <c r="A1537" s="1">
        <v>46157</v>
      </c>
      <c r="B1537" s="1">
        <v>46157</v>
      </c>
      <c r="C1537" s="81" t="s">
        <v>169</v>
      </c>
      <c r="D1537" s="38">
        <v>5</v>
      </c>
      <c r="E1537" s="81" t="s">
        <v>169</v>
      </c>
      <c r="F1537">
        <v>1405040</v>
      </c>
      <c r="G1537" s="81" t="s">
        <v>451</v>
      </c>
      <c r="H1537" s="81" t="s">
        <v>31</v>
      </c>
      <c r="I1537" s="3">
        <v>4</v>
      </c>
      <c r="J1537" s="3"/>
      <c r="K1537" s="26">
        <v>4</v>
      </c>
      <c r="L1537" s="2">
        <v>7573.75</v>
      </c>
      <c r="M1537" s="2">
        <v>30295</v>
      </c>
      <c r="N1537" s="2">
        <v>30295</v>
      </c>
      <c r="O1537" s="2">
        <v>7568</v>
      </c>
      <c r="P1537" s="2">
        <v>-5.75</v>
      </c>
      <c r="Q1537" s="2">
        <v>-23</v>
      </c>
      <c r="R1537" s="4">
        <v>-7.5977801268498947E-4</v>
      </c>
      <c r="T1537">
        <v>315611</v>
      </c>
      <c r="U1537" s="2">
        <v>919866</v>
      </c>
      <c r="V1537">
        <v>6161</v>
      </c>
      <c r="W1537" s="2">
        <v>6579000000</v>
      </c>
      <c r="X1537" s="6">
        <v>30272</v>
      </c>
      <c r="Y1537" s="38">
        <v>10010</v>
      </c>
      <c r="Z1537" s="86">
        <f>+((DETALLE_GD_1[[#This Row],[VALOR X UN (GD)]]-DETALLE_GD_1[[#This Row],[VALOR PPTO]])/DETALLE_GD_1[[#This Row],[VALOR PPTO]])</f>
        <v>7.5977801268498947E-4</v>
      </c>
      <c r="AA1537" s="2">
        <f>+DETALLE_GD_1[[#This Row],[VALOR PPTO]]*DETALLE_GD_1[[#This Row],[CANTIDAD RECIBIDA]]</f>
        <v>30272</v>
      </c>
      <c r="AB15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7" s="3">
        <f>+DETALLE_GD_1[[#This Row],[CANTIDAD SOLICITADA]]-DETALLE_GD_1[[#This Row],[DEVOLUCIÓN]]</f>
        <v>4</v>
      </c>
      <c r="AD1537" s="38" t="str">
        <f>+_xlfn.XLOOKUP(DETALLE_GD_1[[#This Row],[CODIGO]],PRODUCTOS[CODIGO],PRODUCTOS[DESC CORTA],"",0)</f>
        <v>CEERRADURA BAÑO 815 TUBULAR</v>
      </c>
    </row>
    <row r="1538" spans="1:30" x14ac:dyDescent="0.25">
      <c r="A1538" s="1">
        <v>46157</v>
      </c>
      <c r="B1538" s="1">
        <v>46157</v>
      </c>
      <c r="C1538" s="81" t="s">
        <v>169</v>
      </c>
      <c r="D1538" s="38">
        <v>5</v>
      </c>
      <c r="E1538" s="81" t="s">
        <v>169</v>
      </c>
      <c r="F1538">
        <v>2508993</v>
      </c>
      <c r="G1538" s="81" t="s">
        <v>487</v>
      </c>
      <c r="H1538" s="81" t="s">
        <v>31</v>
      </c>
      <c r="I1538" s="3">
        <v>1</v>
      </c>
      <c r="J1538" s="3"/>
      <c r="K1538" s="26">
        <v>1</v>
      </c>
      <c r="L1538" s="2">
        <v>1462</v>
      </c>
      <c r="M1538" s="2">
        <v>1462</v>
      </c>
      <c r="N1538" s="2">
        <v>1462</v>
      </c>
      <c r="O1538" s="2">
        <v>1410</v>
      </c>
      <c r="P1538" s="2">
        <v>-52</v>
      </c>
      <c r="Q1538" s="2">
        <v>-52</v>
      </c>
      <c r="R1538" s="4">
        <v>-3.6879432624113473E-2</v>
      </c>
      <c r="T1538">
        <v>315611</v>
      </c>
      <c r="U1538" s="2"/>
      <c r="V1538">
        <v>6161</v>
      </c>
      <c r="W1538" s="2">
        <v>6579000000</v>
      </c>
      <c r="X1538" s="6">
        <v>1410</v>
      </c>
      <c r="Y1538" s="38">
        <v>10010</v>
      </c>
      <c r="Z1538" s="86">
        <f>+((DETALLE_GD_1[[#This Row],[VALOR X UN (GD)]]-DETALLE_GD_1[[#This Row],[VALOR PPTO]])/DETALLE_GD_1[[#This Row],[VALOR PPTO]])</f>
        <v>3.6879432624113473E-2</v>
      </c>
      <c r="AA1538" s="2">
        <f>+DETALLE_GD_1[[#This Row],[VALOR PPTO]]*DETALLE_GD_1[[#This Row],[CANTIDAD RECIBIDA]]</f>
        <v>1410</v>
      </c>
      <c r="AB1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8" s="3">
        <f>+DETALLE_GD_1[[#This Row],[CANTIDAD SOLICITADA]]-DETALLE_GD_1[[#This Row],[DEVOLUCIÓN]]</f>
        <v>1</v>
      </c>
      <c r="AD1538" s="38" t="str">
        <f>+_xlfn.XLOOKUP(DETALLE_GD_1[[#This Row],[CODIGO]],PRODUCTOS[CODIGO],PRODUCTOS[DESC CORTA],"",0)</f>
        <v>BOCALLAVE B1 800 ACCESO</v>
      </c>
    </row>
    <row r="1539" spans="1:30" x14ac:dyDescent="0.25">
      <c r="A1539" s="1">
        <v>46157</v>
      </c>
      <c r="B1539" s="1">
        <v>46157</v>
      </c>
      <c r="C1539" s="81" t="s">
        <v>169</v>
      </c>
      <c r="D1539" s="38">
        <v>5</v>
      </c>
      <c r="E1539" s="81" t="s">
        <v>169</v>
      </c>
      <c r="F1539">
        <v>2508994</v>
      </c>
      <c r="G1539" s="81" t="s">
        <v>488</v>
      </c>
      <c r="H1539" s="81" t="s">
        <v>31</v>
      </c>
      <c r="I1539" s="3">
        <v>1</v>
      </c>
      <c r="J1539" s="3"/>
      <c r="K1539" s="26">
        <v>1</v>
      </c>
      <c r="L1539" s="2">
        <v>1691</v>
      </c>
      <c r="M1539" s="2">
        <v>1691</v>
      </c>
      <c r="N1539" s="2">
        <v>1691</v>
      </c>
      <c r="O1539" s="2">
        <v>1598</v>
      </c>
      <c r="P1539" s="2">
        <v>-93</v>
      </c>
      <c r="Q1539" s="2">
        <v>-93</v>
      </c>
      <c r="R1539" s="4">
        <v>-5.8197747183979978E-2</v>
      </c>
      <c r="T1539">
        <v>315611</v>
      </c>
      <c r="U1539" s="2"/>
      <c r="V1539">
        <v>6161</v>
      </c>
      <c r="W1539" s="2">
        <v>6579000000</v>
      </c>
      <c r="X1539" s="6">
        <v>1598</v>
      </c>
      <c r="Y1539" s="38">
        <v>10010</v>
      </c>
      <c r="Z1539" s="86">
        <f>+((DETALLE_GD_1[[#This Row],[VALOR X UN (GD)]]-DETALLE_GD_1[[#This Row],[VALOR PPTO]])/DETALLE_GD_1[[#This Row],[VALOR PPTO]])</f>
        <v>5.8197747183979978E-2</v>
      </c>
      <c r="AA1539" s="2">
        <f>+DETALLE_GD_1[[#This Row],[VALOR PPTO]]*DETALLE_GD_1[[#This Row],[CANTIDAD RECIBIDA]]</f>
        <v>1598</v>
      </c>
      <c r="AB1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9" s="3">
        <f>+DETALLE_GD_1[[#This Row],[CANTIDAD SOLICITADA]]-DETALLE_GD_1[[#This Row],[DEVOLUCIÓN]]</f>
        <v>1</v>
      </c>
      <c r="AD1539" s="38" t="str">
        <f>+_xlfn.XLOOKUP(DETALLE_GD_1[[#This Row],[CODIGO]],PRODUCTOS[CODIGO],PRODUCTOS[DESC CORTA],"",0)</f>
        <v>CUADRADILLO EXPANSION 8X</v>
      </c>
    </row>
    <row r="1540" spans="1:30" x14ac:dyDescent="0.25">
      <c r="A1540" s="1">
        <v>46157</v>
      </c>
      <c r="B1540" s="1">
        <v>46157</v>
      </c>
      <c r="C1540" s="81" t="s">
        <v>169</v>
      </c>
      <c r="D1540" s="38">
        <v>5</v>
      </c>
      <c r="E1540" s="81" t="s">
        <v>169</v>
      </c>
      <c r="F1540">
        <v>2508992</v>
      </c>
      <c r="G1540" s="81" t="s">
        <v>486</v>
      </c>
      <c r="H1540" s="81" t="s">
        <v>31</v>
      </c>
      <c r="I1540" s="3">
        <v>1</v>
      </c>
      <c r="J1540" s="3"/>
      <c r="K1540" s="26">
        <v>1</v>
      </c>
      <c r="L1540" s="2">
        <v>5069</v>
      </c>
      <c r="M1540" s="2">
        <v>5069</v>
      </c>
      <c r="N1540" s="2">
        <v>5069</v>
      </c>
      <c r="O1540" s="2">
        <v>5084</v>
      </c>
      <c r="P1540" s="2">
        <v>15</v>
      </c>
      <c r="Q1540" s="2">
        <v>15</v>
      </c>
      <c r="R1540" s="4">
        <v>2.9504327301337532E-3</v>
      </c>
      <c r="T1540">
        <v>315611</v>
      </c>
      <c r="U1540" s="2"/>
      <c r="V1540">
        <v>6161</v>
      </c>
      <c r="W1540" s="2">
        <v>6579000000</v>
      </c>
      <c r="X1540" s="6">
        <v>5084</v>
      </c>
      <c r="Y1540" s="38">
        <v>10010</v>
      </c>
      <c r="Z1540" s="86">
        <f>+((DETALLE_GD_1[[#This Row],[VALOR X UN (GD)]]-DETALLE_GD_1[[#This Row],[VALOR PPTO]])/DETALLE_GD_1[[#This Row],[VALOR PPTO]])</f>
        <v>-2.9504327301337532E-3</v>
      </c>
      <c r="AA1540" s="2">
        <f>+DETALLE_GD_1[[#This Row],[VALOR PPTO]]*DETALLE_GD_1[[#This Row],[CANTIDAD RECIBIDA]]</f>
        <v>5084</v>
      </c>
      <c r="AB1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0" s="3">
        <f>+DETALLE_GD_1[[#This Row],[CANTIDAD SOLICITADA]]-DETALLE_GD_1[[#This Row],[DEVOLUCIÓN]]</f>
        <v>1</v>
      </c>
      <c r="AD1540" s="38" t="str">
        <f>+_xlfn.XLOOKUP(DETALLE_GD_1[[#This Row],[CODIGO]],PRODUCTOS[CODIGO],PRODUCTOS[DESC CORTA],"",0)</f>
        <v>MANILLA JUEGO</v>
      </c>
    </row>
    <row r="1541" spans="1:30" x14ac:dyDescent="0.25">
      <c r="A1541" s="1">
        <v>46157</v>
      </c>
      <c r="B1541" s="1">
        <v>46157</v>
      </c>
      <c r="C1541" s="81" t="s">
        <v>169</v>
      </c>
      <c r="D1541" s="38">
        <v>5</v>
      </c>
      <c r="E1541" s="81" t="s">
        <v>169</v>
      </c>
      <c r="F1541">
        <v>2508991</v>
      </c>
      <c r="G1541" s="81" t="s">
        <v>485</v>
      </c>
      <c r="H1541" s="81" t="s">
        <v>31</v>
      </c>
      <c r="I1541" s="3">
        <v>1</v>
      </c>
      <c r="J1541" s="3"/>
      <c r="K1541" s="26">
        <v>1</v>
      </c>
      <c r="L1541" s="2">
        <v>4785</v>
      </c>
      <c r="M1541" s="2">
        <v>4785</v>
      </c>
      <c r="N1541" s="2">
        <v>4785</v>
      </c>
      <c r="O1541" s="2">
        <v>4798</v>
      </c>
      <c r="P1541" s="2">
        <v>13</v>
      </c>
      <c r="Q1541" s="2">
        <v>13</v>
      </c>
      <c r="R1541" s="4">
        <v>2.7094622759483117E-3</v>
      </c>
      <c r="T1541">
        <v>315611</v>
      </c>
      <c r="U1541" s="2"/>
      <c r="V1541">
        <v>6161</v>
      </c>
      <c r="W1541" s="2">
        <v>6579000000</v>
      </c>
      <c r="X1541" s="6">
        <v>4798</v>
      </c>
      <c r="Y1541" s="38">
        <v>10010</v>
      </c>
      <c r="Z1541" s="86">
        <f>+((DETALLE_GD_1[[#This Row],[VALOR X UN (GD)]]-DETALLE_GD_1[[#This Row],[VALOR PPTO]])/DETALLE_GD_1[[#This Row],[VALOR PPTO]])</f>
        <v>-2.7094622759483117E-3</v>
      </c>
      <c r="AA1541" s="2">
        <f>+DETALLE_GD_1[[#This Row],[VALOR PPTO]]*DETALLE_GD_1[[#This Row],[CANTIDAD RECIBIDA]]</f>
        <v>4798</v>
      </c>
      <c r="AB1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1" s="3">
        <f>+DETALLE_GD_1[[#This Row],[CANTIDAD SOLICITADA]]-DETALLE_GD_1[[#This Row],[DEVOLUCIÓN]]</f>
        <v>1</v>
      </c>
      <c r="AD1541" s="38" t="str">
        <f>+_xlfn.XLOOKUP(DETALLE_GD_1[[#This Row],[CODIGO]],PRODUCTOS[CODIGO],PRODUCTOS[DESC CORTA],"",0)</f>
        <v>CILINDRO 03 LLAVE/LLAVE</v>
      </c>
    </row>
    <row r="1542" spans="1:30" x14ac:dyDescent="0.25">
      <c r="A1542" s="1">
        <v>46157</v>
      </c>
      <c r="B1542" s="1">
        <v>46157</v>
      </c>
      <c r="C1542" s="81" t="s">
        <v>169</v>
      </c>
      <c r="D1542" s="38">
        <v>5</v>
      </c>
      <c r="E1542" s="81" t="s">
        <v>169</v>
      </c>
      <c r="F1542">
        <v>2508990</v>
      </c>
      <c r="G1542" s="81" t="s">
        <v>484</v>
      </c>
      <c r="H1542" s="81" t="s">
        <v>31</v>
      </c>
      <c r="I1542" s="3">
        <v>1</v>
      </c>
      <c r="J1542" s="3"/>
      <c r="K1542" s="26">
        <v>1</v>
      </c>
      <c r="L1542" s="2">
        <v>6689</v>
      </c>
      <c r="M1542" s="2">
        <v>6689</v>
      </c>
      <c r="N1542" s="2">
        <v>6689</v>
      </c>
      <c r="O1542" s="2">
        <v>6738</v>
      </c>
      <c r="P1542" s="2">
        <v>49</v>
      </c>
      <c r="Q1542" s="2">
        <v>49</v>
      </c>
      <c r="R1542" s="4">
        <v>7.2721875927574944E-3</v>
      </c>
      <c r="T1542">
        <v>315611</v>
      </c>
      <c r="U1542" s="2"/>
      <c r="V1542">
        <v>6161</v>
      </c>
      <c r="W1542" s="2">
        <v>6579000000</v>
      </c>
      <c r="X1542" s="6">
        <v>6738</v>
      </c>
      <c r="Y1542" s="38">
        <v>10010</v>
      </c>
      <c r="Z1542" s="86">
        <f>+((DETALLE_GD_1[[#This Row],[VALOR X UN (GD)]]-DETALLE_GD_1[[#This Row],[VALOR PPTO]])/DETALLE_GD_1[[#This Row],[VALOR PPTO]])</f>
        <v>-7.2721875927574944E-3</v>
      </c>
      <c r="AA1542" s="2">
        <f>+DETALLE_GD_1[[#This Row],[VALOR PPTO]]*DETALLE_GD_1[[#This Row],[CANTIDAD RECIBIDA]]</f>
        <v>6738</v>
      </c>
      <c r="AB1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2" s="3">
        <f>+DETALLE_GD_1[[#This Row],[CANTIDAD SOLICITADA]]-DETALLE_GD_1[[#This Row],[DEVOLUCIÓN]]</f>
        <v>1</v>
      </c>
      <c r="AD1542" s="38" t="str">
        <f>+_xlfn.XLOOKUP(DETALLE_GD_1[[#This Row],[CODIGO]],PRODUCTOS[CODIGO],PRODUCTOS[DESC CORTA],"",0)</f>
        <v>CERRADURA DE EMB</v>
      </c>
    </row>
    <row r="1543" spans="1:30" x14ac:dyDescent="0.25">
      <c r="A1543" s="1">
        <v>46157</v>
      </c>
      <c r="B1543" s="1">
        <v>46157</v>
      </c>
      <c r="C1543" s="81" t="s">
        <v>169</v>
      </c>
      <c r="D1543" s="38">
        <v>5</v>
      </c>
      <c r="E1543" s="81" t="s">
        <v>169</v>
      </c>
      <c r="F1543">
        <v>2508988</v>
      </c>
      <c r="G1543" s="81" t="s">
        <v>469</v>
      </c>
      <c r="H1543" s="81" t="s">
        <v>90</v>
      </c>
      <c r="I1543" s="3">
        <v>1</v>
      </c>
      <c r="J1543" s="3"/>
      <c r="K1543" s="26">
        <v>1</v>
      </c>
      <c r="L1543" s="2">
        <v>142676</v>
      </c>
      <c r="M1543" s="2">
        <v>142676</v>
      </c>
      <c r="N1543" s="2">
        <v>142676</v>
      </c>
      <c r="O1543" s="2"/>
      <c r="P1543" s="2"/>
      <c r="Q1543" s="2">
        <v>-142676</v>
      </c>
      <c r="R1543" s="4"/>
      <c r="T1543">
        <v>315611</v>
      </c>
      <c r="U1543" s="2"/>
      <c r="V1543">
        <v>6161</v>
      </c>
      <c r="W1543" s="2">
        <v>6579000000</v>
      </c>
      <c r="X1543" s="6" t="s">
        <v>355</v>
      </c>
      <c r="Y1543" s="38">
        <v>10010</v>
      </c>
      <c r="Z1543" s="86" t="e">
        <f>+((DETALLE_GD_1[[#This Row],[VALOR X UN (GD)]]-DETALLE_GD_1[[#This Row],[VALOR PPTO]])/DETALLE_GD_1[[#This Row],[VALOR PPTO]])</f>
        <v>#DIV/0!</v>
      </c>
      <c r="AA1543" s="2">
        <f>+DETALLE_GD_1[[#This Row],[VALOR PPTO]]*DETALLE_GD_1[[#This Row],[CANTIDAD RECIBIDA]]</f>
        <v>0</v>
      </c>
      <c r="AB1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3" s="3">
        <f>+DETALLE_GD_1[[#This Row],[CANTIDAD SOLICITADA]]-DETALLE_GD_1[[#This Row],[DEVOLUCIÓN]]</f>
        <v>1</v>
      </c>
      <c r="AD1543" s="38" t="str">
        <f>+_xlfn.XLOOKUP(DETALLE_GD_1[[#This Row],[CODIGO]],PRODUCTOS[CODIGO],PRODUCTOS[DESC CORTA],"",0)</f>
        <v/>
      </c>
    </row>
    <row r="1544" spans="1:30" x14ac:dyDescent="0.25">
      <c r="A1544" s="1">
        <v>46157</v>
      </c>
      <c r="B1544" s="1">
        <v>46157</v>
      </c>
      <c r="C1544" s="81" t="s">
        <v>169</v>
      </c>
      <c r="D1544" s="38">
        <v>5</v>
      </c>
      <c r="E1544" s="81" t="s">
        <v>169</v>
      </c>
      <c r="F1544">
        <v>1803044</v>
      </c>
      <c r="G1544" s="81" t="s">
        <v>336</v>
      </c>
      <c r="H1544" s="81" t="s">
        <v>90</v>
      </c>
      <c r="I1544" s="3">
        <v>1</v>
      </c>
      <c r="J1544" s="3"/>
      <c r="K1544" s="26">
        <v>1</v>
      </c>
      <c r="L1544" s="2">
        <v>51876</v>
      </c>
      <c r="M1544" s="2">
        <v>51876</v>
      </c>
      <c r="N1544" s="2">
        <v>51876</v>
      </c>
      <c r="O1544" s="2">
        <v>52920</v>
      </c>
      <c r="P1544" s="2">
        <v>1044</v>
      </c>
      <c r="Q1544" s="2">
        <v>1044</v>
      </c>
      <c r="R1544" s="4">
        <v>1.9727891156462583E-2</v>
      </c>
      <c r="T1544">
        <v>315611</v>
      </c>
      <c r="U1544" s="2"/>
      <c r="V1544">
        <v>6161</v>
      </c>
      <c r="W1544" s="2">
        <v>6579000000</v>
      </c>
      <c r="X1544" s="6">
        <v>52920</v>
      </c>
      <c r="Y1544" s="38">
        <v>10010</v>
      </c>
      <c r="Z1544" s="86">
        <f>+((DETALLE_GD_1[[#This Row],[VALOR X UN (GD)]]-DETALLE_GD_1[[#This Row],[VALOR PPTO]])/DETALLE_GD_1[[#This Row],[VALOR PPTO]])</f>
        <v>-1.9727891156462583E-2</v>
      </c>
      <c r="AA1544" s="2">
        <f>+DETALLE_GD_1[[#This Row],[VALOR PPTO]]*DETALLE_GD_1[[#This Row],[CANTIDAD RECIBIDA]]</f>
        <v>52920</v>
      </c>
      <c r="AB15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4" s="3">
        <f>+DETALLE_GD_1[[#This Row],[CANTIDAD SOLICITADA]]-DETALLE_GD_1[[#This Row],[DEVOLUCIÓN]]</f>
        <v>1</v>
      </c>
      <c r="AD1544" s="38" t="str">
        <f>+_xlfn.XLOOKUP(DETALLE_GD_1[[#This Row],[CODIGO]],PRODUCTOS[CODIGO],PRODUCTOS[DESC CORTA],"",0)</f>
        <v/>
      </c>
    </row>
    <row r="1545" spans="1:30" x14ac:dyDescent="0.25">
      <c r="A1545" s="1">
        <v>46157</v>
      </c>
      <c r="B1545" s="1">
        <v>46157</v>
      </c>
      <c r="C1545" s="81" t="s">
        <v>169</v>
      </c>
      <c r="D1545" s="38">
        <v>5</v>
      </c>
      <c r="E1545" s="81" t="s">
        <v>169</v>
      </c>
      <c r="F1545">
        <v>1803045</v>
      </c>
      <c r="G1545" s="81" t="s">
        <v>337</v>
      </c>
      <c r="H1545" s="81" t="s">
        <v>90</v>
      </c>
      <c r="I1545" s="3">
        <v>3</v>
      </c>
      <c r="J1545" s="3"/>
      <c r="K1545" s="26">
        <v>3</v>
      </c>
      <c r="L1545" s="2">
        <v>51881.666700000002</v>
      </c>
      <c r="M1545" s="2">
        <v>155645</v>
      </c>
      <c r="N1545" s="2">
        <v>155645</v>
      </c>
      <c r="O1545" s="2">
        <v>51873</v>
      </c>
      <c r="P1545" s="2">
        <v>-8.6667000000000005</v>
      </c>
      <c r="Q1545" s="2">
        <v>-26</v>
      </c>
      <c r="R1545" s="4">
        <v>-1.6707471452723997E-4</v>
      </c>
      <c r="T1545">
        <v>315611</v>
      </c>
      <c r="U1545" s="2"/>
      <c r="V1545">
        <v>6161</v>
      </c>
      <c r="W1545" s="2">
        <v>6579000000</v>
      </c>
      <c r="X1545" s="6">
        <v>155618.99999999997</v>
      </c>
      <c r="Y1545" s="38">
        <v>10010</v>
      </c>
      <c r="Z1545" s="86">
        <f>+((DETALLE_GD_1[[#This Row],[VALOR X UN (GD)]]-DETALLE_GD_1[[#This Row],[VALOR PPTO]])/DETALLE_GD_1[[#This Row],[VALOR PPTO]])</f>
        <v>1.6707535712223284E-4</v>
      </c>
      <c r="AA1545" s="2">
        <f>+DETALLE_GD_1[[#This Row],[VALOR PPTO]]*DETALLE_GD_1[[#This Row],[CANTIDAD RECIBIDA]]</f>
        <v>155619</v>
      </c>
      <c r="AB15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45" s="3">
        <f>+DETALLE_GD_1[[#This Row],[CANTIDAD SOLICITADA]]-DETALLE_GD_1[[#This Row],[DEVOLUCIÓN]]</f>
        <v>3</v>
      </c>
      <c r="AD1545" s="38" t="str">
        <f>+_xlfn.XLOOKUP(DETALLE_GD_1[[#This Row],[CODIGO]],PRODUCTOS[CODIGO],PRODUCTOS[DESC CORTA],"",0)</f>
        <v>PUERTA INTERIOR</v>
      </c>
    </row>
    <row r="1546" spans="1:30" x14ac:dyDescent="0.25">
      <c r="A1546" s="1">
        <v>46157</v>
      </c>
      <c r="B1546" s="1">
        <v>46157</v>
      </c>
      <c r="C1546" s="81" t="s">
        <v>169</v>
      </c>
      <c r="D1546" s="38">
        <v>5</v>
      </c>
      <c r="E1546" s="81" t="s">
        <v>169</v>
      </c>
      <c r="F1546" t="s">
        <v>345</v>
      </c>
      <c r="G1546" s="81" t="s">
        <v>167</v>
      </c>
      <c r="H1546" s="81" t="s">
        <v>26</v>
      </c>
      <c r="I1546" s="3">
        <v>40</v>
      </c>
      <c r="J1546" s="3"/>
      <c r="K1546" s="26">
        <v>40</v>
      </c>
      <c r="L1546" s="2">
        <v>12991.95</v>
      </c>
      <c r="M1546" s="2">
        <v>519678</v>
      </c>
      <c r="N1546" s="2">
        <v>519678</v>
      </c>
      <c r="O1546" s="2">
        <v>11882.3879</v>
      </c>
      <c r="P1546" s="2">
        <v>-1109.5621000000001</v>
      </c>
      <c r="Q1546" s="2">
        <v>-44382.4833</v>
      </c>
      <c r="R1546" s="4">
        <v>-9.337871232200412E-2</v>
      </c>
      <c r="T1546">
        <v>315611</v>
      </c>
      <c r="U1546" s="2"/>
      <c r="V1546">
        <v>6161</v>
      </c>
      <c r="W1546" s="2">
        <v>6579000000</v>
      </c>
      <c r="X1546" s="6">
        <v>475295.51668</v>
      </c>
      <c r="Y1546" s="38">
        <v>10010</v>
      </c>
      <c r="Z1546" s="86">
        <f>+((DETALLE_GD_1[[#This Row],[VALOR X UN (GD)]]-DETALLE_GD_1[[#This Row],[VALOR PPTO]])/DETALLE_GD_1[[#This Row],[VALOR PPTO]])</f>
        <v>9.3378713886288892E-2</v>
      </c>
      <c r="AA1546" s="2">
        <f>+DETALLE_GD_1[[#This Row],[VALOR PPTO]]*DETALLE_GD_1[[#This Row],[CANTIDAD RECIBIDA]]</f>
        <v>475295.516</v>
      </c>
      <c r="AB15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46" s="3">
        <f>+DETALLE_GD_1[[#This Row],[CANTIDAD SOLICITADA]]-DETALLE_GD_1[[#This Row],[DEVOLUCIÓN]]</f>
        <v>40</v>
      </c>
      <c r="AD1546" s="38" t="str">
        <f>+_xlfn.XLOOKUP(DETALLE_GD_1[[#This Row],[CODIGO]],PRODUCTOS[CODIGO],PRODUCTOS[DESC CORTA],"",0)</f>
        <v>PISO TARKET</v>
      </c>
    </row>
    <row r="1547" spans="1:30" x14ac:dyDescent="0.25">
      <c r="A1547" s="1">
        <v>46157</v>
      </c>
      <c r="B1547" s="1">
        <v>46157</v>
      </c>
      <c r="C1547" s="81" t="s">
        <v>169</v>
      </c>
      <c r="D1547" s="38">
        <v>5</v>
      </c>
      <c r="E1547" s="81" t="s">
        <v>169</v>
      </c>
      <c r="F1547">
        <v>2508994</v>
      </c>
      <c r="G1547" s="81" t="s">
        <v>488</v>
      </c>
      <c r="H1547" s="81" t="s">
        <v>31</v>
      </c>
      <c r="I1547" s="3">
        <v>4</v>
      </c>
      <c r="J1547" s="3"/>
      <c r="K1547" s="26">
        <v>4</v>
      </c>
      <c r="L1547" s="2">
        <v>1691.5</v>
      </c>
      <c r="M1547" s="2">
        <v>6766</v>
      </c>
      <c r="N1547" s="2">
        <v>6766</v>
      </c>
      <c r="O1547" s="2">
        <v>1598</v>
      </c>
      <c r="P1547" s="2">
        <v>-93.5</v>
      </c>
      <c r="Q1547" s="2">
        <v>-374</v>
      </c>
      <c r="R1547" s="4">
        <v>-5.8510638297872342E-2</v>
      </c>
      <c r="T1547">
        <v>315657</v>
      </c>
      <c r="U1547" s="2">
        <v>670507</v>
      </c>
      <c r="V1547">
        <v>6161</v>
      </c>
      <c r="W1547" s="2">
        <v>6579000000</v>
      </c>
      <c r="X1547" s="6">
        <v>6392</v>
      </c>
      <c r="Y1547" s="38">
        <v>10010</v>
      </c>
      <c r="Z1547" s="86">
        <f>+((DETALLE_GD_1[[#This Row],[VALOR X UN (GD)]]-DETALLE_GD_1[[#This Row],[VALOR PPTO]])/DETALLE_GD_1[[#This Row],[VALOR PPTO]])</f>
        <v>5.8510638297872342E-2</v>
      </c>
      <c r="AA1547" s="2">
        <f>+DETALLE_GD_1[[#This Row],[VALOR PPTO]]*DETALLE_GD_1[[#This Row],[CANTIDAD RECIBIDA]]</f>
        <v>6392</v>
      </c>
      <c r="AB1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7" s="3">
        <f>+DETALLE_GD_1[[#This Row],[CANTIDAD SOLICITADA]]-DETALLE_GD_1[[#This Row],[DEVOLUCIÓN]]</f>
        <v>4</v>
      </c>
      <c r="AD1547" s="38" t="str">
        <f>+_xlfn.XLOOKUP(DETALLE_GD_1[[#This Row],[CODIGO]],PRODUCTOS[CODIGO],PRODUCTOS[DESC CORTA],"",0)</f>
        <v>CUADRADILLO EXPANSION 8X</v>
      </c>
    </row>
    <row r="1548" spans="1:30" x14ac:dyDescent="0.25">
      <c r="A1548" s="1">
        <v>46157</v>
      </c>
      <c r="B1548" s="1">
        <v>46157</v>
      </c>
      <c r="C1548" s="81" t="s">
        <v>169</v>
      </c>
      <c r="D1548" s="38">
        <v>5</v>
      </c>
      <c r="E1548" s="81" t="s">
        <v>169</v>
      </c>
      <c r="F1548">
        <v>2508993</v>
      </c>
      <c r="G1548" s="81" t="s">
        <v>487</v>
      </c>
      <c r="H1548" s="81" t="s">
        <v>31</v>
      </c>
      <c r="I1548" s="3">
        <v>4</v>
      </c>
      <c r="J1548" s="3"/>
      <c r="K1548" s="26">
        <v>4</v>
      </c>
      <c r="L1548" s="2">
        <v>1461.75</v>
      </c>
      <c r="M1548" s="2">
        <v>5847</v>
      </c>
      <c r="N1548" s="2">
        <v>5847</v>
      </c>
      <c r="O1548" s="2">
        <v>1410</v>
      </c>
      <c r="P1548" s="2">
        <v>-51.75</v>
      </c>
      <c r="Q1548" s="2">
        <v>-207</v>
      </c>
      <c r="R1548" s="4">
        <v>-3.6702127659574466E-2</v>
      </c>
      <c r="T1548">
        <v>315657</v>
      </c>
      <c r="U1548" s="2"/>
      <c r="V1548">
        <v>6161</v>
      </c>
      <c r="W1548" s="2">
        <v>6579000000</v>
      </c>
      <c r="X1548" s="6">
        <v>5640</v>
      </c>
      <c r="Y1548" s="38">
        <v>10010</v>
      </c>
      <c r="Z1548" s="86">
        <f>+((DETALLE_GD_1[[#This Row],[VALOR X UN (GD)]]-DETALLE_GD_1[[#This Row],[VALOR PPTO]])/DETALLE_GD_1[[#This Row],[VALOR PPTO]])</f>
        <v>3.6702127659574466E-2</v>
      </c>
      <c r="AA1548" s="2">
        <f>+DETALLE_GD_1[[#This Row],[VALOR PPTO]]*DETALLE_GD_1[[#This Row],[CANTIDAD RECIBIDA]]</f>
        <v>5640</v>
      </c>
      <c r="AB15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8" s="3">
        <f>+DETALLE_GD_1[[#This Row],[CANTIDAD SOLICITADA]]-DETALLE_GD_1[[#This Row],[DEVOLUCIÓN]]</f>
        <v>4</v>
      </c>
      <c r="AD1548" s="38" t="str">
        <f>+_xlfn.XLOOKUP(DETALLE_GD_1[[#This Row],[CODIGO]],PRODUCTOS[CODIGO],PRODUCTOS[DESC CORTA],"",0)</f>
        <v>BOCALLAVE B1 800 ACCESO</v>
      </c>
    </row>
    <row r="1549" spans="1:30" x14ac:dyDescent="0.25">
      <c r="A1549" s="1">
        <v>46157</v>
      </c>
      <c r="B1549" s="1">
        <v>46157</v>
      </c>
      <c r="C1549" s="81" t="s">
        <v>169</v>
      </c>
      <c r="D1549" s="38">
        <v>5</v>
      </c>
      <c r="E1549" s="81" t="s">
        <v>169</v>
      </c>
      <c r="F1549">
        <v>2508992</v>
      </c>
      <c r="G1549" s="81" t="s">
        <v>486</v>
      </c>
      <c r="H1549" s="81" t="s">
        <v>31</v>
      </c>
      <c r="I1549" s="3">
        <v>2</v>
      </c>
      <c r="J1549" s="3"/>
      <c r="K1549" s="26">
        <v>2</v>
      </c>
      <c r="L1549" s="2">
        <v>5068.5</v>
      </c>
      <c r="M1549" s="2">
        <v>10137</v>
      </c>
      <c r="N1549" s="2">
        <v>10137</v>
      </c>
      <c r="O1549" s="2">
        <v>5084</v>
      </c>
      <c r="P1549" s="2">
        <v>15.5</v>
      </c>
      <c r="Q1549" s="2">
        <v>31</v>
      </c>
      <c r="R1549" s="4">
        <v>3.0487804878048786E-3</v>
      </c>
      <c r="T1549">
        <v>315657</v>
      </c>
      <c r="U1549" s="2"/>
      <c r="V1549">
        <v>6161</v>
      </c>
      <c r="W1549" s="2">
        <v>6579000000</v>
      </c>
      <c r="X1549" s="6">
        <v>10168</v>
      </c>
      <c r="Y1549" s="38">
        <v>10010</v>
      </c>
      <c r="Z1549" s="86">
        <f>+((DETALLE_GD_1[[#This Row],[VALOR X UN (GD)]]-DETALLE_GD_1[[#This Row],[VALOR PPTO]])/DETALLE_GD_1[[#This Row],[VALOR PPTO]])</f>
        <v>-3.0487804878048782E-3</v>
      </c>
      <c r="AA1549" s="2">
        <f>+DETALLE_GD_1[[#This Row],[VALOR PPTO]]*DETALLE_GD_1[[#This Row],[CANTIDAD RECIBIDA]]</f>
        <v>10168</v>
      </c>
      <c r="AB1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9" s="3">
        <f>+DETALLE_GD_1[[#This Row],[CANTIDAD SOLICITADA]]-DETALLE_GD_1[[#This Row],[DEVOLUCIÓN]]</f>
        <v>2</v>
      </c>
      <c r="AD1549" s="38" t="str">
        <f>+_xlfn.XLOOKUP(DETALLE_GD_1[[#This Row],[CODIGO]],PRODUCTOS[CODIGO],PRODUCTOS[DESC CORTA],"",0)</f>
        <v>MANILLA JUEGO</v>
      </c>
    </row>
    <row r="1550" spans="1:30" x14ac:dyDescent="0.25">
      <c r="A1550" s="1">
        <v>46157</v>
      </c>
      <c r="B1550" s="1">
        <v>46157</v>
      </c>
      <c r="C1550" s="81" t="s">
        <v>169</v>
      </c>
      <c r="D1550" s="38">
        <v>5</v>
      </c>
      <c r="E1550" s="81" t="s">
        <v>169</v>
      </c>
      <c r="F1550">
        <v>2508991</v>
      </c>
      <c r="G1550" s="81" t="s">
        <v>485</v>
      </c>
      <c r="H1550" s="81" t="s">
        <v>31</v>
      </c>
      <c r="I1550" s="3">
        <v>4</v>
      </c>
      <c r="J1550" s="3"/>
      <c r="K1550" s="26">
        <v>4</v>
      </c>
      <c r="L1550" s="2">
        <v>4785.5</v>
      </c>
      <c r="M1550" s="2">
        <v>19142</v>
      </c>
      <c r="N1550" s="2">
        <v>19142</v>
      </c>
      <c r="O1550" s="2">
        <v>4798</v>
      </c>
      <c r="P1550" s="2">
        <v>12.5</v>
      </c>
      <c r="Q1550" s="2">
        <v>50</v>
      </c>
      <c r="R1550" s="4">
        <v>2.6052521884118384E-3</v>
      </c>
      <c r="T1550">
        <v>315657</v>
      </c>
      <c r="U1550" s="2"/>
      <c r="V1550">
        <v>6161</v>
      </c>
      <c r="W1550" s="2">
        <v>6579000000</v>
      </c>
      <c r="X1550" s="6">
        <v>19192</v>
      </c>
      <c r="Y1550" s="38">
        <v>10010</v>
      </c>
      <c r="Z1550" s="86">
        <f>+((DETALLE_GD_1[[#This Row],[VALOR X UN (GD)]]-DETALLE_GD_1[[#This Row],[VALOR PPTO]])/DETALLE_GD_1[[#This Row],[VALOR PPTO]])</f>
        <v>-2.6052521884118384E-3</v>
      </c>
      <c r="AA1550" s="2">
        <f>+DETALLE_GD_1[[#This Row],[VALOR PPTO]]*DETALLE_GD_1[[#This Row],[CANTIDAD RECIBIDA]]</f>
        <v>19192</v>
      </c>
      <c r="AB1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0" s="3">
        <f>+DETALLE_GD_1[[#This Row],[CANTIDAD SOLICITADA]]-DETALLE_GD_1[[#This Row],[DEVOLUCIÓN]]</f>
        <v>4</v>
      </c>
      <c r="AD1550" s="38" t="str">
        <f>+_xlfn.XLOOKUP(DETALLE_GD_1[[#This Row],[CODIGO]],PRODUCTOS[CODIGO],PRODUCTOS[DESC CORTA],"",0)</f>
        <v>CILINDRO 03 LLAVE/LLAVE</v>
      </c>
    </row>
    <row r="1551" spans="1:30" x14ac:dyDescent="0.25">
      <c r="A1551" s="1">
        <v>46157</v>
      </c>
      <c r="B1551" s="1">
        <v>46157</v>
      </c>
      <c r="C1551" s="81" t="s">
        <v>169</v>
      </c>
      <c r="D1551" s="38">
        <v>5</v>
      </c>
      <c r="E1551" s="81" t="s">
        <v>169</v>
      </c>
      <c r="F1551">
        <v>2508990</v>
      </c>
      <c r="G1551" s="81" t="s">
        <v>484</v>
      </c>
      <c r="H1551" s="81" t="s">
        <v>31</v>
      </c>
      <c r="I1551" s="3">
        <v>4</v>
      </c>
      <c r="J1551" s="3"/>
      <c r="K1551" s="26">
        <v>4</v>
      </c>
      <c r="L1551" s="2">
        <v>6688.75</v>
      </c>
      <c r="M1551" s="2">
        <v>26755</v>
      </c>
      <c r="N1551" s="2">
        <v>26755</v>
      </c>
      <c r="O1551" s="2">
        <v>6738</v>
      </c>
      <c r="P1551" s="2">
        <v>49.25</v>
      </c>
      <c r="Q1551" s="2">
        <v>197</v>
      </c>
      <c r="R1551" s="4">
        <v>7.309290590679726E-3</v>
      </c>
      <c r="T1551">
        <v>315657</v>
      </c>
      <c r="U1551" s="2"/>
      <c r="V1551">
        <v>6161</v>
      </c>
      <c r="W1551" s="2">
        <v>6579000000</v>
      </c>
      <c r="X1551" s="6">
        <v>26952</v>
      </c>
      <c r="Y1551" s="38">
        <v>10010</v>
      </c>
      <c r="Z1551" s="86">
        <f>+((DETALLE_GD_1[[#This Row],[VALOR X UN (GD)]]-DETALLE_GD_1[[#This Row],[VALOR PPTO]])/DETALLE_GD_1[[#This Row],[VALOR PPTO]])</f>
        <v>-7.3092905906797269E-3</v>
      </c>
      <c r="AA1551" s="2">
        <f>+DETALLE_GD_1[[#This Row],[VALOR PPTO]]*DETALLE_GD_1[[#This Row],[CANTIDAD RECIBIDA]]</f>
        <v>26952</v>
      </c>
      <c r="AB1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1" s="3">
        <f>+DETALLE_GD_1[[#This Row],[CANTIDAD SOLICITADA]]-DETALLE_GD_1[[#This Row],[DEVOLUCIÓN]]</f>
        <v>4</v>
      </c>
      <c r="AD1551" s="38" t="str">
        <f>+_xlfn.XLOOKUP(DETALLE_GD_1[[#This Row],[CODIGO]],PRODUCTOS[CODIGO],PRODUCTOS[DESC CORTA],"",0)</f>
        <v>CERRADURA DE EMB</v>
      </c>
    </row>
    <row r="1552" spans="1:30" x14ac:dyDescent="0.25">
      <c r="A1552" s="1">
        <v>46157</v>
      </c>
      <c r="B1552" s="1">
        <v>46157</v>
      </c>
      <c r="C1552" s="81" t="s">
        <v>169</v>
      </c>
      <c r="D1552" s="38">
        <v>5</v>
      </c>
      <c r="E1552" s="81" t="s">
        <v>169</v>
      </c>
      <c r="F1552">
        <v>1405025</v>
      </c>
      <c r="G1552" s="81" t="s">
        <v>189</v>
      </c>
      <c r="H1552" s="81" t="s">
        <v>31</v>
      </c>
      <c r="I1552" s="3">
        <v>4</v>
      </c>
      <c r="J1552" s="3"/>
      <c r="K1552" s="26">
        <v>4</v>
      </c>
      <c r="L1552" s="2">
        <v>6988</v>
      </c>
      <c r="M1552" s="2">
        <v>27952</v>
      </c>
      <c r="N1552" s="2">
        <v>27952</v>
      </c>
      <c r="O1552" s="2">
        <v>6758.5333000000001</v>
      </c>
      <c r="P1552" s="2">
        <v>-229.4667</v>
      </c>
      <c r="Q1552" s="2">
        <v>-917.86670000000004</v>
      </c>
      <c r="R1552" s="4">
        <v>-3.3952139568444395E-2</v>
      </c>
      <c r="T1552">
        <v>315657</v>
      </c>
      <c r="U1552" s="2"/>
      <c r="V1552">
        <v>6161</v>
      </c>
      <c r="W1552" s="2">
        <v>6579000000</v>
      </c>
      <c r="X1552" s="6">
        <v>27034.133332000001</v>
      </c>
      <c r="Y1552" s="38">
        <v>10010</v>
      </c>
      <c r="Z1552" s="86">
        <f>+((DETALLE_GD_1[[#This Row],[VALOR X UN (GD)]]-DETALLE_GD_1[[#This Row],[VALOR PPTO]])/DETALLE_GD_1[[#This Row],[VALOR PPTO]])</f>
        <v>3.3952144616939288E-2</v>
      </c>
      <c r="AA1552" s="2">
        <f>+DETALLE_GD_1[[#This Row],[VALOR PPTO]]*DETALLE_GD_1[[#This Row],[CANTIDAD RECIBIDA]]</f>
        <v>27034.1332</v>
      </c>
      <c r="AB1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2" s="3">
        <f>+DETALLE_GD_1[[#This Row],[CANTIDAD SOLICITADA]]-DETALLE_GD_1[[#This Row],[DEVOLUCIÓN]]</f>
        <v>4</v>
      </c>
      <c r="AD1552" s="38">
        <f>+_xlfn.XLOOKUP(DETALLE_GD_1[[#This Row],[CODIGO]],PRODUCTOS[CODIGO],PRODUCTOS[DESC CORTA],"",0)</f>
        <v>0</v>
      </c>
    </row>
    <row r="1553" spans="1:30" x14ac:dyDescent="0.25">
      <c r="A1553" s="1">
        <v>46157</v>
      </c>
      <c r="B1553" s="1">
        <v>46157</v>
      </c>
      <c r="C1553" s="81" t="s">
        <v>169</v>
      </c>
      <c r="D1553" s="38">
        <v>5</v>
      </c>
      <c r="E1553" s="81" t="s">
        <v>169</v>
      </c>
      <c r="F1553">
        <v>1808156</v>
      </c>
      <c r="G1553" s="81" t="s">
        <v>277</v>
      </c>
      <c r="H1553" s="81" t="s">
        <v>31</v>
      </c>
      <c r="I1553" s="3">
        <v>4</v>
      </c>
      <c r="J1553" s="3"/>
      <c r="K1553" s="26">
        <v>4</v>
      </c>
      <c r="L1553" s="2">
        <v>1931.5</v>
      </c>
      <c r="M1553" s="2">
        <v>7726</v>
      </c>
      <c r="N1553" s="2">
        <v>7726</v>
      </c>
      <c r="O1553" s="2">
        <v>1916</v>
      </c>
      <c r="P1553" s="2">
        <v>-15.5</v>
      </c>
      <c r="Q1553" s="2">
        <v>-62</v>
      </c>
      <c r="R1553" s="4">
        <v>-8.0897703549060538E-3</v>
      </c>
      <c r="T1553">
        <v>315657</v>
      </c>
      <c r="U1553" s="2"/>
      <c r="V1553">
        <v>6161</v>
      </c>
      <c r="W1553" s="2">
        <v>6579000000</v>
      </c>
      <c r="X1553" s="6">
        <v>7664</v>
      </c>
      <c r="Y1553" s="38">
        <v>10010</v>
      </c>
      <c r="Z1553" s="86">
        <f>+((DETALLE_GD_1[[#This Row],[VALOR X UN (GD)]]-DETALLE_GD_1[[#This Row],[VALOR PPTO]])/DETALLE_GD_1[[#This Row],[VALOR PPTO]])</f>
        <v>8.0897703549060538E-3</v>
      </c>
      <c r="AA1553" s="2">
        <f>+DETALLE_GD_1[[#This Row],[VALOR PPTO]]*DETALLE_GD_1[[#This Row],[CANTIDAD RECIBIDA]]</f>
        <v>7664</v>
      </c>
      <c r="AB1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3" s="3">
        <f>+DETALLE_GD_1[[#This Row],[CANTIDAD SOLICITADA]]-DETALLE_GD_1[[#This Row],[DEVOLUCIÓN]]</f>
        <v>4</v>
      </c>
      <c r="AD1553" s="38" t="str">
        <f>+_xlfn.XLOOKUP(DETALLE_GD_1[[#This Row],[CODIGO]],PRODUCTOS[CODIGO],PRODUCTOS[DESC CORTA],"",0)</f>
        <v>PERCHA SIMPLE YORK</v>
      </c>
    </row>
    <row r="1554" spans="1:30" x14ac:dyDescent="0.25">
      <c r="A1554" s="1">
        <v>46157</v>
      </c>
      <c r="B1554" s="1">
        <v>46157</v>
      </c>
      <c r="C1554" s="81" t="s">
        <v>169</v>
      </c>
      <c r="D1554" s="38">
        <v>5</v>
      </c>
      <c r="E1554" s="81" t="s">
        <v>169</v>
      </c>
      <c r="F1554">
        <v>1808006</v>
      </c>
      <c r="G1554" s="81" t="s">
        <v>194</v>
      </c>
      <c r="H1554" s="81" t="s">
        <v>31</v>
      </c>
      <c r="I1554" s="3">
        <v>4</v>
      </c>
      <c r="J1554" s="3"/>
      <c r="K1554" s="26">
        <v>4</v>
      </c>
      <c r="L1554" s="2">
        <v>2906.75</v>
      </c>
      <c r="M1554" s="2">
        <v>11627</v>
      </c>
      <c r="N1554" s="2">
        <v>11627</v>
      </c>
      <c r="O1554" s="2">
        <v>2906.6711</v>
      </c>
      <c r="P1554" s="2">
        <v>-7.8899999999999998E-2</v>
      </c>
      <c r="Q1554" s="2">
        <v>-0.31559999999999999</v>
      </c>
      <c r="R1554" s="4">
        <v>-2.7145830193360785E-5</v>
      </c>
      <c r="T1554">
        <v>315657</v>
      </c>
      <c r="U1554" s="2"/>
      <c r="V1554">
        <v>6161</v>
      </c>
      <c r="W1554" s="2">
        <v>6579000000</v>
      </c>
      <c r="X1554" s="6">
        <v>11626.684384</v>
      </c>
      <c r="Y1554" s="38">
        <v>10010</v>
      </c>
      <c r="Z1554" s="86">
        <f>+((DETALLE_GD_1[[#This Row],[VALOR X UN (GD)]]-DETALLE_GD_1[[#This Row],[VALOR PPTO]])/DETALLE_GD_1[[#This Row],[VALOR PPTO]])</f>
        <v>2.7144454011317615E-5</v>
      </c>
      <c r="AA1554" s="2">
        <f>+DETALLE_GD_1[[#This Row],[VALOR PPTO]]*DETALLE_GD_1[[#This Row],[CANTIDAD RECIBIDA]]</f>
        <v>11626.6844</v>
      </c>
      <c r="AB15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4" s="3">
        <f>+DETALLE_GD_1[[#This Row],[CANTIDAD SOLICITADA]]-DETALLE_GD_1[[#This Row],[DEVOLUCIÓN]]</f>
        <v>4</v>
      </c>
      <c r="AD1554" s="38">
        <f>+_xlfn.XLOOKUP(DETALLE_GD_1[[#This Row],[CODIGO]],PRODUCTOS[CODIGO],PRODUCTOS[DESC CORTA],"",0)</f>
        <v>0</v>
      </c>
    </row>
    <row r="1555" spans="1:30" x14ac:dyDescent="0.25">
      <c r="A1555" s="1">
        <v>46157</v>
      </c>
      <c r="B1555" s="1">
        <v>46157</v>
      </c>
      <c r="C1555" s="81" t="s">
        <v>169</v>
      </c>
      <c r="D1555" s="38">
        <v>5</v>
      </c>
      <c r="E1555" s="81" t="s">
        <v>169</v>
      </c>
      <c r="F1555">
        <v>1808003</v>
      </c>
      <c r="G1555" s="81" t="s">
        <v>195</v>
      </c>
      <c r="H1555" s="81" t="s">
        <v>31</v>
      </c>
      <c r="I1555" s="3">
        <v>8</v>
      </c>
      <c r="J1555" s="3"/>
      <c r="K1555" s="26">
        <v>8</v>
      </c>
      <c r="L1555" s="2">
        <v>167.75</v>
      </c>
      <c r="M1555" s="2">
        <v>1342</v>
      </c>
      <c r="N1555" s="2">
        <v>1342</v>
      </c>
      <c r="O1555" s="2">
        <v>167.7449</v>
      </c>
      <c r="P1555" s="2">
        <v>-5.1000000000000004E-3</v>
      </c>
      <c r="Q1555" s="2">
        <v>-4.1099999999999998E-2</v>
      </c>
      <c r="R1555" s="4">
        <v>-3.065369669917391E-5</v>
      </c>
      <c r="T1555">
        <v>315657</v>
      </c>
      <c r="U1555" s="2"/>
      <c r="V1555">
        <v>6161</v>
      </c>
      <c r="W1555" s="2">
        <v>6579000000</v>
      </c>
      <c r="X1555" s="6">
        <v>1341.9588640000002</v>
      </c>
      <c r="Y1555" s="38">
        <v>10010</v>
      </c>
      <c r="Z1555" s="86">
        <f>+((DETALLE_GD_1[[#This Row],[VALOR X UN (GD)]]-DETALLE_GD_1[[#This Row],[VALOR PPTO]])/DETALLE_GD_1[[#This Row],[VALOR PPTO]])</f>
        <v>3.0403308833823098E-5</v>
      </c>
      <c r="AA1555" s="2">
        <f>+DETALLE_GD_1[[#This Row],[VALOR PPTO]]*DETALLE_GD_1[[#This Row],[CANTIDAD RECIBIDA]]</f>
        <v>1341.9592</v>
      </c>
      <c r="AB1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5" s="3">
        <f>+DETALLE_GD_1[[#This Row],[CANTIDAD SOLICITADA]]-DETALLE_GD_1[[#This Row],[DEVOLUCIÓN]]</f>
        <v>8</v>
      </c>
      <c r="AD1555" s="38">
        <f>+_xlfn.XLOOKUP(DETALLE_GD_1[[#This Row],[CODIGO]],PRODUCTOS[CODIGO],PRODUCTOS[DESC CORTA],"",0)</f>
        <v>0</v>
      </c>
    </row>
    <row r="1556" spans="1:30" x14ac:dyDescent="0.25">
      <c r="A1556" s="1">
        <v>46157</v>
      </c>
      <c r="B1556" s="1">
        <v>46157</v>
      </c>
      <c r="C1556" s="81" t="s">
        <v>169</v>
      </c>
      <c r="D1556" s="38">
        <v>5</v>
      </c>
      <c r="E1556" s="81" t="s">
        <v>169</v>
      </c>
      <c r="F1556">
        <v>1802517</v>
      </c>
      <c r="G1556" s="81" t="s">
        <v>141</v>
      </c>
      <c r="H1556" s="81" t="s">
        <v>31</v>
      </c>
      <c r="I1556" s="3">
        <v>4</v>
      </c>
      <c r="J1556" s="3"/>
      <c r="K1556" s="26">
        <v>4</v>
      </c>
      <c r="L1556" s="2">
        <v>2312.5</v>
      </c>
      <c r="M1556" s="2">
        <v>9250</v>
      </c>
      <c r="N1556" s="2">
        <v>9250</v>
      </c>
      <c r="O1556" s="2">
        <v>2312</v>
      </c>
      <c r="P1556" s="2">
        <v>-0.5</v>
      </c>
      <c r="Q1556" s="2">
        <v>-2</v>
      </c>
      <c r="R1556" s="4">
        <v>-2.1626297577854672E-4</v>
      </c>
      <c r="T1556">
        <v>315657</v>
      </c>
      <c r="U1556" s="2"/>
      <c r="V1556">
        <v>6161</v>
      </c>
      <c r="W1556" s="2">
        <v>6579000000</v>
      </c>
      <c r="X1556" s="6">
        <v>9248</v>
      </c>
      <c r="Y1556" s="38">
        <v>10010</v>
      </c>
      <c r="Z1556" s="86">
        <f>+((DETALLE_GD_1[[#This Row],[VALOR X UN (GD)]]-DETALLE_GD_1[[#This Row],[VALOR PPTO]])/DETALLE_GD_1[[#This Row],[VALOR PPTO]])</f>
        <v>2.1626297577854672E-4</v>
      </c>
      <c r="AA1556" s="2">
        <f>+DETALLE_GD_1[[#This Row],[VALOR PPTO]]*DETALLE_GD_1[[#This Row],[CANTIDAD RECIBIDA]]</f>
        <v>9248</v>
      </c>
      <c r="AB15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6" s="3">
        <f>+DETALLE_GD_1[[#This Row],[CANTIDAD SOLICITADA]]-DETALLE_GD_1[[#This Row],[DEVOLUCIÓN]]</f>
        <v>4</v>
      </c>
      <c r="AD1556" s="38" t="str">
        <f>+_xlfn.XLOOKUP(DETALLE_GD_1[[#This Row],[CODIGO]],PRODUCTOS[CODIGO],PRODUCTOS[DESC CORTA],"",0)</f>
        <v>CELOSIA ALUMINIO 25X25</v>
      </c>
    </row>
    <row r="1557" spans="1:30" x14ac:dyDescent="0.25">
      <c r="A1557" s="1">
        <v>46157</v>
      </c>
      <c r="B1557" s="1">
        <v>46157</v>
      </c>
      <c r="C1557" s="81" t="s">
        <v>169</v>
      </c>
      <c r="D1557" s="38">
        <v>5</v>
      </c>
      <c r="E1557" s="81" t="s">
        <v>169</v>
      </c>
      <c r="F1557">
        <v>1802172</v>
      </c>
      <c r="G1557" s="81" t="s">
        <v>266</v>
      </c>
      <c r="H1557" s="81" t="s">
        <v>31</v>
      </c>
      <c r="I1557" s="3">
        <v>4</v>
      </c>
      <c r="J1557" s="3"/>
      <c r="K1557" s="26">
        <v>4</v>
      </c>
      <c r="L1557" s="2">
        <v>3032.5</v>
      </c>
      <c r="M1557" s="2">
        <v>12130</v>
      </c>
      <c r="N1557" s="2">
        <v>12130</v>
      </c>
      <c r="O1557" s="2">
        <v>3035</v>
      </c>
      <c r="P1557" s="2">
        <v>2.5</v>
      </c>
      <c r="Q1557" s="2">
        <v>10</v>
      </c>
      <c r="R1557" s="4">
        <v>8.2372322899505756E-4</v>
      </c>
      <c r="T1557">
        <v>315657</v>
      </c>
      <c r="U1557" s="2"/>
      <c r="V1557">
        <v>6161</v>
      </c>
      <c r="W1557" s="2">
        <v>6579000000</v>
      </c>
      <c r="X1557" s="6">
        <v>12140</v>
      </c>
      <c r="Y1557" s="38">
        <v>10010</v>
      </c>
      <c r="Z1557" s="86">
        <f>+((DETALLE_GD_1[[#This Row],[VALOR X UN (GD)]]-DETALLE_GD_1[[#This Row],[VALOR PPTO]])/DETALLE_GD_1[[#This Row],[VALOR PPTO]])</f>
        <v>-8.2372322899505767E-4</v>
      </c>
      <c r="AA1557" s="2">
        <f>+DETALLE_GD_1[[#This Row],[VALOR PPTO]]*DETALLE_GD_1[[#This Row],[CANTIDAD RECIBIDA]]</f>
        <v>12140</v>
      </c>
      <c r="AB15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7" s="3">
        <f>+DETALLE_GD_1[[#This Row],[CANTIDAD SOLICITADA]]-DETALLE_GD_1[[#This Row],[DEVOLUCIÓN]]</f>
        <v>4</v>
      </c>
      <c r="AD1557" s="38" t="str">
        <f>+_xlfn.XLOOKUP(DETALLE_GD_1[[#This Row],[CODIGO]],PRODUCTOS[CODIGO],PRODUCTOS[DESC CORTA],"",0)</f>
        <v>ARGOLLA TOALLA BENTON</v>
      </c>
    </row>
    <row r="1558" spans="1:30" x14ac:dyDescent="0.25">
      <c r="A1558" s="1">
        <v>46157</v>
      </c>
      <c r="B1558" s="1">
        <v>46157</v>
      </c>
      <c r="C1558" s="81" t="s">
        <v>169</v>
      </c>
      <c r="D1558" s="38">
        <v>5</v>
      </c>
      <c r="E1558" s="81" t="s">
        <v>169</v>
      </c>
      <c r="F1558">
        <v>1802171</v>
      </c>
      <c r="G1558" s="81" t="s">
        <v>265</v>
      </c>
      <c r="H1558" s="81" t="s">
        <v>31</v>
      </c>
      <c r="I1558" s="3">
        <v>4</v>
      </c>
      <c r="J1558" s="3"/>
      <c r="K1558" s="26">
        <v>4</v>
      </c>
      <c r="L1558" s="2">
        <v>3228.75</v>
      </c>
      <c r="M1558" s="2">
        <v>12915</v>
      </c>
      <c r="N1558" s="2">
        <v>12915</v>
      </c>
      <c r="O1558" s="2">
        <v>3632</v>
      </c>
      <c r="P1558" s="2">
        <v>403.25</v>
      </c>
      <c r="Q1558" s="2">
        <v>1613</v>
      </c>
      <c r="R1558" s="4">
        <v>0.11102698237885462</v>
      </c>
      <c r="T1558">
        <v>315657</v>
      </c>
      <c r="U1558" s="2"/>
      <c r="V1558">
        <v>6161</v>
      </c>
      <c r="W1558" s="2">
        <v>6579000000</v>
      </c>
      <c r="X1558" s="6">
        <v>14528</v>
      </c>
      <c r="Y1558" s="38">
        <v>10010</v>
      </c>
      <c r="Z1558" s="86">
        <f>+((DETALLE_GD_1[[#This Row],[VALOR X UN (GD)]]-DETALLE_GD_1[[#This Row],[VALOR PPTO]])/DETALLE_GD_1[[#This Row],[VALOR PPTO]])</f>
        <v>-0.11102698237885462</v>
      </c>
      <c r="AA1558" s="2">
        <f>+DETALLE_GD_1[[#This Row],[VALOR PPTO]]*DETALLE_GD_1[[#This Row],[CANTIDAD RECIBIDA]]</f>
        <v>14528</v>
      </c>
      <c r="AB15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8" s="3">
        <f>+DETALLE_GD_1[[#This Row],[CANTIDAD SOLICITADA]]-DETALLE_GD_1[[#This Row],[DEVOLUCIÓN]]</f>
        <v>4</v>
      </c>
      <c r="AD1558" s="38" t="str">
        <f>+_xlfn.XLOOKUP(DETALLE_GD_1[[#This Row],[CODIGO]],PRODUCTOS[CODIGO],PRODUCTOS[DESC CORTA],"",0)</f>
        <v>PORTA ROLLO BENTON</v>
      </c>
    </row>
    <row r="1559" spans="1:30" x14ac:dyDescent="0.25">
      <c r="A1559" s="1">
        <v>46157</v>
      </c>
      <c r="B1559" s="1">
        <v>46157</v>
      </c>
      <c r="C1559" s="81" t="s">
        <v>169</v>
      </c>
      <c r="D1559" s="38">
        <v>5</v>
      </c>
      <c r="E1559" s="81" t="s">
        <v>169</v>
      </c>
      <c r="F1559">
        <v>1206002</v>
      </c>
      <c r="G1559" s="81" t="s">
        <v>192</v>
      </c>
      <c r="H1559" s="81" t="s">
        <v>31</v>
      </c>
      <c r="I1559" s="3">
        <v>4</v>
      </c>
      <c r="J1559" s="3"/>
      <c r="K1559" s="26">
        <v>4</v>
      </c>
      <c r="L1559" s="2">
        <v>20331.75</v>
      </c>
      <c r="M1559" s="2">
        <v>81327</v>
      </c>
      <c r="N1559" s="2">
        <v>81327</v>
      </c>
      <c r="O1559" s="2">
        <v>15783.483899999999</v>
      </c>
      <c r="P1559" s="2">
        <v>-4548.2660999999998</v>
      </c>
      <c r="Q1559" s="2">
        <v>-18193.0645</v>
      </c>
      <c r="R1559" s="4">
        <v>-0.28816617206780443</v>
      </c>
      <c r="T1559">
        <v>315657</v>
      </c>
      <c r="U1559" s="2"/>
      <c r="V1559">
        <v>6161</v>
      </c>
      <c r="W1559" s="2">
        <v>6579000000</v>
      </c>
      <c r="X1559" s="6">
        <v>63133.935483999994</v>
      </c>
      <c r="Y1559" s="38">
        <v>10010</v>
      </c>
      <c r="Z1559" s="86">
        <f>+((DETALLE_GD_1[[#This Row],[VALOR X UN (GD)]]-DETALLE_GD_1[[#This Row],[VALOR PPTO]])/DETALLE_GD_1[[#This Row],[VALOR PPTO]])</f>
        <v>0.28816616970097464</v>
      </c>
      <c r="AA1559" s="2">
        <f>+DETALLE_GD_1[[#This Row],[VALOR PPTO]]*DETALLE_GD_1[[#This Row],[CANTIDAD RECIBIDA]]</f>
        <v>63133.935599999997</v>
      </c>
      <c r="AB15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9" s="3">
        <f>+DETALLE_GD_1[[#This Row],[CANTIDAD SOLICITADA]]-DETALLE_GD_1[[#This Row],[DEVOLUCIÓN]]</f>
        <v>4</v>
      </c>
      <c r="AD1559" s="38">
        <f>+_xlfn.XLOOKUP(DETALLE_GD_1[[#This Row],[CODIGO]],PRODUCTOS[CODIGO],PRODUCTOS[DESC CORTA],"",0)</f>
        <v>0</v>
      </c>
    </row>
    <row r="1560" spans="1:30" x14ac:dyDescent="0.25">
      <c r="A1560" s="1">
        <v>46157</v>
      </c>
      <c r="B1560" s="1">
        <v>46157</v>
      </c>
      <c r="C1560" s="81" t="s">
        <v>169</v>
      </c>
      <c r="D1560" s="38">
        <v>5</v>
      </c>
      <c r="E1560" s="81" t="s">
        <v>169</v>
      </c>
      <c r="F1560">
        <v>307030</v>
      </c>
      <c r="G1560" s="81" t="s">
        <v>64</v>
      </c>
      <c r="H1560" s="81" t="s">
        <v>31</v>
      </c>
      <c r="I1560" s="3">
        <v>30</v>
      </c>
      <c r="J1560" s="3"/>
      <c r="K1560" s="26">
        <v>30</v>
      </c>
      <c r="L1560" s="2">
        <v>2730</v>
      </c>
      <c r="M1560" s="2">
        <v>81900</v>
      </c>
      <c r="N1560" s="2">
        <v>81900</v>
      </c>
      <c r="O1560" s="2">
        <v>2729.9989</v>
      </c>
      <c r="P1560" s="2">
        <v>-1.1000000000000001E-3</v>
      </c>
      <c r="Q1560" s="2">
        <v>-3.4299999999999997E-2</v>
      </c>
      <c r="R1560" s="4">
        <v>-4.190477945900508E-7</v>
      </c>
      <c r="T1560">
        <v>315657</v>
      </c>
      <c r="U1560" s="2"/>
      <c r="V1560">
        <v>6161</v>
      </c>
      <c r="W1560" s="2">
        <v>6579000000</v>
      </c>
      <c r="X1560" s="6">
        <v>81899.965679999994</v>
      </c>
      <c r="Y1560" s="38">
        <v>10010</v>
      </c>
      <c r="Z1560" s="86">
        <f>+((DETALLE_GD_1[[#This Row],[VALOR X UN (GD)]]-DETALLE_GD_1[[#This Row],[VALOR PPTO]])/DETALLE_GD_1[[#This Row],[VALOR PPTO]])</f>
        <v>4.0293056526552117E-7</v>
      </c>
      <c r="AA1560" s="2">
        <f>+DETALLE_GD_1[[#This Row],[VALOR PPTO]]*DETALLE_GD_1[[#This Row],[CANTIDAD RECIBIDA]]</f>
        <v>81899.967000000004</v>
      </c>
      <c r="AB1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0" s="3">
        <f>+DETALLE_GD_1[[#This Row],[CANTIDAD SOLICITADA]]-DETALLE_GD_1[[#This Row],[DEVOLUCIÓN]]</f>
        <v>30</v>
      </c>
      <c r="AD1560" s="38" t="str">
        <f>+_xlfn.XLOOKUP(DETALLE_GD_1[[#This Row],[CODIGO]],PRODUCTOS[CODIGO],PRODUCTOS[DESC CORTA],"",0)</f>
        <v>GUARDAPOLVO BLANCO</v>
      </c>
    </row>
    <row r="1561" spans="1:30" x14ac:dyDescent="0.25">
      <c r="A1561" s="1">
        <v>46157</v>
      </c>
      <c r="B1561" s="1">
        <v>46157</v>
      </c>
      <c r="C1561" s="81" t="s">
        <v>169</v>
      </c>
      <c r="D1561" s="38">
        <v>5</v>
      </c>
      <c r="E1561" s="81" t="s">
        <v>169</v>
      </c>
      <c r="F1561">
        <v>1103076</v>
      </c>
      <c r="G1561" s="81" t="s">
        <v>311</v>
      </c>
      <c r="H1561" s="81" t="s">
        <v>31</v>
      </c>
      <c r="I1561" s="3">
        <v>20</v>
      </c>
      <c r="J1561" s="3"/>
      <c r="K1561" s="26">
        <v>20</v>
      </c>
      <c r="L1561" s="2">
        <v>3190.75</v>
      </c>
      <c r="M1561" s="2">
        <v>63815</v>
      </c>
      <c r="N1561" s="2">
        <v>63815</v>
      </c>
      <c r="O1561" s="2">
        <v>3191</v>
      </c>
      <c r="P1561" s="2">
        <v>0.25</v>
      </c>
      <c r="Q1561" s="2">
        <v>5</v>
      </c>
      <c r="R1561" s="4">
        <v>7.8345346286430597E-5</v>
      </c>
      <c r="T1561">
        <v>315657</v>
      </c>
      <c r="U1561" s="2"/>
      <c r="V1561">
        <v>6161</v>
      </c>
      <c r="W1561" s="2">
        <v>6579000000</v>
      </c>
      <c r="X1561" s="6">
        <v>63820</v>
      </c>
      <c r="Y1561" s="38">
        <v>10010</v>
      </c>
      <c r="Z1561" s="86">
        <f>+((DETALLE_GD_1[[#This Row],[VALOR X UN (GD)]]-DETALLE_GD_1[[#This Row],[VALOR PPTO]])/DETALLE_GD_1[[#This Row],[VALOR PPTO]])</f>
        <v>-7.8345346286430584E-5</v>
      </c>
      <c r="AA1561" s="2">
        <f>+DETALLE_GD_1[[#This Row],[VALOR PPTO]]*DETALLE_GD_1[[#This Row],[CANTIDAD RECIBIDA]]</f>
        <v>63820</v>
      </c>
      <c r="AB1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1" s="3">
        <f>+DETALLE_GD_1[[#This Row],[CANTIDAD SOLICITADA]]-DETALLE_GD_1[[#This Row],[DEVOLUCIÓN]]</f>
        <v>20</v>
      </c>
      <c r="AD1561" s="38" t="str">
        <f>+_xlfn.XLOOKUP(DETALLE_GD_1[[#This Row],[CODIGO]],PRODUCTOS[CODIGO],PRODUCTOS[DESC CORTA],"",0)</f>
        <v>PERFIL ESQUINERO INTERIOR</v>
      </c>
    </row>
    <row r="1562" spans="1:30" x14ac:dyDescent="0.25">
      <c r="A1562" s="1">
        <v>46157</v>
      </c>
      <c r="B1562" s="1">
        <v>46157</v>
      </c>
      <c r="C1562" s="81" t="s">
        <v>169</v>
      </c>
      <c r="D1562" s="38">
        <v>5</v>
      </c>
      <c r="E1562" s="81" t="s">
        <v>169</v>
      </c>
      <c r="F1562">
        <v>1103074</v>
      </c>
      <c r="G1562" s="81" t="s">
        <v>310</v>
      </c>
      <c r="H1562" s="81" t="s">
        <v>31</v>
      </c>
      <c r="I1562" s="3">
        <v>20</v>
      </c>
      <c r="J1562" s="3"/>
      <c r="K1562" s="26">
        <v>20</v>
      </c>
      <c r="L1562" s="2">
        <v>2426.9</v>
      </c>
      <c r="M1562" s="2">
        <v>48538</v>
      </c>
      <c r="N1562" s="2">
        <v>48538</v>
      </c>
      <c r="O1562" s="2">
        <v>2427</v>
      </c>
      <c r="P1562" s="2">
        <v>0.1</v>
      </c>
      <c r="Q1562" s="2">
        <v>2</v>
      </c>
      <c r="R1562" s="4">
        <v>4.1203131437951816E-5</v>
      </c>
      <c r="T1562">
        <v>315657</v>
      </c>
      <c r="U1562" s="2"/>
      <c r="V1562">
        <v>6161</v>
      </c>
      <c r="W1562" s="2">
        <v>6579000000</v>
      </c>
      <c r="X1562" s="6">
        <v>48540</v>
      </c>
      <c r="Y1562" s="38">
        <v>10010</v>
      </c>
      <c r="Z1562" s="86">
        <f>+((DETALLE_GD_1[[#This Row],[VALOR X UN (GD)]]-DETALLE_GD_1[[#This Row],[VALOR PPTO]])/DETALLE_GD_1[[#This Row],[VALOR PPTO]])</f>
        <v>-4.1203131437951816E-5</v>
      </c>
      <c r="AA1562" s="2">
        <f>+DETALLE_GD_1[[#This Row],[VALOR PPTO]]*DETALLE_GD_1[[#This Row],[CANTIDAD RECIBIDA]]</f>
        <v>48540</v>
      </c>
      <c r="AB1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2" s="3">
        <f>+DETALLE_GD_1[[#This Row],[CANTIDAD SOLICITADA]]-DETALLE_GD_1[[#This Row],[DEVOLUCIÓN]]</f>
        <v>20</v>
      </c>
      <c r="AD1562" s="38" t="str">
        <f>+_xlfn.XLOOKUP(DETALLE_GD_1[[#This Row],[CODIGO]],PRODUCTOS[CODIGO],PRODUCTOS[DESC CORTA],"",0)</f>
        <v>PERFIL ESQUINERO ENCUENTRO</v>
      </c>
    </row>
    <row r="1563" spans="1:30" x14ac:dyDescent="0.25">
      <c r="A1563" s="1">
        <v>46157</v>
      </c>
      <c r="B1563" s="1">
        <v>46157</v>
      </c>
      <c r="C1563" s="81" t="s">
        <v>169</v>
      </c>
      <c r="D1563" s="38">
        <v>5</v>
      </c>
      <c r="E1563" s="81" t="s">
        <v>169</v>
      </c>
      <c r="F1563">
        <v>2505058</v>
      </c>
      <c r="G1563" s="81" t="s">
        <v>142</v>
      </c>
      <c r="H1563" s="81" t="s">
        <v>31</v>
      </c>
      <c r="I1563" s="3">
        <v>9</v>
      </c>
      <c r="J1563" s="3"/>
      <c r="K1563" s="26">
        <v>9</v>
      </c>
      <c r="L1563" s="2">
        <v>16539.666700000002</v>
      </c>
      <c r="M1563" s="2">
        <v>148857</v>
      </c>
      <c r="N1563" s="2">
        <v>148857</v>
      </c>
      <c r="O1563" s="2">
        <v>17870.144100000001</v>
      </c>
      <c r="P1563" s="2">
        <v>1330.4774</v>
      </c>
      <c r="Q1563" s="2">
        <v>11974.2966</v>
      </c>
      <c r="R1563" s="4">
        <v>7.4452527985815961E-2</v>
      </c>
      <c r="T1563">
        <v>315657</v>
      </c>
      <c r="U1563" s="2"/>
      <c r="V1563">
        <v>6161</v>
      </c>
      <c r="W1563" s="2">
        <v>6579000000</v>
      </c>
      <c r="X1563" s="6">
        <v>160831.29661200001</v>
      </c>
      <c r="Y1563" s="38">
        <v>10010</v>
      </c>
      <c r="Z1563" s="86">
        <f>+((DETALLE_GD_1[[#This Row],[VALOR X UN (GD)]]-DETALLE_GD_1[[#This Row],[VALOR PPTO]])/DETALLE_GD_1[[#This Row],[VALOR PPTO]])</f>
        <v>-7.445252777788175E-2</v>
      </c>
      <c r="AA1563" s="2">
        <f>+DETALLE_GD_1[[#This Row],[VALOR PPTO]]*DETALLE_GD_1[[#This Row],[CANTIDAD RECIBIDA]]</f>
        <v>160831.29690000002</v>
      </c>
      <c r="AB1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3" s="3">
        <f>+DETALLE_GD_1[[#This Row],[CANTIDAD SOLICITADA]]-DETALLE_GD_1[[#This Row],[DEVOLUCIÓN]]</f>
        <v>9</v>
      </c>
      <c r="AD1563" s="38" t="str">
        <f>+_xlfn.XLOOKUP(DETALLE_GD_1[[#This Row],[CODIGO]],PRODUCTOS[CODIGO],PRODUCTOS[DESC CORTA],"",0)</f>
        <v>VENTILACIÓN PASIVA</v>
      </c>
    </row>
    <row r="1564" spans="1:30" x14ac:dyDescent="0.25">
      <c r="A1564" s="1">
        <v>46157</v>
      </c>
      <c r="B1564" s="1">
        <v>46157</v>
      </c>
      <c r="C1564" s="81" t="s">
        <v>169</v>
      </c>
      <c r="D1564" s="38">
        <v>5</v>
      </c>
      <c r="E1564" s="81" t="s">
        <v>169</v>
      </c>
      <c r="F1564">
        <v>307033</v>
      </c>
      <c r="G1564" s="81" t="s">
        <v>248</v>
      </c>
      <c r="H1564" s="81" t="s">
        <v>31</v>
      </c>
      <c r="I1564" s="3">
        <v>50</v>
      </c>
      <c r="J1564" s="3"/>
      <c r="K1564" s="26">
        <v>50</v>
      </c>
      <c r="L1564" s="2">
        <v>1889.62</v>
      </c>
      <c r="M1564" s="2">
        <v>94481</v>
      </c>
      <c r="N1564" s="2">
        <v>94481</v>
      </c>
      <c r="O1564" s="2">
        <v>1889.0535</v>
      </c>
      <c r="P1564" s="2">
        <v>-0.5665</v>
      </c>
      <c r="Q1564" s="2">
        <v>-28.322800000000001</v>
      </c>
      <c r="R1564" s="4">
        <v>-2.9986233148297494E-4</v>
      </c>
      <c r="T1564">
        <v>315657</v>
      </c>
      <c r="U1564" s="2"/>
      <c r="V1564">
        <v>6161</v>
      </c>
      <c r="W1564" s="2">
        <v>6579000000</v>
      </c>
      <c r="X1564" s="6">
        <v>94452.677199999991</v>
      </c>
      <c r="Y1564" s="38">
        <v>10010</v>
      </c>
      <c r="Z1564" s="86">
        <f>+((DETALLE_GD_1[[#This Row],[VALOR X UN (GD)]]-DETALLE_GD_1[[#This Row],[VALOR PPTO]])/DETALLE_GD_1[[#This Row],[VALOR PPTO]])</f>
        <v>2.9988563055514597E-4</v>
      </c>
      <c r="AA1564" s="2">
        <f>+DETALLE_GD_1[[#This Row],[VALOR PPTO]]*DETALLE_GD_1[[#This Row],[CANTIDAD RECIBIDA]]</f>
        <v>94452.675000000003</v>
      </c>
      <c r="AB1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4" s="3">
        <f>+DETALLE_GD_1[[#This Row],[CANTIDAD SOLICITADA]]-DETALLE_GD_1[[#This Row],[DEVOLUCIÓN]]</f>
        <v>50</v>
      </c>
      <c r="AD1564" s="38">
        <f>+_xlfn.XLOOKUP(DETALLE_GD_1[[#This Row],[CODIGO]],PRODUCTOS[CODIGO],PRODUCTOS[DESC CORTA],"",0)</f>
        <v>0</v>
      </c>
    </row>
    <row r="1565" spans="1:30" x14ac:dyDescent="0.25">
      <c r="A1565" s="1">
        <v>46157</v>
      </c>
      <c r="B1565" s="1">
        <v>46157</v>
      </c>
      <c r="C1565" s="81" t="s">
        <v>169</v>
      </c>
      <c r="D1565" s="38">
        <v>5</v>
      </c>
      <c r="E1565" s="81" t="s">
        <v>169</v>
      </c>
      <c r="F1565">
        <v>304002</v>
      </c>
      <c r="G1565" s="81" t="s">
        <v>37</v>
      </c>
      <c r="H1565" s="81" t="s">
        <v>18</v>
      </c>
      <c r="I1565" s="3">
        <v>144</v>
      </c>
      <c r="J1565" s="3"/>
      <c r="K1565" s="26">
        <v>144</v>
      </c>
      <c r="L1565" s="2">
        <v>21611.3681</v>
      </c>
      <c r="M1565" s="2">
        <v>3112037</v>
      </c>
      <c r="N1565" s="2">
        <v>3112037</v>
      </c>
      <c r="O1565" s="2">
        <v>21246.5072</v>
      </c>
      <c r="P1565" s="2">
        <v>-364.86090000000002</v>
      </c>
      <c r="Q1565" s="2">
        <v>-52539.97</v>
      </c>
      <c r="R1565" s="4">
        <v>-1.7172747498123905E-2</v>
      </c>
      <c r="T1565">
        <v>315721</v>
      </c>
      <c r="U1565" s="2">
        <v>3112037</v>
      </c>
      <c r="V1565">
        <v>6161</v>
      </c>
      <c r="W1565" s="2">
        <v>6579000000</v>
      </c>
      <c r="X1565" s="6">
        <v>3059497.0300320005</v>
      </c>
      <c r="Y1565" s="38">
        <v>10010</v>
      </c>
      <c r="Z1565" s="86">
        <f>+((DETALLE_GD_1[[#This Row],[VALOR X UN (GD)]]-DETALLE_GD_1[[#This Row],[VALOR PPTO]])/DETALLE_GD_1[[#This Row],[VALOR PPTO]])</f>
        <v>1.7172747339854508E-2</v>
      </c>
      <c r="AA1565" s="2">
        <f>+DETALLE_GD_1[[#This Row],[VALOR PPTO]]*DETALLE_GD_1[[#This Row],[CANTIDAD RECIBIDA]]</f>
        <v>3059497.0367999999</v>
      </c>
      <c r="AB1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65" s="3">
        <f>+DETALLE_GD_1[[#This Row],[CANTIDAD SOLICITADA]]-DETALLE_GD_1[[#This Row],[DEVOLUCIÓN]]</f>
        <v>144</v>
      </c>
      <c r="AD1565" s="38" t="str">
        <f>+_xlfn.XLOOKUP(DETALLE_GD_1[[#This Row],[CODIGO]],PRODUCTOS[CODIGO],PRODUCTOS[DESC CORTA],"",0)</f>
        <v>SMARTPANEL</v>
      </c>
    </row>
    <row r="1566" spans="1:30" x14ac:dyDescent="0.25">
      <c r="A1566" s="1">
        <v>46157</v>
      </c>
      <c r="B1566" s="1">
        <v>46157</v>
      </c>
      <c r="C1566" s="81" t="s">
        <v>169</v>
      </c>
      <c r="D1566" s="38">
        <v>5</v>
      </c>
      <c r="E1566" s="81" t="s">
        <v>169</v>
      </c>
      <c r="F1566">
        <v>407185</v>
      </c>
      <c r="G1566" s="81" t="s">
        <v>43</v>
      </c>
      <c r="H1566" s="81" t="s">
        <v>31</v>
      </c>
      <c r="I1566" s="3">
        <v>4500</v>
      </c>
      <c r="J1566" s="3"/>
      <c r="K1566" s="26">
        <v>4500</v>
      </c>
      <c r="L1566" s="2">
        <v>6.2656000000000001</v>
      </c>
      <c r="M1566" s="2">
        <v>28195</v>
      </c>
      <c r="N1566" s="2">
        <v>28195</v>
      </c>
      <c r="O1566" s="2">
        <v>6.8783000000000003</v>
      </c>
      <c r="P1566" s="2">
        <v>0.61280000000000001</v>
      </c>
      <c r="Q1566" s="2">
        <v>2757.44</v>
      </c>
      <c r="R1566" s="4">
        <v>8.9086353127572598E-2</v>
      </c>
      <c r="T1566">
        <v>315670</v>
      </c>
      <c r="U1566" s="2">
        <v>6469046</v>
      </c>
      <c r="V1566">
        <v>6161</v>
      </c>
      <c r="W1566" s="2">
        <v>6579000000</v>
      </c>
      <c r="X1566" s="6">
        <v>30952.44</v>
      </c>
      <c r="Y1566" s="38">
        <v>10010</v>
      </c>
      <c r="Z1566" s="86">
        <f>+((DETALLE_GD_1[[#This Row],[VALOR X UN (GD)]]-DETALLE_GD_1[[#This Row],[VALOR PPTO]])/DETALLE_GD_1[[#This Row],[VALOR PPTO]])</f>
        <v>-8.9077242923396804E-2</v>
      </c>
      <c r="AA1566" s="2">
        <f>+DETALLE_GD_1[[#This Row],[VALOR PPTO]]*DETALLE_GD_1[[#This Row],[CANTIDAD RECIBIDA]]</f>
        <v>30952.350000000002</v>
      </c>
      <c r="AB15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6" s="3">
        <f>+DETALLE_GD_1[[#This Row],[CANTIDAD SOLICITADA]]-DETALLE_GD_1[[#This Row],[DEVOLUCIÓN]]</f>
        <v>4500</v>
      </c>
      <c r="AD1566" s="38">
        <f>+_xlfn.XLOOKUP(DETALLE_GD_1[[#This Row],[CODIGO]],PRODUCTOS[CODIGO],PRODUCTOS[DESC CORTA],"",0)</f>
        <v>0</v>
      </c>
    </row>
    <row r="1567" spans="1:30" x14ac:dyDescent="0.25">
      <c r="A1567" s="1">
        <v>46157</v>
      </c>
      <c r="B1567" s="1">
        <v>46157</v>
      </c>
      <c r="C1567" s="81" t="s">
        <v>169</v>
      </c>
      <c r="D1567" s="38">
        <v>5</v>
      </c>
      <c r="E1567" s="81" t="s">
        <v>169</v>
      </c>
      <c r="F1567">
        <v>407423</v>
      </c>
      <c r="G1567" s="81" t="s">
        <v>106</v>
      </c>
      <c r="H1567" s="81" t="s">
        <v>31</v>
      </c>
      <c r="I1567" s="3">
        <v>9000</v>
      </c>
      <c r="J1567" s="3"/>
      <c r="K1567" s="26">
        <v>9000</v>
      </c>
      <c r="L1567" s="2">
        <v>3.4662000000000002</v>
      </c>
      <c r="M1567" s="2">
        <v>31196</v>
      </c>
      <c r="N1567" s="2">
        <v>31196</v>
      </c>
      <c r="O1567" s="2">
        <v>106.6405</v>
      </c>
      <c r="P1567" s="2">
        <v>103.1743</v>
      </c>
      <c r="Q1567" s="2">
        <v>928568.51789999998</v>
      </c>
      <c r="R1567" s="4">
        <v>0.96749619368118389</v>
      </c>
      <c r="T1567">
        <v>315670</v>
      </c>
      <c r="U1567" s="2"/>
      <c r="V1567">
        <v>6161</v>
      </c>
      <c r="W1567" s="2">
        <v>6579000000</v>
      </c>
      <c r="X1567" s="6">
        <v>959764.51785405388</v>
      </c>
      <c r="Y1567" s="38">
        <v>10010</v>
      </c>
      <c r="Z1567" s="86">
        <f>+((DETALLE_GD_1[[#This Row],[VALOR X UN (GD)]]-DETALLE_GD_1[[#This Row],[VALOR PPTO]])/DETALLE_GD_1[[#This Row],[VALOR PPTO]])</f>
        <v>-0.96749640146098337</v>
      </c>
      <c r="AA1567" s="2">
        <f>+DETALLE_GD_1[[#This Row],[VALOR PPTO]]*DETALLE_GD_1[[#This Row],[CANTIDAD RECIBIDA]]</f>
        <v>959764.5</v>
      </c>
      <c r="AB15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7" s="3">
        <f>+DETALLE_GD_1[[#This Row],[CANTIDAD SOLICITADA]]-DETALLE_GD_1[[#This Row],[DEVOLUCIÓN]]</f>
        <v>9000</v>
      </c>
      <c r="AD1567" s="38" t="str">
        <f>+_xlfn.XLOOKUP(DETALLE_GD_1[[#This Row],[CODIGO]],PRODUCTOS[CODIGO],PRODUCTOS[DESC CORTA],"",0)</f>
        <v>TORNILLO CRS 6X1 5/8</v>
      </c>
    </row>
    <row r="1568" spans="1:30" x14ac:dyDescent="0.25">
      <c r="A1568" s="1">
        <v>46157</v>
      </c>
      <c r="B1568" s="1">
        <v>46157</v>
      </c>
      <c r="C1568" s="81" t="s">
        <v>169</v>
      </c>
      <c r="D1568" s="38">
        <v>5</v>
      </c>
      <c r="E1568" s="81" t="s">
        <v>169</v>
      </c>
      <c r="F1568">
        <v>701096</v>
      </c>
      <c r="G1568" s="81" t="s">
        <v>204</v>
      </c>
      <c r="H1568" s="81" t="s">
        <v>18</v>
      </c>
      <c r="I1568" s="3">
        <v>140</v>
      </c>
      <c r="J1568" s="3"/>
      <c r="K1568" s="26">
        <v>140</v>
      </c>
      <c r="L1568" s="2">
        <v>16082.428599999999</v>
      </c>
      <c r="M1568" s="2">
        <v>2251540</v>
      </c>
      <c r="N1568" s="2">
        <v>2251540</v>
      </c>
      <c r="O1568" s="2">
        <v>16019.885700000001</v>
      </c>
      <c r="P1568" s="2">
        <v>-62.542900000000003</v>
      </c>
      <c r="Q1568" s="2">
        <v>-8756.0041000000001</v>
      </c>
      <c r="R1568" s="4">
        <v>-3.904078197457357E-3</v>
      </c>
      <c r="T1568">
        <v>315670</v>
      </c>
      <c r="U1568" s="2"/>
      <c r="V1568">
        <v>6161</v>
      </c>
      <c r="W1568" s="2">
        <v>6579000000</v>
      </c>
      <c r="X1568" s="6">
        <v>2242783.9959000004</v>
      </c>
      <c r="Y1568" s="38">
        <v>10010</v>
      </c>
      <c r="Z1568" s="86">
        <f>+((DETALLE_GD_1[[#This Row],[VALOR X UN (GD)]]-DETALLE_GD_1[[#This Row],[VALOR PPTO]])/DETALLE_GD_1[[#This Row],[VALOR PPTO]])</f>
        <v>3.9040790409633542E-3</v>
      </c>
      <c r="AA1568" s="2">
        <f>+DETALLE_GD_1[[#This Row],[VALOR PPTO]]*DETALLE_GD_1[[#This Row],[CANTIDAD RECIBIDA]]</f>
        <v>2242783.9980000001</v>
      </c>
      <c r="AB15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68" s="3">
        <f>+DETALLE_GD_1[[#This Row],[CANTIDAD SOLICITADA]]-DETALLE_GD_1[[#This Row],[DEVOLUCIÓN]]</f>
        <v>140</v>
      </c>
      <c r="AD1568" s="38" t="str">
        <f>+_xlfn.XLOOKUP(DETALLE_GD_1[[#This Row],[CODIGO]],PRODUCTOS[CODIGO],PRODUCTOS[DESC CORTA],"",0)</f>
        <v>VOCANITA EMPAPELADA MURO</v>
      </c>
    </row>
    <row r="1569" spans="1:30" x14ac:dyDescent="0.25">
      <c r="A1569" s="1">
        <v>46157</v>
      </c>
      <c r="B1569" s="1">
        <v>46157</v>
      </c>
      <c r="C1569" s="81" t="s">
        <v>169</v>
      </c>
      <c r="D1569" s="38">
        <v>5</v>
      </c>
      <c r="E1569" s="81" t="s">
        <v>169</v>
      </c>
      <c r="F1569">
        <v>701040</v>
      </c>
      <c r="G1569" s="81" t="s">
        <v>19</v>
      </c>
      <c r="H1569" s="81" t="s">
        <v>18</v>
      </c>
      <c r="I1569" s="3">
        <v>80</v>
      </c>
      <c r="J1569" s="3"/>
      <c r="K1569" s="26">
        <v>80</v>
      </c>
      <c r="L1569" s="2">
        <v>7921.6</v>
      </c>
      <c r="M1569" s="2">
        <v>633728</v>
      </c>
      <c r="N1569" s="2">
        <v>633728</v>
      </c>
      <c r="O1569" s="2">
        <v>7835.7259999999997</v>
      </c>
      <c r="P1569" s="2">
        <v>-85.873999999999995</v>
      </c>
      <c r="Q1569" s="2">
        <v>-6869.9237000000003</v>
      </c>
      <c r="R1569" s="4">
        <v>-1.09592967523533E-2</v>
      </c>
      <c r="T1569">
        <v>315670</v>
      </c>
      <c r="U1569" s="2"/>
      <c r="V1569">
        <v>6161</v>
      </c>
      <c r="W1569" s="2">
        <v>6579000000</v>
      </c>
      <c r="X1569" s="6">
        <v>626858.07631999976</v>
      </c>
      <c r="Y1569" s="38">
        <v>10010</v>
      </c>
      <c r="Z1569" s="86">
        <f>+((DETALLE_GD_1[[#This Row],[VALOR X UN (GD)]]-DETALLE_GD_1[[#This Row],[VALOR PPTO]])/DETALLE_GD_1[[#This Row],[VALOR PPTO]])</f>
        <v>1.0959290817468695E-2</v>
      </c>
      <c r="AA1569" s="2">
        <f>+DETALLE_GD_1[[#This Row],[VALOR PPTO]]*DETALLE_GD_1[[#This Row],[CANTIDAD RECIBIDA]]</f>
        <v>626858.07999999996</v>
      </c>
      <c r="AB1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9" s="3">
        <f>+DETALLE_GD_1[[#This Row],[CANTIDAD SOLICITADA]]-DETALLE_GD_1[[#This Row],[DEVOLUCIÓN]]</f>
        <v>80</v>
      </c>
      <c r="AD1569" s="38" t="str">
        <f>+_xlfn.XLOOKUP(DETALLE_GD_1[[#This Row],[CODIGO]],PRODUCTOS[CODIGO],PRODUCTOS[DESC CORTA],"",0)</f>
        <v>VOLCANITA RF</v>
      </c>
    </row>
    <row r="1570" spans="1:30" x14ac:dyDescent="0.25">
      <c r="A1570" s="1">
        <v>46157</v>
      </c>
      <c r="B1570" s="1">
        <v>46157</v>
      </c>
      <c r="C1570" s="81" t="s">
        <v>169</v>
      </c>
      <c r="D1570" s="38">
        <v>5</v>
      </c>
      <c r="E1570" s="81" t="s">
        <v>169</v>
      </c>
      <c r="F1570">
        <v>701043</v>
      </c>
      <c r="G1570" s="81" t="s">
        <v>197</v>
      </c>
      <c r="H1570" s="81" t="s">
        <v>18</v>
      </c>
      <c r="I1570" s="3">
        <v>40</v>
      </c>
      <c r="J1570" s="3"/>
      <c r="K1570" s="26">
        <v>40</v>
      </c>
      <c r="L1570" s="2">
        <v>22739.125</v>
      </c>
      <c r="M1570" s="2">
        <v>909565</v>
      </c>
      <c r="N1570" s="2">
        <v>909565</v>
      </c>
      <c r="O1570" s="2">
        <v>22146.362799999999</v>
      </c>
      <c r="P1570" s="2">
        <v>-592.76220000000001</v>
      </c>
      <c r="Q1570" s="2">
        <v>-23710.489099999999</v>
      </c>
      <c r="R1570" s="4">
        <v>-2.6765669564007971E-2</v>
      </c>
      <c r="T1570">
        <v>315670</v>
      </c>
      <c r="U1570" s="2"/>
      <c r="V1570">
        <v>6161</v>
      </c>
      <c r="W1570" s="2">
        <v>6579000000</v>
      </c>
      <c r="X1570" s="6">
        <v>885854.51087999996</v>
      </c>
      <c r="Y1570" s="38">
        <v>10010</v>
      </c>
      <c r="Z1570" s="86">
        <f>+((DETALLE_GD_1[[#This Row],[VALOR X UN (GD)]]-DETALLE_GD_1[[#This Row],[VALOR PPTO]])/DETALLE_GD_1[[#This Row],[VALOR PPTO]])</f>
        <v>2.6765668265851812E-2</v>
      </c>
      <c r="AA1570" s="2">
        <f>+DETALLE_GD_1[[#This Row],[VALOR PPTO]]*DETALLE_GD_1[[#This Row],[CANTIDAD RECIBIDA]]</f>
        <v>885854.51199999999</v>
      </c>
      <c r="AB15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70" s="3">
        <f>+DETALLE_GD_1[[#This Row],[CANTIDAD SOLICITADA]]-DETALLE_GD_1[[#This Row],[DEVOLUCIÓN]]</f>
        <v>40</v>
      </c>
      <c r="AD1570" s="38" t="str">
        <f>+_xlfn.XLOOKUP(DETALLE_GD_1[[#This Row],[CODIGO]],PRODUCTOS[CODIGO],PRODUCTOS[DESC CORTA],"",0)</f>
        <v>VOLCANITA EMPAPELADA CIELO</v>
      </c>
    </row>
    <row r="1571" spans="1:30" x14ac:dyDescent="0.25">
      <c r="A1571" s="1">
        <v>46157</v>
      </c>
      <c r="B1571" s="1">
        <v>46157</v>
      </c>
      <c r="C1571" s="81" t="s">
        <v>169</v>
      </c>
      <c r="D1571" s="38">
        <v>5</v>
      </c>
      <c r="E1571" s="81" t="s">
        <v>169</v>
      </c>
      <c r="F1571">
        <v>304101</v>
      </c>
      <c r="G1571" s="81" t="s">
        <v>17</v>
      </c>
      <c r="H1571" s="81" t="s">
        <v>18</v>
      </c>
      <c r="I1571" s="3">
        <v>168</v>
      </c>
      <c r="J1571" s="3"/>
      <c r="K1571" s="26">
        <v>168</v>
      </c>
      <c r="L1571" s="2">
        <v>9620.9940000000006</v>
      </c>
      <c r="M1571" s="2">
        <v>1616327</v>
      </c>
      <c r="N1571" s="2">
        <v>1616327</v>
      </c>
      <c r="O1571" s="2">
        <v>9657.5879999999997</v>
      </c>
      <c r="P1571" s="2">
        <v>36.593899999999998</v>
      </c>
      <c r="Q1571" s="2">
        <v>6147.7755999999999</v>
      </c>
      <c r="R1571" s="4">
        <v>3.7891347788302481E-3</v>
      </c>
      <c r="T1571">
        <v>315670</v>
      </c>
      <c r="U1571" s="2"/>
      <c r="V1571">
        <v>6161</v>
      </c>
      <c r="W1571" s="2">
        <v>6579000000</v>
      </c>
      <c r="X1571" s="6">
        <v>1622474.7756000008</v>
      </c>
      <c r="Y1571" s="38">
        <v>10010</v>
      </c>
      <c r="Z1571" s="86">
        <f>+((DETALLE_GD_1[[#This Row],[VALOR X UN (GD)]]-DETALLE_GD_1[[#This Row],[VALOR PPTO]])/DETALLE_GD_1[[#This Row],[VALOR PPTO]])</f>
        <v>-3.7891448672276291E-3</v>
      </c>
      <c r="AA1571" s="2">
        <f>+DETALLE_GD_1[[#This Row],[VALOR PPTO]]*DETALLE_GD_1[[#This Row],[CANTIDAD RECIBIDA]]</f>
        <v>1622474.784</v>
      </c>
      <c r="AB15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71" s="3">
        <f>+DETALLE_GD_1[[#This Row],[CANTIDAD SOLICITADA]]-DETALLE_GD_1[[#This Row],[DEVOLUCIÓN]]</f>
        <v>168</v>
      </c>
      <c r="AD1571" s="38" t="str">
        <f>+_xlfn.XLOOKUP(DETALLE_GD_1[[#This Row],[CODIGO]],PRODUCTOS[CODIGO],PRODUCTOS[DESC CORTA],"",0)</f>
        <v>OSB 9.5</v>
      </c>
    </row>
    <row r="1572" spans="1:30" x14ac:dyDescent="0.25">
      <c r="A1572" s="1">
        <v>46157</v>
      </c>
      <c r="B1572" s="1">
        <v>46157</v>
      </c>
      <c r="C1572" s="81" t="s">
        <v>169</v>
      </c>
      <c r="D1572" s="38">
        <v>5</v>
      </c>
      <c r="E1572" s="81" t="s">
        <v>169</v>
      </c>
      <c r="F1572">
        <v>407011</v>
      </c>
      <c r="G1572" s="81" t="s">
        <v>30</v>
      </c>
      <c r="H1572" s="81" t="s">
        <v>31</v>
      </c>
      <c r="I1572" s="3">
        <v>2000</v>
      </c>
      <c r="J1572" s="3"/>
      <c r="K1572" s="26">
        <v>2000</v>
      </c>
      <c r="L1572" s="2">
        <v>473.17500000000001</v>
      </c>
      <c r="M1572" s="2">
        <v>946350</v>
      </c>
      <c r="N1572" s="2">
        <v>946350</v>
      </c>
      <c r="O1572" s="2">
        <v>473.17520000000002</v>
      </c>
      <c r="P1572" s="2">
        <v>2.0000000000000001E-4</v>
      </c>
      <c r="Q1572" s="2">
        <v>0.48</v>
      </c>
      <c r="R1572" s="4">
        <v>5.0721166201690746E-7</v>
      </c>
      <c r="T1572">
        <v>315670</v>
      </c>
      <c r="U1572" s="2"/>
      <c r="V1572">
        <v>6161</v>
      </c>
      <c r="W1572" s="2">
        <v>6579000000</v>
      </c>
      <c r="X1572" s="6">
        <v>946350.47999999986</v>
      </c>
      <c r="Y1572" s="38">
        <v>10010</v>
      </c>
      <c r="Z1572" s="86">
        <f>+((DETALLE_GD_1[[#This Row],[VALOR X UN (GD)]]-DETALLE_GD_1[[#This Row],[VALOR PPTO]])/DETALLE_GD_1[[#This Row],[VALOR PPTO]])</f>
        <v>-4.2267642092535555E-7</v>
      </c>
      <c r="AA1572" s="2">
        <f>+DETALLE_GD_1[[#This Row],[VALOR PPTO]]*DETALLE_GD_1[[#This Row],[CANTIDAD RECIBIDA]]</f>
        <v>946350.4</v>
      </c>
      <c r="AB15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72" s="3">
        <f>+DETALLE_GD_1[[#This Row],[CANTIDAD SOLICITADA]]-DETALLE_GD_1[[#This Row],[DEVOLUCIÓN]]</f>
        <v>2000</v>
      </c>
      <c r="AD1572" s="38" t="str">
        <f>+_xlfn.XLOOKUP(DETALLE_GD_1[[#This Row],[CODIGO]],PRODUCTOS[CODIGO],PRODUCTOS[DESC CORTA],"",0)</f>
        <v>TORNILLO SIMPSON 6"</v>
      </c>
    </row>
    <row r="1573" spans="1:30" x14ac:dyDescent="0.25">
      <c r="A1573" s="1">
        <v>46157</v>
      </c>
      <c r="B1573" s="1">
        <v>46157</v>
      </c>
      <c r="C1573" s="81" t="s">
        <v>169</v>
      </c>
      <c r="D1573" s="38">
        <v>5</v>
      </c>
      <c r="E1573" s="81" t="s">
        <v>169</v>
      </c>
      <c r="F1573">
        <v>1610023</v>
      </c>
      <c r="G1573" s="81" t="s">
        <v>351</v>
      </c>
      <c r="H1573" s="81" t="s">
        <v>28</v>
      </c>
      <c r="I1573" s="3">
        <v>5</v>
      </c>
      <c r="J1573" s="3"/>
      <c r="K1573" s="26">
        <v>5</v>
      </c>
      <c r="L1573" s="2">
        <v>2278.1999999999998</v>
      </c>
      <c r="M1573" s="2">
        <v>11391</v>
      </c>
      <c r="N1573" s="2">
        <v>11391</v>
      </c>
      <c r="O1573" s="2">
        <v>2109.0585000000001</v>
      </c>
      <c r="P1573" s="2">
        <v>-169.14150000000001</v>
      </c>
      <c r="Q1573" s="2">
        <v>-845.70730000000003</v>
      </c>
      <c r="R1573" s="4">
        <v>-8.0197611698158158E-2</v>
      </c>
      <c r="T1573">
        <v>315670</v>
      </c>
      <c r="U1573" s="2"/>
      <c r="V1573">
        <v>6161</v>
      </c>
      <c r="W1573" s="2">
        <v>6579000000</v>
      </c>
      <c r="X1573" s="6">
        <v>10545.292710000002</v>
      </c>
      <c r="Y1573" s="38">
        <v>10010</v>
      </c>
      <c r="Z1573" s="86">
        <f>+((DETALLE_GD_1[[#This Row],[VALOR X UN (GD)]]-DETALLE_GD_1[[#This Row],[VALOR PPTO]])/DETALLE_GD_1[[#This Row],[VALOR PPTO]])</f>
        <v>8.0197633209320524E-2</v>
      </c>
      <c r="AA1573" s="2">
        <f>+DETALLE_GD_1[[#This Row],[VALOR PPTO]]*DETALLE_GD_1[[#This Row],[CANTIDAD RECIBIDA]]</f>
        <v>10545.2925</v>
      </c>
      <c r="AB15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3" s="3">
        <f>+DETALLE_GD_1[[#This Row],[CANTIDAD SOLICITADA]]-DETALLE_GD_1[[#This Row],[DEVOLUCIÓN]]</f>
        <v>5</v>
      </c>
      <c r="AD1573" s="38" t="str">
        <f>+_xlfn.XLOOKUP(DETALLE_GD_1[[#This Row],[CODIGO]],PRODUCTOS[CODIGO],PRODUCTOS[DESC CORTA],"",0)</f>
        <v>TRAPOS DE ASEO</v>
      </c>
    </row>
    <row r="1574" spans="1:30" x14ac:dyDescent="0.25">
      <c r="A1574" s="1">
        <v>46157</v>
      </c>
      <c r="B1574" s="1">
        <v>46157</v>
      </c>
      <c r="C1574" s="81" t="s">
        <v>169</v>
      </c>
      <c r="D1574" s="38">
        <v>5</v>
      </c>
      <c r="E1574" s="81" t="s">
        <v>169</v>
      </c>
      <c r="F1574">
        <v>609008</v>
      </c>
      <c r="G1574" s="81" t="s">
        <v>57</v>
      </c>
      <c r="H1574" s="81" t="s">
        <v>58</v>
      </c>
      <c r="I1574" s="3">
        <v>6</v>
      </c>
      <c r="J1574" s="3"/>
      <c r="K1574" s="26">
        <v>6</v>
      </c>
      <c r="L1574" s="2">
        <v>2018.5</v>
      </c>
      <c r="M1574" s="2">
        <v>12111</v>
      </c>
      <c r="N1574" s="2">
        <v>12111</v>
      </c>
      <c r="O1574" s="2">
        <v>2130.7573000000002</v>
      </c>
      <c r="P1574" s="2">
        <v>112.2573</v>
      </c>
      <c r="Q1574" s="2">
        <v>673.54390000000001</v>
      </c>
      <c r="R1574" s="4">
        <v>5.268423084748209E-2</v>
      </c>
      <c r="T1574">
        <v>315670</v>
      </c>
      <c r="U1574" s="2"/>
      <c r="V1574">
        <v>6161</v>
      </c>
      <c r="W1574" s="2">
        <v>6579000000</v>
      </c>
      <c r="X1574" s="6">
        <v>12784.54386</v>
      </c>
      <c r="Y1574" s="38">
        <v>10010</v>
      </c>
      <c r="Z1574" s="86">
        <f>+((DETALLE_GD_1[[#This Row],[VALOR X UN (GD)]]-DETALLE_GD_1[[#This Row],[VALOR PPTO]])/DETALLE_GD_1[[#This Row],[VALOR PPTO]])</f>
        <v>-5.2684226401571027E-2</v>
      </c>
      <c r="AA1574" s="2">
        <f>+DETALLE_GD_1[[#This Row],[VALOR PPTO]]*DETALLE_GD_1[[#This Row],[CANTIDAD RECIBIDA]]</f>
        <v>12784.543800000001</v>
      </c>
      <c r="AB15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4" s="3">
        <f>+DETALLE_GD_1[[#This Row],[CANTIDAD SOLICITADA]]-DETALLE_GD_1[[#This Row],[DEVOLUCIÓN]]</f>
        <v>6</v>
      </c>
      <c r="AD1574" s="38" t="str">
        <f>+_xlfn.XLOOKUP(DETALLE_GD_1[[#This Row],[CODIGO]],PRODUCTOS[CODIGO],PRODUCTOS[DESC CORTA],"",0)</f>
        <v>DUCO</v>
      </c>
    </row>
    <row r="1575" spans="1:30" x14ac:dyDescent="0.25">
      <c r="A1575" s="1">
        <v>46157</v>
      </c>
      <c r="B1575" s="1">
        <v>46157</v>
      </c>
      <c r="C1575" s="81" t="s">
        <v>169</v>
      </c>
      <c r="D1575" s="38">
        <v>5</v>
      </c>
      <c r="E1575" s="81" t="s">
        <v>169</v>
      </c>
      <c r="F1575">
        <v>617016</v>
      </c>
      <c r="G1575" s="81" t="s">
        <v>133</v>
      </c>
      <c r="H1575" s="81" t="s">
        <v>31</v>
      </c>
      <c r="I1575" s="3">
        <v>10</v>
      </c>
      <c r="J1575" s="3"/>
      <c r="K1575" s="26">
        <v>10</v>
      </c>
      <c r="L1575" s="2">
        <v>2864.3</v>
      </c>
      <c r="M1575" s="2">
        <v>28643</v>
      </c>
      <c r="N1575" s="2">
        <v>28643</v>
      </c>
      <c r="O1575" s="2">
        <v>2857.5133000000001</v>
      </c>
      <c r="P1575" s="2">
        <v>-6.7866999999999997</v>
      </c>
      <c r="Q1575" s="2">
        <v>-67.8673</v>
      </c>
      <c r="R1575" s="4">
        <v>-2.3750461849998991E-3</v>
      </c>
      <c r="T1575">
        <v>315670</v>
      </c>
      <c r="U1575" s="2"/>
      <c r="V1575">
        <v>6161</v>
      </c>
      <c r="W1575" s="2">
        <v>6579000000</v>
      </c>
      <c r="X1575" s="6">
        <v>28575.132740000001</v>
      </c>
      <c r="Y1575" s="38">
        <v>10010</v>
      </c>
      <c r="Z1575" s="86">
        <f>+((DETALLE_GD_1[[#This Row],[VALOR X UN (GD)]]-DETALLE_GD_1[[#This Row],[VALOR PPTO]])/DETALLE_GD_1[[#This Row],[VALOR PPTO]])</f>
        <v>2.3750370645694318E-3</v>
      </c>
      <c r="AA1575" s="2">
        <f>+DETALLE_GD_1[[#This Row],[VALOR PPTO]]*DETALLE_GD_1[[#This Row],[CANTIDAD RECIBIDA]]</f>
        <v>28575.133000000002</v>
      </c>
      <c r="AB15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5" s="3">
        <f>+DETALLE_GD_1[[#This Row],[CANTIDAD SOLICITADA]]-DETALLE_GD_1[[#This Row],[DEVOLUCIÓN]]</f>
        <v>10</v>
      </c>
      <c r="AD1575" s="38" t="str">
        <f>+_xlfn.XLOOKUP(DETALLE_GD_1[[#This Row],[CODIGO]],PRODUCTOS[CODIGO],PRODUCTOS[DESC CORTA],"",0)</f>
        <v>RODILLO CHIPORRO</v>
      </c>
    </row>
    <row r="1576" spans="1:30" x14ac:dyDescent="0.25">
      <c r="A1576" s="1">
        <v>46157</v>
      </c>
      <c r="B1576" s="1">
        <v>46157</v>
      </c>
      <c r="C1576" s="81" t="s">
        <v>169</v>
      </c>
      <c r="D1576" s="38">
        <v>5</v>
      </c>
      <c r="E1576" s="81" t="s">
        <v>169</v>
      </c>
      <c r="F1576">
        <v>412630</v>
      </c>
      <c r="G1576" s="81" t="s">
        <v>284</v>
      </c>
      <c r="H1576" s="81" t="s">
        <v>31</v>
      </c>
      <c r="I1576" s="3">
        <v>10</v>
      </c>
      <c r="J1576" s="3">
        <v>10</v>
      </c>
      <c r="K1576" s="26">
        <v>0</v>
      </c>
      <c r="L1576" s="2">
        <v>150300</v>
      </c>
      <c r="M1576" s="2">
        <v>1503000</v>
      </c>
      <c r="N1576" s="2">
        <v>0</v>
      </c>
      <c r="O1576" s="2">
        <v>148200</v>
      </c>
      <c r="P1576" s="2">
        <v>-2100</v>
      </c>
      <c r="Q1576" s="2">
        <v>0</v>
      </c>
      <c r="R1576" s="4">
        <v>-1.417004048582996E-2</v>
      </c>
      <c r="T1576">
        <v>315670</v>
      </c>
      <c r="U1576" s="2"/>
      <c r="V1576">
        <v>6161</v>
      </c>
      <c r="W1576" s="2">
        <v>6579000000</v>
      </c>
      <c r="X1576" s="6">
        <v>0</v>
      </c>
      <c r="Y1576" s="38">
        <v>10010</v>
      </c>
      <c r="Z1576" s="86">
        <f>+((DETALLE_GD_1[[#This Row],[VALOR X UN (GD)]]-DETALLE_GD_1[[#This Row],[VALOR PPTO]])/DETALLE_GD_1[[#This Row],[VALOR PPTO]])</f>
        <v>1.417004048582996E-2</v>
      </c>
      <c r="AA1576" s="2">
        <f>+DETALLE_GD_1[[#This Row],[VALOR PPTO]]*DETALLE_GD_1[[#This Row],[CANTIDAD RECIBIDA]]</f>
        <v>0</v>
      </c>
      <c r="AB15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6" s="3">
        <f>+DETALLE_GD_1[[#This Row],[CANTIDAD SOLICITADA]]-DETALLE_GD_1[[#This Row],[DEVOLUCIÓN]]</f>
        <v>0</v>
      </c>
      <c r="AD1576" s="38">
        <f>+_xlfn.XLOOKUP(DETALLE_GD_1[[#This Row],[CODIGO]],PRODUCTOS[CODIGO],PRODUCTOS[DESC CORTA],"",0)</f>
        <v>0</v>
      </c>
    </row>
    <row r="1577" spans="1:30" x14ac:dyDescent="0.25">
      <c r="A1577" s="1">
        <v>46157</v>
      </c>
      <c r="B1577" s="1">
        <v>46157</v>
      </c>
      <c r="C1577" s="81" t="s">
        <v>169</v>
      </c>
      <c r="D1577" s="38">
        <v>5</v>
      </c>
      <c r="E1577" s="81" t="s">
        <v>169</v>
      </c>
      <c r="F1577" t="s">
        <v>345</v>
      </c>
      <c r="G1577" s="81" t="s">
        <v>167</v>
      </c>
      <c r="H1577" s="81" t="s">
        <v>26</v>
      </c>
      <c r="I1577" s="3">
        <v>40</v>
      </c>
      <c r="J1577" s="3"/>
      <c r="K1577" s="26">
        <v>40</v>
      </c>
      <c r="L1577" s="2">
        <v>12991.975</v>
      </c>
      <c r="M1577" s="2">
        <v>519679</v>
      </c>
      <c r="N1577" s="2">
        <v>519679</v>
      </c>
      <c r="O1577" s="2">
        <v>11882.3879</v>
      </c>
      <c r="P1577" s="2">
        <v>-1109.5871</v>
      </c>
      <c r="Q1577" s="2">
        <v>-44383.4833</v>
      </c>
      <c r="R1577" s="4">
        <v>-9.3380816276207118E-2</v>
      </c>
      <c r="T1577">
        <v>315707</v>
      </c>
      <c r="U1577" s="2">
        <v>519679</v>
      </c>
      <c r="V1577">
        <v>6161</v>
      </c>
      <c r="W1577" s="2">
        <v>6579000000</v>
      </c>
      <c r="X1577" s="6">
        <v>475295.51668</v>
      </c>
      <c r="Y1577" s="38">
        <v>10010</v>
      </c>
      <c r="Z1577" s="86">
        <f>+((DETALLE_GD_1[[#This Row],[VALOR X UN (GD)]]-DETALLE_GD_1[[#This Row],[VALOR PPTO]])/DETALLE_GD_1[[#This Row],[VALOR PPTO]])</f>
        <v>9.3380817840494901E-2</v>
      </c>
      <c r="AA1577" s="2">
        <f>+DETALLE_GD_1[[#This Row],[VALOR PPTO]]*DETALLE_GD_1[[#This Row],[CANTIDAD RECIBIDA]]</f>
        <v>475295.516</v>
      </c>
      <c r="AB15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77" s="3">
        <f>+DETALLE_GD_1[[#This Row],[CANTIDAD SOLICITADA]]-DETALLE_GD_1[[#This Row],[DEVOLUCIÓN]]</f>
        <v>40</v>
      </c>
      <c r="AD1577" s="38" t="str">
        <f>+_xlfn.XLOOKUP(DETALLE_GD_1[[#This Row],[CODIGO]],PRODUCTOS[CODIGO],PRODUCTOS[DESC CORTA],"",0)</f>
        <v>PISO TARKET</v>
      </c>
    </row>
    <row r="1578" spans="1:30" x14ac:dyDescent="0.25">
      <c r="A1578" s="1">
        <v>46157</v>
      </c>
      <c r="B1578" s="1">
        <v>46157</v>
      </c>
      <c r="C1578" s="81" t="s">
        <v>169</v>
      </c>
      <c r="D1578" s="38">
        <v>5</v>
      </c>
      <c r="E1578" s="81" t="s">
        <v>169</v>
      </c>
      <c r="F1578">
        <v>414025</v>
      </c>
      <c r="G1578" s="81" t="s">
        <v>800</v>
      </c>
      <c r="H1578" s="81" t="s">
        <v>746</v>
      </c>
      <c r="I1578" s="3">
        <v>96</v>
      </c>
      <c r="J1578" s="3"/>
      <c r="K1578" s="26">
        <v>96</v>
      </c>
      <c r="L1578" s="2">
        <v>13517.7292</v>
      </c>
      <c r="M1578" s="2">
        <v>1297702</v>
      </c>
      <c r="N1578" s="2">
        <v>1297702</v>
      </c>
      <c r="O1578" s="2"/>
      <c r="P1578" s="2"/>
      <c r="Q1578" s="2">
        <v>-1297702</v>
      </c>
      <c r="R1578" s="4"/>
      <c r="T1578">
        <v>315649</v>
      </c>
      <c r="U1578" s="2">
        <v>1297702</v>
      </c>
      <c r="V1578">
        <v>6161</v>
      </c>
      <c r="W1578" s="2">
        <v>6579000000</v>
      </c>
      <c r="X1578" s="6" t="s">
        <v>355</v>
      </c>
      <c r="Y1578" s="38">
        <v>10010</v>
      </c>
      <c r="Z1578" s="86" t="e">
        <f>+((DETALLE_GD_1[[#This Row],[VALOR X UN (GD)]]-DETALLE_GD_1[[#This Row],[VALOR PPTO]])/DETALLE_GD_1[[#This Row],[VALOR PPTO]])</f>
        <v>#DIV/0!</v>
      </c>
      <c r="AA1578" s="2">
        <f>+DETALLE_GD_1[[#This Row],[VALOR PPTO]]*DETALLE_GD_1[[#This Row],[CANTIDAD RECIBIDA]]</f>
        <v>0</v>
      </c>
      <c r="AB1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8" s="3">
        <f>+DETALLE_GD_1[[#This Row],[CANTIDAD SOLICITADA]]-DETALLE_GD_1[[#This Row],[DEVOLUCIÓN]]</f>
        <v>96</v>
      </c>
      <c r="AD1578" s="38" t="str">
        <f>+_xlfn.XLOOKUP(DETALLE_GD_1[[#This Row],[CODIGO]],PRODUCTOS[CODIGO],PRODUCTOS[DESC CORTA],"",0)</f>
        <v/>
      </c>
    </row>
    <row r="1579" spans="1:30" x14ac:dyDescent="0.25">
      <c r="A1579" s="1">
        <v>46157</v>
      </c>
      <c r="B1579" s="1">
        <v>46157</v>
      </c>
      <c r="C1579" s="81" t="s">
        <v>169</v>
      </c>
      <c r="D1579" s="38">
        <v>5</v>
      </c>
      <c r="E1579" s="81" t="s">
        <v>169</v>
      </c>
      <c r="F1579" t="s">
        <v>296</v>
      </c>
      <c r="G1579" s="81" t="s">
        <v>297</v>
      </c>
      <c r="H1579" s="81" t="s">
        <v>31</v>
      </c>
      <c r="I1579" s="3">
        <v>21</v>
      </c>
      <c r="J1579" s="3"/>
      <c r="K1579" s="26">
        <v>21</v>
      </c>
      <c r="L1579" s="2">
        <v>203730</v>
      </c>
      <c r="M1579" s="2">
        <v>4278330</v>
      </c>
      <c r="N1579" s="2">
        <v>4278330</v>
      </c>
      <c r="O1579" s="2">
        <v>205500</v>
      </c>
      <c r="P1579" s="2">
        <v>1770</v>
      </c>
      <c r="Q1579" s="2">
        <v>37170</v>
      </c>
      <c r="R1579" s="4">
        <v>8.6131386861313872E-3</v>
      </c>
      <c r="T1579">
        <v>895</v>
      </c>
      <c r="U1579" s="2">
        <v>7557845</v>
      </c>
      <c r="V1579">
        <v>6160</v>
      </c>
      <c r="W1579" s="2">
        <v>6579000000</v>
      </c>
      <c r="X1579" s="6">
        <v>4315500</v>
      </c>
      <c r="Y1579" s="38">
        <v>10010</v>
      </c>
      <c r="Z1579" s="86">
        <f>+((DETALLE_GD_1[[#This Row],[VALOR X UN (GD)]]-DETALLE_GD_1[[#This Row],[VALOR PPTO]])/DETALLE_GD_1[[#This Row],[VALOR PPTO]])</f>
        <v>-8.6131386861313872E-3</v>
      </c>
      <c r="AA1579" s="2">
        <f>+DETALLE_GD_1[[#This Row],[VALOR PPTO]]*DETALLE_GD_1[[#This Row],[CANTIDAD RECIBIDA]]</f>
        <v>4315500</v>
      </c>
      <c r="AB15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79" s="3">
        <f>+DETALLE_GD_1[[#This Row],[CANTIDAD SOLICITADA]]-DETALLE_GD_1[[#This Row],[DEVOLUCIÓN]]</f>
        <v>21</v>
      </c>
      <c r="AD1579" s="38" t="str">
        <f>+_xlfn.XLOOKUP(DETALLE_GD_1[[#This Row],[CODIGO]],PRODUCTOS[CODIGO],PRODUCTOS[DESC CORTA],"",0)</f>
        <v>VENTANA V-01</v>
      </c>
    </row>
    <row r="1580" spans="1:30" x14ac:dyDescent="0.25">
      <c r="A1580" s="1">
        <v>46157</v>
      </c>
      <c r="B1580" s="1">
        <v>46157</v>
      </c>
      <c r="C1580" s="81" t="s">
        <v>169</v>
      </c>
      <c r="D1580" s="38">
        <v>5</v>
      </c>
      <c r="E1580" s="81" t="s">
        <v>169</v>
      </c>
      <c r="F1580" t="s">
        <v>288</v>
      </c>
      <c r="G1580" s="81" t="s">
        <v>289</v>
      </c>
      <c r="H1580" s="81" t="s">
        <v>31</v>
      </c>
      <c r="I1580" s="3">
        <v>5</v>
      </c>
      <c r="J1580" s="3"/>
      <c r="K1580" s="26">
        <v>5</v>
      </c>
      <c r="L1580" s="2">
        <v>120606</v>
      </c>
      <c r="M1580" s="2">
        <v>603030</v>
      </c>
      <c r="N1580" s="2">
        <v>603030</v>
      </c>
      <c r="O1580" s="2">
        <v>101229</v>
      </c>
      <c r="P1580" s="2">
        <v>-19377</v>
      </c>
      <c r="Q1580" s="2">
        <v>-96885</v>
      </c>
      <c r="R1580" s="4">
        <v>-0.19141747918086716</v>
      </c>
      <c r="U1580" s="2"/>
      <c r="V1580">
        <v>6160</v>
      </c>
      <c r="W1580" s="2">
        <v>6579000000</v>
      </c>
      <c r="X1580" s="6">
        <v>506145</v>
      </c>
      <c r="Y1580" s="38">
        <v>10010</v>
      </c>
      <c r="Z1580" s="86">
        <f>+((DETALLE_GD_1[[#This Row],[VALOR X UN (GD)]]-DETALLE_GD_1[[#This Row],[VALOR PPTO]])/DETALLE_GD_1[[#This Row],[VALOR PPTO]])</f>
        <v>0.19141747918086716</v>
      </c>
      <c r="AA1580" s="2">
        <f>+DETALLE_GD_1[[#This Row],[VALOR PPTO]]*DETALLE_GD_1[[#This Row],[CANTIDAD RECIBIDA]]</f>
        <v>506145</v>
      </c>
      <c r="AB1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80" s="3">
        <f>+DETALLE_GD_1[[#This Row],[CANTIDAD SOLICITADA]]-DETALLE_GD_1[[#This Row],[DEVOLUCIÓN]]</f>
        <v>5</v>
      </c>
      <c r="AD1580" s="38">
        <f>+_xlfn.XLOOKUP(DETALLE_GD_1[[#This Row],[CODIGO]],PRODUCTOS[CODIGO],PRODUCTOS[DESC CORTA],"",0)</f>
        <v>0</v>
      </c>
    </row>
    <row r="1581" spans="1:30" x14ac:dyDescent="0.25">
      <c r="A1581" s="1">
        <v>46157</v>
      </c>
      <c r="B1581" s="1">
        <v>46157</v>
      </c>
      <c r="C1581" s="81" t="s">
        <v>169</v>
      </c>
      <c r="D1581" s="38">
        <v>5</v>
      </c>
      <c r="E1581" s="81" t="s">
        <v>169</v>
      </c>
      <c r="F1581" t="s">
        <v>286</v>
      </c>
      <c r="G1581" s="81" t="s">
        <v>287</v>
      </c>
      <c r="H1581" s="81" t="s">
        <v>31</v>
      </c>
      <c r="I1581" s="3">
        <v>7</v>
      </c>
      <c r="J1581" s="3"/>
      <c r="K1581" s="26">
        <v>7</v>
      </c>
      <c r="L1581" s="2">
        <v>382355</v>
      </c>
      <c r="M1581" s="2">
        <v>2676485</v>
      </c>
      <c r="N1581" s="2">
        <v>2676485</v>
      </c>
      <c r="O1581" s="2">
        <v>350139</v>
      </c>
      <c r="P1581" s="2">
        <v>-32216</v>
      </c>
      <c r="Q1581" s="2">
        <v>-225512</v>
      </c>
      <c r="R1581" s="4">
        <v>-9.2009173499667279E-2</v>
      </c>
      <c r="U1581" s="2"/>
      <c r="V1581">
        <v>6160</v>
      </c>
      <c r="W1581" s="2">
        <v>6579000000</v>
      </c>
      <c r="X1581" s="6">
        <v>2450973</v>
      </c>
      <c r="Y1581" s="38">
        <v>10010</v>
      </c>
      <c r="Z1581" s="86">
        <f>+((DETALLE_GD_1[[#This Row],[VALOR X UN (GD)]]-DETALLE_GD_1[[#This Row],[VALOR PPTO]])/DETALLE_GD_1[[#This Row],[VALOR PPTO]])</f>
        <v>9.2009173499667279E-2</v>
      </c>
      <c r="AA1581" s="2">
        <f>+DETALLE_GD_1[[#This Row],[VALOR PPTO]]*DETALLE_GD_1[[#This Row],[CANTIDAD RECIBIDA]]</f>
        <v>2450973</v>
      </c>
      <c r="AB15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81" s="3">
        <f>+DETALLE_GD_1[[#This Row],[CANTIDAD SOLICITADA]]-DETALLE_GD_1[[#This Row],[DEVOLUCIÓN]]</f>
        <v>7</v>
      </c>
      <c r="AD1581" s="38" t="str">
        <f>+_xlfn.XLOOKUP(DETALLE_GD_1[[#This Row],[CODIGO]],PRODUCTOS[CODIGO],PRODUCTOS[DESC CORTA],"",0)</f>
        <v>VENTANA V.05</v>
      </c>
    </row>
    <row r="1582" spans="1:30" x14ac:dyDescent="0.25">
      <c r="A1582" s="1">
        <v>46160</v>
      </c>
      <c r="B1582" s="1">
        <v>46160</v>
      </c>
      <c r="C1582" s="81" t="s">
        <v>169</v>
      </c>
      <c r="D1582" s="38">
        <v>5</v>
      </c>
      <c r="E1582" s="81" t="s">
        <v>169</v>
      </c>
      <c r="F1582">
        <v>1801735</v>
      </c>
      <c r="G1582" s="81" t="s">
        <v>73</v>
      </c>
      <c r="H1582" s="81" t="s">
        <v>31</v>
      </c>
      <c r="I1582" s="3">
        <v>3</v>
      </c>
      <c r="J1582" s="3"/>
      <c r="K1582" s="26">
        <v>3</v>
      </c>
      <c r="L1582" s="2">
        <v>3819.3332999999998</v>
      </c>
      <c r="M1582" s="2">
        <v>11458</v>
      </c>
      <c r="N1582" s="2">
        <v>11458</v>
      </c>
      <c r="O1582" s="2">
        <v>3495</v>
      </c>
      <c r="P1582" s="2">
        <v>-324.33330000000001</v>
      </c>
      <c r="Q1582" s="2">
        <v>-973</v>
      </c>
      <c r="R1582" s="4">
        <v>-9.2799237005245644E-2</v>
      </c>
      <c r="T1582">
        <v>315850</v>
      </c>
      <c r="U1582" s="2">
        <v>309749</v>
      </c>
      <c r="V1582">
        <v>6188</v>
      </c>
      <c r="W1582" s="2">
        <v>6579000000</v>
      </c>
      <c r="X1582" s="6">
        <v>10485</v>
      </c>
      <c r="Y1582" s="38">
        <v>10010</v>
      </c>
      <c r="Z1582" s="86">
        <f>+((DETALLE_GD_1[[#This Row],[VALOR X UN (GD)]]-DETALLE_GD_1[[#This Row],[VALOR PPTO]])/DETALLE_GD_1[[#This Row],[VALOR PPTO]])</f>
        <v>9.2799227467811093E-2</v>
      </c>
      <c r="AA1582" s="2">
        <f>+DETALLE_GD_1[[#This Row],[VALOR PPTO]]*DETALLE_GD_1[[#This Row],[CANTIDAD RECIBIDA]]</f>
        <v>10485</v>
      </c>
      <c r="AB1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2" s="3">
        <f>+DETALLE_GD_1[[#This Row],[CANTIDAD SOLICITADA]]-DETALLE_GD_1[[#This Row],[DEVOLUCIÓN]]</f>
        <v>3</v>
      </c>
      <c r="AD1582" s="38" t="str">
        <f>+_xlfn.XLOOKUP(DETALLE_GD_1[[#This Row],[CODIGO]],PRODUCTOS[CODIGO],PRODUCTOS[DESC CORTA],"",0)</f>
        <v>BURLETE PVC</v>
      </c>
    </row>
    <row r="1583" spans="1:30" x14ac:dyDescent="0.25">
      <c r="A1583" s="1">
        <v>46160</v>
      </c>
      <c r="B1583" s="1">
        <v>46160</v>
      </c>
      <c r="C1583" s="81" t="s">
        <v>169</v>
      </c>
      <c r="D1583" s="38">
        <v>5</v>
      </c>
      <c r="E1583" s="81" t="s">
        <v>169</v>
      </c>
      <c r="F1583">
        <v>1103076</v>
      </c>
      <c r="G1583" s="81" t="s">
        <v>311</v>
      </c>
      <c r="H1583" s="81" t="s">
        <v>31</v>
      </c>
      <c r="I1583" s="3">
        <v>12</v>
      </c>
      <c r="J1583" s="3"/>
      <c r="K1583" s="26">
        <v>12</v>
      </c>
      <c r="L1583" s="2">
        <v>3190.75</v>
      </c>
      <c r="M1583" s="2">
        <v>38289</v>
      </c>
      <c r="N1583" s="2">
        <v>38289</v>
      </c>
      <c r="O1583" s="2">
        <v>3191</v>
      </c>
      <c r="P1583" s="2">
        <v>0.25</v>
      </c>
      <c r="Q1583" s="2">
        <v>3</v>
      </c>
      <c r="R1583" s="4">
        <v>7.8345346286430597E-5</v>
      </c>
      <c r="T1583">
        <v>315850</v>
      </c>
      <c r="U1583" s="2"/>
      <c r="V1583">
        <v>6188</v>
      </c>
      <c r="W1583" s="2">
        <v>6579000000</v>
      </c>
      <c r="X1583" s="6">
        <v>38292</v>
      </c>
      <c r="Y1583" s="38">
        <v>10010</v>
      </c>
      <c r="Z1583" s="86">
        <f>+((DETALLE_GD_1[[#This Row],[VALOR X UN (GD)]]-DETALLE_GD_1[[#This Row],[VALOR PPTO]])/DETALLE_GD_1[[#This Row],[VALOR PPTO]])</f>
        <v>-7.8345346286430584E-5</v>
      </c>
      <c r="AA1583" s="2">
        <f>+DETALLE_GD_1[[#This Row],[VALOR PPTO]]*DETALLE_GD_1[[#This Row],[CANTIDAD RECIBIDA]]</f>
        <v>38292</v>
      </c>
      <c r="AB1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3" s="3">
        <f>+DETALLE_GD_1[[#This Row],[CANTIDAD SOLICITADA]]-DETALLE_GD_1[[#This Row],[DEVOLUCIÓN]]</f>
        <v>12</v>
      </c>
      <c r="AD1583" s="38" t="str">
        <f>+_xlfn.XLOOKUP(DETALLE_GD_1[[#This Row],[CODIGO]],PRODUCTOS[CODIGO],PRODUCTOS[DESC CORTA],"",0)</f>
        <v>PERFIL ESQUINERO INTERIOR</v>
      </c>
    </row>
    <row r="1584" spans="1:30" x14ac:dyDescent="0.25">
      <c r="A1584" s="1">
        <v>46160</v>
      </c>
      <c r="B1584" s="1">
        <v>46160</v>
      </c>
      <c r="C1584" s="81" t="s">
        <v>169</v>
      </c>
      <c r="D1584" s="38">
        <v>5</v>
      </c>
      <c r="E1584" s="81" t="s">
        <v>169</v>
      </c>
      <c r="F1584">
        <v>1103074</v>
      </c>
      <c r="G1584" s="81" t="s">
        <v>310</v>
      </c>
      <c r="H1584" s="81" t="s">
        <v>31</v>
      </c>
      <c r="I1584" s="3">
        <v>8</v>
      </c>
      <c r="J1584" s="3"/>
      <c r="K1584" s="26">
        <v>8</v>
      </c>
      <c r="L1584" s="2">
        <v>2426.875</v>
      </c>
      <c r="M1584" s="2">
        <v>19415</v>
      </c>
      <c r="N1584" s="2">
        <v>19415</v>
      </c>
      <c r="O1584" s="2">
        <v>2427</v>
      </c>
      <c r="P1584" s="2">
        <v>0.125</v>
      </c>
      <c r="Q1584" s="2">
        <v>1</v>
      </c>
      <c r="R1584" s="4">
        <v>5.1503914297486609E-5</v>
      </c>
      <c r="T1584">
        <v>315850</v>
      </c>
      <c r="U1584" s="2"/>
      <c r="V1584">
        <v>6188</v>
      </c>
      <c r="W1584" s="2">
        <v>6579000000</v>
      </c>
      <c r="X1584" s="6">
        <v>19416</v>
      </c>
      <c r="Y1584" s="38">
        <v>10010</v>
      </c>
      <c r="Z1584" s="86">
        <f>+((DETALLE_GD_1[[#This Row],[VALOR X UN (GD)]]-DETALLE_GD_1[[#This Row],[VALOR PPTO]])/DETALLE_GD_1[[#This Row],[VALOR PPTO]])</f>
        <v>-5.1503914297486609E-5</v>
      </c>
      <c r="AA1584" s="2">
        <f>+DETALLE_GD_1[[#This Row],[VALOR PPTO]]*DETALLE_GD_1[[#This Row],[CANTIDAD RECIBIDA]]</f>
        <v>19416</v>
      </c>
      <c r="AB1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4" s="3">
        <f>+DETALLE_GD_1[[#This Row],[CANTIDAD SOLICITADA]]-DETALLE_GD_1[[#This Row],[DEVOLUCIÓN]]</f>
        <v>8</v>
      </c>
      <c r="AD1584" s="38" t="str">
        <f>+_xlfn.XLOOKUP(DETALLE_GD_1[[#This Row],[CODIGO]],PRODUCTOS[CODIGO],PRODUCTOS[DESC CORTA],"",0)</f>
        <v>PERFIL ESQUINERO ENCUENTRO</v>
      </c>
    </row>
    <row r="1585" spans="1:30" x14ac:dyDescent="0.25">
      <c r="A1585" s="1">
        <v>46160</v>
      </c>
      <c r="B1585" s="1">
        <v>46160</v>
      </c>
      <c r="C1585" s="81" t="s">
        <v>169</v>
      </c>
      <c r="D1585" s="38">
        <v>5</v>
      </c>
      <c r="E1585" s="81" t="s">
        <v>169</v>
      </c>
      <c r="F1585">
        <v>1802517</v>
      </c>
      <c r="G1585" s="81" t="s">
        <v>141</v>
      </c>
      <c r="H1585" s="81" t="s">
        <v>31</v>
      </c>
      <c r="I1585" s="3">
        <v>3</v>
      </c>
      <c r="J1585" s="3"/>
      <c r="K1585" s="26">
        <v>3</v>
      </c>
      <c r="L1585" s="2">
        <v>2312.3332999999998</v>
      </c>
      <c r="M1585" s="2">
        <v>6937</v>
      </c>
      <c r="N1585" s="2">
        <v>6937</v>
      </c>
      <c r="O1585" s="2">
        <v>2312</v>
      </c>
      <c r="P1585" s="2">
        <v>-0.33329999999999999</v>
      </c>
      <c r="Q1585" s="2">
        <v>-1</v>
      </c>
      <c r="R1585" s="4">
        <v>-1.4417531718576338E-4</v>
      </c>
      <c r="T1585">
        <v>315850</v>
      </c>
      <c r="U1585" s="2"/>
      <c r="V1585">
        <v>6188</v>
      </c>
      <c r="W1585" s="2">
        <v>6579000000</v>
      </c>
      <c r="X1585" s="6">
        <v>6936</v>
      </c>
      <c r="Y1585" s="38">
        <v>10010</v>
      </c>
      <c r="Z1585" s="86">
        <f>+((DETALLE_GD_1[[#This Row],[VALOR X UN (GD)]]-DETALLE_GD_1[[#This Row],[VALOR PPTO]])/DETALLE_GD_1[[#This Row],[VALOR PPTO]])</f>
        <v>1.4416089965388451E-4</v>
      </c>
      <c r="AA1585" s="2">
        <f>+DETALLE_GD_1[[#This Row],[VALOR PPTO]]*DETALLE_GD_1[[#This Row],[CANTIDAD RECIBIDA]]</f>
        <v>6936</v>
      </c>
      <c r="AB1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5" s="3">
        <f>+DETALLE_GD_1[[#This Row],[CANTIDAD SOLICITADA]]-DETALLE_GD_1[[#This Row],[DEVOLUCIÓN]]</f>
        <v>3</v>
      </c>
      <c r="AD1585" s="38" t="str">
        <f>+_xlfn.XLOOKUP(DETALLE_GD_1[[#This Row],[CODIGO]],PRODUCTOS[CODIGO],PRODUCTOS[DESC CORTA],"",0)</f>
        <v>CELOSIA ALUMINIO 25X25</v>
      </c>
    </row>
    <row r="1586" spans="1:30" x14ac:dyDescent="0.25">
      <c r="A1586" s="1">
        <v>46160</v>
      </c>
      <c r="B1586" s="1">
        <v>46160</v>
      </c>
      <c r="C1586" s="81" t="s">
        <v>169</v>
      </c>
      <c r="D1586" s="38">
        <v>5</v>
      </c>
      <c r="E1586" s="81" t="s">
        <v>169</v>
      </c>
      <c r="F1586">
        <v>412016</v>
      </c>
      <c r="G1586" s="81" t="s">
        <v>722</v>
      </c>
      <c r="H1586" s="81" t="s">
        <v>31</v>
      </c>
      <c r="I1586" s="3">
        <v>3</v>
      </c>
      <c r="J1586" s="3"/>
      <c r="K1586" s="26">
        <v>3</v>
      </c>
      <c r="L1586" s="2">
        <v>4210.3333000000002</v>
      </c>
      <c r="M1586" s="2">
        <v>12631</v>
      </c>
      <c r="N1586" s="2">
        <v>12631</v>
      </c>
      <c r="O1586" s="2"/>
      <c r="P1586" s="2"/>
      <c r="Q1586" s="2">
        <v>-12631</v>
      </c>
      <c r="R1586" s="4"/>
      <c r="T1586">
        <v>315850</v>
      </c>
      <c r="U1586" s="2"/>
      <c r="V1586">
        <v>6188</v>
      </c>
      <c r="W1586" s="2">
        <v>6579000000</v>
      </c>
      <c r="X1586" s="6" t="s">
        <v>355</v>
      </c>
      <c r="Y1586" s="38">
        <v>10010</v>
      </c>
      <c r="Z1586" s="86" t="e">
        <f>+((DETALLE_GD_1[[#This Row],[VALOR X UN (GD)]]-DETALLE_GD_1[[#This Row],[VALOR PPTO]])/DETALLE_GD_1[[#This Row],[VALOR PPTO]])</f>
        <v>#DIV/0!</v>
      </c>
      <c r="AA1586" s="2">
        <f>+DETALLE_GD_1[[#This Row],[VALOR PPTO]]*DETALLE_GD_1[[#This Row],[CANTIDAD RECIBIDA]]</f>
        <v>0</v>
      </c>
      <c r="AB1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6" s="3">
        <f>+DETALLE_GD_1[[#This Row],[CANTIDAD SOLICITADA]]-DETALLE_GD_1[[#This Row],[DEVOLUCIÓN]]</f>
        <v>3</v>
      </c>
      <c r="AD1586" s="38" t="str">
        <f>+_xlfn.XLOOKUP(DETALLE_GD_1[[#This Row],[CODIGO]],PRODUCTOS[CODIGO],PRODUCTOS[DESC CORTA],"",0)</f>
        <v/>
      </c>
    </row>
    <row r="1587" spans="1:30" x14ac:dyDescent="0.25">
      <c r="A1587" s="1">
        <v>46160</v>
      </c>
      <c r="B1587" s="1">
        <v>46160</v>
      </c>
      <c r="C1587" s="81" t="s">
        <v>169</v>
      </c>
      <c r="D1587" s="38">
        <v>5</v>
      </c>
      <c r="E1587" s="81" t="s">
        <v>169</v>
      </c>
      <c r="F1587">
        <v>407170</v>
      </c>
      <c r="G1587" s="81" t="s">
        <v>107</v>
      </c>
      <c r="H1587" s="81" t="s">
        <v>31</v>
      </c>
      <c r="I1587" s="3">
        <v>1000</v>
      </c>
      <c r="J1587" s="3"/>
      <c r="K1587" s="26">
        <v>1000</v>
      </c>
      <c r="L1587" s="2">
        <v>4.88</v>
      </c>
      <c r="M1587" s="2">
        <v>4880</v>
      </c>
      <c r="N1587" s="2">
        <v>4880</v>
      </c>
      <c r="O1587" s="2">
        <v>4.8802000000000003</v>
      </c>
      <c r="P1587" s="2">
        <v>2.0000000000000001E-4</v>
      </c>
      <c r="Q1587" s="2">
        <v>0.216</v>
      </c>
      <c r="R1587" s="4">
        <v>4.4260336018094723E-5</v>
      </c>
      <c r="T1587">
        <v>315850</v>
      </c>
      <c r="U1587" s="2"/>
      <c r="V1587">
        <v>6188</v>
      </c>
      <c r="W1587" s="2">
        <v>6579000000</v>
      </c>
      <c r="X1587" s="6">
        <v>4880.2160000000003</v>
      </c>
      <c r="Y1587" s="38">
        <v>10010</v>
      </c>
      <c r="Z1587" s="86">
        <f>+((DETALLE_GD_1[[#This Row],[VALOR X UN (GD)]]-DETALLE_GD_1[[#This Row],[VALOR PPTO]])/DETALLE_GD_1[[#This Row],[VALOR PPTO]])</f>
        <v>-4.0981926970292619E-5</v>
      </c>
      <c r="AA1587" s="2">
        <f>+DETALLE_GD_1[[#This Row],[VALOR PPTO]]*DETALLE_GD_1[[#This Row],[CANTIDAD RECIBIDA]]</f>
        <v>4880.2000000000007</v>
      </c>
      <c r="AB1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7" s="3">
        <f>+DETALLE_GD_1[[#This Row],[CANTIDAD SOLICITADA]]-DETALLE_GD_1[[#This Row],[DEVOLUCIÓN]]</f>
        <v>1000</v>
      </c>
      <c r="AD1587" s="38" t="str">
        <f>+_xlfn.XLOOKUP(DETALLE_GD_1[[#This Row],[CODIGO]],PRODUCTOS[CODIGO],PRODUCTOS[DESC CORTA],"",0)</f>
        <v>TORNILLO CRS 6X2 1/4</v>
      </c>
    </row>
    <row r="1588" spans="1:30" x14ac:dyDescent="0.25">
      <c r="A1588" s="1">
        <v>46160</v>
      </c>
      <c r="B1588" s="1">
        <v>46160</v>
      </c>
      <c r="C1588" s="81" t="s">
        <v>169</v>
      </c>
      <c r="D1588" s="38">
        <v>5</v>
      </c>
      <c r="E1588" s="81" t="s">
        <v>169</v>
      </c>
      <c r="F1588">
        <v>1805340</v>
      </c>
      <c r="G1588" s="81" t="s">
        <v>298</v>
      </c>
      <c r="H1588" s="81" t="s">
        <v>31</v>
      </c>
      <c r="I1588" s="3">
        <v>3</v>
      </c>
      <c r="J1588" s="3"/>
      <c r="K1588" s="26">
        <v>3</v>
      </c>
      <c r="L1588" s="2">
        <v>19400</v>
      </c>
      <c r="M1588" s="2">
        <v>58200</v>
      </c>
      <c r="N1588" s="2">
        <v>58200</v>
      </c>
      <c r="O1588" s="2">
        <v>19400</v>
      </c>
      <c r="P1588" s="2">
        <v>0</v>
      </c>
      <c r="Q1588" s="2">
        <v>0</v>
      </c>
      <c r="R1588" s="4">
        <v>0</v>
      </c>
      <c r="T1588">
        <v>315850</v>
      </c>
      <c r="U1588" s="2"/>
      <c r="V1588">
        <v>6188</v>
      </c>
      <c r="W1588" s="2">
        <v>6579000000</v>
      </c>
      <c r="X1588" s="6">
        <v>58200</v>
      </c>
      <c r="Y1588" s="38">
        <v>10010</v>
      </c>
      <c r="Z1588" s="86">
        <f>+((DETALLE_GD_1[[#This Row],[VALOR X UN (GD)]]-DETALLE_GD_1[[#This Row],[VALOR PPTO]])/DETALLE_GD_1[[#This Row],[VALOR PPTO]])</f>
        <v>0</v>
      </c>
      <c r="AA1588" s="2">
        <f>+DETALLE_GD_1[[#This Row],[VALOR PPTO]]*DETALLE_GD_1[[#This Row],[CANTIDAD RECIBIDA]]</f>
        <v>58200</v>
      </c>
      <c r="AB1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8" s="3">
        <f>+DETALLE_GD_1[[#This Row],[CANTIDAD SOLICITADA]]-DETALLE_GD_1[[#This Row],[DEVOLUCIÓN]]</f>
        <v>3</v>
      </c>
      <c r="AD1588" s="38" t="str">
        <f>+_xlfn.XLOOKUP(DETALLE_GD_1[[#This Row],[CODIGO]],PRODUCTOS[CODIGO],PRODUCTOS[DESC CORTA],"",0)</f>
        <v>EXTRT</v>
      </c>
    </row>
    <row r="1589" spans="1:30" x14ac:dyDescent="0.25">
      <c r="A1589" s="1">
        <v>46160</v>
      </c>
      <c r="B1589" s="1">
        <v>46160</v>
      </c>
      <c r="C1589" s="81" t="s">
        <v>169</v>
      </c>
      <c r="D1589" s="38">
        <v>5</v>
      </c>
      <c r="E1589" s="81" t="s">
        <v>169</v>
      </c>
      <c r="F1589">
        <v>1802659</v>
      </c>
      <c r="G1589" s="81" t="s">
        <v>161</v>
      </c>
      <c r="H1589" s="81" t="s">
        <v>31</v>
      </c>
      <c r="I1589" s="3">
        <v>2</v>
      </c>
      <c r="J1589" s="3"/>
      <c r="K1589" s="26">
        <v>2</v>
      </c>
      <c r="L1589" s="2">
        <v>2446.5</v>
      </c>
      <c r="M1589" s="2">
        <v>4893</v>
      </c>
      <c r="N1589" s="2">
        <v>4893</v>
      </c>
      <c r="O1589" s="2">
        <v>2929.4632000000001</v>
      </c>
      <c r="P1589" s="2">
        <v>482.96319999999997</v>
      </c>
      <c r="Q1589" s="2">
        <v>965.92629999999997</v>
      </c>
      <c r="R1589" s="4">
        <v>0.16486404912828059</v>
      </c>
      <c r="T1589">
        <v>315850</v>
      </c>
      <c r="U1589" s="2"/>
      <c r="V1589">
        <v>6188</v>
      </c>
      <c r="W1589" s="2">
        <v>6579000000</v>
      </c>
      <c r="X1589" s="6">
        <v>5858.926316</v>
      </c>
      <c r="Y1589" s="38">
        <v>10010</v>
      </c>
      <c r="Z1589" s="86">
        <f>+((DETALLE_GD_1[[#This Row],[VALOR X UN (GD)]]-DETALLE_GD_1[[#This Row],[VALOR PPTO]])/DETALLE_GD_1[[#This Row],[VALOR PPTO]])</f>
        <v>-0.16486406110170632</v>
      </c>
      <c r="AA1589" s="2">
        <f>+DETALLE_GD_1[[#This Row],[VALOR PPTO]]*DETALLE_GD_1[[#This Row],[CANTIDAD RECIBIDA]]</f>
        <v>5858.9264000000003</v>
      </c>
      <c r="AB15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9" s="3">
        <f>+DETALLE_GD_1[[#This Row],[CANTIDAD SOLICITADA]]-DETALLE_GD_1[[#This Row],[DEVOLUCIÓN]]</f>
        <v>2</v>
      </c>
      <c r="AD1589" s="38">
        <f>+_xlfn.XLOOKUP(DETALLE_GD_1[[#This Row],[CODIGO]],PRODUCTOS[CODIGO],PRODUCTOS[DESC CORTA],"",0)</f>
        <v>0</v>
      </c>
    </row>
    <row r="1590" spans="1:30" x14ac:dyDescent="0.25">
      <c r="A1590" s="1">
        <v>46160</v>
      </c>
      <c r="B1590" s="1">
        <v>46160</v>
      </c>
      <c r="C1590" s="81" t="s">
        <v>169</v>
      </c>
      <c r="D1590" s="38">
        <v>5</v>
      </c>
      <c r="E1590" s="81" t="s">
        <v>169</v>
      </c>
      <c r="F1590">
        <v>2304053</v>
      </c>
      <c r="G1590" s="81" t="s">
        <v>213</v>
      </c>
      <c r="H1590" s="81" t="s">
        <v>31</v>
      </c>
      <c r="I1590" s="3">
        <v>24</v>
      </c>
      <c r="J1590" s="3"/>
      <c r="K1590" s="26">
        <v>24</v>
      </c>
      <c r="L1590" s="2">
        <v>1021.9167</v>
      </c>
      <c r="M1590" s="2">
        <v>24526</v>
      </c>
      <c r="N1590" s="2">
        <v>24526</v>
      </c>
      <c r="O1590" s="2">
        <v>862</v>
      </c>
      <c r="P1590" s="2">
        <v>-159.91669999999999</v>
      </c>
      <c r="Q1590" s="2">
        <v>-3838</v>
      </c>
      <c r="R1590" s="4">
        <v>-0.18551817478731611</v>
      </c>
      <c r="T1590">
        <v>315850</v>
      </c>
      <c r="U1590" s="2"/>
      <c r="V1590">
        <v>6188</v>
      </c>
      <c r="W1590" s="2">
        <v>6579000000</v>
      </c>
      <c r="X1590" s="6">
        <v>20688.000000000004</v>
      </c>
      <c r="Y1590" s="38">
        <v>10010</v>
      </c>
      <c r="Z1590" s="86">
        <f>+((DETALLE_GD_1[[#This Row],[VALOR X UN (GD)]]-DETALLE_GD_1[[#This Row],[VALOR PPTO]])/DETALLE_GD_1[[#This Row],[VALOR PPTO]])</f>
        <v>0.18551821345707656</v>
      </c>
      <c r="AA1590" s="2">
        <f>+DETALLE_GD_1[[#This Row],[VALOR PPTO]]*DETALLE_GD_1[[#This Row],[CANTIDAD RECIBIDA]]</f>
        <v>20688</v>
      </c>
      <c r="AB1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0" s="3">
        <f>+DETALLE_GD_1[[#This Row],[CANTIDAD SOLICITADA]]-DETALLE_GD_1[[#This Row],[DEVOLUCIÓN]]</f>
        <v>24</v>
      </c>
      <c r="AD1590" s="38">
        <f>+_xlfn.XLOOKUP(DETALLE_GD_1[[#This Row],[CODIGO]],PRODUCTOS[CODIGO],PRODUCTOS[DESC CORTA],"",0)</f>
        <v>0</v>
      </c>
    </row>
    <row r="1591" spans="1:30" x14ac:dyDescent="0.25">
      <c r="A1591" s="1">
        <v>46160</v>
      </c>
      <c r="B1591" s="1">
        <v>46160</v>
      </c>
      <c r="C1591" s="81" t="s">
        <v>169</v>
      </c>
      <c r="D1591" s="38">
        <v>5</v>
      </c>
      <c r="E1591" s="81" t="s">
        <v>169</v>
      </c>
      <c r="F1591">
        <v>1802162</v>
      </c>
      <c r="G1591" s="81" t="s">
        <v>260</v>
      </c>
      <c r="H1591" s="81" t="s">
        <v>31</v>
      </c>
      <c r="I1591" s="3">
        <v>3</v>
      </c>
      <c r="J1591" s="3"/>
      <c r="K1591" s="26">
        <v>3</v>
      </c>
      <c r="L1591" s="2">
        <v>42840</v>
      </c>
      <c r="M1591" s="2">
        <v>128520</v>
      </c>
      <c r="N1591" s="2">
        <v>128520</v>
      </c>
      <c r="O1591" s="2">
        <v>42840</v>
      </c>
      <c r="P1591" s="2">
        <v>0</v>
      </c>
      <c r="Q1591" s="2">
        <v>0</v>
      </c>
      <c r="R1591" s="4">
        <v>0</v>
      </c>
      <c r="T1591">
        <v>315850</v>
      </c>
      <c r="U1591" s="2"/>
      <c r="V1591">
        <v>6188</v>
      </c>
      <c r="W1591" s="2">
        <v>6579000000</v>
      </c>
      <c r="X1591" s="6">
        <v>128520</v>
      </c>
      <c r="Y1591" s="38">
        <v>10010</v>
      </c>
      <c r="Z1591" s="86">
        <f>+((DETALLE_GD_1[[#This Row],[VALOR X UN (GD)]]-DETALLE_GD_1[[#This Row],[VALOR PPTO]])/DETALLE_GD_1[[#This Row],[VALOR PPTO]])</f>
        <v>0</v>
      </c>
      <c r="AA1591" s="2">
        <f>+DETALLE_GD_1[[#This Row],[VALOR PPTO]]*DETALLE_GD_1[[#This Row],[CANTIDAD RECIBIDA]]</f>
        <v>128520</v>
      </c>
      <c r="AB1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1" s="3">
        <f>+DETALLE_GD_1[[#This Row],[CANTIDAD SOLICITADA]]-DETALLE_GD_1[[#This Row],[DEVOLUCIÓN]]</f>
        <v>3</v>
      </c>
      <c r="AD1591" s="38" t="str">
        <f>+_xlfn.XLOOKUP(DETALLE_GD_1[[#This Row],[CODIGO]],PRODUCTOS[CODIGO],PRODUCTOS[DESC CORTA],"",0)</f>
        <v>TINA DE ACERO</v>
      </c>
    </row>
    <row r="1592" spans="1:30" x14ac:dyDescent="0.25">
      <c r="A1592" s="1">
        <v>46160</v>
      </c>
      <c r="B1592" s="1">
        <v>46160</v>
      </c>
      <c r="C1592" s="81" t="s">
        <v>169</v>
      </c>
      <c r="D1592" s="38">
        <v>5</v>
      </c>
      <c r="E1592" s="81" t="s">
        <v>169</v>
      </c>
      <c r="F1592">
        <v>304002</v>
      </c>
      <c r="G1592" s="81" t="s">
        <v>37</v>
      </c>
      <c r="H1592" s="81" t="s">
        <v>18</v>
      </c>
      <c r="I1592" s="3">
        <v>288</v>
      </c>
      <c r="J1592" s="3"/>
      <c r="K1592" s="26">
        <v>288</v>
      </c>
      <c r="L1592" s="2">
        <v>21611.3681</v>
      </c>
      <c r="M1592" s="2">
        <v>6224074</v>
      </c>
      <c r="N1592" s="2">
        <v>6224074</v>
      </c>
      <c r="O1592" s="2">
        <v>21246.5072</v>
      </c>
      <c r="P1592" s="2">
        <v>-364.86090000000002</v>
      </c>
      <c r="Q1592" s="2">
        <v>-105079.9399</v>
      </c>
      <c r="R1592" s="4">
        <v>-1.7172747498123905E-2</v>
      </c>
      <c r="T1592">
        <v>315854</v>
      </c>
      <c r="U1592" s="2">
        <v>6224074</v>
      </c>
      <c r="V1592">
        <v>6188</v>
      </c>
      <c r="W1592" s="2">
        <v>6579000000</v>
      </c>
      <c r="X1592" s="6">
        <v>6118994.060064001</v>
      </c>
      <c r="Y1592" s="38">
        <v>10010</v>
      </c>
      <c r="Z1592" s="86">
        <f>+((DETALLE_GD_1[[#This Row],[VALOR X UN (GD)]]-DETALLE_GD_1[[#This Row],[VALOR PPTO]])/DETALLE_GD_1[[#This Row],[VALOR PPTO]])</f>
        <v>1.7172747339854508E-2</v>
      </c>
      <c r="AA1592" s="2">
        <f>+DETALLE_GD_1[[#This Row],[VALOR PPTO]]*DETALLE_GD_1[[#This Row],[CANTIDAD RECIBIDA]]</f>
        <v>6118994.0735999998</v>
      </c>
      <c r="AB15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92" s="3">
        <f>+DETALLE_GD_1[[#This Row],[CANTIDAD SOLICITADA]]-DETALLE_GD_1[[#This Row],[DEVOLUCIÓN]]</f>
        <v>288</v>
      </c>
      <c r="AD1592" s="38" t="str">
        <f>+_xlfn.XLOOKUP(DETALLE_GD_1[[#This Row],[CODIGO]],PRODUCTOS[CODIGO],PRODUCTOS[DESC CORTA],"",0)</f>
        <v>SMARTPANEL</v>
      </c>
    </row>
    <row r="1593" spans="1:30" x14ac:dyDescent="0.25">
      <c r="A1593" s="1">
        <v>46160</v>
      </c>
      <c r="B1593" s="1">
        <v>46160</v>
      </c>
      <c r="C1593" s="81" t="s">
        <v>169</v>
      </c>
      <c r="D1593" s="38">
        <v>5</v>
      </c>
      <c r="E1593" s="81" t="s">
        <v>169</v>
      </c>
      <c r="F1593">
        <v>1902003</v>
      </c>
      <c r="G1593" s="81" t="s">
        <v>155</v>
      </c>
      <c r="H1593" s="81" t="s">
        <v>47</v>
      </c>
      <c r="I1593" s="3">
        <v>10</v>
      </c>
      <c r="J1593" s="3"/>
      <c r="K1593" s="26">
        <v>10</v>
      </c>
      <c r="L1593" s="2">
        <v>150752.29999999999</v>
      </c>
      <c r="M1593" s="2">
        <v>1507523</v>
      </c>
      <c r="N1593" s="2">
        <v>1507523</v>
      </c>
      <c r="O1593" s="2">
        <v>150703.9755</v>
      </c>
      <c r="P1593" s="2">
        <v>-48.3245</v>
      </c>
      <c r="Q1593" s="2">
        <v>-483.24540000000002</v>
      </c>
      <c r="R1593" s="4">
        <v>-3.2065869432128485E-4</v>
      </c>
      <c r="T1593">
        <v>315852</v>
      </c>
      <c r="U1593" s="2">
        <v>1591370</v>
      </c>
      <c r="V1593">
        <v>6188</v>
      </c>
      <c r="W1593" s="2">
        <v>6579000000</v>
      </c>
      <c r="X1593" s="6">
        <v>1507039.7545999996</v>
      </c>
      <c r="Y1593" s="38">
        <v>10010</v>
      </c>
      <c r="Z1593" s="86">
        <f>+((DETALLE_GD_1[[#This Row],[VALOR X UN (GD)]]-DETALLE_GD_1[[#This Row],[VALOR PPTO]])/DETALLE_GD_1[[#This Row],[VALOR PPTO]])</f>
        <v>3.2065842881489145E-4</v>
      </c>
      <c r="AA1593" s="2">
        <f>+DETALLE_GD_1[[#This Row],[VALOR PPTO]]*DETALLE_GD_1[[#This Row],[CANTIDAD RECIBIDA]]</f>
        <v>1507039.7549999999</v>
      </c>
      <c r="AB1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3" s="3">
        <f>+DETALLE_GD_1[[#This Row],[CANTIDAD SOLICITADA]]-DETALLE_GD_1[[#This Row],[DEVOLUCIÓN]]</f>
        <v>10</v>
      </c>
      <c r="AD1593" s="38">
        <f>+_xlfn.XLOOKUP(DETALLE_GD_1[[#This Row],[CODIGO]],PRODUCTOS[CODIGO],PRODUCTOS[DESC CORTA],"",0)</f>
        <v>0</v>
      </c>
    </row>
    <row r="1594" spans="1:30" x14ac:dyDescent="0.25">
      <c r="A1594" s="1">
        <v>46160</v>
      </c>
      <c r="B1594" s="1">
        <v>46160</v>
      </c>
      <c r="C1594" s="81" t="s">
        <v>169</v>
      </c>
      <c r="D1594" s="38">
        <v>5</v>
      </c>
      <c r="E1594" s="81" t="s">
        <v>169</v>
      </c>
      <c r="F1594">
        <v>2304056</v>
      </c>
      <c r="G1594" s="81" t="s">
        <v>417</v>
      </c>
      <c r="H1594" s="81" t="s">
        <v>31</v>
      </c>
      <c r="I1594" s="3">
        <v>12</v>
      </c>
      <c r="J1594" s="3"/>
      <c r="K1594" s="26">
        <v>12</v>
      </c>
      <c r="L1594" s="2">
        <v>3163.1667000000002</v>
      </c>
      <c r="M1594" s="2">
        <v>37958</v>
      </c>
      <c r="N1594" s="2">
        <v>37958</v>
      </c>
      <c r="O1594" s="2">
        <v>2979</v>
      </c>
      <c r="P1594" s="2">
        <v>-184.16669999999999</v>
      </c>
      <c r="Q1594" s="2">
        <v>-2210</v>
      </c>
      <c r="R1594" s="4">
        <v>-6.182164037148926E-2</v>
      </c>
      <c r="T1594">
        <v>315852</v>
      </c>
      <c r="U1594" s="2"/>
      <c r="V1594">
        <v>6188</v>
      </c>
      <c r="W1594" s="2">
        <v>6579000000</v>
      </c>
      <c r="X1594" s="6">
        <v>35748</v>
      </c>
      <c r="Y1594" s="38">
        <v>10010</v>
      </c>
      <c r="Z1594" s="86">
        <f>+((DETALLE_GD_1[[#This Row],[VALOR X UN (GD)]]-DETALLE_GD_1[[#This Row],[VALOR PPTO]])/DETALLE_GD_1[[#This Row],[VALOR PPTO]])</f>
        <v>6.182165156092656E-2</v>
      </c>
      <c r="AA1594" s="2">
        <f>+DETALLE_GD_1[[#This Row],[VALOR PPTO]]*DETALLE_GD_1[[#This Row],[CANTIDAD RECIBIDA]]</f>
        <v>35748</v>
      </c>
      <c r="AB1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4" s="3">
        <f>+DETALLE_GD_1[[#This Row],[CANTIDAD SOLICITADA]]-DETALLE_GD_1[[#This Row],[DEVOLUCIÓN]]</f>
        <v>12</v>
      </c>
      <c r="AD1594" s="38" t="str">
        <f>+_xlfn.XLOOKUP(DETALLE_GD_1[[#This Row],[CODIGO]],PRODUCTOS[CODIGO],PRODUCTOS[DESC CORTA],"",0)</f>
        <v/>
      </c>
    </row>
    <row r="1595" spans="1:30" x14ac:dyDescent="0.25">
      <c r="A1595" s="1">
        <v>46160</v>
      </c>
      <c r="B1595" s="1">
        <v>46160</v>
      </c>
      <c r="C1595" s="81" t="s">
        <v>169</v>
      </c>
      <c r="D1595" s="38">
        <v>5</v>
      </c>
      <c r="E1595" s="81" t="s">
        <v>169</v>
      </c>
      <c r="F1595">
        <v>609008</v>
      </c>
      <c r="G1595" s="81" t="s">
        <v>57</v>
      </c>
      <c r="H1595" s="81" t="s">
        <v>58</v>
      </c>
      <c r="I1595" s="3">
        <v>4</v>
      </c>
      <c r="J1595" s="3"/>
      <c r="K1595" s="26">
        <v>4</v>
      </c>
      <c r="L1595" s="2">
        <v>2018.5</v>
      </c>
      <c r="M1595" s="2">
        <v>8074</v>
      </c>
      <c r="N1595" s="2">
        <v>8074</v>
      </c>
      <c r="O1595" s="2">
        <v>2130.7573000000002</v>
      </c>
      <c r="P1595" s="2">
        <v>112.2573</v>
      </c>
      <c r="Q1595" s="2">
        <v>449.0292</v>
      </c>
      <c r="R1595" s="4">
        <v>5.268423084748209E-2</v>
      </c>
      <c r="T1595">
        <v>315852</v>
      </c>
      <c r="U1595" s="2"/>
      <c r="V1595">
        <v>6188</v>
      </c>
      <c r="W1595" s="2">
        <v>6579000000</v>
      </c>
      <c r="X1595" s="6">
        <v>8523.0292399999998</v>
      </c>
      <c r="Y1595" s="38">
        <v>10010</v>
      </c>
      <c r="Z1595" s="86">
        <f>+((DETALLE_GD_1[[#This Row],[VALOR X UN (GD)]]-DETALLE_GD_1[[#This Row],[VALOR PPTO]])/DETALLE_GD_1[[#This Row],[VALOR PPTO]])</f>
        <v>-5.2684226401571027E-2</v>
      </c>
      <c r="AA1595" s="2">
        <f>+DETALLE_GD_1[[#This Row],[VALOR PPTO]]*DETALLE_GD_1[[#This Row],[CANTIDAD RECIBIDA]]</f>
        <v>8523.0292000000009</v>
      </c>
      <c r="AB1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5" s="3">
        <f>+DETALLE_GD_1[[#This Row],[CANTIDAD SOLICITADA]]-DETALLE_GD_1[[#This Row],[DEVOLUCIÓN]]</f>
        <v>4</v>
      </c>
      <c r="AD1595" s="38" t="str">
        <f>+_xlfn.XLOOKUP(DETALLE_GD_1[[#This Row],[CODIGO]],PRODUCTOS[CODIGO],PRODUCTOS[DESC CORTA],"",0)</f>
        <v>DUCO</v>
      </c>
    </row>
    <row r="1596" spans="1:30" x14ac:dyDescent="0.25">
      <c r="A1596" s="1">
        <v>46160</v>
      </c>
      <c r="B1596" s="1">
        <v>46160</v>
      </c>
      <c r="C1596" s="81" t="s">
        <v>169</v>
      </c>
      <c r="D1596" s="38">
        <v>5</v>
      </c>
      <c r="E1596" s="81" t="s">
        <v>169</v>
      </c>
      <c r="F1596">
        <v>617057</v>
      </c>
      <c r="G1596" s="81" t="s">
        <v>134</v>
      </c>
      <c r="H1596" s="81" t="s">
        <v>31</v>
      </c>
      <c r="I1596" s="3">
        <v>5</v>
      </c>
      <c r="J1596" s="3"/>
      <c r="K1596" s="26">
        <v>5</v>
      </c>
      <c r="L1596" s="2">
        <v>1698.4</v>
      </c>
      <c r="M1596" s="2">
        <v>8492</v>
      </c>
      <c r="N1596" s="2">
        <v>8492</v>
      </c>
      <c r="O1596" s="2">
        <v>2042.1197</v>
      </c>
      <c r="P1596" s="2">
        <v>343.71969999999999</v>
      </c>
      <c r="Q1596" s="2">
        <v>1718.5985000000001</v>
      </c>
      <c r="R1596" s="4">
        <v>0.1683151604629782</v>
      </c>
      <c r="T1596">
        <v>315852</v>
      </c>
      <c r="U1596" s="2"/>
      <c r="V1596">
        <v>6188</v>
      </c>
      <c r="W1596" s="2">
        <v>6579000000</v>
      </c>
      <c r="X1596" s="6">
        <v>10210.598529999999</v>
      </c>
      <c r="Y1596" s="38">
        <v>10010</v>
      </c>
      <c r="Z1596" s="86">
        <f>+((DETALLE_GD_1[[#This Row],[VALOR X UN (GD)]]-DETALLE_GD_1[[#This Row],[VALOR PPTO]])/DETALLE_GD_1[[#This Row],[VALOR PPTO]])</f>
        <v>-0.16831515801938537</v>
      </c>
      <c r="AA1596" s="2">
        <f>+DETALLE_GD_1[[#This Row],[VALOR PPTO]]*DETALLE_GD_1[[#This Row],[CANTIDAD RECIBIDA]]</f>
        <v>10210.5985</v>
      </c>
      <c r="AB15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6" s="3">
        <f>+DETALLE_GD_1[[#This Row],[CANTIDAD SOLICITADA]]-DETALLE_GD_1[[#This Row],[DEVOLUCIÓN]]</f>
        <v>5</v>
      </c>
      <c r="AD1596" s="38" t="str">
        <f>+_xlfn.XLOOKUP(DETALLE_GD_1[[#This Row],[CODIGO]],PRODUCTOS[CODIGO],PRODUCTOS[DESC CORTA],"",0)</f>
        <v>BROCHA 5/8 X4</v>
      </c>
    </row>
    <row r="1597" spans="1:30" x14ac:dyDescent="0.25">
      <c r="A1597" s="1">
        <v>46160</v>
      </c>
      <c r="B1597" s="1">
        <v>46160</v>
      </c>
      <c r="C1597" s="81" t="s">
        <v>169</v>
      </c>
      <c r="D1597" s="38">
        <v>5</v>
      </c>
      <c r="E1597" s="81" t="s">
        <v>169</v>
      </c>
      <c r="F1597">
        <v>617016</v>
      </c>
      <c r="G1597" s="81" t="s">
        <v>133</v>
      </c>
      <c r="H1597" s="81" t="s">
        <v>31</v>
      </c>
      <c r="I1597" s="3">
        <v>5</v>
      </c>
      <c r="J1597" s="3"/>
      <c r="K1597" s="26">
        <v>5</v>
      </c>
      <c r="L1597" s="2">
        <v>2864.2</v>
      </c>
      <c r="M1597" s="2">
        <v>14321</v>
      </c>
      <c r="N1597" s="2">
        <v>14321</v>
      </c>
      <c r="O1597" s="2">
        <v>2857.5133000000001</v>
      </c>
      <c r="P1597" s="2">
        <v>-6.6867000000000001</v>
      </c>
      <c r="Q1597" s="2">
        <v>-33.433599999999998</v>
      </c>
      <c r="R1597" s="4">
        <v>-2.3400507220180662E-3</v>
      </c>
      <c r="T1597">
        <v>315852</v>
      </c>
      <c r="U1597" s="2"/>
      <c r="V1597">
        <v>6188</v>
      </c>
      <c r="W1597" s="2">
        <v>6579000000</v>
      </c>
      <c r="X1597" s="6">
        <v>14287.56637</v>
      </c>
      <c r="Y1597" s="38">
        <v>10010</v>
      </c>
      <c r="Z1597" s="86">
        <f>+((DETALLE_GD_1[[#This Row],[VALOR X UN (GD)]]-DETALLE_GD_1[[#This Row],[VALOR PPTO]])/DETALLE_GD_1[[#This Row],[VALOR PPTO]])</f>
        <v>2.3400416019060161E-3</v>
      </c>
      <c r="AA1597" s="2">
        <f>+DETALLE_GD_1[[#This Row],[VALOR PPTO]]*DETALLE_GD_1[[#This Row],[CANTIDAD RECIBIDA]]</f>
        <v>14287.566500000001</v>
      </c>
      <c r="AB1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7" s="3">
        <f>+DETALLE_GD_1[[#This Row],[CANTIDAD SOLICITADA]]-DETALLE_GD_1[[#This Row],[DEVOLUCIÓN]]</f>
        <v>5</v>
      </c>
      <c r="AD1597" s="38" t="str">
        <f>+_xlfn.XLOOKUP(DETALLE_GD_1[[#This Row],[CODIGO]],PRODUCTOS[CODIGO],PRODUCTOS[DESC CORTA],"",0)</f>
        <v>RODILLO CHIPORRO</v>
      </c>
    </row>
    <row r="1598" spans="1:30" x14ac:dyDescent="0.25">
      <c r="A1598" s="1">
        <v>46160</v>
      </c>
      <c r="B1598" s="1">
        <v>46160</v>
      </c>
      <c r="C1598" s="81" t="s">
        <v>169</v>
      </c>
      <c r="D1598" s="38">
        <v>5</v>
      </c>
      <c r="E1598" s="81" t="s">
        <v>169</v>
      </c>
      <c r="F1598">
        <v>1610023</v>
      </c>
      <c r="G1598" s="81" t="s">
        <v>351</v>
      </c>
      <c r="H1598" s="81" t="s">
        <v>28</v>
      </c>
      <c r="I1598" s="3">
        <v>5</v>
      </c>
      <c r="J1598" s="3"/>
      <c r="K1598" s="26">
        <v>5</v>
      </c>
      <c r="L1598" s="2">
        <v>2278.1999999999998</v>
      </c>
      <c r="M1598" s="2">
        <v>11391</v>
      </c>
      <c r="N1598" s="2">
        <v>11391</v>
      </c>
      <c r="O1598" s="2">
        <v>2109.0585000000001</v>
      </c>
      <c r="P1598" s="2">
        <v>-169.14150000000001</v>
      </c>
      <c r="Q1598" s="2">
        <v>-845.70730000000003</v>
      </c>
      <c r="R1598" s="4">
        <v>-8.0197611698158158E-2</v>
      </c>
      <c r="T1598">
        <v>315852</v>
      </c>
      <c r="U1598" s="2"/>
      <c r="V1598">
        <v>6188</v>
      </c>
      <c r="W1598" s="2">
        <v>6579000000</v>
      </c>
      <c r="X1598" s="6">
        <v>10545.292710000002</v>
      </c>
      <c r="Y1598" s="38">
        <v>10010</v>
      </c>
      <c r="Z1598" s="86">
        <f>+((DETALLE_GD_1[[#This Row],[VALOR X UN (GD)]]-DETALLE_GD_1[[#This Row],[VALOR PPTO]])/DETALLE_GD_1[[#This Row],[VALOR PPTO]])</f>
        <v>8.0197633209320524E-2</v>
      </c>
      <c r="AA1598" s="2">
        <f>+DETALLE_GD_1[[#This Row],[VALOR PPTO]]*DETALLE_GD_1[[#This Row],[CANTIDAD RECIBIDA]]</f>
        <v>10545.2925</v>
      </c>
      <c r="AB1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8" s="3">
        <f>+DETALLE_GD_1[[#This Row],[CANTIDAD SOLICITADA]]-DETALLE_GD_1[[#This Row],[DEVOLUCIÓN]]</f>
        <v>5</v>
      </c>
      <c r="AD1598" s="38" t="str">
        <f>+_xlfn.XLOOKUP(DETALLE_GD_1[[#This Row],[CODIGO]],PRODUCTOS[CODIGO],PRODUCTOS[DESC CORTA],"",0)</f>
        <v>TRAPOS DE ASEO</v>
      </c>
    </row>
    <row r="1599" spans="1:30" x14ac:dyDescent="0.25">
      <c r="A1599" s="1">
        <v>46160</v>
      </c>
      <c r="B1599" s="1">
        <v>46160</v>
      </c>
      <c r="C1599" s="81" t="s">
        <v>169</v>
      </c>
      <c r="D1599" s="38">
        <v>5</v>
      </c>
      <c r="E1599" s="81" t="s">
        <v>169</v>
      </c>
      <c r="F1599">
        <v>704079</v>
      </c>
      <c r="G1599" s="81" t="s">
        <v>209</v>
      </c>
      <c r="H1599" s="81" t="s">
        <v>47</v>
      </c>
      <c r="I1599" s="3">
        <v>5</v>
      </c>
      <c r="J1599" s="3"/>
      <c r="K1599" s="26">
        <v>5</v>
      </c>
      <c r="L1599" s="2">
        <v>722.2</v>
      </c>
      <c r="M1599" s="2">
        <v>3611</v>
      </c>
      <c r="N1599" s="2">
        <v>3611</v>
      </c>
      <c r="O1599" s="2">
        <v>755.70489999999995</v>
      </c>
      <c r="P1599" s="2">
        <v>33.504899999999999</v>
      </c>
      <c r="Q1599" s="2">
        <v>167.52440000000001</v>
      </c>
      <c r="R1599" s="4">
        <v>4.4335934301930259E-2</v>
      </c>
      <c r="T1599">
        <v>315852</v>
      </c>
      <c r="U1599" s="2"/>
      <c r="V1599">
        <v>6188</v>
      </c>
      <c r="W1599" s="2">
        <v>6579000000</v>
      </c>
      <c r="X1599" s="6">
        <v>3778.52441</v>
      </c>
      <c r="Y1599" s="38">
        <v>10010</v>
      </c>
      <c r="Z1599" s="86">
        <f>+((DETALLE_GD_1[[#This Row],[VALOR X UN (GD)]]-DETALLE_GD_1[[#This Row],[VALOR PPTO]])/DETALLE_GD_1[[#This Row],[VALOR PPTO]])</f>
        <v>-4.4335957064721834E-2</v>
      </c>
      <c r="AA1599" s="2">
        <f>+DETALLE_GD_1[[#This Row],[VALOR PPTO]]*DETALLE_GD_1[[#This Row],[CANTIDAD RECIBIDA]]</f>
        <v>3778.5244999999995</v>
      </c>
      <c r="AB1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9" s="3">
        <f>+DETALLE_GD_1[[#This Row],[CANTIDAD SOLICITADA]]-DETALLE_GD_1[[#This Row],[DEVOLUCIÓN]]</f>
        <v>5</v>
      </c>
      <c r="AD1599" s="38">
        <f>+_xlfn.XLOOKUP(DETALLE_GD_1[[#This Row],[CODIGO]],PRODUCTOS[CODIGO],PRODUCTOS[DESC CORTA],"",0)</f>
        <v>0</v>
      </c>
    </row>
    <row r="1600" spans="1:30" x14ac:dyDescent="0.25">
      <c r="A1600" s="1">
        <v>46160</v>
      </c>
      <c r="B1600" s="1">
        <v>46160</v>
      </c>
      <c r="C1600" s="81" t="s">
        <v>169</v>
      </c>
      <c r="D1600" s="38">
        <v>5</v>
      </c>
      <c r="E1600" s="81" t="s">
        <v>169</v>
      </c>
      <c r="F1600">
        <v>304101</v>
      </c>
      <c r="G1600" s="81" t="s">
        <v>17</v>
      </c>
      <c r="H1600" s="81" t="s">
        <v>18</v>
      </c>
      <c r="I1600" s="3">
        <v>252</v>
      </c>
      <c r="J1600" s="3"/>
      <c r="K1600" s="26">
        <v>252</v>
      </c>
      <c r="L1600" s="2">
        <v>9620.9959999999992</v>
      </c>
      <c r="M1600" s="2">
        <v>2424491</v>
      </c>
      <c r="N1600" s="2">
        <v>2424491</v>
      </c>
      <c r="O1600" s="2">
        <v>9657.5879999999997</v>
      </c>
      <c r="P1600" s="2">
        <v>36.591900000000003</v>
      </c>
      <c r="Q1600" s="2">
        <v>9221.1633999999995</v>
      </c>
      <c r="R1600" s="4">
        <v>3.7889293313629951E-3</v>
      </c>
      <c r="T1600">
        <v>315857</v>
      </c>
      <c r="U1600" s="2">
        <v>26322798</v>
      </c>
      <c r="V1600">
        <v>6188</v>
      </c>
      <c r="W1600" s="2">
        <v>6579000000</v>
      </c>
      <c r="X1600" s="6">
        <v>2433712.1634000018</v>
      </c>
      <c r="Y1600" s="38">
        <v>10010</v>
      </c>
      <c r="Z1600" s="86">
        <f>+((DETALLE_GD_1[[#This Row],[VALOR X UN (GD)]]-DETALLE_GD_1[[#This Row],[VALOR PPTO]])/DETALLE_GD_1[[#This Row],[VALOR PPTO]])</f>
        <v>-3.7889377761818536E-3</v>
      </c>
      <c r="AA1600" s="2">
        <f>+DETALLE_GD_1[[#This Row],[VALOR PPTO]]*DETALLE_GD_1[[#This Row],[CANTIDAD RECIBIDA]]</f>
        <v>2433712.176</v>
      </c>
      <c r="AB1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00" s="3">
        <f>+DETALLE_GD_1[[#This Row],[CANTIDAD SOLICITADA]]-DETALLE_GD_1[[#This Row],[DEVOLUCIÓN]]</f>
        <v>252</v>
      </c>
      <c r="AD1600" s="38" t="str">
        <f>+_xlfn.XLOOKUP(DETALLE_GD_1[[#This Row],[CODIGO]],PRODUCTOS[CODIGO],PRODUCTOS[DESC CORTA],"",0)</f>
        <v>OSB 9.5</v>
      </c>
    </row>
    <row r="1601" spans="1:30" x14ac:dyDescent="0.25">
      <c r="A1601" s="1">
        <v>46160</v>
      </c>
      <c r="B1601" s="1">
        <v>46160</v>
      </c>
      <c r="C1601" s="81" t="s">
        <v>169</v>
      </c>
      <c r="D1601" s="38">
        <v>5</v>
      </c>
      <c r="E1601" s="81" t="s">
        <v>169</v>
      </c>
      <c r="F1601">
        <v>412280</v>
      </c>
      <c r="G1601" s="81" t="s">
        <v>40</v>
      </c>
      <c r="H1601" s="81" t="s">
        <v>31</v>
      </c>
      <c r="I1601" s="3">
        <v>32</v>
      </c>
      <c r="J1601" s="3"/>
      <c r="K1601" s="26">
        <v>32</v>
      </c>
      <c r="L1601" s="2">
        <v>38473.75</v>
      </c>
      <c r="M1601" s="2">
        <v>1231160</v>
      </c>
      <c r="N1601" s="2">
        <v>1231160</v>
      </c>
      <c r="O1601" s="2">
        <v>40002.920100000003</v>
      </c>
      <c r="P1601" s="2">
        <v>1529.1701</v>
      </c>
      <c r="Q1601" s="2">
        <v>48933.442999999999</v>
      </c>
      <c r="R1601" s="4">
        <v>3.8226461704419075E-2</v>
      </c>
      <c r="T1601">
        <v>315857</v>
      </c>
      <c r="U1601" s="2"/>
      <c r="V1601">
        <v>6188</v>
      </c>
      <c r="W1601" s="2">
        <v>6579000000</v>
      </c>
      <c r="X1601" s="6">
        <v>1280093.442976</v>
      </c>
      <c r="Y1601" s="38">
        <v>10010</v>
      </c>
      <c r="Z1601" s="86">
        <f>+((DETALLE_GD_1[[#This Row],[VALOR X UN (GD)]]-DETALLE_GD_1[[#This Row],[VALOR PPTO]])/DETALLE_GD_1[[#This Row],[VALOR PPTO]])</f>
        <v>-3.8226461872717207E-2</v>
      </c>
      <c r="AA1601" s="2">
        <f>+DETALLE_GD_1[[#This Row],[VALOR PPTO]]*DETALLE_GD_1[[#This Row],[CANTIDAD RECIBIDA]]</f>
        <v>1280093.4432000001</v>
      </c>
      <c r="AB1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01" s="3">
        <f>+DETALLE_GD_1[[#This Row],[CANTIDAD SOLICITADA]]-DETALLE_GD_1[[#This Row],[DEVOLUCIÓN]]</f>
        <v>32</v>
      </c>
      <c r="AD1601" s="38" t="str">
        <f>+_xlfn.XLOOKUP(DETALLE_GD_1[[#This Row],[CODIGO]],PRODUCTOS[CODIGO],PRODUCTOS[DESC CORTA],"",0)</f>
        <v>PB2</v>
      </c>
    </row>
    <row r="1602" spans="1:30" x14ac:dyDescent="0.25">
      <c r="A1602" s="1">
        <v>46160</v>
      </c>
      <c r="B1602" s="1">
        <v>46160</v>
      </c>
      <c r="C1602" s="81" t="s">
        <v>169</v>
      </c>
      <c r="D1602" s="38">
        <v>5</v>
      </c>
      <c r="E1602" s="81" t="s">
        <v>169</v>
      </c>
      <c r="F1602">
        <v>4212234</v>
      </c>
      <c r="G1602" s="81" t="s">
        <v>54</v>
      </c>
      <c r="H1602" s="81" t="s">
        <v>31</v>
      </c>
      <c r="I1602" s="3">
        <v>8</v>
      </c>
      <c r="J1602" s="3"/>
      <c r="K1602" s="26">
        <v>8</v>
      </c>
      <c r="L1602" s="2">
        <v>124909</v>
      </c>
      <c r="M1602" s="2">
        <v>999272</v>
      </c>
      <c r="N1602" s="2">
        <v>999272</v>
      </c>
      <c r="O1602" s="2">
        <v>124909</v>
      </c>
      <c r="P1602" s="2">
        <v>0</v>
      </c>
      <c r="Q1602" s="2">
        <v>0</v>
      </c>
      <c r="R1602" s="4">
        <v>0</v>
      </c>
      <c r="T1602">
        <v>315857</v>
      </c>
      <c r="U1602" s="2"/>
      <c r="V1602">
        <v>6188</v>
      </c>
      <c r="W1602" s="2">
        <v>6579000000</v>
      </c>
      <c r="X1602" s="6">
        <v>999272</v>
      </c>
      <c r="Y1602" s="38">
        <v>10010</v>
      </c>
      <c r="Z1602" s="86">
        <f>+((DETALLE_GD_1[[#This Row],[VALOR X UN (GD)]]-DETALLE_GD_1[[#This Row],[VALOR PPTO]])/DETALLE_GD_1[[#This Row],[VALOR PPTO]])</f>
        <v>0</v>
      </c>
      <c r="AA1602" s="2">
        <f>+DETALLE_GD_1[[#This Row],[VALOR PPTO]]*DETALLE_GD_1[[#This Row],[CANTIDAD RECIBIDA]]</f>
        <v>999272</v>
      </c>
      <c r="AB1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2" s="3">
        <f>+DETALLE_GD_1[[#This Row],[CANTIDAD SOLICITADA]]-DETALLE_GD_1[[#This Row],[DEVOLUCIÓN]]</f>
        <v>8</v>
      </c>
      <c r="AD1602" s="38" t="str">
        <f>+_xlfn.XLOOKUP(DETALLE_GD_1[[#This Row],[CODIGO]],PRODUCTOS[CODIGO],PRODUCTOS[DESC CORTA],"",0)</f>
        <v>BARANDA BALCON</v>
      </c>
    </row>
    <row r="1603" spans="1:30" x14ac:dyDescent="0.25">
      <c r="A1603" s="1">
        <v>46160</v>
      </c>
      <c r="B1603" s="1">
        <v>46160</v>
      </c>
      <c r="C1603" s="81" t="s">
        <v>169</v>
      </c>
      <c r="D1603" s="38">
        <v>5</v>
      </c>
      <c r="E1603" s="81" t="s">
        <v>169</v>
      </c>
      <c r="F1603">
        <v>1902013</v>
      </c>
      <c r="G1603" s="81" t="s">
        <v>338</v>
      </c>
      <c r="H1603" s="81" t="s">
        <v>47</v>
      </c>
      <c r="I1603" s="3">
        <v>15</v>
      </c>
      <c r="J1603" s="3"/>
      <c r="K1603" s="26">
        <v>15</v>
      </c>
      <c r="L1603" s="2">
        <v>39045.333299999998</v>
      </c>
      <c r="M1603" s="2">
        <v>585680</v>
      </c>
      <c r="N1603" s="2">
        <v>585680</v>
      </c>
      <c r="O1603" s="2">
        <v>29779</v>
      </c>
      <c r="P1603" s="2">
        <v>-9266.3333000000002</v>
      </c>
      <c r="Q1603" s="2">
        <v>-138995</v>
      </c>
      <c r="R1603" s="4">
        <v>-0.31117006391528712</v>
      </c>
      <c r="T1603">
        <v>315857</v>
      </c>
      <c r="U1603" s="2"/>
      <c r="V1603">
        <v>6188</v>
      </c>
      <c r="W1603" s="2">
        <v>6579000000</v>
      </c>
      <c r="X1603" s="6">
        <v>446685</v>
      </c>
      <c r="Y1603" s="38">
        <v>10010</v>
      </c>
      <c r="Z1603" s="86">
        <f>+((DETALLE_GD_1[[#This Row],[VALOR X UN (GD)]]-DETALLE_GD_1[[#This Row],[VALOR PPTO]])/DETALLE_GD_1[[#This Row],[VALOR PPTO]])</f>
        <v>0.31117006279592996</v>
      </c>
      <c r="AA1603" s="2">
        <f>+DETALLE_GD_1[[#This Row],[VALOR PPTO]]*DETALLE_GD_1[[#This Row],[CANTIDAD RECIBIDA]]</f>
        <v>446685</v>
      </c>
      <c r="AB16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03" s="3">
        <f>+DETALLE_GD_1[[#This Row],[CANTIDAD SOLICITADA]]-DETALLE_GD_1[[#This Row],[DEVOLUCIÓN]]</f>
        <v>15</v>
      </c>
      <c r="AD1603" s="38">
        <f>+_xlfn.XLOOKUP(DETALLE_GD_1[[#This Row],[CODIGO]],PRODUCTOS[CODIGO],PRODUCTOS[DESC CORTA],"",0)</f>
        <v>0</v>
      </c>
    </row>
    <row r="1604" spans="1:30" x14ac:dyDescent="0.25">
      <c r="A1604" s="1">
        <v>46160</v>
      </c>
      <c r="B1604" s="1">
        <v>46160</v>
      </c>
      <c r="C1604" s="81" t="s">
        <v>169</v>
      </c>
      <c r="D1604" s="38">
        <v>5</v>
      </c>
      <c r="E1604" s="81" t="s">
        <v>169</v>
      </c>
      <c r="F1604">
        <v>412301</v>
      </c>
      <c r="G1604" s="81" t="s">
        <v>327</v>
      </c>
      <c r="H1604" s="81" t="s">
        <v>31</v>
      </c>
      <c r="I1604" s="3">
        <v>500</v>
      </c>
      <c r="J1604" s="3"/>
      <c r="K1604" s="26">
        <v>500</v>
      </c>
      <c r="L1604" s="2">
        <v>388.76</v>
      </c>
      <c r="M1604" s="2">
        <v>194380</v>
      </c>
      <c r="N1604" s="2">
        <v>194380</v>
      </c>
      <c r="O1604" s="2">
        <v>388.75979999999998</v>
      </c>
      <c r="P1604" s="2">
        <v>-2.0000000000000001E-4</v>
      </c>
      <c r="Q1604" s="2">
        <v>-0.115</v>
      </c>
      <c r="R1604" s="4">
        <v>-5.9162500273045235E-7</v>
      </c>
      <c r="T1604">
        <v>315857</v>
      </c>
      <c r="U1604" s="2"/>
      <c r="V1604">
        <v>6188</v>
      </c>
      <c r="W1604" s="2">
        <v>6579000000</v>
      </c>
      <c r="X1604" s="6">
        <v>194379.88500000001</v>
      </c>
      <c r="Y1604" s="38">
        <v>10010</v>
      </c>
      <c r="Z1604" s="86">
        <f>+((DETALLE_GD_1[[#This Row],[VALOR X UN (GD)]]-DETALLE_GD_1[[#This Row],[VALOR PPTO]])/DETALLE_GD_1[[#This Row],[VALOR PPTO]])</f>
        <v>5.1445648445811355E-7</v>
      </c>
      <c r="AA1604" s="2">
        <f>+DETALLE_GD_1[[#This Row],[VALOR PPTO]]*DETALLE_GD_1[[#This Row],[CANTIDAD RECIBIDA]]</f>
        <v>194379.9</v>
      </c>
      <c r="AB1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4" s="3">
        <f>+DETALLE_GD_1[[#This Row],[CANTIDAD SOLICITADA]]-DETALLE_GD_1[[#This Row],[DEVOLUCIÓN]]</f>
        <v>500</v>
      </c>
      <c r="AD1604" s="38">
        <f>+_xlfn.XLOOKUP(DETALLE_GD_1[[#This Row],[CODIGO]],PRODUCTOS[CODIGO],PRODUCTOS[DESC CORTA],"",0)</f>
        <v>0</v>
      </c>
    </row>
    <row r="1605" spans="1:30" x14ac:dyDescent="0.25">
      <c r="A1605" s="1">
        <v>46160</v>
      </c>
      <c r="B1605" s="1">
        <v>46160</v>
      </c>
      <c r="C1605" s="81" t="s">
        <v>169</v>
      </c>
      <c r="D1605" s="38">
        <v>5</v>
      </c>
      <c r="E1605" s="81" t="s">
        <v>169</v>
      </c>
      <c r="F1605">
        <v>407011</v>
      </c>
      <c r="G1605" s="81" t="s">
        <v>30</v>
      </c>
      <c r="H1605" s="81" t="s">
        <v>31</v>
      </c>
      <c r="I1605" s="3">
        <v>1000</v>
      </c>
      <c r="J1605" s="3"/>
      <c r="K1605" s="26">
        <v>1000</v>
      </c>
      <c r="L1605" s="2">
        <v>473.17500000000001</v>
      </c>
      <c r="M1605" s="2">
        <v>473175</v>
      </c>
      <c r="N1605" s="2">
        <v>473175</v>
      </c>
      <c r="O1605" s="2">
        <v>473.17520000000002</v>
      </c>
      <c r="P1605" s="2">
        <v>2.0000000000000001E-4</v>
      </c>
      <c r="Q1605" s="2">
        <v>0.24</v>
      </c>
      <c r="R1605" s="4">
        <v>5.0721166201690746E-7</v>
      </c>
      <c r="T1605">
        <v>315857</v>
      </c>
      <c r="U1605" s="2"/>
      <c r="V1605">
        <v>6188</v>
      </c>
      <c r="W1605" s="2">
        <v>6579000000</v>
      </c>
      <c r="X1605" s="6">
        <v>473175.23999999993</v>
      </c>
      <c r="Y1605" s="38">
        <v>10010</v>
      </c>
      <c r="Z1605" s="86">
        <f>+((DETALLE_GD_1[[#This Row],[VALOR X UN (GD)]]-DETALLE_GD_1[[#This Row],[VALOR PPTO]])/DETALLE_GD_1[[#This Row],[VALOR PPTO]])</f>
        <v>-4.2267642092535555E-7</v>
      </c>
      <c r="AA1605" s="2">
        <f>+DETALLE_GD_1[[#This Row],[VALOR PPTO]]*DETALLE_GD_1[[#This Row],[CANTIDAD RECIBIDA]]</f>
        <v>473175.2</v>
      </c>
      <c r="AB16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05" s="3">
        <f>+DETALLE_GD_1[[#This Row],[CANTIDAD SOLICITADA]]-DETALLE_GD_1[[#This Row],[DEVOLUCIÓN]]</f>
        <v>1000</v>
      </c>
      <c r="AD1605" s="38" t="str">
        <f>+_xlfn.XLOOKUP(DETALLE_GD_1[[#This Row],[CODIGO]],PRODUCTOS[CODIGO],PRODUCTOS[DESC CORTA],"",0)</f>
        <v>TORNILLO SIMPSON 6"</v>
      </c>
    </row>
    <row r="1606" spans="1:30" x14ac:dyDescent="0.25">
      <c r="A1606" s="1">
        <v>46160</v>
      </c>
      <c r="B1606" s="1">
        <v>46160</v>
      </c>
      <c r="C1606" s="81" t="s">
        <v>169</v>
      </c>
      <c r="D1606" s="38">
        <v>5</v>
      </c>
      <c r="E1606" s="81" t="s">
        <v>169</v>
      </c>
      <c r="F1606">
        <v>408017</v>
      </c>
      <c r="G1606" s="81" t="s">
        <v>445</v>
      </c>
      <c r="H1606" s="81" t="s">
        <v>36</v>
      </c>
      <c r="I1606" s="3">
        <v>1</v>
      </c>
      <c r="J1606" s="3"/>
      <c r="K1606" s="26">
        <v>1</v>
      </c>
      <c r="L1606" s="2">
        <v>17300</v>
      </c>
      <c r="M1606" s="2">
        <v>17300</v>
      </c>
      <c r="N1606" s="2">
        <v>17300</v>
      </c>
      <c r="O1606" s="2"/>
      <c r="P1606" s="2"/>
      <c r="Q1606" s="2">
        <v>-17300</v>
      </c>
      <c r="R1606" s="4"/>
      <c r="T1606">
        <v>315857</v>
      </c>
      <c r="U1606" s="2"/>
      <c r="V1606">
        <v>6188</v>
      </c>
      <c r="W1606" s="2">
        <v>6579000000</v>
      </c>
      <c r="X1606" s="6" t="s">
        <v>355</v>
      </c>
      <c r="Y1606" s="38">
        <v>10010</v>
      </c>
      <c r="Z1606" s="86" t="e">
        <f>+((DETALLE_GD_1[[#This Row],[VALOR X UN (GD)]]-DETALLE_GD_1[[#This Row],[VALOR PPTO]])/DETALLE_GD_1[[#This Row],[VALOR PPTO]])</f>
        <v>#DIV/0!</v>
      </c>
      <c r="AA1606" s="2">
        <f>+DETALLE_GD_1[[#This Row],[VALOR PPTO]]*DETALLE_GD_1[[#This Row],[CANTIDAD RECIBIDA]]</f>
        <v>0</v>
      </c>
      <c r="AB1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6" s="3">
        <f>+DETALLE_GD_1[[#This Row],[CANTIDAD SOLICITADA]]-DETALLE_GD_1[[#This Row],[DEVOLUCIÓN]]</f>
        <v>1</v>
      </c>
      <c r="AD1606" s="38" t="str">
        <f>+_xlfn.XLOOKUP(DETALLE_GD_1[[#This Row],[CODIGO]],PRODUCTOS[CODIGO],PRODUCTOS[DESC CORTA],"",0)</f>
        <v/>
      </c>
    </row>
    <row r="1607" spans="1:30" x14ac:dyDescent="0.25">
      <c r="A1607" s="1">
        <v>46160</v>
      </c>
      <c r="B1607" s="1">
        <v>46160</v>
      </c>
      <c r="C1607" s="81" t="s">
        <v>169</v>
      </c>
      <c r="D1607" s="38">
        <v>5</v>
      </c>
      <c r="E1607" s="81" t="s">
        <v>169</v>
      </c>
      <c r="F1607">
        <v>412302</v>
      </c>
      <c r="G1607" s="81" t="s">
        <v>165</v>
      </c>
      <c r="H1607" s="81" t="s">
        <v>31</v>
      </c>
      <c r="I1607" s="3">
        <v>10</v>
      </c>
      <c r="J1607" s="3"/>
      <c r="K1607" s="26">
        <v>10</v>
      </c>
      <c r="L1607" s="2">
        <v>4742.5</v>
      </c>
      <c r="M1607" s="2">
        <v>47425</v>
      </c>
      <c r="N1607" s="2">
        <v>47425</v>
      </c>
      <c r="O1607" s="2">
        <v>4742.4587000000001</v>
      </c>
      <c r="P1607" s="2">
        <v>-4.1300000000000003E-2</v>
      </c>
      <c r="Q1607" s="2">
        <v>-0.4133</v>
      </c>
      <c r="R1607" s="4">
        <v>-8.7155213998457421E-6</v>
      </c>
      <c r="T1607">
        <v>315857</v>
      </c>
      <c r="U1607" s="2"/>
      <c r="V1607">
        <v>6188</v>
      </c>
      <c r="W1607" s="2">
        <v>6579000000</v>
      </c>
      <c r="X1607" s="6">
        <v>47424.586669999997</v>
      </c>
      <c r="Y1607" s="38">
        <v>10010</v>
      </c>
      <c r="Z1607" s="86">
        <f>+((DETALLE_GD_1[[#This Row],[VALOR X UN (GD)]]-DETALLE_GD_1[[#This Row],[VALOR PPTO]])/DETALLE_GD_1[[#This Row],[VALOR PPTO]])</f>
        <v>8.7085629232500571E-6</v>
      </c>
      <c r="AA1607" s="2">
        <f>+DETALLE_GD_1[[#This Row],[VALOR PPTO]]*DETALLE_GD_1[[#This Row],[CANTIDAD RECIBIDA]]</f>
        <v>47424.587</v>
      </c>
      <c r="AB1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7" s="3">
        <f>+DETALLE_GD_1[[#This Row],[CANTIDAD SOLICITADA]]-DETALLE_GD_1[[#This Row],[DEVOLUCIÓN]]</f>
        <v>10</v>
      </c>
      <c r="AD1607" s="38">
        <f>+_xlfn.XLOOKUP(DETALLE_GD_1[[#This Row],[CODIGO]],PRODUCTOS[CODIGO],PRODUCTOS[DESC CORTA],"",0)</f>
        <v>0</v>
      </c>
    </row>
    <row r="1608" spans="1:30" x14ac:dyDescent="0.25">
      <c r="A1608" s="1">
        <v>46160</v>
      </c>
      <c r="B1608" s="1">
        <v>46160</v>
      </c>
      <c r="C1608" s="81" t="s">
        <v>169</v>
      </c>
      <c r="D1608" s="38">
        <v>5</v>
      </c>
      <c r="E1608" s="81" t="s">
        <v>169</v>
      </c>
      <c r="F1608">
        <v>407427</v>
      </c>
      <c r="G1608" s="81" t="s">
        <v>172</v>
      </c>
      <c r="H1608" s="81" t="s">
        <v>36</v>
      </c>
      <c r="I1608" s="3">
        <v>2</v>
      </c>
      <c r="J1608" s="3"/>
      <c r="K1608" s="26">
        <v>2</v>
      </c>
      <c r="L1608" s="2">
        <v>22557.5</v>
      </c>
      <c r="M1608" s="2">
        <v>45115</v>
      </c>
      <c r="N1608" s="2">
        <v>45115</v>
      </c>
      <c r="O1608" s="2">
        <v>22557.5455</v>
      </c>
      <c r="P1608" s="2">
        <v>4.5499999999999999E-2</v>
      </c>
      <c r="Q1608" s="2">
        <v>9.0899999999999995E-2</v>
      </c>
      <c r="R1608" s="4">
        <v>2.0150685317323429E-6</v>
      </c>
      <c r="T1608">
        <v>315857</v>
      </c>
      <c r="U1608" s="2"/>
      <c r="V1608">
        <v>6188</v>
      </c>
      <c r="W1608" s="2">
        <v>6579000000</v>
      </c>
      <c r="X1608" s="6">
        <v>45115.090909999999</v>
      </c>
      <c r="Y1608" s="38">
        <v>10010</v>
      </c>
      <c r="Z1608" s="86">
        <f>+((DETALLE_GD_1[[#This Row],[VALOR X UN (GD)]]-DETALLE_GD_1[[#This Row],[VALOR PPTO]])/DETALLE_GD_1[[#This Row],[VALOR PPTO]])</f>
        <v>-2.0170634256362076E-6</v>
      </c>
      <c r="AA1608" s="2">
        <f>+DETALLE_GD_1[[#This Row],[VALOR PPTO]]*DETALLE_GD_1[[#This Row],[CANTIDAD RECIBIDA]]</f>
        <v>45115.091</v>
      </c>
      <c r="AB16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8" s="3">
        <f>+DETALLE_GD_1[[#This Row],[CANTIDAD SOLICITADA]]-DETALLE_GD_1[[#This Row],[DEVOLUCIÓN]]</f>
        <v>2</v>
      </c>
      <c r="AD1608" s="38">
        <f>+_xlfn.XLOOKUP(DETALLE_GD_1[[#This Row],[CODIGO]],PRODUCTOS[CODIGO],PRODUCTOS[DESC CORTA],"",0)</f>
        <v>0</v>
      </c>
    </row>
    <row r="1609" spans="1:30" x14ac:dyDescent="0.25">
      <c r="A1609" s="1">
        <v>46160</v>
      </c>
      <c r="B1609" s="1">
        <v>46160</v>
      </c>
      <c r="C1609" s="81" t="s">
        <v>169</v>
      </c>
      <c r="D1609" s="38">
        <v>5</v>
      </c>
      <c r="E1609" s="81" t="s">
        <v>169</v>
      </c>
      <c r="F1609">
        <v>707023</v>
      </c>
      <c r="G1609" s="81" t="s">
        <v>797</v>
      </c>
      <c r="H1609" s="81" t="s">
        <v>31</v>
      </c>
      <c r="I1609" s="3">
        <v>4</v>
      </c>
      <c r="J1609" s="3"/>
      <c r="K1609" s="26">
        <v>4</v>
      </c>
      <c r="L1609" s="2">
        <v>16734.5</v>
      </c>
      <c r="M1609" s="2">
        <v>66938</v>
      </c>
      <c r="N1609" s="2">
        <v>66938</v>
      </c>
      <c r="O1609" s="2"/>
      <c r="P1609" s="2"/>
      <c r="Q1609" s="2">
        <v>-66938</v>
      </c>
      <c r="R1609" s="4"/>
      <c r="T1609">
        <v>315857</v>
      </c>
      <c r="U1609" s="2"/>
      <c r="V1609">
        <v>6188</v>
      </c>
      <c r="W1609" s="2">
        <v>6579000000</v>
      </c>
      <c r="X1609" s="6" t="s">
        <v>355</v>
      </c>
      <c r="Y1609" s="38">
        <v>10010</v>
      </c>
      <c r="Z1609" s="86" t="e">
        <f>+((DETALLE_GD_1[[#This Row],[VALOR X UN (GD)]]-DETALLE_GD_1[[#This Row],[VALOR PPTO]])/DETALLE_GD_1[[#This Row],[VALOR PPTO]])</f>
        <v>#DIV/0!</v>
      </c>
      <c r="AA1609" s="2">
        <f>+DETALLE_GD_1[[#This Row],[VALOR PPTO]]*DETALLE_GD_1[[#This Row],[CANTIDAD RECIBIDA]]</f>
        <v>0</v>
      </c>
      <c r="AB16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9" s="3">
        <f>+DETALLE_GD_1[[#This Row],[CANTIDAD SOLICITADA]]-DETALLE_GD_1[[#This Row],[DEVOLUCIÓN]]</f>
        <v>4</v>
      </c>
      <c r="AD1609" s="38" t="str">
        <f>+_xlfn.XLOOKUP(DETALLE_GD_1[[#This Row],[CODIGO]],PRODUCTOS[CODIGO],PRODUCTOS[DESC CORTA],"",0)</f>
        <v/>
      </c>
    </row>
    <row r="1610" spans="1:30" x14ac:dyDescent="0.25">
      <c r="A1610" s="1">
        <v>46160</v>
      </c>
      <c r="B1610" s="1">
        <v>46160</v>
      </c>
      <c r="C1610" s="81" t="s">
        <v>169</v>
      </c>
      <c r="D1610" s="38">
        <v>5</v>
      </c>
      <c r="E1610" s="81" t="s">
        <v>169</v>
      </c>
      <c r="F1610">
        <v>410045</v>
      </c>
      <c r="G1610" s="81" t="s">
        <v>110</v>
      </c>
      <c r="H1610" s="81" t="s">
        <v>31</v>
      </c>
      <c r="I1610" s="3">
        <v>232</v>
      </c>
      <c r="J1610" s="3"/>
      <c r="K1610" s="26">
        <v>232</v>
      </c>
      <c r="L1610" s="2">
        <v>335.9828</v>
      </c>
      <c r="M1610" s="2">
        <v>77948</v>
      </c>
      <c r="N1610" s="2">
        <v>77948</v>
      </c>
      <c r="O1610" s="2">
        <v>368.00139999999999</v>
      </c>
      <c r="P1610" s="2">
        <v>32.018599999999999</v>
      </c>
      <c r="Q1610" s="2">
        <v>7428.3158000000003</v>
      </c>
      <c r="R1610" s="4">
        <v>8.7006749899792554E-2</v>
      </c>
      <c r="T1610">
        <v>315857</v>
      </c>
      <c r="U1610" s="2"/>
      <c r="V1610">
        <v>6188</v>
      </c>
      <c r="W1610" s="2">
        <v>6579000000</v>
      </c>
      <c r="X1610" s="6">
        <v>85376.31575199998</v>
      </c>
      <c r="Y1610" s="38">
        <v>10010</v>
      </c>
      <c r="Z1610" s="86">
        <f>+((DETALLE_GD_1[[#This Row],[VALOR X UN (GD)]]-DETALLE_GD_1[[#This Row],[VALOR PPTO]])/DETALLE_GD_1[[#This Row],[VALOR PPTO]])</f>
        <v>-8.7006734213511128E-2</v>
      </c>
      <c r="AA1610" s="2">
        <f>+DETALLE_GD_1[[#This Row],[VALOR PPTO]]*DETALLE_GD_1[[#This Row],[CANTIDAD RECIBIDA]]</f>
        <v>85376.324800000002</v>
      </c>
      <c r="AB16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0" s="3">
        <f>+DETALLE_GD_1[[#This Row],[CANTIDAD SOLICITADA]]-DETALLE_GD_1[[#This Row],[DEVOLUCIÓN]]</f>
        <v>232</v>
      </c>
      <c r="AD1610" s="38" t="str">
        <f>+_xlfn.XLOOKUP(DETALLE_GD_1[[#This Row],[CODIGO]],PRODUCTOS[CODIGO],PRODUCTOS[DESC CORTA],"",0)</f>
        <v>CONECTOR DENTADO</v>
      </c>
    </row>
    <row r="1611" spans="1:30" x14ac:dyDescent="0.25">
      <c r="A1611" s="1">
        <v>46160</v>
      </c>
      <c r="B1611" s="1">
        <v>46160</v>
      </c>
      <c r="C1611" s="81" t="s">
        <v>169</v>
      </c>
      <c r="D1611" s="38">
        <v>5</v>
      </c>
      <c r="E1611" s="81" t="s">
        <v>169</v>
      </c>
      <c r="F1611">
        <v>412260</v>
      </c>
      <c r="G1611" s="81" t="s">
        <v>41</v>
      </c>
      <c r="H1611" s="81" t="s">
        <v>31</v>
      </c>
      <c r="I1611" s="3">
        <v>128</v>
      </c>
      <c r="J1611" s="3"/>
      <c r="K1611" s="26">
        <v>128</v>
      </c>
      <c r="L1611" s="2">
        <v>86689.1875</v>
      </c>
      <c r="M1611" s="2">
        <v>11096216</v>
      </c>
      <c r="N1611" s="2">
        <v>11096216</v>
      </c>
      <c r="O1611" s="2">
        <v>87567.442500000005</v>
      </c>
      <c r="P1611" s="2">
        <v>878.255</v>
      </c>
      <c r="Q1611" s="2">
        <v>112416.6372</v>
      </c>
      <c r="R1611" s="4">
        <v>1.002946932269526E-2</v>
      </c>
      <c r="T1611">
        <v>315857</v>
      </c>
      <c r="U1611" s="2"/>
      <c r="V1611">
        <v>6188</v>
      </c>
      <c r="W1611" s="2">
        <v>6579000000</v>
      </c>
      <c r="X1611" s="6">
        <v>11208632.637183998</v>
      </c>
      <c r="Y1611" s="38">
        <v>10010</v>
      </c>
      <c r="Z1611" s="86">
        <f>+((DETALLE_GD_1[[#This Row],[VALOR X UN (GD)]]-DETALLE_GD_1[[#This Row],[VALOR PPTO]])/DETALLE_GD_1[[#This Row],[VALOR PPTO]])</f>
        <v>-1.0029469571410684E-2</v>
      </c>
      <c r="AA1611" s="2">
        <f>+DETALLE_GD_1[[#This Row],[VALOR PPTO]]*DETALLE_GD_1[[#This Row],[CANTIDAD RECIBIDA]]</f>
        <v>11208632.640000001</v>
      </c>
      <c r="AB1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11" s="3">
        <f>+DETALLE_GD_1[[#This Row],[CANTIDAD SOLICITADA]]-DETALLE_GD_1[[#This Row],[DEVOLUCIÓN]]</f>
        <v>128</v>
      </c>
      <c r="AD1611" s="38" t="str">
        <f>+_xlfn.XLOOKUP(DETALLE_GD_1[[#This Row],[CODIGO]],PRODUCTOS[CODIGO],PRODUCTOS[DESC CORTA],"",0)</f>
        <v>PB1</v>
      </c>
    </row>
    <row r="1612" spans="1:30" x14ac:dyDescent="0.25">
      <c r="A1612" s="1">
        <v>46160</v>
      </c>
      <c r="B1612" s="1">
        <v>46160</v>
      </c>
      <c r="C1612" s="81" t="s">
        <v>169</v>
      </c>
      <c r="D1612" s="38">
        <v>5</v>
      </c>
      <c r="E1612" s="81" t="s">
        <v>169</v>
      </c>
      <c r="F1612" t="s">
        <v>386</v>
      </c>
      <c r="G1612" s="81" t="s">
        <v>83</v>
      </c>
      <c r="H1612" s="81" t="s">
        <v>36</v>
      </c>
      <c r="I1612" s="3">
        <v>4</v>
      </c>
      <c r="J1612" s="3"/>
      <c r="K1612" s="26">
        <v>4</v>
      </c>
      <c r="L1612" s="2">
        <v>36939.75</v>
      </c>
      <c r="M1612" s="2">
        <v>147759</v>
      </c>
      <c r="N1612" s="2">
        <v>147759</v>
      </c>
      <c r="O1612" s="2">
        <v>36939.818200000002</v>
      </c>
      <c r="P1612" s="2">
        <v>6.8199999999999997E-2</v>
      </c>
      <c r="Q1612" s="2">
        <v>0.2727</v>
      </c>
      <c r="R1612" s="4">
        <v>1.8457589491162987E-6</v>
      </c>
      <c r="T1612">
        <v>315857</v>
      </c>
      <c r="U1612" s="2"/>
      <c r="V1612">
        <v>6188</v>
      </c>
      <c r="W1612" s="2">
        <v>6579000000</v>
      </c>
      <c r="X1612" s="6">
        <v>147759.27272799995</v>
      </c>
      <c r="Y1612" s="38">
        <v>10010</v>
      </c>
      <c r="Z1612" s="86">
        <f>+((DETALLE_GD_1[[#This Row],[VALOR X UN (GD)]]-DETALLE_GD_1[[#This Row],[VALOR PPTO]])/DETALLE_GD_1[[#This Row],[VALOR PPTO]])</f>
        <v>-1.8462462276418306E-6</v>
      </c>
      <c r="AA1612" s="2">
        <f>+DETALLE_GD_1[[#This Row],[VALOR PPTO]]*DETALLE_GD_1[[#This Row],[CANTIDAD RECIBIDA]]</f>
        <v>147759.27280000001</v>
      </c>
      <c r="AB16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12" s="3">
        <f>+DETALLE_GD_1[[#This Row],[CANTIDAD SOLICITADA]]-DETALLE_GD_1[[#This Row],[DEVOLUCIÓN]]</f>
        <v>4</v>
      </c>
      <c r="AD1612" s="38" t="str">
        <f>+_xlfn.XLOOKUP(DETALLE_GD_1[[#This Row],[CODIGO]],PRODUCTOS[CODIGO],PRODUCTOS[DESC CORTA],"",0)</f>
        <v>CLAVO R20</v>
      </c>
    </row>
    <row r="1613" spans="1:30" x14ac:dyDescent="0.25">
      <c r="A1613" s="1">
        <v>46160</v>
      </c>
      <c r="B1613" s="1">
        <v>46160</v>
      </c>
      <c r="C1613" s="81" t="s">
        <v>169</v>
      </c>
      <c r="D1613" s="38">
        <v>5</v>
      </c>
      <c r="E1613" s="81" t="s">
        <v>169</v>
      </c>
      <c r="F1613">
        <v>302054</v>
      </c>
      <c r="G1613" s="81" t="s">
        <v>356</v>
      </c>
      <c r="H1613" s="81" t="s">
        <v>20</v>
      </c>
      <c r="I1613" s="3">
        <v>1872</v>
      </c>
      <c r="J1613" s="3"/>
      <c r="K1613" s="26">
        <v>1872</v>
      </c>
      <c r="L1613" s="2">
        <v>4575.8221000000003</v>
      </c>
      <c r="M1613" s="2">
        <v>8565939</v>
      </c>
      <c r="N1613" s="2">
        <v>8565939</v>
      </c>
      <c r="O1613" s="2">
        <v>5713</v>
      </c>
      <c r="P1613" s="2">
        <v>1137.1778999999999</v>
      </c>
      <c r="Q1613" s="2">
        <v>2128797</v>
      </c>
      <c r="R1613" s="4">
        <v>0.19905091626385171</v>
      </c>
      <c r="T1613">
        <v>315857</v>
      </c>
      <c r="U1613" s="2"/>
      <c r="V1613">
        <v>6188</v>
      </c>
      <c r="W1613" s="2">
        <v>6579000000</v>
      </c>
      <c r="X1613" s="6">
        <v>10694736</v>
      </c>
      <c r="Y1613" s="38">
        <v>10010</v>
      </c>
      <c r="Z1613" s="86">
        <f>+((DETALLE_GD_1[[#This Row],[VALOR X UN (GD)]]-DETALLE_GD_1[[#This Row],[VALOR PPTO]])/DETALLE_GD_1[[#This Row],[VALOR PPTO]])</f>
        <v>-0.19905091895676522</v>
      </c>
      <c r="AA1613" s="2">
        <f>+DETALLE_GD_1[[#This Row],[VALOR PPTO]]*DETALLE_GD_1[[#This Row],[CANTIDAD RECIBIDA]]</f>
        <v>10694736</v>
      </c>
      <c r="AB16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13" s="3">
        <f>+DETALLE_GD_1[[#This Row],[CANTIDAD SOLICITADA]]-DETALLE_GD_1[[#This Row],[DEVOLUCIÓN]]</f>
        <v>1872</v>
      </c>
      <c r="AD1613" s="38">
        <f>+_xlfn.XLOOKUP(DETALLE_GD_1[[#This Row],[CODIGO]],PRODUCTOS[CODIGO],PRODUCTOS[DESC CORTA],"",0)</f>
        <v>0</v>
      </c>
    </row>
    <row r="1614" spans="1:30" x14ac:dyDescent="0.25">
      <c r="A1614" s="1">
        <v>46160</v>
      </c>
      <c r="B1614" s="1">
        <v>46160</v>
      </c>
      <c r="C1614" s="81" t="s">
        <v>169</v>
      </c>
      <c r="D1614" s="38">
        <v>5</v>
      </c>
      <c r="E1614" s="81" t="s">
        <v>169</v>
      </c>
      <c r="F1614">
        <v>408042</v>
      </c>
      <c r="G1614" s="81" t="s">
        <v>144</v>
      </c>
      <c r="H1614" s="81" t="s">
        <v>36</v>
      </c>
      <c r="I1614" s="3">
        <v>10</v>
      </c>
      <c r="J1614" s="3"/>
      <c r="K1614" s="26">
        <v>10</v>
      </c>
      <c r="L1614" s="2">
        <v>35000</v>
      </c>
      <c r="M1614" s="2">
        <v>350000</v>
      </c>
      <c r="N1614" s="2">
        <v>350000</v>
      </c>
      <c r="O1614" s="2">
        <v>35000</v>
      </c>
      <c r="P1614" s="2">
        <v>0</v>
      </c>
      <c r="Q1614" s="2">
        <v>0</v>
      </c>
      <c r="R1614" s="4">
        <v>8.3153801304950006E-16</v>
      </c>
      <c r="T1614">
        <v>315857</v>
      </c>
      <c r="U1614" s="2"/>
      <c r="V1614">
        <v>6188</v>
      </c>
      <c r="W1614" s="2">
        <v>6579000000</v>
      </c>
      <c r="X1614" s="6">
        <v>350000.00000000029</v>
      </c>
      <c r="Y1614" s="38">
        <v>10010</v>
      </c>
      <c r="Z1614" s="86">
        <f>+((DETALLE_GD_1[[#This Row],[VALOR X UN (GD)]]-DETALLE_GD_1[[#This Row],[VALOR PPTO]])/DETALLE_GD_1[[#This Row],[VALOR PPTO]])</f>
        <v>0</v>
      </c>
      <c r="AA1614" s="2">
        <f>+DETALLE_GD_1[[#This Row],[VALOR PPTO]]*DETALLE_GD_1[[#This Row],[CANTIDAD RECIBIDA]]</f>
        <v>350000</v>
      </c>
      <c r="AB1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4" s="3">
        <f>+DETALLE_GD_1[[#This Row],[CANTIDAD SOLICITADA]]-DETALLE_GD_1[[#This Row],[DEVOLUCIÓN]]</f>
        <v>10</v>
      </c>
      <c r="AD1614" s="38" t="str">
        <f>+_xlfn.XLOOKUP(DETALLE_GD_1[[#This Row],[CODIGO]],PRODUCTOS[CODIGO],PRODUCTOS[DESC CORTA],"",0)</f>
        <v>CLAVO HELICOIDAL PROFIX</v>
      </c>
    </row>
    <row r="1615" spans="1:30" x14ac:dyDescent="0.25">
      <c r="A1615" s="1">
        <v>46161</v>
      </c>
      <c r="B1615" s="1">
        <v>46161</v>
      </c>
      <c r="C1615" s="81" t="s">
        <v>169</v>
      </c>
      <c r="D1615" s="38">
        <v>5</v>
      </c>
      <c r="E1615" s="81" t="s">
        <v>169</v>
      </c>
      <c r="F1615">
        <v>907034</v>
      </c>
      <c r="G1615" s="81" t="s">
        <v>256</v>
      </c>
      <c r="H1615" s="81" t="s">
        <v>47</v>
      </c>
      <c r="I1615" s="3">
        <v>8</v>
      </c>
      <c r="J1615" s="3"/>
      <c r="K1615" s="26">
        <v>8</v>
      </c>
      <c r="L1615" s="2">
        <v>114865.25</v>
      </c>
      <c r="M1615" s="2">
        <v>918922</v>
      </c>
      <c r="N1615" s="2">
        <v>918922</v>
      </c>
      <c r="O1615" s="2">
        <v>156269.1667</v>
      </c>
      <c r="P1615" s="2">
        <v>41403.916700000002</v>
      </c>
      <c r="Q1615" s="2">
        <v>331231.3333</v>
      </c>
      <c r="R1615" s="4">
        <v>0.26495256582016091</v>
      </c>
      <c r="T1615">
        <v>316035</v>
      </c>
      <c r="U1615" s="2">
        <v>2579804</v>
      </c>
      <c r="V1615">
        <v>6188</v>
      </c>
      <c r="W1615" s="2">
        <v>6579000000</v>
      </c>
      <c r="X1615" s="6">
        <v>1250153.3333360001</v>
      </c>
      <c r="Y1615" s="38">
        <v>10010</v>
      </c>
      <c r="Z1615" s="86">
        <f>+((DETALLE_GD_1[[#This Row],[VALOR X UN (GD)]]-DETALLE_GD_1[[#This Row],[VALOR PPTO]])/DETALLE_GD_1[[#This Row],[VALOR PPTO]])</f>
        <v>-0.2649525659753838</v>
      </c>
      <c r="AA1615" s="2">
        <f>+DETALLE_GD_1[[#This Row],[VALOR PPTO]]*DETALLE_GD_1[[#This Row],[CANTIDAD RECIBIDA]]</f>
        <v>1250153.3336</v>
      </c>
      <c r="AB1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5" s="3">
        <f>+DETALLE_GD_1[[#This Row],[CANTIDAD SOLICITADA]]-DETALLE_GD_1[[#This Row],[DEVOLUCIÓN]]</f>
        <v>8</v>
      </c>
      <c r="AD1615" s="38" t="str">
        <f>+_xlfn.XLOOKUP(DETALLE_GD_1[[#This Row],[CODIGO]],PRODUCTOS[CODIGO],PRODUCTOS[DESC CORTA],"",0)</f>
        <v/>
      </c>
    </row>
    <row r="1616" spans="1:30" x14ac:dyDescent="0.25">
      <c r="A1616" s="1">
        <v>46161</v>
      </c>
      <c r="B1616" s="1">
        <v>46161</v>
      </c>
      <c r="C1616" s="81" t="s">
        <v>169</v>
      </c>
      <c r="D1616" s="38">
        <v>5</v>
      </c>
      <c r="E1616" s="81" t="s">
        <v>169</v>
      </c>
      <c r="F1616">
        <v>2505058</v>
      </c>
      <c r="G1616" s="81" t="s">
        <v>142</v>
      </c>
      <c r="H1616" s="81" t="s">
        <v>31</v>
      </c>
      <c r="I1616" s="3">
        <v>12</v>
      </c>
      <c r="J1616" s="3"/>
      <c r="K1616" s="26">
        <v>12</v>
      </c>
      <c r="L1616" s="2">
        <v>16539.75</v>
      </c>
      <c r="M1616" s="2">
        <v>198477</v>
      </c>
      <c r="N1616" s="2">
        <v>198477</v>
      </c>
      <c r="O1616" s="2">
        <v>17870.144100000001</v>
      </c>
      <c r="P1616" s="2">
        <v>1330.3941</v>
      </c>
      <c r="Q1616" s="2">
        <v>15964.728800000001</v>
      </c>
      <c r="R1616" s="4">
        <v>7.4447864714327239E-2</v>
      </c>
      <c r="T1616">
        <v>316035</v>
      </c>
      <c r="U1616" s="2"/>
      <c r="V1616">
        <v>6188</v>
      </c>
      <c r="W1616" s="2">
        <v>6579000000</v>
      </c>
      <c r="X1616" s="6">
        <v>214441.72881599999</v>
      </c>
      <c r="Y1616" s="38">
        <v>10010</v>
      </c>
      <c r="Z1616" s="86">
        <f>+((DETALLE_GD_1[[#This Row],[VALOR X UN (GD)]]-DETALLE_GD_1[[#This Row],[VALOR PPTO]])/DETALLE_GD_1[[#This Row],[VALOR PPTO]])</f>
        <v>-7.444786637170997E-2</v>
      </c>
      <c r="AA1616" s="2">
        <f>+DETALLE_GD_1[[#This Row],[VALOR PPTO]]*DETALLE_GD_1[[#This Row],[CANTIDAD RECIBIDA]]</f>
        <v>214441.7292</v>
      </c>
      <c r="AB1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6" s="3">
        <f>+DETALLE_GD_1[[#This Row],[CANTIDAD SOLICITADA]]-DETALLE_GD_1[[#This Row],[DEVOLUCIÓN]]</f>
        <v>12</v>
      </c>
      <c r="AD1616" s="38" t="str">
        <f>+_xlfn.XLOOKUP(DETALLE_GD_1[[#This Row],[CODIGO]],PRODUCTOS[CODIGO],PRODUCTOS[DESC CORTA],"",0)</f>
        <v>VENTILACIÓN PASIVA</v>
      </c>
    </row>
    <row r="1617" spans="1:30" x14ac:dyDescent="0.25">
      <c r="A1617" s="1">
        <v>46161</v>
      </c>
      <c r="B1617" s="1">
        <v>46161</v>
      </c>
      <c r="C1617" s="81" t="s">
        <v>169</v>
      </c>
      <c r="D1617" s="38">
        <v>5</v>
      </c>
      <c r="E1617" s="81" t="s">
        <v>169</v>
      </c>
      <c r="F1617">
        <v>2304008</v>
      </c>
      <c r="G1617" s="81" t="s">
        <v>707</v>
      </c>
      <c r="H1617" s="81" t="s">
        <v>31</v>
      </c>
      <c r="I1617" s="3">
        <v>24</v>
      </c>
      <c r="J1617" s="3"/>
      <c r="K1617" s="26">
        <v>24</v>
      </c>
      <c r="L1617" s="2">
        <v>2550</v>
      </c>
      <c r="M1617" s="2">
        <v>61200</v>
      </c>
      <c r="N1617" s="2">
        <v>61200</v>
      </c>
      <c r="O1617" s="2"/>
      <c r="P1617" s="2"/>
      <c r="Q1617" s="2">
        <v>-61200</v>
      </c>
      <c r="R1617" s="4"/>
      <c r="T1617">
        <v>316035</v>
      </c>
      <c r="U1617" s="2"/>
      <c r="V1617">
        <v>6188</v>
      </c>
      <c r="W1617" s="2">
        <v>6579000000</v>
      </c>
      <c r="X1617" s="6" t="s">
        <v>355</v>
      </c>
      <c r="Y1617" s="38">
        <v>10010</v>
      </c>
      <c r="Z1617" s="86" t="e">
        <f>+((DETALLE_GD_1[[#This Row],[VALOR X UN (GD)]]-DETALLE_GD_1[[#This Row],[VALOR PPTO]])/DETALLE_GD_1[[#This Row],[VALOR PPTO]])</f>
        <v>#DIV/0!</v>
      </c>
      <c r="AA1617" s="2">
        <f>+DETALLE_GD_1[[#This Row],[VALOR PPTO]]*DETALLE_GD_1[[#This Row],[CANTIDAD RECIBIDA]]</f>
        <v>0</v>
      </c>
      <c r="AB1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7" s="3">
        <f>+DETALLE_GD_1[[#This Row],[CANTIDAD SOLICITADA]]-DETALLE_GD_1[[#This Row],[DEVOLUCIÓN]]</f>
        <v>24</v>
      </c>
      <c r="AD1617" s="38" t="str">
        <f>+_xlfn.XLOOKUP(DETALLE_GD_1[[#This Row],[CODIGO]],PRODUCTOS[CODIGO],PRODUCTOS[DESC CORTA],"",0)</f>
        <v/>
      </c>
    </row>
    <row r="1618" spans="1:30" x14ac:dyDescent="0.25">
      <c r="A1618" s="1">
        <v>46161</v>
      </c>
      <c r="B1618" s="1">
        <v>46161</v>
      </c>
      <c r="C1618" s="81" t="s">
        <v>169</v>
      </c>
      <c r="D1618" s="38">
        <v>5</v>
      </c>
      <c r="E1618" s="81" t="s">
        <v>169</v>
      </c>
      <c r="F1618">
        <v>1901008</v>
      </c>
      <c r="G1618" s="81" t="s">
        <v>278</v>
      </c>
      <c r="H1618" s="81" t="s">
        <v>26</v>
      </c>
      <c r="I1618" s="3">
        <v>270</v>
      </c>
      <c r="J1618" s="3"/>
      <c r="K1618" s="26">
        <v>270</v>
      </c>
      <c r="L1618" s="2">
        <v>2055.0295999999998</v>
      </c>
      <c r="M1618" s="2">
        <v>554858</v>
      </c>
      <c r="N1618" s="2">
        <v>554858</v>
      </c>
      <c r="O1618" s="2">
        <v>2112.7957999999999</v>
      </c>
      <c r="P1618" s="2">
        <v>57.766100000000002</v>
      </c>
      <c r="Q1618" s="2">
        <v>15596.8603</v>
      </c>
      <c r="R1618" s="4">
        <v>2.7341094650289145E-2</v>
      </c>
      <c r="T1618">
        <v>316035</v>
      </c>
      <c r="U1618" s="2"/>
      <c r="V1618">
        <v>6188</v>
      </c>
      <c r="W1618" s="2">
        <v>6579000000</v>
      </c>
      <c r="X1618" s="6">
        <v>570454.86033000005</v>
      </c>
      <c r="Y1618" s="38">
        <v>10010</v>
      </c>
      <c r="Z1618" s="86">
        <f>+((DETALLE_GD_1[[#This Row],[VALOR X UN (GD)]]-DETALLE_GD_1[[#This Row],[VALOR PPTO]])/DETALLE_GD_1[[#This Row],[VALOR PPTO]])</f>
        <v>-2.7341118341867223E-2</v>
      </c>
      <c r="AA1618" s="2">
        <f>+DETALLE_GD_1[[#This Row],[VALOR PPTO]]*DETALLE_GD_1[[#This Row],[CANTIDAD RECIBIDA]]</f>
        <v>570454.86599999992</v>
      </c>
      <c r="AB16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18" s="3">
        <f>+DETALLE_GD_1[[#This Row],[CANTIDAD SOLICITADA]]-DETALLE_GD_1[[#This Row],[DEVOLUCIÓN]]</f>
        <v>270</v>
      </c>
      <c r="AD1618" s="38" t="str">
        <f>+_xlfn.XLOOKUP(DETALLE_GD_1[[#This Row],[CODIGO]],PRODUCTOS[CODIGO],PRODUCTOS[DESC CORTA],"",0)</f>
        <v>AISLAN GLASS 90MM</v>
      </c>
    </row>
    <row r="1619" spans="1:30" x14ac:dyDescent="0.25">
      <c r="A1619" s="1">
        <v>46161</v>
      </c>
      <c r="B1619" s="1">
        <v>46161</v>
      </c>
      <c r="C1619" s="81" t="s">
        <v>169</v>
      </c>
      <c r="D1619" s="38">
        <v>5</v>
      </c>
      <c r="E1619" s="81" t="s">
        <v>169</v>
      </c>
      <c r="F1619">
        <v>307033</v>
      </c>
      <c r="G1619" s="81" t="s">
        <v>248</v>
      </c>
      <c r="H1619" s="81" t="s">
        <v>31</v>
      </c>
      <c r="I1619" s="3">
        <v>50</v>
      </c>
      <c r="J1619" s="3"/>
      <c r="K1619" s="26">
        <v>50</v>
      </c>
      <c r="L1619" s="2">
        <v>1889.62</v>
      </c>
      <c r="M1619" s="2">
        <v>94481</v>
      </c>
      <c r="N1619" s="2">
        <v>94481</v>
      </c>
      <c r="O1619" s="2">
        <v>1889.0535</v>
      </c>
      <c r="P1619" s="2">
        <v>-0.5665</v>
      </c>
      <c r="Q1619" s="2">
        <v>-28.322800000000001</v>
      </c>
      <c r="R1619" s="4">
        <v>-2.9986233148297494E-4</v>
      </c>
      <c r="T1619">
        <v>316035</v>
      </c>
      <c r="U1619" s="2"/>
      <c r="V1619">
        <v>6188</v>
      </c>
      <c r="W1619" s="2">
        <v>6579000000</v>
      </c>
      <c r="X1619" s="6">
        <v>94452.677199999991</v>
      </c>
      <c r="Y1619" s="38">
        <v>10010</v>
      </c>
      <c r="Z1619" s="86">
        <f>+((DETALLE_GD_1[[#This Row],[VALOR X UN (GD)]]-DETALLE_GD_1[[#This Row],[VALOR PPTO]])/DETALLE_GD_1[[#This Row],[VALOR PPTO]])</f>
        <v>2.9988563055514597E-4</v>
      </c>
      <c r="AA1619" s="2">
        <f>+DETALLE_GD_1[[#This Row],[VALOR PPTO]]*DETALLE_GD_1[[#This Row],[CANTIDAD RECIBIDA]]</f>
        <v>94452.675000000003</v>
      </c>
      <c r="AB16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9" s="3">
        <f>+DETALLE_GD_1[[#This Row],[CANTIDAD SOLICITADA]]-DETALLE_GD_1[[#This Row],[DEVOLUCIÓN]]</f>
        <v>50</v>
      </c>
      <c r="AD1619" s="38">
        <f>+_xlfn.XLOOKUP(DETALLE_GD_1[[#This Row],[CODIGO]],PRODUCTOS[CODIGO],PRODUCTOS[DESC CORTA],"",0)</f>
        <v>0</v>
      </c>
    </row>
    <row r="1620" spans="1:30" x14ac:dyDescent="0.25">
      <c r="A1620" s="1">
        <v>46161</v>
      </c>
      <c r="B1620" s="1">
        <v>46161</v>
      </c>
      <c r="C1620" s="81" t="s">
        <v>169</v>
      </c>
      <c r="D1620" s="38">
        <v>5</v>
      </c>
      <c r="E1620" s="81" t="s">
        <v>169</v>
      </c>
      <c r="F1620">
        <v>307030</v>
      </c>
      <c r="G1620" s="81" t="s">
        <v>64</v>
      </c>
      <c r="H1620" s="81" t="s">
        <v>31</v>
      </c>
      <c r="I1620" s="3">
        <v>50</v>
      </c>
      <c r="J1620" s="3"/>
      <c r="K1620" s="26">
        <v>50</v>
      </c>
      <c r="L1620" s="2">
        <v>2730</v>
      </c>
      <c r="M1620" s="2">
        <v>136500</v>
      </c>
      <c r="N1620" s="2">
        <v>136500</v>
      </c>
      <c r="O1620" s="2">
        <v>2729.9989</v>
      </c>
      <c r="P1620" s="2">
        <v>-1.1000000000000001E-3</v>
      </c>
      <c r="Q1620" s="2">
        <v>-5.7200000000000001E-2</v>
      </c>
      <c r="R1620" s="4">
        <v>-4.190477945900508E-7</v>
      </c>
      <c r="T1620">
        <v>316035</v>
      </c>
      <c r="U1620" s="2"/>
      <c r="V1620">
        <v>6188</v>
      </c>
      <c r="W1620" s="2">
        <v>6579000000</v>
      </c>
      <c r="X1620" s="6">
        <v>136499.94280000002</v>
      </c>
      <c r="Y1620" s="38">
        <v>10010</v>
      </c>
      <c r="Z1620" s="86">
        <f>+((DETALLE_GD_1[[#This Row],[VALOR X UN (GD)]]-DETALLE_GD_1[[#This Row],[VALOR PPTO]])/DETALLE_GD_1[[#This Row],[VALOR PPTO]])</f>
        <v>4.0293056526552117E-7</v>
      </c>
      <c r="AA1620" s="2">
        <f>+DETALLE_GD_1[[#This Row],[VALOR PPTO]]*DETALLE_GD_1[[#This Row],[CANTIDAD RECIBIDA]]</f>
        <v>136499.94500000001</v>
      </c>
      <c r="AB16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0" s="3">
        <f>+DETALLE_GD_1[[#This Row],[CANTIDAD SOLICITADA]]-DETALLE_GD_1[[#This Row],[DEVOLUCIÓN]]</f>
        <v>50</v>
      </c>
      <c r="AD1620" s="38" t="str">
        <f>+_xlfn.XLOOKUP(DETALLE_GD_1[[#This Row],[CODIGO]],PRODUCTOS[CODIGO],PRODUCTOS[DESC CORTA],"",0)</f>
        <v>GUARDAPOLVO BLANCO</v>
      </c>
    </row>
    <row r="1621" spans="1:30" x14ac:dyDescent="0.25">
      <c r="A1621" s="1">
        <v>46161</v>
      </c>
      <c r="B1621" s="1">
        <v>46161</v>
      </c>
      <c r="C1621" s="81" t="s">
        <v>169</v>
      </c>
      <c r="D1621" s="38">
        <v>5</v>
      </c>
      <c r="E1621" s="81" t="s">
        <v>169</v>
      </c>
      <c r="F1621">
        <v>307031</v>
      </c>
      <c r="G1621" s="81" t="s">
        <v>65</v>
      </c>
      <c r="H1621" s="81" t="s">
        <v>31</v>
      </c>
      <c r="I1621" s="3">
        <v>80</v>
      </c>
      <c r="J1621" s="3"/>
      <c r="K1621" s="26">
        <v>80</v>
      </c>
      <c r="L1621" s="2">
        <v>2700</v>
      </c>
      <c r="M1621" s="2">
        <v>216000</v>
      </c>
      <c r="N1621" s="2">
        <v>216000</v>
      </c>
      <c r="O1621" s="2">
        <v>2699.9985999999999</v>
      </c>
      <c r="P1621" s="2">
        <v>-1.4E-3</v>
      </c>
      <c r="Q1621" s="2">
        <v>-0.1116</v>
      </c>
      <c r="R1621" s="4">
        <v>-5.1666693335944687E-7</v>
      </c>
      <c r="T1621">
        <v>316035</v>
      </c>
      <c r="U1621" s="2"/>
      <c r="V1621">
        <v>6188</v>
      </c>
      <c r="W1621" s="2">
        <v>6579000000</v>
      </c>
      <c r="X1621" s="6">
        <v>215999.88840000005</v>
      </c>
      <c r="Y1621" s="38">
        <v>10010</v>
      </c>
      <c r="Z1621" s="86">
        <f>+((DETALLE_GD_1[[#This Row],[VALOR X UN (GD)]]-DETALLE_GD_1[[#This Row],[VALOR PPTO]])/DETALLE_GD_1[[#This Row],[VALOR PPTO]])</f>
        <v>5.1851878741837811E-7</v>
      </c>
      <c r="AA1621" s="2">
        <f>+DETALLE_GD_1[[#This Row],[VALOR PPTO]]*DETALLE_GD_1[[#This Row],[CANTIDAD RECIBIDA]]</f>
        <v>215999.88799999998</v>
      </c>
      <c r="AB1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1" s="3">
        <f>+DETALLE_GD_1[[#This Row],[CANTIDAD SOLICITADA]]-DETALLE_GD_1[[#This Row],[DEVOLUCIÓN]]</f>
        <v>80</v>
      </c>
      <c r="AD1621" s="38" t="str">
        <f>+_xlfn.XLOOKUP(DETALLE_GD_1[[#This Row],[CODIGO]],PRODUCTOS[CODIGO],PRODUCTOS[DESC CORTA],"",0)</f>
        <v>CORNIZA BLANCA</v>
      </c>
    </row>
    <row r="1622" spans="1:30" x14ac:dyDescent="0.25">
      <c r="A1622" s="1">
        <v>46161</v>
      </c>
      <c r="B1622" s="1">
        <v>46161</v>
      </c>
      <c r="C1622" s="81" t="s">
        <v>169</v>
      </c>
      <c r="D1622" s="38">
        <v>5</v>
      </c>
      <c r="E1622" s="81" t="s">
        <v>169</v>
      </c>
      <c r="F1622">
        <v>307096</v>
      </c>
      <c r="G1622" s="81" t="s">
        <v>249</v>
      </c>
      <c r="H1622" s="81" t="s">
        <v>137</v>
      </c>
      <c r="I1622" s="3">
        <v>100</v>
      </c>
      <c r="J1622" s="3"/>
      <c r="K1622" s="26">
        <v>100</v>
      </c>
      <c r="L1622" s="2">
        <v>1398.52</v>
      </c>
      <c r="M1622" s="2">
        <v>139852</v>
      </c>
      <c r="N1622" s="2">
        <v>139852</v>
      </c>
      <c r="O1622" s="2">
        <v>2095.3501000000001</v>
      </c>
      <c r="P1622" s="2">
        <v>696.83010000000002</v>
      </c>
      <c r="Q1622" s="2">
        <v>69683.012900000002</v>
      </c>
      <c r="R1622" s="4">
        <v>0.3325602338987419</v>
      </c>
      <c r="T1622">
        <v>316035</v>
      </c>
      <c r="U1622" s="2"/>
      <c r="V1622">
        <v>6188</v>
      </c>
      <c r="W1622" s="2">
        <v>6579000000</v>
      </c>
      <c r="X1622" s="6">
        <v>209535.01289999983</v>
      </c>
      <c r="Y1622" s="38">
        <v>10010</v>
      </c>
      <c r="Z1622" s="86">
        <f>+((DETALLE_GD_1[[#This Row],[VALOR X UN (GD)]]-DETALLE_GD_1[[#This Row],[VALOR PPTO]])/DETALLE_GD_1[[#This Row],[VALOR PPTO]])</f>
        <v>-0.33256022466126312</v>
      </c>
      <c r="AA1622" s="2">
        <f>+DETALLE_GD_1[[#This Row],[VALOR PPTO]]*DETALLE_GD_1[[#This Row],[CANTIDAD RECIBIDA]]</f>
        <v>209535.01</v>
      </c>
      <c r="AB16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22" s="3">
        <f>+DETALLE_GD_1[[#This Row],[CANTIDAD SOLICITADA]]-DETALLE_GD_1[[#This Row],[DEVOLUCIÓN]]</f>
        <v>100</v>
      </c>
      <c r="AD1622" s="38" t="str">
        <f>+_xlfn.XLOOKUP(DETALLE_GD_1[[#This Row],[CODIGO]],PRODUCTOS[CODIGO],PRODUCTOS[DESC CORTA],"",0)</f>
        <v>CUBREJUNTA</v>
      </c>
    </row>
    <row r="1623" spans="1:30" x14ac:dyDescent="0.25">
      <c r="A1623" s="1">
        <v>46161</v>
      </c>
      <c r="B1623" s="1">
        <v>46161</v>
      </c>
      <c r="C1623" s="81" t="s">
        <v>169</v>
      </c>
      <c r="D1623" s="38">
        <v>5</v>
      </c>
      <c r="E1623" s="81" t="s">
        <v>169</v>
      </c>
      <c r="F1623">
        <v>2304053</v>
      </c>
      <c r="G1623" s="81" t="s">
        <v>213</v>
      </c>
      <c r="H1623" s="81" t="s">
        <v>31</v>
      </c>
      <c r="I1623" s="3">
        <v>48</v>
      </c>
      <c r="J1623" s="3"/>
      <c r="K1623" s="26">
        <v>48</v>
      </c>
      <c r="L1623" s="2">
        <v>1021.9167</v>
      </c>
      <c r="M1623" s="2">
        <v>49052</v>
      </c>
      <c r="N1623" s="2">
        <v>49052</v>
      </c>
      <c r="O1623" s="2">
        <v>862</v>
      </c>
      <c r="P1623" s="2">
        <v>-159.91669999999999</v>
      </c>
      <c r="Q1623" s="2">
        <v>-7676</v>
      </c>
      <c r="R1623" s="4">
        <v>-0.18551817478731611</v>
      </c>
      <c r="T1623">
        <v>316035</v>
      </c>
      <c r="U1623" s="2"/>
      <c r="V1623">
        <v>6188</v>
      </c>
      <c r="W1623" s="2">
        <v>6579000000</v>
      </c>
      <c r="X1623" s="6">
        <v>41376.000000000007</v>
      </c>
      <c r="Y1623" s="38">
        <v>10010</v>
      </c>
      <c r="Z1623" s="86">
        <f>+((DETALLE_GD_1[[#This Row],[VALOR X UN (GD)]]-DETALLE_GD_1[[#This Row],[VALOR PPTO]])/DETALLE_GD_1[[#This Row],[VALOR PPTO]])</f>
        <v>0.18551821345707656</v>
      </c>
      <c r="AA1623" s="2">
        <f>+DETALLE_GD_1[[#This Row],[VALOR PPTO]]*DETALLE_GD_1[[#This Row],[CANTIDAD RECIBIDA]]</f>
        <v>41376</v>
      </c>
      <c r="AB16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3" s="3">
        <f>+DETALLE_GD_1[[#This Row],[CANTIDAD SOLICITADA]]-DETALLE_GD_1[[#This Row],[DEVOLUCIÓN]]</f>
        <v>48</v>
      </c>
      <c r="AD1623" s="38">
        <f>+_xlfn.XLOOKUP(DETALLE_GD_1[[#This Row],[CODIGO]],PRODUCTOS[CODIGO],PRODUCTOS[DESC CORTA],"",0)</f>
        <v>0</v>
      </c>
    </row>
    <row r="1624" spans="1:30" x14ac:dyDescent="0.25">
      <c r="A1624" s="1">
        <v>46161</v>
      </c>
      <c r="B1624" s="1">
        <v>46161</v>
      </c>
      <c r="C1624" s="81" t="s">
        <v>169</v>
      </c>
      <c r="D1624" s="38">
        <v>5</v>
      </c>
      <c r="E1624" s="81" t="s">
        <v>169</v>
      </c>
      <c r="F1624">
        <v>2304002</v>
      </c>
      <c r="G1624" s="81" t="s">
        <v>212</v>
      </c>
      <c r="H1624" s="81" t="s">
        <v>31</v>
      </c>
      <c r="I1624" s="3">
        <v>24</v>
      </c>
      <c r="J1624" s="3"/>
      <c r="K1624" s="26">
        <v>24</v>
      </c>
      <c r="L1624" s="2">
        <v>1409.5</v>
      </c>
      <c r="M1624" s="2">
        <v>33828</v>
      </c>
      <c r="N1624" s="2">
        <v>33828</v>
      </c>
      <c r="O1624" s="2">
        <v>1376.4717000000001</v>
      </c>
      <c r="P1624" s="2">
        <v>-33.028300000000002</v>
      </c>
      <c r="Q1624" s="2">
        <v>-792.67859999999996</v>
      </c>
      <c r="R1624" s="4">
        <v>-2.399488156866781E-2</v>
      </c>
      <c r="T1624">
        <v>316035</v>
      </c>
      <c r="U1624" s="2"/>
      <c r="V1624">
        <v>6188</v>
      </c>
      <c r="W1624" s="2">
        <v>6579000000</v>
      </c>
      <c r="X1624" s="6">
        <v>33035.321376</v>
      </c>
      <c r="Y1624" s="38">
        <v>10010</v>
      </c>
      <c r="Z1624" s="86">
        <f>+((DETALLE_GD_1[[#This Row],[VALOR X UN (GD)]]-DETALLE_GD_1[[#This Row],[VALOR PPTO]])/DETALLE_GD_1[[#This Row],[VALOR PPTO]])</f>
        <v>2.3994899422923075E-2</v>
      </c>
      <c r="AA1624" s="2">
        <f>+DETALLE_GD_1[[#This Row],[VALOR PPTO]]*DETALLE_GD_1[[#This Row],[CANTIDAD RECIBIDA]]</f>
        <v>33035.320800000001</v>
      </c>
      <c r="AB16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4" s="3">
        <f>+DETALLE_GD_1[[#This Row],[CANTIDAD SOLICITADA]]-DETALLE_GD_1[[#This Row],[DEVOLUCIÓN]]</f>
        <v>24</v>
      </c>
      <c r="AD1624" s="38">
        <f>+_xlfn.XLOOKUP(DETALLE_GD_1[[#This Row],[CODIGO]],PRODUCTOS[CODIGO],PRODUCTOS[DESC CORTA],"",0)</f>
        <v>0</v>
      </c>
    </row>
    <row r="1625" spans="1:30" x14ac:dyDescent="0.25">
      <c r="A1625" s="1">
        <v>46161</v>
      </c>
      <c r="B1625" s="1">
        <v>46161</v>
      </c>
      <c r="C1625" s="81" t="s">
        <v>169</v>
      </c>
      <c r="D1625" s="38">
        <v>5</v>
      </c>
      <c r="E1625" s="81" t="s">
        <v>169</v>
      </c>
      <c r="F1625">
        <v>2302119</v>
      </c>
      <c r="G1625" s="81" t="s">
        <v>74</v>
      </c>
      <c r="H1625" s="81" t="s">
        <v>31</v>
      </c>
      <c r="I1625" s="3">
        <v>48</v>
      </c>
      <c r="J1625" s="3"/>
      <c r="K1625" s="26">
        <v>48</v>
      </c>
      <c r="L1625" s="2">
        <v>3679.875</v>
      </c>
      <c r="M1625" s="2">
        <v>176634</v>
      </c>
      <c r="N1625" s="2">
        <v>176634</v>
      </c>
      <c r="O1625" s="2">
        <v>3671</v>
      </c>
      <c r="P1625" s="2">
        <v>-8.875</v>
      </c>
      <c r="Q1625" s="2">
        <v>-426</v>
      </c>
      <c r="R1625" s="4">
        <v>-2.4175973849087443E-3</v>
      </c>
      <c r="T1625">
        <v>316035</v>
      </c>
      <c r="U1625" s="2"/>
      <c r="V1625">
        <v>6188</v>
      </c>
      <c r="W1625" s="2">
        <v>6579000000</v>
      </c>
      <c r="X1625" s="6">
        <v>176208</v>
      </c>
      <c r="Y1625" s="38">
        <v>10010</v>
      </c>
      <c r="Z1625" s="86">
        <f>+((DETALLE_GD_1[[#This Row],[VALOR X UN (GD)]]-DETALLE_GD_1[[#This Row],[VALOR PPTO]])/DETALLE_GD_1[[#This Row],[VALOR PPTO]])</f>
        <v>2.4175973849087443E-3</v>
      </c>
      <c r="AA1625" s="2">
        <f>+DETALLE_GD_1[[#This Row],[VALOR PPTO]]*DETALLE_GD_1[[#This Row],[CANTIDAD RECIBIDA]]</f>
        <v>176208</v>
      </c>
      <c r="AB1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5" s="3">
        <f>+DETALLE_GD_1[[#This Row],[CANTIDAD SOLICITADA]]-DETALLE_GD_1[[#This Row],[DEVOLUCIÓN]]</f>
        <v>48</v>
      </c>
      <c r="AD1625" s="38" t="str">
        <f>+_xlfn.XLOOKUP(DETALLE_GD_1[[#This Row],[CODIGO]],PRODUCTOS[CODIGO],PRODUCTOS[DESC CORTA],"",0)</f>
        <v>SELLO</v>
      </c>
    </row>
    <row r="1626" spans="1:30" x14ac:dyDescent="0.25">
      <c r="A1626" s="1">
        <v>46161</v>
      </c>
      <c r="B1626" s="1">
        <v>46161</v>
      </c>
      <c r="C1626" s="81" t="s">
        <v>169</v>
      </c>
      <c r="D1626" s="38">
        <v>5</v>
      </c>
      <c r="E1626" s="81" t="s">
        <v>169</v>
      </c>
      <c r="F1626">
        <v>408042</v>
      </c>
      <c r="G1626" s="81" t="s">
        <v>144</v>
      </c>
      <c r="H1626" s="81" t="s">
        <v>36</v>
      </c>
      <c r="I1626" s="3">
        <v>10</v>
      </c>
      <c r="J1626" s="3"/>
      <c r="K1626" s="26">
        <v>10</v>
      </c>
      <c r="L1626" s="2">
        <v>35000</v>
      </c>
      <c r="M1626" s="2">
        <v>350000</v>
      </c>
      <c r="N1626" s="2">
        <v>350000</v>
      </c>
      <c r="O1626" s="2">
        <v>35000</v>
      </c>
      <c r="P1626" s="2">
        <v>0</v>
      </c>
      <c r="Q1626" s="2">
        <v>0</v>
      </c>
      <c r="R1626" s="4">
        <v>8.3153801304950006E-16</v>
      </c>
      <c r="T1626">
        <v>316057</v>
      </c>
      <c r="U1626" s="2">
        <v>6313198</v>
      </c>
      <c r="V1626">
        <v>6188</v>
      </c>
      <c r="W1626" s="2">
        <v>6579000000</v>
      </c>
      <c r="X1626" s="6">
        <v>350000.00000000029</v>
      </c>
      <c r="Y1626" s="38">
        <v>10010</v>
      </c>
      <c r="Z1626" s="86">
        <f>+((DETALLE_GD_1[[#This Row],[VALOR X UN (GD)]]-DETALLE_GD_1[[#This Row],[VALOR PPTO]])/DETALLE_GD_1[[#This Row],[VALOR PPTO]])</f>
        <v>0</v>
      </c>
      <c r="AA1626" s="2">
        <f>+DETALLE_GD_1[[#This Row],[VALOR PPTO]]*DETALLE_GD_1[[#This Row],[CANTIDAD RECIBIDA]]</f>
        <v>350000</v>
      </c>
      <c r="AB1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6" s="3">
        <f>+DETALLE_GD_1[[#This Row],[CANTIDAD SOLICITADA]]-DETALLE_GD_1[[#This Row],[DEVOLUCIÓN]]</f>
        <v>10</v>
      </c>
      <c r="AD1626" s="38" t="str">
        <f>+_xlfn.XLOOKUP(DETALLE_GD_1[[#This Row],[CODIGO]],PRODUCTOS[CODIGO],PRODUCTOS[DESC CORTA],"",0)</f>
        <v>CLAVO HELICOIDAL PROFIX</v>
      </c>
    </row>
    <row r="1627" spans="1:30" x14ac:dyDescent="0.25">
      <c r="A1627" s="1">
        <v>46161</v>
      </c>
      <c r="B1627" s="1">
        <v>46161</v>
      </c>
      <c r="C1627" s="81" t="s">
        <v>169</v>
      </c>
      <c r="D1627" s="38">
        <v>5</v>
      </c>
      <c r="E1627" s="81" t="s">
        <v>169</v>
      </c>
      <c r="F1627">
        <v>1901008</v>
      </c>
      <c r="G1627" s="81" t="s">
        <v>278</v>
      </c>
      <c r="H1627" s="81" t="s">
        <v>26</v>
      </c>
      <c r="I1627" s="3">
        <v>270</v>
      </c>
      <c r="J1627" s="3"/>
      <c r="K1627" s="26">
        <v>270</v>
      </c>
      <c r="L1627" s="2">
        <v>2055.0295999999998</v>
      </c>
      <c r="M1627" s="2">
        <v>554858</v>
      </c>
      <c r="N1627" s="2">
        <v>554858</v>
      </c>
      <c r="O1627" s="2">
        <v>2112.7957999999999</v>
      </c>
      <c r="P1627" s="2">
        <v>57.766100000000002</v>
      </c>
      <c r="Q1627" s="2">
        <v>15596.8603</v>
      </c>
      <c r="R1627" s="4">
        <v>2.7341094650289145E-2</v>
      </c>
      <c r="T1627">
        <v>316057</v>
      </c>
      <c r="U1627" s="2"/>
      <c r="V1627">
        <v>6188</v>
      </c>
      <c r="W1627" s="2">
        <v>6579000000</v>
      </c>
      <c r="X1627" s="6">
        <v>570454.86033000005</v>
      </c>
      <c r="Y1627" s="38">
        <v>10010</v>
      </c>
      <c r="Z1627" s="86">
        <f>+((DETALLE_GD_1[[#This Row],[VALOR X UN (GD)]]-DETALLE_GD_1[[#This Row],[VALOR PPTO]])/DETALLE_GD_1[[#This Row],[VALOR PPTO]])</f>
        <v>-2.7341118341867223E-2</v>
      </c>
      <c r="AA1627" s="2">
        <f>+DETALLE_GD_1[[#This Row],[VALOR PPTO]]*DETALLE_GD_1[[#This Row],[CANTIDAD RECIBIDA]]</f>
        <v>570454.86599999992</v>
      </c>
      <c r="AB16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27" s="3">
        <f>+DETALLE_GD_1[[#This Row],[CANTIDAD SOLICITADA]]-DETALLE_GD_1[[#This Row],[DEVOLUCIÓN]]</f>
        <v>270</v>
      </c>
      <c r="AD1627" s="38" t="str">
        <f>+_xlfn.XLOOKUP(DETALLE_GD_1[[#This Row],[CODIGO]],PRODUCTOS[CODIGO],PRODUCTOS[DESC CORTA],"",0)</f>
        <v>AISLAN GLASS 90MM</v>
      </c>
    </row>
    <row r="1628" spans="1:30" x14ac:dyDescent="0.25">
      <c r="A1628" s="1">
        <v>46161</v>
      </c>
      <c r="B1628" s="1">
        <v>46161</v>
      </c>
      <c r="C1628" s="81" t="s">
        <v>169</v>
      </c>
      <c r="D1628" s="38">
        <v>5</v>
      </c>
      <c r="E1628" s="81" t="s">
        <v>169</v>
      </c>
      <c r="F1628">
        <v>1901038</v>
      </c>
      <c r="G1628" s="81" t="s">
        <v>39</v>
      </c>
      <c r="H1628" s="81" t="s">
        <v>26</v>
      </c>
      <c r="I1628" s="3">
        <v>108</v>
      </c>
      <c r="J1628" s="3"/>
      <c r="K1628" s="26">
        <v>108</v>
      </c>
      <c r="L1628" s="2">
        <v>4862.9444000000003</v>
      </c>
      <c r="M1628" s="2">
        <v>525198</v>
      </c>
      <c r="N1628" s="2">
        <v>525198</v>
      </c>
      <c r="O1628" s="2">
        <v>4197.4179000000004</v>
      </c>
      <c r="P1628" s="2">
        <v>-665.52660000000003</v>
      </c>
      <c r="Q1628" s="2">
        <v>-71876.869500000001</v>
      </c>
      <c r="R1628" s="4">
        <v>-0.15855618603245292</v>
      </c>
      <c r="T1628">
        <v>316057</v>
      </c>
      <c r="U1628" s="2"/>
      <c r="V1628">
        <v>6188</v>
      </c>
      <c r="W1628" s="2">
        <v>6579000000</v>
      </c>
      <c r="X1628" s="6">
        <v>453321.13050000009</v>
      </c>
      <c r="Y1628" s="38">
        <v>10010</v>
      </c>
      <c r="Z1628" s="86">
        <f>+((DETALLE_GD_1[[#This Row],[VALOR X UN (GD)]]-DETALLE_GD_1[[#This Row],[VALOR PPTO]])/DETALLE_GD_1[[#This Row],[VALOR PPTO]])</f>
        <v>0.15855616854352289</v>
      </c>
      <c r="AA1628" s="2">
        <f>+DETALLE_GD_1[[#This Row],[VALOR PPTO]]*DETALLE_GD_1[[#This Row],[CANTIDAD RECIBIDA]]</f>
        <v>453321.13320000004</v>
      </c>
      <c r="AB1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28" s="3">
        <f>+DETALLE_GD_1[[#This Row],[CANTIDAD SOLICITADA]]-DETALLE_GD_1[[#This Row],[DEVOLUCIÓN]]</f>
        <v>108</v>
      </c>
      <c r="AD1628" s="38" t="str">
        <f>+_xlfn.XLOOKUP(DETALLE_GD_1[[#This Row],[CODIGO]],PRODUCTOS[CODIGO],PRODUCTOS[DESC CORTA],"",0)</f>
        <v>AISLAN ROCA 90MM</v>
      </c>
    </row>
    <row r="1629" spans="1:30" x14ac:dyDescent="0.25">
      <c r="A1629" s="1">
        <v>46161</v>
      </c>
      <c r="B1629" s="1">
        <v>46161</v>
      </c>
      <c r="C1629" s="81" t="s">
        <v>169</v>
      </c>
      <c r="D1629" s="38">
        <v>5</v>
      </c>
      <c r="E1629" s="81" t="s">
        <v>169</v>
      </c>
      <c r="F1629">
        <v>1901086</v>
      </c>
      <c r="G1629" s="81" t="s">
        <v>279</v>
      </c>
      <c r="H1629" s="81" t="s">
        <v>26</v>
      </c>
      <c r="I1629" s="3">
        <v>162</v>
      </c>
      <c r="J1629" s="3"/>
      <c r="K1629" s="26">
        <v>162</v>
      </c>
      <c r="L1629" s="2">
        <v>3592.4814999999999</v>
      </c>
      <c r="M1629" s="2">
        <v>581982</v>
      </c>
      <c r="N1629" s="2">
        <v>581982</v>
      </c>
      <c r="O1629" s="2">
        <v>3711.587</v>
      </c>
      <c r="P1629" s="2">
        <v>119.1056</v>
      </c>
      <c r="Q1629" s="2">
        <v>19295.100600000002</v>
      </c>
      <c r="R1629" s="4">
        <v>3.2090197051240034E-2</v>
      </c>
      <c r="T1629">
        <v>316057</v>
      </c>
      <c r="U1629" s="2"/>
      <c r="V1629">
        <v>6188</v>
      </c>
      <c r="W1629" s="2">
        <v>6579000000</v>
      </c>
      <c r="X1629" s="6">
        <v>601277.10064200009</v>
      </c>
      <c r="Y1629" s="38">
        <v>10010</v>
      </c>
      <c r="Z1629" s="86">
        <f>+((DETALLE_GD_1[[#This Row],[VALOR X UN (GD)]]-DETALLE_GD_1[[#This Row],[VALOR PPTO]])/DETALLE_GD_1[[#This Row],[VALOR PPTO]])</f>
        <v>-3.2090181369856106E-2</v>
      </c>
      <c r="AA1629" s="2">
        <f>+DETALLE_GD_1[[#This Row],[VALOR PPTO]]*DETALLE_GD_1[[#This Row],[CANTIDAD RECIBIDA]]</f>
        <v>601277.09400000004</v>
      </c>
      <c r="AB16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29" s="3">
        <f>+DETALLE_GD_1[[#This Row],[CANTIDAD SOLICITADA]]-DETALLE_GD_1[[#This Row],[DEVOLUCIÓN]]</f>
        <v>162</v>
      </c>
      <c r="AD1629" s="38" t="str">
        <f>+_xlfn.XLOOKUP(DETALLE_GD_1[[#This Row],[CODIGO]],PRODUCTOS[CODIGO],PRODUCTOS[DESC CORTA],"",0)</f>
        <v>AISLAN GLASS 140MM</v>
      </c>
    </row>
    <row r="1630" spans="1:30" x14ac:dyDescent="0.25">
      <c r="A1630" s="1">
        <v>46161</v>
      </c>
      <c r="B1630" s="1">
        <v>46161</v>
      </c>
      <c r="C1630" s="81" t="s">
        <v>169</v>
      </c>
      <c r="D1630" s="38">
        <v>5</v>
      </c>
      <c r="E1630" s="81" t="s">
        <v>169</v>
      </c>
      <c r="F1630">
        <v>412313</v>
      </c>
      <c r="G1630" s="81" t="s">
        <v>253</v>
      </c>
      <c r="H1630" s="81" t="s">
        <v>36</v>
      </c>
      <c r="I1630" s="3">
        <v>10</v>
      </c>
      <c r="J1630" s="3"/>
      <c r="K1630" s="26">
        <v>10</v>
      </c>
      <c r="L1630" s="2">
        <v>23724.1</v>
      </c>
      <c r="M1630" s="2">
        <v>237241</v>
      </c>
      <c r="N1630" s="2">
        <v>237241</v>
      </c>
      <c r="O1630" s="2">
        <v>23724.0674</v>
      </c>
      <c r="P1630" s="2">
        <v>-3.2599999999999997E-2</v>
      </c>
      <c r="Q1630" s="2">
        <v>-0.32619999999999999</v>
      </c>
      <c r="R1630" s="4">
        <v>-1.3747642624173064E-6</v>
      </c>
      <c r="T1630">
        <v>316057</v>
      </c>
      <c r="U1630" s="2"/>
      <c r="V1630">
        <v>6188</v>
      </c>
      <c r="W1630" s="2">
        <v>6579000000</v>
      </c>
      <c r="X1630" s="6">
        <v>237240.67384999999</v>
      </c>
      <c r="Y1630" s="38">
        <v>10010</v>
      </c>
      <c r="Z1630" s="86">
        <f>+((DETALLE_GD_1[[#This Row],[VALOR X UN (GD)]]-DETALLE_GD_1[[#This Row],[VALOR PPTO]])/DETALLE_GD_1[[#This Row],[VALOR PPTO]])</f>
        <v>1.3741319921658098E-6</v>
      </c>
      <c r="AA1630" s="2">
        <f>+DETALLE_GD_1[[#This Row],[VALOR PPTO]]*DETALLE_GD_1[[#This Row],[CANTIDAD RECIBIDA]]</f>
        <v>237240.674</v>
      </c>
      <c r="AB1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0" s="3">
        <f>+DETALLE_GD_1[[#This Row],[CANTIDAD SOLICITADA]]-DETALLE_GD_1[[#This Row],[DEVOLUCIÓN]]</f>
        <v>10</v>
      </c>
      <c r="AD1630" s="38">
        <f>+_xlfn.XLOOKUP(DETALLE_GD_1[[#This Row],[CODIGO]],PRODUCTOS[CODIGO],PRODUCTOS[DESC CORTA],"",0)</f>
        <v>0</v>
      </c>
    </row>
    <row r="1631" spans="1:30" x14ac:dyDescent="0.25">
      <c r="A1631" s="1">
        <v>46161</v>
      </c>
      <c r="B1631" s="1">
        <v>46161</v>
      </c>
      <c r="C1631" s="81" t="s">
        <v>169</v>
      </c>
      <c r="D1631" s="38">
        <v>5</v>
      </c>
      <c r="E1631" s="81" t="s">
        <v>169</v>
      </c>
      <c r="F1631">
        <v>302249</v>
      </c>
      <c r="G1631" s="81" t="s">
        <v>178</v>
      </c>
      <c r="H1631" s="81" t="s">
        <v>20</v>
      </c>
      <c r="I1631" s="3">
        <v>240</v>
      </c>
      <c r="J1631" s="3"/>
      <c r="K1631" s="26">
        <v>240</v>
      </c>
      <c r="L1631" s="2">
        <v>2226.3083000000001</v>
      </c>
      <c r="M1631" s="2">
        <v>534314</v>
      </c>
      <c r="N1631" s="2">
        <v>534314</v>
      </c>
      <c r="O1631" s="2">
        <v>2226.3090999999999</v>
      </c>
      <c r="P1631" s="2">
        <v>8.0000000000000004E-4</v>
      </c>
      <c r="Q1631" s="2">
        <v>0.19550000000000001</v>
      </c>
      <c r="R1631" s="4">
        <v>3.659270174408054E-7</v>
      </c>
      <c r="T1631">
        <v>316057</v>
      </c>
      <c r="U1631" s="2"/>
      <c r="V1631">
        <v>6188</v>
      </c>
      <c r="W1631" s="2">
        <v>6579000000</v>
      </c>
      <c r="X1631" s="6">
        <v>534314.19551999995</v>
      </c>
      <c r="Y1631" s="38">
        <v>10010</v>
      </c>
      <c r="Z1631" s="86">
        <f>+((DETALLE_GD_1[[#This Row],[VALOR X UN (GD)]]-DETALLE_GD_1[[#This Row],[VALOR PPTO]])/DETALLE_GD_1[[#This Row],[VALOR PPTO]])</f>
        <v>-3.5933914109194611E-7</v>
      </c>
      <c r="AA1631" s="2">
        <f>+DETALLE_GD_1[[#This Row],[VALOR PPTO]]*DETALLE_GD_1[[#This Row],[CANTIDAD RECIBIDA]]</f>
        <v>534314.18400000001</v>
      </c>
      <c r="AB1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1" s="3">
        <f>+DETALLE_GD_1[[#This Row],[CANTIDAD SOLICITADA]]-DETALLE_GD_1[[#This Row],[DEVOLUCIÓN]]</f>
        <v>240</v>
      </c>
      <c r="AD1631" s="38">
        <f>+_xlfn.XLOOKUP(DETALLE_GD_1[[#This Row],[CODIGO]],PRODUCTOS[CODIGO],PRODUCTOS[DESC CORTA],"",0)</f>
        <v>0</v>
      </c>
    </row>
    <row r="1632" spans="1:30" x14ac:dyDescent="0.25">
      <c r="A1632" s="1">
        <v>46161</v>
      </c>
      <c r="B1632" s="1">
        <v>46161</v>
      </c>
      <c r="C1632" s="81" t="s">
        <v>169</v>
      </c>
      <c r="D1632" s="38">
        <v>5</v>
      </c>
      <c r="E1632" s="81" t="s">
        <v>169</v>
      </c>
      <c r="F1632" t="s">
        <v>21</v>
      </c>
      <c r="G1632" s="81" t="s">
        <v>22</v>
      </c>
      <c r="H1632" s="81" t="s">
        <v>20</v>
      </c>
      <c r="I1632" s="3">
        <v>40</v>
      </c>
      <c r="J1632" s="3"/>
      <c r="K1632" s="26">
        <v>40</v>
      </c>
      <c r="L1632" s="2">
        <v>15359.7</v>
      </c>
      <c r="M1632" s="2">
        <v>614388</v>
      </c>
      <c r="N1632" s="2">
        <v>614388</v>
      </c>
      <c r="O1632" s="2">
        <v>15359.702799999999</v>
      </c>
      <c r="P1632" s="2">
        <v>2.8E-3</v>
      </c>
      <c r="Q1632" s="2">
        <v>0.1114</v>
      </c>
      <c r="R1632" s="4">
        <v>1.81318612826567E-7</v>
      </c>
      <c r="T1632">
        <v>316057</v>
      </c>
      <c r="U1632" s="2"/>
      <c r="V1632">
        <v>6188</v>
      </c>
      <c r="W1632" s="2">
        <v>6579000000</v>
      </c>
      <c r="X1632" s="6">
        <v>614388.11140000017</v>
      </c>
      <c r="Y1632" s="38">
        <v>10010</v>
      </c>
      <c r="Z1632" s="86">
        <f>+((DETALLE_GD_1[[#This Row],[VALOR X UN (GD)]]-DETALLE_GD_1[[#This Row],[VALOR PPTO]])/DETALLE_GD_1[[#This Row],[VALOR PPTO]])</f>
        <v>-1.8229519378380471E-7</v>
      </c>
      <c r="AA1632" s="2">
        <f>+DETALLE_GD_1[[#This Row],[VALOR PPTO]]*DETALLE_GD_1[[#This Row],[CANTIDAD RECIBIDA]]</f>
        <v>614388.11199999996</v>
      </c>
      <c r="AB16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32" s="3">
        <f>+DETALLE_GD_1[[#This Row],[CANTIDAD SOLICITADA]]-DETALLE_GD_1[[#This Row],[DEVOLUCIÓN]]</f>
        <v>40</v>
      </c>
      <c r="AD1632" s="38" t="str">
        <f>+_xlfn.XLOOKUP(DETALLE_GD_1[[#This Row],[CODIGO]],PRODUCTOS[CODIGO],PRODUCTOS[DESC CORTA],"",0)</f>
        <v>PINO 3X8X320</v>
      </c>
    </row>
    <row r="1633" spans="1:30" x14ac:dyDescent="0.25">
      <c r="A1633" s="1">
        <v>46161</v>
      </c>
      <c r="B1633" s="1">
        <v>46161</v>
      </c>
      <c r="C1633" s="81" t="s">
        <v>169</v>
      </c>
      <c r="D1633" s="38">
        <v>5</v>
      </c>
      <c r="E1633" s="81" t="s">
        <v>169</v>
      </c>
      <c r="F1633">
        <v>302046</v>
      </c>
      <c r="G1633" s="81" t="s">
        <v>115</v>
      </c>
      <c r="H1633" s="81" t="s">
        <v>20</v>
      </c>
      <c r="I1633" s="3">
        <v>288</v>
      </c>
      <c r="J1633" s="3"/>
      <c r="K1633" s="26">
        <v>288</v>
      </c>
      <c r="L1633" s="2">
        <v>10122.281199999999</v>
      </c>
      <c r="M1633" s="2">
        <v>2915217</v>
      </c>
      <c r="N1633" s="2">
        <v>2915217</v>
      </c>
      <c r="O1633" s="2">
        <v>10156.5985</v>
      </c>
      <c r="P1633" s="2">
        <v>34.3172</v>
      </c>
      <c r="Q1633" s="2">
        <v>9883.3585000000003</v>
      </c>
      <c r="R1633" s="4">
        <v>3.378810052548828E-3</v>
      </c>
      <c r="T1633">
        <v>316057</v>
      </c>
      <c r="U1633" s="2"/>
      <c r="V1633">
        <v>6188</v>
      </c>
      <c r="W1633" s="2">
        <v>6579000000</v>
      </c>
      <c r="X1633" s="6">
        <v>2925100.3584960005</v>
      </c>
      <c r="Y1633" s="38">
        <v>10010</v>
      </c>
      <c r="Z1633" s="86">
        <f>+((DETALLE_GD_1[[#This Row],[VALOR X UN (GD)]]-DETALLE_GD_1[[#This Row],[VALOR PPTO]])/DETALLE_GD_1[[#This Row],[VALOR PPTO]])</f>
        <v>-3.3788182135978512E-3</v>
      </c>
      <c r="AA1633" s="2">
        <f>+DETALLE_GD_1[[#This Row],[VALOR PPTO]]*DETALLE_GD_1[[#This Row],[CANTIDAD RECIBIDA]]</f>
        <v>2925100.3679999998</v>
      </c>
      <c r="AB16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33" s="3">
        <f>+DETALLE_GD_1[[#This Row],[CANTIDAD SOLICITADA]]-DETALLE_GD_1[[#This Row],[DEVOLUCIÓN]]</f>
        <v>288</v>
      </c>
      <c r="AD1633" s="38" t="str">
        <f>+_xlfn.XLOOKUP(DETALLE_GD_1[[#This Row],[CODIGO]],PRODUCTOS[CODIGO],PRODUCTOS[DESC CORTA],"",0)</f>
        <v>PINO 2X6X400</v>
      </c>
    </row>
    <row r="1634" spans="1:30" x14ac:dyDescent="0.25">
      <c r="A1634" s="1">
        <v>46162</v>
      </c>
      <c r="B1634" s="1">
        <v>46162</v>
      </c>
      <c r="C1634" s="81" t="s">
        <v>169</v>
      </c>
      <c r="D1634" s="38">
        <v>5</v>
      </c>
      <c r="E1634" s="81" t="s">
        <v>169</v>
      </c>
      <c r="F1634">
        <v>408034</v>
      </c>
      <c r="G1634" s="81" t="s">
        <v>250</v>
      </c>
      <c r="H1634" s="81" t="s">
        <v>36</v>
      </c>
      <c r="I1634" s="3">
        <v>1</v>
      </c>
      <c r="J1634" s="3"/>
      <c r="K1634" s="26">
        <v>1</v>
      </c>
      <c r="L1634" s="2">
        <v>1867</v>
      </c>
      <c r="M1634" s="2">
        <v>1867</v>
      </c>
      <c r="N1634" s="2">
        <v>1867</v>
      </c>
      <c r="O1634" s="2">
        <v>1866.9503999999999</v>
      </c>
      <c r="P1634" s="2">
        <v>-4.9599999999999998E-2</v>
      </c>
      <c r="Q1634" s="2">
        <v>-4.9599999999999998E-2</v>
      </c>
      <c r="R1634" s="4">
        <v>-2.6591494447838636E-5</v>
      </c>
      <c r="T1634">
        <v>316176</v>
      </c>
      <c r="U1634" s="2">
        <v>316471</v>
      </c>
      <c r="V1634">
        <v>6188</v>
      </c>
      <c r="W1634" s="2">
        <v>6579000000</v>
      </c>
      <c r="X1634" s="6">
        <v>1866.9503550000009</v>
      </c>
      <c r="Y1634" s="38">
        <v>10010</v>
      </c>
      <c r="Z1634" s="86">
        <f>+((DETALLE_GD_1[[#This Row],[VALOR X UN (GD)]]-DETALLE_GD_1[[#This Row],[VALOR PPTO]])/DETALLE_GD_1[[#This Row],[VALOR PPTO]])</f>
        <v>2.6567390328128124E-5</v>
      </c>
      <c r="AA1634" s="2">
        <f>+DETALLE_GD_1[[#This Row],[VALOR PPTO]]*DETALLE_GD_1[[#This Row],[CANTIDAD RECIBIDA]]</f>
        <v>1866.9503999999999</v>
      </c>
      <c r="AB1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4" s="3">
        <f>+DETALLE_GD_1[[#This Row],[CANTIDAD SOLICITADA]]-DETALLE_GD_1[[#This Row],[DEVOLUCIÓN]]</f>
        <v>1</v>
      </c>
      <c r="AD1634" s="38">
        <f>+_xlfn.XLOOKUP(DETALLE_GD_1[[#This Row],[CODIGO]],PRODUCTOS[CODIGO],PRODUCTOS[DESC CORTA],"",0)</f>
        <v>0</v>
      </c>
    </row>
    <row r="1635" spans="1:30" x14ac:dyDescent="0.25">
      <c r="A1635" s="1">
        <v>46162</v>
      </c>
      <c r="B1635" s="1">
        <v>46162</v>
      </c>
      <c r="C1635" s="81" t="s">
        <v>169</v>
      </c>
      <c r="D1635" s="38">
        <v>5</v>
      </c>
      <c r="E1635" s="81" t="s">
        <v>169</v>
      </c>
      <c r="F1635">
        <v>407185</v>
      </c>
      <c r="G1635" s="81" t="s">
        <v>43</v>
      </c>
      <c r="H1635" s="81" t="s">
        <v>31</v>
      </c>
      <c r="I1635" s="3">
        <v>4500</v>
      </c>
      <c r="J1635" s="3"/>
      <c r="K1635" s="26">
        <v>4500</v>
      </c>
      <c r="L1635" s="2">
        <v>6.2656000000000001</v>
      </c>
      <c r="M1635" s="2">
        <v>28195</v>
      </c>
      <c r="N1635" s="2">
        <v>28195</v>
      </c>
      <c r="O1635" s="2">
        <v>6.8783000000000003</v>
      </c>
      <c r="P1635" s="2">
        <v>0.61280000000000001</v>
      </c>
      <c r="Q1635" s="2">
        <v>2757.44</v>
      </c>
      <c r="R1635" s="4">
        <v>8.9086353127572598E-2</v>
      </c>
      <c r="T1635">
        <v>316176</v>
      </c>
      <c r="U1635" s="2"/>
      <c r="V1635">
        <v>6188</v>
      </c>
      <c r="W1635" s="2">
        <v>6579000000</v>
      </c>
      <c r="X1635" s="6">
        <v>30952.44</v>
      </c>
      <c r="Y1635" s="38">
        <v>10010</v>
      </c>
      <c r="Z1635" s="86">
        <f>+((DETALLE_GD_1[[#This Row],[VALOR X UN (GD)]]-DETALLE_GD_1[[#This Row],[VALOR PPTO]])/DETALLE_GD_1[[#This Row],[VALOR PPTO]])</f>
        <v>-8.9077242923396804E-2</v>
      </c>
      <c r="AA1635" s="2">
        <f>+DETALLE_GD_1[[#This Row],[VALOR PPTO]]*DETALLE_GD_1[[#This Row],[CANTIDAD RECIBIDA]]</f>
        <v>30952.350000000002</v>
      </c>
      <c r="AB1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5" s="3">
        <f>+DETALLE_GD_1[[#This Row],[CANTIDAD SOLICITADA]]-DETALLE_GD_1[[#This Row],[DEVOLUCIÓN]]</f>
        <v>4500</v>
      </c>
      <c r="AD1635" s="38">
        <f>+_xlfn.XLOOKUP(DETALLE_GD_1[[#This Row],[CODIGO]],PRODUCTOS[CODIGO],PRODUCTOS[DESC CORTA],"",0)</f>
        <v>0</v>
      </c>
    </row>
    <row r="1636" spans="1:30" x14ac:dyDescent="0.25">
      <c r="A1636" s="1">
        <v>46162</v>
      </c>
      <c r="B1636" s="1">
        <v>46162</v>
      </c>
      <c r="C1636" s="81" t="s">
        <v>169</v>
      </c>
      <c r="D1636" s="38">
        <v>5</v>
      </c>
      <c r="E1636" s="81" t="s">
        <v>169</v>
      </c>
      <c r="F1636">
        <v>407423</v>
      </c>
      <c r="G1636" s="81" t="s">
        <v>106</v>
      </c>
      <c r="H1636" s="81" t="s">
        <v>31</v>
      </c>
      <c r="I1636" s="3">
        <v>3000</v>
      </c>
      <c r="J1636" s="3"/>
      <c r="K1636" s="26">
        <v>3000</v>
      </c>
      <c r="L1636" s="2">
        <v>3.4662999999999999</v>
      </c>
      <c r="M1636" s="2">
        <v>10399</v>
      </c>
      <c r="N1636" s="2">
        <v>10399</v>
      </c>
      <c r="O1636" s="2">
        <v>106.6405</v>
      </c>
      <c r="P1636" s="2">
        <v>103.1742</v>
      </c>
      <c r="Q1636" s="2">
        <v>309522.50599999999</v>
      </c>
      <c r="R1636" s="4">
        <v>0.96749515175894019</v>
      </c>
      <c r="T1636">
        <v>316176</v>
      </c>
      <c r="U1636" s="2"/>
      <c r="V1636">
        <v>6188</v>
      </c>
      <c r="W1636" s="2">
        <v>6579000000</v>
      </c>
      <c r="X1636" s="6">
        <v>319921.50595135131</v>
      </c>
      <c r="Y1636" s="38">
        <v>10010</v>
      </c>
      <c r="Z1636" s="86">
        <f>+((DETALLE_GD_1[[#This Row],[VALOR X UN (GD)]]-DETALLE_GD_1[[#This Row],[VALOR PPTO]])/DETALLE_GD_1[[#This Row],[VALOR PPTO]])</f>
        <v>-0.96749546373094641</v>
      </c>
      <c r="AA1636" s="2">
        <f>+DETALLE_GD_1[[#This Row],[VALOR PPTO]]*DETALLE_GD_1[[#This Row],[CANTIDAD RECIBIDA]]</f>
        <v>319921.5</v>
      </c>
      <c r="AB1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6" s="3">
        <f>+DETALLE_GD_1[[#This Row],[CANTIDAD SOLICITADA]]-DETALLE_GD_1[[#This Row],[DEVOLUCIÓN]]</f>
        <v>3000</v>
      </c>
      <c r="AD1636" s="38" t="str">
        <f>+_xlfn.XLOOKUP(DETALLE_GD_1[[#This Row],[CODIGO]],PRODUCTOS[CODIGO],PRODUCTOS[DESC CORTA],"",0)</f>
        <v>TORNILLO CRS 6X1 5/8</v>
      </c>
    </row>
    <row r="1637" spans="1:30" x14ac:dyDescent="0.25">
      <c r="A1637" s="1">
        <v>46162</v>
      </c>
      <c r="B1637" s="1">
        <v>46162</v>
      </c>
      <c r="C1637" s="81" t="s">
        <v>169</v>
      </c>
      <c r="D1637" s="38">
        <v>5</v>
      </c>
      <c r="E1637" s="81" t="s">
        <v>169</v>
      </c>
      <c r="F1637">
        <v>1801735</v>
      </c>
      <c r="G1637" s="81" t="s">
        <v>73</v>
      </c>
      <c r="H1637" s="81" t="s">
        <v>31</v>
      </c>
      <c r="I1637" s="3">
        <v>3</v>
      </c>
      <c r="J1637" s="3"/>
      <c r="K1637" s="26">
        <v>3</v>
      </c>
      <c r="L1637" s="2">
        <v>3819.3332999999998</v>
      </c>
      <c r="M1637" s="2">
        <v>11458</v>
      </c>
      <c r="N1637" s="2">
        <v>11458</v>
      </c>
      <c r="O1637" s="2">
        <v>3495</v>
      </c>
      <c r="P1637" s="2">
        <v>-324.33330000000001</v>
      </c>
      <c r="Q1637" s="2">
        <v>-973</v>
      </c>
      <c r="R1637" s="4">
        <v>-9.2799237005245644E-2</v>
      </c>
      <c r="T1637">
        <v>316176</v>
      </c>
      <c r="U1637" s="2"/>
      <c r="V1637">
        <v>6188</v>
      </c>
      <c r="W1637" s="2">
        <v>6579000000</v>
      </c>
      <c r="X1637" s="6">
        <v>10485</v>
      </c>
      <c r="Y1637" s="38">
        <v>10010</v>
      </c>
      <c r="Z1637" s="86">
        <f>+((DETALLE_GD_1[[#This Row],[VALOR X UN (GD)]]-DETALLE_GD_1[[#This Row],[VALOR PPTO]])/DETALLE_GD_1[[#This Row],[VALOR PPTO]])</f>
        <v>9.2799227467811093E-2</v>
      </c>
      <c r="AA1637" s="2">
        <f>+DETALLE_GD_1[[#This Row],[VALOR PPTO]]*DETALLE_GD_1[[#This Row],[CANTIDAD RECIBIDA]]</f>
        <v>10485</v>
      </c>
      <c r="AB16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7" s="3">
        <f>+DETALLE_GD_1[[#This Row],[CANTIDAD SOLICITADA]]-DETALLE_GD_1[[#This Row],[DEVOLUCIÓN]]</f>
        <v>3</v>
      </c>
      <c r="AD1637" s="38" t="str">
        <f>+_xlfn.XLOOKUP(DETALLE_GD_1[[#This Row],[CODIGO]],PRODUCTOS[CODIGO],PRODUCTOS[DESC CORTA],"",0)</f>
        <v>BURLETE PVC</v>
      </c>
    </row>
    <row r="1638" spans="1:30" x14ac:dyDescent="0.25">
      <c r="A1638" s="1">
        <v>46162</v>
      </c>
      <c r="B1638" s="1">
        <v>46162</v>
      </c>
      <c r="C1638" s="81" t="s">
        <v>169</v>
      </c>
      <c r="D1638" s="38">
        <v>5</v>
      </c>
      <c r="E1638" s="81" t="s">
        <v>169</v>
      </c>
      <c r="F1638">
        <v>1802162</v>
      </c>
      <c r="G1638" s="81" t="s">
        <v>260</v>
      </c>
      <c r="H1638" s="81" t="s">
        <v>31</v>
      </c>
      <c r="I1638" s="3">
        <v>3</v>
      </c>
      <c r="J1638" s="3"/>
      <c r="K1638" s="26">
        <v>3</v>
      </c>
      <c r="L1638" s="2">
        <v>42840</v>
      </c>
      <c r="M1638" s="2">
        <v>128520</v>
      </c>
      <c r="N1638" s="2">
        <v>128520</v>
      </c>
      <c r="O1638" s="2">
        <v>42840</v>
      </c>
      <c r="P1638" s="2">
        <v>0</v>
      </c>
      <c r="Q1638" s="2">
        <v>0</v>
      </c>
      <c r="R1638" s="4">
        <v>0</v>
      </c>
      <c r="T1638">
        <v>316176</v>
      </c>
      <c r="U1638" s="2"/>
      <c r="V1638">
        <v>6188</v>
      </c>
      <c r="W1638" s="2">
        <v>6579000000</v>
      </c>
      <c r="X1638" s="6">
        <v>128520</v>
      </c>
      <c r="Y1638" s="38">
        <v>10010</v>
      </c>
      <c r="Z1638" s="86">
        <f>+((DETALLE_GD_1[[#This Row],[VALOR X UN (GD)]]-DETALLE_GD_1[[#This Row],[VALOR PPTO]])/DETALLE_GD_1[[#This Row],[VALOR PPTO]])</f>
        <v>0</v>
      </c>
      <c r="AA1638" s="2">
        <f>+DETALLE_GD_1[[#This Row],[VALOR PPTO]]*DETALLE_GD_1[[#This Row],[CANTIDAD RECIBIDA]]</f>
        <v>128520</v>
      </c>
      <c r="AB1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8" s="3">
        <f>+DETALLE_GD_1[[#This Row],[CANTIDAD SOLICITADA]]-DETALLE_GD_1[[#This Row],[DEVOLUCIÓN]]</f>
        <v>3</v>
      </c>
      <c r="AD1638" s="38" t="str">
        <f>+_xlfn.XLOOKUP(DETALLE_GD_1[[#This Row],[CODIGO]],PRODUCTOS[CODIGO],PRODUCTOS[DESC CORTA],"",0)</f>
        <v>TINA DE ACERO</v>
      </c>
    </row>
    <row r="1639" spans="1:30" x14ac:dyDescent="0.25">
      <c r="A1639" s="1">
        <v>46162</v>
      </c>
      <c r="B1639" s="1">
        <v>46162</v>
      </c>
      <c r="C1639" s="81" t="s">
        <v>169</v>
      </c>
      <c r="D1639" s="38">
        <v>5</v>
      </c>
      <c r="E1639" s="81" t="s">
        <v>169</v>
      </c>
      <c r="F1639">
        <v>1808156</v>
      </c>
      <c r="G1639" s="81" t="s">
        <v>277</v>
      </c>
      <c r="H1639" s="81" t="s">
        <v>31</v>
      </c>
      <c r="I1639" s="3">
        <v>4</v>
      </c>
      <c r="J1639" s="3"/>
      <c r="K1639" s="26">
        <v>4</v>
      </c>
      <c r="L1639" s="2">
        <v>1931.5</v>
      </c>
      <c r="M1639" s="2">
        <v>7726</v>
      </c>
      <c r="N1639" s="2">
        <v>7726</v>
      </c>
      <c r="O1639" s="2">
        <v>1916</v>
      </c>
      <c r="P1639" s="2">
        <v>-15.5</v>
      </c>
      <c r="Q1639" s="2">
        <v>-62</v>
      </c>
      <c r="R1639" s="4">
        <v>-8.0897703549060538E-3</v>
      </c>
      <c r="T1639">
        <v>316176</v>
      </c>
      <c r="U1639" s="2"/>
      <c r="V1639">
        <v>6188</v>
      </c>
      <c r="W1639" s="2">
        <v>6579000000</v>
      </c>
      <c r="X1639" s="6">
        <v>7664</v>
      </c>
      <c r="Y1639" s="38">
        <v>10010</v>
      </c>
      <c r="Z1639" s="86">
        <f>+((DETALLE_GD_1[[#This Row],[VALOR X UN (GD)]]-DETALLE_GD_1[[#This Row],[VALOR PPTO]])/DETALLE_GD_1[[#This Row],[VALOR PPTO]])</f>
        <v>8.0897703549060538E-3</v>
      </c>
      <c r="AA1639" s="2">
        <f>+DETALLE_GD_1[[#This Row],[VALOR PPTO]]*DETALLE_GD_1[[#This Row],[CANTIDAD RECIBIDA]]</f>
        <v>7664</v>
      </c>
      <c r="AB1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9" s="3">
        <f>+DETALLE_GD_1[[#This Row],[CANTIDAD SOLICITADA]]-DETALLE_GD_1[[#This Row],[DEVOLUCIÓN]]</f>
        <v>4</v>
      </c>
      <c r="AD1639" s="38" t="str">
        <f>+_xlfn.XLOOKUP(DETALLE_GD_1[[#This Row],[CODIGO]],PRODUCTOS[CODIGO],PRODUCTOS[DESC CORTA],"",0)</f>
        <v>PERCHA SIMPLE YORK</v>
      </c>
    </row>
    <row r="1640" spans="1:30" x14ac:dyDescent="0.25">
      <c r="A1640" s="1">
        <v>46162</v>
      </c>
      <c r="B1640" s="1">
        <v>46162</v>
      </c>
      <c r="C1640" s="81" t="s">
        <v>169</v>
      </c>
      <c r="D1640" s="38">
        <v>5</v>
      </c>
      <c r="E1640" s="81" t="s">
        <v>169</v>
      </c>
      <c r="F1640">
        <v>1808006</v>
      </c>
      <c r="G1640" s="81" t="s">
        <v>194</v>
      </c>
      <c r="H1640" s="81" t="s">
        <v>31</v>
      </c>
      <c r="I1640" s="3">
        <v>4</v>
      </c>
      <c r="J1640" s="3"/>
      <c r="K1640" s="26">
        <v>4</v>
      </c>
      <c r="L1640" s="2">
        <v>2906.75</v>
      </c>
      <c r="M1640" s="2">
        <v>11627</v>
      </c>
      <c r="N1640" s="2">
        <v>11627</v>
      </c>
      <c r="O1640" s="2">
        <v>2906.6711</v>
      </c>
      <c r="P1640" s="2">
        <v>-7.8899999999999998E-2</v>
      </c>
      <c r="Q1640" s="2">
        <v>-0.31559999999999999</v>
      </c>
      <c r="R1640" s="4">
        <v>-2.7145830193360785E-5</v>
      </c>
      <c r="T1640">
        <v>316176</v>
      </c>
      <c r="U1640" s="2"/>
      <c r="V1640">
        <v>6188</v>
      </c>
      <c r="W1640" s="2">
        <v>6579000000</v>
      </c>
      <c r="X1640" s="6">
        <v>11626.684384</v>
      </c>
      <c r="Y1640" s="38">
        <v>10010</v>
      </c>
      <c r="Z1640" s="86">
        <f>+((DETALLE_GD_1[[#This Row],[VALOR X UN (GD)]]-DETALLE_GD_1[[#This Row],[VALOR PPTO]])/DETALLE_GD_1[[#This Row],[VALOR PPTO]])</f>
        <v>2.7144454011317615E-5</v>
      </c>
      <c r="AA1640" s="2">
        <f>+DETALLE_GD_1[[#This Row],[VALOR PPTO]]*DETALLE_GD_1[[#This Row],[CANTIDAD RECIBIDA]]</f>
        <v>11626.6844</v>
      </c>
      <c r="AB1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0" s="3">
        <f>+DETALLE_GD_1[[#This Row],[CANTIDAD SOLICITADA]]-DETALLE_GD_1[[#This Row],[DEVOLUCIÓN]]</f>
        <v>4</v>
      </c>
      <c r="AD1640" s="38">
        <f>+_xlfn.XLOOKUP(DETALLE_GD_1[[#This Row],[CODIGO]],PRODUCTOS[CODIGO],PRODUCTOS[DESC CORTA],"",0)</f>
        <v>0</v>
      </c>
    </row>
    <row r="1641" spans="1:30" x14ac:dyDescent="0.25">
      <c r="A1641" s="1">
        <v>46162</v>
      </c>
      <c r="B1641" s="1">
        <v>46162</v>
      </c>
      <c r="C1641" s="81" t="s">
        <v>169</v>
      </c>
      <c r="D1641" s="38">
        <v>5</v>
      </c>
      <c r="E1641" s="81" t="s">
        <v>169</v>
      </c>
      <c r="F1641">
        <v>1808003</v>
      </c>
      <c r="G1641" s="81" t="s">
        <v>195</v>
      </c>
      <c r="H1641" s="81" t="s">
        <v>31</v>
      </c>
      <c r="I1641" s="3">
        <v>8</v>
      </c>
      <c r="J1641" s="3"/>
      <c r="K1641" s="26">
        <v>8</v>
      </c>
      <c r="L1641" s="2">
        <v>167.75</v>
      </c>
      <c r="M1641" s="2">
        <v>1342</v>
      </c>
      <c r="N1641" s="2">
        <v>1342</v>
      </c>
      <c r="O1641" s="2">
        <v>167.7449</v>
      </c>
      <c r="P1641" s="2">
        <v>-5.1000000000000004E-3</v>
      </c>
      <c r="Q1641" s="2">
        <v>-4.1099999999999998E-2</v>
      </c>
      <c r="R1641" s="4">
        <v>-3.065369669917391E-5</v>
      </c>
      <c r="T1641">
        <v>316176</v>
      </c>
      <c r="U1641" s="2"/>
      <c r="V1641">
        <v>6188</v>
      </c>
      <c r="W1641" s="2">
        <v>6579000000</v>
      </c>
      <c r="X1641" s="6">
        <v>1341.9588640000002</v>
      </c>
      <c r="Y1641" s="38">
        <v>10010</v>
      </c>
      <c r="Z1641" s="86">
        <f>+((DETALLE_GD_1[[#This Row],[VALOR X UN (GD)]]-DETALLE_GD_1[[#This Row],[VALOR PPTO]])/DETALLE_GD_1[[#This Row],[VALOR PPTO]])</f>
        <v>3.0403308833823098E-5</v>
      </c>
      <c r="AA1641" s="2">
        <f>+DETALLE_GD_1[[#This Row],[VALOR PPTO]]*DETALLE_GD_1[[#This Row],[CANTIDAD RECIBIDA]]</f>
        <v>1341.9592</v>
      </c>
      <c r="AB1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1" s="3">
        <f>+DETALLE_GD_1[[#This Row],[CANTIDAD SOLICITADA]]-DETALLE_GD_1[[#This Row],[DEVOLUCIÓN]]</f>
        <v>8</v>
      </c>
      <c r="AD1641" s="38">
        <f>+_xlfn.XLOOKUP(DETALLE_GD_1[[#This Row],[CODIGO]],PRODUCTOS[CODIGO],PRODUCTOS[DESC CORTA],"",0)</f>
        <v>0</v>
      </c>
    </row>
    <row r="1642" spans="1:30" x14ac:dyDescent="0.25">
      <c r="A1642" s="1">
        <v>46162</v>
      </c>
      <c r="B1642" s="1">
        <v>46162</v>
      </c>
      <c r="C1642" s="81" t="s">
        <v>169</v>
      </c>
      <c r="D1642" s="38">
        <v>5</v>
      </c>
      <c r="E1642" s="81" t="s">
        <v>169</v>
      </c>
      <c r="F1642">
        <v>1802517</v>
      </c>
      <c r="G1642" s="81" t="s">
        <v>141</v>
      </c>
      <c r="H1642" s="81" t="s">
        <v>31</v>
      </c>
      <c r="I1642" s="3">
        <v>4</v>
      </c>
      <c r="J1642" s="3"/>
      <c r="K1642" s="26">
        <v>4</v>
      </c>
      <c r="L1642" s="2">
        <v>2312.5</v>
      </c>
      <c r="M1642" s="2">
        <v>9250</v>
      </c>
      <c r="N1642" s="2">
        <v>9250</v>
      </c>
      <c r="O1642" s="2">
        <v>2312</v>
      </c>
      <c r="P1642" s="2">
        <v>-0.5</v>
      </c>
      <c r="Q1642" s="2">
        <v>-2</v>
      </c>
      <c r="R1642" s="4">
        <v>-2.1626297577854672E-4</v>
      </c>
      <c r="T1642">
        <v>316176</v>
      </c>
      <c r="U1642" s="2"/>
      <c r="V1642">
        <v>6188</v>
      </c>
      <c r="W1642" s="2">
        <v>6579000000</v>
      </c>
      <c r="X1642" s="6">
        <v>9248</v>
      </c>
      <c r="Y1642" s="38">
        <v>10010</v>
      </c>
      <c r="Z1642" s="86">
        <f>+((DETALLE_GD_1[[#This Row],[VALOR X UN (GD)]]-DETALLE_GD_1[[#This Row],[VALOR PPTO]])/DETALLE_GD_1[[#This Row],[VALOR PPTO]])</f>
        <v>2.1626297577854672E-4</v>
      </c>
      <c r="AA1642" s="2">
        <f>+DETALLE_GD_1[[#This Row],[VALOR PPTO]]*DETALLE_GD_1[[#This Row],[CANTIDAD RECIBIDA]]</f>
        <v>9248</v>
      </c>
      <c r="AB1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2" s="3">
        <f>+DETALLE_GD_1[[#This Row],[CANTIDAD SOLICITADA]]-DETALLE_GD_1[[#This Row],[DEVOLUCIÓN]]</f>
        <v>4</v>
      </c>
      <c r="AD1642" s="38" t="str">
        <f>+_xlfn.XLOOKUP(DETALLE_GD_1[[#This Row],[CODIGO]],PRODUCTOS[CODIGO],PRODUCTOS[DESC CORTA],"",0)</f>
        <v>CELOSIA ALUMINIO 25X25</v>
      </c>
    </row>
    <row r="1643" spans="1:30" x14ac:dyDescent="0.25">
      <c r="A1643" s="1">
        <v>46162</v>
      </c>
      <c r="B1643" s="1">
        <v>46162</v>
      </c>
      <c r="C1643" s="81" t="s">
        <v>169</v>
      </c>
      <c r="D1643" s="38">
        <v>5</v>
      </c>
      <c r="E1643" s="81" t="s">
        <v>169</v>
      </c>
      <c r="F1643">
        <v>1802172</v>
      </c>
      <c r="G1643" s="81" t="s">
        <v>266</v>
      </c>
      <c r="H1643" s="81" t="s">
        <v>31</v>
      </c>
      <c r="I1643" s="3">
        <v>4</v>
      </c>
      <c r="J1643" s="3"/>
      <c r="K1643" s="26">
        <v>4</v>
      </c>
      <c r="L1643" s="2">
        <v>3032.5</v>
      </c>
      <c r="M1643" s="2">
        <v>12130</v>
      </c>
      <c r="N1643" s="2">
        <v>12130</v>
      </c>
      <c r="O1643" s="2">
        <v>3035</v>
      </c>
      <c r="P1643" s="2">
        <v>2.5</v>
      </c>
      <c r="Q1643" s="2">
        <v>10</v>
      </c>
      <c r="R1643" s="4">
        <v>8.2372322899505756E-4</v>
      </c>
      <c r="T1643">
        <v>316176</v>
      </c>
      <c r="U1643" s="2"/>
      <c r="V1643">
        <v>6188</v>
      </c>
      <c r="W1643" s="2">
        <v>6579000000</v>
      </c>
      <c r="X1643" s="6">
        <v>12140</v>
      </c>
      <c r="Y1643" s="38">
        <v>10010</v>
      </c>
      <c r="Z1643" s="86">
        <f>+((DETALLE_GD_1[[#This Row],[VALOR X UN (GD)]]-DETALLE_GD_1[[#This Row],[VALOR PPTO]])/DETALLE_GD_1[[#This Row],[VALOR PPTO]])</f>
        <v>-8.2372322899505767E-4</v>
      </c>
      <c r="AA1643" s="2">
        <f>+DETALLE_GD_1[[#This Row],[VALOR PPTO]]*DETALLE_GD_1[[#This Row],[CANTIDAD RECIBIDA]]</f>
        <v>12140</v>
      </c>
      <c r="AB16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3" s="3">
        <f>+DETALLE_GD_1[[#This Row],[CANTIDAD SOLICITADA]]-DETALLE_GD_1[[#This Row],[DEVOLUCIÓN]]</f>
        <v>4</v>
      </c>
      <c r="AD1643" s="38" t="str">
        <f>+_xlfn.XLOOKUP(DETALLE_GD_1[[#This Row],[CODIGO]],PRODUCTOS[CODIGO],PRODUCTOS[DESC CORTA],"",0)</f>
        <v>ARGOLLA TOALLA BENTON</v>
      </c>
    </row>
    <row r="1644" spans="1:30" x14ac:dyDescent="0.25">
      <c r="A1644" s="1">
        <v>46162</v>
      </c>
      <c r="B1644" s="1">
        <v>46162</v>
      </c>
      <c r="C1644" s="81" t="s">
        <v>169</v>
      </c>
      <c r="D1644" s="38">
        <v>5</v>
      </c>
      <c r="E1644" s="81" t="s">
        <v>169</v>
      </c>
      <c r="F1644">
        <v>1802171</v>
      </c>
      <c r="G1644" s="81" t="s">
        <v>265</v>
      </c>
      <c r="H1644" s="81" t="s">
        <v>31</v>
      </c>
      <c r="I1644" s="3">
        <v>4</v>
      </c>
      <c r="J1644" s="3"/>
      <c r="K1644" s="26">
        <v>4</v>
      </c>
      <c r="L1644" s="2">
        <v>3157.5</v>
      </c>
      <c r="M1644" s="2">
        <v>12630</v>
      </c>
      <c r="N1644" s="2">
        <v>12630</v>
      </c>
      <c r="O1644" s="2">
        <v>3632</v>
      </c>
      <c r="P1644" s="2">
        <v>474.5</v>
      </c>
      <c r="Q1644" s="2">
        <v>1898</v>
      </c>
      <c r="R1644" s="4">
        <v>0.13064427312775331</v>
      </c>
      <c r="T1644">
        <v>316176</v>
      </c>
      <c r="U1644" s="2"/>
      <c r="V1644">
        <v>6188</v>
      </c>
      <c r="W1644" s="2">
        <v>6579000000</v>
      </c>
      <c r="X1644" s="6">
        <v>14528</v>
      </c>
      <c r="Y1644" s="38">
        <v>10010</v>
      </c>
      <c r="Z1644" s="86">
        <f>+((DETALLE_GD_1[[#This Row],[VALOR X UN (GD)]]-DETALLE_GD_1[[#This Row],[VALOR PPTO]])/DETALLE_GD_1[[#This Row],[VALOR PPTO]])</f>
        <v>-0.13064427312775331</v>
      </c>
      <c r="AA1644" s="2">
        <f>+DETALLE_GD_1[[#This Row],[VALOR PPTO]]*DETALLE_GD_1[[#This Row],[CANTIDAD RECIBIDA]]</f>
        <v>14528</v>
      </c>
      <c r="AB1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4" s="3">
        <f>+DETALLE_GD_1[[#This Row],[CANTIDAD SOLICITADA]]-DETALLE_GD_1[[#This Row],[DEVOLUCIÓN]]</f>
        <v>4</v>
      </c>
      <c r="AD1644" s="38" t="str">
        <f>+_xlfn.XLOOKUP(DETALLE_GD_1[[#This Row],[CODIGO]],PRODUCTOS[CODIGO],PRODUCTOS[DESC CORTA],"",0)</f>
        <v>PORTA ROLLO BENTON</v>
      </c>
    </row>
    <row r="1645" spans="1:30" x14ac:dyDescent="0.25">
      <c r="A1645" s="1">
        <v>46162</v>
      </c>
      <c r="B1645" s="1">
        <v>46162</v>
      </c>
      <c r="C1645" s="81" t="s">
        <v>169</v>
      </c>
      <c r="D1645" s="38">
        <v>5</v>
      </c>
      <c r="E1645" s="81" t="s">
        <v>169</v>
      </c>
      <c r="F1645">
        <v>1206002</v>
      </c>
      <c r="G1645" s="81" t="s">
        <v>192</v>
      </c>
      <c r="H1645" s="81" t="s">
        <v>31</v>
      </c>
      <c r="I1645" s="3">
        <v>4</v>
      </c>
      <c r="J1645" s="3"/>
      <c r="K1645" s="26">
        <v>4</v>
      </c>
      <c r="L1645" s="2">
        <v>20331.75</v>
      </c>
      <c r="M1645" s="2">
        <v>81327</v>
      </c>
      <c r="N1645" s="2">
        <v>81327</v>
      </c>
      <c r="O1645" s="2">
        <v>15783.483899999999</v>
      </c>
      <c r="P1645" s="2">
        <v>-4548.2660999999998</v>
      </c>
      <c r="Q1645" s="2">
        <v>-18193.0645</v>
      </c>
      <c r="R1645" s="4">
        <v>-0.28816617206780443</v>
      </c>
      <c r="T1645">
        <v>316176</v>
      </c>
      <c r="U1645" s="2"/>
      <c r="V1645">
        <v>6188</v>
      </c>
      <c r="W1645" s="2">
        <v>6579000000</v>
      </c>
      <c r="X1645" s="6">
        <v>63133.935483999994</v>
      </c>
      <c r="Y1645" s="38">
        <v>10010</v>
      </c>
      <c r="Z1645" s="86">
        <f>+((DETALLE_GD_1[[#This Row],[VALOR X UN (GD)]]-DETALLE_GD_1[[#This Row],[VALOR PPTO]])/DETALLE_GD_1[[#This Row],[VALOR PPTO]])</f>
        <v>0.28816616970097464</v>
      </c>
      <c r="AA1645" s="2">
        <f>+DETALLE_GD_1[[#This Row],[VALOR PPTO]]*DETALLE_GD_1[[#This Row],[CANTIDAD RECIBIDA]]</f>
        <v>63133.935599999997</v>
      </c>
      <c r="AB1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5" s="3">
        <f>+DETALLE_GD_1[[#This Row],[CANTIDAD SOLICITADA]]-DETALLE_GD_1[[#This Row],[DEVOLUCIÓN]]</f>
        <v>4</v>
      </c>
      <c r="AD1645" s="38">
        <f>+_xlfn.XLOOKUP(DETALLE_GD_1[[#This Row],[CODIGO]],PRODUCTOS[CODIGO],PRODUCTOS[DESC CORTA],"",0)</f>
        <v>0</v>
      </c>
    </row>
    <row r="1646" spans="1:30" x14ac:dyDescent="0.25">
      <c r="A1646" s="1">
        <v>46162</v>
      </c>
      <c r="B1646" s="1">
        <v>46162</v>
      </c>
      <c r="C1646" s="81" t="s">
        <v>169</v>
      </c>
      <c r="D1646" s="38">
        <v>5</v>
      </c>
      <c r="E1646" s="81" t="s">
        <v>169</v>
      </c>
      <c r="F1646">
        <v>304049</v>
      </c>
      <c r="G1646" s="81" t="s">
        <v>318</v>
      </c>
      <c r="H1646" s="81" t="s">
        <v>18</v>
      </c>
      <c r="I1646" s="3">
        <v>130</v>
      </c>
      <c r="J1646" s="3"/>
      <c r="K1646" s="26">
        <v>130</v>
      </c>
      <c r="L1646" s="2">
        <v>14981.223099999999</v>
      </c>
      <c r="M1646" s="2">
        <v>1947559</v>
      </c>
      <c r="N1646" s="2">
        <v>1947559</v>
      </c>
      <c r="O1646" s="2">
        <v>14982</v>
      </c>
      <c r="P1646" s="2">
        <v>0.77690000000000003</v>
      </c>
      <c r="Q1646" s="2">
        <v>101</v>
      </c>
      <c r="R1646" s="4">
        <v>5.1857100314738323E-5</v>
      </c>
      <c r="T1646">
        <v>316139</v>
      </c>
      <c r="U1646" s="2">
        <v>4129489</v>
      </c>
      <c r="V1646">
        <v>6188</v>
      </c>
      <c r="W1646" s="2">
        <v>6579000000</v>
      </c>
      <c r="X1646" s="6">
        <v>1947659.9999999993</v>
      </c>
      <c r="Y1646" s="38">
        <v>10010</v>
      </c>
      <c r="Z1646" s="86">
        <f>+((DETALLE_GD_1[[#This Row],[VALOR X UN (GD)]]-DETALLE_GD_1[[#This Row],[VALOR PPTO]])/DETALLE_GD_1[[#This Row],[VALOR PPTO]])</f>
        <v>-5.1855560005389863E-5</v>
      </c>
      <c r="AA1646" s="2">
        <f>+DETALLE_GD_1[[#This Row],[VALOR PPTO]]*DETALLE_GD_1[[#This Row],[CANTIDAD RECIBIDA]]</f>
        <v>1947660</v>
      </c>
      <c r="AB16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46" s="3">
        <f>+DETALLE_GD_1[[#This Row],[CANTIDAD SOLICITADA]]-DETALLE_GD_1[[#This Row],[DEVOLUCIÓN]]</f>
        <v>130</v>
      </c>
      <c r="AD1646" s="38" t="str">
        <f>+_xlfn.XLOOKUP(DETALLE_GD_1[[#This Row],[CODIGO]],PRODUCTOS[CODIGO],PRODUCTOS[DESC CORTA],"",0)</f>
        <v>TERCIADO FENOLICO</v>
      </c>
    </row>
    <row r="1647" spans="1:30" x14ac:dyDescent="0.25">
      <c r="A1647" s="1">
        <v>46162</v>
      </c>
      <c r="B1647" s="1">
        <v>46162</v>
      </c>
      <c r="C1647" s="81" t="s">
        <v>169</v>
      </c>
      <c r="D1647" s="38">
        <v>5</v>
      </c>
      <c r="E1647" s="81" t="s">
        <v>169</v>
      </c>
      <c r="F1647" t="s">
        <v>231</v>
      </c>
      <c r="G1647" s="81" t="s">
        <v>180</v>
      </c>
      <c r="H1647" s="81" t="s">
        <v>36</v>
      </c>
      <c r="I1647" s="3">
        <v>8</v>
      </c>
      <c r="J1647" s="3"/>
      <c r="K1647" s="26">
        <v>8</v>
      </c>
      <c r="L1647" s="2">
        <v>51255.375</v>
      </c>
      <c r="M1647" s="2">
        <v>410043</v>
      </c>
      <c r="N1647" s="2">
        <v>410043</v>
      </c>
      <c r="O1647" s="2">
        <v>55858.301899999999</v>
      </c>
      <c r="P1647" s="2">
        <v>4602.9269000000004</v>
      </c>
      <c r="Q1647" s="2">
        <v>36823.415099999998</v>
      </c>
      <c r="R1647" s="4">
        <v>8.2403630821280688E-2</v>
      </c>
      <c r="T1647">
        <v>316139</v>
      </c>
      <c r="U1647" s="2"/>
      <c r="V1647">
        <v>6188</v>
      </c>
      <c r="W1647" s="2">
        <v>6579000000</v>
      </c>
      <c r="X1647" s="6">
        <v>446866.4150959999</v>
      </c>
      <c r="Y1647" s="38">
        <v>10010</v>
      </c>
      <c r="Z1647" s="86">
        <f>+((DETALLE_GD_1[[#This Row],[VALOR X UN (GD)]]-DETALLE_GD_1[[#This Row],[VALOR PPTO]])/DETALLE_GD_1[[#This Row],[VALOR PPTO]])</f>
        <v>-8.2403631034834571E-2</v>
      </c>
      <c r="AA1647" s="2">
        <f>+DETALLE_GD_1[[#This Row],[VALOR PPTO]]*DETALLE_GD_1[[#This Row],[CANTIDAD RECIBIDA]]</f>
        <v>446866.41519999999</v>
      </c>
      <c r="AB1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7" s="3">
        <f>+DETALLE_GD_1[[#This Row],[CANTIDAD SOLICITADA]]-DETALLE_GD_1[[#This Row],[DEVOLUCIÓN]]</f>
        <v>8</v>
      </c>
      <c r="AD1647" s="38">
        <f>+_xlfn.XLOOKUP(DETALLE_GD_1[[#This Row],[CODIGO]],PRODUCTOS[CODIGO],PRODUCTOS[DESC CORTA],"",0)</f>
        <v>0</v>
      </c>
    </row>
    <row r="1648" spans="1:30" x14ac:dyDescent="0.25">
      <c r="A1648" s="1">
        <v>46162</v>
      </c>
      <c r="B1648" s="1">
        <v>46162</v>
      </c>
      <c r="C1648" s="81" t="s">
        <v>169</v>
      </c>
      <c r="D1648" s="38">
        <v>5</v>
      </c>
      <c r="E1648" s="81" t="s">
        <v>169</v>
      </c>
      <c r="F1648">
        <v>407011</v>
      </c>
      <c r="G1648" s="81" t="s">
        <v>30</v>
      </c>
      <c r="H1648" s="81" t="s">
        <v>31</v>
      </c>
      <c r="I1648" s="3">
        <v>2000</v>
      </c>
      <c r="J1648" s="3"/>
      <c r="K1648" s="26">
        <v>2000</v>
      </c>
      <c r="L1648" s="2">
        <v>444.97949999999997</v>
      </c>
      <c r="M1648" s="2">
        <v>889959</v>
      </c>
      <c r="N1648" s="2">
        <v>889959</v>
      </c>
      <c r="O1648" s="2">
        <v>473.17520000000002</v>
      </c>
      <c r="P1648" s="2">
        <v>28.195699999999999</v>
      </c>
      <c r="Q1648" s="2">
        <v>56391.48</v>
      </c>
      <c r="R1648" s="4">
        <v>5.9588367303411625E-2</v>
      </c>
      <c r="T1648">
        <v>316139</v>
      </c>
      <c r="U1648" s="2"/>
      <c r="V1648">
        <v>6188</v>
      </c>
      <c r="W1648" s="2">
        <v>6579000000</v>
      </c>
      <c r="X1648" s="6">
        <v>946350.47999999986</v>
      </c>
      <c r="Y1648" s="38">
        <v>10010</v>
      </c>
      <c r="Z1648" s="86">
        <f>+((DETALLE_GD_1[[#This Row],[VALOR X UN (GD)]]-DETALLE_GD_1[[#This Row],[VALOR PPTO]])/DETALLE_GD_1[[#This Row],[VALOR PPTO]])</f>
        <v>-5.9588287805447206E-2</v>
      </c>
      <c r="AA1648" s="2">
        <f>+DETALLE_GD_1[[#This Row],[VALOR PPTO]]*DETALLE_GD_1[[#This Row],[CANTIDAD RECIBIDA]]</f>
        <v>946350.4</v>
      </c>
      <c r="AB1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48" s="3">
        <f>+DETALLE_GD_1[[#This Row],[CANTIDAD SOLICITADA]]-DETALLE_GD_1[[#This Row],[DEVOLUCIÓN]]</f>
        <v>2000</v>
      </c>
      <c r="AD1648" s="38" t="str">
        <f>+_xlfn.XLOOKUP(DETALLE_GD_1[[#This Row],[CODIGO]],PRODUCTOS[CODIGO],PRODUCTOS[DESC CORTA],"",0)</f>
        <v>TORNILLO SIMPSON 6"</v>
      </c>
    </row>
    <row r="1649" spans="1:30" x14ac:dyDescent="0.25">
      <c r="A1649" s="1">
        <v>46162</v>
      </c>
      <c r="B1649" s="1">
        <v>46162</v>
      </c>
      <c r="C1649" s="81" t="s">
        <v>169</v>
      </c>
      <c r="D1649" s="38">
        <v>5</v>
      </c>
      <c r="E1649" s="81" t="s">
        <v>169</v>
      </c>
      <c r="F1649">
        <v>408088</v>
      </c>
      <c r="G1649" s="81" t="s">
        <v>109</v>
      </c>
      <c r="H1649" s="81" t="s">
        <v>36</v>
      </c>
      <c r="I1649" s="3">
        <v>2</v>
      </c>
      <c r="J1649" s="3"/>
      <c r="K1649" s="26">
        <v>2</v>
      </c>
      <c r="L1649" s="2">
        <v>17500</v>
      </c>
      <c r="M1649" s="2">
        <v>35000</v>
      </c>
      <c r="N1649" s="2">
        <v>35000</v>
      </c>
      <c r="O1649" s="2">
        <v>17500.092700000001</v>
      </c>
      <c r="P1649" s="2">
        <v>9.2700000000000005E-2</v>
      </c>
      <c r="Q1649" s="2">
        <v>0.18540000000000001</v>
      </c>
      <c r="R1649" s="4">
        <v>5.2979719312796486E-6</v>
      </c>
      <c r="T1649">
        <v>316139</v>
      </c>
      <c r="U1649" s="2"/>
      <c r="V1649">
        <v>6188</v>
      </c>
      <c r="W1649" s="2">
        <v>6579000000</v>
      </c>
      <c r="X1649" s="6">
        <v>35000.185429999998</v>
      </c>
      <c r="Y1649" s="38">
        <v>10010</v>
      </c>
      <c r="Z1649" s="86">
        <f>+((DETALLE_GD_1[[#This Row],[VALOR X UN (GD)]]-DETALLE_GD_1[[#This Row],[VALOR PPTO]])/DETALLE_GD_1[[#This Row],[VALOR PPTO]])</f>
        <v>-5.2971147976295791E-6</v>
      </c>
      <c r="AA1649" s="2">
        <f>+DETALLE_GD_1[[#This Row],[VALOR PPTO]]*DETALLE_GD_1[[#This Row],[CANTIDAD RECIBIDA]]</f>
        <v>35000.185400000002</v>
      </c>
      <c r="AB16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9" s="3">
        <f>+DETALLE_GD_1[[#This Row],[CANTIDAD SOLICITADA]]-DETALLE_GD_1[[#This Row],[DEVOLUCIÓN]]</f>
        <v>2</v>
      </c>
      <c r="AD1649" s="38" t="str">
        <f>+_xlfn.XLOOKUP(DETALLE_GD_1[[#This Row],[CODIGO]],PRODUCTOS[CODIGO],PRODUCTOS[DESC CORTA],"",0)</f>
        <v>GRAPA T50</v>
      </c>
    </row>
    <row r="1650" spans="1:30" x14ac:dyDescent="0.25">
      <c r="A1650" s="1">
        <v>46162</v>
      </c>
      <c r="B1650" s="1">
        <v>46162</v>
      </c>
      <c r="C1650" s="81" t="s">
        <v>169</v>
      </c>
      <c r="D1650" s="38">
        <v>5</v>
      </c>
      <c r="E1650" s="81" t="s">
        <v>169</v>
      </c>
      <c r="F1650">
        <v>408014</v>
      </c>
      <c r="G1650" s="81" t="s">
        <v>108</v>
      </c>
      <c r="H1650" s="81" t="s">
        <v>36</v>
      </c>
      <c r="I1650" s="3">
        <v>4</v>
      </c>
      <c r="J1650" s="3"/>
      <c r="K1650" s="26">
        <v>4</v>
      </c>
      <c r="L1650" s="2">
        <v>16182</v>
      </c>
      <c r="M1650" s="2">
        <v>64728</v>
      </c>
      <c r="N1650" s="2">
        <v>64728</v>
      </c>
      <c r="O1650" s="2">
        <v>16182.1068</v>
      </c>
      <c r="P1650" s="2">
        <v>0.10680000000000001</v>
      </c>
      <c r="Q1650" s="2">
        <v>0.42699999999999999</v>
      </c>
      <c r="R1650" s="4">
        <v>6.5975340279806539E-6</v>
      </c>
      <c r="T1650">
        <v>316139</v>
      </c>
      <c r="U1650" s="2"/>
      <c r="V1650">
        <v>6188</v>
      </c>
      <c r="W1650" s="2">
        <v>6579000000</v>
      </c>
      <c r="X1650" s="6">
        <v>64728.427048000027</v>
      </c>
      <c r="Y1650" s="38">
        <v>10010</v>
      </c>
      <c r="Z1650" s="86">
        <f>+((DETALLE_GD_1[[#This Row],[VALOR X UN (GD)]]-DETALLE_GD_1[[#This Row],[VALOR PPTO]])/DETALLE_GD_1[[#This Row],[VALOR PPTO]])</f>
        <v>-6.5998822847693946E-6</v>
      </c>
      <c r="AA1650" s="2">
        <f>+DETALLE_GD_1[[#This Row],[VALOR PPTO]]*DETALLE_GD_1[[#This Row],[CANTIDAD RECIBIDA]]</f>
        <v>64728.427199999998</v>
      </c>
      <c r="AB1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0" s="3">
        <f>+DETALLE_GD_1[[#This Row],[CANTIDAD SOLICITADA]]-DETALLE_GD_1[[#This Row],[DEVOLUCIÓN]]</f>
        <v>4</v>
      </c>
      <c r="AD1650" s="38" t="str">
        <f>+_xlfn.XLOOKUP(DETALLE_GD_1[[#This Row],[CODIGO]],PRODUCTOS[CODIGO],PRODUCTOS[DESC CORTA],"",0)</f>
        <v>GRAPA T40</v>
      </c>
    </row>
    <row r="1651" spans="1:30" x14ac:dyDescent="0.25">
      <c r="A1651" s="1">
        <v>46162</v>
      </c>
      <c r="B1651" s="1">
        <v>46162</v>
      </c>
      <c r="C1651" s="81" t="s">
        <v>169</v>
      </c>
      <c r="D1651" s="38">
        <v>5</v>
      </c>
      <c r="E1651" s="81" t="s">
        <v>169</v>
      </c>
      <c r="F1651">
        <v>701084</v>
      </c>
      <c r="G1651" s="81" t="s">
        <v>38</v>
      </c>
      <c r="H1651" s="81" t="s">
        <v>18</v>
      </c>
      <c r="I1651" s="3">
        <v>20</v>
      </c>
      <c r="J1651" s="3"/>
      <c r="K1651" s="26">
        <v>20</v>
      </c>
      <c r="L1651" s="2">
        <v>39110</v>
      </c>
      <c r="M1651" s="2">
        <v>782200</v>
      </c>
      <c r="N1651" s="2">
        <v>782200</v>
      </c>
      <c r="O1651" s="2">
        <v>38182.916700000002</v>
      </c>
      <c r="P1651" s="2">
        <v>-927.08330000000001</v>
      </c>
      <c r="Q1651" s="2">
        <v>-18541.666700000002</v>
      </c>
      <c r="R1651" s="4">
        <v>-2.428005542597127E-2</v>
      </c>
      <c r="T1651">
        <v>316139</v>
      </c>
      <c r="U1651" s="2"/>
      <c r="V1651">
        <v>6188</v>
      </c>
      <c r="W1651" s="2">
        <v>6579000000</v>
      </c>
      <c r="X1651" s="6">
        <v>763658.3333399999</v>
      </c>
      <c r="Y1651" s="38">
        <v>10010</v>
      </c>
      <c r="Z1651" s="86">
        <f>+((DETALLE_GD_1[[#This Row],[VALOR X UN (GD)]]-DETALLE_GD_1[[#This Row],[VALOR PPTO]])/DETALLE_GD_1[[#This Row],[VALOR PPTO]])</f>
        <v>2.4280054540726018E-2</v>
      </c>
      <c r="AA1651" s="2">
        <f>+DETALLE_GD_1[[#This Row],[VALOR PPTO]]*DETALLE_GD_1[[#This Row],[CANTIDAD RECIBIDA]]</f>
        <v>763658.33400000003</v>
      </c>
      <c r="AB16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1" s="3">
        <f>+DETALLE_GD_1[[#This Row],[CANTIDAD SOLICITADA]]-DETALLE_GD_1[[#This Row],[DEVOLUCIÓN]]</f>
        <v>20</v>
      </c>
      <c r="AD1651" s="38" t="str">
        <f>+_xlfn.XLOOKUP(DETALLE_GD_1[[#This Row],[CODIGO]],PRODUCTOS[CODIGO],PRODUCTOS[DESC CORTA],"",0)</f>
        <v>FIBROCEMENTO BALCON</v>
      </c>
    </row>
    <row r="1652" spans="1:30" x14ac:dyDescent="0.25">
      <c r="A1652" s="1">
        <v>46162</v>
      </c>
      <c r="B1652" s="1">
        <v>46162</v>
      </c>
      <c r="C1652" s="81" t="s">
        <v>169</v>
      </c>
      <c r="D1652" s="38">
        <v>5</v>
      </c>
      <c r="E1652" s="81" t="s">
        <v>169</v>
      </c>
      <c r="F1652">
        <v>407185</v>
      </c>
      <c r="G1652" s="81" t="s">
        <v>43</v>
      </c>
      <c r="H1652" s="81" t="s">
        <v>31</v>
      </c>
      <c r="I1652" s="3">
        <v>4500</v>
      </c>
      <c r="J1652" s="3"/>
      <c r="K1652" s="26">
        <v>4500</v>
      </c>
      <c r="L1652" s="2">
        <v>6.2656000000000001</v>
      </c>
      <c r="M1652" s="2">
        <v>28195</v>
      </c>
      <c r="N1652" s="2">
        <v>28195</v>
      </c>
      <c r="O1652" s="2">
        <v>6.8783000000000003</v>
      </c>
      <c r="P1652" s="2">
        <v>0.61280000000000001</v>
      </c>
      <c r="Q1652" s="2">
        <v>2757.44</v>
      </c>
      <c r="R1652" s="4">
        <v>8.9086353127572598E-2</v>
      </c>
      <c r="T1652">
        <v>316149</v>
      </c>
      <c r="U1652" s="2">
        <v>1399212</v>
      </c>
      <c r="V1652">
        <v>6188</v>
      </c>
      <c r="W1652" s="2">
        <v>6579000000</v>
      </c>
      <c r="X1652" s="6">
        <v>30952.44</v>
      </c>
      <c r="Y1652" s="38">
        <v>10010</v>
      </c>
      <c r="Z1652" s="86">
        <f>+((DETALLE_GD_1[[#This Row],[VALOR X UN (GD)]]-DETALLE_GD_1[[#This Row],[VALOR PPTO]])/DETALLE_GD_1[[#This Row],[VALOR PPTO]])</f>
        <v>-8.9077242923396804E-2</v>
      </c>
      <c r="AA1652" s="2">
        <f>+DETALLE_GD_1[[#This Row],[VALOR PPTO]]*DETALLE_GD_1[[#This Row],[CANTIDAD RECIBIDA]]</f>
        <v>30952.350000000002</v>
      </c>
      <c r="AB1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2" s="3">
        <f>+DETALLE_GD_1[[#This Row],[CANTIDAD SOLICITADA]]-DETALLE_GD_1[[#This Row],[DEVOLUCIÓN]]</f>
        <v>4500</v>
      </c>
      <c r="AD1652" s="38">
        <f>+_xlfn.XLOOKUP(DETALLE_GD_1[[#This Row],[CODIGO]],PRODUCTOS[CODIGO],PRODUCTOS[DESC CORTA],"",0)</f>
        <v>0</v>
      </c>
    </row>
    <row r="1653" spans="1:30" x14ac:dyDescent="0.25">
      <c r="A1653" s="1">
        <v>46162</v>
      </c>
      <c r="B1653" s="1">
        <v>46162</v>
      </c>
      <c r="C1653" s="81" t="s">
        <v>169</v>
      </c>
      <c r="D1653" s="38">
        <v>5</v>
      </c>
      <c r="E1653" s="81" t="s">
        <v>169</v>
      </c>
      <c r="F1653">
        <v>408034</v>
      </c>
      <c r="G1653" s="81" t="s">
        <v>250</v>
      </c>
      <c r="H1653" s="81" t="s">
        <v>36</v>
      </c>
      <c r="I1653" s="3">
        <v>1</v>
      </c>
      <c r="J1653" s="3"/>
      <c r="K1653" s="26">
        <v>1</v>
      </c>
      <c r="L1653" s="2">
        <v>1867</v>
      </c>
      <c r="M1653" s="2">
        <v>1867</v>
      </c>
      <c r="N1653" s="2">
        <v>1867</v>
      </c>
      <c r="O1653" s="2">
        <v>1866.9503999999999</v>
      </c>
      <c r="P1653" s="2">
        <v>-4.9599999999999998E-2</v>
      </c>
      <c r="Q1653" s="2">
        <v>-4.9599999999999998E-2</v>
      </c>
      <c r="R1653" s="4">
        <v>-2.6591494447838636E-5</v>
      </c>
      <c r="T1653">
        <v>316149</v>
      </c>
      <c r="U1653" s="2"/>
      <c r="V1653">
        <v>6188</v>
      </c>
      <c r="W1653" s="2">
        <v>6579000000</v>
      </c>
      <c r="X1653" s="6">
        <v>1866.9503550000009</v>
      </c>
      <c r="Y1653" s="38">
        <v>10010</v>
      </c>
      <c r="Z1653" s="86">
        <f>+((DETALLE_GD_1[[#This Row],[VALOR X UN (GD)]]-DETALLE_GD_1[[#This Row],[VALOR PPTO]])/DETALLE_GD_1[[#This Row],[VALOR PPTO]])</f>
        <v>2.6567390328128124E-5</v>
      </c>
      <c r="AA1653" s="2">
        <f>+DETALLE_GD_1[[#This Row],[VALOR PPTO]]*DETALLE_GD_1[[#This Row],[CANTIDAD RECIBIDA]]</f>
        <v>1866.9503999999999</v>
      </c>
      <c r="AB1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3" s="3">
        <f>+DETALLE_GD_1[[#This Row],[CANTIDAD SOLICITADA]]-DETALLE_GD_1[[#This Row],[DEVOLUCIÓN]]</f>
        <v>1</v>
      </c>
      <c r="AD1653" s="38">
        <f>+_xlfn.XLOOKUP(DETALLE_GD_1[[#This Row],[CODIGO]],PRODUCTOS[CODIGO],PRODUCTOS[DESC CORTA],"",0)</f>
        <v>0</v>
      </c>
    </row>
    <row r="1654" spans="1:30" x14ac:dyDescent="0.25">
      <c r="A1654" s="1">
        <v>46162</v>
      </c>
      <c r="B1654" s="1">
        <v>46162</v>
      </c>
      <c r="C1654" s="81" t="s">
        <v>169</v>
      </c>
      <c r="D1654" s="38">
        <v>5</v>
      </c>
      <c r="E1654" s="81" t="s">
        <v>169</v>
      </c>
      <c r="F1654">
        <v>2304002</v>
      </c>
      <c r="G1654" s="81" t="s">
        <v>212</v>
      </c>
      <c r="H1654" s="81" t="s">
        <v>31</v>
      </c>
      <c r="I1654" s="3">
        <v>12</v>
      </c>
      <c r="J1654" s="3"/>
      <c r="K1654" s="26">
        <v>12</v>
      </c>
      <c r="L1654" s="2">
        <v>1409.5</v>
      </c>
      <c r="M1654" s="2">
        <v>16914</v>
      </c>
      <c r="N1654" s="2">
        <v>16914</v>
      </c>
      <c r="O1654" s="2">
        <v>1376.4717000000001</v>
      </c>
      <c r="P1654" s="2">
        <v>-33.028300000000002</v>
      </c>
      <c r="Q1654" s="2">
        <v>-396.33929999999998</v>
      </c>
      <c r="R1654" s="4">
        <v>-2.399488156866781E-2</v>
      </c>
      <c r="T1654">
        <v>316149</v>
      </c>
      <c r="U1654" s="2"/>
      <c r="V1654">
        <v>6188</v>
      </c>
      <c r="W1654" s="2">
        <v>6579000000</v>
      </c>
      <c r="X1654" s="6">
        <v>16517.660688</v>
      </c>
      <c r="Y1654" s="38">
        <v>10010</v>
      </c>
      <c r="Z1654" s="86">
        <f>+((DETALLE_GD_1[[#This Row],[VALOR X UN (GD)]]-DETALLE_GD_1[[#This Row],[VALOR PPTO]])/DETALLE_GD_1[[#This Row],[VALOR PPTO]])</f>
        <v>2.3994899422923075E-2</v>
      </c>
      <c r="AA1654" s="2">
        <f>+DETALLE_GD_1[[#This Row],[VALOR PPTO]]*DETALLE_GD_1[[#This Row],[CANTIDAD RECIBIDA]]</f>
        <v>16517.660400000001</v>
      </c>
      <c r="AB1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4" s="3">
        <f>+DETALLE_GD_1[[#This Row],[CANTIDAD SOLICITADA]]-DETALLE_GD_1[[#This Row],[DEVOLUCIÓN]]</f>
        <v>12</v>
      </c>
      <c r="AD1654" s="38">
        <f>+_xlfn.XLOOKUP(DETALLE_GD_1[[#This Row],[CODIGO]],PRODUCTOS[CODIGO],PRODUCTOS[DESC CORTA],"",0)</f>
        <v>0</v>
      </c>
    </row>
    <row r="1655" spans="1:30" x14ac:dyDescent="0.25">
      <c r="A1655" s="1">
        <v>46162</v>
      </c>
      <c r="B1655" s="1">
        <v>46162</v>
      </c>
      <c r="C1655" s="81" t="s">
        <v>169</v>
      </c>
      <c r="D1655" s="38">
        <v>5</v>
      </c>
      <c r="E1655" s="81" t="s">
        <v>169</v>
      </c>
      <c r="F1655">
        <v>2302119</v>
      </c>
      <c r="G1655" s="81" t="s">
        <v>74</v>
      </c>
      <c r="H1655" s="81" t="s">
        <v>31</v>
      </c>
      <c r="I1655" s="3">
        <v>12</v>
      </c>
      <c r="J1655" s="3"/>
      <c r="K1655" s="26">
        <v>12</v>
      </c>
      <c r="L1655" s="2">
        <v>3679.9167000000002</v>
      </c>
      <c r="M1655" s="2">
        <v>44159</v>
      </c>
      <c r="N1655" s="2">
        <v>44159</v>
      </c>
      <c r="O1655" s="2">
        <v>3671</v>
      </c>
      <c r="P1655" s="2">
        <v>-8.9167000000000005</v>
      </c>
      <c r="Q1655" s="2">
        <v>-107</v>
      </c>
      <c r="R1655" s="4">
        <v>-2.4289476073730632E-3</v>
      </c>
      <c r="T1655">
        <v>316149</v>
      </c>
      <c r="U1655" s="2"/>
      <c r="V1655">
        <v>6188</v>
      </c>
      <c r="W1655" s="2">
        <v>6579000000</v>
      </c>
      <c r="X1655" s="6">
        <v>44052</v>
      </c>
      <c r="Y1655" s="38">
        <v>10010</v>
      </c>
      <c r="Z1655" s="86">
        <f>+((DETALLE_GD_1[[#This Row],[VALOR X UN (GD)]]-DETALLE_GD_1[[#This Row],[VALOR PPTO]])/DETALLE_GD_1[[#This Row],[VALOR PPTO]])</f>
        <v>2.4289566875511357E-3</v>
      </c>
      <c r="AA1655" s="2">
        <f>+DETALLE_GD_1[[#This Row],[VALOR PPTO]]*DETALLE_GD_1[[#This Row],[CANTIDAD RECIBIDA]]</f>
        <v>44052</v>
      </c>
      <c r="AB1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5" s="3">
        <f>+DETALLE_GD_1[[#This Row],[CANTIDAD SOLICITADA]]-DETALLE_GD_1[[#This Row],[DEVOLUCIÓN]]</f>
        <v>12</v>
      </c>
      <c r="AD1655" s="38" t="str">
        <f>+_xlfn.XLOOKUP(DETALLE_GD_1[[#This Row],[CODIGO]],PRODUCTOS[CODIGO],PRODUCTOS[DESC CORTA],"",0)</f>
        <v>SELLO</v>
      </c>
    </row>
    <row r="1656" spans="1:30" x14ac:dyDescent="0.25">
      <c r="A1656" s="1">
        <v>46162</v>
      </c>
      <c r="B1656" s="1">
        <v>46162</v>
      </c>
      <c r="C1656" s="81" t="s">
        <v>169</v>
      </c>
      <c r="D1656" s="38">
        <v>5</v>
      </c>
      <c r="E1656" s="81" t="s">
        <v>169</v>
      </c>
      <c r="F1656">
        <v>601047</v>
      </c>
      <c r="G1656" s="81" t="s">
        <v>129</v>
      </c>
      <c r="H1656" s="81" t="s">
        <v>25</v>
      </c>
      <c r="I1656" s="3">
        <v>1</v>
      </c>
      <c r="J1656" s="3"/>
      <c r="K1656" s="26">
        <v>1</v>
      </c>
      <c r="L1656" s="2">
        <v>49501</v>
      </c>
      <c r="M1656" s="2">
        <v>49501</v>
      </c>
      <c r="N1656" s="2">
        <v>49501</v>
      </c>
      <c r="O1656" s="2">
        <v>50286.86</v>
      </c>
      <c r="P1656" s="2">
        <v>785.86</v>
      </c>
      <c r="Q1656" s="2">
        <v>785.86</v>
      </c>
      <c r="R1656" s="4">
        <v>1.5627541667942689E-2</v>
      </c>
      <c r="T1656">
        <v>316149</v>
      </c>
      <c r="U1656" s="2"/>
      <c r="V1656">
        <v>6188</v>
      </c>
      <c r="W1656" s="2">
        <v>6579000000</v>
      </c>
      <c r="X1656" s="6">
        <v>50286.86</v>
      </c>
      <c r="Y1656" s="38">
        <v>10010</v>
      </c>
      <c r="Z1656" s="86">
        <f>+((DETALLE_GD_1[[#This Row],[VALOR X UN (GD)]]-DETALLE_GD_1[[#This Row],[VALOR PPTO]])/DETALLE_GD_1[[#This Row],[VALOR PPTO]])</f>
        <v>-1.5627541667942689E-2</v>
      </c>
      <c r="AA1656" s="2">
        <f>+DETALLE_GD_1[[#This Row],[VALOR PPTO]]*DETALLE_GD_1[[#This Row],[CANTIDAD RECIBIDA]]</f>
        <v>50286.86</v>
      </c>
      <c r="AB1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6" s="3">
        <f>+DETALLE_GD_1[[#This Row],[CANTIDAD SOLICITADA]]-DETALLE_GD_1[[#This Row],[DEVOLUCIÓN]]</f>
        <v>1</v>
      </c>
      <c r="AD1656" s="38" t="str">
        <f>+_xlfn.XLOOKUP(DETALLE_GD_1[[#This Row],[CODIGO]],PRODUCTOS[CODIGO],PRODUCTOS[DESC CORTA],"",0)</f>
        <v>ESMALTE AL AGUA</v>
      </c>
    </row>
    <row r="1657" spans="1:30" x14ac:dyDescent="0.25">
      <c r="A1657" s="1">
        <v>46162</v>
      </c>
      <c r="B1657" s="1">
        <v>46162</v>
      </c>
      <c r="C1657" s="81" t="s">
        <v>169</v>
      </c>
      <c r="D1657" s="38">
        <v>5</v>
      </c>
      <c r="E1657" s="81" t="s">
        <v>169</v>
      </c>
      <c r="F1657">
        <v>2304008</v>
      </c>
      <c r="G1657" s="81" t="s">
        <v>707</v>
      </c>
      <c r="H1657" s="81" t="s">
        <v>31</v>
      </c>
      <c r="I1657" s="3">
        <v>12</v>
      </c>
      <c r="J1657" s="3"/>
      <c r="K1657" s="26">
        <v>12</v>
      </c>
      <c r="L1657" s="2">
        <v>2550</v>
      </c>
      <c r="M1657" s="2">
        <v>30600</v>
      </c>
      <c r="N1657" s="2">
        <v>30600</v>
      </c>
      <c r="O1657" s="2"/>
      <c r="P1657" s="2"/>
      <c r="Q1657" s="2">
        <v>-30600</v>
      </c>
      <c r="R1657" s="4"/>
      <c r="T1657">
        <v>316149</v>
      </c>
      <c r="U1657" s="2"/>
      <c r="V1657">
        <v>6188</v>
      </c>
      <c r="W1657" s="2">
        <v>6579000000</v>
      </c>
      <c r="X1657" s="6" t="s">
        <v>355</v>
      </c>
      <c r="Y1657" s="38">
        <v>10010</v>
      </c>
      <c r="Z1657" s="86" t="e">
        <f>+((DETALLE_GD_1[[#This Row],[VALOR X UN (GD)]]-DETALLE_GD_1[[#This Row],[VALOR PPTO]])/DETALLE_GD_1[[#This Row],[VALOR PPTO]])</f>
        <v>#DIV/0!</v>
      </c>
      <c r="AA1657" s="2">
        <f>+DETALLE_GD_1[[#This Row],[VALOR PPTO]]*DETALLE_GD_1[[#This Row],[CANTIDAD RECIBIDA]]</f>
        <v>0</v>
      </c>
      <c r="AB1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7" s="3">
        <f>+DETALLE_GD_1[[#This Row],[CANTIDAD SOLICITADA]]-DETALLE_GD_1[[#This Row],[DEVOLUCIÓN]]</f>
        <v>12</v>
      </c>
      <c r="AD1657" s="38" t="str">
        <f>+_xlfn.XLOOKUP(DETALLE_GD_1[[#This Row],[CODIGO]],PRODUCTOS[CODIGO],PRODUCTOS[DESC CORTA],"",0)</f>
        <v/>
      </c>
    </row>
    <row r="1658" spans="1:30" x14ac:dyDescent="0.25">
      <c r="A1658" s="1">
        <v>46162</v>
      </c>
      <c r="B1658" s="1">
        <v>46162</v>
      </c>
      <c r="C1658" s="81" t="s">
        <v>169</v>
      </c>
      <c r="D1658" s="38">
        <v>5</v>
      </c>
      <c r="E1658" s="81" t="s">
        <v>169</v>
      </c>
      <c r="F1658">
        <v>1803045</v>
      </c>
      <c r="G1658" s="81" t="s">
        <v>337</v>
      </c>
      <c r="H1658" s="81" t="s">
        <v>90</v>
      </c>
      <c r="I1658" s="3">
        <v>2</v>
      </c>
      <c r="J1658" s="3"/>
      <c r="K1658" s="26">
        <v>2</v>
      </c>
      <c r="L1658" s="2">
        <v>51881.5</v>
      </c>
      <c r="M1658" s="2">
        <v>103763</v>
      </c>
      <c r="N1658" s="2">
        <v>103763</v>
      </c>
      <c r="O1658" s="2">
        <v>51873</v>
      </c>
      <c r="P1658" s="2">
        <v>-8.5</v>
      </c>
      <c r="Q1658" s="2">
        <v>-17</v>
      </c>
      <c r="R1658" s="4">
        <v>-1.638617392479185E-4</v>
      </c>
      <c r="T1658">
        <v>316149</v>
      </c>
      <c r="U1658" s="2"/>
      <c r="V1658">
        <v>6188</v>
      </c>
      <c r="W1658" s="2">
        <v>6579000000</v>
      </c>
      <c r="X1658" s="6">
        <v>103746</v>
      </c>
      <c r="Y1658" s="38">
        <v>10010</v>
      </c>
      <c r="Z1658" s="86">
        <f>+((DETALLE_GD_1[[#This Row],[VALOR X UN (GD)]]-DETALLE_GD_1[[#This Row],[VALOR PPTO]])/DETALLE_GD_1[[#This Row],[VALOR PPTO]])</f>
        <v>1.6386173924777824E-4</v>
      </c>
      <c r="AA1658" s="2">
        <f>+DETALLE_GD_1[[#This Row],[VALOR PPTO]]*DETALLE_GD_1[[#This Row],[CANTIDAD RECIBIDA]]</f>
        <v>103746</v>
      </c>
      <c r="AB16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58" s="3">
        <f>+DETALLE_GD_1[[#This Row],[CANTIDAD SOLICITADA]]-DETALLE_GD_1[[#This Row],[DEVOLUCIÓN]]</f>
        <v>2</v>
      </c>
      <c r="AD1658" s="38" t="str">
        <f>+_xlfn.XLOOKUP(DETALLE_GD_1[[#This Row],[CODIGO]],PRODUCTOS[CODIGO],PRODUCTOS[DESC CORTA],"",0)</f>
        <v>PUERTA INTERIOR</v>
      </c>
    </row>
    <row r="1659" spans="1:30" x14ac:dyDescent="0.25">
      <c r="A1659" s="1">
        <v>46162</v>
      </c>
      <c r="B1659" s="1">
        <v>46162</v>
      </c>
      <c r="C1659" s="81" t="s">
        <v>169</v>
      </c>
      <c r="D1659" s="38">
        <v>5</v>
      </c>
      <c r="E1659" s="81" t="s">
        <v>169</v>
      </c>
      <c r="F1659">
        <v>1803044</v>
      </c>
      <c r="G1659" s="81" t="s">
        <v>336</v>
      </c>
      <c r="H1659" s="81" t="s">
        <v>90</v>
      </c>
      <c r="I1659" s="3">
        <v>1</v>
      </c>
      <c r="J1659" s="3"/>
      <c r="K1659" s="26">
        <v>1</v>
      </c>
      <c r="L1659" s="2">
        <v>51876</v>
      </c>
      <c r="M1659" s="2">
        <v>51876</v>
      </c>
      <c r="N1659" s="2">
        <v>51876</v>
      </c>
      <c r="O1659" s="2">
        <v>52920</v>
      </c>
      <c r="P1659" s="2">
        <v>1044</v>
      </c>
      <c r="Q1659" s="2">
        <v>1044</v>
      </c>
      <c r="R1659" s="4">
        <v>1.9727891156462583E-2</v>
      </c>
      <c r="T1659">
        <v>316149</v>
      </c>
      <c r="U1659" s="2"/>
      <c r="V1659">
        <v>6188</v>
      </c>
      <c r="W1659" s="2">
        <v>6579000000</v>
      </c>
      <c r="X1659" s="6">
        <v>52920</v>
      </c>
      <c r="Y1659" s="38">
        <v>10010</v>
      </c>
      <c r="Z1659" s="86">
        <f>+((DETALLE_GD_1[[#This Row],[VALOR X UN (GD)]]-DETALLE_GD_1[[#This Row],[VALOR PPTO]])/DETALLE_GD_1[[#This Row],[VALOR PPTO]])</f>
        <v>-1.9727891156462583E-2</v>
      </c>
      <c r="AA1659" s="2">
        <f>+DETALLE_GD_1[[#This Row],[VALOR PPTO]]*DETALLE_GD_1[[#This Row],[CANTIDAD RECIBIDA]]</f>
        <v>52920</v>
      </c>
      <c r="AB16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9" s="3">
        <f>+DETALLE_GD_1[[#This Row],[CANTIDAD SOLICITADA]]-DETALLE_GD_1[[#This Row],[DEVOLUCIÓN]]</f>
        <v>1</v>
      </c>
      <c r="AD1659" s="38" t="str">
        <f>+_xlfn.XLOOKUP(DETALLE_GD_1[[#This Row],[CODIGO]],PRODUCTOS[CODIGO],PRODUCTOS[DESC CORTA],"",0)</f>
        <v/>
      </c>
    </row>
    <row r="1660" spans="1:30" x14ac:dyDescent="0.25">
      <c r="A1660" s="1">
        <v>46162</v>
      </c>
      <c r="B1660" s="1">
        <v>46162</v>
      </c>
      <c r="C1660" s="81" t="s">
        <v>169</v>
      </c>
      <c r="D1660" s="38">
        <v>5</v>
      </c>
      <c r="E1660" s="81" t="s">
        <v>169</v>
      </c>
      <c r="F1660">
        <v>1405040</v>
      </c>
      <c r="G1660" s="81" t="s">
        <v>451</v>
      </c>
      <c r="H1660" s="81" t="s">
        <v>31</v>
      </c>
      <c r="I1660" s="3">
        <v>4</v>
      </c>
      <c r="J1660" s="3"/>
      <c r="K1660" s="26">
        <v>4</v>
      </c>
      <c r="L1660" s="2">
        <v>7573.75</v>
      </c>
      <c r="M1660" s="2">
        <v>30295</v>
      </c>
      <c r="N1660" s="2">
        <v>30295</v>
      </c>
      <c r="O1660" s="2">
        <v>7568</v>
      </c>
      <c r="P1660" s="2">
        <v>-5.75</v>
      </c>
      <c r="Q1660" s="2">
        <v>-23</v>
      </c>
      <c r="R1660" s="4">
        <v>-7.5977801268498947E-4</v>
      </c>
      <c r="T1660">
        <v>316149</v>
      </c>
      <c r="U1660" s="2"/>
      <c r="V1660">
        <v>6188</v>
      </c>
      <c r="W1660" s="2">
        <v>6579000000</v>
      </c>
      <c r="X1660" s="6">
        <v>30272</v>
      </c>
      <c r="Y1660" s="38">
        <v>10010</v>
      </c>
      <c r="Z1660" s="86">
        <f>+((DETALLE_GD_1[[#This Row],[VALOR X UN (GD)]]-DETALLE_GD_1[[#This Row],[VALOR PPTO]])/DETALLE_GD_1[[#This Row],[VALOR PPTO]])</f>
        <v>7.5977801268498947E-4</v>
      </c>
      <c r="AA1660" s="2">
        <f>+DETALLE_GD_1[[#This Row],[VALOR PPTO]]*DETALLE_GD_1[[#This Row],[CANTIDAD RECIBIDA]]</f>
        <v>30272</v>
      </c>
      <c r="AB16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0" s="3">
        <f>+DETALLE_GD_1[[#This Row],[CANTIDAD SOLICITADA]]-DETALLE_GD_1[[#This Row],[DEVOLUCIÓN]]</f>
        <v>4</v>
      </c>
      <c r="AD1660" s="38" t="str">
        <f>+_xlfn.XLOOKUP(DETALLE_GD_1[[#This Row],[CODIGO]],PRODUCTOS[CODIGO],PRODUCTOS[DESC CORTA],"",0)</f>
        <v>CEERRADURA BAÑO 815 TUBULAR</v>
      </c>
    </row>
    <row r="1661" spans="1:30" x14ac:dyDescent="0.25">
      <c r="A1661" s="1">
        <v>46162</v>
      </c>
      <c r="B1661" s="1">
        <v>46162</v>
      </c>
      <c r="C1661" s="81" t="s">
        <v>169</v>
      </c>
      <c r="D1661" s="38">
        <v>5</v>
      </c>
      <c r="E1661" s="81" t="s">
        <v>169</v>
      </c>
      <c r="F1661">
        <v>2508988</v>
      </c>
      <c r="G1661" s="81" t="s">
        <v>469</v>
      </c>
      <c r="H1661" s="81" t="s">
        <v>90</v>
      </c>
      <c r="I1661" s="3">
        <v>2</v>
      </c>
      <c r="J1661" s="3"/>
      <c r="K1661" s="26">
        <v>2</v>
      </c>
      <c r="L1661" s="2">
        <v>142675.5</v>
      </c>
      <c r="M1661" s="2">
        <v>285351</v>
      </c>
      <c r="N1661" s="2">
        <v>285351</v>
      </c>
      <c r="O1661" s="2"/>
      <c r="P1661" s="2"/>
      <c r="Q1661" s="2">
        <v>-285351</v>
      </c>
      <c r="R1661" s="4"/>
      <c r="T1661">
        <v>316149</v>
      </c>
      <c r="U1661" s="2"/>
      <c r="V1661">
        <v>6188</v>
      </c>
      <c r="W1661" s="2">
        <v>6579000000</v>
      </c>
      <c r="X1661" s="6" t="s">
        <v>355</v>
      </c>
      <c r="Y1661" s="38">
        <v>10010</v>
      </c>
      <c r="Z1661" s="86" t="e">
        <f>+((DETALLE_GD_1[[#This Row],[VALOR X UN (GD)]]-DETALLE_GD_1[[#This Row],[VALOR PPTO]])/DETALLE_GD_1[[#This Row],[VALOR PPTO]])</f>
        <v>#DIV/0!</v>
      </c>
      <c r="AA1661" s="2">
        <f>+DETALLE_GD_1[[#This Row],[VALOR PPTO]]*DETALLE_GD_1[[#This Row],[CANTIDAD RECIBIDA]]</f>
        <v>0</v>
      </c>
      <c r="AB16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1" s="3">
        <f>+DETALLE_GD_1[[#This Row],[CANTIDAD SOLICITADA]]-DETALLE_GD_1[[#This Row],[DEVOLUCIÓN]]</f>
        <v>2</v>
      </c>
      <c r="AD1661" s="38" t="str">
        <f>+_xlfn.XLOOKUP(DETALLE_GD_1[[#This Row],[CODIGO]],PRODUCTOS[CODIGO],PRODUCTOS[DESC CORTA],"",0)</f>
        <v/>
      </c>
    </row>
    <row r="1662" spans="1:30" x14ac:dyDescent="0.25">
      <c r="A1662" s="1">
        <v>46162</v>
      </c>
      <c r="B1662" s="1">
        <v>46162</v>
      </c>
      <c r="C1662" s="81" t="s">
        <v>169</v>
      </c>
      <c r="D1662" s="38">
        <v>5</v>
      </c>
      <c r="E1662" s="81" t="s">
        <v>169</v>
      </c>
      <c r="F1662">
        <v>2508987</v>
      </c>
      <c r="G1662" s="81" t="s">
        <v>305</v>
      </c>
      <c r="H1662" s="81" t="s">
        <v>31</v>
      </c>
      <c r="I1662" s="3">
        <v>1</v>
      </c>
      <c r="J1662" s="3"/>
      <c r="K1662" s="26">
        <v>1</v>
      </c>
      <c r="L1662" s="2">
        <v>142531</v>
      </c>
      <c r="M1662" s="2">
        <v>142531</v>
      </c>
      <c r="N1662" s="2">
        <v>142531</v>
      </c>
      <c r="O1662" s="2">
        <v>145847</v>
      </c>
      <c r="P1662" s="2">
        <v>3316</v>
      </c>
      <c r="Q1662" s="2">
        <v>3316</v>
      </c>
      <c r="R1662" s="4">
        <v>2.2736155011758897E-2</v>
      </c>
      <c r="T1662">
        <v>316149</v>
      </c>
      <c r="U1662" s="2"/>
      <c r="V1662">
        <v>6188</v>
      </c>
      <c r="W1662" s="2">
        <v>6579000000</v>
      </c>
      <c r="X1662" s="6">
        <v>145847</v>
      </c>
      <c r="Y1662" s="38">
        <v>10010</v>
      </c>
      <c r="Z1662" s="86">
        <f>+((DETALLE_GD_1[[#This Row],[VALOR X UN (GD)]]-DETALLE_GD_1[[#This Row],[VALOR PPTO]])/DETALLE_GD_1[[#This Row],[VALOR PPTO]])</f>
        <v>-2.2736155011758897E-2</v>
      </c>
      <c r="AA1662" s="2">
        <f>+DETALLE_GD_1[[#This Row],[VALOR PPTO]]*DETALLE_GD_1[[#This Row],[CANTIDAD RECIBIDA]]</f>
        <v>145847</v>
      </c>
      <c r="AB16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2" s="3">
        <f>+DETALLE_GD_1[[#This Row],[CANTIDAD SOLICITADA]]-DETALLE_GD_1[[#This Row],[DEVOLUCIÓN]]</f>
        <v>1</v>
      </c>
      <c r="AD1662" s="38" t="str">
        <f>+_xlfn.XLOOKUP(DETALLE_GD_1[[#This Row],[CODIGO]],PRODUCTOS[CODIGO],PRODUCTOS[DESC CORTA],"",0)</f>
        <v>KIT PREC</v>
      </c>
    </row>
    <row r="1663" spans="1:30" x14ac:dyDescent="0.25">
      <c r="A1663" s="1">
        <v>46162</v>
      </c>
      <c r="B1663" s="1">
        <v>46162</v>
      </c>
      <c r="C1663" s="81" t="s">
        <v>169</v>
      </c>
      <c r="D1663" s="38">
        <v>5</v>
      </c>
      <c r="E1663" s="81" t="s">
        <v>169</v>
      </c>
      <c r="F1663">
        <v>106022</v>
      </c>
      <c r="G1663" s="81" t="s">
        <v>245</v>
      </c>
      <c r="H1663" s="81" t="s">
        <v>31</v>
      </c>
      <c r="I1663" s="3">
        <v>6</v>
      </c>
      <c r="J1663" s="3"/>
      <c r="K1663" s="26">
        <v>6</v>
      </c>
      <c r="L1663" s="2">
        <v>3800.1667000000002</v>
      </c>
      <c r="M1663" s="2">
        <v>22801</v>
      </c>
      <c r="N1663" s="2">
        <v>22801</v>
      </c>
      <c r="O1663" s="2">
        <v>3800.6911</v>
      </c>
      <c r="P1663" s="2">
        <v>0.52439999999999998</v>
      </c>
      <c r="Q1663" s="2">
        <v>3.1465999999999998</v>
      </c>
      <c r="R1663" s="4">
        <v>1.379834139828004E-4</v>
      </c>
      <c r="T1663">
        <v>316149</v>
      </c>
      <c r="U1663" s="2"/>
      <c r="V1663">
        <v>6188</v>
      </c>
      <c r="W1663" s="2">
        <v>6579000000</v>
      </c>
      <c r="X1663" s="6">
        <v>22804.146594000005</v>
      </c>
      <c r="Y1663" s="38">
        <v>10010</v>
      </c>
      <c r="Z1663" s="86">
        <f>+((DETALLE_GD_1[[#This Row],[VALOR X UN (GD)]]-DETALLE_GD_1[[#This Row],[VALOR PPTO]])/DETALLE_GD_1[[#This Row],[VALOR PPTO]])</f>
        <v>-1.3797490672151356E-4</v>
      </c>
      <c r="AA1663" s="2">
        <f>+DETALLE_GD_1[[#This Row],[VALOR PPTO]]*DETALLE_GD_1[[#This Row],[CANTIDAD RECIBIDA]]</f>
        <v>22804.1466</v>
      </c>
      <c r="AB16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3" s="3">
        <f>+DETALLE_GD_1[[#This Row],[CANTIDAD SOLICITADA]]-DETALLE_GD_1[[#This Row],[DEVOLUCIÓN]]</f>
        <v>6</v>
      </c>
      <c r="AD1663" s="38">
        <f>+_xlfn.XLOOKUP(DETALLE_GD_1[[#This Row],[CODIGO]],PRODUCTOS[CODIGO],PRODUCTOS[DESC CORTA],"",0)</f>
        <v>0</v>
      </c>
    </row>
    <row r="1664" spans="1:30" x14ac:dyDescent="0.25">
      <c r="A1664" s="1">
        <v>46162</v>
      </c>
      <c r="B1664" s="1">
        <v>46162</v>
      </c>
      <c r="C1664" s="81" t="s">
        <v>169</v>
      </c>
      <c r="D1664" s="38">
        <v>5</v>
      </c>
      <c r="E1664" s="81" t="s">
        <v>169</v>
      </c>
      <c r="F1664">
        <v>1405025</v>
      </c>
      <c r="G1664" s="81" t="s">
        <v>189</v>
      </c>
      <c r="H1664" s="81" t="s">
        <v>31</v>
      </c>
      <c r="I1664" s="3">
        <v>6</v>
      </c>
      <c r="J1664" s="3"/>
      <c r="K1664" s="26">
        <v>6</v>
      </c>
      <c r="L1664" s="2">
        <v>6988</v>
      </c>
      <c r="M1664" s="2">
        <v>41928</v>
      </c>
      <c r="N1664" s="2">
        <v>41928</v>
      </c>
      <c r="O1664" s="2">
        <v>6758.5333000000001</v>
      </c>
      <c r="P1664" s="2">
        <v>-229.4667</v>
      </c>
      <c r="Q1664" s="2">
        <v>-1376.8</v>
      </c>
      <c r="R1664" s="4">
        <v>-3.3952139568444395E-2</v>
      </c>
      <c r="T1664">
        <v>316149</v>
      </c>
      <c r="U1664" s="2"/>
      <c r="V1664">
        <v>6188</v>
      </c>
      <c r="W1664" s="2">
        <v>6579000000</v>
      </c>
      <c r="X1664" s="6">
        <v>40551.199997999996</v>
      </c>
      <c r="Y1664" s="38">
        <v>10010</v>
      </c>
      <c r="Z1664" s="86">
        <f>+((DETALLE_GD_1[[#This Row],[VALOR X UN (GD)]]-DETALLE_GD_1[[#This Row],[VALOR PPTO]])/DETALLE_GD_1[[#This Row],[VALOR PPTO]])</f>
        <v>3.3952144616939288E-2</v>
      </c>
      <c r="AA1664" s="2">
        <f>+DETALLE_GD_1[[#This Row],[VALOR PPTO]]*DETALLE_GD_1[[#This Row],[CANTIDAD RECIBIDA]]</f>
        <v>40551.199800000002</v>
      </c>
      <c r="AB1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4" s="3">
        <f>+DETALLE_GD_1[[#This Row],[CANTIDAD SOLICITADA]]-DETALLE_GD_1[[#This Row],[DEVOLUCIÓN]]</f>
        <v>6</v>
      </c>
      <c r="AD1664" s="38">
        <f>+_xlfn.XLOOKUP(DETALLE_GD_1[[#This Row],[CODIGO]],PRODUCTOS[CODIGO],PRODUCTOS[DESC CORTA],"",0)</f>
        <v>0</v>
      </c>
    </row>
    <row r="1665" spans="1:30" x14ac:dyDescent="0.25">
      <c r="A1665" s="1">
        <v>46162</v>
      </c>
      <c r="B1665" s="1">
        <v>46162</v>
      </c>
      <c r="C1665" s="81" t="s">
        <v>169</v>
      </c>
      <c r="D1665" s="38">
        <v>5</v>
      </c>
      <c r="E1665" s="81" t="s">
        <v>169</v>
      </c>
      <c r="F1665">
        <v>2508994</v>
      </c>
      <c r="G1665" s="81" t="s">
        <v>488</v>
      </c>
      <c r="H1665" s="81" t="s">
        <v>31</v>
      </c>
      <c r="I1665" s="3">
        <v>6</v>
      </c>
      <c r="J1665" s="3"/>
      <c r="K1665" s="26">
        <v>6</v>
      </c>
      <c r="L1665" s="2">
        <v>1691.3333</v>
      </c>
      <c r="M1665" s="2">
        <v>10148</v>
      </c>
      <c r="N1665" s="2">
        <v>10148</v>
      </c>
      <c r="O1665" s="2">
        <v>1598</v>
      </c>
      <c r="P1665" s="2">
        <v>-93.333299999999994</v>
      </c>
      <c r="Q1665" s="2">
        <v>-560</v>
      </c>
      <c r="R1665" s="4">
        <v>-5.8406341259908179E-2</v>
      </c>
      <c r="T1665">
        <v>316149</v>
      </c>
      <c r="U1665" s="2"/>
      <c r="V1665">
        <v>6188</v>
      </c>
      <c r="W1665" s="2">
        <v>6579000000</v>
      </c>
      <c r="X1665" s="6">
        <v>9588</v>
      </c>
      <c r="Y1665" s="38">
        <v>10010</v>
      </c>
      <c r="Z1665" s="86">
        <f>+((DETALLE_GD_1[[#This Row],[VALOR X UN (GD)]]-DETALLE_GD_1[[#This Row],[VALOR PPTO]])/DETALLE_GD_1[[#This Row],[VALOR PPTO]])</f>
        <v>5.840632040050063E-2</v>
      </c>
      <c r="AA1665" s="2">
        <f>+DETALLE_GD_1[[#This Row],[VALOR PPTO]]*DETALLE_GD_1[[#This Row],[CANTIDAD RECIBIDA]]</f>
        <v>9588</v>
      </c>
      <c r="AB1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5" s="3">
        <f>+DETALLE_GD_1[[#This Row],[CANTIDAD SOLICITADA]]-DETALLE_GD_1[[#This Row],[DEVOLUCIÓN]]</f>
        <v>6</v>
      </c>
      <c r="AD1665" s="38" t="str">
        <f>+_xlfn.XLOOKUP(DETALLE_GD_1[[#This Row],[CODIGO]],PRODUCTOS[CODIGO],PRODUCTOS[DESC CORTA],"",0)</f>
        <v>CUADRADILLO EXPANSION 8X</v>
      </c>
    </row>
    <row r="1666" spans="1:30" x14ac:dyDescent="0.25">
      <c r="A1666" s="1">
        <v>46162</v>
      </c>
      <c r="B1666" s="1">
        <v>46162</v>
      </c>
      <c r="C1666" s="81" t="s">
        <v>169</v>
      </c>
      <c r="D1666" s="38">
        <v>5</v>
      </c>
      <c r="E1666" s="81" t="s">
        <v>169</v>
      </c>
      <c r="F1666">
        <v>2508993</v>
      </c>
      <c r="G1666" s="81" t="s">
        <v>487</v>
      </c>
      <c r="H1666" s="81" t="s">
        <v>31</v>
      </c>
      <c r="I1666" s="3">
        <v>6</v>
      </c>
      <c r="J1666" s="3"/>
      <c r="K1666" s="26">
        <v>6</v>
      </c>
      <c r="L1666" s="2">
        <v>1461.6667</v>
      </c>
      <c r="M1666" s="2">
        <v>8770</v>
      </c>
      <c r="N1666" s="2">
        <v>8770</v>
      </c>
      <c r="O1666" s="2">
        <v>1410</v>
      </c>
      <c r="P1666" s="2">
        <v>-51.666699999999999</v>
      </c>
      <c r="Q1666" s="2">
        <v>-310</v>
      </c>
      <c r="R1666" s="4">
        <v>-3.6643026004728185E-2</v>
      </c>
      <c r="T1666">
        <v>316149</v>
      </c>
      <c r="U1666" s="2"/>
      <c r="V1666">
        <v>6188</v>
      </c>
      <c r="W1666" s="2">
        <v>6579000000</v>
      </c>
      <c r="X1666" s="6">
        <v>8460</v>
      </c>
      <c r="Y1666" s="38">
        <v>10010</v>
      </c>
      <c r="Z1666" s="86">
        <f>+((DETALLE_GD_1[[#This Row],[VALOR X UN (GD)]]-DETALLE_GD_1[[#This Row],[VALOR PPTO]])/DETALLE_GD_1[[#This Row],[VALOR PPTO]])</f>
        <v>3.6643049645390065E-2</v>
      </c>
      <c r="AA1666" s="2">
        <f>+DETALLE_GD_1[[#This Row],[VALOR PPTO]]*DETALLE_GD_1[[#This Row],[CANTIDAD RECIBIDA]]</f>
        <v>8460</v>
      </c>
      <c r="AB1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6" s="3">
        <f>+DETALLE_GD_1[[#This Row],[CANTIDAD SOLICITADA]]-DETALLE_GD_1[[#This Row],[DEVOLUCIÓN]]</f>
        <v>6</v>
      </c>
      <c r="AD1666" s="38" t="str">
        <f>+_xlfn.XLOOKUP(DETALLE_GD_1[[#This Row],[CODIGO]],PRODUCTOS[CODIGO],PRODUCTOS[DESC CORTA],"",0)</f>
        <v>BOCALLAVE B1 800 ACCESO</v>
      </c>
    </row>
    <row r="1667" spans="1:30" x14ac:dyDescent="0.25">
      <c r="A1667" s="1">
        <v>46162</v>
      </c>
      <c r="B1667" s="1">
        <v>46162</v>
      </c>
      <c r="C1667" s="81" t="s">
        <v>169</v>
      </c>
      <c r="D1667" s="38">
        <v>5</v>
      </c>
      <c r="E1667" s="81" t="s">
        <v>169</v>
      </c>
      <c r="F1667">
        <v>2508992</v>
      </c>
      <c r="G1667" s="81" t="s">
        <v>486</v>
      </c>
      <c r="H1667" s="81" t="s">
        <v>31</v>
      </c>
      <c r="I1667" s="3">
        <v>6</v>
      </c>
      <c r="J1667" s="3"/>
      <c r="K1667" s="26">
        <v>6</v>
      </c>
      <c r="L1667" s="2">
        <v>5068.6666999999998</v>
      </c>
      <c r="M1667" s="2">
        <v>30412</v>
      </c>
      <c r="N1667" s="2">
        <v>30412</v>
      </c>
      <c r="O1667" s="2">
        <v>5084</v>
      </c>
      <c r="P1667" s="2">
        <v>15.333299999999999</v>
      </c>
      <c r="Q1667" s="2">
        <v>92</v>
      </c>
      <c r="R1667" s="4">
        <v>3.0159979019144436E-3</v>
      </c>
      <c r="T1667">
        <v>316149</v>
      </c>
      <c r="U1667" s="2"/>
      <c r="V1667">
        <v>6188</v>
      </c>
      <c r="W1667" s="2">
        <v>6579000000</v>
      </c>
      <c r="X1667" s="6">
        <v>30504</v>
      </c>
      <c r="Y1667" s="38">
        <v>10010</v>
      </c>
      <c r="Z1667" s="86">
        <f>+((DETALLE_GD_1[[#This Row],[VALOR X UN (GD)]]-DETALLE_GD_1[[#This Row],[VALOR PPTO]])/DETALLE_GD_1[[#This Row],[VALOR PPTO]])</f>
        <v>-3.0159913453973713E-3</v>
      </c>
      <c r="AA1667" s="2">
        <f>+DETALLE_GD_1[[#This Row],[VALOR PPTO]]*DETALLE_GD_1[[#This Row],[CANTIDAD RECIBIDA]]</f>
        <v>30504</v>
      </c>
      <c r="AB1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7" s="3">
        <f>+DETALLE_GD_1[[#This Row],[CANTIDAD SOLICITADA]]-DETALLE_GD_1[[#This Row],[DEVOLUCIÓN]]</f>
        <v>6</v>
      </c>
      <c r="AD1667" s="38" t="str">
        <f>+_xlfn.XLOOKUP(DETALLE_GD_1[[#This Row],[CODIGO]],PRODUCTOS[CODIGO],PRODUCTOS[DESC CORTA],"",0)</f>
        <v>MANILLA JUEGO</v>
      </c>
    </row>
    <row r="1668" spans="1:30" x14ac:dyDescent="0.25">
      <c r="A1668" s="1">
        <v>46162</v>
      </c>
      <c r="B1668" s="1">
        <v>46162</v>
      </c>
      <c r="C1668" s="81" t="s">
        <v>169</v>
      </c>
      <c r="D1668" s="38">
        <v>5</v>
      </c>
      <c r="E1668" s="81" t="s">
        <v>169</v>
      </c>
      <c r="F1668">
        <v>2508991</v>
      </c>
      <c r="G1668" s="81" t="s">
        <v>485</v>
      </c>
      <c r="H1668" s="81" t="s">
        <v>31</v>
      </c>
      <c r="I1668" s="3">
        <v>6</v>
      </c>
      <c r="J1668" s="3"/>
      <c r="K1668" s="26">
        <v>6</v>
      </c>
      <c r="L1668" s="2">
        <v>4785.5</v>
      </c>
      <c r="M1668" s="2">
        <v>28713</v>
      </c>
      <c r="N1668" s="2">
        <v>28713</v>
      </c>
      <c r="O1668" s="2">
        <v>4798</v>
      </c>
      <c r="P1668" s="2">
        <v>12.5</v>
      </c>
      <c r="Q1668" s="2">
        <v>75</v>
      </c>
      <c r="R1668" s="4">
        <v>2.6052521884118384E-3</v>
      </c>
      <c r="T1668">
        <v>316149</v>
      </c>
      <c r="U1668" s="2"/>
      <c r="V1668">
        <v>6188</v>
      </c>
      <c r="W1668" s="2">
        <v>6579000000</v>
      </c>
      <c r="X1668" s="6">
        <v>28788</v>
      </c>
      <c r="Y1668" s="38">
        <v>10010</v>
      </c>
      <c r="Z1668" s="86">
        <f>+((DETALLE_GD_1[[#This Row],[VALOR X UN (GD)]]-DETALLE_GD_1[[#This Row],[VALOR PPTO]])/DETALLE_GD_1[[#This Row],[VALOR PPTO]])</f>
        <v>-2.6052521884118384E-3</v>
      </c>
      <c r="AA1668" s="2">
        <f>+DETALLE_GD_1[[#This Row],[VALOR PPTO]]*DETALLE_GD_1[[#This Row],[CANTIDAD RECIBIDA]]</f>
        <v>28788</v>
      </c>
      <c r="AB1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8" s="3">
        <f>+DETALLE_GD_1[[#This Row],[CANTIDAD SOLICITADA]]-DETALLE_GD_1[[#This Row],[DEVOLUCIÓN]]</f>
        <v>6</v>
      </c>
      <c r="AD1668" s="38" t="str">
        <f>+_xlfn.XLOOKUP(DETALLE_GD_1[[#This Row],[CODIGO]],PRODUCTOS[CODIGO],PRODUCTOS[DESC CORTA],"",0)</f>
        <v>CILINDRO 03 LLAVE/LLAVE</v>
      </c>
    </row>
    <row r="1669" spans="1:30" x14ac:dyDescent="0.25">
      <c r="A1669" s="1">
        <v>46162</v>
      </c>
      <c r="B1669" s="1">
        <v>46162</v>
      </c>
      <c r="C1669" s="81" t="s">
        <v>169</v>
      </c>
      <c r="D1669" s="38">
        <v>5</v>
      </c>
      <c r="E1669" s="81" t="s">
        <v>169</v>
      </c>
      <c r="F1669">
        <v>2508990</v>
      </c>
      <c r="G1669" s="81" t="s">
        <v>484</v>
      </c>
      <c r="H1669" s="81" t="s">
        <v>31</v>
      </c>
      <c r="I1669" s="3">
        <v>6</v>
      </c>
      <c r="J1669" s="3"/>
      <c r="K1669" s="26">
        <v>6</v>
      </c>
      <c r="L1669" s="2">
        <v>6688.6666999999998</v>
      </c>
      <c r="M1669" s="2">
        <v>40132</v>
      </c>
      <c r="N1669" s="2">
        <v>40132</v>
      </c>
      <c r="O1669" s="2">
        <v>6738</v>
      </c>
      <c r="P1669" s="2">
        <v>49.333300000000001</v>
      </c>
      <c r="Q1669" s="2">
        <v>296</v>
      </c>
      <c r="R1669" s="4">
        <v>7.321658256653759E-3</v>
      </c>
      <c r="T1669">
        <v>316149</v>
      </c>
      <c r="U1669" s="2"/>
      <c r="V1669">
        <v>6188</v>
      </c>
      <c r="W1669" s="2">
        <v>6579000000</v>
      </c>
      <c r="X1669" s="6">
        <v>40428</v>
      </c>
      <c r="Y1669" s="38">
        <v>10010</v>
      </c>
      <c r="Z1669" s="86">
        <f>+((DETALLE_GD_1[[#This Row],[VALOR X UN (GD)]]-DETALLE_GD_1[[#This Row],[VALOR PPTO]])/DETALLE_GD_1[[#This Row],[VALOR PPTO]])</f>
        <v>-7.3216533095874494E-3</v>
      </c>
      <c r="AA1669" s="2">
        <f>+DETALLE_GD_1[[#This Row],[VALOR PPTO]]*DETALLE_GD_1[[#This Row],[CANTIDAD RECIBIDA]]</f>
        <v>40428</v>
      </c>
      <c r="AB1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9" s="3">
        <f>+DETALLE_GD_1[[#This Row],[CANTIDAD SOLICITADA]]-DETALLE_GD_1[[#This Row],[DEVOLUCIÓN]]</f>
        <v>6</v>
      </c>
      <c r="AD1669" s="38" t="str">
        <f>+_xlfn.XLOOKUP(DETALLE_GD_1[[#This Row],[CODIGO]],PRODUCTOS[CODIGO],PRODUCTOS[DESC CORTA],"",0)</f>
        <v>CERRADURA DE EMB</v>
      </c>
    </row>
    <row r="1670" spans="1:30" x14ac:dyDescent="0.25">
      <c r="A1670" s="1">
        <v>46162</v>
      </c>
      <c r="B1670" s="1">
        <v>46162</v>
      </c>
      <c r="C1670" s="81" t="s">
        <v>169</v>
      </c>
      <c r="D1670" s="38">
        <v>5</v>
      </c>
      <c r="E1670" s="81" t="s">
        <v>169</v>
      </c>
      <c r="F1670">
        <v>1803045</v>
      </c>
      <c r="G1670" s="81" t="s">
        <v>337</v>
      </c>
      <c r="H1670" s="81" t="s">
        <v>90</v>
      </c>
      <c r="I1670" s="3">
        <v>3</v>
      </c>
      <c r="J1670" s="3"/>
      <c r="K1670" s="26">
        <v>3</v>
      </c>
      <c r="L1670" s="2">
        <v>51881.666700000002</v>
      </c>
      <c r="M1670" s="2">
        <v>155645</v>
      </c>
      <c r="N1670" s="2">
        <v>155645</v>
      </c>
      <c r="O1670" s="2">
        <v>51873</v>
      </c>
      <c r="P1670" s="2">
        <v>-8.6667000000000005</v>
      </c>
      <c r="Q1670" s="2">
        <v>-26</v>
      </c>
      <c r="R1670" s="4">
        <v>-1.6707471452723997E-4</v>
      </c>
      <c r="T1670">
        <v>316149</v>
      </c>
      <c r="U1670" s="2"/>
      <c r="V1670">
        <v>6188</v>
      </c>
      <c r="W1670" s="2">
        <v>6579000000</v>
      </c>
      <c r="X1670" s="6">
        <v>155618.99999999997</v>
      </c>
      <c r="Y1670" s="38">
        <v>10010</v>
      </c>
      <c r="Z1670" s="86">
        <f>+((DETALLE_GD_1[[#This Row],[VALOR X UN (GD)]]-DETALLE_GD_1[[#This Row],[VALOR PPTO]])/DETALLE_GD_1[[#This Row],[VALOR PPTO]])</f>
        <v>1.6707535712223284E-4</v>
      </c>
      <c r="AA1670" s="2">
        <f>+DETALLE_GD_1[[#This Row],[VALOR PPTO]]*DETALLE_GD_1[[#This Row],[CANTIDAD RECIBIDA]]</f>
        <v>155619</v>
      </c>
      <c r="AB16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70" s="3">
        <f>+DETALLE_GD_1[[#This Row],[CANTIDAD SOLICITADA]]-DETALLE_GD_1[[#This Row],[DEVOLUCIÓN]]</f>
        <v>3</v>
      </c>
      <c r="AD1670" s="38" t="str">
        <f>+_xlfn.XLOOKUP(DETALLE_GD_1[[#This Row],[CODIGO]],PRODUCTOS[CODIGO],PRODUCTOS[DESC CORTA],"",0)</f>
        <v>PUERTA INTERIOR</v>
      </c>
    </row>
    <row r="1671" spans="1:30" x14ac:dyDescent="0.25">
      <c r="A1671" s="1">
        <v>46162</v>
      </c>
      <c r="B1671" s="1">
        <v>46162</v>
      </c>
      <c r="C1671" s="81" t="s">
        <v>169</v>
      </c>
      <c r="D1671" s="38">
        <v>5</v>
      </c>
      <c r="E1671" s="81" t="s">
        <v>169</v>
      </c>
      <c r="F1671">
        <v>1803044</v>
      </c>
      <c r="G1671" s="81" t="s">
        <v>336</v>
      </c>
      <c r="H1671" s="81" t="s">
        <v>90</v>
      </c>
      <c r="I1671" s="3">
        <v>1</v>
      </c>
      <c r="J1671" s="3"/>
      <c r="K1671" s="26">
        <v>1</v>
      </c>
      <c r="L1671" s="2">
        <v>51876</v>
      </c>
      <c r="M1671" s="2">
        <v>51876</v>
      </c>
      <c r="N1671" s="2">
        <v>51876</v>
      </c>
      <c r="O1671" s="2">
        <v>52920</v>
      </c>
      <c r="P1671" s="2">
        <v>1044</v>
      </c>
      <c r="Q1671" s="2">
        <v>1044</v>
      </c>
      <c r="R1671" s="4">
        <v>1.9727891156462583E-2</v>
      </c>
      <c r="T1671">
        <v>316149</v>
      </c>
      <c r="U1671" s="2"/>
      <c r="V1671">
        <v>6188</v>
      </c>
      <c r="W1671" s="2">
        <v>6579000000</v>
      </c>
      <c r="X1671" s="6">
        <v>52920</v>
      </c>
      <c r="Y1671" s="38">
        <v>10010</v>
      </c>
      <c r="Z1671" s="86">
        <f>+((DETALLE_GD_1[[#This Row],[VALOR X UN (GD)]]-DETALLE_GD_1[[#This Row],[VALOR PPTO]])/DETALLE_GD_1[[#This Row],[VALOR PPTO]])</f>
        <v>-1.9727891156462583E-2</v>
      </c>
      <c r="AA1671" s="2">
        <f>+DETALLE_GD_1[[#This Row],[VALOR PPTO]]*DETALLE_GD_1[[#This Row],[CANTIDAD RECIBIDA]]</f>
        <v>52920</v>
      </c>
      <c r="AB1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1" s="3">
        <f>+DETALLE_GD_1[[#This Row],[CANTIDAD SOLICITADA]]-DETALLE_GD_1[[#This Row],[DEVOLUCIÓN]]</f>
        <v>1</v>
      </c>
      <c r="AD1671" s="38" t="str">
        <f>+_xlfn.XLOOKUP(DETALLE_GD_1[[#This Row],[CODIGO]],PRODUCTOS[CODIGO],PRODUCTOS[DESC CORTA],"",0)</f>
        <v/>
      </c>
    </row>
    <row r="1672" spans="1:30" x14ac:dyDescent="0.25">
      <c r="A1672" s="1">
        <v>46162</v>
      </c>
      <c r="B1672" s="1">
        <v>46162</v>
      </c>
      <c r="C1672" s="81" t="s">
        <v>169</v>
      </c>
      <c r="D1672" s="38">
        <v>5</v>
      </c>
      <c r="E1672" s="81" t="s">
        <v>169</v>
      </c>
      <c r="F1672">
        <v>1402016</v>
      </c>
      <c r="G1672" s="81" t="s">
        <v>798</v>
      </c>
      <c r="H1672" s="81" t="s">
        <v>31</v>
      </c>
      <c r="I1672" s="3">
        <v>6</v>
      </c>
      <c r="J1672" s="3"/>
      <c r="K1672" s="26">
        <v>6</v>
      </c>
      <c r="L1672" s="2">
        <v>754.16669999999999</v>
      </c>
      <c r="M1672" s="2">
        <v>4525</v>
      </c>
      <c r="N1672" s="2">
        <v>4525</v>
      </c>
      <c r="O1672" s="2"/>
      <c r="P1672" s="2"/>
      <c r="Q1672" s="2">
        <v>-4525</v>
      </c>
      <c r="R1672" s="4"/>
      <c r="T1672">
        <v>316149</v>
      </c>
      <c r="U1672" s="2"/>
      <c r="V1672">
        <v>6188</v>
      </c>
      <c r="W1672" s="2">
        <v>6579000000</v>
      </c>
      <c r="X1672" s="6" t="s">
        <v>355</v>
      </c>
      <c r="Y1672" s="38">
        <v>10010</v>
      </c>
      <c r="Z1672" s="86" t="e">
        <f>+((DETALLE_GD_1[[#This Row],[VALOR X UN (GD)]]-DETALLE_GD_1[[#This Row],[VALOR PPTO]])/DETALLE_GD_1[[#This Row],[VALOR PPTO]])</f>
        <v>#DIV/0!</v>
      </c>
      <c r="AA1672" s="2">
        <f>+DETALLE_GD_1[[#This Row],[VALOR PPTO]]*DETALLE_GD_1[[#This Row],[CANTIDAD RECIBIDA]]</f>
        <v>0</v>
      </c>
      <c r="AB1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2" s="3">
        <f>+DETALLE_GD_1[[#This Row],[CANTIDAD SOLICITADA]]-DETALLE_GD_1[[#This Row],[DEVOLUCIÓN]]</f>
        <v>6</v>
      </c>
      <c r="AD1672" s="38" t="str">
        <f>+_xlfn.XLOOKUP(DETALLE_GD_1[[#This Row],[CODIGO]],PRODUCTOS[CODIGO],PRODUCTOS[DESC CORTA],"",0)</f>
        <v/>
      </c>
    </row>
    <row r="1673" spans="1:30" x14ac:dyDescent="0.25">
      <c r="A1673" s="1">
        <v>46162</v>
      </c>
      <c r="B1673" s="1">
        <v>46162</v>
      </c>
      <c r="C1673" s="81" t="s">
        <v>169</v>
      </c>
      <c r="D1673" s="38">
        <v>5</v>
      </c>
      <c r="E1673" s="81" t="s">
        <v>169</v>
      </c>
      <c r="F1673">
        <v>1101298</v>
      </c>
      <c r="G1673" s="81" t="s">
        <v>799</v>
      </c>
      <c r="H1673" s="81" t="s">
        <v>31</v>
      </c>
      <c r="I1673" s="3">
        <v>3</v>
      </c>
      <c r="J1673" s="3"/>
      <c r="K1673" s="26">
        <v>3</v>
      </c>
      <c r="L1673" s="2">
        <v>73070</v>
      </c>
      <c r="M1673" s="2">
        <v>219210</v>
      </c>
      <c r="N1673" s="2">
        <v>219210</v>
      </c>
      <c r="O1673" s="2"/>
      <c r="P1673" s="2"/>
      <c r="Q1673" s="2">
        <v>-219210</v>
      </c>
      <c r="R1673" s="4"/>
      <c r="T1673">
        <v>316149</v>
      </c>
      <c r="U1673" s="2"/>
      <c r="V1673">
        <v>6188</v>
      </c>
      <c r="W1673" s="2">
        <v>6579000000</v>
      </c>
      <c r="X1673" s="6" t="s">
        <v>355</v>
      </c>
      <c r="Y1673" s="38">
        <v>10010</v>
      </c>
      <c r="Z1673" s="86" t="e">
        <f>+((DETALLE_GD_1[[#This Row],[VALOR X UN (GD)]]-DETALLE_GD_1[[#This Row],[VALOR PPTO]])/DETALLE_GD_1[[#This Row],[VALOR PPTO]])</f>
        <v>#DIV/0!</v>
      </c>
      <c r="AA1673" s="2">
        <f>+DETALLE_GD_1[[#This Row],[VALOR PPTO]]*DETALLE_GD_1[[#This Row],[CANTIDAD RECIBIDA]]</f>
        <v>0</v>
      </c>
      <c r="AB1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3" s="3">
        <f>+DETALLE_GD_1[[#This Row],[CANTIDAD SOLICITADA]]-DETALLE_GD_1[[#This Row],[DEVOLUCIÓN]]</f>
        <v>3</v>
      </c>
      <c r="AD1673" s="38" t="str">
        <f>+_xlfn.XLOOKUP(DETALLE_GD_1[[#This Row],[CODIGO]],PRODUCTOS[CODIGO],PRODUCTOS[DESC CORTA],"",0)</f>
        <v/>
      </c>
    </row>
    <row r="1674" spans="1:30" x14ac:dyDescent="0.25">
      <c r="A1674" s="1">
        <v>46162</v>
      </c>
      <c r="B1674" s="1">
        <v>46162</v>
      </c>
      <c r="C1674" s="81" t="s">
        <v>169</v>
      </c>
      <c r="D1674" s="38">
        <v>5</v>
      </c>
      <c r="E1674" s="81" t="s">
        <v>169</v>
      </c>
      <c r="F1674">
        <v>2505058</v>
      </c>
      <c r="G1674" s="81" t="s">
        <v>142</v>
      </c>
      <c r="H1674" s="81" t="s">
        <v>31</v>
      </c>
      <c r="I1674" s="3">
        <v>10</v>
      </c>
      <c r="J1674" s="3"/>
      <c r="K1674" s="26">
        <v>10</v>
      </c>
      <c r="L1674" s="2">
        <v>16539.7</v>
      </c>
      <c r="M1674" s="2">
        <v>165397</v>
      </c>
      <c r="N1674" s="2">
        <v>165397</v>
      </c>
      <c r="O1674" s="2">
        <v>17870.144100000001</v>
      </c>
      <c r="P1674" s="2">
        <v>1330.4440999999999</v>
      </c>
      <c r="Q1674" s="2">
        <v>13304.440699999999</v>
      </c>
      <c r="R1674" s="4">
        <v>7.4450662677220475E-2</v>
      </c>
      <c r="T1674">
        <v>316109</v>
      </c>
      <c r="U1674" s="2">
        <v>846383</v>
      </c>
      <c r="V1674">
        <v>6188</v>
      </c>
      <c r="W1674" s="2">
        <v>6579000000</v>
      </c>
      <c r="X1674" s="6">
        <v>178701.44068</v>
      </c>
      <c r="Y1674" s="38">
        <v>10010</v>
      </c>
      <c r="Z1674" s="86">
        <f>+((DETALLE_GD_1[[#This Row],[VALOR X UN (GD)]]-DETALLE_GD_1[[#This Row],[VALOR PPTO]])/DETALLE_GD_1[[#This Row],[VALOR PPTO]])</f>
        <v>-7.445066433459821E-2</v>
      </c>
      <c r="AA1674" s="2">
        <f>+DETALLE_GD_1[[#This Row],[VALOR PPTO]]*DETALLE_GD_1[[#This Row],[CANTIDAD RECIBIDA]]</f>
        <v>178701.44100000002</v>
      </c>
      <c r="AB1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4" s="3">
        <f>+DETALLE_GD_1[[#This Row],[CANTIDAD SOLICITADA]]-DETALLE_GD_1[[#This Row],[DEVOLUCIÓN]]</f>
        <v>10</v>
      </c>
      <c r="AD1674" s="38" t="str">
        <f>+_xlfn.XLOOKUP(DETALLE_GD_1[[#This Row],[CODIGO]],PRODUCTOS[CODIGO],PRODUCTOS[DESC CORTA],"",0)</f>
        <v>VENTILACIÓN PASIVA</v>
      </c>
    </row>
    <row r="1675" spans="1:30" x14ac:dyDescent="0.25">
      <c r="A1675" s="1">
        <v>46162</v>
      </c>
      <c r="B1675" s="1">
        <v>46162</v>
      </c>
      <c r="C1675" s="81" t="s">
        <v>169</v>
      </c>
      <c r="D1675" s="38">
        <v>5</v>
      </c>
      <c r="E1675" s="81" t="s">
        <v>169</v>
      </c>
      <c r="F1675">
        <v>106022</v>
      </c>
      <c r="G1675" s="81" t="s">
        <v>245</v>
      </c>
      <c r="H1675" s="81" t="s">
        <v>31</v>
      </c>
      <c r="I1675" s="3">
        <v>4</v>
      </c>
      <c r="J1675" s="3"/>
      <c r="K1675" s="26">
        <v>4</v>
      </c>
      <c r="L1675" s="2">
        <v>3800.25</v>
      </c>
      <c r="M1675" s="2">
        <v>15201</v>
      </c>
      <c r="N1675" s="2">
        <v>15201</v>
      </c>
      <c r="O1675" s="2">
        <v>3800.6911</v>
      </c>
      <c r="P1675" s="2">
        <v>0.44109999999999999</v>
      </c>
      <c r="Q1675" s="2">
        <v>1.7644</v>
      </c>
      <c r="R1675" s="4">
        <v>1.1605757703293336E-4</v>
      </c>
      <c r="T1675">
        <v>316109</v>
      </c>
      <c r="U1675" s="2"/>
      <c r="V1675">
        <v>6188</v>
      </c>
      <c r="W1675" s="2">
        <v>6579000000</v>
      </c>
      <c r="X1675" s="6">
        <v>15202.764396000002</v>
      </c>
      <c r="Y1675" s="38">
        <v>10010</v>
      </c>
      <c r="Z1675" s="86">
        <f>+((DETALLE_GD_1[[#This Row],[VALOR X UN (GD)]]-DETALLE_GD_1[[#This Row],[VALOR PPTO]])/DETALLE_GD_1[[#This Row],[VALOR PPTO]])</f>
        <v>-1.1605784011229058E-4</v>
      </c>
      <c r="AA1675" s="2">
        <f>+DETALLE_GD_1[[#This Row],[VALOR PPTO]]*DETALLE_GD_1[[#This Row],[CANTIDAD RECIBIDA]]</f>
        <v>15202.7644</v>
      </c>
      <c r="AB1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5" s="3">
        <f>+DETALLE_GD_1[[#This Row],[CANTIDAD SOLICITADA]]-DETALLE_GD_1[[#This Row],[DEVOLUCIÓN]]</f>
        <v>4</v>
      </c>
      <c r="AD1675" s="38">
        <f>+_xlfn.XLOOKUP(DETALLE_GD_1[[#This Row],[CODIGO]],PRODUCTOS[CODIGO],PRODUCTOS[DESC CORTA],"",0)</f>
        <v>0</v>
      </c>
    </row>
    <row r="1676" spans="1:30" x14ac:dyDescent="0.25">
      <c r="A1676" s="1">
        <v>46162</v>
      </c>
      <c r="B1676" s="1">
        <v>46162</v>
      </c>
      <c r="C1676" s="81" t="s">
        <v>169</v>
      </c>
      <c r="D1676" s="38">
        <v>5</v>
      </c>
      <c r="E1676" s="81" t="s">
        <v>169</v>
      </c>
      <c r="F1676">
        <v>1405025</v>
      </c>
      <c r="G1676" s="81" t="s">
        <v>189</v>
      </c>
      <c r="H1676" s="81" t="s">
        <v>31</v>
      </c>
      <c r="I1676" s="3">
        <v>5</v>
      </c>
      <c r="J1676" s="3"/>
      <c r="K1676" s="26">
        <v>5</v>
      </c>
      <c r="L1676" s="2">
        <v>6988</v>
      </c>
      <c r="M1676" s="2">
        <v>34940</v>
      </c>
      <c r="N1676" s="2">
        <v>34940</v>
      </c>
      <c r="O1676" s="2">
        <v>6758.5333000000001</v>
      </c>
      <c r="P1676" s="2">
        <v>-229.4667</v>
      </c>
      <c r="Q1676" s="2">
        <v>-1147.3333</v>
      </c>
      <c r="R1676" s="4">
        <v>-3.3952139568444395E-2</v>
      </c>
      <c r="T1676">
        <v>316109</v>
      </c>
      <c r="U1676" s="2"/>
      <c r="V1676">
        <v>6188</v>
      </c>
      <c r="W1676" s="2">
        <v>6579000000</v>
      </c>
      <c r="X1676" s="6">
        <v>33792.666665000004</v>
      </c>
      <c r="Y1676" s="38">
        <v>10010</v>
      </c>
      <c r="Z1676" s="86">
        <f>+((DETALLE_GD_1[[#This Row],[VALOR X UN (GD)]]-DETALLE_GD_1[[#This Row],[VALOR PPTO]])/DETALLE_GD_1[[#This Row],[VALOR PPTO]])</f>
        <v>3.3952144616939288E-2</v>
      </c>
      <c r="AA1676" s="2">
        <f>+DETALLE_GD_1[[#This Row],[VALOR PPTO]]*DETALLE_GD_1[[#This Row],[CANTIDAD RECIBIDA]]</f>
        <v>33792.666499999999</v>
      </c>
      <c r="AB1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6" s="3">
        <f>+DETALLE_GD_1[[#This Row],[CANTIDAD SOLICITADA]]-DETALLE_GD_1[[#This Row],[DEVOLUCIÓN]]</f>
        <v>5</v>
      </c>
      <c r="AD1676" s="38">
        <f>+_xlfn.XLOOKUP(DETALLE_GD_1[[#This Row],[CODIGO]],PRODUCTOS[CODIGO],PRODUCTOS[DESC CORTA],"",0)</f>
        <v>0</v>
      </c>
    </row>
    <row r="1677" spans="1:30" x14ac:dyDescent="0.25">
      <c r="A1677" s="1">
        <v>46162</v>
      </c>
      <c r="B1677" s="1">
        <v>46162</v>
      </c>
      <c r="C1677" s="81" t="s">
        <v>169</v>
      </c>
      <c r="D1677" s="38">
        <v>5</v>
      </c>
      <c r="E1677" s="81" t="s">
        <v>169</v>
      </c>
      <c r="F1677">
        <v>2508994</v>
      </c>
      <c r="G1677" s="81" t="s">
        <v>488</v>
      </c>
      <c r="H1677" s="81" t="s">
        <v>31</v>
      </c>
      <c r="I1677" s="3">
        <v>5</v>
      </c>
      <c r="J1677" s="3"/>
      <c r="K1677" s="26">
        <v>5</v>
      </c>
      <c r="L1677" s="2">
        <v>1691.4</v>
      </c>
      <c r="M1677" s="2">
        <v>8457</v>
      </c>
      <c r="N1677" s="2">
        <v>8457</v>
      </c>
      <c r="O1677" s="2">
        <v>1598</v>
      </c>
      <c r="P1677" s="2">
        <v>-93.4</v>
      </c>
      <c r="Q1677" s="2">
        <v>-467</v>
      </c>
      <c r="R1677" s="4">
        <v>-5.8448060075093927E-2</v>
      </c>
      <c r="T1677">
        <v>316109</v>
      </c>
      <c r="U1677" s="2"/>
      <c r="V1677">
        <v>6188</v>
      </c>
      <c r="W1677" s="2">
        <v>6579000000</v>
      </c>
      <c r="X1677" s="6">
        <v>7990</v>
      </c>
      <c r="Y1677" s="38">
        <v>10010</v>
      </c>
      <c r="Z1677" s="86">
        <f>+((DETALLE_GD_1[[#This Row],[VALOR X UN (GD)]]-DETALLE_GD_1[[#This Row],[VALOR PPTO]])/DETALLE_GD_1[[#This Row],[VALOR PPTO]])</f>
        <v>5.8448060075093927E-2</v>
      </c>
      <c r="AA1677" s="2">
        <f>+DETALLE_GD_1[[#This Row],[VALOR PPTO]]*DETALLE_GD_1[[#This Row],[CANTIDAD RECIBIDA]]</f>
        <v>7990</v>
      </c>
      <c r="AB1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7" s="3">
        <f>+DETALLE_GD_1[[#This Row],[CANTIDAD SOLICITADA]]-DETALLE_GD_1[[#This Row],[DEVOLUCIÓN]]</f>
        <v>5</v>
      </c>
      <c r="AD1677" s="38" t="str">
        <f>+_xlfn.XLOOKUP(DETALLE_GD_1[[#This Row],[CODIGO]],PRODUCTOS[CODIGO],PRODUCTOS[DESC CORTA],"",0)</f>
        <v>CUADRADILLO EXPANSION 8X</v>
      </c>
    </row>
    <row r="1678" spans="1:30" x14ac:dyDescent="0.25">
      <c r="A1678" s="1">
        <v>46162</v>
      </c>
      <c r="B1678" s="1">
        <v>46162</v>
      </c>
      <c r="C1678" s="81" t="s">
        <v>169</v>
      </c>
      <c r="D1678" s="38">
        <v>5</v>
      </c>
      <c r="E1678" s="81" t="s">
        <v>169</v>
      </c>
      <c r="F1678">
        <v>2508993</v>
      </c>
      <c r="G1678" s="81" t="s">
        <v>487</v>
      </c>
      <c r="H1678" s="81" t="s">
        <v>31</v>
      </c>
      <c r="I1678" s="3">
        <v>10</v>
      </c>
      <c r="J1678" s="3"/>
      <c r="K1678" s="26">
        <v>10</v>
      </c>
      <c r="L1678" s="2">
        <v>1461.6</v>
      </c>
      <c r="M1678" s="2">
        <v>14616</v>
      </c>
      <c r="N1678" s="2">
        <v>14616</v>
      </c>
      <c r="O1678" s="2">
        <v>1410</v>
      </c>
      <c r="P1678" s="2">
        <v>-51.6</v>
      </c>
      <c r="Q1678" s="2">
        <v>-516</v>
      </c>
      <c r="R1678" s="4">
        <v>-3.6595744680851E-2</v>
      </c>
      <c r="T1678">
        <v>316109</v>
      </c>
      <c r="U1678" s="2"/>
      <c r="V1678">
        <v>6188</v>
      </c>
      <c r="W1678" s="2">
        <v>6579000000</v>
      </c>
      <c r="X1678" s="6">
        <v>14100</v>
      </c>
      <c r="Y1678" s="38">
        <v>10010</v>
      </c>
      <c r="Z1678" s="86">
        <f>+((DETALLE_GD_1[[#This Row],[VALOR X UN (GD)]]-DETALLE_GD_1[[#This Row],[VALOR PPTO]])/DETALLE_GD_1[[#This Row],[VALOR PPTO]])</f>
        <v>3.6595744680851E-2</v>
      </c>
      <c r="AA1678" s="2">
        <f>+DETALLE_GD_1[[#This Row],[VALOR PPTO]]*DETALLE_GD_1[[#This Row],[CANTIDAD RECIBIDA]]</f>
        <v>14100</v>
      </c>
      <c r="AB1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8" s="3">
        <f>+DETALLE_GD_1[[#This Row],[CANTIDAD SOLICITADA]]-DETALLE_GD_1[[#This Row],[DEVOLUCIÓN]]</f>
        <v>10</v>
      </c>
      <c r="AD1678" s="38" t="str">
        <f>+_xlfn.XLOOKUP(DETALLE_GD_1[[#This Row],[CODIGO]],PRODUCTOS[CODIGO],PRODUCTOS[DESC CORTA],"",0)</f>
        <v>BOCALLAVE B1 800 ACCESO</v>
      </c>
    </row>
    <row r="1679" spans="1:30" x14ac:dyDescent="0.25">
      <c r="A1679" s="1">
        <v>46162</v>
      </c>
      <c r="B1679" s="1">
        <v>46162</v>
      </c>
      <c r="C1679" s="81" t="s">
        <v>169</v>
      </c>
      <c r="D1679" s="38">
        <v>5</v>
      </c>
      <c r="E1679" s="81" t="s">
        <v>169</v>
      </c>
      <c r="F1679">
        <v>2508992</v>
      </c>
      <c r="G1679" s="81" t="s">
        <v>486</v>
      </c>
      <c r="H1679" s="81" t="s">
        <v>31</v>
      </c>
      <c r="I1679" s="3">
        <v>15</v>
      </c>
      <c r="J1679" s="3"/>
      <c r="K1679" s="26">
        <v>15</v>
      </c>
      <c r="L1679" s="2">
        <v>5068.6666999999998</v>
      </c>
      <c r="M1679" s="2">
        <v>76030</v>
      </c>
      <c r="N1679" s="2">
        <v>76030</v>
      </c>
      <c r="O1679" s="2">
        <v>5084</v>
      </c>
      <c r="P1679" s="2">
        <v>15.333299999999999</v>
      </c>
      <c r="Q1679" s="2">
        <v>230</v>
      </c>
      <c r="R1679" s="4">
        <v>3.0159979019144436E-3</v>
      </c>
      <c r="T1679">
        <v>316109</v>
      </c>
      <c r="U1679" s="2"/>
      <c r="V1679">
        <v>6188</v>
      </c>
      <c r="W1679" s="2">
        <v>6579000000</v>
      </c>
      <c r="X1679" s="6">
        <v>76260</v>
      </c>
      <c r="Y1679" s="38">
        <v>10010</v>
      </c>
      <c r="Z1679" s="86">
        <f>+((DETALLE_GD_1[[#This Row],[VALOR X UN (GD)]]-DETALLE_GD_1[[#This Row],[VALOR PPTO]])/DETALLE_GD_1[[#This Row],[VALOR PPTO]])</f>
        <v>-3.0159913453973713E-3</v>
      </c>
      <c r="AA1679" s="2">
        <f>+DETALLE_GD_1[[#This Row],[VALOR PPTO]]*DETALLE_GD_1[[#This Row],[CANTIDAD RECIBIDA]]</f>
        <v>76260</v>
      </c>
      <c r="AB1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9" s="3">
        <f>+DETALLE_GD_1[[#This Row],[CANTIDAD SOLICITADA]]-DETALLE_GD_1[[#This Row],[DEVOLUCIÓN]]</f>
        <v>15</v>
      </c>
      <c r="AD1679" s="38" t="str">
        <f>+_xlfn.XLOOKUP(DETALLE_GD_1[[#This Row],[CODIGO]],PRODUCTOS[CODIGO],PRODUCTOS[DESC CORTA],"",0)</f>
        <v>MANILLA JUEGO</v>
      </c>
    </row>
    <row r="1680" spans="1:30" x14ac:dyDescent="0.25">
      <c r="A1680" s="1">
        <v>46162</v>
      </c>
      <c r="B1680" s="1">
        <v>46162</v>
      </c>
      <c r="C1680" s="81" t="s">
        <v>169</v>
      </c>
      <c r="D1680" s="38">
        <v>5</v>
      </c>
      <c r="E1680" s="81" t="s">
        <v>169</v>
      </c>
      <c r="F1680">
        <v>2508991</v>
      </c>
      <c r="G1680" s="81" t="s">
        <v>485</v>
      </c>
      <c r="H1680" s="81" t="s">
        <v>31</v>
      </c>
      <c r="I1680" s="3">
        <v>10</v>
      </c>
      <c r="J1680" s="3"/>
      <c r="K1680" s="26">
        <v>10</v>
      </c>
      <c r="L1680" s="2">
        <v>4785.5</v>
      </c>
      <c r="M1680" s="2">
        <v>47855</v>
      </c>
      <c r="N1680" s="2">
        <v>47855</v>
      </c>
      <c r="O1680" s="2">
        <v>4798</v>
      </c>
      <c r="P1680" s="2">
        <v>12.5</v>
      </c>
      <c r="Q1680" s="2">
        <v>125</v>
      </c>
      <c r="R1680" s="4">
        <v>2.6052521884118384E-3</v>
      </c>
      <c r="T1680">
        <v>316109</v>
      </c>
      <c r="U1680" s="2"/>
      <c r="V1680">
        <v>6188</v>
      </c>
      <c r="W1680" s="2">
        <v>6579000000</v>
      </c>
      <c r="X1680" s="6">
        <v>47980</v>
      </c>
      <c r="Y1680" s="38">
        <v>10010</v>
      </c>
      <c r="Z1680" s="86">
        <f>+((DETALLE_GD_1[[#This Row],[VALOR X UN (GD)]]-DETALLE_GD_1[[#This Row],[VALOR PPTO]])/DETALLE_GD_1[[#This Row],[VALOR PPTO]])</f>
        <v>-2.6052521884118384E-3</v>
      </c>
      <c r="AA1680" s="2">
        <f>+DETALLE_GD_1[[#This Row],[VALOR PPTO]]*DETALLE_GD_1[[#This Row],[CANTIDAD RECIBIDA]]</f>
        <v>47980</v>
      </c>
      <c r="AB1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0" s="3">
        <f>+DETALLE_GD_1[[#This Row],[CANTIDAD SOLICITADA]]-DETALLE_GD_1[[#This Row],[DEVOLUCIÓN]]</f>
        <v>10</v>
      </c>
      <c r="AD1680" s="38" t="str">
        <f>+_xlfn.XLOOKUP(DETALLE_GD_1[[#This Row],[CODIGO]],PRODUCTOS[CODIGO],PRODUCTOS[DESC CORTA],"",0)</f>
        <v>CILINDRO 03 LLAVE/LLAVE</v>
      </c>
    </row>
    <row r="1681" spans="1:30" x14ac:dyDescent="0.25">
      <c r="A1681" s="1">
        <v>46162</v>
      </c>
      <c r="B1681" s="1">
        <v>46162</v>
      </c>
      <c r="C1681" s="81" t="s">
        <v>169</v>
      </c>
      <c r="D1681" s="38">
        <v>5</v>
      </c>
      <c r="E1681" s="81" t="s">
        <v>169</v>
      </c>
      <c r="F1681">
        <v>2508990</v>
      </c>
      <c r="G1681" s="81" t="s">
        <v>484</v>
      </c>
      <c r="H1681" s="81" t="s">
        <v>31</v>
      </c>
      <c r="I1681" s="3">
        <v>10</v>
      </c>
      <c r="J1681" s="3"/>
      <c r="K1681" s="26">
        <v>10</v>
      </c>
      <c r="L1681" s="2">
        <v>6688.7</v>
      </c>
      <c r="M1681" s="2">
        <v>66887</v>
      </c>
      <c r="N1681" s="2">
        <v>66887</v>
      </c>
      <c r="O1681" s="2">
        <v>6738</v>
      </c>
      <c r="P1681" s="2">
        <v>49.3</v>
      </c>
      <c r="Q1681" s="2">
        <v>493</v>
      </c>
      <c r="R1681" s="4">
        <v>7.3167111902642003E-3</v>
      </c>
      <c r="T1681">
        <v>316109</v>
      </c>
      <c r="U1681" s="2"/>
      <c r="V1681">
        <v>6188</v>
      </c>
      <c r="W1681" s="2">
        <v>6579000000</v>
      </c>
      <c r="X1681" s="6">
        <v>67380</v>
      </c>
      <c r="Y1681" s="38">
        <v>10010</v>
      </c>
      <c r="Z1681" s="86">
        <f>+((DETALLE_GD_1[[#This Row],[VALOR X UN (GD)]]-DETALLE_GD_1[[#This Row],[VALOR PPTO]])/DETALLE_GD_1[[#This Row],[VALOR PPTO]])</f>
        <v>-7.3167111902642003E-3</v>
      </c>
      <c r="AA1681" s="2">
        <f>+DETALLE_GD_1[[#This Row],[VALOR PPTO]]*DETALLE_GD_1[[#This Row],[CANTIDAD RECIBIDA]]</f>
        <v>67380</v>
      </c>
      <c r="AB1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1" s="3">
        <f>+DETALLE_GD_1[[#This Row],[CANTIDAD SOLICITADA]]-DETALLE_GD_1[[#This Row],[DEVOLUCIÓN]]</f>
        <v>10</v>
      </c>
      <c r="AD1681" s="38" t="str">
        <f>+_xlfn.XLOOKUP(DETALLE_GD_1[[#This Row],[CODIGO]],PRODUCTOS[CODIGO],PRODUCTOS[DESC CORTA],"",0)</f>
        <v>CERRADURA DE EMB</v>
      </c>
    </row>
    <row r="1682" spans="1:30" x14ac:dyDescent="0.25">
      <c r="A1682" s="1">
        <v>46162</v>
      </c>
      <c r="B1682" s="1">
        <v>46162</v>
      </c>
      <c r="C1682" s="81" t="s">
        <v>169</v>
      </c>
      <c r="D1682" s="38">
        <v>5</v>
      </c>
      <c r="E1682" s="81" t="s">
        <v>169</v>
      </c>
      <c r="F1682">
        <v>2302017</v>
      </c>
      <c r="G1682" s="81" t="s">
        <v>156</v>
      </c>
      <c r="H1682" s="81" t="s">
        <v>25</v>
      </c>
      <c r="I1682" s="3">
        <v>5</v>
      </c>
      <c r="J1682" s="3"/>
      <c r="K1682" s="26">
        <v>5</v>
      </c>
      <c r="L1682" s="2">
        <v>83400</v>
      </c>
      <c r="M1682" s="2">
        <v>417000</v>
      </c>
      <c r="N1682" s="2">
        <v>417000</v>
      </c>
      <c r="O1682" s="2">
        <v>81197.881599999993</v>
      </c>
      <c r="P1682" s="2">
        <v>-2202.1183999999998</v>
      </c>
      <c r="Q1682" s="2">
        <v>-11010.5921</v>
      </c>
      <c r="R1682" s="4">
        <v>-2.7120392529668531E-2</v>
      </c>
      <c r="T1682">
        <v>316109</v>
      </c>
      <c r="U1682" s="2"/>
      <c r="V1682">
        <v>6188</v>
      </c>
      <c r="W1682" s="2">
        <v>6579000000</v>
      </c>
      <c r="X1682" s="6">
        <v>405989.40789499989</v>
      </c>
      <c r="Y1682" s="38">
        <v>10010</v>
      </c>
      <c r="Z1682" s="86">
        <f>+((DETALLE_GD_1[[#This Row],[VALOR X UN (GD)]]-DETALLE_GD_1[[#This Row],[VALOR PPTO]])/DETALLE_GD_1[[#This Row],[VALOR PPTO]])</f>
        <v>2.7120392264026835E-2</v>
      </c>
      <c r="AA1682" s="2">
        <f>+DETALLE_GD_1[[#This Row],[VALOR PPTO]]*DETALLE_GD_1[[#This Row],[CANTIDAD RECIBIDA]]</f>
        <v>405989.40799999994</v>
      </c>
      <c r="AB1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2" s="3">
        <f>+DETALLE_GD_1[[#This Row],[CANTIDAD SOLICITADA]]-DETALLE_GD_1[[#This Row],[DEVOLUCIÓN]]</f>
        <v>5</v>
      </c>
      <c r="AD1682" s="38">
        <f>+_xlfn.XLOOKUP(DETALLE_GD_1[[#This Row],[CODIGO]],PRODUCTOS[CODIGO],PRODUCTOS[DESC CORTA],"",0)</f>
        <v>0</v>
      </c>
    </row>
    <row r="1683" spans="1:30" x14ac:dyDescent="0.25">
      <c r="A1683" s="1">
        <v>46167</v>
      </c>
      <c r="B1683" s="1">
        <v>46167</v>
      </c>
      <c r="C1683" s="81" t="s">
        <v>169</v>
      </c>
      <c r="D1683" s="38">
        <v>5</v>
      </c>
      <c r="E1683" s="81" t="s">
        <v>169</v>
      </c>
      <c r="F1683">
        <v>5316507</v>
      </c>
      <c r="G1683" s="81" t="s">
        <v>55</v>
      </c>
      <c r="H1683" s="81" t="s">
        <v>31</v>
      </c>
      <c r="I1683" s="3">
        <v>10</v>
      </c>
      <c r="J1683" s="3"/>
      <c r="K1683" s="26">
        <v>10</v>
      </c>
      <c r="L1683" s="2">
        <v>41766.1</v>
      </c>
      <c r="M1683" s="2">
        <v>417661</v>
      </c>
      <c r="N1683" s="2">
        <v>417661</v>
      </c>
      <c r="O1683" s="2">
        <v>41419.666700000002</v>
      </c>
      <c r="P1683" s="2">
        <v>-346.43329999999997</v>
      </c>
      <c r="Q1683" s="2">
        <v>-3464.3332999999998</v>
      </c>
      <c r="R1683" s="4">
        <v>-8.3639816753043137E-3</v>
      </c>
      <c r="T1683">
        <v>316498</v>
      </c>
      <c r="U1683" s="2">
        <v>718632</v>
      </c>
      <c r="V1683">
        <v>6215</v>
      </c>
      <c r="W1683" s="2">
        <v>6579000000</v>
      </c>
      <c r="X1683" s="6">
        <v>414196.66666999995</v>
      </c>
      <c r="Y1683" s="38">
        <v>10010</v>
      </c>
      <c r="Z1683" s="86">
        <f>+((DETALLE_GD_1[[#This Row],[VALOR X UN (GD)]]-DETALLE_GD_1[[#This Row],[VALOR PPTO]])/DETALLE_GD_1[[#This Row],[VALOR PPTO]])</f>
        <v>8.3639808719174688E-3</v>
      </c>
      <c r="AA1683" s="2">
        <f>+DETALLE_GD_1[[#This Row],[VALOR PPTO]]*DETALLE_GD_1[[#This Row],[CANTIDAD RECIBIDA]]</f>
        <v>414196.66700000002</v>
      </c>
      <c r="AB1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3" s="3">
        <f>+DETALLE_GD_1[[#This Row],[CANTIDAD SOLICITADA]]-DETALLE_GD_1[[#This Row],[DEVOLUCIÓN]]</f>
        <v>10</v>
      </c>
      <c r="AD1683" s="38" t="str">
        <f>+_xlfn.XLOOKUP(DETALLE_GD_1[[#This Row],[CODIGO]],PRODUCTOS[CODIGO],PRODUCTOS[DESC CORTA],"",0)</f>
        <v>MUEBLE LAVAPLATOS</v>
      </c>
    </row>
    <row r="1684" spans="1:30" x14ac:dyDescent="0.25">
      <c r="A1684" s="1">
        <v>46167</v>
      </c>
      <c r="B1684" s="1">
        <v>46167</v>
      </c>
      <c r="C1684" s="81" t="s">
        <v>169</v>
      </c>
      <c r="D1684" s="38">
        <v>5</v>
      </c>
      <c r="E1684" s="81" t="s">
        <v>169</v>
      </c>
      <c r="F1684">
        <v>5316508</v>
      </c>
      <c r="G1684" s="81" t="s">
        <v>470</v>
      </c>
      <c r="H1684" s="81" t="s">
        <v>31</v>
      </c>
      <c r="I1684" s="3">
        <v>4</v>
      </c>
      <c r="J1684" s="3"/>
      <c r="K1684" s="26">
        <v>4</v>
      </c>
      <c r="L1684" s="2">
        <v>14589.75</v>
      </c>
      <c r="M1684" s="2">
        <v>58359</v>
      </c>
      <c r="N1684" s="2">
        <v>58359</v>
      </c>
      <c r="O1684" s="2"/>
      <c r="P1684" s="2"/>
      <c r="Q1684" s="2">
        <v>-58359</v>
      </c>
      <c r="R1684" s="4"/>
      <c r="T1684">
        <v>316498</v>
      </c>
      <c r="U1684" s="2"/>
      <c r="V1684">
        <v>6215</v>
      </c>
      <c r="W1684" s="2">
        <v>6579000000</v>
      </c>
      <c r="X1684" s="6" t="s">
        <v>355</v>
      </c>
      <c r="Y1684" s="38">
        <v>10010</v>
      </c>
      <c r="Z1684" s="86" t="e">
        <f>+((DETALLE_GD_1[[#This Row],[VALOR X UN (GD)]]-DETALLE_GD_1[[#This Row],[VALOR PPTO]])/DETALLE_GD_1[[#This Row],[VALOR PPTO]])</f>
        <v>#DIV/0!</v>
      </c>
      <c r="AA1684" s="2">
        <f>+DETALLE_GD_1[[#This Row],[VALOR PPTO]]*DETALLE_GD_1[[#This Row],[CANTIDAD RECIBIDA]]</f>
        <v>0</v>
      </c>
      <c r="AB1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4" s="3">
        <f>+DETALLE_GD_1[[#This Row],[CANTIDAD SOLICITADA]]-DETALLE_GD_1[[#This Row],[DEVOLUCIÓN]]</f>
        <v>4</v>
      </c>
      <c r="AD1684" s="38" t="str">
        <f>+_xlfn.XLOOKUP(DETALLE_GD_1[[#This Row],[CODIGO]],PRODUCTOS[CODIGO],PRODUCTOS[DESC CORTA],"",0)</f>
        <v/>
      </c>
    </row>
    <row r="1685" spans="1:30" x14ac:dyDescent="0.25">
      <c r="A1685" s="1">
        <v>46167</v>
      </c>
      <c r="B1685" s="1">
        <v>46167</v>
      </c>
      <c r="C1685" s="81" t="s">
        <v>169</v>
      </c>
      <c r="D1685" s="38">
        <v>5</v>
      </c>
      <c r="E1685" s="81" t="s">
        <v>169</v>
      </c>
      <c r="F1685">
        <v>5316509</v>
      </c>
      <c r="G1685" s="81" t="s">
        <v>56</v>
      </c>
      <c r="H1685" s="81" t="s">
        <v>31</v>
      </c>
      <c r="I1685" s="3">
        <v>6</v>
      </c>
      <c r="J1685" s="3"/>
      <c r="K1685" s="26">
        <v>6</v>
      </c>
      <c r="L1685" s="2">
        <v>14549.8333</v>
      </c>
      <c r="M1685" s="2">
        <v>87299</v>
      </c>
      <c r="N1685" s="2">
        <v>87299</v>
      </c>
      <c r="O1685" s="2">
        <v>15433.3333</v>
      </c>
      <c r="P1685" s="2">
        <v>883.5</v>
      </c>
      <c r="Q1685" s="2">
        <v>5301</v>
      </c>
      <c r="R1685" s="4">
        <v>5.7246220282013947E-2</v>
      </c>
      <c r="T1685">
        <v>316498</v>
      </c>
      <c r="U1685" s="2"/>
      <c r="V1685">
        <v>6215</v>
      </c>
      <c r="W1685" s="2">
        <v>6579000000</v>
      </c>
      <c r="X1685" s="6">
        <v>92599.999997999999</v>
      </c>
      <c r="Y1685" s="38">
        <v>10010</v>
      </c>
      <c r="Z1685" s="86">
        <f>+((DETALLE_GD_1[[#This Row],[VALOR X UN (GD)]]-DETALLE_GD_1[[#This Row],[VALOR PPTO]])/DETALLE_GD_1[[#This Row],[VALOR PPTO]])</f>
        <v>-5.7246220426017756E-2</v>
      </c>
      <c r="AA1685" s="2">
        <f>+DETALLE_GD_1[[#This Row],[VALOR PPTO]]*DETALLE_GD_1[[#This Row],[CANTIDAD RECIBIDA]]</f>
        <v>92599.999800000005</v>
      </c>
      <c r="AB1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5" s="3">
        <f>+DETALLE_GD_1[[#This Row],[CANTIDAD SOLICITADA]]-DETALLE_GD_1[[#This Row],[DEVOLUCIÓN]]</f>
        <v>6</v>
      </c>
      <c r="AD1685" s="38" t="str">
        <f>+_xlfn.XLOOKUP(DETALLE_GD_1[[#This Row],[CODIGO]],PRODUCTOS[CODIGO],PRODUCTOS[DESC CORTA],"",0)</f>
        <v>LAVAPLATOS</v>
      </c>
    </row>
    <row r="1686" spans="1:30" x14ac:dyDescent="0.25">
      <c r="A1686" s="1">
        <v>46167</v>
      </c>
      <c r="B1686" s="1">
        <v>46167</v>
      </c>
      <c r="C1686" s="81" t="s">
        <v>169</v>
      </c>
      <c r="D1686" s="38">
        <v>5</v>
      </c>
      <c r="E1686" s="81" t="s">
        <v>169</v>
      </c>
      <c r="F1686">
        <v>1703006</v>
      </c>
      <c r="G1686" s="81" t="s">
        <v>48</v>
      </c>
      <c r="H1686" s="81" t="s">
        <v>31</v>
      </c>
      <c r="I1686" s="3">
        <v>10</v>
      </c>
      <c r="J1686" s="3"/>
      <c r="K1686" s="26">
        <v>10</v>
      </c>
      <c r="L1686" s="2">
        <v>1662.3</v>
      </c>
      <c r="M1686" s="2">
        <v>16623</v>
      </c>
      <c r="N1686" s="2">
        <v>16623</v>
      </c>
      <c r="O1686" s="2">
        <v>1662</v>
      </c>
      <c r="P1686" s="2">
        <v>-0.3</v>
      </c>
      <c r="Q1686" s="2">
        <v>-3</v>
      </c>
      <c r="R1686" s="4">
        <v>-1.8050541516242751E-4</v>
      </c>
      <c r="T1686">
        <v>316498</v>
      </c>
      <c r="U1686" s="2"/>
      <c r="V1686">
        <v>6215</v>
      </c>
      <c r="W1686" s="2">
        <v>6579000000</v>
      </c>
      <c r="X1686" s="6">
        <v>16620</v>
      </c>
      <c r="Y1686" s="38">
        <v>10010</v>
      </c>
      <c r="Z1686" s="86">
        <f>+((DETALLE_GD_1[[#This Row],[VALOR X UN (GD)]]-DETALLE_GD_1[[#This Row],[VALOR PPTO]])/DETALLE_GD_1[[#This Row],[VALOR PPTO]])</f>
        <v>1.8050541516242751E-4</v>
      </c>
      <c r="AA1686" s="2">
        <f>+DETALLE_GD_1[[#This Row],[VALOR PPTO]]*DETALLE_GD_1[[#This Row],[CANTIDAD RECIBIDA]]</f>
        <v>16620</v>
      </c>
      <c r="AB1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6" s="3">
        <f>+DETALLE_GD_1[[#This Row],[CANTIDAD SOLICITADA]]-DETALLE_GD_1[[#This Row],[DEVOLUCIÓN]]</f>
        <v>10</v>
      </c>
      <c r="AD1686" s="38" t="str">
        <f>+_xlfn.XLOOKUP(DETALLE_GD_1[[#This Row],[CODIGO]],PRODUCTOS[CODIGO],PRODUCTOS[DESC CORTA],"",0)</f>
        <v>SIFON LAVAPLATO</v>
      </c>
    </row>
    <row r="1687" spans="1:30" x14ac:dyDescent="0.25">
      <c r="A1687" s="1">
        <v>46167</v>
      </c>
      <c r="B1687" s="1">
        <v>46167</v>
      </c>
      <c r="C1687" s="81" t="s">
        <v>169</v>
      </c>
      <c r="D1687" s="38">
        <v>5</v>
      </c>
      <c r="E1687" s="81" t="s">
        <v>169</v>
      </c>
      <c r="F1687">
        <v>1802166</v>
      </c>
      <c r="G1687" s="81" t="s">
        <v>283</v>
      </c>
      <c r="H1687" s="81" t="s">
        <v>31</v>
      </c>
      <c r="I1687" s="3">
        <v>10</v>
      </c>
      <c r="J1687" s="3"/>
      <c r="K1687" s="26">
        <v>10</v>
      </c>
      <c r="L1687" s="2">
        <v>13869</v>
      </c>
      <c r="M1687" s="2">
        <v>138690</v>
      </c>
      <c r="N1687" s="2">
        <v>138690</v>
      </c>
      <c r="O1687" s="2">
        <v>13869</v>
      </c>
      <c r="P1687" s="2">
        <v>0</v>
      </c>
      <c r="Q1687" s="2">
        <v>0</v>
      </c>
      <c r="R1687" s="4">
        <v>0</v>
      </c>
      <c r="T1687">
        <v>316498</v>
      </c>
      <c r="U1687" s="2"/>
      <c r="V1687">
        <v>6215</v>
      </c>
      <c r="W1687" s="2">
        <v>6579000000</v>
      </c>
      <c r="X1687" s="6">
        <v>138690</v>
      </c>
      <c r="Y1687" s="38">
        <v>10010</v>
      </c>
      <c r="Z1687" s="86">
        <f>+((DETALLE_GD_1[[#This Row],[VALOR X UN (GD)]]-DETALLE_GD_1[[#This Row],[VALOR PPTO]])/DETALLE_GD_1[[#This Row],[VALOR PPTO]])</f>
        <v>0</v>
      </c>
      <c r="AA1687" s="2">
        <f>+DETALLE_GD_1[[#This Row],[VALOR PPTO]]*DETALLE_GD_1[[#This Row],[CANTIDAD RECIBIDA]]</f>
        <v>138690</v>
      </c>
      <c r="AB1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7" s="3">
        <f>+DETALLE_GD_1[[#This Row],[CANTIDAD SOLICITADA]]-DETALLE_GD_1[[#This Row],[DEVOLUCIÓN]]</f>
        <v>10</v>
      </c>
      <c r="AD1687" s="38" t="str">
        <f>+_xlfn.XLOOKUP(DETALLE_GD_1[[#This Row],[CODIGO]],PRODUCTOS[CODIGO],PRODUCTOS[DESC CORTA],"",0)</f>
        <v>NEW TS2024022)</v>
      </c>
    </row>
    <row r="1688" spans="1:30" x14ac:dyDescent="0.25">
      <c r="A1688" s="1">
        <v>46167</v>
      </c>
      <c r="B1688" s="1">
        <v>46167</v>
      </c>
      <c r="C1688" s="81" t="s">
        <v>169</v>
      </c>
      <c r="D1688" s="38">
        <v>5</v>
      </c>
      <c r="E1688" s="81" t="s">
        <v>169</v>
      </c>
      <c r="F1688">
        <v>1103088</v>
      </c>
      <c r="G1688" s="81" t="s">
        <v>1601</v>
      </c>
      <c r="H1688" s="81" t="s">
        <v>31</v>
      </c>
      <c r="I1688" s="3">
        <v>18</v>
      </c>
      <c r="J1688" s="3"/>
      <c r="K1688" s="26">
        <v>18</v>
      </c>
      <c r="L1688" s="2">
        <v>3134</v>
      </c>
      <c r="M1688" s="2">
        <v>56412</v>
      </c>
      <c r="N1688" s="2">
        <v>56412</v>
      </c>
      <c r="O1688" s="2">
        <v>3134</v>
      </c>
      <c r="P1688" s="2">
        <v>0</v>
      </c>
      <c r="Q1688" s="2">
        <v>0</v>
      </c>
      <c r="R1688" s="4">
        <v>0</v>
      </c>
      <c r="T1688">
        <v>316495</v>
      </c>
      <c r="U1688" s="2">
        <v>1176205</v>
      </c>
      <c r="V1688">
        <v>6215</v>
      </c>
      <c r="W1688" s="2">
        <v>6579000000</v>
      </c>
      <c r="X1688" s="6">
        <v>56412</v>
      </c>
      <c r="Y1688" s="38">
        <v>10010</v>
      </c>
      <c r="Z1688" s="86">
        <f>+((DETALLE_GD_1[[#This Row],[VALOR X UN (GD)]]-DETALLE_GD_1[[#This Row],[VALOR PPTO]])/DETALLE_GD_1[[#This Row],[VALOR PPTO]])</f>
        <v>0</v>
      </c>
      <c r="AA1688" s="2">
        <f>+DETALLE_GD_1[[#This Row],[VALOR PPTO]]*DETALLE_GD_1[[#This Row],[CANTIDAD RECIBIDA]]</f>
        <v>56412</v>
      </c>
      <c r="AB1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8" s="3">
        <f>+DETALLE_GD_1[[#This Row],[CANTIDAD SOLICITADA]]-DETALLE_GD_1[[#This Row],[DEVOLUCIÓN]]</f>
        <v>18</v>
      </c>
      <c r="AD1688" s="38" t="str">
        <f>+_xlfn.XLOOKUP(DETALLE_GD_1[[#This Row],[CODIGO]],PRODUCTOS[CODIGO],PRODUCTOS[DESC CORTA],"",0)</f>
        <v>E</v>
      </c>
    </row>
    <row r="1689" spans="1:30" x14ac:dyDescent="0.25">
      <c r="A1689" s="1">
        <v>46167</v>
      </c>
      <c r="B1689" s="1">
        <v>46167</v>
      </c>
      <c r="C1689" s="81" t="s">
        <v>169</v>
      </c>
      <c r="D1689" s="38">
        <v>5</v>
      </c>
      <c r="E1689" s="81" t="s">
        <v>169</v>
      </c>
      <c r="F1689">
        <v>1103087</v>
      </c>
      <c r="G1689" s="81" t="s">
        <v>561</v>
      </c>
      <c r="H1689" s="81" t="s">
        <v>31</v>
      </c>
      <c r="I1689" s="3">
        <v>9</v>
      </c>
      <c r="J1689" s="3"/>
      <c r="K1689" s="26">
        <v>9</v>
      </c>
      <c r="L1689" s="2">
        <v>9840.7777999999998</v>
      </c>
      <c r="M1689" s="2">
        <v>88567</v>
      </c>
      <c r="N1689" s="2">
        <v>88567</v>
      </c>
      <c r="O1689" s="2">
        <v>9841</v>
      </c>
      <c r="P1689" s="2">
        <v>0.22220000000000001</v>
      </c>
      <c r="Q1689" s="2">
        <v>2</v>
      </c>
      <c r="R1689" s="4">
        <v>2.258126432503063E-5</v>
      </c>
      <c r="T1689">
        <v>316495</v>
      </c>
      <c r="U1689" s="2"/>
      <c r="V1689">
        <v>6215</v>
      </c>
      <c r="W1689" s="2">
        <v>6579000000</v>
      </c>
      <c r="X1689" s="6">
        <v>88569</v>
      </c>
      <c r="Y1689" s="38">
        <v>10010</v>
      </c>
      <c r="Z1689" s="86">
        <f>+((DETALLE_GD_1[[#This Row],[VALOR X UN (GD)]]-DETALLE_GD_1[[#This Row],[VALOR PPTO]])/DETALLE_GD_1[[#This Row],[VALOR PPTO]])</f>
        <v>-2.2579006198573029E-5</v>
      </c>
      <c r="AA1689" s="2">
        <f>+DETALLE_GD_1[[#This Row],[VALOR PPTO]]*DETALLE_GD_1[[#This Row],[CANTIDAD RECIBIDA]]</f>
        <v>88569</v>
      </c>
      <c r="AB1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9" s="3">
        <f>+DETALLE_GD_1[[#This Row],[CANTIDAD SOLICITADA]]-DETALLE_GD_1[[#This Row],[DEVOLUCIÓN]]</f>
        <v>9</v>
      </c>
      <c r="AD1689" s="38" t="str">
        <f>+_xlfn.XLOOKUP(DETALLE_GD_1[[#This Row],[CODIGO]],PRODUCTOS[CODIGO],PRODUCTOS[DESC CORTA],"",0)</f>
        <v>E</v>
      </c>
    </row>
    <row r="1690" spans="1:30" x14ac:dyDescent="0.25">
      <c r="A1690" s="1">
        <v>46167</v>
      </c>
      <c r="B1690" s="1">
        <v>46167</v>
      </c>
      <c r="C1690" s="81" t="s">
        <v>169</v>
      </c>
      <c r="D1690" s="38">
        <v>5</v>
      </c>
      <c r="E1690" s="81" t="s">
        <v>169</v>
      </c>
      <c r="F1690">
        <v>1103086</v>
      </c>
      <c r="G1690" s="81" t="s">
        <v>560</v>
      </c>
      <c r="H1690" s="81" t="s">
        <v>31</v>
      </c>
      <c r="I1690" s="3">
        <v>9</v>
      </c>
      <c r="J1690" s="3"/>
      <c r="K1690" s="26">
        <v>9</v>
      </c>
      <c r="L1690" s="2">
        <v>10465.6667</v>
      </c>
      <c r="M1690" s="2">
        <v>94191</v>
      </c>
      <c r="N1690" s="2">
        <v>94191</v>
      </c>
      <c r="O1690" s="2">
        <v>10466</v>
      </c>
      <c r="P1690" s="2">
        <v>0.33329999999999999</v>
      </c>
      <c r="Q1690" s="2">
        <v>3</v>
      </c>
      <c r="R1690" s="4">
        <v>3.1849162367087683E-5</v>
      </c>
      <c r="T1690">
        <v>316495</v>
      </c>
      <c r="U1690" s="2"/>
      <c r="V1690">
        <v>6215</v>
      </c>
      <c r="W1690" s="2">
        <v>6579000000</v>
      </c>
      <c r="X1690" s="6">
        <v>94194</v>
      </c>
      <c r="Y1690" s="38">
        <v>10010</v>
      </c>
      <c r="Z1690" s="86">
        <f>+((DETALLE_GD_1[[#This Row],[VALOR X UN (GD)]]-DETALLE_GD_1[[#This Row],[VALOR PPTO]])/DETALLE_GD_1[[#This Row],[VALOR PPTO]])</f>
        <v>-3.184597745081557E-5</v>
      </c>
      <c r="AA1690" s="2">
        <f>+DETALLE_GD_1[[#This Row],[VALOR PPTO]]*DETALLE_GD_1[[#This Row],[CANTIDAD RECIBIDA]]</f>
        <v>94194</v>
      </c>
      <c r="AB1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0" s="3">
        <f>+DETALLE_GD_1[[#This Row],[CANTIDAD SOLICITADA]]-DETALLE_GD_1[[#This Row],[DEVOLUCIÓN]]</f>
        <v>9</v>
      </c>
      <c r="AD1690" s="38" t="str">
        <f>+_xlfn.XLOOKUP(DETALLE_GD_1[[#This Row],[CODIGO]],PRODUCTOS[CODIGO],PRODUCTOS[DESC CORTA],"",0)</f>
        <v>E</v>
      </c>
    </row>
    <row r="1691" spans="1:30" x14ac:dyDescent="0.25">
      <c r="A1691" s="1">
        <v>46167</v>
      </c>
      <c r="B1691" s="1">
        <v>46167</v>
      </c>
      <c r="C1691" s="81" t="s">
        <v>169</v>
      </c>
      <c r="D1691" s="38">
        <v>5</v>
      </c>
      <c r="E1691" s="81" t="s">
        <v>169</v>
      </c>
      <c r="F1691">
        <v>1610023</v>
      </c>
      <c r="G1691" s="81" t="s">
        <v>351</v>
      </c>
      <c r="H1691" s="81" t="s">
        <v>28</v>
      </c>
      <c r="I1691" s="3">
        <v>2</v>
      </c>
      <c r="J1691" s="3"/>
      <c r="K1691" s="26">
        <v>2</v>
      </c>
      <c r="L1691" s="2">
        <v>2278</v>
      </c>
      <c r="M1691" s="2">
        <v>4556</v>
      </c>
      <c r="N1691" s="2">
        <v>4556</v>
      </c>
      <c r="O1691" s="2">
        <v>2109.0585000000001</v>
      </c>
      <c r="P1691" s="2">
        <v>-168.94149999999999</v>
      </c>
      <c r="Q1691" s="2">
        <v>-337.88290000000001</v>
      </c>
      <c r="R1691" s="4">
        <v>-8.0102782656660737E-2</v>
      </c>
      <c r="T1691">
        <v>316495</v>
      </c>
      <c r="U1691" s="2"/>
      <c r="V1691">
        <v>6215</v>
      </c>
      <c r="W1691" s="2">
        <v>6579000000</v>
      </c>
      <c r="X1691" s="6">
        <v>4218.1170840000004</v>
      </c>
      <c r="Y1691" s="38">
        <v>10010</v>
      </c>
      <c r="Z1691" s="86">
        <f>+((DETALLE_GD_1[[#This Row],[VALOR X UN (GD)]]-DETALLE_GD_1[[#This Row],[VALOR PPTO]])/DETALLE_GD_1[[#This Row],[VALOR PPTO]])</f>
        <v>8.0102804165934655E-2</v>
      </c>
      <c r="AA1691" s="2">
        <f>+DETALLE_GD_1[[#This Row],[VALOR PPTO]]*DETALLE_GD_1[[#This Row],[CANTIDAD RECIBIDA]]</f>
        <v>4218.1170000000002</v>
      </c>
      <c r="AB1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1" s="3">
        <f>+DETALLE_GD_1[[#This Row],[CANTIDAD SOLICITADA]]-DETALLE_GD_1[[#This Row],[DEVOLUCIÓN]]</f>
        <v>2</v>
      </c>
      <c r="AD1691" s="38" t="str">
        <f>+_xlfn.XLOOKUP(DETALLE_GD_1[[#This Row],[CODIGO]],PRODUCTOS[CODIGO],PRODUCTOS[DESC CORTA],"",0)</f>
        <v>TRAPOS DE ASEO</v>
      </c>
    </row>
    <row r="1692" spans="1:30" x14ac:dyDescent="0.25">
      <c r="A1692" s="1">
        <v>46167</v>
      </c>
      <c r="B1692" s="1">
        <v>46167</v>
      </c>
      <c r="C1692" s="81" t="s">
        <v>169</v>
      </c>
      <c r="D1692" s="38">
        <v>5</v>
      </c>
      <c r="E1692" s="81" t="s">
        <v>169</v>
      </c>
      <c r="F1692">
        <v>304101</v>
      </c>
      <c r="G1692" s="81" t="s">
        <v>17</v>
      </c>
      <c r="H1692" s="81" t="s">
        <v>18</v>
      </c>
      <c r="I1692" s="3">
        <v>84</v>
      </c>
      <c r="J1692" s="3"/>
      <c r="K1692" s="26">
        <v>84</v>
      </c>
      <c r="L1692" s="2">
        <v>9617.1666999999998</v>
      </c>
      <c r="M1692" s="2">
        <v>807842</v>
      </c>
      <c r="N1692" s="2">
        <v>807842</v>
      </c>
      <c r="O1692" s="2">
        <v>9657.5879999999997</v>
      </c>
      <c r="P1692" s="2">
        <v>40.421300000000002</v>
      </c>
      <c r="Q1692" s="2">
        <v>3395.3878</v>
      </c>
      <c r="R1692" s="4">
        <v>4.1854429431666274E-3</v>
      </c>
      <c r="T1692">
        <v>316495</v>
      </c>
      <c r="U1692" s="2"/>
      <c r="V1692">
        <v>6215</v>
      </c>
      <c r="W1692" s="2">
        <v>6579000000</v>
      </c>
      <c r="X1692" s="6">
        <v>811237.38780000038</v>
      </c>
      <c r="Y1692" s="38">
        <v>10010</v>
      </c>
      <c r="Z1692" s="86">
        <f>+((DETALLE_GD_1[[#This Row],[VALOR X UN (GD)]]-DETALLE_GD_1[[#This Row],[VALOR PPTO]])/DETALLE_GD_1[[#This Row],[VALOR PPTO]])</f>
        <v>-4.1854446472556059E-3</v>
      </c>
      <c r="AA1692" s="2">
        <f>+DETALLE_GD_1[[#This Row],[VALOR PPTO]]*DETALLE_GD_1[[#This Row],[CANTIDAD RECIBIDA]]</f>
        <v>811237.39199999999</v>
      </c>
      <c r="AB16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92" s="3">
        <f>+DETALLE_GD_1[[#This Row],[CANTIDAD SOLICITADA]]-DETALLE_GD_1[[#This Row],[DEVOLUCIÓN]]</f>
        <v>84</v>
      </c>
      <c r="AD1692" s="38" t="str">
        <f>+_xlfn.XLOOKUP(DETALLE_GD_1[[#This Row],[CODIGO]],PRODUCTOS[CODIGO],PRODUCTOS[DESC CORTA],"",0)</f>
        <v>OSB 9.5</v>
      </c>
    </row>
    <row r="1693" spans="1:30" x14ac:dyDescent="0.25">
      <c r="A1693" s="1">
        <v>46167</v>
      </c>
      <c r="B1693" s="1">
        <v>46167</v>
      </c>
      <c r="C1693" s="81" t="s">
        <v>169</v>
      </c>
      <c r="D1693" s="38">
        <v>5</v>
      </c>
      <c r="E1693" s="81" t="s">
        <v>169</v>
      </c>
      <c r="F1693">
        <v>609008</v>
      </c>
      <c r="G1693" s="81" t="s">
        <v>57</v>
      </c>
      <c r="H1693" s="81" t="s">
        <v>58</v>
      </c>
      <c r="I1693" s="3">
        <v>2</v>
      </c>
      <c r="J1693" s="3"/>
      <c r="K1693" s="26">
        <v>2</v>
      </c>
      <c r="L1693" s="2">
        <v>2067</v>
      </c>
      <c r="M1693" s="2">
        <v>4134</v>
      </c>
      <c r="N1693" s="2">
        <v>4134</v>
      </c>
      <c r="O1693" s="2">
        <v>2130.7573000000002</v>
      </c>
      <c r="P1693" s="2">
        <v>63.757300000000001</v>
      </c>
      <c r="Q1693" s="2">
        <v>127.5146</v>
      </c>
      <c r="R1693" s="4">
        <v>2.992237065233861E-2</v>
      </c>
      <c r="T1693">
        <v>316495</v>
      </c>
      <c r="U1693" s="2"/>
      <c r="V1693">
        <v>6215</v>
      </c>
      <c r="W1693" s="2">
        <v>6579000000</v>
      </c>
      <c r="X1693" s="6">
        <v>4261.5146199999999</v>
      </c>
      <c r="Y1693" s="38">
        <v>10010</v>
      </c>
      <c r="Z1693" s="86">
        <f>+((DETALLE_GD_1[[#This Row],[VALOR X UN (GD)]]-DETALLE_GD_1[[#This Row],[VALOR PPTO]])/DETALLE_GD_1[[#This Row],[VALOR PPTO]])</f>
        <v>-2.9922366099602339E-2</v>
      </c>
      <c r="AA1693" s="2">
        <f>+DETALLE_GD_1[[#This Row],[VALOR PPTO]]*DETALLE_GD_1[[#This Row],[CANTIDAD RECIBIDA]]</f>
        <v>4261.5146000000004</v>
      </c>
      <c r="AB1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3" s="3">
        <f>+DETALLE_GD_1[[#This Row],[CANTIDAD SOLICITADA]]-DETALLE_GD_1[[#This Row],[DEVOLUCIÓN]]</f>
        <v>2</v>
      </c>
      <c r="AD1693" s="38" t="str">
        <f>+_xlfn.XLOOKUP(DETALLE_GD_1[[#This Row],[CODIGO]],PRODUCTOS[CODIGO],PRODUCTOS[DESC CORTA],"",0)</f>
        <v>DUCO</v>
      </c>
    </row>
    <row r="1694" spans="1:30" x14ac:dyDescent="0.25">
      <c r="A1694" s="1">
        <v>46167</v>
      </c>
      <c r="B1694" s="1">
        <v>46167</v>
      </c>
      <c r="C1694" s="81" t="s">
        <v>169</v>
      </c>
      <c r="D1694" s="38">
        <v>5</v>
      </c>
      <c r="E1694" s="81" t="s">
        <v>169</v>
      </c>
      <c r="F1694">
        <v>2304056</v>
      </c>
      <c r="G1694" s="81" t="s">
        <v>417</v>
      </c>
      <c r="H1694" s="81" t="s">
        <v>31</v>
      </c>
      <c r="I1694" s="3">
        <v>24</v>
      </c>
      <c r="J1694" s="3"/>
      <c r="K1694" s="26">
        <v>24</v>
      </c>
      <c r="L1694" s="2">
        <v>3163.125</v>
      </c>
      <c r="M1694" s="2">
        <v>75915</v>
      </c>
      <c r="N1694" s="2">
        <v>75915</v>
      </c>
      <c r="O1694" s="2">
        <v>2979</v>
      </c>
      <c r="P1694" s="2">
        <v>-184.125</v>
      </c>
      <c r="Q1694" s="2">
        <v>-4419</v>
      </c>
      <c r="R1694" s="4">
        <v>-6.1807653575025177E-2</v>
      </c>
      <c r="T1694">
        <v>316495</v>
      </c>
      <c r="U1694" s="2"/>
      <c r="V1694">
        <v>6215</v>
      </c>
      <c r="W1694" s="2">
        <v>6579000000</v>
      </c>
      <c r="X1694" s="6">
        <v>71496</v>
      </c>
      <c r="Y1694" s="38">
        <v>10010</v>
      </c>
      <c r="Z1694" s="86">
        <f>+((DETALLE_GD_1[[#This Row],[VALOR X UN (GD)]]-DETALLE_GD_1[[#This Row],[VALOR PPTO]])/DETALLE_GD_1[[#This Row],[VALOR PPTO]])</f>
        <v>6.1807653575025177E-2</v>
      </c>
      <c r="AA1694" s="2">
        <f>+DETALLE_GD_1[[#This Row],[VALOR PPTO]]*DETALLE_GD_1[[#This Row],[CANTIDAD RECIBIDA]]</f>
        <v>71496</v>
      </c>
      <c r="AB1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4" s="3">
        <f>+DETALLE_GD_1[[#This Row],[CANTIDAD SOLICITADA]]-DETALLE_GD_1[[#This Row],[DEVOLUCIÓN]]</f>
        <v>24</v>
      </c>
      <c r="AD1694" s="38" t="str">
        <f>+_xlfn.XLOOKUP(DETALLE_GD_1[[#This Row],[CODIGO]],PRODUCTOS[CODIGO],PRODUCTOS[DESC CORTA],"",0)</f>
        <v/>
      </c>
    </row>
    <row r="1695" spans="1:30" x14ac:dyDescent="0.25">
      <c r="A1695" s="1">
        <v>46167</v>
      </c>
      <c r="B1695" s="1">
        <v>46167</v>
      </c>
      <c r="C1695" s="81" t="s">
        <v>169</v>
      </c>
      <c r="D1695" s="38">
        <v>5</v>
      </c>
      <c r="E1695" s="81" t="s">
        <v>169</v>
      </c>
      <c r="F1695">
        <v>2302119</v>
      </c>
      <c r="G1695" s="81" t="s">
        <v>74</v>
      </c>
      <c r="H1695" s="81" t="s">
        <v>31</v>
      </c>
      <c r="I1695" s="3">
        <v>12</v>
      </c>
      <c r="J1695" s="3"/>
      <c r="K1695" s="26">
        <v>12</v>
      </c>
      <c r="L1695" s="2">
        <v>3679.9167000000002</v>
      </c>
      <c r="M1695" s="2">
        <v>44159</v>
      </c>
      <c r="N1695" s="2">
        <v>44159</v>
      </c>
      <c r="O1695" s="2">
        <v>3671</v>
      </c>
      <c r="P1695" s="2">
        <v>-8.9167000000000005</v>
      </c>
      <c r="Q1695" s="2">
        <v>-107</v>
      </c>
      <c r="R1695" s="4">
        <v>-2.4289476073730632E-3</v>
      </c>
      <c r="T1695">
        <v>316495</v>
      </c>
      <c r="U1695" s="2"/>
      <c r="V1695">
        <v>6215</v>
      </c>
      <c r="W1695" s="2">
        <v>6579000000</v>
      </c>
      <c r="X1695" s="6">
        <v>44052</v>
      </c>
      <c r="Y1695" s="38">
        <v>10010</v>
      </c>
      <c r="Z1695" s="86">
        <f>+((DETALLE_GD_1[[#This Row],[VALOR X UN (GD)]]-DETALLE_GD_1[[#This Row],[VALOR PPTO]])/DETALLE_GD_1[[#This Row],[VALOR PPTO]])</f>
        <v>2.4289566875511357E-3</v>
      </c>
      <c r="AA1695" s="2">
        <f>+DETALLE_GD_1[[#This Row],[VALOR PPTO]]*DETALLE_GD_1[[#This Row],[CANTIDAD RECIBIDA]]</f>
        <v>44052</v>
      </c>
      <c r="AB1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5" s="3">
        <f>+DETALLE_GD_1[[#This Row],[CANTIDAD SOLICITADA]]-DETALLE_GD_1[[#This Row],[DEVOLUCIÓN]]</f>
        <v>12</v>
      </c>
      <c r="AD1695" s="38" t="str">
        <f>+_xlfn.XLOOKUP(DETALLE_GD_1[[#This Row],[CODIGO]],PRODUCTOS[CODIGO],PRODUCTOS[DESC CORTA],"",0)</f>
        <v>SELLO</v>
      </c>
    </row>
    <row r="1696" spans="1:30" x14ac:dyDescent="0.25">
      <c r="A1696" s="1">
        <v>46167</v>
      </c>
      <c r="B1696" s="1">
        <v>46167</v>
      </c>
      <c r="C1696" s="81" t="s">
        <v>169</v>
      </c>
      <c r="D1696" s="38">
        <v>5</v>
      </c>
      <c r="E1696" s="81" t="s">
        <v>169</v>
      </c>
      <c r="F1696">
        <v>407853</v>
      </c>
      <c r="G1696" s="81" t="s">
        <v>1602</v>
      </c>
      <c r="H1696" s="81" t="s">
        <v>31</v>
      </c>
      <c r="I1696" s="3">
        <v>100</v>
      </c>
      <c r="J1696" s="3"/>
      <c r="K1696" s="26">
        <v>100</v>
      </c>
      <c r="L1696" s="2">
        <v>4.29</v>
      </c>
      <c r="M1696" s="2">
        <v>429</v>
      </c>
      <c r="N1696" s="2">
        <v>429</v>
      </c>
      <c r="O1696" s="2"/>
      <c r="P1696" s="2"/>
      <c r="Q1696" s="2">
        <v>-429</v>
      </c>
      <c r="R1696" s="4"/>
      <c r="T1696">
        <v>316495</v>
      </c>
      <c r="U1696" s="2"/>
      <c r="V1696">
        <v>6215</v>
      </c>
      <c r="W1696" s="2">
        <v>6579000000</v>
      </c>
      <c r="X1696" s="6" t="s">
        <v>355</v>
      </c>
      <c r="Y1696" s="38">
        <v>10010</v>
      </c>
      <c r="Z1696" s="86" t="e">
        <f>+((DETALLE_GD_1[[#This Row],[VALOR X UN (GD)]]-DETALLE_GD_1[[#This Row],[VALOR PPTO]])/DETALLE_GD_1[[#This Row],[VALOR PPTO]])</f>
        <v>#DIV/0!</v>
      </c>
      <c r="AA1696" s="2">
        <f>+DETALLE_GD_1[[#This Row],[VALOR PPTO]]*DETALLE_GD_1[[#This Row],[CANTIDAD RECIBIDA]]</f>
        <v>0</v>
      </c>
      <c r="AB1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6" s="3">
        <f>+DETALLE_GD_1[[#This Row],[CANTIDAD SOLICITADA]]-DETALLE_GD_1[[#This Row],[DEVOLUCIÓN]]</f>
        <v>100</v>
      </c>
      <c r="AD1696" s="38" t="str">
        <f>+_xlfn.XLOOKUP(DETALLE_GD_1[[#This Row],[CODIGO]],PRODUCTOS[CODIGO],PRODUCTOS[DESC CORTA],"",0)</f>
        <v/>
      </c>
    </row>
    <row r="1697" spans="1:30" x14ac:dyDescent="0.25">
      <c r="A1697" s="1">
        <v>46167</v>
      </c>
      <c r="B1697" s="1">
        <v>46167</v>
      </c>
      <c r="C1697" s="81" t="s">
        <v>169</v>
      </c>
      <c r="D1697" s="38">
        <v>5</v>
      </c>
      <c r="E1697" s="81" t="s">
        <v>169</v>
      </c>
      <c r="F1697">
        <v>1402016</v>
      </c>
      <c r="G1697" s="81" t="s">
        <v>798</v>
      </c>
      <c r="H1697" s="81" t="s">
        <v>31</v>
      </c>
      <c r="I1697" s="3">
        <v>3</v>
      </c>
      <c r="J1697" s="3"/>
      <c r="K1697" s="26">
        <v>3</v>
      </c>
      <c r="L1697" s="2">
        <v>754.33330000000001</v>
      </c>
      <c r="M1697" s="2">
        <v>2263</v>
      </c>
      <c r="N1697" s="2">
        <v>2263</v>
      </c>
      <c r="O1697" s="2"/>
      <c r="P1697" s="2"/>
      <c r="Q1697" s="2">
        <v>-2263</v>
      </c>
      <c r="R1697" s="4"/>
      <c r="T1697">
        <v>316513</v>
      </c>
      <c r="U1697" s="2">
        <v>653777</v>
      </c>
      <c r="V1697">
        <v>6215</v>
      </c>
      <c r="W1697" s="2">
        <v>6579000000</v>
      </c>
      <c r="X1697" s="6" t="s">
        <v>355</v>
      </c>
      <c r="Y1697" s="38">
        <v>10010</v>
      </c>
      <c r="Z1697" s="86" t="e">
        <f>+((DETALLE_GD_1[[#This Row],[VALOR X UN (GD)]]-DETALLE_GD_1[[#This Row],[VALOR PPTO]])/DETALLE_GD_1[[#This Row],[VALOR PPTO]])</f>
        <v>#DIV/0!</v>
      </c>
      <c r="AA1697" s="2">
        <f>+DETALLE_GD_1[[#This Row],[VALOR PPTO]]*DETALLE_GD_1[[#This Row],[CANTIDAD RECIBIDA]]</f>
        <v>0</v>
      </c>
      <c r="AB1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7" s="3">
        <f>+DETALLE_GD_1[[#This Row],[CANTIDAD SOLICITADA]]-DETALLE_GD_1[[#This Row],[DEVOLUCIÓN]]</f>
        <v>3</v>
      </c>
      <c r="AD1697" s="38" t="str">
        <f>+_xlfn.XLOOKUP(DETALLE_GD_1[[#This Row],[CODIGO]],PRODUCTOS[CODIGO],PRODUCTOS[DESC CORTA],"",0)</f>
        <v/>
      </c>
    </row>
    <row r="1698" spans="1:30" x14ac:dyDescent="0.25">
      <c r="A1698" s="1">
        <v>46167</v>
      </c>
      <c r="B1698" s="1">
        <v>46167</v>
      </c>
      <c r="C1698" s="81" t="s">
        <v>169</v>
      </c>
      <c r="D1698" s="38">
        <v>5</v>
      </c>
      <c r="E1698" s="81" t="s">
        <v>169</v>
      </c>
      <c r="F1698">
        <v>1101298</v>
      </c>
      <c r="G1698" s="81" t="s">
        <v>799</v>
      </c>
      <c r="H1698" s="81" t="s">
        <v>31</v>
      </c>
      <c r="I1698" s="3">
        <v>1</v>
      </c>
      <c r="J1698" s="3"/>
      <c r="K1698" s="26">
        <v>1</v>
      </c>
      <c r="L1698" s="2">
        <v>73070</v>
      </c>
      <c r="M1698" s="2">
        <v>73070</v>
      </c>
      <c r="N1698" s="2">
        <v>73070</v>
      </c>
      <c r="O1698" s="2"/>
      <c r="P1698" s="2"/>
      <c r="Q1698" s="2">
        <v>-73070</v>
      </c>
      <c r="R1698" s="4"/>
      <c r="T1698">
        <v>316513</v>
      </c>
      <c r="U1698" s="2"/>
      <c r="V1698">
        <v>6215</v>
      </c>
      <c r="W1698" s="2">
        <v>6579000000</v>
      </c>
      <c r="X1698" s="6" t="s">
        <v>355</v>
      </c>
      <c r="Y1698" s="38">
        <v>10010</v>
      </c>
      <c r="Z1698" s="86" t="e">
        <f>+((DETALLE_GD_1[[#This Row],[VALOR X UN (GD)]]-DETALLE_GD_1[[#This Row],[VALOR PPTO]])/DETALLE_GD_1[[#This Row],[VALOR PPTO]])</f>
        <v>#DIV/0!</v>
      </c>
      <c r="AA1698" s="2">
        <f>+DETALLE_GD_1[[#This Row],[VALOR PPTO]]*DETALLE_GD_1[[#This Row],[CANTIDAD RECIBIDA]]</f>
        <v>0</v>
      </c>
      <c r="AB16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8" s="3">
        <f>+DETALLE_GD_1[[#This Row],[CANTIDAD SOLICITADA]]-DETALLE_GD_1[[#This Row],[DEVOLUCIÓN]]</f>
        <v>1</v>
      </c>
      <c r="AD1698" s="38" t="str">
        <f>+_xlfn.XLOOKUP(DETALLE_GD_1[[#This Row],[CODIGO]],PRODUCTOS[CODIGO],PRODUCTOS[DESC CORTA],"",0)</f>
        <v/>
      </c>
    </row>
    <row r="1699" spans="1:30" x14ac:dyDescent="0.25">
      <c r="A1699" s="1">
        <v>46167</v>
      </c>
      <c r="B1699" s="1">
        <v>46167</v>
      </c>
      <c r="C1699" s="81" t="s">
        <v>169</v>
      </c>
      <c r="D1699" s="38">
        <v>5</v>
      </c>
      <c r="E1699" s="81" t="s">
        <v>169</v>
      </c>
      <c r="F1699">
        <v>407185</v>
      </c>
      <c r="G1699" s="81" t="s">
        <v>43</v>
      </c>
      <c r="H1699" s="81" t="s">
        <v>31</v>
      </c>
      <c r="I1699" s="3">
        <v>4500</v>
      </c>
      <c r="J1699" s="3"/>
      <c r="K1699" s="26">
        <v>4500</v>
      </c>
      <c r="L1699" s="2">
        <v>6.2656000000000001</v>
      </c>
      <c r="M1699" s="2">
        <v>28195</v>
      </c>
      <c r="N1699" s="2">
        <v>28195</v>
      </c>
      <c r="O1699" s="2">
        <v>6.8783000000000003</v>
      </c>
      <c r="P1699" s="2">
        <v>0.61280000000000001</v>
      </c>
      <c r="Q1699" s="2">
        <v>2757.44</v>
      </c>
      <c r="R1699" s="4">
        <v>8.9086353127572598E-2</v>
      </c>
      <c r="T1699">
        <v>316513</v>
      </c>
      <c r="U1699" s="2"/>
      <c r="V1699">
        <v>6215</v>
      </c>
      <c r="W1699" s="2">
        <v>6579000000</v>
      </c>
      <c r="X1699" s="6">
        <v>30952.44</v>
      </c>
      <c r="Y1699" s="38">
        <v>10010</v>
      </c>
      <c r="Z1699" s="86">
        <f>+((DETALLE_GD_1[[#This Row],[VALOR X UN (GD)]]-DETALLE_GD_1[[#This Row],[VALOR PPTO]])/DETALLE_GD_1[[#This Row],[VALOR PPTO]])</f>
        <v>-8.9077242923396804E-2</v>
      </c>
      <c r="AA1699" s="2">
        <f>+DETALLE_GD_1[[#This Row],[VALOR PPTO]]*DETALLE_GD_1[[#This Row],[CANTIDAD RECIBIDA]]</f>
        <v>30952.350000000002</v>
      </c>
      <c r="AB1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9" s="3">
        <f>+DETALLE_GD_1[[#This Row],[CANTIDAD SOLICITADA]]-DETALLE_GD_1[[#This Row],[DEVOLUCIÓN]]</f>
        <v>4500</v>
      </c>
      <c r="AD1699" s="38">
        <f>+_xlfn.XLOOKUP(DETALLE_GD_1[[#This Row],[CODIGO]],PRODUCTOS[CODIGO],PRODUCTOS[DESC CORTA],"",0)</f>
        <v>0</v>
      </c>
    </row>
    <row r="1700" spans="1:30" x14ac:dyDescent="0.25">
      <c r="A1700" s="1">
        <v>46167</v>
      </c>
      <c r="B1700" s="1">
        <v>46167</v>
      </c>
      <c r="C1700" s="81" t="s">
        <v>169</v>
      </c>
      <c r="D1700" s="38">
        <v>5</v>
      </c>
      <c r="E1700" s="81" t="s">
        <v>169</v>
      </c>
      <c r="F1700">
        <v>2304053</v>
      </c>
      <c r="G1700" s="81" t="s">
        <v>213</v>
      </c>
      <c r="H1700" s="81" t="s">
        <v>31</v>
      </c>
      <c r="I1700" s="3">
        <v>48</v>
      </c>
      <c r="J1700" s="3"/>
      <c r="K1700" s="26">
        <v>48</v>
      </c>
      <c r="L1700" s="2">
        <v>1021.9167</v>
      </c>
      <c r="M1700" s="2">
        <v>49052</v>
      </c>
      <c r="N1700" s="2">
        <v>49052</v>
      </c>
      <c r="O1700" s="2">
        <v>862</v>
      </c>
      <c r="P1700" s="2">
        <v>-159.91669999999999</v>
      </c>
      <c r="Q1700" s="2">
        <v>-7676</v>
      </c>
      <c r="R1700" s="4">
        <v>-0.18551817478731611</v>
      </c>
      <c r="T1700">
        <v>316513</v>
      </c>
      <c r="U1700" s="2"/>
      <c r="V1700">
        <v>6215</v>
      </c>
      <c r="W1700" s="2">
        <v>6579000000</v>
      </c>
      <c r="X1700" s="6">
        <v>41376.000000000007</v>
      </c>
      <c r="Y1700" s="38">
        <v>10010</v>
      </c>
      <c r="Z1700" s="86">
        <f>+((DETALLE_GD_1[[#This Row],[VALOR X UN (GD)]]-DETALLE_GD_1[[#This Row],[VALOR PPTO]])/DETALLE_GD_1[[#This Row],[VALOR PPTO]])</f>
        <v>0.18551821345707656</v>
      </c>
      <c r="AA1700" s="2">
        <f>+DETALLE_GD_1[[#This Row],[VALOR PPTO]]*DETALLE_GD_1[[#This Row],[CANTIDAD RECIBIDA]]</f>
        <v>41376</v>
      </c>
      <c r="AB1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0" s="3">
        <f>+DETALLE_GD_1[[#This Row],[CANTIDAD SOLICITADA]]-DETALLE_GD_1[[#This Row],[DEVOLUCIÓN]]</f>
        <v>48</v>
      </c>
      <c r="AD1700" s="38">
        <f>+_xlfn.XLOOKUP(DETALLE_GD_1[[#This Row],[CODIGO]],PRODUCTOS[CODIGO],PRODUCTOS[DESC CORTA],"",0)</f>
        <v>0</v>
      </c>
    </row>
    <row r="1701" spans="1:30" x14ac:dyDescent="0.25">
      <c r="A1701" s="1">
        <v>46167</v>
      </c>
      <c r="B1701" s="1">
        <v>46167</v>
      </c>
      <c r="C1701" s="81" t="s">
        <v>169</v>
      </c>
      <c r="D1701" s="38">
        <v>5</v>
      </c>
      <c r="E1701" s="81" t="s">
        <v>169</v>
      </c>
      <c r="F1701">
        <v>1610023</v>
      </c>
      <c r="G1701" s="81" t="s">
        <v>351</v>
      </c>
      <c r="H1701" s="81" t="s">
        <v>28</v>
      </c>
      <c r="I1701" s="3">
        <v>2</v>
      </c>
      <c r="J1701" s="3"/>
      <c r="K1701" s="26">
        <v>2</v>
      </c>
      <c r="L1701" s="2">
        <v>2278</v>
      </c>
      <c r="M1701" s="2">
        <v>4556</v>
      </c>
      <c r="N1701" s="2">
        <v>4556</v>
      </c>
      <c r="O1701" s="2">
        <v>2109.0585000000001</v>
      </c>
      <c r="P1701" s="2">
        <v>-168.94149999999999</v>
      </c>
      <c r="Q1701" s="2">
        <v>-337.88290000000001</v>
      </c>
      <c r="R1701" s="4">
        <v>-8.0102782656660737E-2</v>
      </c>
      <c r="T1701">
        <v>316513</v>
      </c>
      <c r="U1701" s="2"/>
      <c r="V1701">
        <v>6215</v>
      </c>
      <c r="W1701" s="2">
        <v>6579000000</v>
      </c>
      <c r="X1701" s="6">
        <v>4218.1170840000004</v>
      </c>
      <c r="Y1701" s="38">
        <v>10010</v>
      </c>
      <c r="Z1701" s="86">
        <f>+((DETALLE_GD_1[[#This Row],[VALOR X UN (GD)]]-DETALLE_GD_1[[#This Row],[VALOR PPTO]])/DETALLE_GD_1[[#This Row],[VALOR PPTO]])</f>
        <v>8.0102804165934655E-2</v>
      </c>
      <c r="AA1701" s="2">
        <f>+DETALLE_GD_1[[#This Row],[VALOR PPTO]]*DETALLE_GD_1[[#This Row],[CANTIDAD RECIBIDA]]</f>
        <v>4218.1170000000002</v>
      </c>
      <c r="AB1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1" s="3">
        <f>+DETALLE_GD_1[[#This Row],[CANTIDAD SOLICITADA]]-DETALLE_GD_1[[#This Row],[DEVOLUCIÓN]]</f>
        <v>2</v>
      </c>
      <c r="AD1701" s="38" t="str">
        <f>+_xlfn.XLOOKUP(DETALLE_GD_1[[#This Row],[CODIGO]],PRODUCTOS[CODIGO],PRODUCTOS[DESC CORTA],"",0)</f>
        <v>TRAPOS DE ASEO</v>
      </c>
    </row>
    <row r="1702" spans="1:30" x14ac:dyDescent="0.25">
      <c r="A1702" s="1">
        <v>46167</v>
      </c>
      <c r="B1702" s="1">
        <v>46167</v>
      </c>
      <c r="C1702" s="81" t="s">
        <v>169</v>
      </c>
      <c r="D1702" s="38">
        <v>5</v>
      </c>
      <c r="E1702" s="81" t="s">
        <v>169</v>
      </c>
      <c r="F1702">
        <v>2304056</v>
      </c>
      <c r="G1702" s="81" t="s">
        <v>417</v>
      </c>
      <c r="H1702" s="81" t="s">
        <v>31</v>
      </c>
      <c r="I1702" s="3">
        <v>24</v>
      </c>
      <c r="J1702" s="3"/>
      <c r="K1702" s="26">
        <v>24</v>
      </c>
      <c r="L1702" s="2">
        <v>3163.125</v>
      </c>
      <c r="M1702" s="2">
        <v>75915</v>
      </c>
      <c r="N1702" s="2">
        <v>75915</v>
      </c>
      <c r="O1702" s="2">
        <v>2979</v>
      </c>
      <c r="P1702" s="2">
        <v>-184.125</v>
      </c>
      <c r="Q1702" s="2">
        <v>-4419</v>
      </c>
      <c r="R1702" s="4">
        <v>-6.1807653575025177E-2</v>
      </c>
      <c r="T1702">
        <v>316513</v>
      </c>
      <c r="U1702" s="2"/>
      <c r="V1702">
        <v>6215</v>
      </c>
      <c r="W1702" s="2">
        <v>6579000000</v>
      </c>
      <c r="X1702" s="6">
        <v>71496</v>
      </c>
      <c r="Y1702" s="38">
        <v>10010</v>
      </c>
      <c r="Z1702" s="86">
        <f>+((DETALLE_GD_1[[#This Row],[VALOR X UN (GD)]]-DETALLE_GD_1[[#This Row],[VALOR PPTO]])/DETALLE_GD_1[[#This Row],[VALOR PPTO]])</f>
        <v>6.1807653575025177E-2</v>
      </c>
      <c r="AA1702" s="2">
        <f>+DETALLE_GD_1[[#This Row],[VALOR PPTO]]*DETALLE_GD_1[[#This Row],[CANTIDAD RECIBIDA]]</f>
        <v>71496</v>
      </c>
      <c r="AB1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2" s="3">
        <f>+DETALLE_GD_1[[#This Row],[CANTIDAD SOLICITADA]]-DETALLE_GD_1[[#This Row],[DEVOLUCIÓN]]</f>
        <v>24</v>
      </c>
      <c r="AD1702" s="38" t="str">
        <f>+_xlfn.XLOOKUP(DETALLE_GD_1[[#This Row],[CODIGO]],PRODUCTOS[CODIGO],PRODUCTOS[DESC CORTA],"",0)</f>
        <v/>
      </c>
    </row>
    <row r="1703" spans="1:30" x14ac:dyDescent="0.25">
      <c r="A1703" s="1">
        <v>46167</v>
      </c>
      <c r="B1703" s="1">
        <v>46167</v>
      </c>
      <c r="C1703" s="81" t="s">
        <v>169</v>
      </c>
      <c r="D1703" s="38">
        <v>5</v>
      </c>
      <c r="E1703" s="81" t="s">
        <v>169</v>
      </c>
      <c r="F1703">
        <v>2304003</v>
      </c>
      <c r="G1703" s="81" t="s">
        <v>132</v>
      </c>
      <c r="H1703" s="81" t="s">
        <v>31</v>
      </c>
      <c r="I1703" s="3">
        <v>12</v>
      </c>
      <c r="J1703" s="3"/>
      <c r="K1703" s="26">
        <v>12</v>
      </c>
      <c r="L1703" s="2">
        <v>1297.1667</v>
      </c>
      <c r="M1703" s="2">
        <v>15566</v>
      </c>
      <c r="N1703" s="2">
        <v>15566</v>
      </c>
      <c r="O1703" s="2">
        <v>1297.1352999999999</v>
      </c>
      <c r="P1703" s="2">
        <v>-3.1399999999999997E-2</v>
      </c>
      <c r="Q1703" s="2">
        <v>-0.37690000000000001</v>
      </c>
      <c r="R1703" s="4">
        <v>-2.4210787869808846E-5</v>
      </c>
      <c r="T1703">
        <v>316513</v>
      </c>
      <c r="U1703" s="2"/>
      <c r="V1703">
        <v>6215</v>
      </c>
      <c r="W1703" s="2">
        <v>6579000000</v>
      </c>
      <c r="X1703" s="6">
        <v>15565.623143999999</v>
      </c>
      <c r="Y1703" s="38">
        <v>10010</v>
      </c>
      <c r="Z1703" s="86">
        <f>+((DETALLE_GD_1[[#This Row],[VALOR X UN (GD)]]-DETALLE_GD_1[[#This Row],[VALOR PPTO]])/DETALLE_GD_1[[#This Row],[VALOR PPTO]])</f>
        <v>2.4207189489081083E-5</v>
      </c>
      <c r="AA1703" s="2">
        <f>+DETALLE_GD_1[[#This Row],[VALOR PPTO]]*DETALLE_GD_1[[#This Row],[CANTIDAD RECIBIDA]]</f>
        <v>15565.623599999999</v>
      </c>
      <c r="AB1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3" s="3">
        <f>+DETALLE_GD_1[[#This Row],[CANTIDAD SOLICITADA]]-DETALLE_GD_1[[#This Row],[DEVOLUCIÓN]]</f>
        <v>12</v>
      </c>
      <c r="AD1703" s="38" t="str">
        <f>+_xlfn.XLOOKUP(DETALLE_GD_1[[#This Row],[CODIGO]],PRODUCTOS[CODIGO],PRODUCTOS[DESC CORTA],"",0)</f>
        <v>SELLO FUNGICIDA</v>
      </c>
    </row>
    <row r="1704" spans="1:30" x14ac:dyDescent="0.25">
      <c r="A1704" s="1">
        <v>46167</v>
      </c>
      <c r="B1704" s="1">
        <v>46167</v>
      </c>
      <c r="C1704" s="81" t="s">
        <v>169</v>
      </c>
      <c r="D1704" s="38">
        <v>5</v>
      </c>
      <c r="E1704" s="81" t="s">
        <v>169</v>
      </c>
      <c r="F1704">
        <v>404252</v>
      </c>
      <c r="G1704" s="81" t="s">
        <v>181</v>
      </c>
      <c r="H1704" s="81" t="s">
        <v>31</v>
      </c>
      <c r="I1704" s="3">
        <v>10</v>
      </c>
      <c r="J1704" s="3"/>
      <c r="K1704" s="26">
        <v>10</v>
      </c>
      <c r="L1704" s="2">
        <v>1544.2</v>
      </c>
      <c r="M1704" s="2">
        <v>15442</v>
      </c>
      <c r="N1704" s="2">
        <v>15442</v>
      </c>
      <c r="O1704" s="2">
        <v>1110.0438999999999</v>
      </c>
      <c r="P1704" s="2">
        <v>-434.15609999999998</v>
      </c>
      <c r="Q1704" s="2">
        <v>-4341.5612000000001</v>
      </c>
      <c r="R1704" s="4">
        <v>-0.39111618323094111</v>
      </c>
      <c r="T1704">
        <v>316513</v>
      </c>
      <c r="U1704" s="2"/>
      <c r="V1704">
        <v>6215</v>
      </c>
      <c r="W1704" s="2">
        <v>6579000000</v>
      </c>
      <c r="X1704" s="6">
        <v>11100.438759999999</v>
      </c>
      <c r="Y1704" s="38">
        <v>10010</v>
      </c>
      <c r="Z1704" s="86">
        <f>+((DETALLE_GD_1[[#This Row],[VALOR X UN (GD)]]-DETALLE_GD_1[[#This Row],[VALOR PPTO]])/DETALLE_GD_1[[#This Row],[VALOR PPTO]])</f>
        <v>0.39111615315394299</v>
      </c>
      <c r="AA1704" s="2">
        <f>+DETALLE_GD_1[[#This Row],[VALOR PPTO]]*DETALLE_GD_1[[#This Row],[CANTIDAD RECIBIDA]]</f>
        <v>11100.438999999998</v>
      </c>
      <c r="AB1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4" s="3">
        <f>+DETALLE_GD_1[[#This Row],[CANTIDAD SOLICITADA]]-DETALLE_GD_1[[#This Row],[DEVOLUCIÓN]]</f>
        <v>10</v>
      </c>
      <c r="AD1704" s="38">
        <f>+_xlfn.XLOOKUP(DETALLE_GD_1[[#This Row],[CODIGO]],PRODUCTOS[CODIGO],PRODUCTOS[DESC CORTA],"",0)</f>
        <v>0</v>
      </c>
    </row>
    <row r="1705" spans="1:30" x14ac:dyDescent="0.25">
      <c r="A1705" s="1">
        <v>46167</v>
      </c>
      <c r="B1705" s="1">
        <v>46167</v>
      </c>
      <c r="C1705" s="81" t="s">
        <v>169</v>
      </c>
      <c r="D1705" s="38">
        <v>5</v>
      </c>
      <c r="E1705" s="81" t="s">
        <v>169</v>
      </c>
      <c r="F1705">
        <v>304012</v>
      </c>
      <c r="G1705" s="81" t="s">
        <v>710</v>
      </c>
      <c r="H1705" s="81" t="s">
        <v>18</v>
      </c>
      <c r="I1705" s="3">
        <v>5</v>
      </c>
      <c r="J1705" s="3"/>
      <c r="K1705" s="26">
        <v>5</v>
      </c>
      <c r="L1705" s="2">
        <v>6004.4</v>
      </c>
      <c r="M1705" s="2">
        <v>30022</v>
      </c>
      <c r="N1705" s="2">
        <v>30022</v>
      </c>
      <c r="O1705" s="2">
        <v>0</v>
      </c>
      <c r="P1705" s="2">
        <v>-6004.4</v>
      </c>
      <c r="Q1705" s="2">
        <v>-30022</v>
      </c>
      <c r="R1705" s="4"/>
      <c r="T1705">
        <v>316513</v>
      </c>
      <c r="U1705" s="2"/>
      <c r="V1705">
        <v>6215</v>
      </c>
      <c r="W1705" s="2">
        <v>6579000000</v>
      </c>
      <c r="X1705" s="6">
        <v>0</v>
      </c>
      <c r="Y1705" s="38">
        <v>10010</v>
      </c>
      <c r="Z1705" s="86" t="e">
        <f>+((DETALLE_GD_1[[#This Row],[VALOR X UN (GD)]]-DETALLE_GD_1[[#This Row],[VALOR PPTO]])/DETALLE_GD_1[[#This Row],[VALOR PPTO]])</f>
        <v>#DIV/0!</v>
      </c>
      <c r="AA1705" s="2">
        <f>+DETALLE_GD_1[[#This Row],[VALOR PPTO]]*DETALLE_GD_1[[#This Row],[CANTIDAD RECIBIDA]]</f>
        <v>0</v>
      </c>
      <c r="AB1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5" s="3">
        <f>+DETALLE_GD_1[[#This Row],[CANTIDAD SOLICITADA]]-DETALLE_GD_1[[#This Row],[DEVOLUCIÓN]]</f>
        <v>5</v>
      </c>
      <c r="AD1705" s="38" t="str">
        <f>+_xlfn.XLOOKUP(DETALLE_GD_1[[#This Row],[CODIGO]],PRODUCTOS[CODIGO],PRODUCTOS[DESC CORTA],"",0)</f>
        <v/>
      </c>
    </row>
    <row r="1706" spans="1:30" x14ac:dyDescent="0.25">
      <c r="A1706" s="1">
        <v>46167</v>
      </c>
      <c r="B1706" s="1">
        <v>46167</v>
      </c>
      <c r="C1706" s="81" t="s">
        <v>169</v>
      </c>
      <c r="D1706" s="38">
        <v>5</v>
      </c>
      <c r="E1706" s="81" t="s">
        <v>169</v>
      </c>
      <c r="F1706">
        <v>1808156</v>
      </c>
      <c r="G1706" s="81" t="s">
        <v>277</v>
      </c>
      <c r="H1706" s="81" t="s">
        <v>31</v>
      </c>
      <c r="I1706" s="3">
        <v>2</v>
      </c>
      <c r="J1706" s="3"/>
      <c r="K1706" s="26">
        <v>2</v>
      </c>
      <c r="L1706" s="2">
        <v>1931.5</v>
      </c>
      <c r="M1706" s="2">
        <v>3863</v>
      </c>
      <c r="N1706" s="2">
        <v>3863</v>
      </c>
      <c r="O1706" s="2">
        <v>1916</v>
      </c>
      <c r="P1706" s="2">
        <v>-15.5</v>
      </c>
      <c r="Q1706" s="2">
        <v>-31</v>
      </c>
      <c r="R1706" s="4">
        <v>-8.0897703549060538E-3</v>
      </c>
      <c r="T1706">
        <v>316513</v>
      </c>
      <c r="U1706" s="2"/>
      <c r="V1706">
        <v>6215</v>
      </c>
      <c r="W1706" s="2">
        <v>6579000000</v>
      </c>
      <c r="X1706" s="6">
        <v>3832</v>
      </c>
      <c r="Y1706" s="38">
        <v>10010</v>
      </c>
      <c r="Z1706" s="86">
        <f>+((DETALLE_GD_1[[#This Row],[VALOR X UN (GD)]]-DETALLE_GD_1[[#This Row],[VALOR PPTO]])/DETALLE_GD_1[[#This Row],[VALOR PPTO]])</f>
        <v>8.0897703549060538E-3</v>
      </c>
      <c r="AA1706" s="2">
        <f>+DETALLE_GD_1[[#This Row],[VALOR PPTO]]*DETALLE_GD_1[[#This Row],[CANTIDAD RECIBIDA]]</f>
        <v>3832</v>
      </c>
      <c r="AB1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6" s="3">
        <f>+DETALLE_GD_1[[#This Row],[CANTIDAD SOLICITADA]]-DETALLE_GD_1[[#This Row],[DEVOLUCIÓN]]</f>
        <v>2</v>
      </c>
      <c r="AD1706" s="38" t="str">
        <f>+_xlfn.XLOOKUP(DETALLE_GD_1[[#This Row],[CODIGO]],PRODUCTOS[CODIGO],PRODUCTOS[DESC CORTA],"",0)</f>
        <v>PERCHA SIMPLE YORK</v>
      </c>
    </row>
    <row r="1707" spans="1:30" x14ac:dyDescent="0.25">
      <c r="A1707" s="1">
        <v>46167</v>
      </c>
      <c r="B1707" s="1">
        <v>46167</v>
      </c>
      <c r="C1707" s="81" t="s">
        <v>169</v>
      </c>
      <c r="D1707" s="38">
        <v>5</v>
      </c>
      <c r="E1707" s="81" t="s">
        <v>169</v>
      </c>
      <c r="F1707">
        <v>1808146</v>
      </c>
      <c r="G1707" s="81" t="s">
        <v>274</v>
      </c>
      <c r="H1707" s="81" t="s">
        <v>31</v>
      </c>
      <c r="I1707" s="3">
        <v>2</v>
      </c>
      <c r="J1707" s="3"/>
      <c r="K1707" s="26">
        <v>2</v>
      </c>
      <c r="L1707" s="2">
        <v>3318</v>
      </c>
      <c r="M1707" s="2">
        <v>6636</v>
      </c>
      <c r="N1707" s="2">
        <v>6636</v>
      </c>
      <c r="O1707" s="2">
        <v>3404</v>
      </c>
      <c r="P1707" s="2">
        <v>86</v>
      </c>
      <c r="Q1707" s="2">
        <v>172</v>
      </c>
      <c r="R1707" s="4">
        <v>2.5264394829612225E-2</v>
      </c>
      <c r="T1707">
        <v>316513</v>
      </c>
      <c r="U1707" s="2"/>
      <c r="V1707">
        <v>6215</v>
      </c>
      <c r="W1707" s="2">
        <v>6579000000</v>
      </c>
      <c r="X1707" s="6">
        <v>6808</v>
      </c>
      <c r="Y1707" s="38">
        <v>10010</v>
      </c>
      <c r="Z1707" s="86">
        <f>+((DETALLE_GD_1[[#This Row],[VALOR X UN (GD)]]-DETALLE_GD_1[[#This Row],[VALOR PPTO]])/DETALLE_GD_1[[#This Row],[VALOR PPTO]])</f>
        <v>-2.5264394829612222E-2</v>
      </c>
      <c r="AA1707" s="2">
        <f>+DETALLE_GD_1[[#This Row],[VALOR PPTO]]*DETALLE_GD_1[[#This Row],[CANTIDAD RECIBIDA]]</f>
        <v>6808</v>
      </c>
      <c r="AB1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7" s="3">
        <f>+DETALLE_GD_1[[#This Row],[CANTIDAD SOLICITADA]]-DETALLE_GD_1[[#This Row],[DEVOLUCIÓN]]</f>
        <v>2</v>
      </c>
      <c r="AD1707" s="38" t="str">
        <f>+_xlfn.XLOOKUP(DETALLE_GD_1[[#This Row],[CODIGO]],PRODUCTOS[CODIGO],PRODUCTOS[DESC CORTA],"",0)</f>
        <v>NUEVA</v>
      </c>
    </row>
    <row r="1708" spans="1:30" x14ac:dyDescent="0.25">
      <c r="A1708" s="1">
        <v>46167</v>
      </c>
      <c r="B1708" s="1">
        <v>46167</v>
      </c>
      <c r="C1708" s="81" t="s">
        <v>169</v>
      </c>
      <c r="D1708" s="38">
        <v>5</v>
      </c>
      <c r="E1708" s="81" t="s">
        <v>169</v>
      </c>
      <c r="F1708">
        <v>1808006</v>
      </c>
      <c r="G1708" s="81" t="s">
        <v>194</v>
      </c>
      <c r="H1708" s="81" t="s">
        <v>31</v>
      </c>
      <c r="I1708" s="3">
        <v>2</v>
      </c>
      <c r="J1708" s="3"/>
      <c r="K1708" s="26">
        <v>2</v>
      </c>
      <c r="L1708" s="2">
        <v>2906.5</v>
      </c>
      <c r="M1708" s="2">
        <v>5813</v>
      </c>
      <c r="N1708" s="2">
        <v>5813</v>
      </c>
      <c r="O1708" s="2">
        <v>2906.6711</v>
      </c>
      <c r="P1708" s="2">
        <v>0.1711</v>
      </c>
      <c r="Q1708" s="2">
        <v>0.3422</v>
      </c>
      <c r="R1708" s="4">
        <v>5.8863213053409091E-5</v>
      </c>
      <c r="T1708">
        <v>316513</v>
      </c>
      <c r="U1708" s="2"/>
      <c r="V1708">
        <v>6215</v>
      </c>
      <c r="W1708" s="2">
        <v>6579000000</v>
      </c>
      <c r="X1708" s="6">
        <v>5813.3421920000001</v>
      </c>
      <c r="Y1708" s="38">
        <v>10010</v>
      </c>
      <c r="Z1708" s="86">
        <f>+((DETALLE_GD_1[[#This Row],[VALOR X UN (GD)]]-DETALLE_GD_1[[#This Row],[VALOR PPTO]])/DETALLE_GD_1[[#This Row],[VALOR PPTO]])</f>
        <v>-5.886458911709137E-5</v>
      </c>
      <c r="AA1708" s="2">
        <f>+DETALLE_GD_1[[#This Row],[VALOR PPTO]]*DETALLE_GD_1[[#This Row],[CANTIDAD RECIBIDA]]</f>
        <v>5813.3422</v>
      </c>
      <c r="AB1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8" s="3">
        <f>+DETALLE_GD_1[[#This Row],[CANTIDAD SOLICITADA]]-DETALLE_GD_1[[#This Row],[DEVOLUCIÓN]]</f>
        <v>2</v>
      </c>
      <c r="AD1708" s="38">
        <f>+_xlfn.XLOOKUP(DETALLE_GD_1[[#This Row],[CODIGO]],PRODUCTOS[CODIGO],PRODUCTOS[DESC CORTA],"",0)</f>
        <v>0</v>
      </c>
    </row>
    <row r="1709" spans="1:30" x14ac:dyDescent="0.25">
      <c r="A1709" s="1">
        <v>46167</v>
      </c>
      <c r="B1709" s="1">
        <v>46167</v>
      </c>
      <c r="C1709" s="81" t="s">
        <v>169</v>
      </c>
      <c r="D1709" s="38">
        <v>5</v>
      </c>
      <c r="E1709" s="81" t="s">
        <v>169</v>
      </c>
      <c r="F1709">
        <v>1808003</v>
      </c>
      <c r="G1709" s="81" t="s">
        <v>195</v>
      </c>
      <c r="H1709" s="81" t="s">
        <v>31</v>
      </c>
      <c r="I1709" s="3">
        <v>4</v>
      </c>
      <c r="J1709" s="3"/>
      <c r="K1709" s="26">
        <v>4</v>
      </c>
      <c r="L1709" s="2">
        <v>167.75</v>
      </c>
      <c r="M1709" s="2">
        <v>671</v>
      </c>
      <c r="N1709" s="2">
        <v>671</v>
      </c>
      <c r="O1709" s="2">
        <v>167.7449</v>
      </c>
      <c r="P1709" s="2">
        <v>-5.1000000000000004E-3</v>
      </c>
      <c r="Q1709" s="2">
        <v>-2.06E-2</v>
      </c>
      <c r="R1709" s="4">
        <v>-3.065369669917391E-5</v>
      </c>
      <c r="T1709">
        <v>316513</v>
      </c>
      <c r="U1709" s="2"/>
      <c r="V1709">
        <v>6215</v>
      </c>
      <c r="W1709" s="2">
        <v>6579000000</v>
      </c>
      <c r="X1709" s="6">
        <v>670.97943200000009</v>
      </c>
      <c r="Y1709" s="38">
        <v>10010</v>
      </c>
      <c r="Z1709" s="86">
        <f>+((DETALLE_GD_1[[#This Row],[VALOR X UN (GD)]]-DETALLE_GD_1[[#This Row],[VALOR PPTO]])/DETALLE_GD_1[[#This Row],[VALOR PPTO]])</f>
        <v>3.0403308833823098E-5</v>
      </c>
      <c r="AA1709" s="2">
        <f>+DETALLE_GD_1[[#This Row],[VALOR PPTO]]*DETALLE_GD_1[[#This Row],[CANTIDAD RECIBIDA]]</f>
        <v>670.9796</v>
      </c>
      <c r="AB1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9" s="3">
        <f>+DETALLE_GD_1[[#This Row],[CANTIDAD SOLICITADA]]-DETALLE_GD_1[[#This Row],[DEVOLUCIÓN]]</f>
        <v>4</v>
      </c>
      <c r="AD1709" s="38">
        <f>+_xlfn.XLOOKUP(DETALLE_GD_1[[#This Row],[CODIGO]],PRODUCTOS[CODIGO],PRODUCTOS[DESC CORTA],"",0)</f>
        <v>0</v>
      </c>
    </row>
    <row r="1710" spans="1:30" x14ac:dyDescent="0.25">
      <c r="A1710" s="1">
        <v>46167</v>
      </c>
      <c r="B1710" s="1">
        <v>46167</v>
      </c>
      <c r="C1710" s="81" t="s">
        <v>169</v>
      </c>
      <c r="D1710" s="38">
        <v>5</v>
      </c>
      <c r="E1710" s="81" t="s">
        <v>169</v>
      </c>
      <c r="F1710">
        <v>1802517</v>
      </c>
      <c r="G1710" s="81" t="s">
        <v>141</v>
      </c>
      <c r="H1710" s="81" t="s">
        <v>31</v>
      </c>
      <c r="I1710" s="3">
        <v>2</v>
      </c>
      <c r="J1710" s="3"/>
      <c r="K1710" s="26">
        <v>2</v>
      </c>
      <c r="L1710" s="2">
        <v>2312.5</v>
      </c>
      <c r="M1710" s="2">
        <v>4625</v>
      </c>
      <c r="N1710" s="2">
        <v>4625</v>
      </c>
      <c r="O1710" s="2">
        <v>2312</v>
      </c>
      <c r="P1710" s="2">
        <v>-0.5</v>
      </c>
      <c r="Q1710" s="2">
        <v>-1</v>
      </c>
      <c r="R1710" s="4">
        <v>-2.1626297577854672E-4</v>
      </c>
      <c r="T1710">
        <v>316513</v>
      </c>
      <c r="U1710" s="2"/>
      <c r="V1710">
        <v>6215</v>
      </c>
      <c r="W1710" s="2">
        <v>6579000000</v>
      </c>
      <c r="X1710" s="6">
        <v>4624</v>
      </c>
      <c r="Y1710" s="38">
        <v>10010</v>
      </c>
      <c r="Z1710" s="86">
        <f>+((DETALLE_GD_1[[#This Row],[VALOR X UN (GD)]]-DETALLE_GD_1[[#This Row],[VALOR PPTO]])/DETALLE_GD_1[[#This Row],[VALOR PPTO]])</f>
        <v>2.1626297577854672E-4</v>
      </c>
      <c r="AA1710" s="2">
        <f>+DETALLE_GD_1[[#This Row],[VALOR PPTO]]*DETALLE_GD_1[[#This Row],[CANTIDAD RECIBIDA]]</f>
        <v>4624</v>
      </c>
      <c r="AB1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0" s="3">
        <f>+DETALLE_GD_1[[#This Row],[CANTIDAD SOLICITADA]]-DETALLE_GD_1[[#This Row],[DEVOLUCIÓN]]</f>
        <v>2</v>
      </c>
      <c r="AD1710" s="38" t="str">
        <f>+_xlfn.XLOOKUP(DETALLE_GD_1[[#This Row],[CODIGO]],PRODUCTOS[CODIGO],PRODUCTOS[DESC CORTA],"",0)</f>
        <v>CELOSIA ALUMINIO 25X25</v>
      </c>
    </row>
    <row r="1711" spans="1:30" x14ac:dyDescent="0.25">
      <c r="A1711" s="1">
        <v>46167</v>
      </c>
      <c r="B1711" s="1">
        <v>46167</v>
      </c>
      <c r="C1711" s="81" t="s">
        <v>169</v>
      </c>
      <c r="D1711" s="38">
        <v>5</v>
      </c>
      <c r="E1711" s="81" t="s">
        <v>169</v>
      </c>
      <c r="F1711">
        <v>1802172</v>
      </c>
      <c r="G1711" s="81" t="s">
        <v>266</v>
      </c>
      <c r="H1711" s="81" t="s">
        <v>31</v>
      </c>
      <c r="I1711" s="3">
        <v>2</v>
      </c>
      <c r="J1711" s="3"/>
      <c r="K1711" s="26">
        <v>2</v>
      </c>
      <c r="L1711" s="2">
        <v>3032.5</v>
      </c>
      <c r="M1711" s="2">
        <v>6065</v>
      </c>
      <c r="N1711" s="2">
        <v>6065</v>
      </c>
      <c r="O1711" s="2">
        <v>3035</v>
      </c>
      <c r="P1711" s="2">
        <v>2.5</v>
      </c>
      <c r="Q1711" s="2">
        <v>5</v>
      </c>
      <c r="R1711" s="4">
        <v>8.2372322899505756E-4</v>
      </c>
      <c r="T1711">
        <v>316513</v>
      </c>
      <c r="U1711" s="2"/>
      <c r="V1711">
        <v>6215</v>
      </c>
      <c r="W1711" s="2">
        <v>6579000000</v>
      </c>
      <c r="X1711" s="6">
        <v>6070</v>
      </c>
      <c r="Y1711" s="38">
        <v>10010</v>
      </c>
      <c r="Z1711" s="86">
        <f>+((DETALLE_GD_1[[#This Row],[VALOR X UN (GD)]]-DETALLE_GD_1[[#This Row],[VALOR PPTO]])/DETALLE_GD_1[[#This Row],[VALOR PPTO]])</f>
        <v>-8.2372322899505767E-4</v>
      </c>
      <c r="AA1711" s="2">
        <f>+DETALLE_GD_1[[#This Row],[VALOR PPTO]]*DETALLE_GD_1[[#This Row],[CANTIDAD RECIBIDA]]</f>
        <v>6070</v>
      </c>
      <c r="AB1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1" s="3">
        <f>+DETALLE_GD_1[[#This Row],[CANTIDAD SOLICITADA]]-DETALLE_GD_1[[#This Row],[DEVOLUCIÓN]]</f>
        <v>2</v>
      </c>
      <c r="AD1711" s="38" t="str">
        <f>+_xlfn.XLOOKUP(DETALLE_GD_1[[#This Row],[CODIGO]],PRODUCTOS[CODIGO],PRODUCTOS[DESC CORTA],"",0)</f>
        <v>ARGOLLA TOALLA BENTON</v>
      </c>
    </row>
    <row r="1712" spans="1:30" x14ac:dyDescent="0.25">
      <c r="A1712" s="1">
        <v>46167</v>
      </c>
      <c r="B1712" s="1">
        <v>46167</v>
      </c>
      <c r="C1712" s="81" t="s">
        <v>169</v>
      </c>
      <c r="D1712" s="38">
        <v>5</v>
      </c>
      <c r="E1712" s="81" t="s">
        <v>169</v>
      </c>
      <c r="F1712">
        <v>1802171</v>
      </c>
      <c r="G1712" s="81" t="s">
        <v>265</v>
      </c>
      <c r="H1712" s="81" t="s">
        <v>31</v>
      </c>
      <c r="I1712" s="3">
        <v>2</v>
      </c>
      <c r="J1712" s="3"/>
      <c r="K1712" s="26">
        <v>2</v>
      </c>
      <c r="L1712" s="2">
        <v>3148.5</v>
      </c>
      <c r="M1712" s="2">
        <v>6297</v>
      </c>
      <c r="N1712" s="2">
        <v>6297</v>
      </c>
      <c r="O1712" s="2">
        <v>3632</v>
      </c>
      <c r="P1712" s="2">
        <v>483.5</v>
      </c>
      <c r="Q1712" s="2">
        <v>967</v>
      </c>
      <c r="R1712" s="4">
        <v>0.13312224669603523</v>
      </c>
      <c r="T1712">
        <v>316513</v>
      </c>
      <c r="U1712" s="2"/>
      <c r="V1712">
        <v>6215</v>
      </c>
      <c r="W1712" s="2">
        <v>6579000000</v>
      </c>
      <c r="X1712" s="6">
        <v>7264</v>
      </c>
      <c r="Y1712" s="38">
        <v>10010</v>
      </c>
      <c r="Z1712" s="86">
        <f>+((DETALLE_GD_1[[#This Row],[VALOR X UN (GD)]]-DETALLE_GD_1[[#This Row],[VALOR PPTO]])/DETALLE_GD_1[[#This Row],[VALOR PPTO]])</f>
        <v>-0.13312224669603523</v>
      </c>
      <c r="AA1712" s="2">
        <f>+DETALLE_GD_1[[#This Row],[VALOR PPTO]]*DETALLE_GD_1[[#This Row],[CANTIDAD RECIBIDA]]</f>
        <v>7264</v>
      </c>
      <c r="AB1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2" s="3">
        <f>+DETALLE_GD_1[[#This Row],[CANTIDAD SOLICITADA]]-DETALLE_GD_1[[#This Row],[DEVOLUCIÓN]]</f>
        <v>2</v>
      </c>
      <c r="AD1712" s="38" t="str">
        <f>+_xlfn.XLOOKUP(DETALLE_GD_1[[#This Row],[CODIGO]],PRODUCTOS[CODIGO],PRODUCTOS[DESC CORTA],"",0)</f>
        <v>PORTA ROLLO BENTON</v>
      </c>
    </row>
    <row r="1713" spans="1:30" x14ac:dyDescent="0.25">
      <c r="A1713" s="1">
        <v>46167</v>
      </c>
      <c r="B1713" s="1">
        <v>46167</v>
      </c>
      <c r="C1713" s="81" t="s">
        <v>169</v>
      </c>
      <c r="D1713" s="38">
        <v>5</v>
      </c>
      <c r="E1713" s="81" t="s">
        <v>169</v>
      </c>
      <c r="F1713">
        <v>1206002</v>
      </c>
      <c r="G1713" s="81" t="s">
        <v>192</v>
      </c>
      <c r="H1713" s="81" t="s">
        <v>31</v>
      </c>
      <c r="I1713" s="3">
        <v>2</v>
      </c>
      <c r="J1713" s="3"/>
      <c r="K1713" s="26">
        <v>2</v>
      </c>
      <c r="L1713" s="2">
        <v>20331.5</v>
      </c>
      <c r="M1713" s="2">
        <v>40663</v>
      </c>
      <c r="N1713" s="2">
        <v>40663</v>
      </c>
      <c r="O1713" s="2">
        <v>15783.483899999999</v>
      </c>
      <c r="P1713" s="2">
        <v>-4548.0160999999998</v>
      </c>
      <c r="Q1713" s="2">
        <v>-9096.0323000000008</v>
      </c>
      <c r="R1713" s="4">
        <v>-0.28815033272574009</v>
      </c>
      <c r="T1713">
        <v>316513</v>
      </c>
      <c r="U1713" s="2"/>
      <c r="V1713">
        <v>6215</v>
      </c>
      <c r="W1713" s="2">
        <v>6579000000</v>
      </c>
      <c r="X1713" s="6">
        <v>31566.967741999997</v>
      </c>
      <c r="Y1713" s="38">
        <v>10010</v>
      </c>
      <c r="Z1713" s="86">
        <f>+((DETALLE_GD_1[[#This Row],[VALOR X UN (GD)]]-DETALLE_GD_1[[#This Row],[VALOR PPTO]])/DETALLE_GD_1[[#This Row],[VALOR PPTO]])</f>
        <v>0.28815033035893939</v>
      </c>
      <c r="AA1713" s="2">
        <f>+DETALLE_GD_1[[#This Row],[VALOR PPTO]]*DETALLE_GD_1[[#This Row],[CANTIDAD RECIBIDA]]</f>
        <v>31566.967799999999</v>
      </c>
      <c r="AB1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3" s="3">
        <f>+DETALLE_GD_1[[#This Row],[CANTIDAD SOLICITADA]]-DETALLE_GD_1[[#This Row],[DEVOLUCIÓN]]</f>
        <v>2</v>
      </c>
      <c r="AD1713" s="38">
        <f>+_xlfn.XLOOKUP(DETALLE_GD_1[[#This Row],[CODIGO]],PRODUCTOS[CODIGO],PRODUCTOS[DESC CORTA],"",0)</f>
        <v>0</v>
      </c>
    </row>
    <row r="1714" spans="1:30" x14ac:dyDescent="0.25">
      <c r="A1714" s="1">
        <v>46167</v>
      </c>
      <c r="B1714" s="1">
        <v>46167</v>
      </c>
      <c r="C1714" s="81" t="s">
        <v>169</v>
      </c>
      <c r="D1714" s="38">
        <v>5</v>
      </c>
      <c r="E1714" s="81" t="s">
        <v>169</v>
      </c>
      <c r="F1714">
        <v>2508987</v>
      </c>
      <c r="G1714" s="81" t="s">
        <v>305</v>
      </c>
      <c r="H1714" s="81" t="s">
        <v>31</v>
      </c>
      <c r="I1714" s="3">
        <v>2</v>
      </c>
      <c r="J1714" s="3"/>
      <c r="K1714" s="26">
        <v>2</v>
      </c>
      <c r="L1714" s="2">
        <v>142531.5</v>
      </c>
      <c r="M1714" s="2">
        <v>285063</v>
      </c>
      <c r="N1714" s="2">
        <v>285063</v>
      </c>
      <c r="O1714" s="2">
        <v>145847</v>
      </c>
      <c r="P1714" s="2">
        <v>3315.5</v>
      </c>
      <c r="Q1714" s="2">
        <v>6631</v>
      </c>
      <c r="R1714" s="4">
        <v>2.2732726761606346E-2</v>
      </c>
      <c r="T1714">
        <v>316513</v>
      </c>
      <c r="U1714" s="2"/>
      <c r="V1714">
        <v>6215</v>
      </c>
      <c r="W1714" s="2">
        <v>6579000000</v>
      </c>
      <c r="X1714" s="6">
        <v>291694</v>
      </c>
      <c r="Y1714" s="38">
        <v>10010</v>
      </c>
      <c r="Z1714" s="86">
        <f>+((DETALLE_GD_1[[#This Row],[VALOR X UN (GD)]]-DETALLE_GD_1[[#This Row],[VALOR PPTO]])/DETALLE_GD_1[[#This Row],[VALOR PPTO]])</f>
        <v>-2.2732726761606342E-2</v>
      </c>
      <c r="AA1714" s="2">
        <f>+DETALLE_GD_1[[#This Row],[VALOR PPTO]]*DETALLE_GD_1[[#This Row],[CANTIDAD RECIBIDA]]</f>
        <v>291694</v>
      </c>
      <c r="AB1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4" s="3">
        <f>+DETALLE_GD_1[[#This Row],[CANTIDAD SOLICITADA]]-DETALLE_GD_1[[#This Row],[DEVOLUCIÓN]]</f>
        <v>2</v>
      </c>
      <c r="AD1714" s="38" t="str">
        <f>+_xlfn.XLOOKUP(DETALLE_GD_1[[#This Row],[CODIGO]],PRODUCTOS[CODIGO],PRODUCTOS[DESC CORTA],"",0)</f>
        <v>KIT PREC</v>
      </c>
    </row>
    <row r="1715" spans="1:30" x14ac:dyDescent="0.25">
      <c r="A1715" s="1">
        <v>46167</v>
      </c>
      <c r="B1715" s="1">
        <v>46167</v>
      </c>
      <c r="C1715" s="81" t="s">
        <v>169</v>
      </c>
      <c r="D1715" s="38">
        <v>5</v>
      </c>
      <c r="E1715" s="81" t="s">
        <v>169</v>
      </c>
      <c r="F1715">
        <v>302048</v>
      </c>
      <c r="G1715" s="81" t="s">
        <v>126</v>
      </c>
      <c r="H1715" s="81" t="s">
        <v>20</v>
      </c>
      <c r="I1715" s="3">
        <v>108</v>
      </c>
      <c r="J1715" s="3"/>
      <c r="K1715" s="26">
        <v>108</v>
      </c>
      <c r="L1715" s="2">
        <v>14163.537</v>
      </c>
      <c r="M1715" s="2">
        <v>1529662</v>
      </c>
      <c r="N1715" s="2">
        <v>1529662</v>
      </c>
      <c r="O1715" s="2">
        <v>13710.695</v>
      </c>
      <c r="P1715" s="2">
        <v>-452.84210000000002</v>
      </c>
      <c r="Q1715" s="2">
        <v>-48906.944199999998</v>
      </c>
      <c r="R1715" s="4">
        <v>-3.3028382392369181E-2</v>
      </c>
      <c r="T1715">
        <v>316531</v>
      </c>
      <c r="U1715" s="2">
        <v>2651601</v>
      </c>
      <c r="V1715">
        <v>6215</v>
      </c>
      <c r="W1715" s="2">
        <v>6579000000</v>
      </c>
      <c r="X1715" s="6">
        <v>1480755.0557880001</v>
      </c>
      <c r="Y1715" s="38">
        <v>10010</v>
      </c>
      <c r="Z1715" s="86">
        <f>+((DETALLE_GD_1[[#This Row],[VALOR X UN (GD)]]-DETALLE_GD_1[[#This Row],[VALOR PPTO]])/DETALLE_GD_1[[#This Row],[VALOR PPTO]])</f>
        <v>3.3028376752600841E-2</v>
      </c>
      <c r="AA1715" s="2">
        <f>+DETALLE_GD_1[[#This Row],[VALOR PPTO]]*DETALLE_GD_1[[#This Row],[CANTIDAD RECIBIDA]]</f>
        <v>1480755.06</v>
      </c>
      <c r="AB17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15" s="3">
        <f>+DETALLE_GD_1[[#This Row],[CANTIDAD SOLICITADA]]-DETALLE_GD_1[[#This Row],[DEVOLUCIÓN]]</f>
        <v>108</v>
      </c>
      <c r="AD1715" s="38" t="str">
        <f>+_xlfn.XLOOKUP(DETALLE_GD_1[[#This Row],[CODIGO]],PRODUCTOS[CODIGO],PRODUCTOS[DESC CORTA],"",0)</f>
        <v>PINO 2X8X4</v>
      </c>
    </row>
    <row r="1716" spans="1:30" x14ac:dyDescent="0.25">
      <c r="A1716" s="1">
        <v>46167</v>
      </c>
      <c r="B1716" s="1">
        <v>46167</v>
      </c>
      <c r="C1716" s="81" t="s">
        <v>169</v>
      </c>
      <c r="D1716" s="38">
        <v>5</v>
      </c>
      <c r="E1716" s="81" t="s">
        <v>169</v>
      </c>
      <c r="F1716">
        <v>302010</v>
      </c>
      <c r="G1716" s="81" t="s">
        <v>323</v>
      </c>
      <c r="H1716" s="81" t="s">
        <v>20</v>
      </c>
      <c r="I1716" s="3">
        <v>168</v>
      </c>
      <c r="J1716" s="3"/>
      <c r="K1716" s="26">
        <v>168</v>
      </c>
      <c r="L1716" s="2">
        <v>6678.2083000000002</v>
      </c>
      <c r="M1716" s="2">
        <v>1121939</v>
      </c>
      <c r="N1716" s="2">
        <v>1121939</v>
      </c>
      <c r="O1716" s="2">
        <v>6585.1337000000003</v>
      </c>
      <c r="P1716" s="2">
        <v>-93.074600000000004</v>
      </c>
      <c r="Q1716" s="2">
        <v>-15636.5308</v>
      </c>
      <c r="R1716" s="4">
        <v>-1.4134046769211253E-2</v>
      </c>
      <c r="T1716">
        <v>316531</v>
      </c>
      <c r="U1716" s="2"/>
      <c r="V1716">
        <v>6215</v>
      </c>
      <c r="W1716" s="2">
        <v>6579000000</v>
      </c>
      <c r="X1716" s="6">
        <v>1106302.4691599987</v>
      </c>
      <c r="Y1716" s="38">
        <v>10010</v>
      </c>
      <c r="Z1716" s="86">
        <f>+((DETALLE_GD_1[[#This Row],[VALOR X UN (GD)]]-DETALLE_GD_1[[#This Row],[VALOR PPTO]])/DETALLE_GD_1[[#This Row],[VALOR PPTO]])</f>
        <v>1.413404863746349E-2</v>
      </c>
      <c r="AA1716" s="2">
        <f>+DETALLE_GD_1[[#This Row],[VALOR PPTO]]*DETALLE_GD_1[[#This Row],[CANTIDAD RECIBIDA]]</f>
        <v>1106302.4616</v>
      </c>
      <c r="AB17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16" s="3">
        <f>+DETALLE_GD_1[[#This Row],[CANTIDAD SOLICITADA]]-DETALLE_GD_1[[#This Row],[DEVOLUCIÓN]]</f>
        <v>168</v>
      </c>
      <c r="AD1716" s="38" t="str">
        <f>+_xlfn.XLOOKUP(DETALLE_GD_1[[#This Row],[CODIGO]],PRODUCTOS[CODIGO],PRODUCTOS[DESC CORTA],"",0)</f>
        <v>PINO 2X6X320</v>
      </c>
    </row>
    <row r="1717" spans="1:30" x14ac:dyDescent="0.25">
      <c r="A1717" s="1">
        <v>46167</v>
      </c>
      <c r="B1717" s="1">
        <v>46167</v>
      </c>
      <c r="C1717" s="81" t="s">
        <v>169</v>
      </c>
      <c r="D1717" s="38">
        <v>5</v>
      </c>
      <c r="E1717" s="81" t="s">
        <v>169</v>
      </c>
      <c r="F1717">
        <v>1402016</v>
      </c>
      <c r="G1717" s="81" t="s">
        <v>798</v>
      </c>
      <c r="H1717" s="81" t="s">
        <v>31</v>
      </c>
      <c r="I1717" s="3">
        <v>21</v>
      </c>
      <c r="J1717" s="3"/>
      <c r="K1717" s="26">
        <v>21</v>
      </c>
      <c r="L1717" s="2">
        <v>754.19050000000004</v>
      </c>
      <c r="M1717" s="2">
        <v>15838</v>
      </c>
      <c r="N1717" s="2">
        <v>15838</v>
      </c>
      <c r="O1717" s="2"/>
      <c r="P1717" s="2"/>
      <c r="Q1717" s="2">
        <v>-15838</v>
      </c>
      <c r="R1717" s="4"/>
      <c r="T1717">
        <v>316527</v>
      </c>
      <c r="U1717" s="2">
        <v>1492064</v>
      </c>
      <c r="V1717">
        <v>6215</v>
      </c>
      <c r="W1717" s="2">
        <v>6579000000</v>
      </c>
      <c r="X1717" s="6" t="s">
        <v>355</v>
      </c>
      <c r="Y1717" s="38">
        <v>10010</v>
      </c>
      <c r="Z1717" s="86" t="e">
        <f>+((DETALLE_GD_1[[#This Row],[VALOR X UN (GD)]]-DETALLE_GD_1[[#This Row],[VALOR PPTO]])/DETALLE_GD_1[[#This Row],[VALOR PPTO]])</f>
        <v>#DIV/0!</v>
      </c>
      <c r="AA1717" s="2">
        <f>+DETALLE_GD_1[[#This Row],[VALOR PPTO]]*DETALLE_GD_1[[#This Row],[CANTIDAD RECIBIDA]]</f>
        <v>0</v>
      </c>
      <c r="AB1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7" s="3">
        <f>+DETALLE_GD_1[[#This Row],[CANTIDAD SOLICITADA]]-DETALLE_GD_1[[#This Row],[DEVOLUCIÓN]]</f>
        <v>21</v>
      </c>
      <c r="AD1717" s="38" t="str">
        <f>+_xlfn.XLOOKUP(DETALLE_GD_1[[#This Row],[CODIGO]],PRODUCTOS[CODIGO],PRODUCTOS[DESC CORTA],"",0)</f>
        <v/>
      </c>
    </row>
    <row r="1718" spans="1:30" x14ac:dyDescent="0.25">
      <c r="A1718" s="1">
        <v>46167</v>
      </c>
      <c r="B1718" s="1">
        <v>46167</v>
      </c>
      <c r="C1718" s="81" t="s">
        <v>169</v>
      </c>
      <c r="D1718" s="38">
        <v>5</v>
      </c>
      <c r="E1718" s="81" t="s">
        <v>169</v>
      </c>
      <c r="F1718">
        <v>1101298</v>
      </c>
      <c r="G1718" s="81" t="s">
        <v>799</v>
      </c>
      <c r="H1718" s="81" t="s">
        <v>31</v>
      </c>
      <c r="I1718" s="3">
        <v>7</v>
      </c>
      <c r="J1718" s="3"/>
      <c r="K1718" s="26">
        <v>7</v>
      </c>
      <c r="L1718" s="2">
        <v>73070</v>
      </c>
      <c r="M1718" s="2">
        <v>511490</v>
      </c>
      <c r="N1718" s="2">
        <v>511490</v>
      </c>
      <c r="O1718" s="2"/>
      <c r="P1718" s="2"/>
      <c r="Q1718" s="2">
        <v>-511490</v>
      </c>
      <c r="R1718" s="4"/>
      <c r="T1718">
        <v>316527</v>
      </c>
      <c r="U1718" s="2"/>
      <c r="V1718">
        <v>6215</v>
      </c>
      <c r="W1718" s="2">
        <v>6579000000</v>
      </c>
      <c r="X1718" s="6" t="s">
        <v>355</v>
      </c>
      <c r="Y1718" s="38">
        <v>10010</v>
      </c>
      <c r="Z1718" s="86" t="e">
        <f>+((DETALLE_GD_1[[#This Row],[VALOR X UN (GD)]]-DETALLE_GD_1[[#This Row],[VALOR PPTO]])/DETALLE_GD_1[[#This Row],[VALOR PPTO]])</f>
        <v>#DIV/0!</v>
      </c>
      <c r="AA1718" s="2">
        <f>+DETALLE_GD_1[[#This Row],[VALOR PPTO]]*DETALLE_GD_1[[#This Row],[CANTIDAD RECIBIDA]]</f>
        <v>0</v>
      </c>
      <c r="AB1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8" s="3">
        <f>+DETALLE_GD_1[[#This Row],[CANTIDAD SOLICITADA]]-DETALLE_GD_1[[#This Row],[DEVOLUCIÓN]]</f>
        <v>7</v>
      </c>
      <c r="AD1718" s="38" t="str">
        <f>+_xlfn.XLOOKUP(DETALLE_GD_1[[#This Row],[CODIGO]],PRODUCTOS[CODIGO],PRODUCTOS[DESC CORTA],"",0)</f>
        <v/>
      </c>
    </row>
    <row r="1719" spans="1:30" x14ac:dyDescent="0.25">
      <c r="A1719" s="1">
        <v>46167</v>
      </c>
      <c r="B1719" s="1">
        <v>46167</v>
      </c>
      <c r="C1719" s="81" t="s">
        <v>169</v>
      </c>
      <c r="D1719" s="38">
        <v>5</v>
      </c>
      <c r="E1719" s="81" t="s">
        <v>169</v>
      </c>
      <c r="F1719">
        <v>1808156</v>
      </c>
      <c r="G1719" s="81" t="s">
        <v>277</v>
      </c>
      <c r="H1719" s="81" t="s">
        <v>31</v>
      </c>
      <c r="I1719" s="3">
        <v>3</v>
      </c>
      <c r="J1719" s="3"/>
      <c r="K1719" s="26">
        <v>3</v>
      </c>
      <c r="L1719" s="2">
        <v>1931.6667</v>
      </c>
      <c r="M1719" s="2">
        <v>5795</v>
      </c>
      <c r="N1719" s="2">
        <v>5795</v>
      </c>
      <c r="O1719" s="2">
        <v>1916</v>
      </c>
      <c r="P1719" s="2">
        <v>-15.666700000000001</v>
      </c>
      <c r="Q1719" s="2">
        <v>-47</v>
      </c>
      <c r="R1719" s="4">
        <v>-8.1767571329158361E-3</v>
      </c>
      <c r="T1719">
        <v>316527</v>
      </c>
      <c r="U1719" s="2"/>
      <c r="V1719">
        <v>6215</v>
      </c>
      <c r="W1719" s="2">
        <v>6579000000</v>
      </c>
      <c r="X1719" s="6">
        <v>5748</v>
      </c>
      <c r="Y1719" s="38">
        <v>10010</v>
      </c>
      <c r="Z1719" s="86">
        <f>+((DETALLE_GD_1[[#This Row],[VALOR X UN (GD)]]-DETALLE_GD_1[[#This Row],[VALOR PPTO]])/DETALLE_GD_1[[#This Row],[VALOR PPTO]])</f>
        <v>8.176774530271394E-3</v>
      </c>
      <c r="AA1719" s="2">
        <f>+DETALLE_GD_1[[#This Row],[VALOR PPTO]]*DETALLE_GD_1[[#This Row],[CANTIDAD RECIBIDA]]</f>
        <v>5748</v>
      </c>
      <c r="AB1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9" s="3">
        <f>+DETALLE_GD_1[[#This Row],[CANTIDAD SOLICITADA]]-DETALLE_GD_1[[#This Row],[DEVOLUCIÓN]]</f>
        <v>3</v>
      </c>
      <c r="AD1719" s="38" t="str">
        <f>+_xlfn.XLOOKUP(DETALLE_GD_1[[#This Row],[CODIGO]],PRODUCTOS[CODIGO],PRODUCTOS[DESC CORTA],"",0)</f>
        <v>PERCHA SIMPLE YORK</v>
      </c>
    </row>
    <row r="1720" spans="1:30" x14ac:dyDescent="0.25">
      <c r="A1720" s="1">
        <v>46167</v>
      </c>
      <c r="B1720" s="1">
        <v>46167</v>
      </c>
      <c r="C1720" s="81" t="s">
        <v>169</v>
      </c>
      <c r="D1720" s="38">
        <v>5</v>
      </c>
      <c r="E1720" s="81" t="s">
        <v>169</v>
      </c>
      <c r="F1720">
        <v>1808006</v>
      </c>
      <c r="G1720" s="81" t="s">
        <v>194</v>
      </c>
      <c r="H1720" s="81" t="s">
        <v>31</v>
      </c>
      <c r="I1720" s="3">
        <v>3</v>
      </c>
      <c r="J1720" s="3"/>
      <c r="K1720" s="26">
        <v>3</v>
      </c>
      <c r="L1720" s="2">
        <v>2906.6667000000002</v>
      </c>
      <c r="M1720" s="2">
        <v>8720</v>
      </c>
      <c r="N1720" s="2">
        <v>8720</v>
      </c>
      <c r="O1720" s="2">
        <v>2906.6711</v>
      </c>
      <c r="P1720" s="2">
        <v>4.4000000000000003E-3</v>
      </c>
      <c r="Q1720" s="2">
        <v>1.3299999999999999E-2</v>
      </c>
      <c r="R1720" s="4">
        <v>1.523850888947989E-6</v>
      </c>
      <c r="T1720">
        <v>316527</v>
      </c>
      <c r="U1720" s="2"/>
      <c r="V1720">
        <v>6215</v>
      </c>
      <c r="W1720" s="2">
        <v>6579000000</v>
      </c>
      <c r="X1720" s="6">
        <v>8720.0132880000001</v>
      </c>
      <c r="Y1720" s="38">
        <v>10010</v>
      </c>
      <c r="Z1720" s="86">
        <f>+((DETALLE_GD_1[[#This Row],[VALOR X UN (GD)]]-DETALLE_GD_1[[#This Row],[VALOR PPTO]])/DETALLE_GD_1[[#This Row],[VALOR PPTO]])</f>
        <v>-1.5137591589929127E-6</v>
      </c>
      <c r="AA1720" s="2">
        <f>+DETALLE_GD_1[[#This Row],[VALOR PPTO]]*DETALLE_GD_1[[#This Row],[CANTIDAD RECIBIDA]]</f>
        <v>8720.0133000000005</v>
      </c>
      <c r="AB17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0" s="3">
        <f>+DETALLE_GD_1[[#This Row],[CANTIDAD SOLICITADA]]-DETALLE_GD_1[[#This Row],[DEVOLUCIÓN]]</f>
        <v>3</v>
      </c>
      <c r="AD1720" s="38">
        <f>+_xlfn.XLOOKUP(DETALLE_GD_1[[#This Row],[CODIGO]],PRODUCTOS[CODIGO],PRODUCTOS[DESC CORTA],"",0)</f>
        <v>0</v>
      </c>
    </row>
    <row r="1721" spans="1:30" x14ac:dyDescent="0.25">
      <c r="A1721" s="1">
        <v>46167</v>
      </c>
      <c r="B1721" s="1">
        <v>46167</v>
      </c>
      <c r="C1721" s="81" t="s">
        <v>169</v>
      </c>
      <c r="D1721" s="38">
        <v>5</v>
      </c>
      <c r="E1721" s="81" t="s">
        <v>169</v>
      </c>
      <c r="F1721">
        <v>1808003</v>
      </c>
      <c r="G1721" s="81" t="s">
        <v>195</v>
      </c>
      <c r="H1721" s="81" t="s">
        <v>31</v>
      </c>
      <c r="I1721" s="3">
        <v>6</v>
      </c>
      <c r="J1721" s="3"/>
      <c r="K1721" s="26">
        <v>6</v>
      </c>
      <c r="L1721" s="2">
        <v>167.66669999999999</v>
      </c>
      <c r="M1721" s="2">
        <v>1006</v>
      </c>
      <c r="N1721" s="2">
        <v>1006</v>
      </c>
      <c r="O1721" s="2">
        <v>167.7449</v>
      </c>
      <c r="P1721" s="2">
        <v>7.8200000000000006E-2</v>
      </c>
      <c r="Q1721" s="2">
        <v>0.46910000000000002</v>
      </c>
      <c r="R1721" s="4">
        <v>4.6613251974236255E-4</v>
      </c>
      <c r="T1721">
        <v>316527</v>
      </c>
      <c r="U1721" s="2"/>
      <c r="V1721">
        <v>6215</v>
      </c>
      <c r="W1721" s="2">
        <v>6579000000</v>
      </c>
      <c r="X1721" s="6">
        <v>1006.469148</v>
      </c>
      <c r="Y1721" s="38">
        <v>10010</v>
      </c>
      <c r="Z1721" s="86">
        <f>+((DETALLE_GD_1[[#This Row],[VALOR X UN (GD)]]-DETALLE_GD_1[[#This Row],[VALOR PPTO]])/DETALLE_GD_1[[#This Row],[VALOR PPTO]])</f>
        <v>-4.6618406878545695E-4</v>
      </c>
      <c r="AA1721" s="2">
        <f>+DETALLE_GD_1[[#This Row],[VALOR PPTO]]*DETALLE_GD_1[[#This Row],[CANTIDAD RECIBIDA]]</f>
        <v>1006.4694</v>
      </c>
      <c r="AB1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1" s="3">
        <f>+DETALLE_GD_1[[#This Row],[CANTIDAD SOLICITADA]]-DETALLE_GD_1[[#This Row],[DEVOLUCIÓN]]</f>
        <v>6</v>
      </c>
      <c r="AD1721" s="38">
        <f>+_xlfn.XLOOKUP(DETALLE_GD_1[[#This Row],[CODIGO]],PRODUCTOS[CODIGO],PRODUCTOS[DESC CORTA],"",0)</f>
        <v>0</v>
      </c>
    </row>
    <row r="1722" spans="1:30" x14ac:dyDescent="0.25">
      <c r="A1722" s="1">
        <v>46167</v>
      </c>
      <c r="B1722" s="1">
        <v>46167</v>
      </c>
      <c r="C1722" s="81" t="s">
        <v>169</v>
      </c>
      <c r="D1722" s="38">
        <v>5</v>
      </c>
      <c r="E1722" s="81" t="s">
        <v>169</v>
      </c>
      <c r="F1722">
        <v>1802172</v>
      </c>
      <c r="G1722" s="81" t="s">
        <v>266</v>
      </c>
      <c r="H1722" s="81" t="s">
        <v>31</v>
      </c>
      <c r="I1722" s="3">
        <v>3</v>
      </c>
      <c r="J1722" s="3"/>
      <c r="K1722" s="26">
        <v>3</v>
      </c>
      <c r="L1722" s="2">
        <v>3032.3332999999998</v>
      </c>
      <c r="M1722" s="2">
        <v>9097</v>
      </c>
      <c r="N1722" s="2">
        <v>9097</v>
      </c>
      <c r="O1722" s="2">
        <v>3035</v>
      </c>
      <c r="P1722" s="2">
        <v>2.6667000000000001</v>
      </c>
      <c r="Q1722" s="2">
        <v>8</v>
      </c>
      <c r="R1722" s="4">
        <v>8.7863811092801151E-4</v>
      </c>
      <c r="T1722">
        <v>316527</v>
      </c>
      <c r="U1722" s="2"/>
      <c r="V1722">
        <v>6215</v>
      </c>
      <c r="W1722" s="2">
        <v>6579000000</v>
      </c>
      <c r="X1722" s="6">
        <v>9105</v>
      </c>
      <c r="Y1722" s="38">
        <v>10010</v>
      </c>
      <c r="Z1722" s="86">
        <f>+((DETALLE_GD_1[[#This Row],[VALOR X UN (GD)]]-DETALLE_GD_1[[#This Row],[VALOR PPTO]])/DETALLE_GD_1[[#This Row],[VALOR PPTO]])</f>
        <v>-8.7864909390452024E-4</v>
      </c>
      <c r="AA1722" s="2">
        <f>+DETALLE_GD_1[[#This Row],[VALOR PPTO]]*DETALLE_GD_1[[#This Row],[CANTIDAD RECIBIDA]]</f>
        <v>9105</v>
      </c>
      <c r="AB17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2" s="3">
        <f>+DETALLE_GD_1[[#This Row],[CANTIDAD SOLICITADA]]-DETALLE_GD_1[[#This Row],[DEVOLUCIÓN]]</f>
        <v>3</v>
      </c>
      <c r="AD1722" s="38" t="str">
        <f>+_xlfn.XLOOKUP(DETALLE_GD_1[[#This Row],[CODIGO]],PRODUCTOS[CODIGO],PRODUCTOS[DESC CORTA],"",0)</f>
        <v>ARGOLLA TOALLA BENTON</v>
      </c>
    </row>
    <row r="1723" spans="1:30" x14ac:dyDescent="0.25">
      <c r="A1723" s="1">
        <v>46167</v>
      </c>
      <c r="B1723" s="1">
        <v>46167</v>
      </c>
      <c r="C1723" s="81" t="s">
        <v>169</v>
      </c>
      <c r="D1723" s="38">
        <v>5</v>
      </c>
      <c r="E1723" s="81" t="s">
        <v>169</v>
      </c>
      <c r="F1723">
        <v>1802171</v>
      </c>
      <c r="G1723" s="81" t="s">
        <v>265</v>
      </c>
      <c r="H1723" s="81" t="s">
        <v>31</v>
      </c>
      <c r="I1723" s="3">
        <v>3</v>
      </c>
      <c r="J1723" s="3"/>
      <c r="K1723" s="26">
        <v>3</v>
      </c>
      <c r="L1723" s="2">
        <v>3148.3332999999998</v>
      </c>
      <c r="M1723" s="2">
        <v>9445</v>
      </c>
      <c r="N1723" s="2">
        <v>9445</v>
      </c>
      <c r="O1723" s="2">
        <v>3632</v>
      </c>
      <c r="P1723" s="2">
        <v>483.66669999999999</v>
      </c>
      <c r="Q1723" s="2">
        <v>1451</v>
      </c>
      <c r="R1723" s="4">
        <v>0.13316813509544784</v>
      </c>
      <c r="T1723">
        <v>316527</v>
      </c>
      <c r="U1723" s="2"/>
      <c r="V1723">
        <v>6215</v>
      </c>
      <c r="W1723" s="2">
        <v>6579000000</v>
      </c>
      <c r="X1723" s="6">
        <v>10896</v>
      </c>
      <c r="Y1723" s="38">
        <v>10010</v>
      </c>
      <c r="Z1723" s="86">
        <f>+((DETALLE_GD_1[[#This Row],[VALOR X UN (GD)]]-DETALLE_GD_1[[#This Row],[VALOR PPTO]])/DETALLE_GD_1[[#This Row],[VALOR PPTO]])</f>
        <v>-0.13316814427312781</v>
      </c>
      <c r="AA1723" s="2">
        <f>+DETALLE_GD_1[[#This Row],[VALOR PPTO]]*DETALLE_GD_1[[#This Row],[CANTIDAD RECIBIDA]]</f>
        <v>10896</v>
      </c>
      <c r="AB1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3" s="3">
        <f>+DETALLE_GD_1[[#This Row],[CANTIDAD SOLICITADA]]-DETALLE_GD_1[[#This Row],[DEVOLUCIÓN]]</f>
        <v>3</v>
      </c>
      <c r="AD1723" s="38" t="str">
        <f>+_xlfn.XLOOKUP(DETALLE_GD_1[[#This Row],[CODIGO]],PRODUCTOS[CODIGO],PRODUCTOS[DESC CORTA],"",0)</f>
        <v>PORTA ROLLO BENTON</v>
      </c>
    </row>
    <row r="1724" spans="1:30" x14ac:dyDescent="0.25">
      <c r="A1724" s="1">
        <v>46167</v>
      </c>
      <c r="B1724" s="1">
        <v>46167</v>
      </c>
      <c r="C1724" s="81" t="s">
        <v>169</v>
      </c>
      <c r="D1724" s="38">
        <v>5</v>
      </c>
      <c r="E1724" s="81" t="s">
        <v>169</v>
      </c>
      <c r="F1724">
        <v>1206002</v>
      </c>
      <c r="G1724" s="81" t="s">
        <v>192</v>
      </c>
      <c r="H1724" s="81" t="s">
        <v>31</v>
      </c>
      <c r="I1724" s="3">
        <v>3</v>
      </c>
      <c r="J1724" s="3"/>
      <c r="K1724" s="26">
        <v>3</v>
      </c>
      <c r="L1724" s="2">
        <v>20331.666700000002</v>
      </c>
      <c r="M1724" s="2">
        <v>60995</v>
      </c>
      <c r="N1724" s="2">
        <v>60995</v>
      </c>
      <c r="O1724" s="2">
        <v>15783.483899999999</v>
      </c>
      <c r="P1724" s="2">
        <v>-4548.1827999999996</v>
      </c>
      <c r="Q1724" s="2">
        <v>-13644.5484</v>
      </c>
      <c r="R1724" s="4">
        <v>-0.28816089228711639</v>
      </c>
      <c r="T1724">
        <v>316527</v>
      </c>
      <c r="U1724" s="2"/>
      <c r="V1724">
        <v>6215</v>
      </c>
      <c r="W1724" s="2">
        <v>6579000000</v>
      </c>
      <c r="X1724" s="6">
        <v>47350.451612999997</v>
      </c>
      <c r="Y1724" s="38">
        <v>10010</v>
      </c>
      <c r="Z1724" s="86">
        <f>+((DETALLE_GD_1[[#This Row],[VALOR X UN (GD)]]-DETALLE_GD_1[[#This Row],[VALOR PPTO]])/DETALLE_GD_1[[#This Row],[VALOR PPTO]])</f>
        <v>0.28816089203220857</v>
      </c>
      <c r="AA1724" s="2">
        <f>+DETALLE_GD_1[[#This Row],[VALOR PPTO]]*DETALLE_GD_1[[#This Row],[CANTIDAD RECIBIDA]]</f>
        <v>47350.451699999998</v>
      </c>
      <c r="AB1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4" s="3">
        <f>+DETALLE_GD_1[[#This Row],[CANTIDAD SOLICITADA]]-DETALLE_GD_1[[#This Row],[DEVOLUCIÓN]]</f>
        <v>3</v>
      </c>
      <c r="AD1724" s="38">
        <f>+_xlfn.XLOOKUP(DETALLE_GD_1[[#This Row],[CODIGO]],PRODUCTOS[CODIGO],PRODUCTOS[DESC CORTA],"",0)</f>
        <v>0</v>
      </c>
    </row>
    <row r="1725" spans="1:30" x14ac:dyDescent="0.25">
      <c r="A1725" s="1">
        <v>46167</v>
      </c>
      <c r="B1725" s="1">
        <v>46167</v>
      </c>
      <c r="C1725" s="81" t="s">
        <v>169</v>
      </c>
      <c r="D1725" s="38">
        <v>5</v>
      </c>
      <c r="E1725" s="81" t="s">
        <v>169</v>
      </c>
      <c r="F1725" t="s">
        <v>345</v>
      </c>
      <c r="G1725" s="81" t="s">
        <v>167</v>
      </c>
      <c r="H1725" s="81" t="s">
        <v>26</v>
      </c>
      <c r="I1725" s="3">
        <v>40</v>
      </c>
      <c r="J1725" s="3"/>
      <c r="K1725" s="26">
        <v>40</v>
      </c>
      <c r="L1725" s="2">
        <v>12991.95</v>
      </c>
      <c r="M1725" s="2">
        <v>519678</v>
      </c>
      <c r="N1725" s="2">
        <v>519678</v>
      </c>
      <c r="O1725" s="2">
        <v>11882.3879</v>
      </c>
      <c r="P1725" s="2">
        <v>-1109.5621000000001</v>
      </c>
      <c r="Q1725" s="2">
        <v>-44382.4833</v>
      </c>
      <c r="R1725" s="4">
        <v>-9.337871232200412E-2</v>
      </c>
      <c r="T1725">
        <v>316527</v>
      </c>
      <c r="U1725" s="2"/>
      <c r="V1725">
        <v>6215</v>
      </c>
      <c r="W1725" s="2">
        <v>6579000000</v>
      </c>
      <c r="X1725" s="6">
        <v>475295.51668</v>
      </c>
      <c r="Y1725" s="38">
        <v>10010</v>
      </c>
      <c r="Z1725" s="86">
        <f>+((DETALLE_GD_1[[#This Row],[VALOR X UN (GD)]]-DETALLE_GD_1[[#This Row],[VALOR PPTO]])/DETALLE_GD_1[[#This Row],[VALOR PPTO]])</f>
        <v>9.3378713886288892E-2</v>
      </c>
      <c r="AA1725" s="2">
        <f>+DETALLE_GD_1[[#This Row],[VALOR PPTO]]*DETALLE_GD_1[[#This Row],[CANTIDAD RECIBIDA]]</f>
        <v>475295.516</v>
      </c>
      <c r="AB17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25" s="3">
        <f>+DETALLE_GD_1[[#This Row],[CANTIDAD SOLICITADA]]-DETALLE_GD_1[[#This Row],[DEVOLUCIÓN]]</f>
        <v>40</v>
      </c>
      <c r="AD1725" s="38" t="str">
        <f>+_xlfn.XLOOKUP(DETALLE_GD_1[[#This Row],[CODIGO]],PRODUCTOS[CODIGO],PRODUCTOS[DESC CORTA],"",0)</f>
        <v>PISO TARKET</v>
      </c>
    </row>
    <row r="1726" spans="1:30" x14ac:dyDescent="0.25">
      <c r="A1726" s="1">
        <v>46167</v>
      </c>
      <c r="B1726" s="1">
        <v>46167</v>
      </c>
      <c r="C1726" s="81" t="s">
        <v>169</v>
      </c>
      <c r="D1726" s="38">
        <v>5</v>
      </c>
      <c r="E1726" s="81" t="s">
        <v>169</v>
      </c>
      <c r="F1726">
        <v>408042</v>
      </c>
      <c r="G1726" s="81" t="s">
        <v>144</v>
      </c>
      <c r="H1726" s="81" t="s">
        <v>36</v>
      </c>
      <c r="I1726" s="3">
        <v>10</v>
      </c>
      <c r="J1726" s="3"/>
      <c r="K1726" s="26">
        <v>10</v>
      </c>
      <c r="L1726" s="2">
        <v>35000</v>
      </c>
      <c r="M1726" s="2">
        <v>350000</v>
      </c>
      <c r="N1726" s="2">
        <v>350000</v>
      </c>
      <c r="O1726" s="2">
        <v>35000</v>
      </c>
      <c r="P1726" s="2">
        <v>0</v>
      </c>
      <c r="Q1726" s="2">
        <v>0</v>
      </c>
      <c r="R1726" s="4">
        <v>8.3153801304950006E-16</v>
      </c>
      <c r="T1726">
        <v>316527</v>
      </c>
      <c r="U1726" s="2"/>
      <c r="V1726">
        <v>6215</v>
      </c>
      <c r="W1726" s="2">
        <v>6579000000</v>
      </c>
      <c r="X1726" s="6">
        <v>350000.00000000029</v>
      </c>
      <c r="Y1726" s="38">
        <v>10010</v>
      </c>
      <c r="Z1726" s="86">
        <f>+((DETALLE_GD_1[[#This Row],[VALOR X UN (GD)]]-DETALLE_GD_1[[#This Row],[VALOR PPTO]])/DETALLE_GD_1[[#This Row],[VALOR PPTO]])</f>
        <v>0</v>
      </c>
      <c r="AA1726" s="2">
        <f>+DETALLE_GD_1[[#This Row],[VALOR PPTO]]*DETALLE_GD_1[[#This Row],[CANTIDAD RECIBIDA]]</f>
        <v>350000</v>
      </c>
      <c r="AB1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6" s="3">
        <f>+DETALLE_GD_1[[#This Row],[CANTIDAD SOLICITADA]]-DETALLE_GD_1[[#This Row],[DEVOLUCIÓN]]</f>
        <v>10</v>
      </c>
      <c r="AD1726" s="38" t="str">
        <f>+_xlfn.XLOOKUP(DETALLE_GD_1[[#This Row],[CODIGO]],PRODUCTOS[CODIGO],PRODUCTOS[DESC CORTA],"",0)</f>
        <v>CLAVO HELICOIDAL PROFIX</v>
      </c>
    </row>
    <row r="1727" spans="1:30" x14ac:dyDescent="0.25">
      <c r="A1727" s="1">
        <v>46167</v>
      </c>
      <c r="B1727" s="1">
        <v>46167</v>
      </c>
      <c r="C1727" s="81" t="s">
        <v>169</v>
      </c>
      <c r="D1727" s="38">
        <v>5</v>
      </c>
      <c r="E1727" s="81" t="s">
        <v>169</v>
      </c>
      <c r="F1727">
        <v>302028</v>
      </c>
      <c r="G1727" s="81" t="s">
        <v>246</v>
      </c>
      <c r="H1727" s="81" t="s">
        <v>20</v>
      </c>
      <c r="I1727" s="3">
        <v>240</v>
      </c>
      <c r="J1727" s="3"/>
      <c r="K1727" s="26">
        <v>240</v>
      </c>
      <c r="L1727" s="2">
        <v>4940.6041999999998</v>
      </c>
      <c r="M1727" s="2">
        <v>1185745</v>
      </c>
      <c r="N1727" s="2">
        <v>1185745</v>
      </c>
      <c r="O1727" s="2">
        <v>5123.8024999999998</v>
      </c>
      <c r="P1727" s="2">
        <v>183.19839999999999</v>
      </c>
      <c r="Q1727" s="2">
        <v>43967.606500000002</v>
      </c>
      <c r="R1727" s="4">
        <v>3.5754375655183135E-2</v>
      </c>
      <c r="T1727">
        <v>316552</v>
      </c>
      <c r="U1727" s="2">
        <v>1185745</v>
      </c>
      <c r="V1727">
        <v>6215</v>
      </c>
      <c r="W1727" s="2">
        <v>6579000000</v>
      </c>
      <c r="X1727" s="6">
        <v>1229712.6064800003</v>
      </c>
      <c r="Y1727" s="38">
        <v>10010</v>
      </c>
      <c r="Z1727" s="86">
        <f>+((DETALLE_GD_1[[#This Row],[VALOR X UN (GD)]]-DETALLE_GD_1[[#This Row],[VALOR PPTO]])/DETALLE_GD_1[[#This Row],[VALOR PPTO]])</f>
        <v>-3.5754364068482349E-2</v>
      </c>
      <c r="AA1727" s="2">
        <f>+DETALLE_GD_1[[#This Row],[VALOR PPTO]]*DETALLE_GD_1[[#This Row],[CANTIDAD RECIBIDA]]</f>
        <v>1229712.5999999999</v>
      </c>
      <c r="AB17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27" s="3">
        <f>+DETALLE_GD_1[[#This Row],[CANTIDAD SOLICITADA]]-DETALLE_GD_1[[#This Row],[DEVOLUCIÓN]]</f>
        <v>240</v>
      </c>
      <c r="AD1727" s="38" t="str">
        <f>+_xlfn.XLOOKUP(DETALLE_GD_1[[#This Row],[CODIGO]],PRODUCTOS[CODIGO],PRODUCTOS[DESC CORTA],"",0)</f>
        <v>PINO 2X4X320</v>
      </c>
    </row>
    <row r="1728" spans="1:30" x14ac:dyDescent="0.25">
      <c r="A1728" s="1">
        <v>46167</v>
      </c>
      <c r="B1728" s="1">
        <v>46167</v>
      </c>
      <c r="C1728" s="81" t="s">
        <v>169</v>
      </c>
      <c r="D1728" s="38">
        <v>5</v>
      </c>
      <c r="E1728" s="81" t="s">
        <v>169</v>
      </c>
      <c r="F1728">
        <v>408034</v>
      </c>
      <c r="G1728" s="81" t="s">
        <v>250</v>
      </c>
      <c r="H1728" s="81" t="s">
        <v>36</v>
      </c>
      <c r="I1728" s="3">
        <v>1</v>
      </c>
      <c r="J1728" s="3"/>
      <c r="K1728" s="26">
        <v>1</v>
      </c>
      <c r="L1728" s="2">
        <v>1867</v>
      </c>
      <c r="M1728" s="2">
        <v>1867</v>
      </c>
      <c r="N1728" s="2">
        <v>1867</v>
      </c>
      <c r="O1728" s="2">
        <v>1866.9503999999999</v>
      </c>
      <c r="P1728" s="2">
        <v>-4.9599999999999998E-2</v>
      </c>
      <c r="Q1728" s="2">
        <v>-4.9599999999999998E-2</v>
      </c>
      <c r="R1728" s="4">
        <v>-2.6591494447838636E-5</v>
      </c>
      <c r="T1728">
        <v>316497</v>
      </c>
      <c r="U1728" s="2">
        <v>3640187</v>
      </c>
      <c r="V1728">
        <v>6215</v>
      </c>
      <c r="W1728" s="2">
        <v>6579000000</v>
      </c>
      <c r="X1728" s="6">
        <v>1866.9503550000009</v>
      </c>
      <c r="Y1728" s="38">
        <v>10010</v>
      </c>
      <c r="Z1728" s="86">
        <f>+((DETALLE_GD_1[[#This Row],[VALOR X UN (GD)]]-DETALLE_GD_1[[#This Row],[VALOR PPTO]])/DETALLE_GD_1[[#This Row],[VALOR PPTO]])</f>
        <v>2.6567390328128124E-5</v>
      </c>
      <c r="AA1728" s="2">
        <f>+DETALLE_GD_1[[#This Row],[VALOR PPTO]]*DETALLE_GD_1[[#This Row],[CANTIDAD RECIBIDA]]</f>
        <v>1866.9503999999999</v>
      </c>
      <c r="AB17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8" s="3">
        <f>+DETALLE_GD_1[[#This Row],[CANTIDAD SOLICITADA]]-DETALLE_GD_1[[#This Row],[DEVOLUCIÓN]]</f>
        <v>1</v>
      </c>
      <c r="AD1728" s="38">
        <f>+_xlfn.XLOOKUP(DETALLE_GD_1[[#This Row],[CODIGO]],PRODUCTOS[CODIGO],PRODUCTOS[DESC CORTA],"",0)</f>
        <v>0</v>
      </c>
    </row>
    <row r="1729" spans="1:30" x14ac:dyDescent="0.25">
      <c r="A1729" s="1">
        <v>46167</v>
      </c>
      <c r="B1729" s="1">
        <v>46167</v>
      </c>
      <c r="C1729" s="81" t="s">
        <v>169</v>
      </c>
      <c r="D1729" s="38">
        <v>5</v>
      </c>
      <c r="E1729" s="81" t="s">
        <v>169</v>
      </c>
      <c r="F1729">
        <v>704079</v>
      </c>
      <c r="G1729" s="81" t="s">
        <v>209</v>
      </c>
      <c r="H1729" s="81" t="s">
        <v>47</v>
      </c>
      <c r="I1729" s="3">
        <v>10</v>
      </c>
      <c r="J1729" s="3"/>
      <c r="K1729" s="26">
        <v>10</v>
      </c>
      <c r="L1729" s="2">
        <v>722.3</v>
      </c>
      <c r="M1729" s="2">
        <v>7223</v>
      </c>
      <c r="N1729" s="2">
        <v>7223</v>
      </c>
      <c r="O1729" s="2">
        <v>755.70489999999995</v>
      </c>
      <c r="P1729" s="2">
        <v>33.404899999999998</v>
      </c>
      <c r="Q1729" s="2">
        <v>334.04880000000003</v>
      </c>
      <c r="R1729" s="4">
        <v>4.4203607513547918E-2</v>
      </c>
      <c r="T1729">
        <v>316497</v>
      </c>
      <c r="U1729" s="2"/>
      <c r="V1729">
        <v>6215</v>
      </c>
      <c r="W1729" s="2">
        <v>6579000000</v>
      </c>
      <c r="X1729" s="6">
        <v>7557.04882</v>
      </c>
      <c r="Y1729" s="38">
        <v>10010</v>
      </c>
      <c r="Z1729" s="86">
        <f>+((DETALLE_GD_1[[#This Row],[VALOR X UN (GD)]]-DETALLE_GD_1[[#This Row],[VALOR PPTO]])/DETALLE_GD_1[[#This Row],[VALOR PPTO]])</f>
        <v>-4.4203630279491375E-2</v>
      </c>
      <c r="AA1729" s="2">
        <f>+DETALLE_GD_1[[#This Row],[VALOR PPTO]]*DETALLE_GD_1[[#This Row],[CANTIDAD RECIBIDA]]</f>
        <v>7557.0489999999991</v>
      </c>
      <c r="AB1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9" s="3">
        <f>+DETALLE_GD_1[[#This Row],[CANTIDAD SOLICITADA]]-DETALLE_GD_1[[#This Row],[DEVOLUCIÓN]]</f>
        <v>10</v>
      </c>
      <c r="AD1729" s="38">
        <f>+_xlfn.XLOOKUP(DETALLE_GD_1[[#This Row],[CODIGO]],PRODUCTOS[CODIGO],PRODUCTOS[DESC CORTA],"",0)</f>
        <v>0</v>
      </c>
    </row>
    <row r="1730" spans="1:30" x14ac:dyDescent="0.25">
      <c r="A1730" s="1">
        <v>46167</v>
      </c>
      <c r="B1730" s="1">
        <v>46167</v>
      </c>
      <c r="C1730" s="81" t="s">
        <v>169</v>
      </c>
      <c r="D1730" s="38">
        <v>5</v>
      </c>
      <c r="E1730" s="81" t="s">
        <v>169</v>
      </c>
      <c r="F1730">
        <v>609008</v>
      </c>
      <c r="G1730" s="81" t="s">
        <v>57</v>
      </c>
      <c r="H1730" s="81" t="s">
        <v>58</v>
      </c>
      <c r="I1730" s="3">
        <v>5</v>
      </c>
      <c r="J1730" s="3"/>
      <c r="K1730" s="26">
        <v>5</v>
      </c>
      <c r="L1730" s="2">
        <v>2067.1999999999998</v>
      </c>
      <c r="M1730" s="2">
        <v>10336</v>
      </c>
      <c r="N1730" s="2">
        <v>10336</v>
      </c>
      <c r="O1730" s="2">
        <v>2130.7573000000002</v>
      </c>
      <c r="P1730" s="2">
        <v>63.557299999999998</v>
      </c>
      <c r="Q1730" s="2">
        <v>317.78660000000002</v>
      </c>
      <c r="R1730" s="4">
        <v>2.9828507311327791E-2</v>
      </c>
      <c r="T1730">
        <v>316497</v>
      </c>
      <c r="U1730" s="2"/>
      <c r="V1730">
        <v>6215</v>
      </c>
      <c r="W1730" s="2">
        <v>6579000000</v>
      </c>
      <c r="X1730" s="6">
        <v>10653.786550000001</v>
      </c>
      <c r="Y1730" s="38">
        <v>10010</v>
      </c>
      <c r="Z1730" s="86">
        <f>+((DETALLE_GD_1[[#This Row],[VALOR X UN (GD)]]-DETALLE_GD_1[[#This Row],[VALOR PPTO]])/DETALLE_GD_1[[#This Row],[VALOR PPTO]])</f>
        <v>-2.9828502758151007E-2</v>
      </c>
      <c r="AA1730" s="2">
        <f>+DETALLE_GD_1[[#This Row],[VALOR PPTO]]*DETALLE_GD_1[[#This Row],[CANTIDAD RECIBIDA]]</f>
        <v>10653.786500000002</v>
      </c>
      <c r="AB1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0" s="3">
        <f>+DETALLE_GD_1[[#This Row],[CANTIDAD SOLICITADA]]-DETALLE_GD_1[[#This Row],[DEVOLUCIÓN]]</f>
        <v>5</v>
      </c>
      <c r="AD1730" s="38" t="str">
        <f>+_xlfn.XLOOKUP(DETALLE_GD_1[[#This Row],[CODIGO]],PRODUCTOS[CODIGO],PRODUCTOS[DESC CORTA],"",0)</f>
        <v>DUCO</v>
      </c>
    </row>
    <row r="1731" spans="1:30" x14ac:dyDescent="0.25">
      <c r="A1731" s="1">
        <v>46167</v>
      </c>
      <c r="B1731" s="1">
        <v>46167</v>
      </c>
      <c r="C1731" s="81" t="s">
        <v>169</v>
      </c>
      <c r="D1731" s="38">
        <v>5</v>
      </c>
      <c r="E1731" s="81" t="s">
        <v>169</v>
      </c>
      <c r="F1731">
        <v>1902003</v>
      </c>
      <c r="G1731" s="81" t="s">
        <v>155</v>
      </c>
      <c r="H1731" s="81" t="s">
        <v>47</v>
      </c>
      <c r="I1731" s="3">
        <v>10</v>
      </c>
      <c r="J1731" s="3"/>
      <c r="K1731" s="26">
        <v>10</v>
      </c>
      <c r="L1731" s="2">
        <v>150752.29999999999</v>
      </c>
      <c r="M1731" s="2">
        <v>1507523</v>
      </c>
      <c r="N1731" s="2">
        <v>1507523</v>
      </c>
      <c r="O1731" s="2">
        <v>150703.9755</v>
      </c>
      <c r="P1731" s="2">
        <v>-48.3245</v>
      </c>
      <c r="Q1731" s="2">
        <v>-483.24540000000002</v>
      </c>
      <c r="R1731" s="4">
        <v>-3.2065869432128485E-4</v>
      </c>
      <c r="T1731">
        <v>316497</v>
      </c>
      <c r="U1731" s="2"/>
      <c r="V1731">
        <v>6215</v>
      </c>
      <c r="W1731" s="2">
        <v>6579000000</v>
      </c>
      <c r="X1731" s="6">
        <v>1507039.7545999996</v>
      </c>
      <c r="Y1731" s="38">
        <v>10010</v>
      </c>
      <c r="Z1731" s="86">
        <f>+((DETALLE_GD_1[[#This Row],[VALOR X UN (GD)]]-DETALLE_GD_1[[#This Row],[VALOR PPTO]])/DETALLE_GD_1[[#This Row],[VALOR PPTO]])</f>
        <v>3.2065842881489145E-4</v>
      </c>
      <c r="AA1731" s="2">
        <f>+DETALLE_GD_1[[#This Row],[VALOR PPTO]]*DETALLE_GD_1[[#This Row],[CANTIDAD RECIBIDA]]</f>
        <v>1507039.7549999999</v>
      </c>
      <c r="AB1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1" s="3">
        <f>+DETALLE_GD_1[[#This Row],[CANTIDAD SOLICITADA]]-DETALLE_GD_1[[#This Row],[DEVOLUCIÓN]]</f>
        <v>10</v>
      </c>
      <c r="AD1731" s="38">
        <f>+_xlfn.XLOOKUP(DETALLE_GD_1[[#This Row],[CODIGO]],PRODUCTOS[CODIGO],PRODUCTOS[DESC CORTA],"",0)</f>
        <v>0</v>
      </c>
    </row>
    <row r="1732" spans="1:30" x14ac:dyDescent="0.25">
      <c r="A1732" s="1">
        <v>46167</v>
      </c>
      <c r="B1732" s="1">
        <v>46167</v>
      </c>
      <c r="C1732" s="81" t="s">
        <v>169</v>
      </c>
      <c r="D1732" s="38">
        <v>5</v>
      </c>
      <c r="E1732" s="81" t="s">
        <v>169</v>
      </c>
      <c r="F1732">
        <v>106022</v>
      </c>
      <c r="G1732" s="81" t="s">
        <v>245</v>
      </c>
      <c r="H1732" s="81" t="s">
        <v>31</v>
      </c>
      <c r="I1732" s="3">
        <v>7</v>
      </c>
      <c r="J1732" s="3"/>
      <c r="K1732" s="26">
        <v>7</v>
      </c>
      <c r="L1732" s="2">
        <v>3800.2856999999999</v>
      </c>
      <c r="M1732" s="2">
        <v>26602</v>
      </c>
      <c r="N1732" s="2">
        <v>26602</v>
      </c>
      <c r="O1732" s="2">
        <v>3800.6911</v>
      </c>
      <c r="P1732" s="2">
        <v>0.40539999999999998</v>
      </c>
      <c r="Q1732" s="2">
        <v>2.8376999999999999</v>
      </c>
      <c r="R1732" s="4">
        <v>1.0666078976873884E-4</v>
      </c>
      <c r="T1732">
        <v>316497</v>
      </c>
      <c r="U1732" s="2"/>
      <c r="V1732">
        <v>6215</v>
      </c>
      <c r="W1732" s="2">
        <v>6579000000</v>
      </c>
      <c r="X1732" s="6">
        <v>26604.837693000005</v>
      </c>
      <c r="Y1732" s="38">
        <v>10010</v>
      </c>
      <c r="Z1732" s="86">
        <f>+((DETALLE_GD_1[[#This Row],[VALOR X UN (GD)]]-DETALLE_GD_1[[#This Row],[VALOR PPTO]])/DETALLE_GD_1[[#This Row],[VALOR PPTO]])</f>
        <v>-1.0666481156548073E-4</v>
      </c>
      <c r="AA1732" s="2">
        <f>+DETALLE_GD_1[[#This Row],[VALOR PPTO]]*DETALLE_GD_1[[#This Row],[CANTIDAD RECIBIDA]]</f>
        <v>26604.8377</v>
      </c>
      <c r="AB1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2" s="3">
        <f>+DETALLE_GD_1[[#This Row],[CANTIDAD SOLICITADA]]-DETALLE_GD_1[[#This Row],[DEVOLUCIÓN]]</f>
        <v>7</v>
      </c>
      <c r="AD1732" s="38">
        <f>+_xlfn.XLOOKUP(DETALLE_GD_1[[#This Row],[CODIGO]],PRODUCTOS[CODIGO],PRODUCTOS[DESC CORTA],"",0)</f>
        <v>0</v>
      </c>
    </row>
    <row r="1733" spans="1:30" x14ac:dyDescent="0.25">
      <c r="A1733" s="1">
        <v>46167</v>
      </c>
      <c r="B1733" s="1">
        <v>46167</v>
      </c>
      <c r="C1733" s="81" t="s">
        <v>169</v>
      </c>
      <c r="D1733" s="38">
        <v>5</v>
      </c>
      <c r="E1733" s="81" t="s">
        <v>169</v>
      </c>
      <c r="F1733">
        <v>2304056</v>
      </c>
      <c r="G1733" s="81" t="s">
        <v>417</v>
      </c>
      <c r="H1733" s="81" t="s">
        <v>31</v>
      </c>
      <c r="I1733" s="3">
        <v>12</v>
      </c>
      <c r="J1733" s="3"/>
      <c r="K1733" s="26">
        <v>12</v>
      </c>
      <c r="L1733" s="2">
        <v>3163.1667000000002</v>
      </c>
      <c r="M1733" s="2">
        <v>37958</v>
      </c>
      <c r="N1733" s="2">
        <v>37958</v>
      </c>
      <c r="O1733" s="2">
        <v>2979</v>
      </c>
      <c r="P1733" s="2">
        <v>-184.16669999999999</v>
      </c>
      <c r="Q1733" s="2">
        <v>-2210</v>
      </c>
      <c r="R1733" s="4">
        <v>-6.182164037148926E-2</v>
      </c>
      <c r="T1733">
        <v>316497</v>
      </c>
      <c r="U1733" s="2"/>
      <c r="V1733">
        <v>6215</v>
      </c>
      <c r="W1733" s="2">
        <v>6579000000</v>
      </c>
      <c r="X1733" s="6">
        <v>35748</v>
      </c>
      <c r="Y1733" s="38">
        <v>10010</v>
      </c>
      <c r="Z1733" s="86">
        <f>+((DETALLE_GD_1[[#This Row],[VALOR X UN (GD)]]-DETALLE_GD_1[[#This Row],[VALOR PPTO]])/DETALLE_GD_1[[#This Row],[VALOR PPTO]])</f>
        <v>6.182165156092656E-2</v>
      </c>
      <c r="AA1733" s="2">
        <f>+DETALLE_GD_1[[#This Row],[VALOR PPTO]]*DETALLE_GD_1[[#This Row],[CANTIDAD RECIBIDA]]</f>
        <v>35748</v>
      </c>
      <c r="AB1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3" s="3">
        <f>+DETALLE_GD_1[[#This Row],[CANTIDAD SOLICITADA]]-DETALLE_GD_1[[#This Row],[DEVOLUCIÓN]]</f>
        <v>12</v>
      </c>
      <c r="AD1733" s="38" t="str">
        <f>+_xlfn.XLOOKUP(DETALLE_GD_1[[#This Row],[CODIGO]],PRODUCTOS[CODIGO],PRODUCTOS[DESC CORTA],"",0)</f>
        <v/>
      </c>
    </row>
    <row r="1734" spans="1:30" x14ac:dyDescent="0.25">
      <c r="A1734" s="1">
        <v>46167</v>
      </c>
      <c r="B1734" s="1">
        <v>46167</v>
      </c>
      <c r="C1734" s="81" t="s">
        <v>169</v>
      </c>
      <c r="D1734" s="38">
        <v>5</v>
      </c>
      <c r="E1734" s="81" t="s">
        <v>169</v>
      </c>
      <c r="F1734">
        <v>2304002</v>
      </c>
      <c r="G1734" s="81" t="s">
        <v>212</v>
      </c>
      <c r="H1734" s="81" t="s">
        <v>31</v>
      </c>
      <c r="I1734" s="3">
        <v>24</v>
      </c>
      <c r="J1734" s="3"/>
      <c r="K1734" s="26">
        <v>24</v>
      </c>
      <c r="L1734" s="2">
        <v>1409.5</v>
      </c>
      <c r="M1734" s="2">
        <v>33828</v>
      </c>
      <c r="N1734" s="2">
        <v>33828</v>
      </c>
      <c r="O1734" s="2">
        <v>1376.4717000000001</v>
      </c>
      <c r="P1734" s="2">
        <v>-33.028300000000002</v>
      </c>
      <c r="Q1734" s="2">
        <v>-792.67859999999996</v>
      </c>
      <c r="R1734" s="4">
        <v>-2.399488156866781E-2</v>
      </c>
      <c r="T1734">
        <v>316497</v>
      </c>
      <c r="U1734" s="2"/>
      <c r="V1734">
        <v>6215</v>
      </c>
      <c r="W1734" s="2">
        <v>6579000000</v>
      </c>
      <c r="X1734" s="6">
        <v>33035.321376</v>
      </c>
      <c r="Y1734" s="38">
        <v>10010</v>
      </c>
      <c r="Z1734" s="86">
        <f>+((DETALLE_GD_1[[#This Row],[VALOR X UN (GD)]]-DETALLE_GD_1[[#This Row],[VALOR PPTO]])/DETALLE_GD_1[[#This Row],[VALOR PPTO]])</f>
        <v>2.3994899422923075E-2</v>
      </c>
      <c r="AA1734" s="2">
        <f>+DETALLE_GD_1[[#This Row],[VALOR PPTO]]*DETALLE_GD_1[[#This Row],[CANTIDAD RECIBIDA]]</f>
        <v>33035.320800000001</v>
      </c>
      <c r="AB17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4" s="3">
        <f>+DETALLE_GD_1[[#This Row],[CANTIDAD SOLICITADA]]-DETALLE_GD_1[[#This Row],[DEVOLUCIÓN]]</f>
        <v>24</v>
      </c>
      <c r="AD1734" s="38">
        <f>+_xlfn.XLOOKUP(DETALLE_GD_1[[#This Row],[CODIGO]],PRODUCTOS[CODIGO],PRODUCTOS[DESC CORTA],"",0)</f>
        <v>0</v>
      </c>
    </row>
    <row r="1735" spans="1:30" x14ac:dyDescent="0.25">
      <c r="A1735" s="1">
        <v>46167</v>
      </c>
      <c r="B1735" s="1">
        <v>46167</v>
      </c>
      <c r="C1735" s="81" t="s">
        <v>169</v>
      </c>
      <c r="D1735" s="38">
        <v>5</v>
      </c>
      <c r="E1735" s="81" t="s">
        <v>169</v>
      </c>
      <c r="F1735">
        <v>2304008</v>
      </c>
      <c r="G1735" s="81" t="s">
        <v>707</v>
      </c>
      <c r="H1735" s="81" t="s">
        <v>31</v>
      </c>
      <c r="I1735" s="3">
        <v>24</v>
      </c>
      <c r="J1735" s="3"/>
      <c r="K1735" s="26">
        <v>24</v>
      </c>
      <c r="L1735" s="2">
        <v>2550</v>
      </c>
      <c r="M1735" s="2">
        <v>61200</v>
      </c>
      <c r="N1735" s="2">
        <v>61200</v>
      </c>
      <c r="O1735" s="2"/>
      <c r="P1735" s="2"/>
      <c r="Q1735" s="2">
        <v>-61200</v>
      </c>
      <c r="R1735" s="4"/>
      <c r="T1735">
        <v>316497</v>
      </c>
      <c r="U1735" s="2"/>
      <c r="V1735">
        <v>6215</v>
      </c>
      <c r="W1735" s="2">
        <v>6579000000</v>
      </c>
      <c r="X1735" s="6" t="s">
        <v>355</v>
      </c>
      <c r="Y1735" s="38">
        <v>10010</v>
      </c>
      <c r="Z1735" s="86" t="e">
        <f>+((DETALLE_GD_1[[#This Row],[VALOR X UN (GD)]]-DETALLE_GD_1[[#This Row],[VALOR PPTO]])/DETALLE_GD_1[[#This Row],[VALOR PPTO]])</f>
        <v>#DIV/0!</v>
      </c>
      <c r="AA1735" s="2">
        <f>+DETALLE_GD_1[[#This Row],[VALOR PPTO]]*DETALLE_GD_1[[#This Row],[CANTIDAD RECIBIDA]]</f>
        <v>0</v>
      </c>
      <c r="AB17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5" s="3">
        <f>+DETALLE_GD_1[[#This Row],[CANTIDAD SOLICITADA]]-DETALLE_GD_1[[#This Row],[DEVOLUCIÓN]]</f>
        <v>24</v>
      </c>
      <c r="AD1735" s="38" t="str">
        <f>+_xlfn.XLOOKUP(DETALLE_GD_1[[#This Row],[CODIGO]],PRODUCTOS[CODIGO],PRODUCTOS[DESC CORTA],"",0)</f>
        <v/>
      </c>
    </row>
    <row r="1736" spans="1:30" x14ac:dyDescent="0.25">
      <c r="A1736" s="1">
        <v>46167</v>
      </c>
      <c r="B1736" s="1">
        <v>46167</v>
      </c>
      <c r="C1736" s="81" t="s">
        <v>169</v>
      </c>
      <c r="D1736" s="38">
        <v>5</v>
      </c>
      <c r="E1736" s="81" t="s">
        <v>169</v>
      </c>
      <c r="F1736">
        <v>2304053</v>
      </c>
      <c r="G1736" s="81" t="s">
        <v>213</v>
      </c>
      <c r="H1736" s="81" t="s">
        <v>31</v>
      </c>
      <c r="I1736" s="3">
        <v>48</v>
      </c>
      <c r="J1736" s="3"/>
      <c r="K1736" s="26">
        <v>48</v>
      </c>
      <c r="L1736" s="2">
        <v>1021.9167</v>
      </c>
      <c r="M1736" s="2">
        <v>49052</v>
      </c>
      <c r="N1736" s="2">
        <v>49052</v>
      </c>
      <c r="O1736" s="2">
        <v>862</v>
      </c>
      <c r="P1736" s="2">
        <v>-159.91669999999999</v>
      </c>
      <c r="Q1736" s="2">
        <v>-7676</v>
      </c>
      <c r="R1736" s="4">
        <v>-0.18551817478731611</v>
      </c>
      <c r="T1736">
        <v>316497</v>
      </c>
      <c r="U1736" s="2"/>
      <c r="V1736">
        <v>6215</v>
      </c>
      <c r="W1736" s="2">
        <v>6579000000</v>
      </c>
      <c r="X1736" s="6">
        <v>41376.000000000007</v>
      </c>
      <c r="Y1736" s="38">
        <v>10010</v>
      </c>
      <c r="Z1736" s="86">
        <f>+((DETALLE_GD_1[[#This Row],[VALOR X UN (GD)]]-DETALLE_GD_1[[#This Row],[VALOR PPTO]])/DETALLE_GD_1[[#This Row],[VALOR PPTO]])</f>
        <v>0.18551821345707656</v>
      </c>
      <c r="AA1736" s="2">
        <f>+DETALLE_GD_1[[#This Row],[VALOR PPTO]]*DETALLE_GD_1[[#This Row],[CANTIDAD RECIBIDA]]</f>
        <v>41376</v>
      </c>
      <c r="AB1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6" s="3">
        <f>+DETALLE_GD_1[[#This Row],[CANTIDAD SOLICITADA]]-DETALLE_GD_1[[#This Row],[DEVOLUCIÓN]]</f>
        <v>48</v>
      </c>
      <c r="AD1736" s="38">
        <f>+_xlfn.XLOOKUP(DETALLE_GD_1[[#This Row],[CODIGO]],PRODUCTOS[CODIGO],PRODUCTOS[DESC CORTA],"",0)</f>
        <v>0</v>
      </c>
    </row>
    <row r="1737" spans="1:30" x14ac:dyDescent="0.25">
      <c r="A1737" s="1">
        <v>46167</v>
      </c>
      <c r="B1737" s="1">
        <v>46167</v>
      </c>
      <c r="C1737" s="81" t="s">
        <v>169</v>
      </c>
      <c r="D1737" s="38">
        <v>5</v>
      </c>
      <c r="E1737" s="81" t="s">
        <v>169</v>
      </c>
      <c r="F1737">
        <v>307031</v>
      </c>
      <c r="G1737" s="81" t="s">
        <v>65</v>
      </c>
      <c r="H1737" s="81" t="s">
        <v>31</v>
      </c>
      <c r="I1737" s="3">
        <v>50</v>
      </c>
      <c r="J1737" s="3"/>
      <c r="K1737" s="26">
        <v>50</v>
      </c>
      <c r="L1737" s="2">
        <v>2700</v>
      </c>
      <c r="M1737" s="2">
        <v>135000</v>
      </c>
      <c r="N1737" s="2">
        <v>135000</v>
      </c>
      <c r="O1737" s="2">
        <v>2699.9985999999999</v>
      </c>
      <c r="P1737" s="2">
        <v>-1.4E-3</v>
      </c>
      <c r="Q1737" s="2">
        <v>-6.9699999999999998E-2</v>
      </c>
      <c r="R1737" s="4">
        <v>-5.1666693335944687E-7</v>
      </c>
      <c r="T1737">
        <v>316497</v>
      </c>
      <c r="U1737" s="2"/>
      <c r="V1737">
        <v>6215</v>
      </c>
      <c r="W1737" s="2">
        <v>6579000000</v>
      </c>
      <c r="X1737" s="6">
        <v>134999.93025000003</v>
      </c>
      <c r="Y1737" s="38">
        <v>10010</v>
      </c>
      <c r="Z1737" s="86">
        <f>+((DETALLE_GD_1[[#This Row],[VALOR X UN (GD)]]-DETALLE_GD_1[[#This Row],[VALOR PPTO]])/DETALLE_GD_1[[#This Row],[VALOR PPTO]])</f>
        <v>5.1851878741837811E-7</v>
      </c>
      <c r="AA1737" s="2">
        <f>+DETALLE_GD_1[[#This Row],[VALOR PPTO]]*DETALLE_GD_1[[#This Row],[CANTIDAD RECIBIDA]]</f>
        <v>134999.93</v>
      </c>
      <c r="AB1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7" s="3">
        <f>+DETALLE_GD_1[[#This Row],[CANTIDAD SOLICITADA]]-DETALLE_GD_1[[#This Row],[DEVOLUCIÓN]]</f>
        <v>50</v>
      </c>
      <c r="AD1737" s="38" t="str">
        <f>+_xlfn.XLOOKUP(DETALLE_GD_1[[#This Row],[CODIGO]],PRODUCTOS[CODIGO],PRODUCTOS[DESC CORTA],"",0)</f>
        <v>CORNIZA BLANCA</v>
      </c>
    </row>
    <row r="1738" spans="1:30" x14ac:dyDescent="0.25">
      <c r="A1738" s="1">
        <v>46167</v>
      </c>
      <c r="B1738" s="1">
        <v>46167</v>
      </c>
      <c r="C1738" s="81" t="s">
        <v>169</v>
      </c>
      <c r="D1738" s="38">
        <v>5</v>
      </c>
      <c r="E1738" s="81" t="s">
        <v>169</v>
      </c>
      <c r="F1738">
        <v>307032</v>
      </c>
      <c r="G1738" s="81" t="s">
        <v>186</v>
      </c>
      <c r="H1738" s="81" t="s">
        <v>137</v>
      </c>
      <c r="I1738" s="3">
        <v>30</v>
      </c>
      <c r="J1738" s="3"/>
      <c r="K1738" s="26">
        <v>30</v>
      </c>
      <c r="L1738" s="2">
        <v>2181.3332999999998</v>
      </c>
      <c r="M1738" s="2">
        <v>65440</v>
      </c>
      <c r="N1738" s="2">
        <v>65440</v>
      </c>
      <c r="O1738" s="2">
        <v>2378.375</v>
      </c>
      <c r="P1738" s="2">
        <v>197.04169999999999</v>
      </c>
      <c r="Q1738" s="2">
        <v>5911.2511999999997</v>
      </c>
      <c r="R1738" s="4">
        <v>8.28471978850817E-2</v>
      </c>
      <c r="T1738">
        <v>316497</v>
      </c>
      <c r="U1738" s="2"/>
      <c r="V1738">
        <v>6215</v>
      </c>
      <c r="W1738" s="2">
        <v>6579000000</v>
      </c>
      <c r="X1738" s="6">
        <v>71351.251229999994</v>
      </c>
      <c r="Y1738" s="38">
        <v>10010</v>
      </c>
      <c r="Z1738" s="86">
        <f>+((DETALLE_GD_1[[#This Row],[VALOR X UN (GD)]]-DETALLE_GD_1[[#This Row],[VALOR PPTO]])/DETALLE_GD_1[[#This Row],[VALOR PPTO]])</f>
        <v>-8.2847196089767261E-2</v>
      </c>
      <c r="AA1738" s="2">
        <f>+DETALLE_GD_1[[#This Row],[VALOR PPTO]]*DETALLE_GD_1[[#This Row],[CANTIDAD RECIBIDA]]</f>
        <v>71351.25</v>
      </c>
      <c r="AB1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8" s="3">
        <f>+DETALLE_GD_1[[#This Row],[CANTIDAD SOLICITADA]]-DETALLE_GD_1[[#This Row],[DEVOLUCIÓN]]</f>
        <v>30</v>
      </c>
      <c r="AD1738" s="38">
        <f>+_xlfn.XLOOKUP(DETALLE_GD_1[[#This Row],[CODIGO]],PRODUCTOS[CODIGO],PRODUCTOS[DESC CORTA],"",0)</f>
        <v>0</v>
      </c>
    </row>
    <row r="1739" spans="1:30" x14ac:dyDescent="0.25">
      <c r="A1739" s="1">
        <v>46167</v>
      </c>
      <c r="B1739" s="1">
        <v>46167</v>
      </c>
      <c r="C1739" s="81" t="s">
        <v>169</v>
      </c>
      <c r="D1739" s="38">
        <v>5</v>
      </c>
      <c r="E1739" s="81" t="s">
        <v>169</v>
      </c>
      <c r="F1739">
        <v>307096</v>
      </c>
      <c r="G1739" s="81" t="s">
        <v>249</v>
      </c>
      <c r="H1739" s="81" t="s">
        <v>137</v>
      </c>
      <c r="I1739" s="3">
        <v>70</v>
      </c>
      <c r="J1739" s="3"/>
      <c r="K1739" s="26">
        <v>70</v>
      </c>
      <c r="L1739" s="2">
        <v>1398.5143</v>
      </c>
      <c r="M1739" s="2">
        <v>97896</v>
      </c>
      <c r="N1739" s="2">
        <v>97896</v>
      </c>
      <c r="O1739" s="2">
        <v>2095.3501000000001</v>
      </c>
      <c r="P1739" s="2">
        <v>696.83579999999995</v>
      </c>
      <c r="Q1739" s="2">
        <v>48778.508999999998</v>
      </c>
      <c r="R1739" s="4">
        <v>0.33256296102564792</v>
      </c>
      <c r="T1739">
        <v>316497</v>
      </c>
      <c r="U1739" s="2"/>
      <c r="V1739">
        <v>6215</v>
      </c>
      <c r="W1739" s="2">
        <v>6579000000</v>
      </c>
      <c r="X1739" s="6">
        <v>146674.5090299999</v>
      </c>
      <c r="Y1739" s="38">
        <v>10010</v>
      </c>
      <c r="Z1739" s="86">
        <f>+((DETALLE_GD_1[[#This Row],[VALOR X UN (GD)]]-DETALLE_GD_1[[#This Row],[VALOR PPTO]])/DETALLE_GD_1[[#This Row],[VALOR PPTO]])</f>
        <v>-0.33256294497038946</v>
      </c>
      <c r="AA1739" s="2">
        <f>+DETALLE_GD_1[[#This Row],[VALOR PPTO]]*DETALLE_GD_1[[#This Row],[CANTIDAD RECIBIDA]]</f>
        <v>146674.50700000001</v>
      </c>
      <c r="AB17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39" s="3">
        <f>+DETALLE_GD_1[[#This Row],[CANTIDAD SOLICITADA]]-DETALLE_GD_1[[#This Row],[DEVOLUCIÓN]]</f>
        <v>70</v>
      </c>
      <c r="AD1739" s="38" t="str">
        <f>+_xlfn.XLOOKUP(DETALLE_GD_1[[#This Row],[CODIGO]],PRODUCTOS[CODIGO],PRODUCTOS[DESC CORTA],"",0)</f>
        <v>CUBREJUNTA</v>
      </c>
    </row>
    <row r="1740" spans="1:30" x14ac:dyDescent="0.25">
      <c r="A1740" s="1">
        <v>46167</v>
      </c>
      <c r="B1740" s="1">
        <v>46167</v>
      </c>
      <c r="C1740" s="81" t="s">
        <v>169</v>
      </c>
      <c r="D1740" s="38">
        <v>5</v>
      </c>
      <c r="E1740" s="81" t="s">
        <v>169</v>
      </c>
      <c r="F1740">
        <v>907034</v>
      </c>
      <c r="G1740" s="81" t="s">
        <v>256</v>
      </c>
      <c r="H1740" s="81" t="s">
        <v>47</v>
      </c>
      <c r="I1740" s="3">
        <v>10</v>
      </c>
      <c r="J1740" s="3"/>
      <c r="K1740" s="26">
        <v>10</v>
      </c>
      <c r="L1740" s="2">
        <v>114865.3</v>
      </c>
      <c r="M1740" s="2">
        <v>1148653</v>
      </c>
      <c r="N1740" s="2">
        <v>1148653</v>
      </c>
      <c r="O1740" s="2">
        <v>156269.1667</v>
      </c>
      <c r="P1740" s="2">
        <v>41403.866699999999</v>
      </c>
      <c r="Q1740" s="2">
        <v>414038.6667</v>
      </c>
      <c r="R1740" s="4">
        <v>0.26495224585940941</v>
      </c>
      <c r="T1740">
        <v>316497</v>
      </c>
      <c r="U1740" s="2"/>
      <c r="V1740">
        <v>6215</v>
      </c>
      <c r="W1740" s="2">
        <v>6579000000</v>
      </c>
      <c r="X1740" s="6">
        <v>1562691.6666700002</v>
      </c>
      <c r="Y1740" s="38">
        <v>10010</v>
      </c>
      <c r="Z1740" s="86">
        <f>+((DETALLE_GD_1[[#This Row],[VALOR X UN (GD)]]-DETALLE_GD_1[[#This Row],[VALOR PPTO]])/DETALLE_GD_1[[#This Row],[VALOR PPTO]])</f>
        <v>-0.26495224601463241</v>
      </c>
      <c r="AA1740" s="2">
        <f>+DETALLE_GD_1[[#This Row],[VALOR PPTO]]*DETALLE_GD_1[[#This Row],[CANTIDAD RECIBIDA]]</f>
        <v>1562691.6669999999</v>
      </c>
      <c r="AB1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0" s="3">
        <f>+DETALLE_GD_1[[#This Row],[CANTIDAD SOLICITADA]]-DETALLE_GD_1[[#This Row],[DEVOLUCIÓN]]</f>
        <v>10</v>
      </c>
      <c r="AD1740" s="38" t="str">
        <f>+_xlfn.XLOOKUP(DETALLE_GD_1[[#This Row],[CODIGO]],PRODUCTOS[CODIGO],PRODUCTOS[DESC CORTA],"",0)</f>
        <v/>
      </c>
    </row>
    <row r="1741" spans="1:30" x14ac:dyDescent="0.25">
      <c r="A1741" s="1">
        <v>46167</v>
      </c>
      <c r="B1741" s="1">
        <v>46167</v>
      </c>
      <c r="C1741" s="81" t="s">
        <v>169</v>
      </c>
      <c r="D1741" s="38">
        <v>5</v>
      </c>
      <c r="E1741" s="81" t="s">
        <v>169</v>
      </c>
      <c r="F1741">
        <v>2302017</v>
      </c>
      <c r="G1741" s="81" t="s">
        <v>156</v>
      </c>
      <c r="H1741" s="81" t="s">
        <v>25</v>
      </c>
      <c r="I1741" s="3">
        <v>5</v>
      </c>
      <c r="J1741" s="3"/>
      <c r="K1741" s="26">
        <v>5</v>
      </c>
      <c r="L1741" s="2">
        <v>83400</v>
      </c>
      <c r="M1741" s="2">
        <v>417000</v>
      </c>
      <c r="N1741" s="2">
        <v>417000</v>
      </c>
      <c r="O1741" s="2">
        <v>81197.881599999993</v>
      </c>
      <c r="P1741" s="2">
        <v>-2202.1183999999998</v>
      </c>
      <c r="Q1741" s="2">
        <v>-11010.5921</v>
      </c>
      <c r="R1741" s="4">
        <v>-2.7120392529668531E-2</v>
      </c>
      <c r="T1741">
        <v>316497</v>
      </c>
      <c r="U1741" s="2"/>
      <c r="V1741">
        <v>6215</v>
      </c>
      <c r="W1741" s="2">
        <v>6579000000</v>
      </c>
      <c r="X1741" s="6">
        <v>405989.40789499989</v>
      </c>
      <c r="Y1741" s="38">
        <v>10010</v>
      </c>
      <c r="Z1741" s="86">
        <f>+((DETALLE_GD_1[[#This Row],[VALOR X UN (GD)]]-DETALLE_GD_1[[#This Row],[VALOR PPTO]])/DETALLE_GD_1[[#This Row],[VALOR PPTO]])</f>
        <v>2.7120392264026835E-2</v>
      </c>
      <c r="AA1741" s="2">
        <f>+DETALLE_GD_1[[#This Row],[VALOR PPTO]]*DETALLE_GD_1[[#This Row],[CANTIDAD RECIBIDA]]</f>
        <v>405989.40799999994</v>
      </c>
      <c r="AB1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1" s="3">
        <f>+DETALLE_GD_1[[#This Row],[CANTIDAD SOLICITADA]]-DETALLE_GD_1[[#This Row],[DEVOLUCIÓN]]</f>
        <v>5</v>
      </c>
      <c r="AD1741" s="38">
        <f>+_xlfn.XLOOKUP(DETALLE_GD_1[[#This Row],[CODIGO]],PRODUCTOS[CODIGO],PRODUCTOS[DESC CORTA],"",0)</f>
        <v>0</v>
      </c>
    </row>
    <row r="1742" spans="1:30" x14ac:dyDescent="0.25">
      <c r="A1742" s="1">
        <v>46167</v>
      </c>
      <c r="B1742" s="1">
        <v>46167</v>
      </c>
      <c r="C1742" s="81" t="s">
        <v>169</v>
      </c>
      <c r="D1742" s="38">
        <v>5</v>
      </c>
      <c r="E1742" s="81" t="s">
        <v>169</v>
      </c>
      <c r="F1742">
        <v>617057</v>
      </c>
      <c r="G1742" s="81" t="s">
        <v>134</v>
      </c>
      <c r="H1742" s="81" t="s">
        <v>31</v>
      </c>
      <c r="I1742" s="3">
        <v>5</v>
      </c>
      <c r="J1742" s="3"/>
      <c r="K1742" s="26">
        <v>5</v>
      </c>
      <c r="L1742" s="2">
        <v>1698.4</v>
      </c>
      <c r="M1742" s="2">
        <v>8492</v>
      </c>
      <c r="N1742" s="2">
        <v>8492</v>
      </c>
      <c r="O1742" s="2">
        <v>2042.1197</v>
      </c>
      <c r="P1742" s="2"/>
      <c r="Q1742" s="2">
        <v>0</v>
      </c>
      <c r="R1742" s="4">
        <v>0</v>
      </c>
      <c r="T1742">
        <v>316497</v>
      </c>
      <c r="U1742" s="2"/>
      <c r="V1742">
        <v>6215</v>
      </c>
      <c r="W1742" s="2">
        <v>6579000000</v>
      </c>
      <c r="X1742" s="6">
        <v>10210.598529999999</v>
      </c>
      <c r="Y1742" s="38">
        <v>10010</v>
      </c>
      <c r="Z1742" s="86">
        <f>+((DETALLE_GD_1[[#This Row],[VALOR X UN (GD)]]-DETALLE_GD_1[[#This Row],[VALOR PPTO]])/DETALLE_GD_1[[#This Row],[VALOR PPTO]])</f>
        <v>-0.16831515801938537</v>
      </c>
      <c r="AA1742" s="2">
        <f>+DETALLE_GD_1[[#This Row],[VALOR PPTO]]*DETALLE_GD_1[[#This Row],[CANTIDAD RECIBIDA]]</f>
        <v>10210.5985</v>
      </c>
      <c r="AB1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2" s="3">
        <f>+DETALLE_GD_1[[#This Row],[CANTIDAD SOLICITADA]]-DETALLE_GD_1[[#This Row],[DEVOLUCIÓN]]</f>
        <v>5</v>
      </c>
      <c r="AD1742" s="38" t="str">
        <f>+_xlfn.XLOOKUP(DETALLE_GD_1[[#This Row],[CODIGO]],PRODUCTOS[CODIGO],PRODUCTOS[DESC CORTA],"",0)</f>
        <v>BROCHA 5/8 X4</v>
      </c>
    </row>
    <row r="1743" spans="1:30" x14ac:dyDescent="0.25">
      <c r="A1743" s="1">
        <v>46167</v>
      </c>
      <c r="B1743" s="1">
        <v>46167</v>
      </c>
      <c r="C1743" s="81" t="s">
        <v>169</v>
      </c>
      <c r="D1743" s="38">
        <v>5</v>
      </c>
      <c r="E1743" s="81" t="s">
        <v>169</v>
      </c>
      <c r="F1743">
        <v>617055</v>
      </c>
      <c r="G1743" s="81" t="s">
        <v>182</v>
      </c>
      <c r="H1743" s="81" t="s">
        <v>31</v>
      </c>
      <c r="I1743" s="3">
        <v>5</v>
      </c>
      <c r="J1743" s="3"/>
      <c r="K1743" s="26">
        <v>5</v>
      </c>
      <c r="L1743" s="2">
        <v>694.8</v>
      </c>
      <c r="M1743" s="2">
        <v>3474</v>
      </c>
      <c r="N1743" s="2">
        <v>3474</v>
      </c>
      <c r="O1743" s="2">
        <v>920.35379999999998</v>
      </c>
      <c r="P1743" s="2">
        <v>225.5538</v>
      </c>
      <c r="Q1743" s="2">
        <v>1127.7689</v>
      </c>
      <c r="R1743" s="4">
        <v>0.24507291180455321</v>
      </c>
      <c r="T1743">
        <v>316497</v>
      </c>
      <c r="U1743" s="2"/>
      <c r="V1743">
        <v>6215</v>
      </c>
      <c r="W1743" s="2">
        <v>6579000000</v>
      </c>
      <c r="X1743" s="6">
        <v>4601.7689049999999</v>
      </c>
      <c r="Y1743" s="38">
        <v>10010</v>
      </c>
      <c r="Z1743" s="86">
        <f>+((DETALLE_GD_1[[#This Row],[VALOR X UN (GD)]]-DETALLE_GD_1[[#This Row],[VALOR PPTO]])/DETALLE_GD_1[[#This Row],[VALOR PPTO]])</f>
        <v>-0.24507292738944528</v>
      </c>
      <c r="AA1743" s="2">
        <f>+DETALLE_GD_1[[#This Row],[VALOR PPTO]]*DETALLE_GD_1[[#This Row],[CANTIDAD RECIBIDA]]</f>
        <v>4601.7690000000002</v>
      </c>
      <c r="AB1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3" s="3">
        <f>+DETALLE_GD_1[[#This Row],[CANTIDAD SOLICITADA]]-DETALLE_GD_1[[#This Row],[DEVOLUCIÓN]]</f>
        <v>5</v>
      </c>
      <c r="AD1743" s="38">
        <f>+_xlfn.XLOOKUP(DETALLE_GD_1[[#This Row],[CODIGO]],PRODUCTOS[CODIGO],PRODUCTOS[DESC CORTA],"",0)</f>
        <v>0</v>
      </c>
    </row>
    <row r="1744" spans="1:30" x14ac:dyDescent="0.25">
      <c r="A1744" s="1">
        <v>46167</v>
      </c>
      <c r="B1744" s="1">
        <v>46167</v>
      </c>
      <c r="C1744" s="81" t="s">
        <v>169</v>
      </c>
      <c r="D1744" s="38">
        <v>5</v>
      </c>
      <c r="E1744" s="81" t="s">
        <v>169</v>
      </c>
      <c r="F1744">
        <v>617016</v>
      </c>
      <c r="G1744" s="81" t="s">
        <v>133</v>
      </c>
      <c r="H1744" s="81" t="s">
        <v>31</v>
      </c>
      <c r="I1744" s="3">
        <v>10</v>
      </c>
      <c r="J1744" s="3"/>
      <c r="K1744" s="26">
        <v>10</v>
      </c>
      <c r="L1744" s="2">
        <v>2864.3</v>
      </c>
      <c r="M1744" s="2">
        <v>28643</v>
      </c>
      <c r="N1744" s="2">
        <v>28643</v>
      </c>
      <c r="O1744" s="2">
        <v>2857.5133000000001</v>
      </c>
      <c r="P1744" s="2">
        <v>-6.7866999999999997</v>
      </c>
      <c r="Q1744" s="2">
        <v>-67.8673</v>
      </c>
      <c r="R1744" s="4">
        <v>-2.3750461849998991E-3</v>
      </c>
      <c r="T1744">
        <v>316497</v>
      </c>
      <c r="U1744" s="2"/>
      <c r="V1744">
        <v>6215</v>
      </c>
      <c r="W1744" s="2">
        <v>6579000000</v>
      </c>
      <c r="X1744" s="6">
        <v>28575.132740000001</v>
      </c>
      <c r="Y1744" s="38">
        <v>10010</v>
      </c>
      <c r="Z1744" s="86">
        <f>+((DETALLE_GD_1[[#This Row],[VALOR X UN (GD)]]-DETALLE_GD_1[[#This Row],[VALOR PPTO]])/DETALLE_GD_1[[#This Row],[VALOR PPTO]])</f>
        <v>2.3750370645694318E-3</v>
      </c>
      <c r="AA1744" s="2">
        <f>+DETALLE_GD_1[[#This Row],[VALOR PPTO]]*DETALLE_GD_1[[#This Row],[CANTIDAD RECIBIDA]]</f>
        <v>28575.133000000002</v>
      </c>
      <c r="AB17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4" s="3">
        <f>+DETALLE_GD_1[[#This Row],[CANTIDAD SOLICITADA]]-DETALLE_GD_1[[#This Row],[DEVOLUCIÓN]]</f>
        <v>10</v>
      </c>
      <c r="AD1744" s="38" t="str">
        <f>+_xlfn.XLOOKUP(DETALLE_GD_1[[#This Row],[CODIGO]],PRODUCTOS[CODIGO],PRODUCTOS[DESC CORTA],"",0)</f>
        <v>RODILLO CHIPORRO</v>
      </c>
    </row>
    <row r="1745" spans="1:30" x14ac:dyDescent="0.25">
      <c r="A1745" s="1">
        <v>46168</v>
      </c>
      <c r="B1745" s="1">
        <v>46168</v>
      </c>
      <c r="C1745" s="81" t="s">
        <v>169</v>
      </c>
      <c r="D1745" s="38">
        <v>5</v>
      </c>
      <c r="E1745" s="81" t="s">
        <v>169</v>
      </c>
      <c r="F1745">
        <v>404184</v>
      </c>
      <c r="G1745" s="81" t="s">
        <v>66</v>
      </c>
      <c r="H1745" s="81" t="s">
        <v>31</v>
      </c>
      <c r="I1745" s="3">
        <v>5</v>
      </c>
      <c r="J1745" s="3"/>
      <c r="K1745" s="26">
        <v>5</v>
      </c>
      <c r="L1745" s="2">
        <v>1747.8</v>
      </c>
      <c r="M1745" s="2">
        <v>8739</v>
      </c>
      <c r="N1745" s="2">
        <v>8739</v>
      </c>
      <c r="O1745" s="2">
        <v>1754.8757000000001</v>
      </c>
      <c r="P1745" s="2">
        <v>7.0757000000000003</v>
      </c>
      <c r="Q1745" s="2">
        <v>35.378700000000002</v>
      </c>
      <c r="R1745" s="4">
        <v>4.032041058524464E-3</v>
      </c>
      <c r="T1745">
        <v>316613</v>
      </c>
      <c r="U1745" s="2">
        <v>2894444</v>
      </c>
      <c r="V1745">
        <v>6215</v>
      </c>
      <c r="W1745" s="2">
        <v>6579000000</v>
      </c>
      <c r="X1745" s="6">
        <v>8774.3786550000004</v>
      </c>
      <c r="Y1745" s="38">
        <v>10010</v>
      </c>
      <c r="Z1745" s="86">
        <f>+((DETALLE_GD_1[[#This Row],[VALOR X UN (GD)]]-DETALLE_GD_1[[#This Row],[VALOR PPTO]])/DETALLE_GD_1[[#This Row],[VALOR PPTO]])</f>
        <v>-4.0320234646819128E-3</v>
      </c>
      <c r="AA1745" s="2">
        <f>+DETALLE_GD_1[[#This Row],[VALOR PPTO]]*DETALLE_GD_1[[#This Row],[CANTIDAD RECIBIDA]]</f>
        <v>8774.3785000000007</v>
      </c>
      <c r="AB17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5" s="3">
        <f>+DETALLE_GD_1[[#This Row],[CANTIDAD SOLICITADA]]-DETALLE_GD_1[[#This Row],[DEVOLUCIÓN]]</f>
        <v>5</v>
      </c>
      <c r="AD1745" s="38" t="str">
        <f>+_xlfn.XLOOKUP(DETALLE_GD_1[[#This Row],[CODIGO]],PRODUCTOS[CODIGO],PRODUCTOS[DESC CORTA],"",0)</f>
        <v>ANGULO BLANCO</v>
      </c>
    </row>
    <row r="1746" spans="1:30" x14ac:dyDescent="0.25">
      <c r="A1746" s="1">
        <v>46168</v>
      </c>
      <c r="B1746" s="1">
        <v>46168</v>
      </c>
      <c r="C1746" s="81" t="s">
        <v>169</v>
      </c>
      <c r="D1746" s="38">
        <v>5</v>
      </c>
      <c r="E1746" s="81" t="s">
        <v>169</v>
      </c>
      <c r="F1746">
        <v>404252</v>
      </c>
      <c r="G1746" s="81" t="s">
        <v>181</v>
      </c>
      <c r="H1746" s="81" t="s">
        <v>31</v>
      </c>
      <c r="I1746" s="3">
        <v>35</v>
      </c>
      <c r="J1746" s="3"/>
      <c r="K1746" s="26">
        <v>35</v>
      </c>
      <c r="L1746" s="2">
        <v>1544.2</v>
      </c>
      <c r="M1746" s="2">
        <v>54047</v>
      </c>
      <c r="N1746" s="2">
        <v>54047</v>
      </c>
      <c r="O1746" s="2">
        <v>1110.0438999999999</v>
      </c>
      <c r="P1746" s="2">
        <v>-434.15609999999998</v>
      </c>
      <c r="Q1746" s="2">
        <v>-15195.4643</v>
      </c>
      <c r="R1746" s="4">
        <v>-0.39111618323094111</v>
      </c>
      <c r="T1746">
        <v>316613</v>
      </c>
      <c r="U1746" s="2"/>
      <c r="V1746">
        <v>6215</v>
      </c>
      <c r="W1746" s="2">
        <v>6579000000</v>
      </c>
      <c r="X1746" s="6">
        <v>38851.535660000001</v>
      </c>
      <c r="Y1746" s="38">
        <v>10010</v>
      </c>
      <c r="Z1746" s="86">
        <f>+((DETALLE_GD_1[[#This Row],[VALOR X UN (GD)]]-DETALLE_GD_1[[#This Row],[VALOR PPTO]])/DETALLE_GD_1[[#This Row],[VALOR PPTO]])</f>
        <v>0.39111615315394299</v>
      </c>
      <c r="AA1746" s="2">
        <f>+DETALLE_GD_1[[#This Row],[VALOR PPTO]]*DETALLE_GD_1[[#This Row],[CANTIDAD RECIBIDA]]</f>
        <v>38851.536499999995</v>
      </c>
      <c r="AB1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6" s="3">
        <f>+DETALLE_GD_1[[#This Row],[CANTIDAD SOLICITADA]]-DETALLE_GD_1[[#This Row],[DEVOLUCIÓN]]</f>
        <v>35</v>
      </c>
      <c r="AD1746" s="38">
        <f>+_xlfn.XLOOKUP(DETALLE_GD_1[[#This Row],[CODIGO]],PRODUCTOS[CODIGO],PRODUCTOS[DESC CORTA],"",0)</f>
        <v>0</v>
      </c>
    </row>
    <row r="1747" spans="1:30" x14ac:dyDescent="0.25">
      <c r="A1747" s="1">
        <v>46168</v>
      </c>
      <c r="B1747" s="1">
        <v>46168</v>
      </c>
      <c r="C1747" s="81" t="s">
        <v>169</v>
      </c>
      <c r="D1747" s="38">
        <v>5</v>
      </c>
      <c r="E1747" s="81" t="s">
        <v>169</v>
      </c>
      <c r="F1747">
        <v>705028</v>
      </c>
      <c r="G1747" s="81" t="s">
        <v>72</v>
      </c>
      <c r="H1747" s="81" t="s">
        <v>18</v>
      </c>
      <c r="I1747" s="3">
        <v>40</v>
      </c>
      <c r="J1747" s="3"/>
      <c r="K1747" s="26">
        <v>40</v>
      </c>
      <c r="L1747" s="2">
        <v>22782</v>
      </c>
      <c r="M1747" s="2">
        <v>911280</v>
      </c>
      <c r="N1747" s="2">
        <v>911280</v>
      </c>
      <c r="O1747" s="2">
        <v>22927.086200000002</v>
      </c>
      <c r="P1747" s="2">
        <v>145.08619999999999</v>
      </c>
      <c r="Q1747" s="2">
        <v>5803.4483</v>
      </c>
      <c r="R1747" s="4">
        <v>6.3281572586272733E-3</v>
      </c>
      <c r="T1747">
        <v>316613</v>
      </c>
      <c r="U1747" s="2"/>
      <c r="V1747">
        <v>6215</v>
      </c>
      <c r="W1747" s="2">
        <v>6579000000</v>
      </c>
      <c r="X1747" s="6">
        <v>917083.44828000001</v>
      </c>
      <c r="Y1747" s="38">
        <v>10010</v>
      </c>
      <c r="Z1747" s="86">
        <f>+((DETALLE_GD_1[[#This Row],[VALOR X UN (GD)]]-DETALLE_GD_1[[#This Row],[VALOR PPTO]])/DETALLE_GD_1[[#This Row],[VALOR PPTO]])</f>
        <v>-6.3281569552436868E-3</v>
      </c>
      <c r="AA1747" s="2">
        <f>+DETALLE_GD_1[[#This Row],[VALOR PPTO]]*DETALLE_GD_1[[#This Row],[CANTIDAD RECIBIDA]]</f>
        <v>917083.44800000009</v>
      </c>
      <c r="AB17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47" s="3">
        <f>+DETALLE_GD_1[[#This Row],[CANTIDAD SOLICITADA]]-DETALLE_GD_1[[#This Row],[DEVOLUCIÓN]]</f>
        <v>40</v>
      </c>
      <c r="AD1747" s="38" t="str">
        <f>+_xlfn.XLOOKUP(DETALLE_GD_1[[#This Row],[CODIGO]],PRODUCTOS[CODIGO],PRODUCTOS[DESC CORTA],"",0)</f>
        <v>SIMPLISIMA</v>
      </c>
    </row>
    <row r="1748" spans="1:30" x14ac:dyDescent="0.25">
      <c r="A1748" s="1">
        <v>46168</v>
      </c>
      <c r="B1748" s="1">
        <v>46168</v>
      </c>
      <c r="C1748" s="81" t="s">
        <v>169</v>
      </c>
      <c r="D1748" s="38">
        <v>5</v>
      </c>
      <c r="E1748" s="81" t="s">
        <v>169</v>
      </c>
      <c r="F1748">
        <v>1405040</v>
      </c>
      <c r="G1748" s="81" t="s">
        <v>451</v>
      </c>
      <c r="H1748" s="81" t="s">
        <v>31</v>
      </c>
      <c r="I1748" s="3">
        <v>8</v>
      </c>
      <c r="J1748" s="3"/>
      <c r="K1748" s="26">
        <v>8</v>
      </c>
      <c r="L1748" s="2">
        <v>7573.625</v>
      </c>
      <c r="M1748" s="2">
        <v>60589</v>
      </c>
      <c r="N1748" s="2">
        <v>60589</v>
      </c>
      <c r="O1748" s="2">
        <v>7568</v>
      </c>
      <c r="P1748" s="2">
        <v>-5.625</v>
      </c>
      <c r="Q1748" s="2">
        <v>-45</v>
      </c>
      <c r="R1748" s="4">
        <v>-7.432610993657506E-4</v>
      </c>
      <c r="T1748">
        <v>316613</v>
      </c>
      <c r="U1748" s="2"/>
      <c r="V1748">
        <v>6215</v>
      </c>
      <c r="W1748" s="2">
        <v>6579000000</v>
      </c>
      <c r="X1748" s="6">
        <v>60544</v>
      </c>
      <c r="Y1748" s="38">
        <v>10010</v>
      </c>
      <c r="Z1748" s="86">
        <f>+((DETALLE_GD_1[[#This Row],[VALOR X UN (GD)]]-DETALLE_GD_1[[#This Row],[VALOR PPTO]])/DETALLE_GD_1[[#This Row],[VALOR PPTO]])</f>
        <v>7.4326109936575049E-4</v>
      </c>
      <c r="AA1748" s="2">
        <f>+DETALLE_GD_1[[#This Row],[VALOR PPTO]]*DETALLE_GD_1[[#This Row],[CANTIDAD RECIBIDA]]</f>
        <v>60544</v>
      </c>
      <c r="AB1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8" s="3">
        <f>+DETALLE_GD_1[[#This Row],[CANTIDAD SOLICITADA]]-DETALLE_GD_1[[#This Row],[DEVOLUCIÓN]]</f>
        <v>8</v>
      </c>
      <c r="AD1748" s="38" t="str">
        <f>+_xlfn.XLOOKUP(DETALLE_GD_1[[#This Row],[CODIGO]],PRODUCTOS[CODIGO],PRODUCTOS[DESC CORTA],"",0)</f>
        <v>CEERRADURA BAÑO 815 TUBULAR</v>
      </c>
    </row>
    <row r="1749" spans="1:30" x14ac:dyDescent="0.25">
      <c r="A1749" s="1">
        <v>46168</v>
      </c>
      <c r="B1749" s="1">
        <v>46168</v>
      </c>
      <c r="C1749" s="81" t="s">
        <v>169</v>
      </c>
      <c r="D1749" s="38">
        <v>5</v>
      </c>
      <c r="E1749" s="81" t="s">
        <v>169</v>
      </c>
      <c r="F1749">
        <v>1405039</v>
      </c>
      <c r="G1749" s="81" t="s">
        <v>314</v>
      </c>
      <c r="H1749" s="81" t="s">
        <v>31</v>
      </c>
      <c r="I1749" s="3">
        <v>10</v>
      </c>
      <c r="J1749" s="3"/>
      <c r="K1749" s="26">
        <v>10</v>
      </c>
      <c r="L1749" s="2">
        <v>7636.6</v>
      </c>
      <c r="M1749" s="2">
        <v>76366</v>
      </c>
      <c r="N1749" s="2">
        <v>76366</v>
      </c>
      <c r="O1749" s="2">
        <v>7596</v>
      </c>
      <c r="P1749" s="2">
        <v>-40.6</v>
      </c>
      <c r="Q1749" s="2">
        <v>-406</v>
      </c>
      <c r="R1749" s="4">
        <v>-5.3449183780937817E-3</v>
      </c>
      <c r="T1749">
        <v>316613</v>
      </c>
      <c r="U1749" s="2"/>
      <c r="V1749">
        <v>6215</v>
      </c>
      <c r="W1749" s="2">
        <v>6579000000</v>
      </c>
      <c r="X1749" s="6">
        <v>75960</v>
      </c>
      <c r="Y1749" s="38">
        <v>10010</v>
      </c>
      <c r="Z1749" s="86">
        <f>+((DETALLE_GD_1[[#This Row],[VALOR X UN (GD)]]-DETALLE_GD_1[[#This Row],[VALOR PPTO]])/DETALLE_GD_1[[#This Row],[VALOR PPTO]])</f>
        <v>5.3449183780937817E-3</v>
      </c>
      <c r="AA1749" s="2">
        <f>+DETALLE_GD_1[[#This Row],[VALOR PPTO]]*DETALLE_GD_1[[#This Row],[CANTIDAD RECIBIDA]]</f>
        <v>75960</v>
      </c>
      <c r="AB1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9" s="3">
        <f>+DETALLE_GD_1[[#This Row],[CANTIDAD SOLICITADA]]-DETALLE_GD_1[[#This Row],[DEVOLUCIÓN]]</f>
        <v>10</v>
      </c>
      <c r="AD1749" s="38" t="str">
        <f>+_xlfn.XLOOKUP(DETALLE_GD_1[[#This Row],[CODIGO]],PRODUCTOS[CODIGO],PRODUCTOS[DESC CORTA],"",0)</f>
        <v>CERRADURA INOX 304</v>
      </c>
    </row>
    <row r="1750" spans="1:30" x14ac:dyDescent="0.25">
      <c r="A1750" s="1">
        <v>46168</v>
      </c>
      <c r="B1750" s="1">
        <v>46168</v>
      </c>
      <c r="C1750" s="81" t="s">
        <v>169</v>
      </c>
      <c r="D1750" s="38">
        <v>5</v>
      </c>
      <c r="E1750" s="81" t="s">
        <v>169</v>
      </c>
      <c r="F1750">
        <v>1103074</v>
      </c>
      <c r="G1750" s="81" t="s">
        <v>310</v>
      </c>
      <c r="H1750" s="81" t="s">
        <v>31</v>
      </c>
      <c r="I1750" s="3">
        <v>40</v>
      </c>
      <c r="J1750" s="3"/>
      <c r="K1750" s="26">
        <v>40</v>
      </c>
      <c r="L1750" s="2">
        <v>2426.9250000000002</v>
      </c>
      <c r="M1750" s="2">
        <v>97077</v>
      </c>
      <c r="N1750" s="2">
        <v>97077</v>
      </c>
      <c r="O1750" s="2">
        <v>2427</v>
      </c>
      <c r="P1750" s="2">
        <v>7.4999999999999997E-2</v>
      </c>
      <c r="Q1750" s="2">
        <v>3</v>
      </c>
      <c r="R1750" s="4">
        <v>3.0902348578417016E-5</v>
      </c>
      <c r="T1750">
        <v>316613</v>
      </c>
      <c r="U1750" s="2"/>
      <c r="V1750">
        <v>6215</v>
      </c>
      <c r="W1750" s="2">
        <v>6579000000</v>
      </c>
      <c r="X1750" s="6">
        <v>97080</v>
      </c>
      <c r="Y1750" s="38">
        <v>10010</v>
      </c>
      <c r="Z1750" s="86">
        <f>+((DETALLE_GD_1[[#This Row],[VALOR X UN (GD)]]-DETALLE_GD_1[[#This Row],[VALOR PPTO]])/DETALLE_GD_1[[#This Row],[VALOR PPTO]])</f>
        <v>-3.0902348578417016E-5</v>
      </c>
      <c r="AA1750" s="2">
        <f>+DETALLE_GD_1[[#This Row],[VALOR PPTO]]*DETALLE_GD_1[[#This Row],[CANTIDAD RECIBIDA]]</f>
        <v>97080</v>
      </c>
      <c r="AB1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50" s="3">
        <f>+DETALLE_GD_1[[#This Row],[CANTIDAD SOLICITADA]]-DETALLE_GD_1[[#This Row],[DEVOLUCIÓN]]</f>
        <v>40</v>
      </c>
      <c r="AD1750" s="38" t="str">
        <f>+_xlfn.XLOOKUP(DETALLE_GD_1[[#This Row],[CODIGO]],PRODUCTOS[CODIGO],PRODUCTOS[DESC CORTA],"",0)</f>
        <v>PERFIL ESQUINERO ENCUENTRO</v>
      </c>
    </row>
    <row r="1751" spans="1:30" x14ac:dyDescent="0.25">
      <c r="A1751" s="1">
        <v>46168</v>
      </c>
      <c r="B1751" s="1">
        <v>46168</v>
      </c>
      <c r="C1751" s="81" t="s">
        <v>169</v>
      </c>
      <c r="D1751" s="38">
        <v>5</v>
      </c>
      <c r="E1751" s="81" t="s">
        <v>169</v>
      </c>
      <c r="F1751">
        <v>1103076</v>
      </c>
      <c r="G1751" s="81" t="s">
        <v>311</v>
      </c>
      <c r="H1751" s="81" t="s">
        <v>31</v>
      </c>
      <c r="I1751" s="3">
        <v>40</v>
      </c>
      <c r="J1751" s="3"/>
      <c r="K1751" s="26">
        <v>40</v>
      </c>
      <c r="L1751" s="2">
        <v>3190.75</v>
      </c>
      <c r="M1751" s="2">
        <v>127630</v>
      </c>
      <c r="N1751" s="2">
        <v>127630</v>
      </c>
      <c r="O1751" s="2">
        <v>3191</v>
      </c>
      <c r="P1751" s="2">
        <v>0.25</v>
      </c>
      <c r="Q1751" s="2">
        <v>10</v>
      </c>
      <c r="R1751" s="4">
        <v>7.8345346286430597E-5</v>
      </c>
      <c r="T1751">
        <v>316613</v>
      </c>
      <c r="U1751" s="2"/>
      <c r="V1751">
        <v>6215</v>
      </c>
      <c r="W1751" s="2">
        <v>6579000000</v>
      </c>
      <c r="X1751" s="6">
        <v>127640</v>
      </c>
      <c r="Y1751" s="38">
        <v>10010</v>
      </c>
      <c r="Z1751" s="86">
        <f>+((DETALLE_GD_1[[#This Row],[VALOR X UN (GD)]]-DETALLE_GD_1[[#This Row],[VALOR PPTO]])/DETALLE_GD_1[[#This Row],[VALOR PPTO]])</f>
        <v>-7.8345346286430584E-5</v>
      </c>
      <c r="AA1751" s="2">
        <f>+DETALLE_GD_1[[#This Row],[VALOR PPTO]]*DETALLE_GD_1[[#This Row],[CANTIDAD RECIBIDA]]</f>
        <v>127640</v>
      </c>
      <c r="AB1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51" s="3">
        <f>+DETALLE_GD_1[[#This Row],[CANTIDAD SOLICITADA]]-DETALLE_GD_1[[#This Row],[DEVOLUCIÓN]]</f>
        <v>40</v>
      </c>
      <c r="AD1751" s="38" t="str">
        <f>+_xlfn.XLOOKUP(DETALLE_GD_1[[#This Row],[CODIGO]],PRODUCTOS[CODIGO],PRODUCTOS[DESC CORTA],"",0)</f>
        <v>PERFIL ESQUINERO INTERIOR</v>
      </c>
    </row>
    <row r="1752" spans="1:30" x14ac:dyDescent="0.25">
      <c r="A1752" s="1">
        <v>46168</v>
      </c>
      <c r="B1752" s="1">
        <v>46168</v>
      </c>
      <c r="C1752" s="81" t="s">
        <v>169</v>
      </c>
      <c r="D1752" s="38">
        <v>5</v>
      </c>
      <c r="E1752" s="81" t="s">
        <v>169</v>
      </c>
      <c r="F1752">
        <v>304002</v>
      </c>
      <c r="G1752" s="81" t="s">
        <v>37</v>
      </c>
      <c r="H1752" s="81" t="s">
        <v>18</v>
      </c>
      <c r="I1752" s="3">
        <v>72</v>
      </c>
      <c r="J1752" s="3"/>
      <c r="K1752" s="26">
        <v>72</v>
      </c>
      <c r="L1752" s="2">
        <v>21648.833299999998</v>
      </c>
      <c r="M1752" s="2">
        <v>1558716</v>
      </c>
      <c r="N1752" s="2">
        <v>1558716</v>
      </c>
      <c r="O1752" s="2">
        <v>21246.5072</v>
      </c>
      <c r="P1752" s="2">
        <v>-402.32619999999997</v>
      </c>
      <c r="Q1752" s="2">
        <v>-28967.485000000001</v>
      </c>
      <c r="R1752" s="4">
        <v>-1.8936109236031368E-2</v>
      </c>
      <c r="T1752">
        <v>316613</v>
      </c>
      <c r="U1752" s="2"/>
      <c r="V1752">
        <v>6215</v>
      </c>
      <c r="W1752" s="2">
        <v>6579000000</v>
      </c>
      <c r="X1752" s="6">
        <v>1529748.5150160005</v>
      </c>
      <c r="Y1752" s="38">
        <v>10010</v>
      </c>
      <c r="Z1752" s="86">
        <f>+((DETALLE_GD_1[[#This Row],[VALOR X UN (GD)]]-DETALLE_GD_1[[#This Row],[VALOR PPTO]])/DETALLE_GD_1[[#This Row],[VALOR PPTO]])</f>
        <v>1.8936105413128724E-2</v>
      </c>
      <c r="AA1752" s="2">
        <f>+DETALLE_GD_1[[#This Row],[VALOR PPTO]]*DETALLE_GD_1[[#This Row],[CANTIDAD RECIBIDA]]</f>
        <v>1529748.5183999999</v>
      </c>
      <c r="AB17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2" s="3">
        <f>+DETALLE_GD_1[[#This Row],[CANTIDAD SOLICITADA]]-DETALLE_GD_1[[#This Row],[DEVOLUCIÓN]]</f>
        <v>72</v>
      </c>
      <c r="AD1752" s="38" t="str">
        <f>+_xlfn.XLOOKUP(DETALLE_GD_1[[#This Row],[CODIGO]],PRODUCTOS[CODIGO],PRODUCTOS[DESC CORTA],"",0)</f>
        <v>SMARTPANEL</v>
      </c>
    </row>
    <row r="1753" spans="1:30" x14ac:dyDescent="0.25">
      <c r="A1753" s="1">
        <v>46168</v>
      </c>
      <c r="B1753" s="1">
        <v>46168</v>
      </c>
      <c r="C1753" s="81" t="s">
        <v>169</v>
      </c>
      <c r="D1753" s="38">
        <v>5</v>
      </c>
      <c r="E1753" s="81" t="s">
        <v>169</v>
      </c>
      <c r="F1753">
        <v>302046</v>
      </c>
      <c r="G1753" s="81" t="s">
        <v>115</v>
      </c>
      <c r="H1753" s="81" t="s">
        <v>20</v>
      </c>
      <c r="I1753" s="3">
        <v>288</v>
      </c>
      <c r="J1753" s="3"/>
      <c r="K1753" s="26">
        <v>288</v>
      </c>
      <c r="L1753" s="2">
        <v>10122.281199999999</v>
      </c>
      <c r="M1753" s="2">
        <v>2915217</v>
      </c>
      <c r="N1753" s="2">
        <v>2915217</v>
      </c>
      <c r="O1753" s="2">
        <v>10156.5985</v>
      </c>
      <c r="P1753" s="2">
        <v>34.3172</v>
      </c>
      <c r="Q1753" s="2">
        <v>9883.3585000000003</v>
      </c>
      <c r="R1753" s="4">
        <v>3.378810052548828E-3</v>
      </c>
      <c r="T1753">
        <v>316609</v>
      </c>
      <c r="U1753" s="2">
        <v>21434966</v>
      </c>
      <c r="V1753">
        <v>6215</v>
      </c>
      <c r="W1753" s="2">
        <v>6579000000</v>
      </c>
      <c r="X1753" s="6">
        <v>2925100.3584960005</v>
      </c>
      <c r="Y1753" s="38">
        <v>10010</v>
      </c>
      <c r="Z1753" s="86">
        <f>+((DETALLE_GD_1[[#This Row],[VALOR X UN (GD)]]-DETALLE_GD_1[[#This Row],[VALOR PPTO]])/DETALLE_GD_1[[#This Row],[VALOR PPTO]])</f>
        <v>-3.3788182135978512E-3</v>
      </c>
      <c r="AA1753" s="2">
        <f>+DETALLE_GD_1[[#This Row],[VALOR PPTO]]*DETALLE_GD_1[[#This Row],[CANTIDAD RECIBIDA]]</f>
        <v>2925100.3679999998</v>
      </c>
      <c r="AB17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3" s="3">
        <f>+DETALLE_GD_1[[#This Row],[CANTIDAD SOLICITADA]]-DETALLE_GD_1[[#This Row],[DEVOLUCIÓN]]</f>
        <v>288</v>
      </c>
      <c r="AD1753" s="38" t="str">
        <f>+_xlfn.XLOOKUP(DETALLE_GD_1[[#This Row],[CODIGO]],PRODUCTOS[CODIGO],PRODUCTOS[DESC CORTA],"",0)</f>
        <v>PINO 2X6X400</v>
      </c>
    </row>
    <row r="1754" spans="1:30" x14ac:dyDescent="0.25">
      <c r="A1754" s="1">
        <v>46168</v>
      </c>
      <c r="B1754" s="1">
        <v>46168</v>
      </c>
      <c r="C1754" s="81" t="s">
        <v>169</v>
      </c>
      <c r="D1754" s="38">
        <v>5</v>
      </c>
      <c r="E1754" s="81" t="s">
        <v>169</v>
      </c>
      <c r="F1754">
        <v>302048</v>
      </c>
      <c r="G1754" s="81" t="s">
        <v>126</v>
      </c>
      <c r="H1754" s="81" t="s">
        <v>20</v>
      </c>
      <c r="I1754" s="3">
        <v>108</v>
      </c>
      <c r="J1754" s="3"/>
      <c r="K1754" s="26">
        <v>108</v>
      </c>
      <c r="L1754" s="2">
        <v>14163.537</v>
      </c>
      <c r="M1754" s="2">
        <v>1529662</v>
      </c>
      <c r="N1754" s="2">
        <v>1529662</v>
      </c>
      <c r="O1754" s="2">
        <v>13710.695</v>
      </c>
      <c r="P1754" s="2">
        <v>-452.84210000000002</v>
      </c>
      <c r="Q1754" s="2">
        <v>-48906.944199999998</v>
      </c>
      <c r="R1754" s="4">
        <v>-3.3028382392369181E-2</v>
      </c>
      <c r="T1754">
        <v>316609</v>
      </c>
      <c r="U1754" s="2"/>
      <c r="V1754">
        <v>6215</v>
      </c>
      <c r="W1754" s="2">
        <v>6579000000</v>
      </c>
      <c r="X1754" s="6">
        <v>1480755.0557880001</v>
      </c>
      <c r="Y1754" s="38">
        <v>10010</v>
      </c>
      <c r="Z1754" s="86">
        <f>+((DETALLE_GD_1[[#This Row],[VALOR X UN (GD)]]-DETALLE_GD_1[[#This Row],[VALOR PPTO]])/DETALLE_GD_1[[#This Row],[VALOR PPTO]])</f>
        <v>3.3028376752600841E-2</v>
      </c>
      <c r="AA1754" s="2">
        <f>+DETALLE_GD_1[[#This Row],[VALOR PPTO]]*DETALLE_GD_1[[#This Row],[CANTIDAD RECIBIDA]]</f>
        <v>1480755.06</v>
      </c>
      <c r="AB17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4" s="3">
        <f>+DETALLE_GD_1[[#This Row],[CANTIDAD SOLICITADA]]-DETALLE_GD_1[[#This Row],[DEVOLUCIÓN]]</f>
        <v>108</v>
      </c>
      <c r="AD1754" s="38" t="str">
        <f>+_xlfn.XLOOKUP(DETALLE_GD_1[[#This Row],[CODIGO]],PRODUCTOS[CODIGO],PRODUCTOS[DESC CORTA],"",0)</f>
        <v>PINO 2X8X4</v>
      </c>
    </row>
    <row r="1755" spans="1:30" x14ac:dyDescent="0.25">
      <c r="A1755" s="1">
        <v>46168</v>
      </c>
      <c r="B1755" s="1">
        <v>46168</v>
      </c>
      <c r="C1755" s="81" t="s">
        <v>169</v>
      </c>
      <c r="D1755" s="38">
        <v>5</v>
      </c>
      <c r="E1755" s="81" t="s">
        <v>169</v>
      </c>
      <c r="F1755">
        <v>302010</v>
      </c>
      <c r="G1755" s="81" t="s">
        <v>323</v>
      </c>
      <c r="H1755" s="81" t="s">
        <v>20</v>
      </c>
      <c r="I1755" s="3">
        <v>252</v>
      </c>
      <c r="J1755" s="3"/>
      <c r="K1755" s="26">
        <v>252</v>
      </c>
      <c r="L1755" s="2">
        <v>6678.2102999999997</v>
      </c>
      <c r="M1755" s="2">
        <v>1682909</v>
      </c>
      <c r="N1755" s="2">
        <v>1682909</v>
      </c>
      <c r="O1755" s="2">
        <v>6585.1337000000003</v>
      </c>
      <c r="P1755" s="2">
        <v>-93.076599999999999</v>
      </c>
      <c r="Q1755" s="2">
        <v>-23455.296300000002</v>
      </c>
      <c r="R1755" s="4">
        <v>-1.4134348073187896E-2</v>
      </c>
      <c r="T1755">
        <v>316609</v>
      </c>
      <c r="U1755" s="2"/>
      <c r="V1755">
        <v>6215</v>
      </c>
      <c r="W1755" s="2">
        <v>6579000000</v>
      </c>
      <c r="X1755" s="6">
        <v>1659453.7037399979</v>
      </c>
      <c r="Y1755" s="38">
        <v>10010</v>
      </c>
      <c r="Z1755" s="86">
        <f>+((DETALLE_GD_1[[#This Row],[VALOR X UN (GD)]]-DETALLE_GD_1[[#This Row],[VALOR PPTO]])/DETALLE_GD_1[[#This Row],[VALOR PPTO]])</f>
        <v>1.4134352351873951E-2</v>
      </c>
      <c r="AA1755" s="2">
        <f>+DETALLE_GD_1[[#This Row],[VALOR PPTO]]*DETALLE_GD_1[[#This Row],[CANTIDAD RECIBIDA]]</f>
        <v>1659453.6924000001</v>
      </c>
      <c r="AB17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5" s="3">
        <f>+DETALLE_GD_1[[#This Row],[CANTIDAD SOLICITADA]]-DETALLE_GD_1[[#This Row],[DEVOLUCIÓN]]</f>
        <v>252</v>
      </c>
      <c r="AD1755" s="38" t="str">
        <f>+_xlfn.XLOOKUP(DETALLE_GD_1[[#This Row],[CODIGO]],PRODUCTOS[CODIGO],PRODUCTOS[DESC CORTA],"",0)</f>
        <v>PINO 2X6X320</v>
      </c>
    </row>
    <row r="1756" spans="1:30" x14ac:dyDescent="0.25">
      <c r="A1756" s="1">
        <v>46168</v>
      </c>
      <c r="B1756" s="1">
        <v>46168</v>
      </c>
      <c r="C1756" s="81" t="s">
        <v>169</v>
      </c>
      <c r="D1756" s="38">
        <v>5</v>
      </c>
      <c r="E1756" s="81" t="s">
        <v>169</v>
      </c>
      <c r="F1756">
        <v>412280</v>
      </c>
      <c r="G1756" s="81" t="s">
        <v>40</v>
      </c>
      <c r="H1756" s="81" t="s">
        <v>31</v>
      </c>
      <c r="I1756" s="3">
        <v>96</v>
      </c>
      <c r="J1756" s="3"/>
      <c r="K1756" s="26">
        <v>96</v>
      </c>
      <c r="L1756" s="2">
        <v>38154.5625</v>
      </c>
      <c r="M1756" s="2">
        <v>3662838</v>
      </c>
      <c r="N1756" s="2">
        <v>3662838</v>
      </c>
      <c r="O1756" s="2">
        <v>40002.920100000003</v>
      </c>
      <c r="P1756" s="2">
        <v>1848.3576</v>
      </c>
      <c r="Q1756" s="2">
        <v>177442.32889999999</v>
      </c>
      <c r="R1756" s="4">
        <v>4.6205566711202163E-2</v>
      </c>
      <c r="T1756">
        <v>316609</v>
      </c>
      <c r="U1756" s="2"/>
      <c r="V1756">
        <v>6215</v>
      </c>
      <c r="W1756" s="2">
        <v>6579000000</v>
      </c>
      <c r="X1756" s="6">
        <v>3840280.3289279998</v>
      </c>
      <c r="Y1756" s="38">
        <v>10010</v>
      </c>
      <c r="Z1756" s="86">
        <f>+((DETALLE_GD_1[[#This Row],[VALOR X UN (GD)]]-DETALLE_GD_1[[#This Row],[VALOR PPTO]])/DETALLE_GD_1[[#This Row],[VALOR PPTO]])</f>
        <v>-4.6205566878104051E-2</v>
      </c>
      <c r="AA1756" s="2">
        <f>+DETALLE_GD_1[[#This Row],[VALOR PPTO]]*DETALLE_GD_1[[#This Row],[CANTIDAD RECIBIDA]]</f>
        <v>3840280.3296000003</v>
      </c>
      <c r="AB1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6" s="3">
        <f>+DETALLE_GD_1[[#This Row],[CANTIDAD SOLICITADA]]-DETALLE_GD_1[[#This Row],[DEVOLUCIÓN]]</f>
        <v>96</v>
      </c>
      <c r="AD1756" s="38" t="str">
        <f>+_xlfn.XLOOKUP(DETALLE_GD_1[[#This Row],[CODIGO]],PRODUCTOS[CODIGO],PRODUCTOS[DESC CORTA],"",0)</f>
        <v>PB2</v>
      </c>
    </row>
    <row r="1757" spans="1:30" x14ac:dyDescent="0.25">
      <c r="A1757" s="1">
        <v>46168</v>
      </c>
      <c r="B1757" s="1">
        <v>46168</v>
      </c>
      <c r="C1757" s="81" t="s">
        <v>169</v>
      </c>
      <c r="D1757" s="38">
        <v>5</v>
      </c>
      <c r="E1757" s="81" t="s">
        <v>169</v>
      </c>
      <c r="F1757">
        <v>412260</v>
      </c>
      <c r="G1757" s="81" t="s">
        <v>41</v>
      </c>
      <c r="H1757" s="81" t="s">
        <v>31</v>
      </c>
      <c r="I1757" s="3">
        <v>32</v>
      </c>
      <c r="J1757" s="3"/>
      <c r="K1757" s="26">
        <v>32</v>
      </c>
      <c r="L1757" s="2">
        <v>86689.1875</v>
      </c>
      <c r="M1757" s="2">
        <v>2774054</v>
      </c>
      <c r="N1757" s="2">
        <v>2774054</v>
      </c>
      <c r="O1757" s="2">
        <v>87567.442500000005</v>
      </c>
      <c r="P1757" s="2">
        <v>878.255</v>
      </c>
      <c r="Q1757" s="2">
        <v>28104.159299999999</v>
      </c>
      <c r="R1757" s="4">
        <v>1.002946932269526E-2</v>
      </c>
      <c r="T1757">
        <v>316609</v>
      </c>
      <c r="U1757" s="2"/>
      <c r="V1757">
        <v>6215</v>
      </c>
      <c r="W1757" s="2">
        <v>6579000000</v>
      </c>
      <c r="X1757" s="6">
        <v>2802158.159295999</v>
      </c>
      <c r="Y1757" s="38">
        <v>10010</v>
      </c>
      <c r="Z1757" s="86">
        <f>+((DETALLE_GD_1[[#This Row],[VALOR X UN (GD)]]-DETALLE_GD_1[[#This Row],[VALOR PPTO]])/DETALLE_GD_1[[#This Row],[VALOR PPTO]])</f>
        <v>-1.0029469571410684E-2</v>
      </c>
      <c r="AA1757" s="2">
        <f>+DETALLE_GD_1[[#This Row],[VALOR PPTO]]*DETALLE_GD_1[[#This Row],[CANTIDAD RECIBIDA]]</f>
        <v>2802158.16</v>
      </c>
      <c r="AB1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7" s="3">
        <f>+DETALLE_GD_1[[#This Row],[CANTIDAD SOLICITADA]]-DETALLE_GD_1[[#This Row],[DEVOLUCIÓN]]</f>
        <v>32</v>
      </c>
      <c r="AD1757" s="38" t="str">
        <f>+_xlfn.XLOOKUP(DETALLE_GD_1[[#This Row],[CODIGO]],PRODUCTOS[CODIGO],PRODUCTOS[DESC CORTA],"",0)</f>
        <v>PB1</v>
      </c>
    </row>
    <row r="1758" spans="1:30" x14ac:dyDescent="0.25">
      <c r="A1758" s="1">
        <v>46168</v>
      </c>
      <c r="B1758" s="1">
        <v>46168</v>
      </c>
      <c r="C1758" s="81" t="s">
        <v>169</v>
      </c>
      <c r="D1758" s="38">
        <v>5</v>
      </c>
      <c r="E1758" s="81" t="s">
        <v>169</v>
      </c>
      <c r="F1758">
        <v>407011</v>
      </c>
      <c r="G1758" s="81" t="s">
        <v>30</v>
      </c>
      <c r="H1758" s="81" t="s">
        <v>31</v>
      </c>
      <c r="I1758" s="3">
        <v>2000</v>
      </c>
      <c r="J1758" s="3"/>
      <c r="K1758" s="26">
        <v>2000</v>
      </c>
      <c r="L1758" s="2">
        <v>444.97949999999997</v>
      </c>
      <c r="M1758" s="2">
        <v>889959</v>
      </c>
      <c r="N1758" s="2">
        <v>889959</v>
      </c>
      <c r="O1758" s="2">
        <v>473.17520000000002</v>
      </c>
      <c r="P1758" s="2">
        <v>28.195699999999999</v>
      </c>
      <c r="Q1758" s="2">
        <v>56391.48</v>
      </c>
      <c r="R1758" s="4">
        <v>5.9588367303411625E-2</v>
      </c>
      <c r="T1758">
        <v>316609</v>
      </c>
      <c r="U1758" s="2"/>
      <c r="V1758">
        <v>6215</v>
      </c>
      <c r="W1758" s="2">
        <v>6579000000</v>
      </c>
      <c r="X1758" s="6">
        <v>946350.47999999986</v>
      </c>
      <c r="Y1758" s="38">
        <v>10010</v>
      </c>
      <c r="Z1758" s="86">
        <f>+((DETALLE_GD_1[[#This Row],[VALOR X UN (GD)]]-DETALLE_GD_1[[#This Row],[VALOR PPTO]])/DETALLE_GD_1[[#This Row],[VALOR PPTO]])</f>
        <v>-5.9588287805447206E-2</v>
      </c>
      <c r="AA1758" s="2">
        <f>+DETALLE_GD_1[[#This Row],[VALOR PPTO]]*DETALLE_GD_1[[#This Row],[CANTIDAD RECIBIDA]]</f>
        <v>946350.4</v>
      </c>
      <c r="AB17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8" s="3">
        <f>+DETALLE_GD_1[[#This Row],[CANTIDAD SOLICITADA]]-DETALLE_GD_1[[#This Row],[DEVOLUCIÓN]]</f>
        <v>2000</v>
      </c>
      <c r="AD1758" s="38" t="str">
        <f>+_xlfn.XLOOKUP(DETALLE_GD_1[[#This Row],[CODIGO]],PRODUCTOS[CODIGO],PRODUCTOS[DESC CORTA],"",0)</f>
        <v>TORNILLO SIMPSON 6"</v>
      </c>
    </row>
    <row r="1759" spans="1:30" x14ac:dyDescent="0.25">
      <c r="A1759" s="1">
        <v>46168</v>
      </c>
      <c r="B1759" s="1">
        <v>46168</v>
      </c>
      <c r="C1759" s="81" t="s">
        <v>169</v>
      </c>
      <c r="D1759" s="38">
        <v>5</v>
      </c>
      <c r="E1759" s="81" t="s">
        <v>169</v>
      </c>
      <c r="F1759">
        <v>304101</v>
      </c>
      <c r="G1759" s="81" t="s">
        <v>17</v>
      </c>
      <c r="H1759" s="81" t="s">
        <v>18</v>
      </c>
      <c r="I1759" s="3">
        <v>84</v>
      </c>
      <c r="J1759" s="3"/>
      <c r="K1759" s="26">
        <v>84</v>
      </c>
      <c r="L1759" s="2">
        <v>9617.1666999999998</v>
      </c>
      <c r="M1759" s="2">
        <v>807842</v>
      </c>
      <c r="N1759" s="2">
        <v>807842</v>
      </c>
      <c r="O1759" s="2">
        <v>9657.5879999999997</v>
      </c>
      <c r="P1759" s="2">
        <v>40.421300000000002</v>
      </c>
      <c r="Q1759" s="2">
        <v>3395.3878</v>
      </c>
      <c r="R1759" s="4">
        <v>4.1854429431666274E-3</v>
      </c>
      <c r="T1759">
        <v>316609</v>
      </c>
      <c r="U1759" s="2"/>
      <c r="V1759">
        <v>6215</v>
      </c>
      <c r="W1759" s="2">
        <v>6579000000</v>
      </c>
      <c r="X1759" s="6">
        <v>811237.38780000038</v>
      </c>
      <c r="Y1759" s="38">
        <v>10010</v>
      </c>
      <c r="Z1759" s="86">
        <f>+((DETALLE_GD_1[[#This Row],[VALOR X UN (GD)]]-DETALLE_GD_1[[#This Row],[VALOR PPTO]])/DETALLE_GD_1[[#This Row],[VALOR PPTO]])</f>
        <v>-4.1854446472556059E-3</v>
      </c>
      <c r="AA1759" s="2">
        <f>+DETALLE_GD_1[[#This Row],[VALOR PPTO]]*DETALLE_GD_1[[#This Row],[CANTIDAD RECIBIDA]]</f>
        <v>811237.39199999999</v>
      </c>
      <c r="AB1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9" s="3">
        <f>+DETALLE_GD_1[[#This Row],[CANTIDAD SOLICITADA]]-DETALLE_GD_1[[#This Row],[DEVOLUCIÓN]]</f>
        <v>84</v>
      </c>
      <c r="AD1759" s="38" t="str">
        <f>+_xlfn.XLOOKUP(DETALLE_GD_1[[#This Row],[CODIGO]],PRODUCTOS[CODIGO],PRODUCTOS[DESC CORTA],"",0)</f>
        <v>OSB 9.5</v>
      </c>
    </row>
    <row r="1760" spans="1:30" x14ac:dyDescent="0.25">
      <c r="A1760" s="1">
        <v>46168</v>
      </c>
      <c r="B1760" s="1">
        <v>46168</v>
      </c>
      <c r="C1760" s="81" t="s">
        <v>169</v>
      </c>
      <c r="D1760" s="38">
        <v>5</v>
      </c>
      <c r="E1760" s="81" t="s">
        <v>169</v>
      </c>
      <c r="F1760">
        <v>701096</v>
      </c>
      <c r="G1760" s="81" t="s">
        <v>204</v>
      </c>
      <c r="H1760" s="81" t="s">
        <v>18</v>
      </c>
      <c r="I1760" s="3">
        <v>70</v>
      </c>
      <c r="J1760" s="3"/>
      <c r="K1760" s="26">
        <v>70</v>
      </c>
      <c r="L1760" s="2">
        <v>16127.1857</v>
      </c>
      <c r="M1760" s="2">
        <v>1128903</v>
      </c>
      <c r="N1760" s="2">
        <v>1128903</v>
      </c>
      <c r="O1760" s="2">
        <v>16019.885700000001</v>
      </c>
      <c r="P1760" s="2">
        <v>-107.3</v>
      </c>
      <c r="Q1760" s="2">
        <v>-7511.0020000000004</v>
      </c>
      <c r="R1760" s="4">
        <v>-6.6979272758593634E-3</v>
      </c>
      <c r="T1760">
        <v>316609</v>
      </c>
      <c r="U1760" s="2"/>
      <c r="V1760">
        <v>6215</v>
      </c>
      <c r="W1760" s="2">
        <v>6579000000</v>
      </c>
      <c r="X1760" s="6">
        <v>1121391.9979500002</v>
      </c>
      <c r="Y1760" s="38">
        <v>10010</v>
      </c>
      <c r="Z1760" s="86">
        <f>+((DETALLE_GD_1[[#This Row],[VALOR X UN (GD)]]-DETALLE_GD_1[[#This Row],[VALOR PPTO]])/DETALLE_GD_1[[#This Row],[VALOR PPTO]])</f>
        <v>6.6979254415029483E-3</v>
      </c>
      <c r="AA1760" s="2">
        <f>+DETALLE_GD_1[[#This Row],[VALOR PPTO]]*DETALLE_GD_1[[#This Row],[CANTIDAD RECIBIDA]]</f>
        <v>1121391.9990000001</v>
      </c>
      <c r="AB17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0" s="3">
        <f>+DETALLE_GD_1[[#This Row],[CANTIDAD SOLICITADA]]-DETALLE_GD_1[[#This Row],[DEVOLUCIÓN]]</f>
        <v>70</v>
      </c>
      <c r="AD1760" s="38" t="str">
        <f>+_xlfn.XLOOKUP(DETALLE_GD_1[[#This Row],[CODIGO]],PRODUCTOS[CODIGO],PRODUCTOS[DESC CORTA],"",0)</f>
        <v>VOCANITA EMPAPELADA MURO</v>
      </c>
    </row>
    <row r="1761" spans="1:30" x14ac:dyDescent="0.25">
      <c r="A1761" s="1">
        <v>46168</v>
      </c>
      <c r="B1761" s="1">
        <v>46168</v>
      </c>
      <c r="C1761" s="81" t="s">
        <v>169</v>
      </c>
      <c r="D1761" s="38">
        <v>5</v>
      </c>
      <c r="E1761" s="81" t="s">
        <v>169</v>
      </c>
      <c r="F1761">
        <v>1901086</v>
      </c>
      <c r="G1761" s="81" t="s">
        <v>279</v>
      </c>
      <c r="H1761" s="81" t="s">
        <v>26</v>
      </c>
      <c r="I1761" s="3">
        <v>162</v>
      </c>
      <c r="J1761" s="3"/>
      <c r="K1761" s="26">
        <v>162</v>
      </c>
      <c r="L1761" s="2">
        <v>3592.4814999999999</v>
      </c>
      <c r="M1761" s="2">
        <v>581982</v>
      </c>
      <c r="N1761" s="2">
        <v>581982</v>
      </c>
      <c r="O1761" s="2">
        <v>3711.587</v>
      </c>
      <c r="P1761" s="2">
        <v>119.1056</v>
      </c>
      <c r="Q1761" s="2">
        <v>19295.100600000002</v>
      </c>
      <c r="R1761" s="4">
        <v>3.2090197051240034E-2</v>
      </c>
      <c r="T1761">
        <v>316609</v>
      </c>
      <c r="U1761" s="2"/>
      <c r="V1761">
        <v>6215</v>
      </c>
      <c r="W1761" s="2">
        <v>6579000000</v>
      </c>
      <c r="X1761" s="6">
        <v>601277.10064200009</v>
      </c>
      <c r="Y1761" s="38">
        <v>10010</v>
      </c>
      <c r="Z1761" s="86">
        <f>+((DETALLE_GD_1[[#This Row],[VALOR X UN (GD)]]-DETALLE_GD_1[[#This Row],[VALOR PPTO]])/DETALLE_GD_1[[#This Row],[VALOR PPTO]])</f>
        <v>-3.2090181369856106E-2</v>
      </c>
      <c r="AA1761" s="2">
        <f>+DETALLE_GD_1[[#This Row],[VALOR PPTO]]*DETALLE_GD_1[[#This Row],[CANTIDAD RECIBIDA]]</f>
        <v>601277.09400000004</v>
      </c>
      <c r="AB17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1" s="3">
        <f>+DETALLE_GD_1[[#This Row],[CANTIDAD SOLICITADA]]-DETALLE_GD_1[[#This Row],[DEVOLUCIÓN]]</f>
        <v>162</v>
      </c>
      <c r="AD1761" s="38" t="str">
        <f>+_xlfn.XLOOKUP(DETALLE_GD_1[[#This Row],[CODIGO]],PRODUCTOS[CODIGO],PRODUCTOS[DESC CORTA],"",0)</f>
        <v>AISLAN GLASS 140MM</v>
      </c>
    </row>
    <row r="1762" spans="1:30" x14ac:dyDescent="0.25">
      <c r="A1762" s="1">
        <v>46168</v>
      </c>
      <c r="B1762" s="1">
        <v>46168</v>
      </c>
      <c r="C1762" s="81" t="s">
        <v>169</v>
      </c>
      <c r="D1762" s="38">
        <v>5</v>
      </c>
      <c r="E1762" s="81" t="s">
        <v>169</v>
      </c>
      <c r="F1762">
        <v>1901038</v>
      </c>
      <c r="G1762" s="81" t="s">
        <v>39</v>
      </c>
      <c r="H1762" s="81" t="s">
        <v>26</v>
      </c>
      <c r="I1762" s="3">
        <v>108</v>
      </c>
      <c r="J1762" s="3"/>
      <c r="K1762" s="26">
        <v>108</v>
      </c>
      <c r="L1762" s="2">
        <v>4862.5370000000003</v>
      </c>
      <c r="M1762" s="2">
        <v>525154</v>
      </c>
      <c r="N1762" s="2">
        <v>525154</v>
      </c>
      <c r="O1762" s="2">
        <v>4197.4179000000004</v>
      </c>
      <c r="P1762" s="2">
        <v>-665.11919999999998</v>
      </c>
      <c r="Q1762" s="2">
        <v>-71832.869500000001</v>
      </c>
      <c r="R1762" s="4">
        <v>-0.15845912459622244</v>
      </c>
      <c r="T1762">
        <v>316609</v>
      </c>
      <c r="U1762" s="2"/>
      <c r="V1762">
        <v>6215</v>
      </c>
      <c r="W1762" s="2">
        <v>6579000000</v>
      </c>
      <c r="X1762" s="6">
        <v>453321.13050000009</v>
      </c>
      <c r="Y1762" s="38">
        <v>10010</v>
      </c>
      <c r="Z1762" s="86">
        <f>+((DETALLE_GD_1[[#This Row],[VALOR X UN (GD)]]-DETALLE_GD_1[[#This Row],[VALOR PPTO]])/DETALLE_GD_1[[#This Row],[VALOR PPTO]])</f>
        <v>0.15845910887262377</v>
      </c>
      <c r="AA1762" s="2">
        <f>+DETALLE_GD_1[[#This Row],[VALOR PPTO]]*DETALLE_GD_1[[#This Row],[CANTIDAD RECIBIDA]]</f>
        <v>453321.13320000004</v>
      </c>
      <c r="AB17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2" s="3">
        <f>+DETALLE_GD_1[[#This Row],[CANTIDAD SOLICITADA]]-DETALLE_GD_1[[#This Row],[DEVOLUCIÓN]]</f>
        <v>108</v>
      </c>
      <c r="AD1762" s="38" t="str">
        <f>+_xlfn.XLOOKUP(DETALLE_GD_1[[#This Row],[CODIGO]],PRODUCTOS[CODIGO],PRODUCTOS[DESC CORTA],"",0)</f>
        <v>AISLAN ROCA 90MM</v>
      </c>
    </row>
    <row r="1763" spans="1:30" x14ac:dyDescent="0.25">
      <c r="A1763" s="1">
        <v>46168</v>
      </c>
      <c r="B1763" s="1">
        <v>46168</v>
      </c>
      <c r="C1763" s="81" t="s">
        <v>169</v>
      </c>
      <c r="D1763" s="38">
        <v>5</v>
      </c>
      <c r="E1763" s="81" t="s">
        <v>169</v>
      </c>
      <c r="F1763">
        <v>1901008</v>
      </c>
      <c r="G1763" s="81" t="s">
        <v>278</v>
      </c>
      <c r="H1763" s="81" t="s">
        <v>26</v>
      </c>
      <c r="I1763" s="3">
        <v>270</v>
      </c>
      <c r="J1763" s="3"/>
      <c r="K1763" s="26">
        <v>270</v>
      </c>
      <c r="L1763" s="2">
        <v>2071.4926</v>
      </c>
      <c r="M1763" s="2">
        <v>559303</v>
      </c>
      <c r="N1763" s="2">
        <v>559303</v>
      </c>
      <c r="O1763" s="2">
        <v>2112.7957999999999</v>
      </c>
      <c r="P1763" s="2">
        <v>41.303199999999997</v>
      </c>
      <c r="Q1763" s="2">
        <v>11151.8603</v>
      </c>
      <c r="R1763" s="4">
        <v>1.9549067078767263E-2</v>
      </c>
      <c r="T1763">
        <v>316609</v>
      </c>
      <c r="U1763" s="2"/>
      <c r="V1763">
        <v>6215</v>
      </c>
      <c r="W1763" s="2">
        <v>6579000000</v>
      </c>
      <c r="X1763" s="6">
        <v>570454.86033000005</v>
      </c>
      <c r="Y1763" s="38">
        <v>10010</v>
      </c>
      <c r="Z1763" s="86">
        <f>+((DETALLE_GD_1[[#This Row],[VALOR X UN (GD)]]-DETALLE_GD_1[[#This Row],[VALOR PPTO]])/DETALLE_GD_1[[#This Row],[VALOR PPTO]])</f>
        <v>-1.9549073317923028E-2</v>
      </c>
      <c r="AA1763" s="2">
        <f>+DETALLE_GD_1[[#This Row],[VALOR PPTO]]*DETALLE_GD_1[[#This Row],[CANTIDAD RECIBIDA]]</f>
        <v>570454.86599999992</v>
      </c>
      <c r="AB17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3" s="3">
        <f>+DETALLE_GD_1[[#This Row],[CANTIDAD SOLICITADA]]-DETALLE_GD_1[[#This Row],[DEVOLUCIÓN]]</f>
        <v>270</v>
      </c>
      <c r="AD1763" s="38" t="str">
        <f>+_xlfn.XLOOKUP(DETALLE_GD_1[[#This Row],[CODIGO]],PRODUCTOS[CODIGO],PRODUCTOS[DESC CORTA],"",0)</f>
        <v>AISLAN GLASS 90MM</v>
      </c>
    </row>
    <row r="1764" spans="1:30" x14ac:dyDescent="0.25">
      <c r="A1764" s="1">
        <v>46168</v>
      </c>
      <c r="B1764" s="1">
        <v>46168</v>
      </c>
      <c r="C1764" s="81" t="s">
        <v>169</v>
      </c>
      <c r="D1764" s="38">
        <v>5</v>
      </c>
      <c r="E1764" s="81" t="s">
        <v>169</v>
      </c>
      <c r="F1764">
        <v>304101</v>
      </c>
      <c r="G1764" s="81" t="s">
        <v>17</v>
      </c>
      <c r="H1764" s="81" t="s">
        <v>18</v>
      </c>
      <c r="I1764" s="3">
        <v>252</v>
      </c>
      <c r="J1764" s="3"/>
      <c r="K1764" s="26">
        <v>252</v>
      </c>
      <c r="L1764" s="2">
        <v>9617.1666999999998</v>
      </c>
      <c r="M1764" s="2">
        <v>2423526</v>
      </c>
      <c r="N1764" s="2">
        <v>2423526</v>
      </c>
      <c r="O1764" s="2">
        <v>9657.5879999999997</v>
      </c>
      <c r="P1764" s="2">
        <v>40.421300000000002</v>
      </c>
      <c r="Q1764" s="2">
        <v>10186.163399999999</v>
      </c>
      <c r="R1764" s="4">
        <v>4.1854429431666274E-3</v>
      </c>
      <c r="T1764">
        <v>316609</v>
      </c>
      <c r="U1764" s="2"/>
      <c r="V1764">
        <v>6215</v>
      </c>
      <c r="W1764" s="2">
        <v>6579000000</v>
      </c>
      <c r="X1764" s="6">
        <v>2433712.1634000018</v>
      </c>
      <c r="Y1764" s="38">
        <v>10010</v>
      </c>
      <c r="Z1764" s="86">
        <f>+((DETALLE_GD_1[[#This Row],[VALOR X UN (GD)]]-DETALLE_GD_1[[#This Row],[VALOR PPTO]])/DETALLE_GD_1[[#This Row],[VALOR PPTO]])</f>
        <v>-4.1854446472556059E-3</v>
      </c>
      <c r="AA1764" s="2">
        <f>+DETALLE_GD_1[[#This Row],[VALOR PPTO]]*DETALLE_GD_1[[#This Row],[CANTIDAD RECIBIDA]]</f>
        <v>2433712.176</v>
      </c>
      <c r="AB17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4" s="3">
        <f>+DETALLE_GD_1[[#This Row],[CANTIDAD SOLICITADA]]-DETALLE_GD_1[[#This Row],[DEVOLUCIÓN]]</f>
        <v>252</v>
      </c>
      <c r="AD1764" s="38" t="str">
        <f>+_xlfn.XLOOKUP(DETALLE_GD_1[[#This Row],[CODIGO]],PRODUCTOS[CODIGO],PRODUCTOS[DESC CORTA],"",0)</f>
        <v>OSB 9.5</v>
      </c>
    </row>
    <row r="1765" spans="1:30" x14ac:dyDescent="0.25">
      <c r="A1765" s="1">
        <v>46168</v>
      </c>
      <c r="B1765" s="1">
        <v>46168</v>
      </c>
      <c r="C1765" s="81" t="s">
        <v>169</v>
      </c>
      <c r="D1765" s="38">
        <v>5</v>
      </c>
      <c r="E1765" s="81" t="s">
        <v>169</v>
      </c>
      <c r="F1765">
        <v>302028</v>
      </c>
      <c r="G1765" s="81" t="s">
        <v>246</v>
      </c>
      <c r="H1765" s="81" t="s">
        <v>20</v>
      </c>
      <c r="I1765" s="3">
        <v>360</v>
      </c>
      <c r="J1765" s="3"/>
      <c r="K1765" s="26">
        <v>360</v>
      </c>
      <c r="L1765" s="2">
        <v>4940.6027999999997</v>
      </c>
      <c r="M1765" s="2">
        <v>1778617</v>
      </c>
      <c r="N1765" s="2">
        <v>1778617</v>
      </c>
      <c r="O1765" s="2">
        <v>5123.8024999999998</v>
      </c>
      <c r="P1765" s="2">
        <v>183.19970000000001</v>
      </c>
      <c r="Q1765" s="2">
        <v>65951.909700000004</v>
      </c>
      <c r="R1765" s="4">
        <v>3.5754646721228626E-2</v>
      </c>
      <c r="T1765">
        <v>316609</v>
      </c>
      <c r="U1765" s="2"/>
      <c r="V1765">
        <v>6215</v>
      </c>
      <c r="W1765" s="2">
        <v>6579000000</v>
      </c>
      <c r="X1765" s="6">
        <v>1844568.9097200008</v>
      </c>
      <c r="Y1765" s="38">
        <v>10010</v>
      </c>
      <c r="Z1765" s="86">
        <f>+((DETALLE_GD_1[[#This Row],[VALOR X UN (GD)]]-DETALLE_GD_1[[#This Row],[VALOR PPTO]])/DETALLE_GD_1[[#This Row],[VALOR PPTO]])</f>
        <v>-3.5754637303057668E-2</v>
      </c>
      <c r="AA1765" s="2">
        <f>+DETALLE_GD_1[[#This Row],[VALOR PPTO]]*DETALLE_GD_1[[#This Row],[CANTIDAD RECIBIDA]]</f>
        <v>1844568.9</v>
      </c>
      <c r="AB17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5" s="3">
        <f>+DETALLE_GD_1[[#This Row],[CANTIDAD SOLICITADA]]-DETALLE_GD_1[[#This Row],[DEVOLUCIÓN]]</f>
        <v>360</v>
      </c>
      <c r="AD1765" s="38" t="str">
        <f>+_xlfn.XLOOKUP(DETALLE_GD_1[[#This Row],[CODIGO]],PRODUCTOS[CODIGO],PRODUCTOS[DESC CORTA],"",0)</f>
        <v>PINO 2X4X320</v>
      </c>
    </row>
    <row r="1766" spans="1:30" x14ac:dyDescent="0.25">
      <c r="A1766" s="1">
        <v>46168</v>
      </c>
      <c r="B1766" s="1">
        <v>46168</v>
      </c>
      <c r="C1766" s="81" t="s">
        <v>169</v>
      </c>
      <c r="D1766" s="38">
        <v>5</v>
      </c>
      <c r="E1766" s="81" t="s">
        <v>169</v>
      </c>
      <c r="F1766">
        <v>408042</v>
      </c>
      <c r="G1766" s="81" t="s">
        <v>144</v>
      </c>
      <c r="H1766" s="81" t="s">
        <v>36</v>
      </c>
      <c r="I1766" s="3">
        <v>5</v>
      </c>
      <c r="J1766" s="3"/>
      <c r="K1766" s="26">
        <v>5</v>
      </c>
      <c r="L1766" s="2">
        <v>35000</v>
      </c>
      <c r="M1766" s="2">
        <v>175000</v>
      </c>
      <c r="N1766" s="2">
        <v>175000</v>
      </c>
      <c r="O1766" s="2">
        <v>35000</v>
      </c>
      <c r="P1766" s="2">
        <v>0</v>
      </c>
      <c r="Q1766" s="2">
        <v>0</v>
      </c>
      <c r="R1766" s="4">
        <v>8.3153801304950006E-16</v>
      </c>
      <c r="T1766">
        <v>316609</v>
      </c>
      <c r="U1766" s="2"/>
      <c r="V1766">
        <v>6215</v>
      </c>
      <c r="W1766" s="2">
        <v>6579000000</v>
      </c>
      <c r="X1766" s="6">
        <v>175000.00000000015</v>
      </c>
      <c r="Y1766" s="38">
        <v>10010</v>
      </c>
      <c r="Z1766" s="86">
        <f>+((DETALLE_GD_1[[#This Row],[VALOR X UN (GD)]]-DETALLE_GD_1[[#This Row],[VALOR PPTO]])/DETALLE_GD_1[[#This Row],[VALOR PPTO]])</f>
        <v>0</v>
      </c>
      <c r="AA1766" s="2">
        <f>+DETALLE_GD_1[[#This Row],[VALOR PPTO]]*DETALLE_GD_1[[#This Row],[CANTIDAD RECIBIDA]]</f>
        <v>175000</v>
      </c>
      <c r="AB1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66" s="3">
        <f>+DETALLE_GD_1[[#This Row],[CANTIDAD SOLICITADA]]-DETALLE_GD_1[[#This Row],[DEVOLUCIÓN]]</f>
        <v>5</v>
      </c>
      <c r="AD1766" s="38" t="str">
        <f>+_xlfn.XLOOKUP(DETALLE_GD_1[[#This Row],[CODIGO]],PRODUCTOS[CODIGO],PRODUCTOS[DESC CORTA],"",0)</f>
        <v>CLAVO HELICOIDAL PROFIX</v>
      </c>
    </row>
    <row r="1767" spans="1:30" x14ac:dyDescent="0.25">
      <c r="A1767" s="1">
        <v>46168</v>
      </c>
      <c r="B1767" s="1">
        <v>46168</v>
      </c>
      <c r="C1767" s="81" t="s">
        <v>169</v>
      </c>
      <c r="D1767" s="38">
        <v>5</v>
      </c>
      <c r="E1767" s="81" t="s">
        <v>169</v>
      </c>
      <c r="F1767">
        <v>617057</v>
      </c>
      <c r="G1767" s="81" t="s">
        <v>134</v>
      </c>
      <c r="H1767" s="81" t="s">
        <v>31</v>
      </c>
      <c r="I1767" s="3">
        <v>10</v>
      </c>
      <c r="J1767" s="3"/>
      <c r="K1767" s="26">
        <v>10</v>
      </c>
      <c r="L1767" s="2">
        <v>1698.4</v>
      </c>
      <c r="M1767" s="2">
        <v>16984</v>
      </c>
      <c r="N1767" s="2">
        <v>16984</v>
      </c>
      <c r="O1767" s="2">
        <v>2042.1197</v>
      </c>
      <c r="P1767" s="2">
        <v>343.71969999999999</v>
      </c>
      <c r="Q1767" s="2">
        <v>3437.1970999999999</v>
      </c>
      <c r="R1767" s="4">
        <v>0.1683151604629782</v>
      </c>
      <c r="T1767">
        <v>316659</v>
      </c>
      <c r="U1767" s="2">
        <v>2611885</v>
      </c>
      <c r="V1767">
        <v>6215</v>
      </c>
      <c r="W1767" s="2">
        <v>6579000000</v>
      </c>
      <c r="X1767" s="6">
        <v>20421.197059999999</v>
      </c>
      <c r="Y1767" s="38">
        <v>10010</v>
      </c>
      <c r="Z1767" s="86">
        <f>+((DETALLE_GD_1[[#This Row],[VALOR X UN (GD)]]-DETALLE_GD_1[[#This Row],[VALOR PPTO]])/DETALLE_GD_1[[#This Row],[VALOR PPTO]])</f>
        <v>-0.16831515801938537</v>
      </c>
      <c r="AA1767" s="2">
        <f>+DETALLE_GD_1[[#This Row],[VALOR PPTO]]*DETALLE_GD_1[[#This Row],[CANTIDAD RECIBIDA]]</f>
        <v>20421.197</v>
      </c>
      <c r="AB17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67" s="3">
        <f>+DETALLE_GD_1[[#This Row],[CANTIDAD SOLICITADA]]-DETALLE_GD_1[[#This Row],[DEVOLUCIÓN]]</f>
        <v>10</v>
      </c>
      <c r="AD1767" s="38" t="str">
        <f>+_xlfn.XLOOKUP(DETALLE_GD_1[[#This Row],[CODIGO]],PRODUCTOS[CODIGO],PRODUCTOS[DESC CORTA],"",0)</f>
        <v>BROCHA 5/8 X4</v>
      </c>
    </row>
    <row r="1768" spans="1:30" x14ac:dyDescent="0.25">
      <c r="A1768" s="1">
        <v>46168</v>
      </c>
      <c r="B1768" s="1">
        <v>46168</v>
      </c>
      <c r="C1768" s="81" t="s">
        <v>169</v>
      </c>
      <c r="D1768" s="38">
        <v>5</v>
      </c>
      <c r="E1768" s="81" t="s">
        <v>169</v>
      </c>
      <c r="F1768">
        <v>617055</v>
      </c>
      <c r="G1768" s="81" t="s">
        <v>182</v>
      </c>
      <c r="H1768" s="81" t="s">
        <v>31</v>
      </c>
      <c r="I1768" s="3">
        <v>10</v>
      </c>
      <c r="J1768" s="3"/>
      <c r="K1768" s="26">
        <v>10</v>
      </c>
      <c r="L1768" s="2">
        <v>694.7</v>
      </c>
      <c r="M1768" s="2">
        <v>6947</v>
      </c>
      <c r="N1768" s="2">
        <v>6947</v>
      </c>
      <c r="O1768" s="2">
        <v>920.35379999999998</v>
      </c>
      <c r="P1768" s="2">
        <v>225.65379999999999</v>
      </c>
      <c r="Q1768" s="2">
        <v>2256.5378000000001</v>
      </c>
      <c r="R1768" s="4">
        <v>0.24518156567447183</v>
      </c>
      <c r="T1768">
        <v>316659</v>
      </c>
      <c r="U1768" s="2"/>
      <c r="V1768">
        <v>6215</v>
      </c>
      <c r="W1768" s="2">
        <v>6579000000</v>
      </c>
      <c r="X1768" s="6">
        <v>9203.5378099999998</v>
      </c>
      <c r="Y1768" s="38">
        <v>10010</v>
      </c>
      <c r="Z1768" s="86">
        <f>+((DETALLE_GD_1[[#This Row],[VALOR X UN (GD)]]-DETALLE_GD_1[[#This Row],[VALOR PPTO]])/DETALLE_GD_1[[#This Row],[VALOR PPTO]])</f>
        <v>-0.24518158125712083</v>
      </c>
      <c r="AA1768" s="2">
        <f>+DETALLE_GD_1[[#This Row],[VALOR PPTO]]*DETALLE_GD_1[[#This Row],[CANTIDAD RECIBIDA]]</f>
        <v>9203.5380000000005</v>
      </c>
      <c r="AB17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68" s="3">
        <f>+DETALLE_GD_1[[#This Row],[CANTIDAD SOLICITADA]]-DETALLE_GD_1[[#This Row],[DEVOLUCIÓN]]</f>
        <v>10</v>
      </c>
      <c r="AD1768" s="38">
        <f>+_xlfn.XLOOKUP(DETALLE_GD_1[[#This Row],[CODIGO]],PRODUCTOS[CODIGO],PRODUCTOS[DESC CORTA],"",0)</f>
        <v>0</v>
      </c>
    </row>
    <row r="1769" spans="1:30" x14ac:dyDescent="0.25">
      <c r="A1769" s="1">
        <v>46168</v>
      </c>
      <c r="B1769" s="1">
        <v>46168</v>
      </c>
      <c r="C1769" s="81" t="s">
        <v>169</v>
      </c>
      <c r="D1769" s="38">
        <v>5</v>
      </c>
      <c r="E1769" s="81" t="s">
        <v>169</v>
      </c>
      <c r="F1769">
        <v>617016</v>
      </c>
      <c r="G1769" s="81" t="s">
        <v>133</v>
      </c>
      <c r="H1769" s="81" t="s">
        <v>31</v>
      </c>
      <c r="I1769" s="3">
        <v>10</v>
      </c>
      <c r="J1769" s="3"/>
      <c r="K1769" s="26">
        <v>10</v>
      </c>
      <c r="L1769" s="2">
        <v>2864.3</v>
      </c>
      <c r="M1769" s="2">
        <v>28643</v>
      </c>
      <c r="N1769" s="2">
        <v>28643</v>
      </c>
      <c r="O1769" s="2">
        <v>2857.5133000000001</v>
      </c>
      <c r="P1769" s="2">
        <v>-6.7866999999999997</v>
      </c>
      <c r="Q1769" s="2">
        <v>-67.8673</v>
      </c>
      <c r="R1769" s="4">
        <v>-2.3750461849998991E-3</v>
      </c>
      <c r="T1769">
        <v>316659</v>
      </c>
      <c r="U1769" s="2"/>
      <c r="V1769">
        <v>6215</v>
      </c>
      <c r="W1769" s="2">
        <v>6579000000</v>
      </c>
      <c r="X1769" s="6">
        <v>28575.132740000001</v>
      </c>
      <c r="Y1769" s="38">
        <v>10010</v>
      </c>
      <c r="Z1769" s="86">
        <f>+((DETALLE_GD_1[[#This Row],[VALOR X UN (GD)]]-DETALLE_GD_1[[#This Row],[VALOR PPTO]])/DETALLE_GD_1[[#This Row],[VALOR PPTO]])</f>
        <v>2.3750370645694318E-3</v>
      </c>
      <c r="AA1769" s="2">
        <f>+DETALLE_GD_1[[#This Row],[VALOR PPTO]]*DETALLE_GD_1[[#This Row],[CANTIDAD RECIBIDA]]</f>
        <v>28575.133000000002</v>
      </c>
      <c r="AB17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69" s="3">
        <f>+DETALLE_GD_1[[#This Row],[CANTIDAD SOLICITADA]]-DETALLE_GD_1[[#This Row],[DEVOLUCIÓN]]</f>
        <v>10</v>
      </c>
      <c r="AD1769" s="38" t="str">
        <f>+_xlfn.XLOOKUP(DETALLE_GD_1[[#This Row],[CODIGO]],PRODUCTOS[CODIGO],PRODUCTOS[DESC CORTA],"",0)</f>
        <v>RODILLO CHIPORRO</v>
      </c>
    </row>
    <row r="1770" spans="1:30" x14ac:dyDescent="0.25">
      <c r="A1770" s="1">
        <v>46168</v>
      </c>
      <c r="B1770" s="1">
        <v>46168</v>
      </c>
      <c r="C1770" s="81" t="s">
        <v>169</v>
      </c>
      <c r="D1770" s="38">
        <v>5</v>
      </c>
      <c r="E1770" s="81" t="s">
        <v>169</v>
      </c>
      <c r="F1770">
        <v>602255</v>
      </c>
      <c r="G1770" s="81" t="s">
        <v>203</v>
      </c>
      <c r="H1770" s="81" t="s">
        <v>25</v>
      </c>
      <c r="I1770" s="3">
        <v>1</v>
      </c>
      <c r="J1770" s="3"/>
      <c r="K1770" s="26">
        <v>1</v>
      </c>
      <c r="L1770" s="2">
        <v>47890</v>
      </c>
      <c r="M1770" s="2">
        <v>47890</v>
      </c>
      <c r="N1770" s="2">
        <v>47890</v>
      </c>
      <c r="O1770" s="2">
        <v>47889.5</v>
      </c>
      <c r="P1770" s="2">
        <v>-0.5</v>
      </c>
      <c r="Q1770" s="2">
        <v>-0.5</v>
      </c>
      <c r="R1770" s="4">
        <v>-1.0440702032804683E-5</v>
      </c>
      <c r="T1770">
        <v>316659</v>
      </c>
      <c r="U1770" s="2"/>
      <c r="V1770">
        <v>6215</v>
      </c>
      <c r="W1770" s="2">
        <v>6579000000</v>
      </c>
      <c r="X1770" s="6">
        <v>47889.5</v>
      </c>
      <c r="Y1770" s="38">
        <v>10010</v>
      </c>
      <c r="Z1770" s="86">
        <f>+((DETALLE_GD_1[[#This Row],[VALOR X UN (GD)]]-DETALLE_GD_1[[#This Row],[VALOR PPTO]])/DETALLE_GD_1[[#This Row],[VALOR PPTO]])</f>
        <v>1.0440702032804685E-5</v>
      </c>
      <c r="AA1770" s="2">
        <f>+DETALLE_GD_1[[#This Row],[VALOR PPTO]]*DETALLE_GD_1[[#This Row],[CANTIDAD RECIBIDA]]</f>
        <v>47889.5</v>
      </c>
      <c r="AB1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0" s="3">
        <f>+DETALLE_GD_1[[#This Row],[CANTIDAD SOLICITADA]]-DETALLE_GD_1[[#This Row],[DEVOLUCIÓN]]</f>
        <v>1</v>
      </c>
      <c r="AD1770" s="38">
        <f>+_xlfn.XLOOKUP(DETALLE_GD_1[[#This Row],[CODIGO]],PRODUCTOS[CODIGO],PRODUCTOS[DESC CORTA],"",0)</f>
        <v>0</v>
      </c>
    </row>
    <row r="1771" spans="1:30" x14ac:dyDescent="0.25">
      <c r="A1771" s="1">
        <v>46168</v>
      </c>
      <c r="B1771" s="1">
        <v>46168</v>
      </c>
      <c r="C1771" s="81" t="s">
        <v>169</v>
      </c>
      <c r="D1771" s="38">
        <v>5</v>
      </c>
      <c r="E1771" s="81" t="s">
        <v>169</v>
      </c>
      <c r="F1771">
        <v>602254</v>
      </c>
      <c r="G1771" s="81" t="s">
        <v>214</v>
      </c>
      <c r="H1771" s="81" t="s">
        <v>25</v>
      </c>
      <c r="I1771" s="3">
        <v>1</v>
      </c>
      <c r="J1771" s="3"/>
      <c r="K1771" s="26">
        <v>1</v>
      </c>
      <c r="L1771" s="2">
        <v>46060</v>
      </c>
      <c r="M1771" s="2">
        <v>46060</v>
      </c>
      <c r="N1771" s="2">
        <v>46060</v>
      </c>
      <c r="O1771" s="2">
        <v>46060</v>
      </c>
      <c r="P1771" s="2">
        <v>0</v>
      </c>
      <c r="Q1771" s="2">
        <v>0</v>
      </c>
      <c r="R1771" s="4">
        <v>0</v>
      </c>
      <c r="T1771">
        <v>316659</v>
      </c>
      <c r="U1771" s="2"/>
      <c r="V1771">
        <v>6215</v>
      </c>
      <c r="W1771" s="2">
        <v>6579000000</v>
      </c>
      <c r="X1771" s="6">
        <v>46060</v>
      </c>
      <c r="Y1771" s="38">
        <v>10010</v>
      </c>
      <c r="Z1771" s="86">
        <f>+((DETALLE_GD_1[[#This Row],[VALOR X UN (GD)]]-DETALLE_GD_1[[#This Row],[VALOR PPTO]])/DETALLE_GD_1[[#This Row],[VALOR PPTO]])</f>
        <v>0</v>
      </c>
      <c r="AA1771" s="2">
        <f>+DETALLE_GD_1[[#This Row],[VALOR PPTO]]*DETALLE_GD_1[[#This Row],[CANTIDAD RECIBIDA]]</f>
        <v>46060</v>
      </c>
      <c r="AB1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1" s="3">
        <f>+DETALLE_GD_1[[#This Row],[CANTIDAD SOLICITADA]]-DETALLE_GD_1[[#This Row],[DEVOLUCIÓN]]</f>
        <v>1</v>
      </c>
      <c r="AD1771" s="38">
        <f>+_xlfn.XLOOKUP(DETALLE_GD_1[[#This Row],[CODIGO]],PRODUCTOS[CODIGO],PRODUCTOS[DESC CORTA],"",0)</f>
        <v>0</v>
      </c>
    </row>
    <row r="1772" spans="1:30" x14ac:dyDescent="0.25">
      <c r="A1772" s="1">
        <v>46168</v>
      </c>
      <c r="B1772" s="1">
        <v>46168</v>
      </c>
      <c r="C1772" s="81" t="s">
        <v>169</v>
      </c>
      <c r="D1772" s="38">
        <v>5</v>
      </c>
      <c r="E1772" s="81" t="s">
        <v>169</v>
      </c>
      <c r="F1772">
        <v>601047</v>
      </c>
      <c r="G1772" s="81" t="s">
        <v>129</v>
      </c>
      <c r="H1772" s="81" t="s">
        <v>25</v>
      </c>
      <c r="I1772" s="3">
        <v>1</v>
      </c>
      <c r="J1772" s="3"/>
      <c r="K1772" s="26">
        <v>1</v>
      </c>
      <c r="L1772" s="2">
        <v>49501</v>
      </c>
      <c r="M1772" s="2">
        <v>49501</v>
      </c>
      <c r="N1772" s="2">
        <v>49501</v>
      </c>
      <c r="O1772" s="2">
        <v>50286.86</v>
      </c>
      <c r="P1772" s="2">
        <v>785.86</v>
      </c>
      <c r="Q1772" s="2">
        <v>785.86</v>
      </c>
      <c r="R1772" s="4">
        <v>1.5627541667942689E-2</v>
      </c>
      <c r="T1772">
        <v>316659</v>
      </c>
      <c r="U1772" s="2"/>
      <c r="V1772">
        <v>6215</v>
      </c>
      <c r="W1772" s="2">
        <v>6579000000</v>
      </c>
      <c r="X1772" s="6">
        <v>50286.86</v>
      </c>
      <c r="Y1772" s="38">
        <v>10010</v>
      </c>
      <c r="Z1772" s="86">
        <f>+((DETALLE_GD_1[[#This Row],[VALOR X UN (GD)]]-DETALLE_GD_1[[#This Row],[VALOR PPTO]])/DETALLE_GD_1[[#This Row],[VALOR PPTO]])</f>
        <v>-1.5627541667942689E-2</v>
      </c>
      <c r="AA1772" s="2">
        <f>+DETALLE_GD_1[[#This Row],[VALOR PPTO]]*DETALLE_GD_1[[#This Row],[CANTIDAD RECIBIDA]]</f>
        <v>50286.86</v>
      </c>
      <c r="AB1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2" s="3">
        <f>+DETALLE_GD_1[[#This Row],[CANTIDAD SOLICITADA]]-DETALLE_GD_1[[#This Row],[DEVOLUCIÓN]]</f>
        <v>1</v>
      </c>
      <c r="AD1772" s="38" t="str">
        <f>+_xlfn.XLOOKUP(DETALLE_GD_1[[#This Row],[CODIGO]],PRODUCTOS[CODIGO],PRODUCTOS[DESC CORTA],"",0)</f>
        <v>ESMALTE AL AGUA</v>
      </c>
    </row>
    <row r="1773" spans="1:30" x14ac:dyDescent="0.25">
      <c r="A1773" s="1">
        <v>46168</v>
      </c>
      <c r="B1773" s="1">
        <v>46168</v>
      </c>
      <c r="C1773" s="81" t="s">
        <v>169</v>
      </c>
      <c r="D1773" s="38">
        <v>5</v>
      </c>
      <c r="E1773" s="81" t="s">
        <v>169</v>
      </c>
      <c r="F1773">
        <v>2302024</v>
      </c>
      <c r="G1773" s="81" t="s">
        <v>234</v>
      </c>
      <c r="H1773" s="81" t="s">
        <v>68</v>
      </c>
      <c r="I1773" s="3">
        <v>1</v>
      </c>
      <c r="J1773" s="3"/>
      <c r="K1773" s="26">
        <v>1</v>
      </c>
      <c r="L1773" s="2">
        <v>24208</v>
      </c>
      <c r="M1773" s="2">
        <v>24208</v>
      </c>
      <c r="N1773" s="2">
        <v>24208</v>
      </c>
      <c r="O1773" s="2">
        <v>22292</v>
      </c>
      <c r="P1773" s="2">
        <v>-1916</v>
      </c>
      <c r="Q1773" s="2">
        <v>-1916</v>
      </c>
      <c r="R1773" s="4">
        <v>-8.595011663376996E-2</v>
      </c>
      <c r="T1773">
        <v>316659</v>
      </c>
      <c r="U1773" s="2"/>
      <c r="V1773">
        <v>6215</v>
      </c>
      <c r="W1773" s="2">
        <v>6579000000</v>
      </c>
      <c r="X1773" s="6">
        <v>22292</v>
      </c>
      <c r="Y1773" s="38">
        <v>10010</v>
      </c>
      <c r="Z1773" s="86">
        <f>+((DETALLE_GD_1[[#This Row],[VALOR X UN (GD)]]-DETALLE_GD_1[[#This Row],[VALOR PPTO]])/DETALLE_GD_1[[#This Row],[VALOR PPTO]])</f>
        <v>8.595011663376996E-2</v>
      </c>
      <c r="AA1773" s="2">
        <f>+DETALLE_GD_1[[#This Row],[VALOR PPTO]]*DETALLE_GD_1[[#This Row],[CANTIDAD RECIBIDA]]</f>
        <v>22292</v>
      </c>
      <c r="AB17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3" s="3">
        <f>+DETALLE_GD_1[[#This Row],[CANTIDAD SOLICITADA]]-DETALLE_GD_1[[#This Row],[DEVOLUCIÓN]]</f>
        <v>1</v>
      </c>
      <c r="AD1773" s="38">
        <f>+_xlfn.XLOOKUP(DETALLE_GD_1[[#This Row],[CODIGO]],PRODUCTOS[CODIGO],PRODUCTOS[DESC CORTA],"",0)</f>
        <v>0</v>
      </c>
    </row>
    <row r="1774" spans="1:30" x14ac:dyDescent="0.25">
      <c r="A1774" s="1">
        <v>46168</v>
      </c>
      <c r="B1774" s="1">
        <v>46168</v>
      </c>
      <c r="C1774" s="81" t="s">
        <v>169</v>
      </c>
      <c r="D1774" s="38">
        <v>5</v>
      </c>
      <c r="E1774" s="81" t="s">
        <v>169</v>
      </c>
      <c r="F1774">
        <v>304002</v>
      </c>
      <c r="G1774" s="81" t="s">
        <v>37</v>
      </c>
      <c r="H1774" s="81" t="s">
        <v>18</v>
      </c>
      <c r="I1774" s="3">
        <v>72</v>
      </c>
      <c r="J1774" s="3"/>
      <c r="K1774" s="26">
        <v>72</v>
      </c>
      <c r="L1774" s="2">
        <v>21648.833299999998</v>
      </c>
      <c r="M1774" s="2">
        <v>1558716</v>
      </c>
      <c r="N1774" s="2">
        <v>1558716</v>
      </c>
      <c r="O1774" s="2">
        <v>21246.5072</v>
      </c>
      <c r="P1774" s="2">
        <v>-402.32619999999997</v>
      </c>
      <c r="Q1774" s="2">
        <v>-28967.485000000001</v>
      </c>
      <c r="R1774" s="4">
        <v>-1.8936109236031368E-2</v>
      </c>
      <c r="T1774">
        <v>316659</v>
      </c>
      <c r="U1774" s="2"/>
      <c r="V1774">
        <v>6215</v>
      </c>
      <c r="W1774" s="2">
        <v>6579000000</v>
      </c>
      <c r="X1774" s="6">
        <v>1529748.5150160005</v>
      </c>
      <c r="Y1774" s="38">
        <v>10010</v>
      </c>
      <c r="Z1774" s="86">
        <f>+((DETALLE_GD_1[[#This Row],[VALOR X UN (GD)]]-DETALLE_GD_1[[#This Row],[VALOR PPTO]])/DETALLE_GD_1[[#This Row],[VALOR PPTO]])</f>
        <v>1.8936105413128724E-2</v>
      </c>
      <c r="AA1774" s="2">
        <f>+DETALLE_GD_1[[#This Row],[VALOR PPTO]]*DETALLE_GD_1[[#This Row],[CANTIDAD RECIBIDA]]</f>
        <v>1529748.5183999999</v>
      </c>
      <c r="AB1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74" s="3">
        <f>+DETALLE_GD_1[[#This Row],[CANTIDAD SOLICITADA]]-DETALLE_GD_1[[#This Row],[DEVOLUCIÓN]]</f>
        <v>72</v>
      </c>
      <c r="AD1774" s="38" t="str">
        <f>+_xlfn.XLOOKUP(DETALLE_GD_1[[#This Row],[CODIGO]],PRODUCTOS[CODIGO],PRODUCTOS[DESC CORTA],"",0)</f>
        <v>SMARTPANEL</v>
      </c>
    </row>
    <row r="1775" spans="1:30" x14ac:dyDescent="0.25">
      <c r="A1775" s="1">
        <v>46168</v>
      </c>
      <c r="B1775" s="1">
        <v>46168</v>
      </c>
      <c r="C1775" s="81" t="s">
        <v>169</v>
      </c>
      <c r="D1775" s="38">
        <v>5</v>
      </c>
      <c r="E1775" s="81" t="s">
        <v>169</v>
      </c>
      <c r="F1775">
        <v>2302119</v>
      </c>
      <c r="G1775" s="81" t="s">
        <v>74</v>
      </c>
      <c r="H1775" s="81" t="s">
        <v>31</v>
      </c>
      <c r="I1775" s="3">
        <v>48</v>
      </c>
      <c r="J1775" s="3"/>
      <c r="K1775" s="26">
        <v>48</v>
      </c>
      <c r="L1775" s="2">
        <v>3679.875</v>
      </c>
      <c r="M1775" s="2">
        <v>176634</v>
      </c>
      <c r="N1775" s="2">
        <v>176634</v>
      </c>
      <c r="O1775" s="2">
        <v>3671</v>
      </c>
      <c r="P1775" s="2">
        <v>-8.875</v>
      </c>
      <c r="Q1775" s="2">
        <v>-426</v>
      </c>
      <c r="R1775" s="4">
        <v>-2.4175973849087443E-3</v>
      </c>
      <c r="T1775">
        <v>316659</v>
      </c>
      <c r="U1775" s="2"/>
      <c r="V1775">
        <v>6215</v>
      </c>
      <c r="W1775" s="2">
        <v>6579000000</v>
      </c>
      <c r="X1775" s="6">
        <v>176208</v>
      </c>
      <c r="Y1775" s="38">
        <v>10010</v>
      </c>
      <c r="Z1775" s="86">
        <f>+((DETALLE_GD_1[[#This Row],[VALOR X UN (GD)]]-DETALLE_GD_1[[#This Row],[VALOR PPTO]])/DETALLE_GD_1[[#This Row],[VALOR PPTO]])</f>
        <v>2.4175973849087443E-3</v>
      </c>
      <c r="AA1775" s="2">
        <f>+DETALLE_GD_1[[#This Row],[VALOR PPTO]]*DETALLE_GD_1[[#This Row],[CANTIDAD RECIBIDA]]</f>
        <v>176208</v>
      </c>
      <c r="AB17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5" s="3">
        <f>+DETALLE_GD_1[[#This Row],[CANTIDAD SOLICITADA]]-DETALLE_GD_1[[#This Row],[DEVOLUCIÓN]]</f>
        <v>48</v>
      </c>
      <c r="AD1775" s="38" t="str">
        <f>+_xlfn.XLOOKUP(DETALLE_GD_1[[#This Row],[CODIGO]],PRODUCTOS[CODIGO],PRODUCTOS[DESC CORTA],"",0)</f>
        <v>SELLO</v>
      </c>
    </row>
    <row r="1776" spans="1:30" x14ac:dyDescent="0.25">
      <c r="A1776" s="1">
        <v>46168</v>
      </c>
      <c r="B1776" s="1">
        <v>46168</v>
      </c>
      <c r="C1776" s="81" t="s">
        <v>169</v>
      </c>
      <c r="D1776" s="38">
        <v>5</v>
      </c>
      <c r="E1776" s="81" t="s">
        <v>169</v>
      </c>
      <c r="F1776" t="s">
        <v>345</v>
      </c>
      <c r="G1776" s="81" t="s">
        <v>167</v>
      </c>
      <c r="H1776" s="81" t="s">
        <v>26</v>
      </c>
      <c r="I1776" s="3">
        <v>40</v>
      </c>
      <c r="J1776" s="3"/>
      <c r="K1776" s="26">
        <v>40</v>
      </c>
      <c r="L1776" s="2">
        <v>12991.975</v>
      </c>
      <c r="M1776" s="2">
        <v>519679</v>
      </c>
      <c r="N1776" s="2">
        <v>519679</v>
      </c>
      <c r="O1776" s="2">
        <v>11882.3879</v>
      </c>
      <c r="P1776" s="2">
        <v>-1109.5871</v>
      </c>
      <c r="Q1776" s="2">
        <v>-44383.4833</v>
      </c>
      <c r="R1776" s="4">
        <v>-9.3380816276207118E-2</v>
      </c>
      <c r="T1776">
        <v>316659</v>
      </c>
      <c r="U1776" s="2"/>
      <c r="V1776">
        <v>6215</v>
      </c>
      <c r="W1776" s="2">
        <v>6579000000</v>
      </c>
      <c r="X1776" s="6">
        <v>475295.51668</v>
      </c>
      <c r="Y1776" s="38">
        <v>10010</v>
      </c>
      <c r="Z1776" s="86">
        <f>+((DETALLE_GD_1[[#This Row],[VALOR X UN (GD)]]-DETALLE_GD_1[[#This Row],[VALOR PPTO]])/DETALLE_GD_1[[#This Row],[VALOR PPTO]])</f>
        <v>9.3380817840494901E-2</v>
      </c>
      <c r="AA1776" s="2">
        <f>+DETALLE_GD_1[[#This Row],[VALOR PPTO]]*DETALLE_GD_1[[#This Row],[CANTIDAD RECIBIDA]]</f>
        <v>475295.516</v>
      </c>
      <c r="AB1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76" s="3">
        <f>+DETALLE_GD_1[[#This Row],[CANTIDAD SOLICITADA]]-DETALLE_GD_1[[#This Row],[DEVOLUCIÓN]]</f>
        <v>40</v>
      </c>
      <c r="AD1776" s="38" t="str">
        <f>+_xlfn.XLOOKUP(DETALLE_GD_1[[#This Row],[CODIGO]],PRODUCTOS[CODIGO],PRODUCTOS[DESC CORTA],"",0)</f>
        <v>PISO TARKET</v>
      </c>
    </row>
    <row r="1777" spans="1:30" x14ac:dyDescent="0.25">
      <c r="A1777" s="1">
        <v>46168</v>
      </c>
      <c r="B1777" s="1">
        <v>46168</v>
      </c>
      <c r="C1777" s="81" t="s">
        <v>169</v>
      </c>
      <c r="D1777" s="38">
        <v>5</v>
      </c>
      <c r="E1777" s="81" t="s">
        <v>169</v>
      </c>
      <c r="F1777">
        <v>1103076</v>
      </c>
      <c r="G1777" s="81" t="s">
        <v>311</v>
      </c>
      <c r="H1777" s="81" t="s">
        <v>31</v>
      </c>
      <c r="I1777" s="3">
        <v>20</v>
      </c>
      <c r="J1777" s="3"/>
      <c r="K1777" s="26">
        <v>20</v>
      </c>
      <c r="L1777" s="2">
        <v>3190.75</v>
      </c>
      <c r="M1777" s="2">
        <v>63815</v>
      </c>
      <c r="N1777" s="2">
        <v>63815</v>
      </c>
      <c r="O1777" s="2">
        <v>3191</v>
      </c>
      <c r="P1777" s="2">
        <v>0.25</v>
      </c>
      <c r="Q1777" s="2">
        <v>5</v>
      </c>
      <c r="R1777" s="4">
        <v>7.8345346286430597E-5</v>
      </c>
      <c r="T1777">
        <v>316659</v>
      </c>
      <c r="U1777" s="2"/>
      <c r="V1777">
        <v>6215</v>
      </c>
      <c r="W1777" s="2">
        <v>6579000000</v>
      </c>
      <c r="X1777" s="6">
        <v>63820</v>
      </c>
      <c r="Y1777" s="38">
        <v>10010</v>
      </c>
      <c r="Z1777" s="86">
        <f>+((DETALLE_GD_1[[#This Row],[VALOR X UN (GD)]]-DETALLE_GD_1[[#This Row],[VALOR PPTO]])/DETALLE_GD_1[[#This Row],[VALOR PPTO]])</f>
        <v>-7.8345346286430584E-5</v>
      </c>
      <c r="AA1777" s="2">
        <f>+DETALLE_GD_1[[#This Row],[VALOR PPTO]]*DETALLE_GD_1[[#This Row],[CANTIDAD RECIBIDA]]</f>
        <v>63820</v>
      </c>
      <c r="AB1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7" s="3">
        <f>+DETALLE_GD_1[[#This Row],[CANTIDAD SOLICITADA]]-DETALLE_GD_1[[#This Row],[DEVOLUCIÓN]]</f>
        <v>20</v>
      </c>
      <c r="AD1777" s="38" t="str">
        <f>+_xlfn.XLOOKUP(DETALLE_GD_1[[#This Row],[CODIGO]],PRODUCTOS[CODIGO],PRODUCTOS[DESC CORTA],"",0)</f>
        <v>PERFIL ESQUINERO INTERIOR</v>
      </c>
    </row>
    <row r="1778" spans="1:30" x14ac:dyDescent="0.25">
      <c r="A1778" s="1">
        <v>46168</v>
      </c>
      <c r="B1778" s="1">
        <v>46168</v>
      </c>
      <c r="C1778" s="81" t="s">
        <v>169</v>
      </c>
      <c r="D1778" s="38">
        <v>5</v>
      </c>
      <c r="E1778" s="81" t="s">
        <v>169</v>
      </c>
      <c r="F1778">
        <v>1103074</v>
      </c>
      <c r="G1778" s="81" t="s">
        <v>310</v>
      </c>
      <c r="H1778" s="81" t="s">
        <v>31</v>
      </c>
      <c r="I1778" s="3">
        <v>30</v>
      </c>
      <c r="J1778" s="3"/>
      <c r="K1778" s="26">
        <v>30</v>
      </c>
      <c r="L1778" s="2">
        <v>2426.9333000000001</v>
      </c>
      <c r="M1778" s="2">
        <v>72808</v>
      </c>
      <c r="N1778" s="2">
        <v>72808</v>
      </c>
      <c r="O1778" s="2">
        <v>2427</v>
      </c>
      <c r="P1778" s="2">
        <v>6.6699999999999995E-2</v>
      </c>
      <c r="Q1778" s="2">
        <v>2</v>
      </c>
      <c r="R1778" s="4">
        <v>2.746875429196787E-5</v>
      </c>
      <c r="T1778">
        <v>316659</v>
      </c>
      <c r="U1778" s="2"/>
      <c r="V1778">
        <v>6215</v>
      </c>
      <c r="W1778" s="2">
        <v>6579000000</v>
      </c>
      <c r="X1778" s="6">
        <v>72810</v>
      </c>
      <c r="Y1778" s="38">
        <v>10010</v>
      </c>
      <c r="Z1778" s="86">
        <f>+((DETALLE_GD_1[[#This Row],[VALOR X UN (GD)]]-DETALLE_GD_1[[#This Row],[VALOR PPTO]])/DETALLE_GD_1[[#This Row],[VALOR PPTO]])</f>
        <v>-2.7482488669079196E-5</v>
      </c>
      <c r="AA1778" s="2">
        <f>+DETALLE_GD_1[[#This Row],[VALOR PPTO]]*DETALLE_GD_1[[#This Row],[CANTIDAD RECIBIDA]]</f>
        <v>72810</v>
      </c>
      <c r="AB1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8" s="3">
        <f>+DETALLE_GD_1[[#This Row],[CANTIDAD SOLICITADA]]-DETALLE_GD_1[[#This Row],[DEVOLUCIÓN]]</f>
        <v>30</v>
      </c>
      <c r="AD1778" s="38" t="str">
        <f>+_xlfn.XLOOKUP(DETALLE_GD_1[[#This Row],[CODIGO]],PRODUCTOS[CODIGO],PRODUCTOS[DESC CORTA],"",0)</f>
        <v>PERFIL ESQUINERO ENCUENTRO</v>
      </c>
    </row>
    <row r="1779" spans="1:30" x14ac:dyDescent="0.25">
      <c r="A1779" s="1">
        <v>46169</v>
      </c>
      <c r="B1779" s="1">
        <v>46169</v>
      </c>
      <c r="C1779" s="81" t="s">
        <v>169</v>
      </c>
      <c r="D1779" s="38">
        <v>5</v>
      </c>
      <c r="E1779" s="81" t="s">
        <v>169</v>
      </c>
      <c r="F1779">
        <v>5316484</v>
      </c>
      <c r="G1779" s="81" t="s">
        <v>96</v>
      </c>
      <c r="H1779" s="81" t="s">
        <v>31</v>
      </c>
      <c r="I1779" s="3">
        <v>1</v>
      </c>
      <c r="J1779" s="3"/>
      <c r="K1779" s="26">
        <v>1</v>
      </c>
      <c r="L1779" s="2">
        <v>4283</v>
      </c>
      <c r="M1779" s="2">
        <v>4283</v>
      </c>
      <c r="N1779" s="2">
        <v>4283</v>
      </c>
      <c r="O1779" s="2">
        <v>4372.7272999999996</v>
      </c>
      <c r="P1779" s="2">
        <v>89.7273</v>
      </c>
      <c r="Q1779" s="2">
        <v>89.7273</v>
      </c>
      <c r="R1779" s="4">
        <v>2.0519750580840854E-2</v>
      </c>
      <c r="T1779">
        <v>316737</v>
      </c>
      <c r="U1779" s="2">
        <v>4283</v>
      </c>
      <c r="V1779">
        <v>6215</v>
      </c>
      <c r="W1779" s="2">
        <v>6579000000</v>
      </c>
      <c r="X1779" s="6">
        <v>4372.7272730000004</v>
      </c>
      <c r="Y1779" s="38">
        <v>10010</v>
      </c>
      <c r="Z1779" s="86">
        <f>+((DETALLE_GD_1[[#This Row],[VALOR X UN (GD)]]-DETALLE_GD_1[[#This Row],[VALOR PPTO]])/DETALLE_GD_1[[#This Row],[VALOR PPTO]])</f>
        <v>-2.0519756628774807E-2</v>
      </c>
      <c r="AA1779" s="2">
        <f>+DETALLE_GD_1[[#This Row],[VALOR PPTO]]*DETALLE_GD_1[[#This Row],[CANTIDAD RECIBIDA]]</f>
        <v>4372.7272999999996</v>
      </c>
      <c r="AB1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9" s="3">
        <f>+DETALLE_GD_1[[#This Row],[CANTIDAD SOLICITADA]]-DETALLE_GD_1[[#This Row],[DEVOLUCIÓN]]</f>
        <v>1</v>
      </c>
      <c r="AD1779" s="38" t="str">
        <f>+_xlfn.XLOOKUP(DETALLE_GD_1[[#This Row],[CODIGO]],PRODUCTOS[CODIGO],PRODUCTOS[DESC CORTA],"",0)</f>
        <v>LLAVE DE BOLA AC</v>
      </c>
    </row>
    <row r="1780" spans="1:30" x14ac:dyDescent="0.25">
      <c r="A1780" s="1">
        <v>46169</v>
      </c>
      <c r="B1780" s="1">
        <v>46169</v>
      </c>
      <c r="C1780" s="81" t="s">
        <v>169</v>
      </c>
      <c r="D1780" s="38">
        <v>5</v>
      </c>
      <c r="E1780" s="81" t="s">
        <v>169</v>
      </c>
      <c r="F1780">
        <v>5316484</v>
      </c>
      <c r="G1780" s="81" t="s">
        <v>96</v>
      </c>
      <c r="H1780" s="81" t="s">
        <v>31</v>
      </c>
      <c r="I1780" s="3">
        <v>10</v>
      </c>
      <c r="J1780" s="3"/>
      <c r="K1780" s="26">
        <v>10</v>
      </c>
      <c r="L1780" s="2">
        <v>4283.5</v>
      </c>
      <c r="M1780" s="2">
        <v>42835</v>
      </c>
      <c r="N1780" s="2">
        <v>42835</v>
      </c>
      <c r="O1780" s="2">
        <v>4372.7272999999996</v>
      </c>
      <c r="P1780" s="2">
        <v>89.2273</v>
      </c>
      <c r="Q1780" s="2">
        <v>892.27269999999999</v>
      </c>
      <c r="R1780" s="4">
        <v>2.0405405466502876E-2</v>
      </c>
      <c r="T1780">
        <v>316742</v>
      </c>
      <c r="U1780" s="2">
        <v>651779</v>
      </c>
      <c r="V1780">
        <v>6215</v>
      </c>
      <c r="W1780" s="2">
        <v>6579000000</v>
      </c>
      <c r="X1780" s="6">
        <v>43727.272729999997</v>
      </c>
      <c r="Y1780" s="38">
        <v>10010</v>
      </c>
      <c r="Z1780" s="86">
        <f>+((DETALLE_GD_1[[#This Row],[VALOR X UN (GD)]]-DETALLE_GD_1[[#This Row],[VALOR PPTO]])/DETALLE_GD_1[[#This Row],[VALOR PPTO]])</f>
        <v>-2.0405411515142864E-2</v>
      </c>
      <c r="AA1780" s="2">
        <f>+DETALLE_GD_1[[#This Row],[VALOR PPTO]]*DETALLE_GD_1[[#This Row],[CANTIDAD RECIBIDA]]</f>
        <v>43727.272999999994</v>
      </c>
      <c r="AB1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0" s="3">
        <f>+DETALLE_GD_1[[#This Row],[CANTIDAD SOLICITADA]]-DETALLE_GD_1[[#This Row],[DEVOLUCIÓN]]</f>
        <v>10</v>
      </c>
      <c r="AD1780" s="38" t="str">
        <f>+_xlfn.XLOOKUP(DETALLE_GD_1[[#This Row],[CODIGO]],PRODUCTOS[CODIGO],PRODUCTOS[DESC CORTA],"",0)</f>
        <v>LLAVE DE BOLA AC</v>
      </c>
    </row>
    <row r="1781" spans="1:30" x14ac:dyDescent="0.25">
      <c r="A1781" s="1">
        <v>46169</v>
      </c>
      <c r="B1781" s="1">
        <v>46169</v>
      </c>
      <c r="C1781" s="81" t="s">
        <v>169</v>
      </c>
      <c r="D1781" s="38">
        <v>5</v>
      </c>
      <c r="E1781" s="81" t="s">
        <v>169</v>
      </c>
      <c r="F1781">
        <v>5316483</v>
      </c>
      <c r="G1781" s="81" t="s">
        <v>97</v>
      </c>
      <c r="H1781" s="81" t="s">
        <v>31</v>
      </c>
      <c r="I1781" s="3">
        <v>10</v>
      </c>
      <c r="J1781" s="3"/>
      <c r="K1781" s="26">
        <v>10</v>
      </c>
      <c r="L1781" s="2">
        <v>2984.2</v>
      </c>
      <c r="M1781" s="2">
        <v>29842</v>
      </c>
      <c r="N1781" s="2">
        <v>29842</v>
      </c>
      <c r="O1781" s="2">
        <v>3237.6071000000002</v>
      </c>
      <c r="P1781" s="2">
        <v>253.40710000000001</v>
      </c>
      <c r="Q1781" s="2">
        <v>2534.0713999999998</v>
      </c>
      <c r="R1781" s="4">
        <v>7.826988631029233E-2</v>
      </c>
      <c r="T1781">
        <v>316742</v>
      </c>
      <c r="U1781" s="2"/>
      <c r="V1781">
        <v>6215</v>
      </c>
      <c r="W1781" s="2">
        <v>6579000000</v>
      </c>
      <c r="X1781" s="6">
        <v>32376.071430000004</v>
      </c>
      <c r="Y1781" s="38">
        <v>10010</v>
      </c>
      <c r="Z1781" s="86">
        <f>+((DETALLE_GD_1[[#This Row],[VALOR X UN (GD)]]-DETALLE_GD_1[[#This Row],[VALOR PPTO]])/DETALLE_GD_1[[#This Row],[VALOR PPTO]])</f>
        <v>-7.8269874068413167E-2</v>
      </c>
      <c r="AA1781" s="2">
        <f>+DETALLE_GD_1[[#This Row],[VALOR PPTO]]*DETALLE_GD_1[[#This Row],[CANTIDAD RECIBIDA]]</f>
        <v>32376.071000000004</v>
      </c>
      <c r="AB1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1" s="3">
        <f>+DETALLE_GD_1[[#This Row],[CANTIDAD SOLICITADA]]-DETALLE_GD_1[[#This Row],[DEVOLUCIÓN]]</f>
        <v>10</v>
      </c>
      <c r="AD1781" s="38" t="str">
        <f>+_xlfn.XLOOKUP(DETALLE_GD_1[[#This Row],[CODIGO]],PRODUCTOS[CODIGO],PRODUCTOS[DESC CORTA],"",0)</f>
        <v>LLAVE DE BOLA AF</v>
      </c>
    </row>
    <row r="1782" spans="1:30" x14ac:dyDescent="0.25">
      <c r="A1782" s="1">
        <v>46169</v>
      </c>
      <c r="B1782" s="1">
        <v>46169</v>
      </c>
      <c r="C1782" s="81" t="s">
        <v>169</v>
      </c>
      <c r="D1782" s="38">
        <v>5</v>
      </c>
      <c r="E1782" s="81" t="s">
        <v>169</v>
      </c>
      <c r="F1782">
        <v>2505426</v>
      </c>
      <c r="G1782" s="81" t="s">
        <v>711</v>
      </c>
      <c r="H1782" s="81" t="s">
        <v>31</v>
      </c>
      <c r="I1782" s="3">
        <v>5</v>
      </c>
      <c r="J1782" s="3"/>
      <c r="K1782" s="26">
        <v>5</v>
      </c>
      <c r="L1782" s="2">
        <v>1725.8</v>
      </c>
      <c r="M1782" s="2">
        <v>8629</v>
      </c>
      <c r="N1782" s="2">
        <v>8629</v>
      </c>
      <c r="O1782" s="2">
        <v>1684</v>
      </c>
      <c r="P1782" s="2">
        <v>-41.8</v>
      </c>
      <c r="Q1782" s="2">
        <v>-209</v>
      </c>
      <c r="R1782" s="4">
        <v>-2.4821852731591421E-2</v>
      </c>
      <c r="T1782">
        <v>316742</v>
      </c>
      <c r="U1782" s="2"/>
      <c r="V1782">
        <v>6215</v>
      </c>
      <c r="W1782" s="2">
        <v>6579000000</v>
      </c>
      <c r="X1782" s="6">
        <v>8420</v>
      </c>
      <c r="Y1782" s="38">
        <v>10010</v>
      </c>
      <c r="Z1782" s="86">
        <f>+((DETALLE_GD_1[[#This Row],[VALOR X UN (GD)]]-DETALLE_GD_1[[#This Row],[VALOR PPTO]])/DETALLE_GD_1[[#This Row],[VALOR PPTO]])</f>
        <v>2.4821852731591421E-2</v>
      </c>
      <c r="AA1782" s="2">
        <f>+DETALLE_GD_1[[#This Row],[VALOR PPTO]]*DETALLE_GD_1[[#This Row],[CANTIDAD RECIBIDA]]</f>
        <v>8420</v>
      </c>
      <c r="AB17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2" s="3">
        <f>+DETALLE_GD_1[[#This Row],[CANTIDAD SOLICITADA]]-DETALLE_GD_1[[#This Row],[DEVOLUCIÓN]]</f>
        <v>5</v>
      </c>
      <c r="AD1782" s="38" t="str">
        <f>+_xlfn.XLOOKUP(DETALLE_GD_1[[#This Row],[CODIGO]],PRODUCTOS[CODIGO],PRODUCTOS[DESC CORTA],"",0)</f>
        <v/>
      </c>
    </row>
    <row r="1783" spans="1:30" x14ac:dyDescent="0.25">
      <c r="A1783" s="1">
        <v>46169</v>
      </c>
      <c r="B1783" s="1">
        <v>46169</v>
      </c>
      <c r="C1783" s="81" t="s">
        <v>169</v>
      </c>
      <c r="D1783" s="38">
        <v>5</v>
      </c>
      <c r="E1783" s="81" t="s">
        <v>169</v>
      </c>
      <c r="F1783">
        <v>1808148</v>
      </c>
      <c r="G1783" s="81" t="s">
        <v>276</v>
      </c>
      <c r="H1783" s="81" t="s">
        <v>31</v>
      </c>
      <c r="I1783" s="3">
        <v>5</v>
      </c>
      <c r="J1783" s="3"/>
      <c r="K1783" s="26">
        <v>5</v>
      </c>
      <c r="L1783" s="2">
        <v>1098.5999999999999</v>
      </c>
      <c r="M1783" s="2">
        <v>5493</v>
      </c>
      <c r="N1783" s="2">
        <v>5493</v>
      </c>
      <c r="O1783" s="2">
        <v>1089</v>
      </c>
      <c r="P1783" s="2">
        <v>-9.6</v>
      </c>
      <c r="Q1783" s="2">
        <v>-48</v>
      </c>
      <c r="R1783" s="4">
        <v>-8.815426997245095E-3</v>
      </c>
      <c r="T1783">
        <v>316742</v>
      </c>
      <c r="U1783" s="2"/>
      <c r="V1783">
        <v>6215</v>
      </c>
      <c r="W1783" s="2">
        <v>6579000000</v>
      </c>
      <c r="X1783" s="6">
        <v>5445</v>
      </c>
      <c r="Y1783" s="38">
        <v>10010</v>
      </c>
      <c r="Z1783" s="86">
        <f>+((DETALLE_GD_1[[#This Row],[VALOR X UN (GD)]]-DETALLE_GD_1[[#This Row],[VALOR PPTO]])/DETALLE_GD_1[[#This Row],[VALOR PPTO]])</f>
        <v>8.815426997245095E-3</v>
      </c>
      <c r="AA1783" s="2">
        <f>+DETALLE_GD_1[[#This Row],[VALOR PPTO]]*DETALLE_GD_1[[#This Row],[CANTIDAD RECIBIDA]]</f>
        <v>5445</v>
      </c>
      <c r="AB1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3" s="3">
        <f>+DETALLE_GD_1[[#This Row],[CANTIDAD SOLICITADA]]-DETALLE_GD_1[[#This Row],[DEVOLUCIÓN]]</f>
        <v>5</v>
      </c>
      <c r="AD1783" s="38" t="str">
        <f>+_xlfn.XLOOKUP(DETALLE_GD_1[[#This Row],[CODIGO]],PRODUCTOS[CODIGO],PRODUCTOS[DESC CORTA],"",0)</f>
        <v>SELLO INSTALACION WC</v>
      </c>
    </row>
    <row r="1784" spans="1:30" x14ac:dyDescent="0.25">
      <c r="A1784" s="1">
        <v>46169</v>
      </c>
      <c r="B1784" s="1">
        <v>46169</v>
      </c>
      <c r="C1784" s="81" t="s">
        <v>169</v>
      </c>
      <c r="D1784" s="38">
        <v>5</v>
      </c>
      <c r="E1784" s="81" t="s">
        <v>169</v>
      </c>
      <c r="F1784">
        <v>1808147</v>
      </c>
      <c r="G1784" s="81" t="s">
        <v>275</v>
      </c>
      <c r="H1784" s="81" t="s">
        <v>31</v>
      </c>
      <c r="I1784" s="3">
        <v>5</v>
      </c>
      <c r="J1784" s="3"/>
      <c r="K1784" s="26">
        <v>5</v>
      </c>
      <c r="L1784" s="2">
        <v>2216.1999999999998</v>
      </c>
      <c r="M1784" s="2">
        <v>11081</v>
      </c>
      <c r="N1784" s="2">
        <v>11081</v>
      </c>
      <c r="O1784" s="2">
        <v>2293</v>
      </c>
      <c r="P1784" s="2">
        <v>76.8</v>
      </c>
      <c r="Q1784" s="2">
        <v>384</v>
      </c>
      <c r="R1784" s="4">
        <v>3.3493240296554809E-2</v>
      </c>
      <c r="T1784">
        <v>316742</v>
      </c>
      <c r="U1784" s="2"/>
      <c r="V1784">
        <v>6215</v>
      </c>
      <c r="W1784" s="2">
        <v>6579000000</v>
      </c>
      <c r="X1784" s="6">
        <v>11465</v>
      </c>
      <c r="Y1784" s="38">
        <v>10010</v>
      </c>
      <c r="Z1784" s="86">
        <f>+((DETALLE_GD_1[[#This Row],[VALOR X UN (GD)]]-DETALLE_GD_1[[#This Row],[VALOR PPTO]])/DETALLE_GD_1[[#This Row],[VALOR PPTO]])</f>
        <v>-3.3493240296554809E-2</v>
      </c>
      <c r="AA1784" s="2">
        <f>+DETALLE_GD_1[[#This Row],[VALOR PPTO]]*DETALLE_GD_1[[#This Row],[CANTIDAD RECIBIDA]]</f>
        <v>11465</v>
      </c>
      <c r="AB17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4" s="3">
        <f>+DETALLE_GD_1[[#This Row],[CANTIDAD SOLICITADA]]-DETALLE_GD_1[[#This Row],[DEVOLUCIÓN]]</f>
        <v>5</v>
      </c>
      <c r="AD1784" s="38" t="str">
        <f>+_xlfn.XLOOKUP(DETALLE_GD_1[[#This Row],[CODIGO]],PRODUCTOS[CODIGO],PRODUCTOS[DESC CORTA],"",0)</f>
        <v>LLAVE ANGULAR 1/2X</v>
      </c>
    </row>
    <row r="1785" spans="1:30" x14ac:dyDescent="0.25">
      <c r="A1785" s="1">
        <v>46169</v>
      </c>
      <c r="B1785" s="1">
        <v>46169</v>
      </c>
      <c r="C1785" s="81" t="s">
        <v>169</v>
      </c>
      <c r="D1785" s="38">
        <v>5</v>
      </c>
      <c r="E1785" s="81" t="s">
        <v>169</v>
      </c>
      <c r="F1785">
        <v>1808146</v>
      </c>
      <c r="G1785" s="81" t="s">
        <v>274</v>
      </c>
      <c r="H1785" s="81" t="s">
        <v>31</v>
      </c>
      <c r="I1785" s="3">
        <v>5</v>
      </c>
      <c r="J1785" s="3"/>
      <c r="K1785" s="26">
        <v>5</v>
      </c>
      <c r="L1785" s="2">
        <v>3318</v>
      </c>
      <c r="M1785" s="2">
        <v>16590</v>
      </c>
      <c r="N1785" s="2">
        <v>16590</v>
      </c>
      <c r="O1785" s="2">
        <v>3404</v>
      </c>
      <c r="P1785" s="2">
        <v>86</v>
      </c>
      <c r="Q1785" s="2">
        <v>430</v>
      </c>
      <c r="R1785" s="4">
        <v>2.5264394829612225E-2</v>
      </c>
      <c r="T1785">
        <v>316742</v>
      </c>
      <c r="U1785" s="2"/>
      <c r="V1785">
        <v>6215</v>
      </c>
      <c r="W1785" s="2">
        <v>6579000000</v>
      </c>
      <c r="X1785" s="6">
        <v>17020</v>
      </c>
      <c r="Y1785" s="38">
        <v>10010</v>
      </c>
      <c r="Z1785" s="86">
        <f>+((DETALLE_GD_1[[#This Row],[VALOR X UN (GD)]]-DETALLE_GD_1[[#This Row],[VALOR PPTO]])/DETALLE_GD_1[[#This Row],[VALOR PPTO]])</f>
        <v>-2.5264394829612222E-2</v>
      </c>
      <c r="AA1785" s="2">
        <f>+DETALLE_GD_1[[#This Row],[VALOR PPTO]]*DETALLE_GD_1[[#This Row],[CANTIDAD RECIBIDA]]</f>
        <v>17020</v>
      </c>
      <c r="AB1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5" s="3">
        <f>+DETALLE_GD_1[[#This Row],[CANTIDAD SOLICITADA]]-DETALLE_GD_1[[#This Row],[DEVOLUCIÓN]]</f>
        <v>5</v>
      </c>
      <c r="AD1785" s="38" t="str">
        <f>+_xlfn.XLOOKUP(DETALLE_GD_1[[#This Row],[CODIGO]],PRODUCTOS[CODIGO],PRODUCTOS[DESC CORTA],"",0)</f>
        <v>NUEVA</v>
      </c>
    </row>
    <row r="1786" spans="1:30" x14ac:dyDescent="0.25">
      <c r="A1786" s="1">
        <v>46169</v>
      </c>
      <c r="B1786" s="1">
        <v>46169</v>
      </c>
      <c r="C1786" s="81" t="s">
        <v>169</v>
      </c>
      <c r="D1786" s="38">
        <v>5</v>
      </c>
      <c r="E1786" s="81" t="s">
        <v>169</v>
      </c>
      <c r="F1786">
        <v>1808145</v>
      </c>
      <c r="G1786" s="81" t="s">
        <v>273</v>
      </c>
      <c r="H1786" s="81" t="s">
        <v>31</v>
      </c>
      <c r="I1786" s="3">
        <v>5</v>
      </c>
      <c r="J1786" s="3"/>
      <c r="K1786" s="26">
        <v>5</v>
      </c>
      <c r="L1786" s="2">
        <v>16189.4</v>
      </c>
      <c r="M1786" s="2">
        <v>80947</v>
      </c>
      <c r="N1786" s="2">
        <v>80947</v>
      </c>
      <c r="O1786" s="2">
        <v>17145</v>
      </c>
      <c r="P1786" s="2">
        <v>955.6</v>
      </c>
      <c r="Q1786" s="2">
        <v>4778</v>
      </c>
      <c r="R1786" s="4">
        <v>5.5736366287547405E-2</v>
      </c>
      <c r="T1786">
        <v>316742</v>
      </c>
      <c r="U1786" s="2"/>
      <c r="V1786">
        <v>6215</v>
      </c>
      <c r="W1786" s="2">
        <v>6579000000</v>
      </c>
      <c r="X1786" s="6">
        <v>85725</v>
      </c>
      <c r="Y1786" s="38">
        <v>10010</v>
      </c>
      <c r="Z1786" s="86">
        <f>+((DETALLE_GD_1[[#This Row],[VALOR X UN (GD)]]-DETALLE_GD_1[[#This Row],[VALOR PPTO]])/DETALLE_GD_1[[#This Row],[VALOR PPTO]])</f>
        <v>-5.5736366287547412E-2</v>
      </c>
      <c r="AA1786" s="2">
        <f>+DETALLE_GD_1[[#This Row],[VALOR PPTO]]*DETALLE_GD_1[[#This Row],[CANTIDAD RECIBIDA]]</f>
        <v>85725</v>
      </c>
      <c r="AB1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6" s="3">
        <f>+DETALLE_GD_1[[#This Row],[CANTIDAD SOLICITADA]]-DETALLE_GD_1[[#This Row],[DEVOLUCIÓN]]</f>
        <v>5</v>
      </c>
      <c r="AD1786" s="38" t="str">
        <f>+_xlfn.XLOOKUP(DETALLE_GD_1[[#This Row],[CODIGO]],PRODUCTOS[CODIGO],PRODUCTOS[DESC CORTA],"",0)</f>
        <v>ESTANQUE WC AURA</v>
      </c>
    </row>
    <row r="1787" spans="1:30" x14ac:dyDescent="0.25">
      <c r="A1787" s="1">
        <v>46169</v>
      </c>
      <c r="B1787" s="1">
        <v>46169</v>
      </c>
      <c r="C1787" s="81" t="s">
        <v>169</v>
      </c>
      <c r="D1787" s="38">
        <v>5</v>
      </c>
      <c r="E1787" s="81" t="s">
        <v>169</v>
      </c>
      <c r="F1787">
        <v>1808144</v>
      </c>
      <c r="G1787" s="81" t="s">
        <v>272</v>
      </c>
      <c r="H1787" s="81" t="s">
        <v>31</v>
      </c>
      <c r="I1787" s="3">
        <v>5</v>
      </c>
      <c r="J1787" s="3"/>
      <c r="K1787" s="26">
        <v>5</v>
      </c>
      <c r="L1787" s="2">
        <v>23316.799999999999</v>
      </c>
      <c r="M1787" s="2">
        <v>116584</v>
      </c>
      <c r="N1787" s="2">
        <v>116584</v>
      </c>
      <c r="O1787" s="2">
        <v>23228</v>
      </c>
      <c r="P1787" s="2">
        <v>-88.8</v>
      </c>
      <c r="Q1787" s="2">
        <v>-444</v>
      </c>
      <c r="R1787" s="4">
        <v>-3.822972274840678E-3</v>
      </c>
      <c r="T1787">
        <v>316742</v>
      </c>
      <c r="U1787" s="2"/>
      <c r="V1787">
        <v>6215</v>
      </c>
      <c r="W1787" s="2">
        <v>6579000000</v>
      </c>
      <c r="X1787" s="6">
        <v>116140</v>
      </c>
      <c r="Y1787" s="38">
        <v>10010</v>
      </c>
      <c r="Z1787" s="86">
        <f>+((DETALLE_GD_1[[#This Row],[VALOR X UN (GD)]]-DETALLE_GD_1[[#This Row],[VALOR PPTO]])/DETALLE_GD_1[[#This Row],[VALOR PPTO]])</f>
        <v>3.822972274840678E-3</v>
      </c>
      <c r="AA1787" s="2">
        <f>+DETALLE_GD_1[[#This Row],[VALOR PPTO]]*DETALLE_GD_1[[#This Row],[CANTIDAD RECIBIDA]]</f>
        <v>116140</v>
      </c>
      <c r="AB1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7" s="3">
        <f>+DETALLE_GD_1[[#This Row],[CANTIDAD SOLICITADA]]-DETALLE_GD_1[[#This Row],[DEVOLUCIÓN]]</f>
        <v>5</v>
      </c>
      <c r="AD1787" s="38" t="str">
        <f>+_xlfn.XLOOKUP(DETALLE_GD_1[[#This Row],[CODIGO]],PRODUCTOS[CODIGO],PRODUCTOS[DESC CORTA],"",0)</f>
        <v>TAZA WC AURA</v>
      </c>
    </row>
    <row r="1788" spans="1:30" x14ac:dyDescent="0.25">
      <c r="A1788" s="1">
        <v>46169</v>
      </c>
      <c r="B1788" s="1">
        <v>46169</v>
      </c>
      <c r="C1788" s="81" t="s">
        <v>169</v>
      </c>
      <c r="D1788" s="38">
        <v>5</v>
      </c>
      <c r="E1788" s="81" t="s">
        <v>169</v>
      </c>
      <c r="F1788">
        <v>1802176</v>
      </c>
      <c r="G1788" s="81" t="s">
        <v>196</v>
      </c>
      <c r="H1788" s="81" t="s">
        <v>31</v>
      </c>
      <c r="I1788" s="3">
        <v>5</v>
      </c>
      <c r="J1788" s="3"/>
      <c r="K1788" s="26">
        <v>5</v>
      </c>
      <c r="L1788" s="2">
        <v>2199</v>
      </c>
      <c r="M1788" s="2">
        <v>10995</v>
      </c>
      <c r="N1788" s="2">
        <v>10995</v>
      </c>
      <c r="O1788" s="2">
        <v>2199</v>
      </c>
      <c r="P1788" s="2">
        <v>0</v>
      </c>
      <c r="Q1788" s="2">
        <v>0</v>
      </c>
      <c r="R1788" s="4">
        <v>0</v>
      </c>
      <c r="T1788">
        <v>316742</v>
      </c>
      <c r="U1788" s="2"/>
      <c r="V1788">
        <v>6215</v>
      </c>
      <c r="W1788" s="2">
        <v>6579000000</v>
      </c>
      <c r="X1788" s="6">
        <v>10995</v>
      </c>
      <c r="Y1788" s="38">
        <v>10010</v>
      </c>
      <c r="Z1788" s="86">
        <f>+((DETALLE_GD_1[[#This Row],[VALOR X UN (GD)]]-DETALLE_GD_1[[#This Row],[VALOR PPTO]])/DETALLE_GD_1[[#This Row],[VALOR PPTO]])</f>
        <v>0</v>
      </c>
      <c r="AA1788" s="2">
        <f>+DETALLE_GD_1[[#This Row],[VALOR PPTO]]*DETALLE_GD_1[[#This Row],[CANTIDAD RECIBIDA]]</f>
        <v>10995</v>
      </c>
      <c r="AB17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8" s="3">
        <f>+DETALLE_GD_1[[#This Row],[CANTIDAD SOLICITADA]]-DETALLE_GD_1[[#This Row],[DEVOLUCIÓN]]</f>
        <v>5</v>
      </c>
      <c r="AD1788" s="38">
        <f>+_xlfn.XLOOKUP(DETALLE_GD_1[[#This Row],[CODIGO]],PRODUCTOS[CODIGO],PRODUCTOS[DESC CORTA],"",0)</f>
        <v>0</v>
      </c>
    </row>
    <row r="1789" spans="1:30" x14ac:dyDescent="0.25">
      <c r="A1789" s="1">
        <v>46169</v>
      </c>
      <c r="B1789" s="1">
        <v>46169</v>
      </c>
      <c r="C1789" s="81" t="s">
        <v>169</v>
      </c>
      <c r="D1789" s="38">
        <v>5</v>
      </c>
      <c r="E1789" s="81" t="s">
        <v>169</v>
      </c>
      <c r="F1789">
        <v>1802175</v>
      </c>
      <c r="G1789" s="81" t="s">
        <v>269</v>
      </c>
      <c r="H1789" s="81" t="s">
        <v>31</v>
      </c>
      <c r="I1789" s="3">
        <v>5</v>
      </c>
      <c r="J1789" s="3"/>
      <c r="K1789" s="26">
        <v>5</v>
      </c>
      <c r="L1789" s="2">
        <v>1079</v>
      </c>
      <c r="M1789" s="2">
        <v>5395</v>
      </c>
      <c r="N1789" s="2">
        <v>5395</v>
      </c>
      <c r="O1789" s="2">
        <v>1079</v>
      </c>
      <c r="P1789" s="2">
        <v>0</v>
      </c>
      <c r="Q1789" s="2">
        <v>0</v>
      </c>
      <c r="R1789" s="4">
        <v>0</v>
      </c>
      <c r="T1789">
        <v>316742</v>
      </c>
      <c r="U1789" s="2"/>
      <c r="V1789">
        <v>6215</v>
      </c>
      <c r="W1789" s="2">
        <v>6579000000</v>
      </c>
      <c r="X1789" s="6">
        <v>5395</v>
      </c>
      <c r="Y1789" s="38">
        <v>10010</v>
      </c>
      <c r="Z1789" s="86">
        <f>+((DETALLE_GD_1[[#This Row],[VALOR X UN (GD)]]-DETALLE_GD_1[[#This Row],[VALOR PPTO]])/DETALLE_GD_1[[#This Row],[VALOR PPTO]])</f>
        <v>0</v>
      </c>
      <c r="AA1789" s="2">
        <f>+DETALLE_GD_1[[#This Row],[VALOR PPTO]]*DETALLE_GD_1[[#This Row],[CANTIDAD RECIBIDA]]</f>
        <v>5395</v>
      </c>
      <c r="AB17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9" s="3">
        <f>+DETALLE_GD_1[[#This Row],[CANTIDAD SOLICITADA]]-DETALLE_GD_1[[#This Row],[DEVOLUCIÓN]]</f>
        <v>5</v>
      </c>
      <c r="AD1789" s="38" t="str">
        <f>+_xlfn.XLOOKUP(DETALLE_GD_1[[#This Row],[CODIGO]],PRODUCTOS[CODIGO],PRODUCTOS[DESC CORTA],"",0)</f>
        <v>UÑETAS INSTLACION LAVAMANOS</v>
      </c>
    </row>
    <row r="1790" spans="1:30" x14ac:dyDescent="0.25">
      <c r="A1790" s="1">
        <v>46169</v>
      </c>
      <c r="B1790" s="1">
        <v>46169</v>
      </c>
      <c r="C1790" s="81" t="s">
        <v>169</v>
      </c>
      <c r="D1790" s="38">
        <v>5</v>
      </c>
      <c r="E1790" s="81" t="s">
        <v>169</v>
      </c>
      <c r="F1790">
        <v>1802174</v>
      </c>
      <c r="G1790" s="81" t="s">
        <v>268</v>
      </c>
      <c r="H1790" s="81" t="s">
        <v>31</v>
      </c>
      <c r="I1790" s="3">
        <v>5</v>
      </c>
      <c r="J1790" s="3"/>
      <c r="K1790" s="26">
        <v>5</v>
      </c>
      <c r="L1790" s="2">
        <v>7701.6</v>
      </c>
      <c r="M1790" s="2">
        <v>38508</v>
      </c>
      <c r="N1790" s="2">
        <v>38508</v>
      </c>
      <c r="O1790" s="2">
        <v>7709</v>
      </c>
      <c r="P1790" s="2">
        <v>7.4</v>
      </c>
      <c r="Q1790" s="2">
        <v>37</v>
      </c>
      <c r="R1790" s="4">
        <v>9.599169801530206E-4</v>
      </c>
      <c r="T1790">
        <v>316742</v>
      </c>
      <c r="U1790" s="2"/>
      <c r="V1790">
        <v>6215</v>
      </c>
      <c r="W1790" s="2">
        <v>6579000000</v>
      </c>
      <c r="X1790" s="6">
        <v>38545</v>
      </c>
      <c r="Y1790" s="38">
        <v>10010</v>
      </c>
      <c r="Z1790" s="86">
        <f>+((DETALLE_GD_1[[#This Row],[VALOR X UN (GD)]]-DETALLE_GD_1[[#This Row],[VALOR PPTO]])/DETALLE_GD_1[[#This Row],[VALOR PPTO]])</f>
        <v>-9.599169801530206E-4</v>
      </c>
      <c r="AA1790" s="2">
        <f>+DETALLE_GD_1[[#This Row],[VALOR PPTO]]*DETALLE_GD_1[[#This Row],[CANTIDAD RECIBIDA]]</f>
        <v>38545</v>
      </c>
      <c r="AB17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0" s="3">
        <f>+DETALLE_GD_1[[#This Row],[CANTIDAD SOLICITADA]]-DETALLE_GD_1[[#This Row],[DEVOLUCIÓN]]</f>
        <v>5</v>
      </c>
      <c r="AD1790" s="38" t="str">
        <f>+_xlfn.XLOOKUP(DETALLE_GD_1[[#This Row],[CODIGO]],PRODUCTOS[CODIGO],PRODUCTOS[DESC CORTA],"",0)</f>
        <v>PEDESTAL DS THEOS</v>
      </c>
    </row>
    <row r="1791" spans="1:30" x14ac:dyDescent="0.25">
      <c r="A1791" s="1">
        <v>46169</v>
      </c>
      <c r="B1791" s="1">
        <v>46169</v>
      </c>
      <c r="C1791" s="81" t="s">
        <v>169</v>
      </c>
      <c r="D1791" s="38">
        <v>5</v>
      </c>
      <c r="E1791" s="81" t="s">
        <v>169</v>
      </c>
      <c r="F1791">
        <v>1802173</v>
      </c>
      <c r="G1791" s="81" t="s">
        <v>267</v>
      </c>
      <c r="H1791" s="81" t="s">
        <v>31</v>
      </c>
      <c r="I1791" s="3">
        <v>5</v>
      </c>
      <c r="J1791" s="3"/>
      <c r="K1791" s="26">
        <v>5</v>
      </c>
      <c r="L1791" s="2">
        <v>11984.8</v>
      </c>
      <c r="M1791" s="2">
        <v>59924</v>
      </c>
      <c r="N1791" s="2">
        <v>59924</v>
      </c>
      <c r="O1791" s="2">
        <v>11996</v>
      </c>
      <c r="P1791" s="2">
        <v>11.2</v>
      </c>
      <c r="Q1791" s="2">
        <v>56</v>
      </c>
      <c r="R1791" s="4">
        <v>9.3364454818278819E-4</v>
      </c>
      <c r="T1791">
        <v>316742</v>
      </c>
      <c r="U1791" s="2"/>
      <c r="V1791">
        <v>6215</v>
      </c>
      <c r="W1791" s="2">
        <v>6579000000</v>
      </c>
      <c r="X1791" s="6">
        <v>59980</v>
      </c>
      <c r="Y1791" s="38">
        <v>10010</v>
      </c>
      <c r="Z1791" s="86">
        <f>+((DETALLE_GD_1[[#This Row],[VALOR X UN (GD)]]-DETALLE_GD_1[[#This Row],[VALOR PPTO]])/DETALLE_GD_1[[#This Row],[VALOR PPTO]])</f>
        <v>-9.3364454818278819E-4</v>
      </c>
      <c r="AA1791" s="2">
        <f>+DETALLE_GD_1[[#This Row],[VALOR PPTO]]*DETALLE_GD_1[[#This Row],[CANTIDAD RECIBIDA]]</f>
        <v>59980</v>
      </c>
      <c r="AB1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1" s="3">
        <f>+DETALLE_GD_1[[#This Row],[CANTIDAD SOLICITADA]]-DETALLE_GD_1[[#This Row],[DEVOLUCIÓN]]</f>
        <v>5</v>
      </c>
      <c r="AD1791" s="38" t="str">
        <f>+_xlfn.XLOOKUP(DETALLE_GD_1[[#This Row],[CODIGO]],PRODUCTOS[CODIGO],PRODUCTOS[DESC CORTA],"",0)</f>
        <v>LAVAMANOS DS THEOS</v>
      </c>
    </row>
    <row r="1792" spans="1:30" x14ac:dyDescent="0.25">
      <c r="A1792" s="1">
        <v>46169</v>
      </c>
      <c r="B1792" s="1">
        <v>46169</v>
      </c>
      <c r="C1792" s="81" t="s">
        <v>169</v>
      </c>
      <c r="D1792" s="38">
        <v>5</v>
      </c>
      <c r="E1792" s="81" t="s">
        <v>169</v>
      </c>
      <c r="F1792">
        <v>1802170</v>
      </c>
      <c r="G1792" s="81" t="s">
        <v>264</v>
      </c>
      <c r="H1792" s="81" t="s">
        <v>31</v>
      </c>
      <c r="I1792" s="3">
        <v>5</v>
      </c>
      <c r="J1792" s="3"/>
      <c r="K1792" s="26">
        <v>5</v>
      </c>
      <c r="L1792" s="2">
        <v>2043</v>
      </c>
      <c r="M1792" s="2">
        <v>10215</v>
      </c>
      <c r="N1792" s="2">
        <v>10215</v>
      </c>
      <c r="O1792" s="2">
        <v>2043</v>
      </c>
      <c r="P1792" s="2">
        <v>0</v>
      </c>
      <c r="Q1792" s="2">
        <v>0</v>
      </c>
      <c r="R1792" s="4">
        <v>0</v>
      </c>
      <c r="T1792">
        <v>316742</v>
      </c>
      <c r="U1792" s="2"/>
      <c r="V1792">
        <v>6215</v>
      </c>
      <c r="W1792" s="2">
        <v>6579000000</v>
      </c>
      <c r="X1792" s="6">
        <v>10215</v>
      </c>
      <c r="Y1792" s="38">
        <v>10010</v>
      </c>
      <c r="Z1792" s="86">
        <f>+((DETALLE_GD_1[[#This Row],[VALOR X UN (GD)]]-DETALLE_GD_1[[#This Row],[VALOR PPTO]])/DETALLE_GD_1[[#This Row],[VALOR PPTO]])</f>
        <v>0</v>
      </c>
      <c r="AA1792" s="2">
        <f>+DETALLE_GD_1[[#This Row],[VALOR PPTO]]*DETALLE_GD_1[[#This Row],[CANTIDAD RECIBIDA]]</f>
        <v>10215</v>
      </c>
      <c r="AB1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2" s="3">
        <f>+DETALLE_GD_1[[#This Row],[CANTIDAD SOLICITADA]]-DETALLE_GD_1[[#This Row],[DEVOLUCIÓN]]</f>
        <v>5</v>
      </c>
      <c r="AD1792" s="38">
        <f>+_xlfn.XLOOKUP(DETALLE_GD_1[[#This Row],[CODIGO]],PRODUCTOS[CODIGO],PRODUCTOS[DESC CORTA],"",0)</f>
        <v>0</v>
      </c>
    </row>
    <row r="1793" spans="1:30" x14ac:dyDescent="0.25">
      <c r="A1793" s="1">
        <v>46169</v>
      </c>
      <c r="B1793" s="1">
        <v>46169</v>
      </c>
      <c r="C1793" s="81" t="s">
        <v>169</v>
      </c>
      <c r="D1793" s="38">
        <v>5</v>
      </c>
      <c r="E1793" s="81" t="s">
        <v>169</v>
      </c>
      <c r="F1793">
        <v>1802169</v>
      </c>
      <c r="G1793" s="81" t="s">
        <v>263</v>
      </c>
      <c r="H1793" s="81" t="s">
        <v>31</v>
      </c>
      <c r="I1793" s="3">
        <v>5</v>
      </c>
      <c r="J1793" s="3"/>
      <c r="K1793" s="26">
        <v>5</v>
      </c>
      <c r="L1793" s="2">
        <v>10730</v>
      </c>
      <c r="M1793" s="2">
        <v>53650</v>
      </c>
      <c r="N1793" s="2">
        <v>53650</v>
      </c>
      <c r="O1793" s="2">
        <v>10741</v>
      </c>
      <c r="P1793" s="2">
        <v>11</v>
      </c>
      <c r="Q1793" s="2">
        <v>55</v>
      </c>
      <c r="R1793" s="4">
        <v>1.0241132110604227E-3</v>
      </c>
      <c r="T1793">
        <v>316742</v>
      </c>
      <c r="U1793" s="2"/>
      <c r="V1793">
        <v>6215</v>
      </c>
      <c r="W1793" s="2">
        <v>6579000000</v>
      </c>
      <c r="X1793" s="6">
        <v>53705</v>
      </c>
      <c r="Y1793" s="38">
        <v>10010</v>
      </c>
      <c r="Z1793" s="86">
        <f>+((DETALLE_GD_1[[#This Row],[VALOR X UN (GD)]]-DETALLE_GD_1[[#This Row],[VALOR PPTO]])/DETALLE_GD_1[[#This Row],[VALOR PPTO]])</f>
        <v>-1.0241132110604227E-3</v>
      </c>
      <c r="AA1793" s="2">
        <f>+DETALLE_GD_1[[#This Row],[VALOR PPTO]]*DETALLE_GD_1[[#This Row],[CANTIDAD RECIBIDA]]</f>
        <v>53705</v>
      </c>
      <c r="AB1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3" s="3">
        <f>+DETALLE_GD_1[[#This Row],[CANTIDAD SOLICITADA]]-DETALLE_GD_1[[#This Row],[DEVOLUCIÓN]]</f>
        <v>5</v>
      </c>
      <c r="AD1793" s="38" t="str">
        <f>+_xlfn.XLOOKUP(DETALLE_GD_1[[#This Row],[CODIGO]],PRODUCTOS[CODIGO],PRODUCTOS[DESC CORTA],"",0)</f>
        <v>LAVARROPA PLATICO DS</v>
      </c>
    </row>
    <row r="1794" spans="1:30" x14ac:dyDescent="0.25">
      <c r="A1794" s="1">
        <v>46169</v>
      </c>
      <c r="B1794" s="1">
        <v>46169</v>
      </c>
      <c r="C1794" s="81" t="s">
        <v>169</v>
      </c>
      <c r="D1794" s="38">
        <v>5</v>
      </c>
      <c r="E1794" s="81" t="s">
        <v>169</v>
      </c>
      <c r="F1794">
        <v>1802167</v>
      </c>
      <c r="G1794" s="81" t="s">
        <v>262</v>
      </c>
      <c r="H1794" s="81" t="s">
        <v>31</v>
      </c>
      <c r="I1794" s="3">
        <v>5</v>
      </c>
      <c r="J1794" s="3"/>
      <c r="K1794" s="26">
        <v>5</v>
      </c>
      <c r="L1794" s="2">
        <v>14972</v>
      </c>
      <c r="M1794" s="2">
        <v>74860</v>
      </c>
      <c r="N1794" s="2">
        <v>74860</v>
      </c>
      <c r="O1794" s="2">
        <v>14972</v>
      </c>
      <c r="P1794" s="2">
        <v>0</v>
      </c>
      <c r="Q1794" s="2">
        <v>0</v>
      </c>
      <c r="R1794" s="4">
        <v>0</v>
      </c>
      <c r="T1794">
        <v>316742</v>
      </c>
      <c r="U1794" s="2"/>
      <c r="V1794">
        <v>6215</v>
      </c>
      <c r="W1794" s="2">
        <v>6579000000</v>
      </c>
      <c r="X1794" s="6">
        <v>74860</v>
      </c>
      <c r="Y1794" s="38">
        <v>10010</v>
      </c>
      <c r="Z1794" s="86">
        <f>+((DETALLE_GD_1[[#This Row],[VALOR X UN (GD)]]-DETALLE_GD_1[[#This Row],[VALOR PPTO]])/DETALLE_GD_1[[#This Row],[VALOR PPTO]])</f>
        <v>0</v>
      </c>
      <c r="AA1794" s="2">
        <f>+DETALLE_GD_1[[#This Row],[VALOR PPTO]]*DETALLE_GD_1[[#This Row],[CANTIDAD RECIBIDA]]</f>
        <v>74860</v>
      </c>
      <c r="AB1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4" s="3">
        <f>+DETALLE_GD_1[[#This Row],[CANTIDAD SOLICITADA]]-DETALLE_GD_1[[#This Row],[DEVOLUCIÓN]]</f>
        <v>5</v>
      </c>
      <c r="AD1794" s="38" t="str">
        <f>+_xlfn.XLOOKUP(DETALLE_GD_1[[#This Row],[CODIGO]],PRODUCTOS[CODIGO],PRODUCTOS[DESC CORTA],"",0)</f>
        <v>NEW DUCHA SIMPLE, SOPORTE Y FLEXIBLE 1.5M 8LPM, ESTIU (TS2024020)</v>
      </c>
    </row>
    <row r="1795" spans="1:30" x14ac:dyDescent="0.25">
      <c r="A1795" s="1">
        <v>46169</v>
      </c>
      <c r="B1795" s="1">
        <v>46169</v>
      </c>
      <c r="C1795" s="81" t="s">
        <v>169</v>
      </c>
      <c r="D1795" s="38">
        <v>5</v>
      </c>
      <c r="E1795" s="81" t="s">
        <v>169</v>
      </c>
      <c r="F1795">
        <v>1802165</v>
      </c>
      <c r="G1795" s="81" t="s">
        <v>261</v>
      </c>
      <c r="H1795" s="81" t="s">
        <v>31</v>
      </c>
      <c r="I1795" s="3">
        <v>5</v>
      </c>
      <c r="J1795" s="3"/>
      <c r="K1795" s="26">
        <v>5</v>
      </c>
      <c r="L1795" s="2">
        <v>9122</v>
      </c>
      <c r="M1795" s="2">
        <v>45610</v>
      </c>
      <c r="N1795" s="2">
        <v>45610</v>
      </c>
      <c r="O1795" s="2">
        <v>9122</v>
      </c>
      <c r="P1795" s="2">
        <v>0</v>
      </c>
      <c r="Q1795" s="2">
        <v>0</v>
      </c>
      <c r="R1795" s="4">
        <v>0</v>
      </c>
      <c r="T1795">
        <v>316742</v>
      </c>
      <c r="U1795" s="2"/>
      <c r="V1795">
        <v>6215</v>
      </c>
      <c r="W1795" s="2">
        <v>6579000000</v>
      </c>
      <c r="X1795" s="6">
        <v>45610</v>
      </c>
      <c r="Y1795" s="38">
        <v>10010</v>
      </c>
      <c r="Z1795" s="86">
        <f>+((DETALLE_GD_1[[#This Row],[VALOR X UN (GD)]]-DETALLE_GD_1[[#This Row],[VALOR PPTO]])/DETALLE_GD_1[[#This Row],[VALOR PPTO]])</f>
        <v>0</v>
      </c>
      <c r="AA1795" s="2">
        <f>+DETALLE_GD_1[[#This Row],[VALOR PPTO]]*DETALLE_GD_1[[#This Row],[CANTIDAD RECIBIDA]]</f>
        <v>45610</v>
      </c>
      <c r="AB1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5" s="3">
        <f>+DETALLE_GD_1[[#This Row],[CANTIDAD SOLICITADA]]-DETALLE_GD_1[[#This Row],[DEVOLUCIÓN]]</f>
        <v>5</v>
      </c>
      <c r="AD1795" s="38" t="str">
        <f>+_xlfn.XLOOKUP(DETALLE_GD_1[[#This Row],[CODIGO]],PRODUCTOS[CODIGO],PRODUCTOS[DESC CORTA],"",0)</f>
        <v>NEW TS2024019)</v>
      </c>
    </row>
    <row r="1796" spans="1:30" x14ac:dyDescent="0.25">
      <c r="A1796" s="1">
        <v>46169</v>
      </c>
      <c r="B1796" s="1">
        <v>46169</v>
      </c>
      <c r="C1796" s="81" t="s">
        <v>169</v>
      </c>
      <c r="D1796" s="38">
        <v>5</v>
      </c>
      <c r="E1796" s="81" t="s">
        <v>169</v>
      </c>
      <c r="F1796">
        <v>1801229</v>
      </c>
      <c r="G1796" s="81" t="s">
        <v>259</v>
      </c>
      <c r="H1796" s="81" t="s">
        <v>31</v>
      </c>
      <c r="I1796" s="3">
        <v>5</v>
      </c>
      <c r="J1796" s="3"/>
      <c r="K1796" s="26">
        <v>5</v>
      </c>
      <c r="L1796" s="2">
        <v>5283.6</v>
      </c>
      <c r="M1796" s="2">
        <v>26418</v>
      </c>
      <c r="N1796" s="2">
        <v>26418</v>
      </c>
      <c r="O1796" s="2">
        <v>4675.5185000000001</v>
      </c>
      <c r="P1796" s="2">
        <v>-608.08150000000001</v>
      </c>
      <c r="Q1796" s="2">
        <v>-3040.4074000000001</v>
      </c>
      <c r="R1796" s="4">
        <v>-0.13005648005219678</v>
      </c>
      <c r="T1796">
        <v>316742</v>
      </c>
      <c r="U1796" s="2"/>
      <c r="V1796">
        <v>6215</v>
      </c>
      <c r="W1796" s="2">
        <v>6579000000</v>
      </c>
      <c r="X1796" s="6">
        <v>23377.592594999998</v>
      </c>
      <c r="Y1796" s="38">
        <v>10010</v>
      </c>
      <c r="Z1796" s="86">
        <f>+((DETALLE_GD_1[[#This Row],[VALOR X UN (GD)]]-DETALLE_GD_1[[#This Row],[VALOR PPTO]])/DETALLE_GD_1[[#This Row],[VALOR PPTO]])</f>
        <v>0.1300564846444304</v>
      </c>
      <c r="AA1796" s="2">
        <f>+DETALLE_GD_1[[#This Row],[VALOR PPTO]]*DETALLE_GD_1[[#This Row],[CANTIDAD RECIBIDA]]</f>
        <v>23377.592499999999</v>
      </c>
      <c r="AB1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6" s="3">
        <f>+DETALLE_GD_1[[#This Row],[CANTIDAD SOLICITADA]]-DETALLE_GD_1[[#This Row],[DEVOLUCIÓN]]</f>
        <v>5</v>
      </c>
      <c r="AD1796" s="38" t="str">
        <f>+_xlfn.XLOOKUP(DETALLE_GD_1[[#This Row],[CODIGO]],PRODUCTOS[CODIGO],PRODUCTOS[DESC CORTA],"",0)</f>
        <v>KIT DESAGUE TINA</v>
      </c>
    </row>
    <row r="1797" spans="1:30" x14ac:dyDescent="0.25">
      <c r="A1797" s="1">
        <v>46169</v>
      </c>
      <c r="B1797" s="1">
        <v>46169</v>
      </c>
      <c r="C1797" s="81" t="s">
        <v>169</v>
      </c>
      <c r="D1797" s="38">
        <v>5</v>
      </c>
      <c r="E1797" s="81" t="s">
        <v>169</v>
      </c>
      <c r="F1797">
        <v>1701154</v>
      </c>
      <c r="G1797" s="81" t="s">
        <v>713</v>
      </c>
      <c r="H1797" s="81" t="s">
        <v>31</v>
      </c>
      <c r="I1797" s="3">
        <v>5</v>
      </c>
      <c r="J1797" s="3"/>
      <c r="K1797" s="26">
        <v>5</v>
      </c>
      <c r="L1797" s="2">
        <v>1229.5999999999999</v>
      </c>
      <c r="M1797" s="2">
        <v>6148</v>
      </c>
      <c r="N1797" s="2">
        <v>6148</v>
      </c>
      <c r="O1797" s="2">
        <v>1230</v>
      </c>
      <c r="P1797" s="2">
        <v>0.4</v>
      </c>
      <c r="Q1797" s="2">
        <v>2</v>
      </c>
      <c r="R1797" s="4">
        <v>3.2520325203259427E-4</v>
      </c>
      <c r="T1797">
        <v>316742</v>
      </c>
      <c r="U1797" s="2"/>
      <c r="V1797">
        <v>6215</v>
      </c>
      <c r="W1797" s="2">
        <v>6579000000</v>
      </c>
      <c r="X1797" s="6">
        <v>6150</v>
      </c>
      <c r="Y1797" s="38">
        <v>10010</v>
      </c>
      <c r="Z1797" s="86">
        <f>+((DETALLE_GD_1[[#This Row],[VALOR X UN (GD)]]-DETALLE_GD_1[[#This Row],[VALOR PPTO]])/DETALLE_GD_1[[#This Row],[VALOR PPTO]])</f>
        <v>-3.2520325203259427E-4</v>
      </c>
      <c r="AA1797" s="2">
        <f>+DETALLE_GD_1[[#This Row],[VALOR PPTO]]*DETALLE_GD_1[[#This Row],[CANTIDAD RECIBIDA]]</f>
        <v>6150</v>
      </c>
      <c r="AB1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7" s="3">
        <f>+DETALLE_GD_1[[#This Row],[CANTIDAD SOLICITADA]]-DETALLE_GD_1[[#This Row],[DEVOLUCIÓN]]</f>
        <v>5</v>
      </c>
      <c r="AD1797" s="38" t="str">
        <f>+_xlfn.XLOOKUP(DETALLE_GD_1[[#This Row],[CODIGO]],PRODUCTOS[CODIGO],PRODUCTOS[DESC CORTA],"",0)</f>
        <v/>
      </c>
    </row>
    <row r="1798" spans="1:30" x14ac:dyDescent="0.25">
      <c r="A1798" s="1">
        <v>46169</v>
      </c>
      <c r="B1798" s="1">
        <v>46169</v>
      </c>
      <c r="C1798" s="81" t="s">
        <v>169</v>
      </c>
      <c r="D1798" s="38">
        <v>5</v>
      </c>
      <c r="E1798" s="81" t="s">
        <v>169</v>
      </c>
      <c r="F1798">
        <v>407795</v>
      </c>
      <c r="G1798" s="81" t="s">
        <v>325</v>
      </c>
      <c r="H1798" s="81" t="s">
        <v>31</v>
      </c>
      <c r="I1798" s="3">
        <v>5</v>
      </c>
      <c r="J1798" s="3"/>
      <c r="K1798" s="26">
        <v>5</v>
      </c>
      <c r="L1798" s="2">
        <v>1611</v>
      </c>
      <c r="M1798" s="2">
        <v>8055</v>
      </c>
      <c r="N1798" s="2">
        <v>8055</v>
      </c>
      <c r="O1798" s="2">
        <v>1610.9336000000001</v>
      </c>
      <c r="P1798" s="2">
        <v>-6.6400000000000001E-2</v>
      </c>
      <c r="Q1798" s="2">
        <v>-0.33189999999999997</v>
      </c>
      <c r="R1798" s="4">
        <v>-4.1212126674764554E-5</v>
      </c>
      <c r="T1798">
        <v>316742</v>
      </c>
      <c r="U1798" s="2"/>
      <c r="V1798">
        <v>6215</v>
      </c>
      <c r="W1798" s="2">
        <v>6579000000</v>
      </c>
      <c r="X1798" s="6">
        <v>8054.6680500000002</v>
      </c>
      <c r="Y1798" s="38">
        <v>10010</v>
      </c>
      <c r="Z1798" s="86">
        <f>+((DETALLE_GD_1[[#This Row],[VALOR X UN (GD)]]-DETALLE_GD_1[[#This Row],[VALOR PPTO]])/DETALLE_GD_1[[#This Row],[VALOR PPTO]])</f>
        <v>4.1218334511075141E-5</v>
      </c>
      <c r="AA1798" s="2">
        <f>+DETALLE_GD_1[[#This Row],[VALOR PPTO]]*DETALLE_GD_1[[#This Row],[CANTIDAD RECIBIDA]]</f>
        <v>8054.6680000000006</v>
      </c>
      <c r="AB1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8" s="3">
        <f>+DETALLE_GD_1[[#This Row],[CANTIDAD SOLICITADA]]-DETALLE_GD_1[[#This Row],[DEVOLUCIÓN]]</f>
        <v>5</v>
      </c>
      <c r="AD1798" s="38" t="str">
        <f>+_xlfn.XLOOKUP(DETALLE_GD_1[[#This Row],[CODIGO]],PRODUCTOS[CODIGO],PRODUCTOS[DESC CORTA],"",0)</f>
        <v>SET BALCON</v>
      </c>
    </row>
    <row r="1799" spans="1:30" x14ac:dyDescent="0.25">
      <c r="A1799" s="1">
        <v>46169</v>
      </c>
      <c r="B1799" s="1">
        <v>46169</v>
      </c>
      <c r="C1799" s="81" t="s">
        <v>169</v>
      </c>
      <c r="D1799" s="38">
        <v>5</v>
      </c>
      <c r="E1799" s="81" t="s">
        <v>169</v>
      </c>
      <c r="F1799">
        <v>1803044</v>
      </c>
      <c r="G1799" s="81" t="s">
        <v>336</v>
      </c>
      <c r="H1799" s="81" t="s">
        <v>90</v>
      </c>
      <c r="I1799" s="3">
        <v>9</v>
      </c>
      <c r="J1799" s="3"/>
      <c r="K1799" s="26">
        <v>9</v>
      </c>
      <c r="L1799" s="2">
        <v>51875.888899999998</v>
      </c>
      <c r="M1799" s="2">
        <v>466883</v>
      </c>
      <c r="N1799" s="2">
        <v>466883</v>
      </c>
      <c r="O1799" s="2">
        <v>52920</v>
      </c>
      <c r="P1799" s="2">
        <v>1044.1111000000001</v>
      </c>
      <c r="Q1799" s="2">
        <v>9397</v>
      </c>
      <c r="R1799" s="4">
        <v>1.9729990761736763E-2</v>
      </c>
      <c r="T1799">
        <v>316756</v>
      </c>
      <c r="U1799" s="2">
        <v>1119466</v>
      </c>
      <c r="V1799">
        <v>6215</v>
      </c>
      <c r="W1799" s="2">
        <v>6579000000</v>
      </c>
      <c r="X1799" s="6">
        <v>476280</v>
      </c>
      <c r="Y1799" s="38">
        <v>10010</v>
      </c>
      <c r="Z1799" s="86">
        <f>+((DETALLE_GD_1[[#This Row],[VALOR X UN (GD)]]-DETALLE_GD_1[[#This Row],[VALOR PPTO]])/DETALLE_GD_1[[#This Row],[VALOR PPTO]])</f>
        <v>-1.9729990551776301E-2</v>
      </c>
      <c r="AA1799" s="2">
        <f>+DETALLE_GD_1[[#This Row],[VALOR PPTO]]*DETALLE_GD_1[[#This Row],[CANTIDAD RECIBIDA]]</f>
        <v>476280</v>
      </c>
      <c r="AB1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9" s="3">
        <f>+DETALLE_GD_1[[#This Row],[CANTIDAD SOLICITADA]]-DETALLE_GD_1[[#This Row],[DEVOLUCIÓN]]</f>
        <v>9</v>
      </c>
      <c r="AD1799" s="38" t="str">
        <f>+_xlfn.XLOOKUP(DETALLE_GD_1[[#This Row],[CODIGO]],PRODUCTOS[CODIGO],PRODUCTOS[DESC CORTA],"",0)</f>
        <v/>
      </c>
    </row>
    <row r="1800" spans="1:30" x14ac:dyDescent="0.25">
      <c r="A1800" s="1">
        <v>46169</v>
      </c>
      <c r="B1800" s="1">
        <v>46169</v>
      </c>
      <c r="C1800" s="81" t="s">
        <v>169</v>
      </c>
      <c r="D1800" s="38">
        <v>5</v>
      </c>
      <c r="E1800" s="81" t="s">
        <v>169</v>
      </c>
      <c r="F1800">
        <v>1803045</v>
      </c>
      <c r="G1800" s="81" t="s">
        <v>337</v>
      </c>
      <c r="H1800" s="81" t="s">
        <v>90</v>
      </c>
      <c r="I1800" s="3">
        <v>9</v>
      </c>
      <c r="J1800" s="3"/>
      <c r="K1800" s="26">
        <v>9</v>
      </c>
      <c r="L1800" s="2">
        <v>51881.5556</v>
      </c>
      <c r="M1800" s="2">
        <v>466934</v>
      </c>
      <c r="N1800" s="2">
        <v>466934</v>
      </c>
      <c r="O1800" s="2">
        <v>51873</v>
      </c>
      <c r="P1800" s="2">
        <v>-8.5556000000000001</v>
      </c>
      <c r="Q1800" s="2">
        <v>-77</v>
      </c>
      <c r="R1800" s="4">
        <v>-1.6493273100769233E-4</v>
      </c>
      <c r="T1800">
        <v>316756</v>
      </c>
      <c r="U1800" s="2"/>
      <c r="V1800">
        <v>6215</v>
      </c>
      <c r="W1800" s="2">
        <v>6579000000</v>
      </c>
      <c r="X1800" s="6">
        <v>466856.99999999994</v>
      </c>
      <c r="Y1800" s="38">
        <v>10010</v>
      </c>
      <c r="Z1800" s="86">
        <f>+((DETALLE_GD_1[[#This Row],[VALOR X UN (GD)]]-DETALLE_GD_1[[#This Row],[VALOR PPTO]])/DETALLE_GD_1[[#This Row],[VALOR PPTO]])</f>
        <v>1.6493358780096941E-4</v>
      </c>
      <c r="AA1800" s="2">
        <f>+DETALLE_GD_1[[#This Row],[VALOR PPTO]]*DETALLE_GD_1[[#This Row],[CANTIDAD RECIBIDA]]</f>
        <v>466857</v>
      </c>
      <c r="AB18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00" s="3">
        <f>+DETALLE_GD_1[[#This Row],[CANTIDAD SOLICITADA]]-DETALLE_GD_1[[#This Row],[DEVOLUCIÓN]]</f>
        <v>9</v>
      </c>
      <c r="AD1800" s="38" t="str">
        <f>+_xlfn.XLOOKUP(DETALLE_GD_1[[#This Row],[CODIGO]],PRODUCTOS[CODIGO],PRODUCTOS[DESC CORTA],"",0)</f>
        <v>PUERTA INTERIOR</v>
      </c>
    </row>
    <row r="1801" spans="1:30" x14ac:dyDescent="0.25">
      <c r="A1801" s="1">
        <v>46169</v>
      </c>
      <c r="B1801" s="1">
        <v>46169</v>
      </c>
      <c r="C1801" s="81" t="s">
        <v>169</v>
      </c>
      <c r="D1801" s="38">
        <v>5</v>
      </c>
      <c r="E1801" s="81" t="s">
        <v>169</v>
      </c>
      <c r="F1801">
        <v>307033</v>
      </c>
      <c r="G1801" s="81" t="s">
        <v>248</v>
      </c>
      <c r="H1801" s="81" t="s">
        <v>31</v>
      </c>
      <c r="I1801" s="3">
        <v>50</v>
      </c>
      <c r="J1801" s="3"/>
      <c r="K1801" s="26">
        <v>50</v>
      </c>
      <c r="L1801" s="2">
        <v>1889.62</v>
      </c>
      <c r="M1801" s="2">
        <v>94481</v>
      </c>
      <c r="N1801" s="2">
        <v>94481</v>
      </c>
      <c r="O1801" s="2">
        <v>1889.0535</v>
      </c>
      <c r="P1801" s="2">
        <v>-0.5665</v>
      </c>
      <c r="Q1801" s="2">
        <v>-28.322800000000001</v>
      </c>
      <c r="R1801" s="4">
        <v>-2.9986233148297494E-4</v>
      </c>
      <c r="T1801">
        <v>316756</v>
      </c>
      <c r="U1801" s="2"/>
      <c r="V1801">
        <v>6215</v>
      </c>
      <c r="W1801" s="2">
        <v>6579000000</v>
      </c>
      <c r="X1801" s="6">
        <v>94452.677199999991</v>
      </c>
      <c r="Y1801" s="38">
        <v>10010</v>
      </c>
      <c r="Z1801" s="86">
        <f>+((DETALLE_GD_1[[#This Row],[VALOR X UN (GD)]]-DETALLE_GD_1[[#This Row],[VALOR PPTO]])/DETALLE_GD_1[[#This Row],[VALOR PPTO]])</f>
        <v>2.9988563055514597E-4</v>
      </c>
      <c r="AA1801" s="2">
        <f>+DETALLE_GD_1[[#This Row],[VALOR PPTO]]*DETALLE_GD_1[[#This Row],[CANTIDAD RECIBIDA]]</f>
        <v>94452.675000000003</v>
      </c>
      <c r="AB1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1" s="3">
        <f>+DETALLE_GD_1[[#This Row],[CANTIDAD SOLICITADA]]-DETALLE_GD_1[[#This Row],[DEVOLUCIÓN]]</f>
        <v>50</v>
      </c>
      <c r="AD1801" s="38">
        <f>+_xlfn.XLOOKUP(DETALLE_GD_1[[#This Row],[CODIGO]],PRODUCTOS[CODIGO],PRODUCTOS[DESC CORTA],"",0)</f>
        <v>0</v>
      </c>
    </row>
    <row r="1802" spans="1:30" x14ac:dyDescent="0.25">
      <c r="A1802" s="1">
        <v>46169</v>
      </c>
      <c r="B1802" s="1">
        <v>46169</v>
      </c>
      <c r="C1802" s="81" t="s">
        <v>169</v>
      </c>
      <c r="D1802" s="38">
        <v>5</v>
      </c>
      <c r="E1802" s="81" t="s">
        <v>169</v>
      </c>
      <c r="F1802">
        <v>617016</v>
      </c>
      <c r="G1802" s="81" t="s">
        <v>133</v>
      </c>
      <c r="H1802" s="81" t="s">
        <v>31</v>
      </c>
      <c r="I1802" s="3">
        <v>10</v>
      </c>
      <c r="J1802" s="3"/>
      <c r="K1802" s="26">
        <v>10</v>
      </c>
      <c r="L1802" s="2">
        <v>2864.3</v>
      </c>
      <c r="M1802" s="2">
        <v>28643</v>
      </c>
      <c r="N1802" s="2">
        <v>28643</v>
      </c>
      <c r="O1802" s="2">
        <v>2857.5133000000001</v>
      </c>
      <c r="P1802" s="2">
        <v>-6.7866999999999997</v>
      </c>
      <c r="Q1802" s="2">
        <v>-67.8673</v>
      </c>
      <c r="R1802" s="4">
        <v>-2.3750461849998991E-3</v>
      </c>
      <c r="T1802">
        <v>316756</v>
      </c>
      <c r="U1802" s="2"/>
      <c r="V1802">
        <v>6215</v>
      </c>
      <c r="W1802" s="2">
        <v>6579000000</v>
      </c>
      <c r="X1802" s="6">
        <v>28575.132740000001</v>
      </c>
      <c r="Y1802" s="38">
        <v>10010</v>
      </c>
      <c r="Z1802" s="86">
        <f>+((DETALLE_GD_1[[#This Row],[VALOR X UN (GD)]]-DETALLE_GD_1[[#This Row],[VALOR PPTO]])/DETALLE_GD_1[[#This Row],[VALOR PPTO]])</f>
        <v>2.3750370645694318E-3</v>
      </c>
      <c r="AA1802" s="2">
        <f>+DETALLE_GD_1[[#This Row],[VALOR PPTO]]*DETALLE_GD_1[[#This Row],[CANTIDAD RECIBIDA]]</f>
        <v>28575.133000000002</v>
      </c>
      <c r="AB1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2" s="3">
        <f>+DETALLE_GD_1[[#This Row],[CANTIDAD SOLICITADA]]-DETALLE_GD_1[[#This Row],[DEVOLUCIÓN]]</f>
        <v>10</v>
      </c>
      <c r="AD1802" s="38" t="str">
        <f>+_xlfn.XLOOKUP(DETALLE_GD_1[[#This Row],[CODIGO]],PRODUCTOS[CODIGO],PRODUCTOS[DESC CORTA],"",0)</f>
        <v>RODILLO CHIPORRO</v>
      </c>
    </row>
    <row r="1803" spans="1:30" x14ac:dyDescent="0.25">
      <c r="A1803" s="1">
        <v>46169</v>
      </c>
      <c r="B1803" s="1">
        <v>46169</v>
      </c>
      <c r="C1803" s="81" t="s">
        <v>169</v>
      </c>
      <c r="D1803" s="38">
        <v>5</v>
      </c>
      <c r="E1803" s="81" t="s">
        <v>169</v>
      </c>
      <c r="F1803">
        <v>617055</v>
      </c>
      <c r="G1803" s="81" t="s">
        <v>182</v>
      </c>
      <c r="H1803" s="81" t="s">
        <v>31</v>
      </c>
      <c r="I1803" s="3">
        <v>10</v>
      </c>
      <c r="J1803" s="3"/>
      <c r="K1803" s="26">
        <v>10</v>
      </c>
      <c r="L1803" s="2">
        <v>694.7</v>
      </c>
      <c r="M1803" s="2">
        <v>6947</v>
      </c>
      <c r="N1803" s="2">
        <v>6947</v>
      </c>
      <c r="O1803" s="2">
        <v>920.35379999999998</v>
      </c>
      <c r="P1803" s="2">
        <v>225.65379999999999</v>
      </c>
      <c r="Q1803" s="2">
        <v>2256.5378000000001</v>
      </c>
      <c r="R1803" s="4">
        <v>0.24518156567447183</v>
      </c>
      <c r="T1803">
        <v>316756</v>
      </c>
      <c r="U1803" s="2"/>
      <c r="V1803">
        <v>6215</v>
      </c>
      <c r="W1803" s="2">
        <v>6579000000</v>
      </c>
      <c r="X1803" s="6">
        <v>9203.5378099999998</v>
      </c>
      <c r="Y1803" s="38">
        <v>10010</v>
      </c>
      <c r="Z1803" s="86">
        <f>+((DETALLE_GD_1[[#This Row],[VALOR X UN (GD)]]-DETALLE_GD_1[[#This Row],[VALOR PPTO]])/DETALLE_GD_1[[#This Row],[VALOR PPTO]])</f>
        <v>-0.24518158125712083</v>
      </c>
      <c r="AA1803" s="2">
        <f>+DETALLE_GD_1[[#This Row],[VALOR PPTO]]*DETALLE_GD_1[[#This Row],[CANTIDAD RECIBIDA]]</f>
        <v>9203.5380000000005</v>
      </c>
      <c r="AB1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3" s="3">
        <f>+DETALLE_GD_1[[#This Row],[CANTIDAD SOLICITADA]]-DETALLE_GD_1[[#This Row],[DEVOLUCIÓN]]</f>
        <v>10</v>
      </c>
      <c r="AD1803" s="38">
        <f>+_xlfn.XLOOKUP(DETALLE_GD_1[[#This Row],[CODIGO]],PRODUCTOS[CODIGO],PRODUCTOS[DESC CORTA],"",0)</f>
        <v>0</v>
      </c>
    </row>
    <row r="1804" spans="1:30" x14ac:dyDescent="0.25">
      <c r="A1804" s="1">
        <v>46169</v>
      </c>
      <c r="B1804" s="1">
        <v>46169</v>
      </c>
      <c r="C1804" s="81" t="s">
        <v>169</v>
      </c>
      <c r="D1804" s="38">
        <v>5</v>
      </c>
      <c r="E1804" s="81" t="s">
        <v>169</v>
      </c>
      <c r="F1804">
        <v>617057</v>
      </c>
      <c r="G1804" s="81" t="s">
        <v>134</v>
      </c>
      <c r="H1804" s="81" t="s">
        <v>31</v>
      </c>
      <c r="I1804" s="3">
        <v>10</v>
      </c>
      <c r="J1804" s="3"/>
      <c r="K1804" s="26">
        <v>10</v>
      </c>
      <c r="L1804" s="2">
        <v>1698.4</v>
      </c>
      <c r="M1804" s="2">
        <v>16984</v>
      </c>
      <c r="N1804" s="2">
        <v>16984</v>
      </c>
      <c r="O1804" s="2">
        <v>2042.1197</v>
      </c>
      <c r="P1804" s="2">
        <v>343.71969999999999</v>
      </c>
      <c r="Q1804" s="2">
        <v>3437.1970999999999</v>
      </c>
      <c r="R1804" s="4">
        <v>0.1683151604629782</v>
      </c>
      <c r="T1804">
        <v>316756</v>
      </c>
      <c r="U1804" s="2"/>
      <c r="V1804">
        <v>6215</v>
      </c>
      <c r="W1804" s="2">
        <v>6579000000</v>
      </c>
      <c r="X1804" s="6">
        <v>20421.197059999999</v>
      </c>
      <c r="Y1804" s="38">
        <v>10010</v>
      </c>
      <c r="Z1804" s="86">
        <f>+((DETALLE_GD_1[[#This Row],[VALOR X UN (GD)]]-DETALLE_GD_1[[#This Row],[VALOR PPTO]])/DETALLE_GD_1[[#This Row],[VALOR PPTO]])</f>
        <v>-0.16831515801938537</v>
      </c>
      <c r="AA1804" s="2">
        <f>+DETALLE_GD_1[[#This Row],[VALOR PPTO]]*DETALLE_GD_1[[#This Row],[CANTIDAD RECIBIDA]]</f>
        <v>20421.197</v>
      </c>
      <c r="AB1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4" s="3">
        <f>+DETALLE_GD_1[[#This Row],[CANTIDAD SOLICITADA]]-DETALLE_GD_1[[#This Row],[DEVOLUCIÓN]]</f>
        <v>10</v>
      </c>
      <c r="AD1804" s="38" t="str">
        <f>+_xlfn.XLOOKUP(DETALLE_GD_1[[#This Row],[CODIGO]],PRODUCTOS[CODIGO],PRODUCTOS[DESC CORTA],"",0)</f>
        <v>BROCHA 5/8 X4</v>
      </c>
    </row>
    <row r="1805" spans="1:30" x14ac:dyDescent="0.25">
      <c r="A1805" s="1">
        <v>46169</v>
      </c>
      <c r="B1805" s="1">
        <v>46169</v>
      </c>
      <c r="C1805" s="81" t="s">
        <v>169</v>
      </c>
      <c r="D1805" s="38">
        <v>5</v>
      </c>
      <c r="E1805" s="81" t="s">
        <v>169</v>
      </c>
      <c r="F1805">
        <v>407185</v>
      </c>
      <c r="G1805" s="81" t="s">
        <v>43</v>
      </c>
      <c r="H1805" s="81" t="s">
        <v>31</v>
      </c>
      <c r="I1805" s="3">
        <v>4500</v>
      </c>
      <c r="J1805" s="3"/>
      <c r="K1805" s="26">
        <v>4500</v>
      </c>
      <c r="L1805" s="2">
        <v>6.2656000000000001</v>
      </c>
      <c r="M1805" s="2">
        <v>28195</v>
      </c>
      <c r="N1805" s="2">
        <v>28195</v>
      </c>
      <c r="O1805" s="2">
        <v>6.8783000000000003</v>
      </c>
      <c r="P1805" s="2">
        <v>0.61280000000000001</v>
      </c>
      <c r="Q1805" s="2">
        <v>2757.44</v>
      </c>
      <c r="R1805" s="4">
        <v>8.9086353127572598E-2</v>
      </c>
      <c r="T1805">
        <v>316756</v>
      </c>
      <c r="U1805" s="2"/>
      <c r="V1805">
        <v>6215</v>
      </c>
      <c r="W1805" s="2">
        <v>6579000000</v>
      </c>
      <c r="X1805" s="6">
        <v>30952.44</v>
      </c>
      <c r="Y1805" s="38">
        <v>10010</v>
      </c>
      <c r="Z1805" s="86">
        <f>+((DETALLE_GD_1[[#This Row],[VALOR X UN (GD)]]-DETALLE_GD_1[[#This Row],[VALOR PPTO]])/DETALLE_GD_1[[#This Row],[VALOR PPTO]])</f>
        <v>-8.9077242923396804E-2</v>
      </c>
      <c r="AA1805" s="2">
        <f>+DETALLE_GD_1[[#This Row],[VALOR PPTO]]*DETALLE_GD_1[[#This Row],[CANTIDAD RECIBIDA]]</f>
        <v>30952.350000000002</v>
      </c>
      <c r="AB1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5" s="3">
        <f>+DETALLE_GD_1[[#This Row],[CANTIDAD SOLICITADA]]-DETALLE_GD_1[[#This Row],[DEVOLUCIÓN]]</f>
        <v>4500</v>
      </c>
      <c r="AD1805" s="38">
        <f>+_xlfn.XLOOKUP(DETALLE_GD_1[[#This Row],[CODIGO]],PRODUCTOS[CODIGO],PRODUCTOS[DESC CORTA],"",0)</f>
        <v>0</v>
      </c>
    </row>
    <row r="1806" spans="1:30" x14ac:dyDescent="0.25">
      <c r="A1806" s="1">
        <v>46169</v>
      </c>
      <c r="B1806" s="1">
        <v>46169</v>
      </c>
      <c r="C1806" s="81" t="s">
        <v>169</v>
      </c>
      <c r="D1806" s="38">
        <v>5</v>
      </c>
      <c r="E1806" s="81" t="s">
        <v>169</v>
      </c>
      <c r="F1806">
        <v>407423</v>
      </c>
      <c r="G1806" s="81" t="s">
        <v>106</v>
      </c>
      <c r="H1806" s="81" t="s">
        <v>31</v>
      </c>
      <c r="I1806" s="3">
        <v>3000</v>
      </c>
      <c r="J1806" s="3"/>
      <c r="K1806" s="26">
        <v>3000</v>
      </c>
      <c r="L1806" s="2">
        <v>3.4662999999999999</v>
      </c>
      <c r="M1806" s="2">
        <v>10399</v>
      </c>
      <c r="N1806" s="2">
        <v>10399</v>
      </c>
      <c r="O1806" s="2">
        <v>106.6405</v>
      </c>
      <c r="P1806" s="2">
        <v>103.1742</v>
      </c>
      <c r="Q1806" s="2">
        <v>309522.50599999999</v>
      </c>
      <c r="R1806" s="4">
        <v>0.96749515175894019</v>
      </c>
      <c r="T1806">
        <v>316756</v>
      </c>
      <c r="U1806" s="2"/>
      <c r="V1806">
        <v>6215</v>
      </c>
      <c r="W1806" s="2">
        <v>6579000000</v>
      </c>
      <c r="X1806" s="6">
        <v>319921.50595135131</v>
      </c>
      <c r="Y1806" s="38">
        <v>10010</v>
      </c>
      <c r="Z1806" s="86">
        <f>+((DETALLE_GD_1[[#This Row],[VALOR X UN (GD)]]-DETALLE_GD_1[[#This Row],[VALOR PPTO]])/DETALLE_GD_1[[#This Row],[VALOR PPTO]])</f>
        <v>-0.96749546373094641</v>
      </c>
      <c r="AA1806" s="2">
        <f>+DETALLE_GD_1[[#This Row],[VALOR PPTO]]*DETALLE_GD_1[[#This Row],[CANTIDAD RECIBIDA]]</f>
        <v>319921.5</v>
      </c>
      <c r="AB18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6" s="3">
        <f>+DETALLE_GD_1[[#This Row],[CANTIDAD SOLICITADA]]-DETALLE_GD_1[[#This Row],[DEVOLUCIÓN]]</f>
        <v>3000</v>
      </c>
      <c r="AD1806" s="38" t="str">
        <f>+_xlfn.XLOOKUP(DETALLE_GD_1[[#This Row],[CODIGO]],PRODUCTOS[CODIGO],PRODUCTOS[DESC CORTA],"",0)</f>
        <v>TORNILLO CRS 6X1 5/8</v>
      </c>
    </row>
    <row r="1807" spans="1:30" x14ac:dyDescent="0.25">
      <c r="A1807" s="1">
        <v>46169</v>
      </c>
      <c r="B1807" s="1">
        <v>46169</v>
      </c>
      <c r="C1807" s="81" t="s">
        <v>169</v>
      </c>
      <c r="D1807" s="38">
        <v>5</v>
      </c>
      <c r="E1807" s="81" t="s">
        <v>169</v>
      </c>
      <c r="F1807">
        <v>404793</v>
      </c>
      <c r="G1807" s="81" t="s">
        <v>1651</v>
      </c>
      <c r="H1807" s="81" t="s">
        <v>137</v>
      </c>
      <c r="I1807" s="3">
        <v>1</v>
      </c>
      <c r="J1807" s="3"/>
      <c r="K1807" s="26">
        <v>1</v>
      </c>
      <c r="L1807" s="2">
        <v>3400</v>
      </c>
      <c r="M1807" s="2">
        <v>3400</v>
      </c>
      <c r="N1807" s="2">
        <v>3400</v>
      </c>
      <c r="O1807" s="2">
        <v>13713.2695</v>
      </c>
      <c r="P1807" s="2">
        <v>10313.2695</v>
      </c>
      <c r="Q1807" s="2">
        <v>10313.2695</v>
      </c>
      <c r="R1807" s="4">
        <v>0.75206496167757364</v>
      </c>
      <c r="T1807">
        <v>316758</v>
      </c>
      <c r="U1807" s="2">
        <v>3400</v>
      </c>
      <c r="V1807">
        <v>6215</v>
      </c>
      <c r="W1807" s="2">
        <v>6579000000</v>
      </c>
      <c r="X1807" s="6">
        <v>13713.269504</v>
      </c>
      <c r="Y1807" s="38">
        <v>10010</v>
      </c>
      <c r="Z1807" s="86">
        <f>+((DETALLE_GD_1[[#This Row],[VALOR X UN (GD)]]-DETALLE_GD_1[[#This Row],[VALOR PPTO]])/DETALLE_GD_1[[#This Row],[VALOR PPTO]])</f>
        <v>-0.75206496160525393</v>
      </c>
      <c r="AA1807" s="2">
        <f>+DETALLE_GD_1[[#This Row],[VALOR PPTO]]*DETALLE_GD_1[[#This Row],[CANTIDAD RECIBIDA]]</f>
        <v>13713.2695</v>
      </c>
      <c r="AB1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7" s="3">
        <f>+DETALLE_GD_1[[#This Row],[CANTIDAD SOLICITADA]]-DETALLE_GD_1[[#This Row],[DEVOLUCIÓN]]</f>
        <v>1</v>
      </c>
      <c r="AD1807" s="38" t="str">
        <f>+_xlfn.XLOOKUP(DETALLE_GD_1[[#This Row],[CODIGO]],PRODUCTOS[CODIGO],PRODUCTOS[DESC CORTA],"",0)</f>
        <v>NARIZ GRADA ALUMINIO</v>
      </c>
    </row>
    <row r="1808" spans="1:30" x14ac:dyDescent="0.25">
      <c r="A1808" s="1">
        <v>46169</v>
      </c>
      <c r="B1808" s="1">
        <v>46169</v>
      </c>
      <c r="C1808" s="81" t="s">
        <v>169</v>
      </c>
      <c r="D1808" s="38">
        <v>5</v>
      </c>
      <c r="E1808" s="81" t="s">
        <v>169</v>
      </c>
      <c r="F1808">
        <v>609008</v>
      </c>
      <c r="G1808" s="81" t="s">
        <v>57</v>
      </c>
      <c r="H1808" s="81" t="s">
        <v>58</v>
      </c>
      <c r="I1808" s="3">
        <v>5</v>
      </c>
      <c r="J1808" s="3"/>
      <c r="K1808" s="26">
        <v>5</v>
      </c>
      <c r="L1808" s="2">
        <v>2067.1999999999998</v>
      </c>
      <c r="M1808" s="2">
        <v>10336</v>
      </c>
      <c r="N1808" s="2">
        <v>10336</v>
      </c>
      <c r="O1808" s="2">
        <v>2130.7573000000002</v>
      </c>
      <c r="P1808" s="2">
        <v>63.557299999999998</v>
      </c>
      <c r="Q1808" s="2">
        <v>317.78660000000002</v>
      </c>
      <c r="R1808" s="4">
        <v>2.9828507311327791E-2</v>
      </c>
      <c r="T1808">
        <v>316759</v>
      </c>
      <c r="U1808" s="2">
        <v>807338</v>
      </c>
      <c r="V1808">
        <v>6215</v>
      </c>
      <c r="W1808" s="2">
        <v>6579000000</v>
      </c>
      <c r="X1808" s="6">
        <v>10653.786550000001</v>
      </c>
      <c r="Y1808" s="38">
        <v>10010</v>
      </c>
      <c r="Z1808" s="86">
        <f>+((DETALLE_GD_1[[#This Row],[VALOR X UN (GD)]]-DETALLE_GD_1[[#This Row],[VALOR PPTO]])/DETALLE_GD_1[[#This Row],[VALOR PPTO]])</f>
        <v>-2.9828502758151007E-2</v>
      </c>
      <c r="AA1808" s="2">
        <f>+DETALLE_GD_1[[#This Row],[VALOR PPTO]]*DETALLE_GD_1[[#This Row],[CANTIDAD RECIBIDA]]</f>
        <v>10653.786500000002</v>
      </c>
      <c r="AB1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8" s="3">
        <f>+DETALLE_GD_1[[#This Row],[CANTIDAD SOLICITADA]]-DETALLE_GD_1[[#This Row],[DEVOLUCIÓN]]</f>
        <v>5</v>
      </c>
      <c r="AD1808" s="38" t="str">
        <f>+_xlfn.XLOOKUP(DETALLE_GD_1[[#This Row],[CODIGO]],PRODUCTOS[CODIGO],PRODUCTOS[DESC CORTA],"",0)</f>
        <v>DUCO</v>
      </c>
    </row>
    <row r="1809" spans="1:30" x14ac:dyDescent="0.25">
      <c r="A1809" s="1">
        <v>46169</v>
      </c>
      <c r="B1809" s="1">
        <v>46169</v>
      </c>
      <c r="C1809" s="81" t="s">
        <v>169</v>
      </c>
      <c r="D1809" s="38">
        <v>5</v>
      </c>
      <c r="E1809" s="81" t="s">
        <v>169</v>
      </c>
      <c r="F1809">
        <v>1801735</v>
      </c>
      <c r="G1809" s="81" t="s">
        <v>73</v>
      </c>
      <c r="H1809" s="81" t="s">
        <v>31</v>
      </c>
      <c r="I1809" s="3">
        <v>6</v>
      </c>
      <c r="J1809" s="3"/>
      <c r="K1809" s="26">
        <v>6</v>
      </c>
      <c r="L1809" s="2">
        <v>3781</v>
      </c>
      <c r="M1809" s="2">
        <v>22686</v>
      </c>
      <c r="N1809" s="2">
        <v>22686</v>
      </c>
      <c r="O1809" s="2">
        <v>3495</v>
      </c>
      <c r="P1809" s="2">
        <v>-286</v>
      </c>
      <c r="Q1809" s="2">
        <v>-1716</v>
      </c>
      <c r="R1809" s="4">
        <v>-8.1831187410586551E-2</v>
      </c>
      <c r="T1809">
        <v>316759</v>
      </c>
      <c r="U1809" s="2"/>
      <c r="V1809">
        <v>6215</v>
      </c>
      <c r="W1809" s="2">
        <v>6579000000</v>
      </c>
      <c r="X1809" s="6">
        <v>20970</v>
      </c>
      <c r="Y1809" s="38">
        <v>10010</v>
      </c>
      <c r="Z1809" s="86">
        <f>+((DETALLE_GD_1[[#This Row],[VALOR X UN (GD)]]-DETALLE_GD_1[[#This Row],[VALOR PPTO]])/DETALLE_GD_1[[#This Row],[VALOR PPTO]])</f>
        <v>8.1831187410586551E-2</v>
      </c>
      <c r="AA1809" s="2">
        <f>+DETALLE_GD_1[[#This Row],[VALOR PPTO]]*DETALLE_GD_1[[#This Row],[CANTIDAD RECIBIDA]]</f>
        <v>20970</v>
      </c>
      <c r="AB1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9" s="3">
        <f>+DETALLE_GD_1[[#This Row],[CANTIDAD SOLICITADA]]-DETALLE_GD_1[[#This Row],[DEVOLUCIÓN]]</f>
        <v>6</v>
      </c>
      <c r="AD1809" s="38" t="str">
        <f>+_xlfn.XLOOKUP(DETALLE_GD_1[[#This Row],[CODIGO]],PRODUCTOS[CODIGO],PRODUCTOS[DESC CORTA],"",0)</f>
        <v>BURLETE PVC</v>
      </c>
    </row>
    <row r="1810" spans="1:30" x14ac:dyDescent="0.25">
      <c r="A1810" s="1">
        <v>46169</v>
      </c>
      <c r="B1810" s="1">
        <v>46169</v>
      </c>
      <c r="C1810" s="81" t="s">
        <v>169</v>
      </c>
      <c r="D1810" s="38">
        <v>5</v>
      </c>
      <c r="E1810" s="81" t="s">
        <v>169</v>
      </c>
      <c r="F1810">
        <v>1805340</v>
      </c>
      <c r="G1810" s="81" t="s">
        <v>298</v>
      </c>
      <c r="H1810" s="81" t="s">
        <v>31</v>
      </c>
      <c r="I1810" s="3">
        <v>3</v>
      </c>
      <c r="J1810" s="3"/>
      <c r="K1810" s="26">
        <v>3</v>
      </c>
      <c r="L1810" s="2">
        <v>19400</v>
      </c>
      <c r="M1810" s="2">
        <v>58200</v>
      </c>
      <c r="N1810" s="2">
        <v>58200</v>
      </c>
      <c r="O1810" s="2">
        <v>19400</v>
      </c>
      <c r="P1810" s="2">
        <v>0</v>
      </c>
      <c r="Q1810" s="2">
        <v>0</v>
      </c>
      <c r="R1810" s="4">
        <v>0</v>
      </c>
      <c r="T1810">
        <v>316759</v>
      </c>
      <c r="U1810" s="2"/>
      <c r="V1810">
        <v>6215</v>
      </c>
      <c r="W1810" s="2">
        <v>6579000000</v>
      </c>
      <c r="X1810" s="6">
        <v>58200</v>
      </c>
      <c r="Y1810" s="38">
        <v>10010</v>
      </c>
      <c r="Z1810" s="86">
        <f>+((DETALLE_GD_1[[#This Row],[VALOR X UN (GD)]]-DETALLE_GD_1[[#This Row],[VALOR PPTO]])/DETALLE_GD_1[[#This Row],[VALOR PPTO]])</f>
        <v>0</v>
      </c>
      <c r="AA1810" s="2">
        <f>+DETALLE_GD_1[[#This Row],[VALOR PPTO]]*DETALLE_GD_1[[#This Row],[CANTIDAD RECIBIDA]]</f>
        <v>58200</v>
      </c>
      <c r="AB1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0" s="3">
        <f>+DETALLE_GD_1[[#This Row],[CANTIDAD SOLICITADA]]-DETALLE_GD_1[[#This Row],[DEVOLUCIÓN]]</f>
        <v>3</v>
      </c>
      <c r="AD1810" s="38" t="str">
        <f>+_xlfn.XLOOKUP(DETALLE_GD_1[[#This Row],[CODIGO]],PRODUCTOS[CODIGO],PRODUCTOS[DESC CORTA],"",0)</f>
        <v>EXTRT</v>
      </c>
    </row>
    <row r="1811" spans="1:30" x14ac:dyDescent="0.25">
      <c r="A1811" s="1">
        <v>46169</v>
      </c>
      <c r="B1811" s="1">
        <v>46169</v>
      </c>
      <c r="C1811" s="81" t="s">
        <v>169</v>
      </c>
      <c r="D1811" s="38">
        <v>5</v>
      </c>
      <c r="E1811" s="81" t="s">
        <v>169</v>
      </c>
      <c r="F1811">
        <v>1808156</v>
      </c>
      <c r="G1811" s="81" t="s">
        <v>277</v>
      </c>
      <c r="H1811" s="81" t="s">
        <v>31</v>
      </c>
      <c r="I1811" s="3">
        <v>2</v>
      </c>
      <c r="J1811" s="3"/>
      <c r="K1811" s="26">
        <v>2</v>
      </c>
      <c r="L1811" s="2">
        <v>1931.5</v>
      </c>
      <c r="M1811" s="2">
        <v>3863</v>
      </c>
      <c r="N1811" s="2">
        <v>3863</v>
      </c>
      <c r="O1811" s="2">
        <v>1916</v>
      </c>
      <c r="P1811" s="2">
        <v>-15.5</v>
      </c>
      <c r="Q1811" s="2">
        <v>-31</v>
      </c>
      <c r="R1811" s="4">
        <v>-8.0897703549060538E-3</v>
      </c>
      <c r="T1811">
        <v>316759</v>
      </c>
      <c r="U1811" s="2"/>
      <c r="V1811">
        <v>6215</v>
      </c>
      <c r="W1811" s="2">
        <v>6579000000</v>
      </c>
      <c r="X1811" s="6">
        <v>3832</v>
      </c>
      <c r="Y1811" s="38">
        <v>10010</v>
      </c>
      <c r="Z1811" s="86">
        <f>+((DETALLE_GD_1[[#This Row],[VALOR X UN (GD)]]-DETALLE_GD_1[[#This Row],[VALOR PPTO]])/DETALLE_GD_1[[#This Row],[VALOR PPTO]])</f>
        <v>8.0897703549060538E-3</v>
      </c>
      <c r="AA1811" s="2">
        <f>+DETALLE_GD_1[[#This Row],[VALOR PPTO]]*DETALLE_GD_1[[#This Row],[CANTIDAD RECIBIDA]]</f>
        <v>3832</v>
      </c>
      <c r="AB1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1" s="3">
        <f>+DETALLE_GD_1[[#This Row],[CANTIDAD SOLICITADA]]-DETALLE_GD_1[[#This Row],[DEVOLUCIÓN]]</f>
        <v>2</v>
      </c>
      <c r="AD1811" s="38" t="str">
        <f>+_xlfn.XLOOKUP(DETALLE_GD_1[[#This Row],[CODIGO]],PRODUCTOS[CODIGO],PRODUCTOS[DESC CORTA],"",0)</f>
        <v>PERCHA SIMPLE YORK</v>
      </c>
    </row>
    <row r="1812" spans="1:30" x14ac:dyDescent="0.25">
      <c r="A1812" s="1">
        <v>46169</v>
      </c>
      <c r="B1812" s="1">
        <v>46169</v>
      </c>
      <c r="C1812" s="81" t="s">
        <v>169</v>
      </c>
      <c r="D1812" s="38">
        <v>5</v>
      </c>
      <c r="E1812" s="81" t="s">
        <v>169</v>
      </c>
      <c r="F1812">
        <v>1808006</v>
      </c>
      <c r="G1812" s="81" t="s">
        <v>194</v>
      </c>
      <c r="H1812" s="81" t="s">
        <v>31</v>
      </c>
      <c r="I1812" s="3">
        <v>2</v>
      </c>
      <c r="J1812" s="3"/>
      <c r="K1812" s="26">
        <v>2</v>
      </c>
      <c r="L1812" s="2">
        <v>2906.5</v>
      </c>
      <c r="M1812" s="2">
        <v>5813</v>
      </c>
      <c r="N1812" s="2">
        <v>5813</v>
      </c>
      <c r="O1812" s="2">
        <v>2906.6711</v>
      </c>
      <c r="P1812" s="2">
        <v>0.1711</v>
      </c>
      <c r="Q1812" s="2">
        <v>0.3422</v>
      </c>
      <c r="R1812" s="4">
        <v>5.8863213053409091E-5</v>
      </c>
      <c r="T1812">
        <v>316759</v>
      </c>
      <c r="U1812" s="2"/>
      <c r="V1812">
        <v>6215</v>
      </c>
      <c r="W1812" s="2">
        <v>6579000000</v>
      </c>
      <c r="X1812" s="6">
        <v>5813.3421920000001</v>
      </c>
      <c r="Y1812" s="38">
        <v>10010</v>
      </c>
      <c r="Z1812" s="86">
        <f>+((DETALLE_GD_1[[#This Row],[VALOR X UN (GD)]]-DETALLE_GD_1[[#This Row],[VALOR PPTO]])/DETALLE_GD_1[[#This Row],[VALOR PPTO]])</f>
        <v>-5.886458911709137E-5</v>
      </c>
      <c r="AA1812" s="2">
        <f>+DETALLE_GD_1[[#This Row],[VALOR PPTO]]*DETALLE_GD_1[[#This Row],[CANTIDAD RECIBIDA]]</f>
        <v>5813.3422</v>
      </c>
      <c r="AB1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2" s="3">
        <f>+DETALLE_GD_1[[#This Row],[CANTIDAD SOLICITADA]]-DETALLE_GD_1[[#This Row],[DEVOLUCIÓN]]</f>
        <v>2</v>
      </c>
      <c r="AD1812" s="38">
        <f>+_xlfn.XLOOKUP(DETALLE_GD_1[[#This Row],[CODIGO]],PRODUCTOS[CODIGO],PRODUCTOS[DESC CORTA],"",0)</f>
        <v>0</v>
      </c>
    </row>
    <row r="1813" spans="1:30" x14ac:dyDescent="0.25">
      <c r="A1813" s="1">
        <v>46169</v>
      </c>
      <c r="B1813" s="1">
        <v>46169</v>
      </c>
      <c r="C1813" s="81" t="s">
        <v>169</v>
      </c>
      <c r="D1813" s="38">
        <v>5</v>
      </c>
      <c r="E1813" s="81" t="s">
        <v>169</v>
      </c>
      <c r="F1813">
        <v>1808003</v>
      </c>
      <c r="G1813" s="81" t="s">
        <v>195</v>
      </c>
      <c r="H1813" s="81" t="s">
        <v>31</v>
      </c>
      <c r="I1813" s="3">
        <v>4</v>
      </c>
      <c r="J1813" s="3"/>
      <c r="K1813" s="26">
        <v>4</v>
      </c>
      <c r="L1813" s="2">
        <v>167.75</v>
      </c>
      <c r="M1813" s="2">
        <v>671</v>
      </c>
      <c r="N1813" s="2">
        <v>671</v>
      </c>
      <c r="O1813" s="2">
        <v>167.7449</v>
      </c>
      <c r="P1813" s="2">
        <v>-5.1000000000000004E-3</v>
      </c>
      <c r="Q1813" s="2">
        <v>-2.06E-2</v>
      </c>
      <c r="R1813" s="4">
        <v>-3.065369669917391E-5</v>
      </c>
      <c r="T1813">
        <v>316759</v>
      </c>
      <c r="U1813" s="2"/>
      <c r="V1813">
        <v>6215</v>
      </c>
      <c r="W1813" s="2">
        <v>6579000000</v>
      </c>
      <c r="X1813" s="6">
        <v>670.97943200000009</v>
      </c>
      <c r="Y1813" s="38">
        <v>10010</v>
      </c>
      <c r="Z1813" s="86">
        <f>+((DETALLE_GD_1[[#This Row],[VALOR X UN (GD)]]-DETALLE_GD_1[[#This Row],[VALOR PPTO]])/DETALLE_GD_1[[#This Row],[VALOR PPTO]])</f>
        <v>3.0403308833823098E-5</v>
      </c>
      <c r="AA1813" s="2">
        <f>+DETALLE_GD_1[[#This Row],[VALOR PPTO]]*DETALLE_GD_1[[#This Row],[CANTIDAD RECIBIDA]]</f>
        <v>670.9796</v>
      </c>
      <c r="AB1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3" s="3">
        <f>+DETALLE_GD_1[[#This Row],[CANTIDAD SOLICITADA]]-DETALLE_GD_1[[#This Row],[DEVOLUCIÓN]]</f>
        <v>4</v>
      </c>
      <c r="AD1813" s="38">
        <f>+_xlfn.XLOOKUP(DETALLE_GD_1[[#This Row],[CODIGO]],PRODUCTOS[CODIGO],PRODUCTOS[DESC CORTA],"",0)</f>
        <v>0</v>
      </c>
    </row>
    <row r="1814" spans="1:30" x14ac:dyDescent="0.25">
      <c r="A1814" s="1">
        <v>46169</v>
      </c>
      <c r="B1814" s="1">
        <v>46169</v>
      </c>
      <c r="C1814" s="81" t="s">
        <v>169</v>
      </c>
      <c r="D1814" s="38">
        <v>5</v>
      </c>
      <c r="E1814" s="81" t="s">
        <v>169</v>
      </c>
      <c r="F1814">
        <v>1802517</v>
      </c>
      <c r="G1814" s="81" t="s">
        <v>141</v>
      </c>
      <c r="H1814" s="81" t="s">
        <v>31</v>
      </c>
      <c r="I1814" s="3">
        <v>2</v>
      </c>
      <c r="J1814" s="3"/>
      <c r="K1814" s="26">
        <v>2</v>
      </c>
      <c r="L1814" s="2">
        <v>2312.5</v>
      </c>
      <c r="M1814" s="2">
        <v>4625</v>
      </c>
      <c r="N1814" s="2">
        <v>4625</v>
      </c>
      <c r="O1814" s="2">
        <v>2312</v>
      </c>
      <c r="P1814" s="2">
        <v>-0.5</v>
      </c>
      <c r="Q1814" s="2">
        <v>-1</v>
      </c>
      <c r="R1814" s="4">
        <v>-2.1626297577854672E-4</v>
      </c>
      <c r="T1814">
        <v>316759</v>
      </c>
      <c r="U1814" s="2"/>
      <c r="V1814">
        <v>6215</v>
      </c>
      <c r="W1814" s="2">
        <v>6579000000</v>
      </c>
      <c r="X1814" s="6">
        <v>4624</v>
      </c>
      <c r="Y1814" s="38">
        <v>10010</v>
      </c>
      <c r="Z1814" s="86">
        <f>+((DETALLE_GD_1[[#This Row],[VALOR X UN (GD)]]-DETALLE_GD_1[[#This Row],[VALOR PPTO]])/DETALLE_GD_1[[#This Row],[VALOR PPTO]])</f>
        <v>2.1626297577854672E-4</v>
      </c>
      <c r="AA1814" s="2">
        <f>+DETALLE_GD_1[[#This Row],[VALOR PPTO]]*DETALLE_GD_1[[#This Row],[CANTIDAD RECIBIDA]]</f>
        <v>4624</v>
      </c>
      <c r="AB1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4" s="3">
        <f>+DETALLE_GD_1[[#This Row],[CANTIDAD SOLICITADA]]-DETALLE_GD_1[[#This Row],[DEVOLUCIÓN]]</f>
        <v>2</v>
      </c>
      <c r="AD1814" s="38" t="str">
        <f>+_xlfn.XLOOKUP(DETALLE_GD_1[[#This Row],[CODIGO]],PRODUCTOS[CODIGO],PRODUCTOS[DESC CORTA],"",0)</f>
        <v>CELOSIA ALUMINIO 25X25</v>
      </c>
    </row>
    <row r="1815" spans="1:30" x14ac:dyDescent="0.25">
      <c r="A1815" s="1">
        <v>46169</v>
      </c>
      <c r="B1815" s="1">
        <v>46169</v>
      </c>
      <c r="C1815" s="81" t="s">
        <v>169</v>
      </c>
      <c r="D1815" s="38">
        <v>5</v>
      </c>
      <c r="E1815" s="81" t="s">
        <v>169</v>
      </c>
      <c r="F1815">
        <v>1802172</v>
      </c>
      <c r="G1815" s="81" t="s">
        <v>266</v>
      </c>
      <c r="H1815" s="81" t="s">
        <v>31</v>
      </c>
      <c r="I1815" s="3">
        <v>2</v>
      </c>
      <c r="J1815" s="3"/>
      <c r="K1815" s="26">
        <v>2</v>
      </c>
      <c r="L1815" s="2">
        <v>3032.5</v>
      </c>
      <c r="M1815" s="2">
        <v>6065</v>
      </c>
      <c r="N1815" s="2">
        <v>6065</v>
      </c>
      <c r="O1815" s="2">
        <v>3035</v>
      </c>
      <c r="P1815" s="2">
        <v>2.5</v>
      </c>
      <c r="Q1815" s="2">
        <v>5</v>
      </c>
      <c r="R1815" s="4">
        <v>8.2372322899505756E-4</v>
      </c>
      <c r="T1815">
        <v>316759</v>
      </c>
      <c r="U1815" s="2"/>
      <c r="V1815">
        <v>6215</v>
      </c>
      <c r="W1815" s="2">
        <v>6579000000</v>
      </c>
      <c r="X1815" s="6">
        <v>6070</v>
      </c>
      <c r="Y1815" s="38">
        <v>10010</v>
      </c>
      <c r="Z1815" s="86">
        <f>+((DETALLE_GD_1[[#This Row],[VALOR X UN (GD)]]-DETALLE_GD_1[[#This Row],[VALOR PPTO]])/DETALLE_GD_1[[#This Row],[VALOR PPTO]])</f>
        <v>-8.2372322899505767E-4</v>
      </c>
      <c r="AA1815" s="2">
        <f>+DETALLE_GD_1[[#This Row],[VALOR PPTO]]*DETALLE_GD_1[[#This Row],[CANTIDAD RECIBIDA]]</f>
        <v>6070</v>
      </c>
      <c r="AB1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5" s="3">
        <f>+DETALLE_GD_1[[#This Row],[CANTIDAD SOLICITADA]]-DETALLE_GD_1[[#This Row],[DEVOLUCIÓN]]</f>
        <v>2</v>
      </c>
      <c r="AD1815" s="38" t="str">
        <f>+_xlfn.XLOOKUP(DETALLE_GD_1[[#This Row],[CODIGO]],PRODUCTOS[CODIGO],PRODUCTOS[DESC CORTA],"",0)</f>
        <v>ARGOLLA TOALLA BENTON</v>
      </c>
    </row>
    <row r="1816" spans="1:30" x14ac:dyDescent="0.25">
      <c r="A1816" s="1">
        <v>46169</v>
      </c>
      <c r="B1816" s="1">
        <v>46169</v>
      </c>
      <c r="C1816" s="81" t="s">
        <v>169</v>
      </c>
      <c r="D1816" s="38">
        <v>5</v>
      </c>
      <c r="E1816" s="81" t="s">
        <v>169</v>
      </c>
      <c r="F1816">
        <v>1802171</v>
      </c>
      <c r="G1816" s="81" t="s">
        <v>265</v>
      </c>
      <c r="H1816" s="81" t="s">
        <v>31</v>
      </c>
      <c r="I1816" s="3">
        <v>2</v>
      </c>
      <c r="J1816" s="3"/>
      <c r="K1816" s="26">
        <v>2</v>
      </c>
      <c r="L1816" s="2">
        <v>3148.5</v>
      </c>
      <c r="M1816" s="2">
        <v>6297</v>
      </c>
      <c r="N1816" s="2">
        <v>6297</v>
      </c>
      <c r="O1816" s="2">
        <v>3632</v>
      </c>
      <c r="P1816" s="2">
        <v>483.5</v>
      </c>
      <c r="Q1816" s="2">
        <v>967</v>
      </c>
      <c r="R1816" s="4">
        <v>0.13312224669603523</v>
      </c>
      <c r="T1816">
        <v>316759</v>
      </c>
      <c r="U1816" s="2"/>
      <c r="V1816">
        <v>6215</v>
      </c>
      <c r="W1816" s="2">
        <v>6579000000</v>
      </c>
      <c r="X1816" s="6">
        <v>7264</v>
      </c>
      <c r="Y1816" s="38">
        <v>10010</v>
      </c>
      <c r="Z1816" s="86">
        <f>+((DETALLE_GD_1[[#This Row],[VALOR X UN (GD)]]-DETALLE_GD_1[[#This Row],[VALOR PPTO]])/DETALLE_GD_1[[#This Row],[VALOR PPTO]])</f>
        <v>-0.13312224669603523</v>
      </c>
      <c r="AA1816" s="2">
        <f>+DETALLE_GD_1[[#This Row],[VALOR PPTO]]*DETALLE_GD_1[[#This Row],[CANTIDAD RECIBIDA]]</f>
        <v>7264</v>
      </c>
      <c r="AB1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6" s="3">
        <f>+DETALLE_GD_1[[#This Row],[CANTIDAD SOLICITADA]]-DETALLE_GD_1[[#This Row],[DEVOLUCIÓN]]</f>
        <v>2</v>
      </c>
      <c r="AD1816" s="38" t="str">
        <f>+_xlfn.XLOOKUP(DETALLE_GD_1[[#This Row],[CODIGO]],PRODUCTOS[CODIGO],PRODUCTOS[DESC CORTA],"",0)</f>
        <v>PORTA ROLLO BENTON</v>
      </c>
    </row>
    <row r="1817" spans="1:30" x14ac:dyDescent="0.25">
      <c r="A1817" s="1">
        <v>46169</v>
      </c>
      <c r="B1817" s="1">
        <v>46169</v>
      </c>
      <c r="C1817" s="81" t="s">
        <v>169</v>
      </c>
      <c r="D1817" s="38">
        <v>5</v>
      </c>
      <c r="E1817" s="81" t="s">
        <v>169</v>
      </c>
      <c r="F1817">
        <v>1206002</v>
      </c>
      <c r="G1817" s="81" t="s">
        <v>192</v>
      </c>
      <c r="H1817" s="81" t="s">
        <v>31</v>
      </c>
      <c r="I1817" s="3">
        <v>2</v>
      </c>
      <c r="J1817" s="3"/>
      <c r="K1817" s="26">
        <v>2</v>
      </c>
      <c r="L1817" s="2">
        <v>20331.5</v>
      </c>
      <c r="M1817" s="2">
        <v>40663</v>
      </c>
      <c r="N1817" s="2">
        <v>40663</v>
      </c>
      <c r="O1817" s="2">
        <v>15783.483899999999</v>
      </c>
      <c r="P1817" s="2">
        <v>-4548.0160999999998</v>
      </c>
      <c r="Q1817" s="2">
        <v>-9096.0323000000008</v>
      </c>
      <c r="R1817" s="4">
        <v>-0.28815033272574009</v>
      </c>
      <c r="T1817">
        <v>316759</v>
      </c>
      <c r="U1817" s="2"/>
      <c r="V1817">
        <v>6215</v>
      </c>
      <c r="W1817" s="2">
        <v>6579000000</v>
      </c>
      <c r="X1817" s="6">
        <v>31566.967741999997</v>
      </c>
      <c r="Y1817" s="38">
        <v>10010</v>
      </c>
      <c r="Z1817" s="86">
        <f>+((DETALLE_GD_1[[#This Row],[VALOR X UN (GD)]]-DETALLE_GD_1[[#This Row],[VALOR PPTO]])/DETALLE_GD_1[[#This Row],[VALOR PPTO]])</f>
        <v>0.28815033035893939</v>
      </c>
      <c r="AA1817" s="2">
        <f>+DETALLE_GD_1[[#This Row],[VALOR PPTO]]*DETALLE_GD_1[[#This Row],[CANTIDAD RECIBIDA]]</f>
        <v>31566.967799999999</v>
      </c>
      <c r="AB1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7" s="3">
        <f>+DETALLE_GD_1[[#This Row],[CANTIDAD SOLICITADA]]-DETALLE_GD_1[[#This Row],[DEVOLUCIÓN]]</f>
        <v>2</v>
      </c>
      <c r="AD1817" s="38">
        <f>+_xlfn.XLOOKUP(DETALLE_GD_1[[#This Row],[CODIGO]],PRODUCTOS[CODIGO],PRODUCTOS[DESC CORTA],"",0)</f>
        <v>0</v>
      </c>
    </row>
    <row r="1818" spans="1:30" x14ac:dyDescent="0.25">
      <c r="A1818" s="1">
        <v>46169</v>
      </c>
      <c r="B1818" s="1">
        <v>46169</v>
      </c>
      <c r="C1818" s="81" t="s">
        <v>169</v>
      </c>
      <c r="D1818" s="38">
        <v>5</v>
      </c>
      <c r="E1818" s="81" t="s">
        <v>169</v>
      </c>
      <c r="F1818">
        <v>705028</v>
      </c>
      <c r="G1818" s="81" t="s">
        <v>72</v>
      </c>
      <c r="H1818" s="81" t="s">
        <v>18</v>
      </c>
      <c r="I1818" s="3">
        <v>20</v>
      </c>
      <c r="J1818" s="3"/>
      <c r="K1818" s="26">
        <v>20</v>
      </c>
      <c r="L1818" s="2">
        <v>22782</v>
      </c>
      <c r="M1818" s="2">
        <v>455640</v>
      </c>
      <c r="N1818" s="2">
        <v>455640</v>
      </c>
      <c r="O1818" s="2">
        <v>22927.086200000002</v>
      </c>
      <c r="P1818" s="2">
        <v>145.08619999999999</v>
      </c>
      <c r="Q1818" s="2">
        <v>2901.7240999999999</v>
      </c>
      <c r="R1818" s="4">
        <v>6.3281572586272733E-3</v>
      </c>
      <c r="T1818">
        <v>316759</v>
      </c>
      <c r="U1818" s="2"/>
      <c r="V1818">
        <v>6215</v>
      </c>
      <c r="W1818" s="2">
        <v>6579000000</v>
      </c>
      <c r="X1818" s="6">
        <v>458541.72414000001</v>
      </c>
      <c r="Y1818" s="38">
        <v>10010</v>
      </c>
      <c r="Z1818" s="86">
        <f>+((DETALLE_GD_1[[#This Row],[VALOR X UN (GD)]]-DETALLE_GD_1[[#This Row],[VALOR PPTO]])/DETALLE_GD_1[[#This Row],[VALOR PPTO]])</f>
        <v>-6.3281569552436868E-3</v>
      </c>
      <c r="AA1818" s="2">
        <f>+DETALLE_GD_1[[#This Row],[VALOR PPTO]]*DETALLE_GD_1[[#This Row],[CANTIDAD RECIBIDA]]</f>
        <v>458541.72400000005</v>
      </c>
      <c r="AB18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18" s="3">
        <f>+DETALLE_GD_1[[#This Row],[CANTIDAD SOLICITADA]]-DETALLE_GD_1[[#This Row],[DEVOLUCIÓN]]</f>
        <v>20</v>
      </c>
      <c r="AD1818" s="38" t="str">
        <f>+_xlfn.XLOOKUP(DETALLE_GD_1[[#This Row],[CODIGO]],PRODUCTOS[CODIGO],PRODUCTOS[DESC CORTA],"",0)</f>
        <v>SIMPLISIMA</v>
      </c>
    </row>
    <row r="1819" spans="1:30" x14ac:dyDescent="0.25">
      <c r="A1819" s="1">
        <v>46169</v>
      </c>
      <c r="B1819" s="1">
        <v>46169</v>
      </c>
      <c r="C1819" s="81" t="s">
        <v>169</v>
      </c>
      <c r="D1819" s="38">
        <v>5</v>
      </c>
      <c r="E1819" s="81" t="s">
        <v>169</v>
      </c>
      <c r="F1819">
        <v>404252</v>
      </c>
      <c r="G1819" s="81" t="s">
        <v>181</v>
      </c>
      <c r="H1819" s="81" t="s">
        <v>31</v>
      </c>
      <c r="I1819" s="3">
        <v>20</v>
      </c>
      <c r="J1819" s="3"/>
      <c r="K1819" s="26">
        <v>20</v>
      </c>
      <c r="L1819" s="2">
        <v>1544.2</v>
      </c>
      <c r="M1819" s="2">
        <v>30884</v>
      </c>
      <c r="N1819" s="2">
        <v>30884</v>
      </c>
      <c r="O1819" s="2">
        <v>1110.0438999999999</v>
      </c>
      <c r="P1819" s="2">
        <v>-434.15609999999998</v>
      </c>
      <c r="Q1819" s="2">
        <v>-8683.1224999999995</v>
      </c>
      <c r="R1819" s="4">
        <v>-0.39111618323094111</v>
      </c>
      <c r="T1819">
        <v>316759</v>
      </c>
      <c r="U1819" s="2"/>
      <c r="V1819">
        <v>6215</v>
      </c>
      <c r="W1819" s="2">
        <v>6579000000</v>
      </c>
      <c r="X1819" s="6">
        <v>22200.877519999998</v>
      </c>
      <c r="Y1819" s="38">
        <v>10010</v>
      </c>
      <c r="Z1819" s="86">
        <f>+((DETALLE_GD_1[[#This Row],[VALOR X UN (GD)]]-DETALLE_GD_1[[#This Row],[VALOR PPTO]])/DETALLE_GD_1[[#This Row],[VALOR PPTO]])</f>
        <v>0.39111615315394299</v>
      </c>
      <c r="AA1819" s="2">
        <f>+DETALLE_GD_1[[#This Row],[VALOR PPTO]]*DETALLE_GD_1[[#This Row],[CANTIDAD RECIBIDA]]</f>
        <v>22200.877999999997</v>
      </c>
      <c r="AB1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9" s="3">
        <f>+DETALLE_GD_1[[#This Row],[CANTIDAD SOLICITADA]]-DETALLE_GD_1[[#This Row],[DEVOLUCIÓN]]</f>
        <v>20</v>
      </c>
      <c r="AD1819" s="38">
        <f>+_xlfn.XLOOKUP(DETALLE_GD_1[[#This Row],[CODIGO]],PRODUCTOS[CODIGO],PRODUCTOS[DESC CORTA],"",0)</f>
        <v>0</v>
      </c>
    </row>
    <row r="1820" spans="1:30" x14ac:dyDescent="0.25">
      <c r="A1820" s="1">
        <v>46169</v>
      </c>
      <c r="B1820" s="1">
        <v>46169</v>
      </c>
      <c r="C1820" s="81" t="s">
        <v>169</v>
      </c>
      <c r="D1820" s="38">
        <v>5</v>
      </c>
      <c r="E1820" s="81" t="s">
        <v>169</v>
      </c>
      <c r="F1820">
        <v>1802162</v>
      </c>
      <c r="G1820" s="81" t="s">
        <v>260</v>
      </c>
      <c r="H1820" s="81" t="s">
        <v>31</v>
      </c>
      <c r="I1820" s="3">
        <v>2</v>
      </c>
      <c r="J1820" s="3"/>
      <c r="K1820" s="26">
        <v>2</v>
      </c>
      <c r="L1820" s="2">
        <v>42840</v>
      </c>
      <c r="M1820" s="2">
        <v>85680</v>
      </c>
      <c r="N1820" s="2">
        <v>85680</v>
      </c>
      <c r="O1820" s="2">
        <v>42840</v>
      </c>
      <c r="P1820" s="2">
        <v>0</v>
      </c>
      <c r="Q1820" s="2">
        <v>0</v>
      </c>
      <c r="R1820" s="4">
        <v>0</v>
      </c>
      <c r="T1820">
        <v>316759</v>
      </c>
      <c r="U1820" s="2"/>
      <c r="V1820">
        <v>6215</v>
      </c>
      <c r="W1820" s="2">
        <v>6579000000</v>
      </c>
      <c r="X1820" s="6">
        <v>85680</v>
      </c>
      <c r="Y1820" s="38">
        <v>10010</v>
      </c>
      <c r="Z1820" s="86">
        <f>+((DETALLE_GD_1[[#This Row],[VALOR X UN (GD)]]-DETALLE_GD_1[[#This Row],[VALOR PPTO]])/DETALLE_GD_1[[#This Row],[VALOR PPTO]])</f>
        <v>0</v>
      </c>
      <c r="AA1820" s="2">
        <f>+DETALLE_GD_1[[#This Row],[VALOR PPTO]]*DETALLE_GD_1[[#This Row],[CANTIDAD RECIBIDA]]</f>
        <v>85680</v>
      </c>
      <c r="AB1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0" s="3">
        <f>+DETALLE_GD_1[[#This Row],[CANTIDAD SOLICITADA]]-DETALLE_GD_1[[#This Row],[DEVOLUCIÓN]]</f>
        <v>2</v>
      </c>
      <c r="AD1820" s="38" t="str">
        <f>+_xlfn.XLOOKUP(DETALLE_GD_1[[#This Row],[CODIGO]],PRODUCTOS[CODIGO],PRODUCTOS[DESC CORTA],"",0)</f>
        <v>TINA DE ACERO</v>
      </c>
    </row>
    <row r="1821" spans="1:30" x14ac:dyDescent="0.25">
      <c r="A1821" s="1">
        <v>46169</v>
      </c>
      <c r="B1821" s="1">
        <v>46169</v>
      </c>
      <c r="C1821" s="81" t="s">
        <v>169</v>
      </c>
      <c r="D1821" s="38">
        <v>5</v>
      </c>
      <c r="E1821" s="81" t="s">
        <v>169</v>
      </c>
      <c r="F1821">
        <v>2304056</v>
      </c>
      <c r="G1821" s="81" t="s">
        <v>417</v>
      </c>
      <c r="H1821" s="81" t="s">
        <v>31</v>
      </c>
      <c r="I1821" s="3">
        <v>24</v>
      </c>
      <c r="J1821" s="3"/>
      <c r="K1821" s="26">
        <v>24</v>
      </c>
      <c r="L1821" s="2">
        <v>3163.125</v>
      </c>
      <c r="M1821" s="2">
        <v>75915</v>
      </c>
      <c r="N1821" s="2">
        <v>75915</v>
      </c>
      <c r="O1821" s="2">
        <v>2979</v>
      </c>
      <c r="P1821" s="2">
        <v>-184.125</v>
      </c>
      <c r="Q1821" s="2">
        <v>-4419</v>
      </c>
      <c r="R1821" s="4">
        <v>-6.1807653575025177E-2</v>
      </c>
      <c r="T1821">
        <v>316759</v>
      </c>
      <c r="U1821" s="2"/>
      <c r="V1821">
        <v>6215</v>
      </c>
      <c r="W1821" s="2">
        <v>6579000000</v>
      </c>
      <c r="X1821" s="6">
        <v>71496</v>
      </c>
      <c r="Y1821" s="38">
        <v>10010</v>
      </c>
      <c r="Z1821" s="86">
        <f>+((DETALLE_GD_1[[#This Row],[VALOR X UN (GD)]]-DETALLE_GD_1[[#This Row],[VALOR PPTO]])/DETALLE_GD_1[[#This Row],[VALOR PPTO]])</f>
        <v>6.1807653575025177E-2</v>
      </c>
      <c r="AA1821" s="2">
        <f>+DETALLE_GD_1[[#This Row],[VALOR PPTO]]*DETALLE_GD_1[[#This Row],[CANTIDAD RECIBIDA]]</f>
        <v>71496</v>
      </c>
      <c r="AB1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1" s="3">
        <f>+DETALLE_GD_1[[#This Row],[CANTIDAD SOLICITADA]]-DETALLE_GD_1[[#This Row],[DEVOLUCIÓN]]</f>
        <v>24</v>
      </c>
      <c r="AD1821" s="38" t="str">
        <f>+_xlfn.XLOOKUP(DETALLE_GD_1[[#This Row],[CODIGO]],PRODUCTOS[CODIGO],PRODUCTOS[DESC CORTA],"",0)</f>
        <v/>
      </c>
    </row>
    <row r="1822" spans="1:30" x14ac:dyDescent="0.25">
      <c r="A1822" s="1">
        <v>46169</v>
      </c>
      <c r="B1822" s="1">
        <v>46169</v>
      </c>
      <c r="C1822" s="81" t="s">
        <v>169</v>
      </c>
      <c r="D1822" s="38">
        <v>5</v>
      </c>
      <c r="E1822" s="81" t="s">
        <v>169</v>
      </c>
      <c r="F1822">
        <v>1802162</v>
      </c>
      <c r="G1822" s="81" t="s">
        <v>260</v>
      </c>
      <c r="H1822" s="81" t="s">
        <v>31</v>
      </c>
      <c r="I1822" s="3">
        <v>3</v>
      </c>
      <c r="J1822" s="3"/>
      <c r="K1822" s="26">
        <v>3</v>
      </c>
      <c r="L1822" s="2">
        <v>42840</v>
      </c>
      <c r="M1822" s="2">
        <v>128520</v>
      </c>
      <c r="N1822" s="2">
        <v>128520</v>
      </c>
      <c r="O1822" s="2">
        <v>42840</v>
      </c>
      <c r="P1822" s="2">
        <v>0</v>
      </c>
      <c r="Q1822" s="2">
        <v>0</v>
      </c>
      <c r="R1822" s="4">
        <v>0</v>
      </c>
      <c r="T1822">
        <v>316822</v>
      </c>
      <c r="U1822" s="2">
        <v>260996</v>
      </c>
      <c r="V1822">
        <v>6215</v>
      </c>
      <c r="W1822" s="2">
        <v>6579000000</v>
      </c>
      <c r="X1822" s="6">
        <v>128520</v>
      </c>
      <c r="Y1822" s="38">
        <v>10010</v>
      </c>
      <c r="Z1822" s="86">
        <f>+((DETALLE_GD_1[[#This Row],[VALOR X UN (GD)]]-DETALLE_GD_1[[#This Row],[VALOR PPTO]])/DETALLE_GD_1[[#This Row],[VALOR PPTO]])</f>
        <v>0</v>
      </c>
      <c r="AA1822" s="2">
        <f>+DETALLE_GD_1[[#This Row],[VALOR PPTO]]*DETALLE_GD_1[[#This Row],[CANTIDAD RECIBIDA]]</f>
        <v>128520</v>
      </c>
      <c r="AB1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2" s="3">
        <f>+DETALLE_GD_1[[#This Row],[CANTIDAD SOLICITADA]]-DETALLE_GD_1[[#This Row],[DEVOLUCIÓN]]</f>
        <v>3</v>
      </c>
      <c r="AD1822" s="38" t="str">
        <f>+_xlfn.XLOOKUP(DETALLE_GD_1[[#This Row],[CODIGO]],PRODUCTOS[CODIGO],PRODUCTOS[DESC CORTA],"",0)</f>
        <v>TINA DE ACERO</v>
      </c>
    </row>
    <row r="1823" spans="1:30" x14ac:dyDescent="0.25">
      <c r="A1823" s="1">
        <v>46169</v>
      </c>
      <c r="B1823" s="1">
        <v>46169</v>
      </c>
      <c r="C1823" s="81" t="s">
        <v>169</v>
      </c>
      <c r="D1823" s="38">
        <v>5</v>
      </c>
      <c r="E1823" s="81" t="s">
        <v>169</v>
      </c>
      <c r="F1823">
        <v>2302119</v>
      </c>
      <c r="G1823" s="81" t="s">
        <v>74</v>
      </c>
      <c r="H1823" s="81" t="s">
        <v>31</v>
      </c>
      <c r="I1823" s="3">
        <v>36</v>
      </c>
      <c r="J1823" s="3"/>
      <c r="K1823" s="26">
        <v>36</v>
      </c>
      <c r="L1823" s="2">
        <v>3679.8888999999999</v>
      </c>
      <c r="M1823" s="2">
        <v>132476</v>
      </c>
      <c r="N1823" s="2">
        <v>132476</v>
      </c>
      <c r="O1823" s="2">
        <v>3671</v>
      </c>
      <c r="P1823" s="2">
        <v>-8.8888999999999996</v>
      </c>
      <c r="Q1823" s="2">
        <v>-320</v>
      </c>
      <c r="R1823" s="4">
        <v>-2.4213807923968091E-3</v>
      </c>
      <c r="U1823" s="2"/>
      <c r="V1823">
        <v>6215</v>
      </c>
      <c r="W1823" s="2">
        <v>6579000000</v>
      </c>
      <c r="X1823" s="6">
        <v>132156</v>
      </c>
      <c r="Y1823" s="38">
        <v>10010</v>
      </c>
      <c r="Z1823" s="86">
        <f>+((DETALLE_GD_1[[#This Row],[VALOR X UN (GD)]]-DETALLE_GD_1[[#This Row],[VALOR PPTO]])/DETALLE_GD_1[[#This Row],[VALOR PPTO]])</f>
        <v>2.4213838191228334E-3</v>
      </c>
      <c r="AA1823" s="2">
        <f>+DETALLE_GD_1[[#This Row],[VALOR PPTO]]*DETALLE_GD_1[[#This Row],[CANTIDAD RECIBIDA]]</f>
        <v>132156</v>
      </c>
      <c r="AB1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3" s="3">
        <f>+DETALLE_GD_1[[#This Row],[CANTIDAD SOLICITADA]]-DETALLE_GD_1[[#This Row],[DEVOLUCIÓN]]</f>
        <v>36</v>
      </c>
      <c r="AD1823" s="38" t="str">
        <f>+_xlfn.XLOOKUP(DETALLE_GD_1[[#This Row],[CODIGO]],PRODUCTOS[CODIGO],PRODUCTOS[DESC CORTA],"",0)</f>
        <v>SELLO</v>
      </c>
    </row>
    <row r="1824" spans="1:30" x14ac:dyDescent="0.25">
      <c r="A1824" s="1">
        <v>46170</v>
      </c>
      <c r="B1824" s="1">
        <v>46170</v>
      </c>
      <c r="C1824" s="81" t="s">
        <v>169</v>
      </c>
      <c r="D1824" s="38">
        <v>5</v>
      </c>
      <c r="E1824" s="81" t="s">
        <v>169</v>
      </c>
      <c r="F1824">
        <v>412630</v>
      </c>
      <c r="G1824" s="81" t="s">
        <v>284</v>
      </c>
      <c r="H1824" s="81" t="s">
        <v>31</v>
      </c>
      <c r="I1824" s="3">
        <v>10</v>
      </c>
      <c r="J1824" s="3"/>
      <c r="K1824" s="26">
        <v>10</v>
      </c>
      <c r="L1824" s="2">
        <v>150300</v>
      </c>
      <c r="M1824" s="2">
        <v>1503000</v>
      </c>
      <c r="N1824" s="2">
        <v>1503000</v>
      </c>
      <c r="O1824" s="2">
        <v>148200</v>
      </c>
      <c r="P1824" s="2">
        <v>-2100</v>
      </c>
      <c r="Q1824" s="2">
        <v>-21000</v>
      </c>
      <c r="R1824" s="4">
        <v>-1.417004048582996E-2</v>
      </c>
      <c r="T1824">
        <v>316880</v>
      </c>
      <c r="U1824" s="2">
        <v>5759000</v>
      </c>
      <c r="V1824">
        <v>6215</v>
      </c>
      <c r="W1824" s="2">
        <v>6579000000</v>
      </c>
      <c r="X1824" s="6">
        <v>1482000</v>
      </c>
      <c r="Y1824" s="38">
        <v>10010</v>
      </c>
      <c r="Z1824" s="86">
        <f>+((DETALLE_GD_1[[#This Row],[VALOR X UN (GD)]]-DETALLE_GD_1[[#This Row],[VALOR PPTO]])/DETALLE_GD_1[[#This Row],[VALOR PPTO]])</f>
        <v>1.417004048582996E-2</v>
      </c>
      <c r="AA1824" s="2">
        <f>+DETALLE_GD_1[[#This Row],[VALOR PPTO]]*DETALLE_GD_1[[#This Row],[CANTIDAD RECIBIDA]]</f>
        <v>1482000</v>
      </c>
      <c r="AB1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4" s="3">
        <f>+DETALLE_GD_1[[#This Row],[CANTIDAD SOLICITADA]]-DETALLE_GD_1[[#This Row],[DEVOLUCIÓN]]</f>
        <v>10</v>
      </c>
      <c r="AD1824" s="38">
        <f>+_xlfn.XLOOKUP(DETALLE_GD_1[[#This Row],[CODIGO]],PRODUCTOS[CODIGO],PRODUCTOS[DESC CORTA],"",0)</f>
        <v>0</v>
      </c>
    </row>
    <row r="1825" spans="1:30" x14ac:dyDescent="0.25">
      <c r="A1825" s="1">
        <v>46170</v>
      </c>
      <c r="B1825" s="1">
        <v>46170</v>
      </c>
      <c r="C1825" s="81" t="s">
        <v>169</v>
      </c>
      <c r="D1825" s="38">
        <v>5</v>
      </c>
      <c r="E1825" s="81" t="s">
        <v>169</v>
      </c>
      <c r="F1825">
        <v>1901086</v>
      </c>
      <c r="G1825" s="81" t="s">
        <v>279</v>
      </c>
      <c r="H1825" s="81" t="s">
        <v>26</v>
      </c>
      <c r="I1825" s="3">
        <v>162</v>
      </c>
      <c r="J1825" s="3"/>
      <c r="K1825" s="26">
        <v>162</v>
      </c>
      <c r="L1825" s="2">
        <v>3592.4814999999999</v>
      </c>
      <c r="M1825" s="2">
        <v>581982</v>
      </c>
      <c r="N1825" s="2">
        <v>581982</v>
      </c>
      <c r="O1825" s="2">
        <v>3711.587</v>
      </c>
      <c r="P1825" s="2">
        <v>119.1056</v>
      </c>
      <c r="Q1825" s="2">
        <v>19295.100600000002</v>
      </c>
      <c r="R1825" s="4">
        <v>3.2090197051240034E-2</v>
      </c>
      <c r="T1825">
        <v>316880</v>
      </c>
      <c r="U1825" s="2"/>
      <c r="V1825">
        <v>6215</v>
      </c>
      <c r="W1825" s="2">
        <v>6579000000</v>
      </c>
      <c r="X1825" s="6">
        <v>601277.10064200009</v>
      </c>
      <c r="Y1825" s="38">
        <v>10010</v>
      </c>
      <c r="Z1825" s="86">
        <f>+((DETALLE_GD_1[[#This Row],[VALOR X UN (GD)]]-DETALLE_GD_1[[#This Row],[VALOR PPTO]])/DETALLE_GD_1[[#This Row],[VALOR PPTO]])</f>
        <v>-3.2090181369856106E-2</v>
      </c>
      <c r="AA1825" s="2">
        <f>+DETALLE_GD_1[[#This Row],[VALOR PPTO]]*DETALLE_GD_1[[#This Row],[CANTIDAD RECIBIDA]]</f>
        <v>601277.09400000004</v>
      </c>
      <c r="AB18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25" s="3">
        <f>+DETALLE_GD_1[[#This Row],[CANTIDAD SOLICITADA]]-DETALLE_GD_1[[#This Row],[DEVOLUCIÓN]]</f>
        <v>162</v>
      </c>
      <c r="AD1825" s="38" t="str">
        <f>+_xlfn.XLOOKUP(DETALLE_GD_1[[#This Row],[CODIGO]],PRODUCTOS[CODIGO],PRODUCTOS[DESC CORTA],"",0)</f>
        <v>AISLAN GLASS 140MM</v>
      </c>
    </row>
    <row r="1826" spans="1:30" x14ac:dyDescent="0.25">
      <c r="A1826" s="1">
        <v>46170</v>
      </c>
      <c r="B1826" s="1">
        <v>46170</v>
      </c>
      <c r="C1826" s="81" t="s">
        <v>169</v>
      </c>
      <c r="D1826" s="38">
        <v>5</v>
      </c>
      <c r="E1826" s="81" t="s">
        <v>169</v>
      </c>
      <c r="F1826">
        <v>1901466</v>
      </c>
      <c r="G1826" s="81" t="s">
        <v>398</v>
      </c>
      <c r="H1826" s="81" t="s">
        <v>26</v>
      </c>
      <c r="I1826" s="3">
        <v>270</v>
      </c>
      <c r="J1826" s="3"/>
      <c r="K1826" s="26">
        <v>270</v>
      </c>
      <c r="L1826" s="2">
        <v>1970</v>
      </c>
      <c r="M1826" s="2">
        <v>531900</v>
      </c>
      <c r="N1826" s="2">
        <v>531900</v>
      </c>
      <c r="O1826" s="2">
        <v>2112.7957999999999</v>
      </c>
      <c r="P1826" s="2">
        <v>142.79580000000001</v>
      </c>
      <c r="Q1826" s="2">
        <v>38554.8603</v>
      </c>
      <c r="R1826" s="4">
        <v>6.7586172037690365E-2</v>
      </c>
      <c r="T1826">
        <v>316880</v>
      </c>
      <c r="U1826" s="2"/>
      <c r="V1826">
        <v>6215</v>
      </c>
      <c r="W1826" s="2">
        <v>6579000000</v>
      </c>
      <c r="X1826" s="6">
        <v>570454.86033000005</v>
      </c>
      <c r="Y1826" s="38">
        <v>10010</v>
      </c>
      <c r="Z1826" s="86">
        <f>+((DETALLE_GD_1[[#This Row],[VALOR X UN (GD)]]-DETALLE_GD_1[[#This Row],[VALOR PPTO]])/DETALLE_GD_1[[#This Row],[VALOR PPTO]])</f>
        <v>-6.758618130535847E-2</v>
      </c>
      <c r="AA1826" s="2">
        <f>+DETALLE_GD_1[[#This Row],[VALOR PPTO]]*DETALLE_GD_1[[#This Row],[CANTIDAD RECIBIDA]]</f>
        <v>570454.86599999992</v>
      </c>
      <c r="AB18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6" s="3">
        <f>+DETALLE_GD_1[[#This Row],[CANTIDAD SOLICITADA]]-DETALLE_GD_1[[#This Row],[DEVOLUCIÓN]]</f>
        <v>270</v>
      </c>
      <c r="AD1826" s="38" t="str">
        <f>+_xlfn.XLOOKUP(DETALLE_GD_1[[#This Row],[CODIGO]],PRODUCTOS[CODIGO],PRODUCTOS[DESC CORTA],"",0)</f>
        <v>AISLAN DENSIDAD 14 KG/M3 (13.5 M2 X BOLSA) SKU 4000147</v>
      </c>
    </row>
    <row r="1827" spans="1:30" x14ac:dyDescent="0.25">
      <c r="A1827" s="1">
        <v>46170</v>
      </c>
      <c r="B1827" s="1">
        <v>46170</v>
      </c>
      <c r="C1827" s="81" t="s">
        <v>169</v>
      </c>
      <c r="D1827" s="38">
        <v>5</v>
      </c>
      <c r="E1827" s="81" t="s">
        <v>169</v>
      </c>
      <c r="F1827">
        <v>407427</v>
      </c>
      <c r="G1827" s="81" t="s">
        <v>172</v>
      </c>
      <c r="H1827" s="81" t="s">
        <v>36</v>
      </c>
      <c r="I1827" s="3">
        <v>1</v>
      </c>
      <c r="J1827" s="3"/>
      <c r="K1827" s="26">
        <v>1</v>
      </c>
      <c r="L1827" s="2">
        <v>22558</v>
      </c>
      <c r="M1827" s="2">
        <v>22558</v>
      </c>
      <c r="N1827" s="2">
        <v>22558</v>
      </c>
      <c r="O1827" s="2">
        <v>22557.5455</v>
      </c>
      <c r="P1827" s="2">
        <v>-0.45450000000000002</v>
      </c>
      <c r="Q1827" s="2">
        <v>-0.45450000000000002</v>
      </c>
      <c r="R1827" s="4">
        <v>-2.0150463662249002E-5</v>
      </c>
      <c r="T1827">
        <v>316880</v>
      </c>
      <c r="U1827" s="2"/>
      <c r="V1827">
        <v>6215</v>
      </c>
      <c r="W1827" s="2">
        <v>6579000000</v>
      </c>
      <c r="X1827" s="6">
        <v>22557.545454999999</v>
      </c>
      <c r="Y1827" s="38">
        <v>10010</v>
      </c>
      <c r="Z1827" s="86">
        <f>+((DETALLE_GD_1[[#This Row],[VALOR X UN (GD)]]-DETALLE_GD_1[[#This Row],[VALOR PPTO]])/DETALLE_GD_1[[#This Row],[VALOR PPTO]])</f>
        <v>2.014846872412716E-5</v>
      </c>
      <c r="AA1827" s="2">
        <f>+DETALLE_GD_1[[#This Row],[VALOR PPTO]]*DETALLE_GD_1[[#This Row],[CANTIDAD RECIBIDA]]</f>
        <v>22557.5455</v>
      </c>
      <c r="AB1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7" s="3">
        <f>+DETALLE_GD_1[[#This Row],[CANTIDAD SOLICITADA]]-DETALLE_GD_1[[#This Row],[DEVOLUCIÓN]]</f>
        <v>1</v>
      </c>
      <c r="AD1827" s="38">
        <f>+_xlfn.XLOOKUP(DETALLE_GD_1[[#This Row],[CODIGO]],PRODUCTOS[CODIGO],PRODUCTOS[DESC CORTA],"",0)</f>
        <v>0</v>
      </c>
    </row>
    <row r="1828" spans="1:30" x14ac:dyDescent="0.25">
      <c r="A1828" s="1">
        <v>46170</v>
      </c>
      <c r="B1828" s="1">
        <v>46170</v>
      </c>
      <c r="C1828" s="81" t="s">
        <v>169</v>
      </c>
      <c r="D1828" s="38">
        <v>5</v>
      </c>
      <c r="E1828" s="81" t="s">
        <v>169</v>
      </c>
      <c r="F1828">
        <v>412302</v>
      </c>
      <c r="G1828" s="81" t="s">
        <v>165</v>
      </c>
      <c r="H1828" s="81" t="s">
        <v>31</v>
      </c>
      <c r="I1828" s="3">
        <v>10</v>
      </c>
      <c r="J1828" s="3"/>
      <c r="K1828" s="26">
        <v>10</v>
      </c>
      <c r="L1828" s="2">
        <v>4742.5</v>
      </c>
      <c r="M1828" s="2">
        <v>47425</v>
      </c>
      <c r="N1828" s="2">
        <v>47425</v>
      </c>
      <c r="O1828" s="2">
        <v>4742.4587000000001</v>
      </c>
      <c r="P1828" s="2">
        <v>-4.1300000000000003E-2</v>
      </c>
      <c r="Q1828" s="2">
        <v>-0.4133</v>
      </c>
      <c r="R1828" s="4">
        <v>-8.7155213998457421E-6</v>
      </c>
      <c r="T1828">
        <v>316880</v>
      </c>
      <c r="U1828" s="2"/>
      <c r="V1828">
        <v>6215</v>
      </c>
      <c r="W1828" s="2">
        <v>6579000000</v>
      </c>
      <c r="X1828" s="6">
        <v>47424.586669999997</v>
      </c>
      <c r="Y1828" s="38">
        <v>10010</v>
      </c>
      <c r="Z1828" s="86">
        <f>+((DETALLE_GD_1[[#This Row],[VALOR X UN (GD)]]-DETALLE_GD_1[[#This Row],[VALOR PPTO]])/DETALLE_GD_1[[#This Row],[VALOR PPTO]])</f>
        <v>8.7085629232500571E-6</v>
      </c>
      <c r="AA1828" s="2">
        <f>+DETALLE_GD_1[[#This Row],[VALOR PPTO]]*DETALLE_GD_1[[#This Row],[CANTIDAD RECIBIDA]]</f>
        <v>47424.587</v>
      </c>
      <c r="AB1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8" s="3">
        <f>+DETALLE_GD_1[[#This Row],[CANTIDAD SOLICITADA]]-DETALLE_GD_1[[#This Row],[DEVOLUCIÓN]]</f>
        <v>10</v>
      </c>
      <c r="AD1828" s="38">
        <f>+_xlfn.XLOOKUP(DETALLE_GD_1[[#This Row],[CODIGO]],PRODUCTOS[CODIGO],PRODUCTOS[DESC CORTA],"",0)</f>
        <v>0</v>
      </c>
    </row>
    <row r="1829" spans="1:30" x14ac:dyDescent="0.25">
      <c r="A1829" s="1">
        <v>46170</v>
      </c>
      <c r="B1829" s="1">
        <v>46170</v>
      </c>
      <c r="C1829" s="81" t="s">
        <v>169</v>
      </c>
      <c r="D1829" s="38">
        <v>5</v>
      </c>
      <c r="E1829" s="81" t="s">
        <v>169</v>
      </c>
      <c r="F1829">
        <v>1902013</v>
      </c>
      <c r="G1829" s="81" t="s">
        <v>338</v>
      </c>
      <c r="H1829" s="81" t="s">
        <v>47</v>
      </c>
      <c r="I1829" s="3">
        <v>15</v>
      </c>
      <c r="J1829" s="3"/>
      <c r="K1829" s="26">
        <v>15</v>
      </c>
      <c r="L1829" s="2">
        <v>39045.2667</v>
      </c>
      <c r="M1829" s="2">
        <v>585679</v>
      </c>
      <c r="N1829" s="2">
        <v>585679</v>
      </c>
      <c r="O1829" s="2">
        <v>29779</v>
      </c>
      <c r="P1829" s="2">
        <v>-9266.2667000000001</v>
      </c>
      <c r="Q1829" s="2">
        <v>-138994</v>
      </c>
      <c r="R1829" s="4">
        <v>-0.31116782520120456</v>
      </c>
      <c r="T1829">
        <v>316880</v>
      </c>
      <c r="U1829" s="2"/>
      <c r="V1829">
        <v>6215</v>
      </c>
      <c r="W1829" s="2">
        <v>6579000000</v>
      </c>
      <c r="X1829" s="6">
        <v>446685</v>
      </c>
      <c r="Y1829" s="38">
        <v>10010</v>
      </c>
      <c r="Z1829" s="86">
        <f>+((DETALLE_GD_1[[#This Row],[VALOR X UN (GD)]]-DETALLE_GD_1[[#This Row],[VALOR PPTO]])/DETALLE_GD_1[[#This Row],[VALOR PPTO]])</f>
        <v>0.31116782632056145</v>
      </c>
      <c r="AA1829" s="2">
        <f>+DETALLE_GD_1[[#This Row],[VALOR PPTO]]*DETALLE_GD_1[[#This Row],[CANTIDAD RECIBIDA]]</f>
        <v>446685</v>
      </c>
      <c r="AB18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29" s="3">
        <f>+DETALLE_GD_1[[#This Row],[CANTIDAD SOLICITADA]]-DETALLE_GD_1[[#This Row],[DEVOLUCIÓN]]</f>
        <v>15</v>
      </c>
      <c r="AD1829" s="38">
        <f>+_xlfn.XLOOKUP(DETALLE_GD_1[[#This Row],[CODIGO]],PRODUCTOS[CODIGO],PRODUCTOS[DESC CORTA],"",0)</f>
        <v>0</v>
      </c>
    </row>
    <row r="1830" spans="1:30" x14ac:dyDescent="0.25">
      <c r="A1830" s="1">
        <v>46170</v>
      </c>
      <c r="B1830" s="1">
        <v>46170</v>
      </c>
      <c r="C1830" s="81" t="s">
        <v>169</v>
      </c>
      <c r="D1830" s="38">
        <v>5</v>
      </c>
      <c r="E1830" s="81" t="s">
        <v>169</v>
      </c>
      <c r="F1830">
        <v>4212234</v>
      </c>
      <c r="G1830" s="81" t="s">
        <v>54</v>
      </c>
      <c r="H1830" s="81" t="s">
        <v>31</v>
      </c>
      <c r="I1830" s="3">
        <v>4</v>
      </c>
      <c r="J1830" s="3"/>
      <c r="K1830" s="26">
        <v>4</v>
      </c>
      <c r="L1830" s="2">
        <v>124909</v>
      </c>
      <c r="M1830" s="2">
        <v>499636</v>
      </c>
      <c r="N1830" s="2">
        <v>499636</v>
      </c>
      <c r="O1830" s="2">
        <v>124909</v>
      </c>
      <c r="P1830" s="2">
        <v>0</v>
      </c>
      <c r="Q1830" s="2">
        <v>0</v>
      </c>
      <c r="R1830" s="4">
        <v>0</v>
      </c>
      <c r="T1830">
        <v>316880</v>
      </c>
      <c r="U1830" s="2"/>
      <c r="V1830">
        <v>6215</v>
      </c>
      <c r="W1830" s="2">
        <v>6579000000</v>
      </c>
      <c r="X1830" s="6">
        <v>499636</v>
      </c>
      <c r="Y1830" s="38">
        <v>10010</v>
      </c>
      <c r="Z1830" s="86">
        <f>+((DETALLE_GD_1[[#This Row],[VALOR X UN (GD)]]-DETALLE_GD_1[[#This Row],[VALOR PPTO]])/DETALLE_GD_1[[#This Row],[VALOR PPTO]])</f>
        <v>0</v>
      </c>
      <c r="AA1830" s="2">
        <f>+DETALLE_GD_1[[#This Row],[VALOR PPTO]]*DETALLE_GD_1[[#This Row],[CANTIDAD RECIBIDA]]</f>
        <v>499636</v>
      </c>
      <c r="AB18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0" s="3">
        <f>+DETALLE_GD_1[[#This Row],[CANTIDAD SOLICITADA]]-DETALLE_GD_1[[#This Row],[DEVOLUCIÓN]]</f>
        <v>4</v>
      </c>
      <c r="AD1830" s="38" t="str">
        <f>+_xlfn.XLOOKUP(DETALLE_GD_1[[#This Row],[CODIGO]],PRODUCTOS[CODIGO],PRODUCTOS[DESC CORTA],"",0)</f>
        <v>BARANDA BALCON</v>
      </c>
    </row>
    <row r="1831" spans="1:30" x14ac:dyDescent="0.25">
      <c r="A1831" s="1">
        <v>46170</v>
      </c>
      <c r="B1831" s="1">
        <v>46170</v>
      </c>
      <c r="C1831" s="81" t="s">
        <v>169</v>
      </c>
      <c r="D1831" s="38">
        <v>5</v>
      </c>
      <c r="E1831" s="81" t="s">
        <v>169</v>
      </c>
      <c r="F1831">
        <v>2302118</v>
      </c>
      <c r="G1831" s="81" t="s">
        <v>228</v>
      </c>
      <c r="H1831" s="81" t="s">
        <v>25</v>
      </c>
      <c r="I1831" s="3">
        <v>3</v>
      </c>
      <c r="J1831" s="3"/>
      <c r="K1831" s="26">
        <v>3</v>
      </c>
      <c r="L1831" s="2">
        <v>80875.666700000002</v>
      </c>
      <c r="M1831" s="2">
        <v>242627</v>
      </c>
      <c r="N1831" s="2">
        <v>242627</v>
      </c>
      <c r="O1831" s="2">
        <v>101250</v>
      </c>
      <c r="P1831" s="2">
        <v>20374.333299999998</v>
      </c>
      <c r="Q1831" s="2">
        <v>61123</v>
      </c>
      <c r="R1831" s="4">
        <v>0.2012279835390946</v>
      </c>
      <c r="T1831">
        <v>316880</v>
      </c>
      <c r="U1831" s="2"/>
      <c r="V1831">
        <v>6215</v>
      </c>
      <c r="W1831" s="2">
        <v>6579000000</v>
      </c>
      <c r="X1831" s="6">
        <v>303750</v>
      </c>
      <c r="Y1831" s="38">
        <v>10010</v>
      </c>
      <c r="Z1831" s="86">
        <f>+((DETALLE_GD_1[[#This Row],[VALOR X UN (GD)]]-DETALLE_GD_1[[#This Row],[VALOR PPTO]])/DETALLE_GD_1[[#This Row],[VALOR PPTO]])</f>
        <v>-0.20122798320987653</v>
      </c>
      <c r="AA1831" s="2">
        <f>+DETALLE_GD_1[[#This Row],[VALOR PPTO]]*DETALLE_GD_1[[#This Row],[CANTIDAD RECIBIDA]]</f>
        <v>303750</v>
      </c>
      <c r="AB1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1" s="3">
        <f>+DETALLE_GD_1[[#This Row],[CANTIDAD SOLICITADA]]-DETALLE_GD_1[[#This Row],[DEVOLUCIÓN]]</f>
        <v>3</v>
      </c>
      <c r="AD1831" s="38">
        <f>+_xlfn.XLOOKUP(DETALLE_GD_1[[#This Row],[CODIGO]],PRODUCTOS[CODIGO],PRODUCTOS[DESC CORTA],"",0)</f>
        <v>0</v>
      </c>
    </row>
    <row r="1832" spans="1:30" x14ac:dyDescent="0.25">
      <c r="A1832" s="1">
        <v>46170</v>
      </c>
      <c r="B1832" s="1">
        <v>46170</v>
      </c>
      <c r="C1832" s="81" t="s">
        <v>169</v>
      </c>
      <c r="D1832" s="38">
        <v>5</v>
      </c>
      <c r="E1832" s="81" t="s">
        <v>169</v>
      </c>
      <c r="F1832">
        <v>2302098</v>
      </c>
      <c r="G1832" s="81" t="s">
        <v>24</v>
      </c>
      <c r="H1832" s="81" t="s">
        <v>25</v>
      </c>
      <c r="I1832" s="3">
        <v>5</v>
      </c>
      <c r="J1832" s="3"/>
      <c r="K1832" s="26">
        <v>5</v>
      </c>
      <c r="L1832" s="2">
        <v>21213</v>
      </c>
      <c r="M1832" s="2">
        <v>106065</v>
      </c>
      <c r="N1832" s="2">
        <v>106065</v>
      </c>
      <c r="O1832" s="2">
        <v>21213</v>
      </c>
      <c r="P1832" s="2">
        <v>0</v>
      </c>
      <c r="Q1832" s="2">
        <v>0</v>
      </c>
      <c r="R1832" s="4">
        <v>-1.7149761029050001E-16</v>
      </c>
      <c r="T1832">
        <v>316880</v>
      </c>
      <c r="U1832" s="2"/>
      <c r="V1832">
        <v>6215</v>
      </c>
      <c r="W1832" s="2">
        <v>6579000000</v>
      </c>
      <c r="X1832" s="6">
        <v>106065</v>
      </c>
      <c r="Y1832" s="38">
        <v>10010</v>
      </c>
      <c r="Z1832" s="86">
        <f>+((DETALLE_GD_1[[#This Row],[VALOR X UN (GD)]]-DETALLE_GD_1[[#This Row],[VALOR PPTO]])/DETALLE_GD_1[[#This Row],[VALOR PPTO]])</f>
        <v>0</v>
      </c>
      <c r="AA1832" s="2">
        <f>+DETALLE_GD_1[[#This Row],[VALOR PPTO]]*DETALLE_GD_1[[#This Row],[CANTIDAD RECIBIDA]]</f>
        <v>106065</v>
      </c>
      <c r="AB1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2" s="3">
        <f>+DETALLE_GD_1[[#This Row],[CANTIDAD SOLICITADA]]-DETALLE_GD_1[[#This Row],[DEVOLUCIÓN]]</f>
        <v>5</v>
      </c>
      <c r="AD1832" s="38" t="str">
        <f>+_xlfn.XLOOKUP(DETALLE_GD_1[[#This Row],[CODIGO]],PRODUCTOS[CODIGO],PRODUCTOS[DESC CORTA],"",0)</f>
        <v>COLA FRIA</v>
      </c>
    </row>
    <row r="1833" spans="1:30" x14ac:dyDescent="0.25">
      <c r="A1833" s="1">
        <v>46170</v>
      </c>
      <c r="B1833" s="1">
        <v>46170</v>
      </c>
      <c r="C1833" s="81" t="s">
        <v>169</v>
      </c>
      <c r="D1833" s="38">
        <v>5</v>
      </c>
      <c r="E1833" s="81" t="s">
        <v>169</v>
      </c>
      <c r="F1833">
        <v>410046</v>
      </c>
      <c r="G1833" s="81" t="s">
        <v>361</v>
      </c>
      <c r="H1833" s="81" t="s">
        <v>31</v>
      </c>
      <c r="I1833" s="3">
        <v>516</v>
      </c>
      <c r="J1833" s="3"/>
      <c r="K1833" s="26">
        <v>516</v>
      </c>
      <c r="L1833" s="2">
        <v>746</v>
      </c>
      <c r="M1833" s="2">
        <v>384936</v>
      </c>
      <c r="N1833" s="2">
        <v>384936</v>
      </c>
      <c r="O1833" s="2">
        <v>746</v>
      </c>
      <c r="P1833" s="2">
        <v>0</v>
      </c>
      <c r="Q1833" s="2">
        <v>0</v>
      </c>
      <c r="R1833" s="4">
        <v>0</v>
      </c>
      <c r="T1833">
        <v>316880</v>
      </c>
      <c r="U1833" s="2"/>
      <c r="V1833">
        <v>6215</v>
      </c>
      <c r="W1833" s="2">
        <v>6579000000</v>
      </c>
      <c r="X1833" s="6">
        <v>384936</v>
      </c>
      <c r="Y1833" s="38">
        <v>10010</v>
      </c>
      <c r="Z1833" s="86">
        <f>+((DETALLE_GD_1[[#This Row],[VALOR X UN (GD)]]-DETALLE_GD_1[[#This Row],[VALOR PPTO]])/DETALLE_GD_1[[#This Row],[VALOR PPTO]])</f>
        <v>0</v>
      </c>
      <c r="AA1833" s="2">
        <f>+DETALLE_GD_1[[#This Row],[VALOR PPTO]]*DETALLE_GD_1[[#This Row],[CANTIDAD RECIBIDA]]</f>
        <v>384936</v>
      </c>
      <c r="AB1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3" s="3">
        <f>+DETALLE_GD_1[[#This Row],[CANTIDAD SOLICITADA]]-DETALLE_GD_1[[#This Row],[DEVOLUCIÓN]]</f>
        <v>516</v>
      </c>
      <c r="AD1833" s="38">
        <f>+_xlfn.XLOOKUP(DETALLE_GD_1[[#This Row],[CODIGO]],PRODUCTOS[CODIGO],PRODUCTOS[DESC CORTA],"",0)</f>
        <v>0</v>
      </c>
    </row>
    <row r="1834" spans="1:30" x14ac:dyDescent="0.25">
      <c r="A1834" s="1">
        <v>46170</v>
      </c>
      <c r="B1834" s="1">
        <v>46170</v>
      </c>
      <c r="C1834" s="81" t="s">
        <v>169</v>
      </c>
      <c r="D1834" s="38">
        <v>5</v>
      </c>
      <c r="E1834" s="81" t="s">
        <v>169</v>
      </c>
      <c r="F1834" t="s">
        <v>386</v>
      </c>
      <c r="G1834" s="81" t="s">
        <v>83</v>
      </c>
      <c r="H1834" s="81" t="s">
        <v>36</v>
      </c>
      <c r="I1834" s="3">
        <v>6</v>
      </c>
      <c r="J1834" s="3"/>
      <c r="K1834" s="26">
        <v>6</v>
      </c>
      <c r="L1834" s="2">
        <v>36939.833299999998</v>
      </c>
      <c r="M1834" s="2">
        <v>221639</v>
      </c>
      <c r="N1834" s="2">
        <v>221639</v>
      </c>
      <c r="O1834" s="2">
        <v>36939.818200000002</v>
      </c>
      <c r="P1834" s="2">
        <v>-1.52E-2</v>
      </c>
      <c r="Q1834" s="2">
        <v>-9.0899999999999995E-2</v>
      </c>
      <c r="R1834" s="4">
        <v>-4.1016264002582843E-7</v>
      </c>
      <c r="T1834">
        <v>316880</v>
      </c>
      <c r="U1834" s="2"/>
      <c r="V1834">
        <v>6215</v>
      </c>
      <c r="W1834" s="2">
        <v>6579000000</v>
      </c>
      <c r="X1834" s="6">
        <v>221638.90909199993</v>
      </c>
      <c r="Y1834" s="38">
        <v>10010</v>
      </c>
      <c r="Z1834" s="86">
        <f>+((DETALLE_GD_1[[#This Row],[VALOR X UN (GD)]]-DETALLE_GD_1[[#This Row],[VALOR PPTO]])/DETALLE_GD_1[[#This Row],[VALOR PPTO]])</f>
        <v>4.0877299165732523E-7</v>
      </c>
      <c r="AA1834" s="2">
        <f>+DETALLE_GD_1[[#This Row],[VALOR PPTO]]*DETALLE_GD_1[[#This Row],[CANTIDAD RECIBIDA]]</f>
        <v>221638.90919999999</v>
      </c>
      <c r="AB1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34" s="3">
        <f>+DETALLE_GD_1[[#This Row],[CANTIDAD SOLICITADA]]-DETALLE_GD_1[[#This Row],[DEVOLUCIÓN]]</f>
        <v>6</v>
      </c>
      <c r="AD1834" s="38" t="str">
        <f>+_xlfn.XLOOKUP(DETALLE_GD_1[[#This Row],[CODIGO]],PRODUCTOS[CODIGO],PRODUCTOS[DESC CORTA],"",0)</f>
        <v>CLAVO R20</v>
      </c>
    </row>
    <row r="1835" spans="1:30" x14ac:dyDescent="0.25">
      <c r="A1835" s="1">
        <v>46170</v>
      </c>
      <c r="B1835" s="1">
        <v>46170</v>
      </c>
      <c r="C1835" s="81" t="s">
        <v>169</v>
      </c>
      <c r="D1835" s="38">
        <v>5</v>
      </c>
      <c r="E1835" s="81" t="s">
        <v>169</v>
      </c>
      <c r="F1835">
        <v>5309018</v>
      </c>
      <c r="G1835" s="81" t="s">
        <v>112</v>
      </c>
      <c r="H1835" s="81" t="s">
        <v>113</v>
      </c>
      <c r="I1835" s="3">
        <v>600</v>
      </c>
      <c r="J1835" s="3"/>
      <c r="K1835" s="26">
        <v>600</v>
      </c>
      <c r="L1835" s="2">
        <v>717.12670000000003</v>
      </c>
      <c r="M1835" s="2">
        <v>430276</v>
      </c>
      <c r="N1835" s="2">
        <v>430276</v>
      </c>
      <c r="O1835" s="2">
        <v>699.99919999999997</v>
      </c>
      <c r="P1835" s="2">
        <v>-17.127400000000002</v>
      </c>
      <c r="Q1835" s="2">
        <v>-10276.460800000001</v>
      </c>
      <c r="R1835" s="4">
        <v>-2.446779065418488E-2</v>
      </c>
      <c r="T1835">
        <v>316880</v>
      </c>
      <c r="U1835" s="2"/>
      <c r="V1835">
        <v>6215</v>
      </c>
      <c r="W1835" s="2">
        <v>6579000000</v>
      </c>
      <c r="X1835" s="6">
        <v>419999.53920000035</v>
      </c>
      <c r="Y1835" s="38">
        <v>10010</v>
      </c>
      <c r="Z1835" s="86">
        <f>+((DETALLE_GD_1[[#This Row],[VALOR X UN (GD)]]-DETALLE_GD_1[[#This Row],[VALOR PPTO]])/DETALLE_GD_1[[#This Row],[VALOR PPTO]])</f>
        <v>2.4467885106154486E-2</v>
      </c>
      <c r="AA1835" s="2">
        <f>+DETALLE_GD_1[[#This Row],[VALOR PPTO]]*DETALLE_GD_1[[#This Row],[CANTIDAD RECIBIDA]]</f>
        <v>419999.51999999996</v>
      </c>
      <c r="AB18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5" s="3">
        <f>+DETALLE_GD_1[[#This Row],[CANTIDAD SOLICITADA]]-DETALLE_GD_1[[#This Row],[DEVOLUCIÓN]]</f>
        <v>600</v>
      </c>
      <c r="AD1835" s="38">
        <f>+_xlfn.XLOOKUP(DETALLE_GD_1[[#This Row],[CODIGO]],PRODUCTOS[CODIGO],PRODUCTOS[DESC CORTA],"",0)</f>
        <v>0</v>
      </c>
    </row>
    <row r="1836" spans="1:30" x14ac:dyDescent="0.25">
      <c r="A1836" s="1">
        <v>46170</v>
      </c>
      <c r="B1836" s="1">
        <v>46170</v>
      </c>
      <c r="C1836" s="81" t="s">
        <v>169</v>
      </c>
      <c r="D1836" s="38">
        <v>5</v>
      </c>
      <c r="E1836" s="81" t="s">
        <v>169</v>
      </c>
      <c r="F1836">
        <v>408014</v>
      </c>
      <c r="G1836" s="81" t="s">
        <v>108</v>
      </c>
      <c r="H1836" s="81" t="s">
        <v>36</v>
      </c>
      <c r="I1836" s="3">
        <v>6</v>
      </c>
      <c r="J1836" s="3"/>
      <c r="K1836" s="26">
        <v>6</v>
      </c>
      <c r="L1836" s="2">
        <v>16182.1667</v>
      </c>
      <c r="M1836" s="2">
        <v>97093</v>
      </c>
      <c r="N1836" s="2">
        <v>97093</v>
      </c>
      <c r="O1836" s="2">
        <v>16182.1068</v>
      </c>
      <c r="P1836" s="2">
        <v>-5.9900000000000002E-2</v>
      </c>
      <c r="Q1836" s="2">
        <v>-0.3594</v>
      </c>
      <c r="R1836" s="4">
        <v>-3.7019077639520913E-6</v>
      </c>
      <c r="T1836">
        <v>316880</v>
      </c>
      <c r="U1836" s="2"/>
      <c r="V1836">
        <v>6215</v>
      </c>
      <c r="W1836" s="2">
        <v>6579000000</v>
      </c>
      <c r="X1836" s="6">
        <v>97092.640572000033</v>
      </c>
      <c r="Y1836" s="38">
        <v>10010</v>
      </c>
      <c r="Z1836" s="86">
        <f>+((DETALLE_GD_1[[#This Row],[VALOR X UN (GD)]]-DETALLE_GD_1[[#This Row],[VALOR PPTO]])/DETALLE_GD_1[[#This Row],[VALOR PPTO]])</f>
        <v>3.7016193713539148E-6</v>
      </c>
      <c r="AA1836" s="2">
        <f>+DETALLE_GD_1[[#This Row],[VALOR PPTO]]*DETALLE_GD_1[[#This Row],[CANTIDAD RECIBIDA]]</f>
        <v>97092.640799999994</v>
      </c>
      <c r="AB18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6" s="3">
        <f>+DETALLE_GD_1[[#This Row],[CANTIDAD SOLICITADA]]-DETALLE_GD_1[[#This Row],[DEVOLUCIÓN]]</f>
        <v>6</v>
      </c>
      <c r="AD1836" s="38" t="str">
        <f>+_xlfn.XLOOKUP(DETALLE_GD_1[[#This Row],[CODIGO]],PRODUCTOS[CODIGO],PRODUCTOS[DESC CORTA],"",0)</f>
        <v>GRAPA T40</v>
      </c>
    </row>
    <row r="1837" spans="1:30" x14ac:dyDescent="0.25">
      <c r="A1837" s="1">
        <v>46170</v>
      </c>
      <c r="B1837" s="1">
        <v>46170</v>
      </c>
      <c r="C1837" s="81" t="s">
        <v>169</v>
      </c>
      <c r="D1837" s="38">
        <v>5</v>
      </c>
      <c r="E1837" s="81" t="s">
        <v>169</v>
      </c>
      <c r="F1837">
        <v>408042</v>
      </c>
      <c r="G1837" s="81" t="s">
        <v>144</v>
      </c>
      <c r="H1837" s="81" t="s">
        <v>36</v>
      </c>
      <c r="I1837" s="3">
        <v>6</v>
      </c>
      <c r="J1837" s="3"/>
      <c r="K1837" s="26">
        <v>6</v>
      </c>
      <c r="L1837" s="2">
        <v>35000</v>
      </c>
      <c r="M1837" s="2">
        <v>210000</v>
      </c>
      <c r="N1837" s="2">
        <v>210000</v>
      </c>
      <c r="O1837" s="2">
        <v>35000</v>
      </c>
      <c r="P1837" s="2">
        <v>0</v>
      </c>
      <c r="Q1837" s="2">
        <v>0</v>
      </c>
      <c r="R1837" s="4">
        <v>8.3153801304950006E-16</v>
      </c>
      <c r="T1837">
        <v>316880</v>
      </c>
      <c r="U1837" s="2"/>
      <c r="V1837">
        <v>6215</v>
      </c>
      <c r="W1837" s="2">
        <v>6579000000</v>
      </c>
      <c r="X1837" s="6">
        <v>210000.00000000015</v>
      </c>
      <c r="Y1837" s="38">
        <v>10010</v>
      </c>
      <c r="Z1837" s="86">
        <f>+((DETALLE_GD_1[[#This Row],[VALOR X UN (GD)]]-DETALLE_GD_1[[#This Row],[VALOR PPTO]])/DETALLE_GD_1[[#This Row],[VALOR PPTO]])</f>
        <v>0</v>
      </c>
      <c r="AA1837" s="2">
        <f>+DETALLE_GD_1[[#This Row],[VALOR PPTO]]*DETALLE_GD_1[[#This Row],[CANTIDAD RECIBIDA]]</f>
        <v>210000</v>
      </c>
      <c r="AB18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7" s="3">
        <f>+DETALLE_GD_1[[#This Row],[CANTIDAD SOLICITADA]]-DETALLE_GD_1[[#This Row],[DEVOLUCIÓN]]</f>
        <v>6</v>
      </c>
      <c r="AD1837" s="38" t="str">
        <f>+_xlfn.XLOOKUP(DETALLE_GD_1[[#This Row],[CODIGO]],PRODUCTOS[CODIGO],PRODUCTOS[DESC CORTA],"",0)</f>
        <v>CLAVO HELICOIDAL PROFIX</v>
      </c>
    </row>
    <row r="1838" spans="1:30" x14ac:dyDescent="0.25">
      <c r="A1838" s="1">
        <v>46170</v>
      </c>
      <c r="B1838" s="1">
        <v>46170</v>
      </c>
      <c r="C1838" s="81" t="s">
        <v>169</v>
      </c>
      <c r="D1838" s="38">
        <v>5</v>
      </c>
      <c r="E1838" s="81" t="s">
        <v>169</v>
      </c>
      <c r="F1838" t="s">
        <v>760</v>
      </c>
      <c r="G1838" s="81" t="s">
        <v>226</v>
      </c>
      <c r="H1838" s="81" t="s">
        <v>36</v>
      </c>
      <c r="I1838" s="3">
        <v>6</v>
      </c>
      <c r="J1838" s="3"/>
      <c r="K1838" s="26">
        <v>6</v>
      </c>
      <c r="L1838" s="2">
        <v>49030.666700000002</v>
      </c>
      <c r="M1838" s="2">
        <v>294184</v>
      </c>
      <c r="N1838" s="2">
        <v>294184</v>
      </c>
      <c r="O1838" s="2">
        <v>49030.713300000003</v>
      </c>
      <c r="P1838" s="2">
        <v>4.6600000000000003E-2</v>
      </c>
      <c r="Q1838" s="2">
        <v>0.27979999999999999</v>
      </c>
      <c r="R1838" s="4">
        <v>9.511657122270364E-7</v>
      </c>
      <c r="T1838">
        <v>316880</v>
      </c>
      <c r="U1838" s="2"/>
      <c r="V1838">
        <v>6215</v>
      </c>
      <c r="W1838" s="2">
        <v>6579000000</v>
      </c>
      <c r="X1838" s="6">
        <v>294184.27981800004</v>
      </c>
      <c r="Y1838" s="38">
        <v>10010</v>
      </c>
      <c r="Z1838" s="86">
        <f>+((DETALLE_GD_1[[#This Row],[VALOR X UN (GD)]]-DETALLE_GD_1[[#This Row],[VALOR PPTO]])/DETALLE_GD_1[[#This Row],[VALOR PPTO]])</f>
        <v>-9.504246800645691E-7</v>
      </c>
      <c r="AA1838" s="2">
        <f>+DETALLE_GD_1[[#This Row],[VALOR PPTO]]*DETALLE_GD_1[[#This Row],[CANTIDAD RECIBIDA]]</f>
        <v>294184.27980000002</v>
      </c>
      <c r="AB1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8" s="3">
        <f>+DETALLE_GD_1[[#This Row],[CANTIDAD SOLICITADA]]-DETALLE_GD_1[[#This Row],[DEVOLUCIÓN]]</f>
        <v>6</v>
      </c>
      <c r="AD1838" s="38">
        <f>+_xlfn.XLOOKUP(DETALLE_GD_1[[#This Row],[CODIGO]],PRODUCTOS[CODIGO],PRODUCTOS[DESC CORTA],"",0)</f>
        <v>0</v>
      </c>
    </row>
    <row r="1839" spans="1:30" x14ac:dyDescent="0.25">
      <c r="A1839" s="1">
        <v>46170</v>
      </c>
      <c r="B1839" s="1">
        <v>46170</v>
      </c>
      <c r="C1839" s="81" t="s">
        <v>169</v>
      </c>
      <c r="D1839" s="38">
        <v>5</v>
      </c>
      <c r="E1839" s="81" t="s">
        <v>169</v>
      </c>
      <c r="F1839" t="s">
        <v>787</v>
      </c>
      <c r="G1839" s="81" t="s">
        <v>95</v>
      </c>
      <c r="H1839" s="81" t="s">
        <v>31</v>
      </c>
      <c r="I1839" s="3">
        <v>10</v>
      </c>
      <c r="J1839" s="3"/>
      <c r="K1839" s="26">
        <v>10</v>
      </c>
      <c r="L1839" s="2">
        <v>3021.3</v>
      </c>
      <c r="M1839" s="2">
        <v>30213</v>
      </c>
      <c r="N1839" s="2">
        <v>30213</v>
      </c>
      <c r="O1839" s="2">
        <v>3021.2829000000002</v>
      </c>
      <c r="P1839" s="2">
        <v>-1.7100000000000001E-2</v>
      </c>
      <c r="Q1839" s="2">
        <v>-0.17130000000000001</v>
      </c>
      <c r="R1839" s="4">
        <v>-5.6701079449996769E-6</v>
      </c>
      <c r="T1839">
        <v>316881</v>
      </c>
      <c r="U1839" s="2">
        <v>1069726</v>
      </c>
      <c r="V1839">
        <v>6215</v>
      </c>
      <c r="W1839" s="2">
        <v>6579000000</v>
      </c>
      <c r="X1839" s="6">
        <v>30212.828690000009</v>
      </c>
      <c r="Y1839" s="38">
        <v>10010</v>
      </c>
      <c r="Z1839" s="86">
        <f>+((DETALLE_GD_1[[#This Row],[VALOR X UN (GD)]]-DETALLE_GD_1[[#This Row],[VALOR PPTO]])/DETALLE_GD_1[[#This Row],[VALOR PPTO]])</f>
        <v>5.6598473449896557E-6</v>
      </c>
      <c r="AA1839" s="2">
        <f>+DETALLE_GD_1[[#This Row],[VALOR PPTO]]*DETALLE_GD_1[[#This Row],[CANTIDAD RECIBIDA]]</f>
        <v>30212.829000000002</v>
      </c>
      <c r="AB18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9" s="3">
        <f>+DETALLE_GD_1[[#This Row],[CANTIDAD SOLICITADA]]-DETALLE_GD_1[[#This Row],[DEVOLUCIÓN]]</f>
        <v>10</v>
      </c>
      <c r="AD1839" s="38" t="str">
        <f>+_xlfn.XLOOKUP(DETALLE_GD_1[[#This Row],[CODIGO]],PRODUCTOS[CODIGO],PRODUCTOS[DESC CORTA],"",0)</f>
        <v>TOPE DE PUERTA</v>
      </c>
    </row>
    <row r="1840" spans="1:30" x14ac:dyDescent="0.25">
      <c r="A1840" s="1">
        <v>46170</v>
      </c>
      <c r="B1840" s="1">
        <v>46170</v>
      </c>
      <c r="C1840" s="81" t="s">
        <v>169</v>
      </c>
      <c r="D1840" s="38">
        <v>5</v>
      </c>
      <c r="E1840" s="81" t="s">
        <v>169</v>
      </c>
      <c r="F1840">
        <v>1610007</v>
      </c>
      <c r="G1840" s="81" t="s">
        <v>334</v>
      </c>
      <c r="H1840" s="81" t="s">
        <v>28</v>
      </c>
      <c r="I1840" s="3">
        <v>5</v>
      </c>
      <c r="J1840" s="3"/>
      <c r="K1840" s="26">
        <v>5</v>
      </c>
      <c r="L1840" s="2">
        <v>1622</v>
      </c>
      <c r="M1840" s="2">
        <v>8110</v>
      </c>
      <c r="N1840" s="2">
        <v>8110</v>
      </c>
      <c r="O1840" s="2">
        <v>1624.4739999999999</v>
      </c>
      <c r="P1840" s="2">
        <v>2.4740000000000002</v>
      </c>
      <c r="Q1840" s="2">
        <v>12.370200000000001</v>
      </c>
      <c r="R1840" s="4">
        <v>1.5229772490355615E-3</v>
      </c>
      <c r="T1840">
        <v>316881</v>
      </c>
      <c r="U1840" s="2"/>
      <c r="V1840">
        <v>6215</v>
      </c>
      <c r="W1840" s="2">
        <v>6579000000</v>
      </c>
      <c r="X1840" s="6">
        <v>8122.3701849999998</v>
      </c>
      <c r="Y1840" s="38">
        <v>10010</v>
      </c>
      <c r="Z1840" s="86">
        <f>+((DETALLE_GD_1[[#This Row],[VALOR X UN (GD)]]-DETALLE_GD_1[[#This Row],[VALOR PPTO]])/DETALLE_GD_1[[#This Row],[VALOR PPTO]])</f>
        <v>-1.5229545071204172E-3</v>
      </c>
      <c r="AA1840" s="2">
        <f>+DETALLE_GD_1[[#This Row],[VALOR PPTO]]*DETALLE_GD_1[[#This Row],[CANTIDAD RECIBIDA]]</f>
        <v>8122.37</v>
      </c>
      <c r="AB1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0" s="3">
        <f>+DETALLE_GD_1[[#This Row],[CANTIDAD SOLICITADA]]-DETALLE_GD_1[[#This Row],[DEVOLUCIÓN]]</f>
        <v>5</v>
      </c>
      <c r="AD1840" s="38" t="str">
        <f>+_xlfn.XLOOKUP(DETALLE_GD_1[[#This Row],[CODIGO]],PRODUCTOS[CODIGO],PRODUCTOS[DESC CORTA],"",0)</f>
        <v>HUAIPE BLANCO BOLSA</v>
      </c>
    </row>
    <row r="1841" spans="1:30" x14ac:dyDescent="0.25">
      <c r="A1841" s="1">
        <v>46170</v>
      </c>
      <c r="B1841" s="1">
        <v>46170</v>
      </c>
      <c r="C1841" s="81" t="s">
        <v>169</v>
      </c>
      <c r="D1841" s="38">
        <v>5</v>
      </c>
      <c r="E1841" s="81" t="s">
        <v>169</v>
      </c>
      <c r="F1841">
        <v>1610023</v>
      </c>
      <c r="G1841" s="81" t="s">
        <v>351</v>
      </c>
      <c r="H1841" s="81" t="s">
        <v>28</v>
      </c>
      <c r="I1841" s="3">
        <v>5</v>
      </c>
      <c r="J1841" s="3"/>
      <c r="K1841" s="26">
        <v>5</v>
      </c>
      <c r="L1841" s="2">
        <v>2278.1999999999998</v>
      </c>
      <c r="M1841" s="2">
        <v>11391</v>
      </c>
      <c r="N1841" s="2">
        <v>11391</v>
      </c>
      <c r="O1841" s="2">
        <v>2109.0585000000001</v>
      </c>
      <c r="P1841" s="2">
        <v>-169.14150000000001</v>
      </c>
      <c r="Q1841" s="2">
        <v>-845.70730000000003</v>
      </c>
      <c r="R1841" s="4">
        <v>-8.0197611698158158E-2</v>
      </c>
      <c r="T1841">
        <v>316881</v>
      </c>
      <c r="U1841" s="2"/>
      <c r="V1841">
        <v>6215</v>
      </c>
      <c r="W1841" s="2">
        <v>6579000000</v>
      </c>
      <c r="X1841" s="6">
        <v>10545.292710000002</v>
      </c>
      <c r="Y1841" s="38">
        <v>10010</v>
      </c>
      <c r="Z1841" s="86">
        <f>+((DETALLE_GD_1[[#This Row],[VALOR X UN (GD)]]-DETALLE_GD_1[[#This Row],[VALOR PPTO]])/DETALLE_GD_1[[#This Row],[VALOR PPTO]])</f>
        <v>8.0197633209320524E-2</v>
      </c>
      <c r="AA1841" s="2">
        <f>+DETALLE_GD_1[[#This Row],[VALOR PPTO]]*DETALLE_GD_1[[#This Row],[CANTIDAD RECIBIDA]]</f>
        <v>10545.2925</v>
      </c>
      <c r="AB1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1" s="3">
        <f>+DETALLE_GD_1[[#This Row],[CANTIDAD SOLICITADA]]-DETALLE_GD_1[[#This Row],[DEVOLUCIÓN]]</f>
        <v>5</v>
      </c>
      <c r="AD1841" s="38" t="str">
        <f>+_xlfn.XLOOKUP(DETALLE_GD_1[[#This Row],[CODIGO]],PRODUCTOS[CODIGO],PRODUCTOS[DESC CORTA],"",0)</f>
        <v>TRAPOS DE ASEO</v>
      </c>
    </row>
    <row r="1842" spans="1:30" x14ac:dyDescent="0.25">
      <c r="A1842" s="1">
        <v>46170</v>
      </c>
      <c r="B1842" s="1">
        <v>46170</v>
      </c>
      <c r="C1842" s="81" t="s">
        <v>169</v>
      </c>
      <c r="D1842" s="38">
        <v>5</v>
      </c>
      <c r="E1842" s="81" t="s">
        <v>169</v>
      </c>
      <c r="F1842">
        <v>609008</v>
      </c>
      <c r="G1842" s="81" t="s">
        <v>57</v>
      </c>
      <c r="H1842" s="81" t="s">
        <v>58</v>
      </c>
      <c r="I1842" s="3">
        <v>5</v>
      </c>
      <c r="J1842" s="3"/>
      <c r="K1842" s="26">
        <v>5</v>
      </c>
      <c r="L1842" s="2">
        <v>2067.1999999999998</v>
      </c>
      <c r="M1842" s="2">
        <v>10336</v>
      </c>
      <c r="N1842" s="2">
        <v>10336</v>
      </c>
      <c r="O1842" s="2">
        <v>2130.7573000000002</v>
      </c>
      <c r="P1842" s="2">
        <v>63.557299999999998</v>
      </c>
      <c r="Q1842" s="2">
        <v>317.78660000000002</v>
      </c>
      <c r="R1842" s="4">
        <v>2.9828507311327791E-2</v>
      </c>
      <c r="T1842">
        <v>316881</v>
      </c>
      <c r="U1842" s="2"/>
      <c r="V1842">
        <v>6215</v>
      </c>
      <c r="W1842" s="2">
        <v>6579000000</v>
      </c>
      <c r="X1842" s="6">
        <v>10653.786550000001</v>
      </c>
      <c r="Y1842" s="38">
        <v>10010</v>
      </c>
      <c r="Z1842" s="86">
        <f>+((DETALLE_GD_1[[#This Row],[VALOR X UN (GD)]]-DETALLE_GD_1[[#This Row],[VALOR PPTO]])/DETALLE_GD_1[[#This Row],[VALOR PPTO]])</f>
        <v>-2.9828502758151007E-2</v>
      </c>
      <c r="AA1842" s="2">
        <f>+DETALLE_GD_1[[#This Row],[VALOR PPTO]]*DETALLE_GD_1[[#This Row],[CANTIDAD RECIBIDA]]</f>
        <v>10653.786500000002</v>
      </c>
      <c r="AB1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2" s="3">
        <f>+DETALLE_GD_1[[#This Row],[CANTIDAD SOLICITADA]]-DETALLE_GD_1[[#This Row],[DEVOLUCIÓN]]</f>
        <v>5</v>
      </c>
      <c r="AD1842" s="38" t="str">
        <f>+_xlfn.XLOOKUP(DETALLE_GD_1[[#This Row],[CODIGO]],PRODUCTOS[CODIGO],PRODUCTOS[DESC CORTA],"",0)</f>
        <v>DUCO</v>
      </c>
    </row>
    <row r="1843" spans="1:30" x14ac:dyDescent="0.25">
      <c r="A1843" s="1">
        <v>46170</v>
      </c>
      <c r="B1843" s="1">
        <v>46170</v>
      </c>
      <c r="C1843" s="81" t="s">
        <v>169</v>
      </c>
      <c r="D1843" s="38">
        <v>5</v>
      </c>
      <c r="E1843" s="81" t="s">
        <v>169</v>
      </c>
      <c r="F1843">
        <v>810007</v>
      </c>
      <c r="G1843" s="81" t="s">
        <v>235</v>
      </c>
      <c r="H1843" s="81" t="s">
        <v>137</v>
      </c>
      <c r="I1843" s="3">
        <v>5</v>
      </c>
      <c r="J1843" s="3"/>
      <c r="K1843" s="26">
        <v>5</v>
      </c>
      <c r="L1843" s="2">
        <v>3372</v>
      </c>
      <c r="M1843" s="2">
        <v>16860</v>
      </c>
      <c r="N1843" s="2">
        <v>16860</v>
      </c>
      <c r="O1843" s="2">
        <v>3274.7246</v>
      </c>
      <c r="P1843" s="2">
        <v>-97.275400000000005</v>
      </c>
      <c r="Q1843" s="2">
        <v>-486.3768</v>
      </c>
      <c r="R1843" s="4">
        <v>-2.9704898198527511E-2</v>
      </c>
      <c r="T1843">
        <v>316881</v>
      </c>
      <c r="U1843" s="2"/>
      <c r="V1843">
        <v>6215</v>
      </c>
      <c r="W1843" s="2">
        <v>6579000000</v>
      </c>
      <c r="X1843" s="6">
        <v>16373.62319</v>
      </c>
      <c r="Y1843" s="38">
        <v>10010</v>
      </c>
      <c r="Z1843" s="86">
        <f>+((DETALLE_GD_1[[#This Row],[VALOR X UN (GD)]]-DETALLE_GD_1[[#This Row],[VALOR PPTO]])/DETALLE_GD_1[[#This Row],[VALOR PPTO]])</f>
        <v>2.9704910147253297E-2</v>
      </c>
      <c r="AA1843" s="2">
        <f>+DETALLE_GD_1[[#This Row],[VALOR PPTO]]*DETALLE_GD_1[[#This Row],[CANTIDAD RECIBIDA]]</f>
        <v>16373.623</v>
      </c>
      <c r="AB1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3" s="3">
        <f>+DETALLE_GD_1[[#This Row],[CANTIDAD SOLICITADA]]-DETALLE_GD_1[[#This Row],[DEVOLUCIÓN]]</f>
        <v>5</v>
      </c>
      <c r="AD1843" s="38">
        <f>+_xlfn.XLOOKUP(DETALLE_GD_1[[#This Row],[CODIGO]],PRODUCTOS[CODIGO],PRODUCTOS[DESC CORTA],"",0)</f>
        <v>0</v>
      </c>
    </row>
    <row r="1844" spans="1:30" x14ac:dyDescent="0.25">
      <c r="A1844" s="1">
        <v>46170</v>
      </c>
      <c r="B1844" s="1">
        <v>46170</v>
      </c>
      <c r="C1844" s="81" t="s">
        <v>169</v>
      </c>
      <c r="D1844" s="38">
        <v>5</v>
      </c>
      <c r="E1844" s="81" t="s">
        <v>169</v>
      </c>
      <c r="F1844">
        <v>2302098</v>
      </c>
      <c r="G1844" s="81" t="s">
        <v>24</v>
      </c>
      <c r="H1844" s="81" t="s">
        <v>25</v>
      </c>
      <c r="I1844" s="3">
        <v>5</v>
      </c>
      <c r="J1844" s="3"/>
      <c r="K1844" s="26">
        <v>5</v>
      </c>
      <c r="L1844" s="2">
        <v>21213</v>
      </c>
      <c r="M1844" s="2">
        <v>106065</v>
      </c>
      <c r="N1844" s="2">
        <v>106065</v>
      </c>
      <c r="O1844" s="2">
        <v>21213</v>
      </c>
      <c r="P1844" s="2">
        <v>0</v>
      </c>
      <c r="Q1844" s="2">
        <v>0</v>
      </c>
      <c r="R1844" s="4">
        <v>-1.7149761029050001E-16</v>
      </c>
      <c r="T1844">
        <v>316881</v>
      </c>
      <c r="U1844" s="2"/>
      <c r="V1844">
        <v>6215</v>
      </c>
      <c r="W1844" s="2">
        <v>6579000000</v>
      </c>
      <c r="X1844" s="6">
        <v>106065</v>
      </c>
      <c r="Y1844" s="38">
        <v>10010</v>
      </c>
      <c r="Z1844" s="86">
        <f>+((DETALLE_GD_1[[#This Row],[VALOR X UN (GD)]]-DETALLE_GD_1[[#This Row],[VALOR PPTO]])/DETALLE_GD_1[[#This Row],[VALOR PPTO]])</f>
        <v>0</v>
      </c>
      <c r="AA1844" s="2">
        <f>+DETALLE_GD_1[[#This Row],[VALOR PPTO]]*DETALLE_GD_1[[#This Row],[CANTIDAD RECIBIDA]]</f>
        <v>106065</v>
      </c>
      <c r="AB1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4" s="3">
        <f>+DETALLE_GD_1[[#This Row],[CANTIDAD SOLICITADA]]-DETALLE_GD_1[[#This Row],[DEVOLUCIÓN]]</f>
        <v>5</v>
      </c>
      <c r="AD1844" s="38" t="str">
        <f>+_xlfn.XLOOKUP(DETALLE_GD_1[[#This Row],[CODIGO]],PRODUCTOS[CODIGO],PRODUCTOS[DESC CORTA],"",0)</f>
        <v>COLA FRIA</v>
      </c>
    </row>
    <row r="1845" spans="1:30" x14ac:dyDescent="0.25">
      <c r="A1845" s="1">
        <v>46170</v>
      </c>
      <c r="B1845" s="1">
        <v>46170</v>
      </c>
      <c r="C1845" s="81" t="s">
        <v>169</v>
      </c>
      <c r="D1845" s="38">
        <v>5</v>
      </c>
      <c r="E1845" s="81" t="s">
        <v>169</v>
      </c>
      <c r="F1845">
        <v>2302017</v>
      </c>
      <c r="G1845" s="81" t="s">
        <v>156</v>
      </c>
      <c r="H1845" s="81" t="s">
        <v>25</v>
      </c>
      <c r="I1845" s="3">
        <v>5</v>
      </c>
      <c r="J1845" s="3"/>
      <c r="K1845" s="26">
        <v>5</v>
      </c>
      <c r="L1845" s="2">
        <v>83400.2</v>
      </c>
      <c r="M1845" s="2">
        <v>417001</v>
      </c>
      <c r="N1845" s="2">
        <v>417001</v>
      </c>
      <c r="O1845" s="2">
        <v>81197.881599999993</v>
      </c>
      <c r="P1845" s="2">
        <v>-2202.3184000000001</v>
      </c>
      <c r="Q1845" s="2">
        <v>-11011.5921</v>
      </c>
      <c r="R1845" s="4">
        <v>-2.7122855648115809E-2</v>
      </c>
      <c r="T1845">
        <v>316881</v>
      </c>
      <c r="U1845" s="2"/>
      <c r="V1845">
        <v>6215</v>
      </c>
      <c r="W1845" s="2">
        <v>6579000000</v>
      </c>
      <c r="X1845" s="6">
        <v>405989.40789499989</v>
      </c>
      <c r="Y1845" s="38">
        <v>10010</v>
      </c>
      <c r="Z1845" s="86">
        <f>+((DETALLE_GD_1[[#This Row],[VALOR X UN (GD)]]-DETALLE_GD_1[[#This Row],[VALOR PPTO]])/DETALLE_GD_1[[#This Row],[VALOR PPTO]])</f>
        <v>2.7122855382473474E-2</v>
      </c>
      <c r="AA1845" s="2">
        <f>+DETALLE_GD_1[[#This Row],[VALOR PPTO]]*DETALLE_GD_1[[#This Row],[CANTIDAD RECIBIDA]]</f>
        <v>405989.40799999994</v>
      </c>
      <c r="AB1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5" s="3">
        <f>+DETALLE_GD_1[[#This Row],[CANTIDAD SOLICITADA]]-DETALLE_GD_1[[#This Row],[DEVOLUCIÓN]]</f>
        <v>5</v>
      </c>
      <c r="AD1845" s="38">
        <f>+_xlfn.XLOOKUP(DETALLE_GD_1[[#This Row],[CODIGO]],PRODUCTOS[CODIGO],PRODUCTOS[DESC CORTA],"",0)</f>
        <v>0</v>
      </c>
    </row>
    <row r="1846" spans="1:30" x14ac:dyDescent="0.25">
      <c r="A1846" s="1">
        <v>46170</v>
      </c>
      <c r="B1846" s="1">
        <v>46170</v>
      </c>
      <c r="C1846" s="81" t="s">
        <v>169</v>
      </c>
      <c r="D1846" s="38">
        <v>5</v>
      </c>
      <c r="E1846" s="81" t="s">
        <v>169</v>
      </c>
      <c r="F1846">
        <v>602255</v>
      </c>
      <c r="G1846" s="81" t="s">
        <v>203</v>
      </c>
      <c r="H1846" s="81" t="s">
        <v>25</v>
      </c>
      <c r="I1846" s="3">
        <v>5</v>
      </c>
      <c r="J1846" s="3"/>
      <c r="K1846" s="26">
        <v>5</v>
      </c>
      <c r="L1846" s="2">
        <v>47890</v>
      </c>
      <c r="M1846" s="2">
        <v>239450</v>
      </c>
      <c r="N1846" s="2">
        <v>239450</v>
      </c>
      <c r="O1846" s="2">
        <v>47889.5</v>
      </c>
      <c r="P1846" s="2">
        <v>-0.5</v>
      </c>
      <c r="Q1846" s="2">
        <v>-2.5</v>
      </c>
      <c r="R1846" s="4">
        <v>-1.0440702032804683E-5</v>
      </c>
      <c r="T1846">
        <v>316881</v>
      </c>
      <c r="U1846" s="2"/>
      <c r="V1846">
        <v>6215</v>
      </c>
      <c r="W1846" s="2">
        <v>6579000000</v>
      </c>
      <c r="X1846" s="6">
        <v>239447.5</v>
      </c>
      <c r="Y1846" s="38">
        <v>10010</v>
      </c>
      <c r="Z1846" s="86">
        <f>+((DETALLE_GD_1[[#This Row],[VALOR X UN (GD)]]-DETALLE_GD_1[[#This Row],[VALOR PPTO]])/DETALLE_GD_1[[#This Row],[VALOR PPTO]])</f>
        <v>1.0440702032804685E-5</v>
      </c>
      <c r="AA1846" s="2">
        <f>+DETALLE_GD_1[[#This Row],[VALOR PPTO]]*DETALLE_GD_1[[#This Row],[CANTIDAD RECIBIDA]]</f>
        <v>239447.5</v>
      </c>
      <c r="AB1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6" s="3">
        <f>+DETALLE_GD_1[[#This Row],[CANTIDAD SOLICITADA]]-DETALLE_GD_1[[#This Row],[DEVOLUCIÓN]]</f>
        <v>5</v>
      </c>
      <c r="AD1846" s="38">
        <f>+_xlfn.XLOOKUP(DETALLE_GD_1[[#This Row],[CODIGO]],PRODUCTOS[CODIGO],PRODUCTOS[DESC CORTA],"",0)</f>
        <v>0</v>
      </c>
    </row>
    <row r="1847" spans="1:30" x14ac:dyDescent="0.25">
      <c r="A1847" s="1">
        <v>46170</v>
      </c>
      <c r="B1847" s="1">
        <v>46170</v>
      </c>
      <c r="C1847" s="81" t="s">
        <v>169</v>
      </c>
      <c r="D1847" s="38">
        <v>5</v>
      </c>
      <c r="E1847" s="81" t="s">
        <v>169</v>
      </c>
      <c r="F1847">
        <v>602254</v>
      </c>
      <c r="G1847" s="81" t="s">
        <v>214</v>
      </c>
      <c r="H1847" s="81" t="s">
        <v>25</v>
      </c>
      <c r="I1847" s="3">
        <v>5</v>
      </c>
      <c r="J1847" s="3"/>
      <c r="K1847" s="26">
        <v>5</v>
      </c>
      <c r="L1847" s="2">
        <v>46060</v>
      </c>
      <c r="M1847" s="2">
        <v>230300</v>
      </c>
      <c r="N1847" s="2">
        <v>230300</v>
      </c>
      <c r="O1847" s="2">
        <v>46060</v>
      </c>
      <c r="P1847" s="2">
        <v>0</v>
      </c>
      <c r="Q1847" s="2">
        <v>0</v>
      </c>
      <c r="R1847" s="4">
        <v>0</v>
      </c>
      <c r="T1847">
        <v>316881</v>
      </c>
      <c r="U1847" s="2"/>
      <c r="V1847">
        <v>6215</v>
      </c>
      <c r="W1847" s="2">
        <v>6579000000</v>
      </c>
      <c r="X1847" s="6">
        <v>230300</v>
      </c>
      <c r="Y1847" s="38">
        <v>10010</v>
      </c>
      <c r="Z1847" s="86">
        <f>+((DETALLE_GD_1[[#This Row],[VALOR X UN (GD)]]-DETALLE_GD_1[[#This Row],[VALOR PPTO]])/DETALLE_GD_1[[#This Row],[VALOR PPTO]])</f>
        <v>0</v>
      </c>
      <c r="AA1847" s="2">
        <f>+DETALLE_GD_1[[#This Row],[VALOR PPTO]]*DETALLE_GD_1[[#This Row],[CANTIDAD RECIBIDA]]</f>
        <v>230300</v>
      </c>
      <c r="AB1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7" s="3">
        <f>+DETALLE_GD_1[[#This Row],[CANTIDAD SOLICITADA]]-DETALLE_GD_1[[#This Row],[DEVOLUCIÓN]]</f>
        <v>5</v>
      </c>
      <c r="AD1847" s="38">
        <f>+_xlfn.XLOOKUP(DETALLE_GD_1[[#This Row],[CODIGO]],PRODUCTOS[CODIGO],PRODUCTOS[DESC CORTA],"",0)</f>
        <v>0</v>
      </c>
    </row>
    <row r="1848" spans="1:30" x14ac:dyDescent="0.25">
      <c r="A1848" s="1">
        <v>46170</v>
      </c>
      <c r="B1848" s="1">
        <v>46170</v>
      </c>
      <c r="C1848" s="81" t="s">
        <v>169</v>
      </c>
      <c r="D1848" s="38">
        <v>5</v>
      </c>
      <c r="E1848" s="81" t="s">
        <v>169</v>
      </c>
      <c r="F1848">
        <v>2505058</v>
      </c>
      <c r="G1848" s="81" t="s">
        <v>142</v>
      </c>
      <c r="H1848" s="81" t="s">
        <v>31</v>
      </c>
      <c r="I1848" s="3">
        <v>12</v>
      </c>
      <c r="J1848" s="3"/>
      <c r="K1848" s="26">
        <v>12</v>
      </c>
      <c r="L1848" s="2">
        <v>16469.666700000002</v>
      </c>
      <c r="M1848" s="2">
        <v>197636</v>
      </c>
      <c r="N1848" s="2">
        <v>197636</v>
      </c>
      <c r="O1848" s="2">
        <v>17870.144100000001</v>
      </c>
      <c r="P1848" s="2">
        <v>1400.4774</v>
      </c>
      <c r="Q1848" s="2">
        <v>16805.728800000001</v>
      </c>
      <c r="R1848" s="4">
        <v>7.8369676036421171E-2</v>
      </c>
      <c r="T1848">
        <v>316884</v>
      </c>
      <c r="U1848" s="2">
        <v>197636</v>
      </c>
      <c r="V1848">
        <v>6215</v>
      </c>
      <c r="W1848" s="2">
        <v>6579000000</v>
      </c>
      <c r="X1848" s="6">
        <v>214441.72881599999</v>
      </c>
      <c r="Y1848" s="38">
        <v>10010</v>
      </c>
      <c r="Z1848" s="86">
        <f>+((DETALLE_GD_1[[#This Row],[VALOR X UN (GD)]]-DETALLE_GD_1[[#This Row],[VALOR PPTO]])/DETALLE_GD_1[[#This Row],[VALOR PPTO]])</f>
        <v>-7.8369675821472515E-2</v>
      </c>
      <c r="AA1848" s="2">
        <f>+DETALLE_GD_1[[#This Row],[VALOR PPTO]]*DETALLE_GD_1[[#This Row],[CANTIDAD RECIBIDA]]</f>
        <v>214441.7292</v>
      </c>
      <c r="AB1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8" s="3">
        <f>+DETALLE_GD_1[[#This Row],[CANTIDAD SOLICITADA]]-DETALLE_GD_1[[#This Row],[DEVOLUCIÓN]]</f>
        <v>12</v>
      </c>
      <c r="AD1848" s="38" t="str">
        <f>+_xlfn.XLOOKUP(DETALLE_GD_1[[#This Row],[CODIGO]],PRODUCTOS[CODIGO],PRODUCTOS[DESC CORTA],"",0)</f>
        <v>VENTILACIÓN PASIVA</v>
      </c>
    </row>
    <row r="1849" spans="1:30" x14ac:dyDescent="0.25">
      <c r="A1849" s="1">
        <v>46170</v>
      </c>
      <c r="B1849" s="1">
        <v>46170</v>
      </c>
      <c r="C1849" s="81" t="s">
        <v>169</v>
      </c>
      <c r="D1849" s="38">
        <v>5</v>
      </c>
      <c r="E1849" s="81" t="s">
        <v>169</v>
      </c>
      <c r="F1849">
        <v>2304002</v>
      </c>
      <c r="G1849" s="81" t="s">
        <v>212</v>
      </c>
      <c r="H1849" s="81" t="s">
        <v>31</v>
      </c>
      <c r="I1849" s="3">
        <v>60</v>
      </c>
      <c r="J1849" s="3"/>
      <c r="K1849" s="26">
        <v>60</v>
      </c>
      <c r="L1849" s="2">
        <v>1409.5166999999999</v>
      </c>
      <c r="M1849" s="2">
        <v>84571</v>
      </c>
      <c r="N1849" s="2">
        <v>84571</v>
      </c>
      <c r="O1849" s="2">
        <v>1376.4717000000001</v>
      </c>
      <c r="P1849" s="2">
        <v>-33.044899999999998</v>
      </c>
      <c r="Q1849" s="2">
        <v>-1982.6966</v>
      </c>
      <c r="R1849" s="4">
        <v>-2.40069898207852E-2</v>
      </c>
      <c r="T1849">
        <v>316911</v>
      </c>
      <c r="U1849" s="2">
        <v>5956308</v>
      </c>
      <c r="V1849">
        <v>6215</v>
      </c>
      <c r="W1849" s="2">
        <v>6579000000</v>
      </c>
      <c r="X1849" s="6">
        <v>82588.303440000003</v>
      </c>
      <c r="Y1849" s="38">
        <v>10010</v>
      </c>
      <c r="Z1849" s="86">
        <f>+((DETALLE_GD_1[[#This Row],[VALOR X UN (GD)]]-DETALLE_GD_1[[#This Row],[VALOR PPTO]])/DETALLE_GD_1[[#This Row],[VALOR PPTO]])</f>
        <v>2.4007031891756181E-2</v>
      </c>
      <c r="AA1849" s="2">
        <f>+DETALLE_GD_1[[#This Row],[VALOR PPTO]]*DETALLE_GD_1[[#This Row],[CANTIDAD RECIBIDA]]</f>
        <v>82588.301999999996</v>
      </c>
      <c r="AB1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9" s="3">
        <f>+DETALLE_GD_1[[#This Row],[CANTIDAD SOLICITADA]]-DETALLE_GD_1[[#This Row],[DEVOLUCIÓN]]</f>
        <v>60</v>
      </c>
      <c r="AD1849" s="38">
        <f>+_xlfn.XLOOKUP(DETALLE_GD_1[[#This Row],[CODIGO]],PRODUCTOS[CODIGO],PRODUCTOS[DESC CORTA],"",0)</f>
        <v>0</v>
      </c>
    </row>
    <row r="1850" spans="1:30" x14ac:dyDescent="0.25">
      <c r="A1850" s="1">
        <v>46170</v>
      </c>
      <c r="B1850" s="1">
        <v>46170</v>
      </c>
      <c r="C1850" s="81" t="s">
        <v>169</v>
      </c>
      <c r="D1850" s="38">
        <v>5</v>
      </c>
      <c r="E1850" s="81" t="s">
        <v>169</v>
      </c>
      <c r="F1850">
        <v>1405006</v>
      </c>
      <c r="G1850" s="81" t="s">
        <v>199</v>
      </c>
      <c r="H1850" s="81" t="s">
        <v>31</v>
      </c>
      <c r="I1850" s="3">
        <v>1000</v>
      </c>
      <c r="J1850" s="3"/>
      <c r="K1850" s="26">
        <v>1000</v>
      </c>
      <c r="L1850" s="2">
        <v>35.197000000000003</v>
      </c>
      <c r="M1850" s="2">
        <v>35197</v>
      </c>
      <c r="N1850" s="2">
        <v>35197</v>
      </c>
      <c r="O1850" s="2">
        <v>35.197499999999998</v>
      </c>
      <c r="P1850" s="2">
        <v>5.0000000000000001E-4</v>
      </c>
      <c r="Q1850" s="2">
        <v>0.46</v>
      </c>
      <c r="R1850" s="4">
        <v>1.3069124874462578E-5</v>
      </c>
      <c r="T1850">
        <v>316911</v>
      </c>
      <c r="U1850" s="2"/>
      <c r="V1850">
        <v>6215</v>
      </c>
      <c r="W1850" s="2">
        <v>6579000000</v>
      </c>
      <c r="X1850" s="6">
        <v>35197.460000000006</v>
      </c>
      <c r="Y1850" s="38">
        <v>10010</v>
      </c>
      <c r="Z1850" s="86">
        <f>+((DETALLE_GD_1[[#This Row],[VALOR X UN (GD)]]-DETALLE_GD_1[[#This Row],[VALOR PPTO]])/DETALLE_GD_1[[#This Row],[VALOR PPTO]])</f>
        <v>-1.4205554371625315E-5</v>
      </c>
      <c r="AA1850" s="2">
        <f>+DETALLE_GD_1[[#This Row],[VALOR PPTO]]*DETALLE_GD_1[[#This Row],[CANTIDAD RECIBIDA]]</f>
        <v>35197.5</v>
      </c>
      <c r="AB1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0" s="3">
        <f>+DETALLE_GD_1[[#This Row],[CANTIDAD SOLICITADA]]-DETALLE_GD_1[[#This Row],[DEVOLUCIÓN]]</f>
        <v>1000</v>
      </c>
      <c r="AD1850" s="38">
        <f>+_xlfn.XLOOKUP(DETALLE_GD_1[[#This Row],[CODIGO]],PRODUCTOS[CODIGO],PRODUCTOS[DESC CORTA],"",0)</f>
        <v>0</v>
      </c>
    </row>
    <row r="1851" spans="1:30" x14ac:dyDescent="0.25">
      <c r="A1851" s="1">
        <v>46170</v>
      </c>
      <c r="B1851" s="1">
        <v>46170</v>
      </c>
      <c r="C1851" s="81" t="s">
        <v>169</v>
      </c>
      <c r="D1851" s="38">
        <v>5</v>
      </c>
      <c r="E1851" s="81" t="s">
        <v>169</v>
      </c>
      <c r="F1851" t="s">
        <v>231</v>
      </c>
      <c r="G1851" s="81" t="s">
        <v>180</v>
      </c>
      <c r="H1851" s="81" t="s">
        <v>36</v>
      </c>
      <c r="I1851" s="3">
        <v>6</v>
      </c>
      <c r="J1851" s="3"/>
      <c r="K1851" s="26">
        <v>6</v>
      </c>
      <c r="L1851" s="2">
        <v>51255.333299999998</v>
      </c>
      <c r="M1851" s="2">
        <v>307532</v>
      </c>
      <c r="N1851" s="2">
        <v>307532</v>
      </c>
      <c r="O1851" s="2">
        <v>55858.301899999999</v>
      </c>
      <c r="P1851" s="2">
        <v>4602.9686000000002</v>
      </c>
      <c r="Q1851" s="2">
        <v>27617.811300000001</v>
      </c>
      <c r="R1851" s="4">
        <v>8.2404376756356715E-2</v>
      </c>
      <c r="T1851">
        <v>316911</v>
      </c>
      <c r="U1851" s="2"/>
      <c r="V1851">
        <v>6215</v>
      </c>
      <c r="W1851" s="2">
        <v>6579000000</v>
      </c>
      <c r="X1851" s="6">
        <v>335149.81132199999</v>
      </c>
      <c r="Y1851" s="38">
        <v>10010</v>
      </c>
      <c r="Z1851" s="86">
        <f>+((DETALLE_GD_1[[#This Row],[VALOR X UN (GD)]]-DETALLE_GD_1[[#This Row],[VALOR PPTO]])/DETALLE_GD_1[[#This Row],[VALOR PPTO]])</f>
        <v>-8.240437756665854E-2</v>
      </c>
      <c r="AA1851" s="2">
        <f>+DETALLE_GD_1[[#This Row],[VALOR PPTO]]*DETALLE_GD_1[[#This Row],[CANTIDAD RECIBIDA]]</f>
        <v>335149.81140000001</v>
      </c>
      <c r="AB1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1" s="3">
        <f>+DETALLE_GD_1[[#This Row],[CANTIDAD SOLICITADA]]-DETALLE_GD_1[[#This Row],[DEVOLUCIÓN]]</f>
        <v>6</v>
      </c>
      <c r="AD1851" s="38">
        <f>+_xlfn.XLOOKUP(DETALLE_GD_1[[#This Row],[CODIGO]],PRODUCTOS[CODIGO],PRODUCTOS[DESC CORTA],"",0)</f>
        <v>0</v>
      </c>
    </row>
    <row r="1852" spans="1:30" x14ac:dyDescent="0.25">
      <c r="A1852" s="1">
        <v>46170</v>
      </c>
      <c r="B1852" s="1">
        <v>46170</v>
      </c>
      <c r="C1852" s="81" t="s">
        <v>169</v>
      </c>
      <c r="D1852" s="38">
        <v>5</v>
      </c>
      <c r="E1852" s="81" t="s">
        <v>169</v>
      </c>
      <c r="F1852">
        <v>408088</v>
      </c>
      <c r="G1852" s="81" t="s">
        <v>109</v>
      </c>
      <c r="H1852" s="81" t="s">
        <v>36</v>
      </c>
      <c r="I1852" s="3">
        <v>4</v>
      </c>
      <c r="J1852" s="3"/>
      <c r="K1852" s="26">
        <v>4</v>
      </c>
      <c r="L1852" s="2">
        <v>17500</v>
      </c>
      <c r="M1852" s="2">
        <v>70000</v>
      </c>
      <c r="N1852" s="2">
        <v>70000</v>
      </c>
      <c r="O1852" s="2">
        <v>17500.092700000001</v>
      </c>
      <c r="P1852" s="2">
        <v>9.2700000000000005E-2</v>
      </c>
      <c r="Q1852" s="2">
        <v>0.37090000000000001</v>
      </c>
      <c r="R1852" s="4">
        <v>5.2979719312796486E-6</v>
      </c>
      <c r="T1852">
        <v>316911</v>
      </c>
      <c r="U1852" s="2"/>
      <c r="V1852">
        <v>6215</v>
      </c>
      <c r="W1852" s="2">
        <v>6579000000</v>
      </c>
      <c r="X1852" s="6">
        <v>70000.370859999995</v>
      </c>
      <c r="Y1852" s="38">
        <v>10010</v>
      </c>
      <c r="Z1852" s="86">
        <f>+((DETALLE_GD_1[[#This Row],[VALOR X UN (GD)]]-DETALLE_GD_1[[#This Row],[VALOR PPTO]])/DETALLE_GD_1[[#This Row],[VALOR PPTO]])</f>
        <v>-5.2971147976295791E-6</v>
      </c>
      <c r="AA1852" s="2">
        <f>+DETALLE_GD_1[[#This Row],[VALOR PPTO]]*DETALLE_GD_1[[#This Row],[CANTIDAD RECIBIDA]]</f>
        <v>70000.370800000004</v>
      </c>
      <c r="AB1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2" s="3">
        <f>+DETALLE_GD_1[[#This Row],[CANTIDAD SOLICITADA]]-DETALLE_GD_1[[#This Row],[DEVOLUCIÓN]]</f>
        <v>4</v>
      </c>
      <c r="AD1852" s="38" t="str">
        <f>+_xlfn.XLOOKUP(DETALLE_GD_1[[#This Row],[CODIGO]],PRODUCTOS[CODIGO],PRODUCTOS[DESC CORTA],"",0)</f>
        <v>GRAPA T50</v>
      </c>
    </row>
    <row r="1853" spans="1:30" x14ac:dyDescent="0.25">
      <c r="A1853" s="1">
        <v>46170</v>
      </c>
      <c r="B1853" s="1">
        <v>46170</v>
      </c>
      <c r="C1853" s="81" t="s">
        <v>169</v>
      </c>
      <c r="D1853" s="38">
        <v>5</v>
      </c>
      <c r="E1853" s="81" t="s">
        <v>169</v>
      </c>
      <c r="F1853">
        <v>407049</v>
      </c>
      <c r="G1853" s="81" t="s">
        <v>232</v>
      </c>
      <c r="H1853" s="81" t="s">
        <v>31</v>
      </c>
      <c r="I1853" s="3">
        <v>1000</v>
      </c>
      <c r="J1853" s="3"/>
      <c r="K1853" s="26">
        <v>1000</v>
      </c>
      <c r="L1853" s="2">
        <v>16.202000000000002</v>
      </c>
      <c r="M1853" s="2">
        <v>16202</v>
      </c>
      <c r="N1853" s="2">
        <v>16202</v>
      </c>
      <c r="O1853" s="2">
        <v>16.202200000000001</v>
      </c>
      <c r="P1853" s="2">
        <v>2.0000000000000001E-4</v>
      </c>
      <c r="Q1853" s="2">
        <v>0.16200000000000001</v>
      </c>
      <c r="R1853" s="4">
        <v>9.9986656101544582E-6</v>
      </c>
      <c r="T1853">
        <v>316911</v>
      </c>
      <c r="U1853" s="2"/>
      <c r="V1853">
        <v>6215</v>
      </c>
      <c r="W1853" s="2">
        <v>6579000000</v>
      </c>
      <c r="X1853" s="6">
        <v>16202.162000000002</v>
      </c>
      <c r="Y1853" s="38">
        <v>10010</v>
      </c>
      <c r="Z1853" s="86">
        <f>+((DETALLE_GD_1[[#This Row],[VALOR X UN (GD)]]-DETALLE_GD_1[[#This Row],[VALOR PPTO]])/DETALLE_GD_1[[#This Row],[VALOR PPTO]])</f>
        <v>-1.2344002666275806E-5</v>
      </c>
      <c r="AA1853" s="2">
        <f>+DETALLE_GD_1[[#This Row],[VALOR PPTO]]*DETALLE_GD_1[[#This Row],[CANTIDAD RECIBIDA]]</f>
        <v>16202.2</v>
      </c>
      <c r="AB1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3" s="3">
        <f>+DETALLE_GD_1[[#This Row],[CANTIDAD SOLICITADA]]-DETALLE_GD_1[[#This Row],[DEVOLUCIÓN]]</f>
        <v>1000</v>
      </c>
      <c r="AD1853" s="38">
        <f>+_xlfn.XLOOKUP(DETALLE_GD_1[[#This Row],[CODIGO]],PRODUCTOS[CODIGO],PRODUCTOS[DESC CORTA],"",0)</f>
        <v>0</v>
      </c>
    </row>
    <row r="1854" spans="1:30" x14ac:dyDescent="0.25">
      <c r="A1854" s="1">
        <v>46170</v>
      </c>
      <c r="B1854" s="1">
        <v>46170</v>
      </c>
      <c r="C1854" s="81" t="s">
        <v>169</v>
      </c>
      <c r="D1854" s="38">
        <v>5</v>
      </c>
      <c r="E1854" s="81" t="s">
        <v>169</v>
      </c>
      <c r="F1854">
        <v>304101</v>
      </c>
      <c r="G1854" s="81" t="s">
        <v>17</v>
      </c>
      <c r="H1854" s="81" t="s">
        <v>18</v>
      </c>
      <c r="I1854" s="3">
        <v>252</v>
      </c>
      <c r="J1854" s="3"/>
      <c r="K1854" s="26">
        <v>252</v>
      </c>
      <c r="L1854" s="2">
        <v>9617.1666999999998</v>
      </c>
      <c r="M1854" s="2">
        <v>2423526</v>
      </c>
      <c r="N1854" s="2">
        <v>2423526</v>
      </c>
      <c r="O1854" s="2">
        <v>9657.5879999999997</v>
      </c>
      <c r="P1854" s="2">
        <v>40.421300000000002</v>
      </c>
      <c r="Q1854" s="2">
        <v>10186.163399999999</v>
      </c>
      <c r="R1854" s="4">
        <v>4.1854429431666274E-3</v>
      </c>
      <c r="T1854">
        <v>316911</v>
      </c>
      <c r="U1854" s="2"/>
      <c r="V1854">
        <v>6215</v>
      </c>
      <c r="W1854" s="2">
        <v>6579000000</v>
      </c>
      <c r="X1854" s="6">
        <v>2433712.1634000018</v>
      </c>
      <c r="Y1854" s="38">
        <v>10010</v>
      </c>
      <c r="Z1854" s="86">
        <f>+((DETALLE_GD_1[[#This Row],[VALOR X UN (GD)]]-DETALLE_GD_1[[#This Row],[VALOR PPTO]])/DETALLE_GD_1[[#This Row],[VALOR PPTO]])</f>
        <v>-4.1854446472556059E-3</v>
      </c>
      <c r="AA1854" s="2">
        <f>+DETALLE_GD_1[[#This Row],[VALOR PPTO]]*DETALLE_GD_1[[#This Row],[CANTIDAD RECIBIDA]]</f>
        <v>2433712.176</v>
      </c>
      <c r="AB18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54" s="3">
        <f>+DETALLE_GD_1[[#This Row],[CANTIDAD SOLICITADA]]-DETALLE_GD_1[[#This Row],[DEVOLUCIÓN]]</f>
        <v>252</v>
      </c>
      <c r="AD1854" s="38" t="str">
        <f>+_xlfn.XLOOKUP(DETALLE_GD_1[[#This Row],[CODIGO]],PRODUCTOS[CODIGO],PRODUCTOS[DESC CORTA],"",0)</f>
        <v>OSB 9.5</v>
      </c>
    </row>
    <row r="1855" spans="1:30" x14ac:dyDescent="0.25">
      <c r="A1855" s="1">
        <v>46170</v>
      </c>
      <c r="B1855" s="1">
        <v>46170</v>
      </c>
      <c r="C1855" s="81" t="s">
        <v>169</v>
      </c>
      <c r="D1855" s="38">
        <v>5</v>
      </c>
      <c r="E1855" s="81" t="s">
        <v>169</v>
      </c>
      <c r="F1855">
        <v>617016</v>
      </c>
      <c r="G1855" s="81" t="s">
        <v>133</v>
      </c>
      <c r="H1855" s="81" t="s">
        <v>31</v>
      </c>
      <c r="I1855" s="3">
        <v>10</v>
      </c>
      <c r="J1855" s="3"/>
      <c r="K1855" s="26">
        <v>10</v>
      </c>
      <c r="L1855" s="2">
        <v>2864.3</v>
      </c>
      <c r="M1855" s="2">
        <v>28643</v>
      </c>
      <c r="N1855" s="2">
        <v>28643</v>
      </c>
      <c r="O1855" s="2">
        <v>2857.5133000000001</v>
      </c>
      <c r="P1855" s="2">
        <v>-6.7866999999999997</v>
      </c>
      <c r="Q1855" s="2">
        <v>-67.8673</v>
      </c>
      <c r="R1855" s="4">
        <v>-2.3750461849998991E-3</v>
      </c>
      <c r="T1855">
        <v>316911</v>
      </c>
      <c r="U1855" s="2"/>
      <c r="V1855">
        <v>6215</v>
      </c>
      <c r="W1855" s="2">
        <v>6579000000</v>
      </c>
      <c r="X1855" s="6">
        <v>28575.132740000001</v>
      </c>
      <c r="Y1855" s="38">
        <v>10010</v>
      </c>
      <c r="Z1855" s="86">
        <f>+((DETALLE_GD_1[[#This Row],[VALOR X UN (GD)]]-DETALLE_GD_1[[#This Row],[VALOR PPTO]])/DETALLE_GD_1[[#This Row],[VALOR PPTO]])</f>
        <v>2.3750370645694318E-3</v>
      </c>
      <c r="AA1855" s="2">
        <f>+DETALLE_GD_1[[#This Row],[VALOR PPTO]]*DETALLE_GD_1[[#This Row],[CANTIDAD RECIBIDA]]</f>
        <v>28575.133000000002</v>
      </c>
      <c r="AB1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5" s="3">
        <f>+DETALLE_GD_1[[#This Row],[CANTIDAD SOLICITADA]]-DETALLE_GD_1[[#This Row],[DEVOLUCIÓN]]</f>
        <v>10</v>
      </c>
      <c r="AD1855" s="38" t="str">
        <f>+_xlfn.XLOOKUP(DETALLE_GD_1[[#This Row],[CODIGO]],PRODUCTOS[CODIGO],PRODUCTOS[DESC CORTA],"",0)</f>
        <v>RODILLO CHIPORRO</v>
      </c>
    </row>
    <row r="1856" spans="1:30" x14ac:dyDescent="0.25">
      <c r="A1856" s="1">
        <v>46170</v>
      </c>
      <c r="B1856" s="1">
        <v>46170</v>
      </c>
      <c r="C1856" s="81" t="s">
        <v>169</v>
      </c>
      <c r="D1856" s="38">
        <v>5</v>
      </c>
      <c r="E1856" s="81" t="s">
        <v>169</v>
      </c>
      <c r="F1856">
        <v>1902003</v>
      </c>
      <c r="G1856" s="81" t="s">
        <v>155</v>
      </c>
      <c r="H1856" s="81" t="s">
        <v>47</v>
      </c>
      <c r="I1856" s="3">
        <v>5</v>
      </c>
      <c r="J1856" s="3"/>
      <c r="K1856" s="26">
        <v>5</v>
      </c>
      <c r="L1856" s="2">
        <v>150752.20000000001</v>
      </c>
      <c r="M1856" s="2">
        <v>753761</v>
      </c>
      <c r="N1856" s="2">
        <v>753761</v>
      </c>
      <c r="O1856" s="2">
        <v>150703.9755</v>
      </c>
      <c r="P1856" s="2">
        <v>-48.224499999999999</v>
      </c>
      <c r="Q1856" s="2">
        <v>-241.12270000000001</v>
      </c>
      <c r="R1856" s="4">
        <v>-3.1999514181929221E-4</v>
      </c>
      <c r="T1856">
        <v>316911</v>
      </c>
      <c r="U1856" s="2"/>
      <c r="V1856">
        <v>6215</v>
      </c>
      <c r="W1856" s="2">
        <v>6579000000</v>
      </c>
      <c r="X1856" s="6">
        <v>753519.87729999982</v>
      </c>
      <c r="Y1856" s="38">
        <v>10010</v>
      </c>
      <c r="Z1856" s="86">
        <f>+((DETALLE_GD_1[[#This Row],[VALOR X UN (GD)]]-DETALLE_GD_1[[#This Row],[VALOR PPTO]])/DETALLE_GD_1[[#This Row],[VALOR PPTO]])</f>
        <v>3.1999487631307493E-4</v>
      </c>
      <c r="AA1856" s="2">
        <f>+DETALLE_GD_1[[#This Row],[VALOR PPTO]]*DETALLE_GD_1[[#This Row],[CANTIDAD RECIBIDA]]</f>
        <v>753519.87749999994</v>
      </c>
      <c r="AB1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6" s="3">
        <f>+DETALLE_GD_1[[#This Row],[CANTIDAD SOLICITADA]]-DETALLE_GD_1[[#This Row],[DEVOLUCIÓN]]</f>
        <v>5</v>
      </c>
      <c r="AD1856" s="38">
        <f>+_xlfn.XLOOKUP(DETALLE_GD_1[[#This Row],[CODIGO]],PRODUCTOS[CODIGO],PRODUCTOS[DESC CORTA],"",0)</f>
        <v>0</v>
      </c>
    </row>
    <row r="1857" spans="1:30" x14ac:dyDescent="0.25">
      <c r="A1857" s="1">
        <v>46170</v>
      </c>
      <c r="B1857" s="1">
        <v>46170</v>
      </c>
      <c r="C1857" s="81" t="s">
        <v>169</v>
      </c>
      <c r="D1857" s="38">
        <v>5</v>
      </c>
      <c r="E1857" s="81" t="s">
        <v>169</v>
      </c>
      <c r="F1857">
        <v>407011</v>
      </c>
      <c r="G1857" s="81" t="s">
        <v>30</v>
      </c>
      <c r="H1857" s="81" t="s">
        <v>31</v>
      </c>
      <c r="I1857" s="3">
        <v>3000</v>
      </c>
      <c r="J1857" s="3"/>
      <c r="K1857" s="26">
        <v>3000</v>
      </c>
      <c r="L1857" s="2">
        <v>444.97930000000002</v>
      </c>
      <c r="M1857" s="2">
        <v>1334938</v>
      </c>
      <c r="N1857" s="2">
        <v>1334938</v>
      </c>
      <c r="O1857" s="2">
        <v>473.17520000000002</v>
      </c>
      <c r="P1857" s="2">
        <v>28.195900000000002</v>
      </c>
      <c r="Q1857" s="2">
        <v>84587.72</v>
      </c>
      <c r="R1857" s="4">
        <v>5.9588719533732563E-2</v>
      </c>
      <c r="T1857">
        <v>316911</v>
      </c>
      <c r="U1857" s="2"/>
      <c r="V1857">
        <v>6215</v>
      </c>
      <c r="W1857" s="2">
        <v>6579000000</v>
      </c>
      <c r="X1857" s="6">
        <v>1419525.7199999995</v>
      </c>
      <c r="Y1857" s="38">
        <v>10010</v>
      </c>
      <c r="Z1857" s="86">
        <f>+((DETALLE_GD_1[[#This Row],[VALOR X UN (GD)]]-DETALLE_GD_1[[#This Row],[VALOR PPTO]])/DETALLE_GD_1[[#This Row],[VALOR PPTO]])</f>
        <v>-5.9588710481868014E-2</v>
      </c>
      <c r="AA1857" s="2">
        <f>+DETALLE_GD_1[[#This Row],[VALOR PPTO]]*DETALLE_GD_1[[#This Row],[CANTIDAD RECIBIDA]]</f>
        <v>1419525.6</v>
      </c>
      <c r="AB18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57" s="3">
        <f>+DETALLE_GD_1[[#This Row],[CANTIDAD SOLICITADA]]-DETALLE_GD_1[[#This Row],[DEVOLUCIÓN]]</f>
        <v>3000</v>
      </c>
      <c r="AD1857" s="38" t="str">
        <f>+_xlfn.XLOOKUP(DETALLE_GD_1[[#This Row],[CODIGO]],PRODUCTOS[CODIGO],PRODUCTOS[DESC CORTA],"",0)</f>
        <v>TORNILLO SIMPSON 6"</v>
      </c>
    </row>
    <row r="1858" spans="1:30" x14ac:dyDescent="0.25">
      <c r="A1858" s="1">
        <v>46170</v>
      </c>
      <c r="B1858" s="1">
        <v>46170</v>
      </c>
      <c r="C1858" s="81" t="s">
        <v>169</v>
      </c>
      <c r="D1858" s="38">
        <v>5</v>
      </c>
      <c r="E1858" s="81" t="s">
        <v>169</v>
      </c>
      <c r="F1858">
        <v>407185</v>
      </c>
      <c r="G1858" s="81" t="s">
        <v>43</v>
      </c>
      <c r="H1858" s="81" t="s">
        <v>31</v>
      </c>
      <c r="I1858" s="3">
        <v>9000</v>
      </c>
      <c r="J1858" s="3"/>
      <c r="K1858" s="26">
        <v>9000</v>
      </c>
      <c r="L1858" s="2">
        <v>6.2656999999999998</v>
      </c>
      <c r="M1858" s="2">
        <v>56391</v>
      </c>
      <c r="N1858" s="2">
        <v>56391</v>
      </c>
      <c r="O1858" s="2">
        <v>6.8783000000000003</v>
      </c>
      <c r="P1858" s="2">
        <v>0.61270000000000002</v>
      </c>
      <c r="Q1858" s="2">
        <v>5513.88</v>
      </c>
      <c r="R1858" s="4">
        <v>8.9070199312235268E-2</v>
      </c>
      <c r="T1858">
        <v>316911</v>
      </c>
      <c r="U1858" s="2"/>
      <c r="V1858">
        <v>6215</v>
      </c>
      <c r="W1858" s="2">
        <v>6579000000</v>
      </c>
      <c r="X1858" s="6">
        <v>61904.880000000005</v>
      </c>
      <c r="Y1858" s="38">
        <v>10010</v>
      </c>
      <c r="Z1858" s="86">
        <f>+((DETALLE_GD_1[[#This Row],[VALOR X UN (GD)]]-DETALLE_GD_1[[#This Row],[VALOR PPTO]])/DETALLE_GD_1[[#This Row],[VALOR PPTO]])</f>
        <v>-8.9062704447319896E-2</v>
      </c>
      <c r="AA1858" s="2">
        <f>+DETALLE_GD_1[[#This Row],[VALOR PPTO]]*DETALLE_GD_1[[#This Row],[CANTIDAD RECIBIDA]]</f>
        <v>61904.700000000004</v>
      </c>
      <c r="AB1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8" s="3">
        <f>+DETALLE_GD_1[[#This Row],[CANTIDAD SOLICITADA]]-DETALLE_GD_1[[#This Row],[DEVOLUCIÓN]]</f>
        <v>9000</v>
      </c>
      <c r="AD1858" s="38">
        <f>+_xlfn.XLOOKUP(DETALLE_GD_1[[#This Row],[CODIGO]],PRODUCTOS[CODIGO],PRODUCTOS[DESC CORTA],"",0)</f>
        <v>0</v>
      </c>
    </row>
    <row r="1859" spans="1:30" x14ac:dyDescent="0.25">
      <c r="A1859" s="1">
        <v>46170</v>
      </c>
      <c r="B1859" s="1">
        <v>46170</v>
      </c>
      <c r="C1859" s="81" t="s">
        <v>169</v>
      </c>
      <c r="D1859" s="38">
        <v>5</v>
      </c>
      <c r="E1859" s="81" t="s">
        <v>169</v>
      </c>
      <c r="F1859">
        <v>407170</v>
      </c>
      <c r="G1859" s="81" t="s">
        <v>107</v>
      </c>
      <c r="H1859" s="81" t="s">
        <v>31</v>
      </c>
      <c r="I1859" s="3">
        <v>1000</v>
      </c>
      <c r="J1859" s="3"/>
      <c r="K1859" s="26">
        <v>1000</v>
      </c>
      <c r="L1859" s="2">
        <v>4.88</v>
      </c>
      <c r="M1859" s="2">
        <v>4880</v>
      </c>
      <c r="N1859" s="2">
        <v>4880</v>
      </c>
      <c r="O1859" s="2">
        <v>4.8802000000000003</v>
      </c>
      <c r="P1859" s="2">
        <v>2.0000000000000001E-4</v>
      </c>
      <c r="Q1859" s="2">
        <v>0.216</v>
      </c>
      <c r="R1859" s="4">
        <v>4.4260336018094723E-5</v>
      </c>
      <c r="T1859">
        <v>316911</v>
      </c>
      <c r="U1859" s="2"/>
      <c r="V1859">
        <v>6215</v>
      </c>
      <c r="W1859" s="2">
        <v>6579000000</v>
      </c>
      <c r="X1859" s="6">
        <v>4880.2160000000003</v>
      </c>
      <c r="Y1859" s="38">
        <v>10010</v>
      </c>
      <c r="Z1859" s="86">
        <f>+((DETALLE_GD_1[[#This Row],[VALOR X UN (GD)]]-DETALLE_GD_1[[#This Row],[VALOR PPTO]])/DETALLE_GD_1[[#This Row],[VALOR PPTO]])</f>
        <v>-4.0981926970292619E-5</v>
      </c>
      <c r="AA1859" s="2">
        <f>+DETALLE_GD_1[[#This Row],[VALOR PPTO]]*DETALLE_GD_1[[#This Row],[CANTIDAD RECIBIDA]]</f>
        <v>4880.2000000000007</v>
      </c>
      <c r="AB1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9" s="3">
        <f>+DETALLE_GD_1[[#This Row],[CANTIDAD SOLICITADA]]-DETALLE_GD_1[[#This Row],[DEVOLUCIÓN]]</f>
        <v>1000</v>
      </c>
      <c r="AD1859" s="38" t="str">
        <f>+_xlfn.XLOOKUP(DETALLE_GD_1[[#This Row],[CODIGO]],PRODUCTOS[CODIGO],PRODUCTOS[DESC CORTA],"",0)</f>
        <v>TORNILLO CRS 6X2 1/4</v>
      </c>
    </row>
    <row r="1860" spans="1:30" x14ac:dyDescent="0.25">
      <c r="A1860" s="1">
        <v>46170</v>
      </c>
      <c r="B1860" s="1">
        <v>46170</v>
      </c>
      <c r="C1860" s="81" t="s">
        <v>169</v>
      </c>
      <c r="D1860" s="38">
        <v>5</v>
      </c>
      <c r="E1860" s="81" t="s">
        <v>169</v>
      </c>
      <c r="F1860">
        <v>407423</v>
      </c>
      <c r="G1860" s="81" t="s">
        <v>106</v>
      </c>
      <c r="H1860" s="81" t="s">
        <v>31</v>
      </c>
      <c r="I1860" s="3">
        <v>18000</v>
      </c>
      <c r="J1860" s="3"/>
      <c r="K1860" s="26">
        <v>18000</v>
      </c>
      <c r="L1860" s="2">
        <v>3.4662000000000002</v>
      </c>
      <c r="M1860" s="2">
        <v>62391</v>
      </c>
      <c r="N1860" s="2">
        <v>62391</v>
      </c>
      <c r="O1860" s="2">
        <v>106.6405</v>
      </c>
      <c r="P1860" s="2">
        <v>103.1743</v>
      </c>
      <c r="Q1860" s="2">
        <v>1857138.0356999999</v>
      </c>
      <c r="R1860" s="4">
        <v>0.96749671464230591</v>
      </c>
      <c r="T1860">
        <v>316911</v>
      </c>
      <c r="U1860" s="2"/>
      <c r="V1860">
        <v>6215</v>
      </c>
      <c r="W1860" s="2">
        <v>6579000000</v>
      </c>
      <c r="X1860" s="6">
        <v>1919529.035708108</v>
      </c>
      <c r="Y1860" s="38">
        <v>10010</v>
      </c>
      <c r="Z1860" s="86">
        <f>+((DETALLE_GD_1[[#This Row],[VALOR X UN (GD)]]-DETALLE_GD_1[[#This Row],[VALOR PPTO]])/DETALLE_GD_1[[#This Row],[VALOR PPTO]])</f>
        <v>-0.96749640146098337</v>
      </c>
      <c r="AA1860" s="2">
        <f>+DETALLE_GD_1[[#This Row],[VALOR PPTO]]*DETALLE_GD_1[[#This Row],[CANTIDAD RECIBIDA]]</f>
        <v>1919529</v>
      </c>
      <c r="AB1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0" s="3">
        <f>+DETALLE_GD_1[[#This Row],[CANTIDAD SOLICITADA]]-DETALLE_GD_1[[#This Row],[DEVOLUCIÓN]]</f>
        <v>18000</v>
      </c>
      <c r="AD1860" s="38" t="str">
        <f>+_xlfn.XLOOKUP(DETALLE_GD_1[[#This Row],[CODIGO]],PRODUCTOS[CODIGO],PRODUCTOS[DESC CORTA],"",0)</f>
        <v>TORNILLO CRS 6X1 5/8</v>
      </c>
    </row>
    <row r="1861" spans="1:30" x14ac:dyDescent="0.25">
      <c r="A1861" s="1">
        <v>46170</v>
      </c>
      <c r="B1861" s="1">
        <v>46170</v>
      </c>
      <c r="C1861" s="81" t="s">
        <v>169</v>
      </c>
      <c r="D1861" s="38">
        <v>5</v>
      </c>
      <c r="E1861" s="81" t="s">
        <v>169</v>
      </c>
      <c r="F1861">
        <v>412313</v>
      </c>
      <c r="G1861" s="81" t="s">
        <v>253</v>
      </c>
      <c r="H1861" s="81" t="s">
        <v>36</v>
      </c>
      <c r="I1861" s="3">
        <v>12</v>
      </c>
      <c r="J1861" s="3"/>
      <c r="K1861" s="26">
        <v>12</v>
      </c>
      <c r="L1861" s="2">
        <v>23724.083299999998</v>
      </c>
      <c r="M1861" s="2">
        <v>284689</v>
      </c>
      <c r="N1861" s="2">
        <v>284689</v>
      </c>
      <c r="O1861" s="2">
        <v>23724.0674</v>
      </c>
      <c r="P1861" s="2">
        <v>-1.5900000000000001E-2</v>
      </c>
      <c r="Q1861" s="2">
        <v>-0.19139999999999999</v>
      </c>
      <c r="R1861" s="4">
        <v>-6.7224279356656648E-7</v>
      </c>
      <c r="T1861">
        <v>316911</v>
      </c>
      <c r="U1861" s="2"/>
      <c r="V1861">
        <v>6215</v>
      </c>
      <c r="W1861" s="2">
        <v>6579000000</v>
      </c>
      <c r="X1861" s="6">
        <v>284688.80861999997</v>
      </c>
      <c r="Y1861" s="38">
        <v>10010</v>
      </c>
      <c r="Z1861" s="86">
        <f>+((DETALLE_GD_1[[#This Row],[VALOR X UN (GD)]]-DETALLE_GD_1[[#This Row],[VALOR PPTO]])/DETALLE_GD_1[[#This Row],[VALOR PPTO]])</f>
        <v>6.7020548080679807E-7</v>
      </c>
      <c r="AA1861" s="2">
        <f>+DETALLE_GD_1[[#This Row],[VALOR PPTO]]*DETALLE_GD_1[[#This Row],[CANTIDAD RECIBIDA]]</f>
        <v>284688.8088</v>
      </c>
      <c r="AB1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1" s="3">
        <f>+DETALLE_GD_1[[#This Row],[CANTIDAD SOLICITADA]]-DETALLE_GD_1[[#This Row],[DEVOLUCIÓN]]</f>
        <v>12</v>
      </c>
      <c r="AD1861" s="38">
        <f>+_xlfn.XLOOKUP(DETALLE_GD_1[[#This Row],[CODIGO]],PRODUCTOS[CODIGO],PRODUCTOS[DESC CORTA],"",0)</f>
        <v>0</v>
      </c>
    </row>
    <row r="1862" spans="1:30" x14ac:dyDescent="0.25">
      <c r="A1862" s="1">
        <v>46170</v>
      </c>
      <c r="B1862" s="1">
        <v>46170</v>
      </c>
      <c r="C1862" s="81" t="s">
        <v>169</v>
      </c>
      <c r="D1862" s="38">
        <v>5</v>
      </c>
      <c r="E1862" s="81" t="s">
        <v>169</v>
      </c>
      <c r="F1862">
        <v>410045</v>
      </c>
      <c r="G1862" s="81" t="s">
        <v>110</v>
      </c>
      <c r="H1862" s="81" t="s">
        <v>31</v>
      </c>
      <c r="I1862" s="3">
        <v>696</v>
      </c>
      <c r="J1862" s="3"/>
      <c r="K1862" s="26">
        <v>696</v>
      </c>
      <c r="L1862" s="2">
        <v>335.98129999999998</v>
      </c>
      <c r="M1862" s="2">
        <v>233843</v>
      </c>
      <c r="N1862" s="2">
        <v>233843</v>
      </c>
      <c r="O1862" s="2">
        <v>368.00139999999999</v>
      </c>
      <c r="P1862" s="2">
        <v>32.020000000000003</v>
      </c>
      <c r="Q1862" s="2">
        <v>22285.9473</v>
      </c>
      <c r="R1862" s="4">
        <v>8.7010654183204125E-2</v>
      </c>
      <c r="T1862">
        <v>316911</v>
      </c>
      <c r="U1862" s="2"/>
      <c r="V1862">
        <v>6215</v>
      </c>
      <c r="W1862" s="2">
        <v>6579000000</v>
      </c>
      <c r="X1862" s="6">
        <v>256128.94725599996</v>
      </c>
      <c r="Y1862" s="38">
        <v>10010</v>
      </c>
      <c r="Z1862" s="86">
        <f>+((DETALLE_GD_1[[#This Row],[VALOR X UN (GD)]]-DETALLE_GD_1[[#This Row],[VALOR PPTO]])/DETALLE_GD_1[[#This Row],[VALOR PPTO]])</f>
        <v>-8.701081028496091E-2</v>
      </c>
      <c r="AA1862" s="2">
        <f>+DETALLE_GD_1[[#This Row],[VALOR PPTO]]*DETALLE_GD_1[[#This Row],[CANTIDAD RECIBIDA]]</f>
        <v>256128.97440000001</v>
      </c>
      <c r="AB1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2" s="3">
        <f>+DETALLE_GD_1[[#This Row],[CANTIDAD SOLICITADA]]-DETALLE_GD_1[[#This Row],[DEVOLUCIÓN]]</f>
        <v>696</v>
      </c>
      <c r="AD1862" s="38" t="str">
        <f>+_xlfn.XLOOKUP(DETALLE_GD_1[[#This Row],[CODIGO]],PRODUCTOS[CODIGO],PRODUCTOS[DESC CORTA],"",0)</f>
        <v>CONECTOR DENTADO</v>
      </c>
    </row>
    <row r="1863" spans="1:30" x14ac:dyDescent="0.25">
      <c r="A1863" s="1">
        <v>46170</v>
      </c>
      <c r="B1863" s="1">
        <v>46170</v>
      </c>
      <c r="C1863" s="81" t="s">
        <v>169</v>
      </c>
      <c r="D1863" s="38">
        <v>5</v>
      </c>
      <c r="E1863" s="81" t="s">
        <v>169</v>
      </c>
      <c r="F1863">
        <v>410126</v>
      </c>
      <c r="G1863" s="81" t="s">
        <v>159</v>
      </c>
      <c r="H1863" s="81" t="s">
        <v>31</v>
      </c>
      <c r="I1863" s="3">
        <v>264</v>
      </c>
      <c r="J1863" s="3"/>
      <c r="K1863" s="26">
        <v>264</v>
      </c>
      <c r="L1863" s="2">
        <v>983.87879999999996</v>
      </c>
      <c r="M1863" s="2">
        <v>259744</v>
      </c>
      <c r="N1863" s="2">
        <v>259744</v>
      </c>
      <c r="O1863" s="2">
        <v>983.61890000000005</v>
      </c>
      <c r="P1863" s="2">
        <v>-0.25990000000000002</v>
      </c>
      <c r="Q1863" s="2">
        <v>-68.615399999999994</v>
      </c>
      <c r="R1863" s="4">
        <v>-2.6423534949180592E-4</v>
      </c>
      <c r="T1863">
        <v>316911</v>
      </c>
      <c r="U1863" s="2"/>
      <c r="V1863">
        <v>6215</v>
      </c>
      <c r="W1863" s="2">
        <v>6579000000</v>
      </c>
      <c r="X1863" s="6">
        <v>259675.38458400001</v>
      </c>
      <c r="Y1863" s="38">
        <v>10010</v>
      </c>
      <c r="Z1863" s="86">
        <f>+((DETALLE_GD_1[[#This Row],[VALOR X UN (GD)]]-DETALLE_GD_1[[#This Row],[VALOR PPTO]])/DETALLE_GD_1[[#This Row],[VALOR PPTO]])</f>
        <v>2.6422835104114237E-4</v>
      </c>
      <c r="AA1863" s="2">
        <f>+DETALLE_GD_1[[#This Row],[VALOR PPTO]]*DETALLE_GD_1[[#This Row],[CANTIDAD RECIBIDA]]</f>
        <v>259675.38960000002</v>
      </c>
      <c r="AB1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3" s="3">
        <f>+DETALLE_GD_1[[#This Row],[CANTIDAD SOLICITADA]]-DETALLE_GD_1[[#This Row],[DEVOLUCIÓN]]</f>
        <v>264</v>
      </c>
      <c r="AD1863" s="38">
        <f>+_xlfn.XLOOKUP(DETALLE_GD_1[[#This Row],[CODIGO]],PRODUCTOS[CODIGO],PRODUCTOS[DESC CORTA],"",0)</f>
        <v>0</v>
      </c>
    </row>
    <row r="1864" spans="1:30" x14ac:dyDescent="0.25">
      <c r="A1864" s="1">
        <v>46170</v>
      </c>
      <c r="B1864" s="1">
        <v>46170</v>
      </c>
      <c r="C1864" s="81" t="s">
        <v>169</v>
      </c>
      <c r="D1864" s="38">
        <v>5</v>
      </c>
      <c r="E1864" s="81" t="s">
        <v>169</v>
      </c>
      <c r="F1864">
        <v>408042</v>
      </c>
      <c r="G1864" s="81" t="s">
        <v>144</v>
      </c>
      <c r="H1864" s="81" t="s">
        <v>36</v>
      </c>
      <c r="I1864" s="3">
        <v>10</v>
      </c>
      <c r="J1864" s="3"/>
      <c r="K1864" s="26">
        <v>10</v>
      </c>
      <c r="L1864" s="2">
        <v>35000</v>
      </c>
      <c r="M1864" s="2">
        <v>350000</v>
      </c>
      <c r="N1864" s="2">
        <v>350000</v>
      </c>
      <c r="O1864" s="2">
        <v>35000</v>
      </c>
      <c r="P1864" s="2">
        <v>0</v>
      </c>
      <c r="Q1864" s="2">
        <v>0</v>
      </c>
      <c r="R1864" s="4">
        <v>8.3153801304950006E-16</v>
      </c>
      <c r="T1864">
        <v>316913</v>
      </c>
      <c r="U1864" s="2">
        <v>10928068</v>
      </c>
      <c r="V1864">
        <v>6215</v>
      </c>
      <c r="W1864" s="2">
        <v>6579000000</v>
      </c>
      <c r="X1864" s="6">
        <v>350000.00000000029</v>
      </c>
      <c r="Y1864" s="38">
        <v>10010</v>
      </c>
      <c r="Z1864" s="86">
        <f>+((DETALLE_GD_1[[#This Row],[VALOR X UN (GD)]]-DETALLE_GD_1[[#This Row],[VALOR PPTO]])/DETALLE_GD_1[[#This Row],[VALOR PPTO]])</f>
        <v>0</v>
      </c>
      <c r="AA1864" s="2">
        <f>+DETALLE_GD_1[[#This Row],[VALOR PPTO]]*DETALLE_GD_1[[#This Row],[CANTIDAD RECIBIDA]]</f>
        <v>350000</v>
      </c>
      <c r="AB1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4" s="3">
        <f>+DETALLE_GD_1[[#This Row],[CANTIDAD SOLICITADA]]-DETALLE_GD_1[[#This Row],[DEVOLUCIÓN]]</f>
        <v>10</v>
      </c>
      <c r="AD1864" s="38" t="str">
        <f>+_xlfn.XLOOKUP(DETALLE_GD_1[[#This Row],[CODIGO]],PRODUCTOS[CODIGO],PRODUCTOS[DESC CORTA],"",0)</f>
        <v>CLAVO HELICOIDAL PROFIX</v>
      </c>
    </row>
    <row r="1865" spans="1:30" x14ac:dyDescent="0.25">
      <c r="A1865" s="1">
        <v>46170</v>
      </c>
      <c r="B1865" s="1">
        <v>46170</v>
      </c>
      <c r="C1865" s="81" t="s">
        <v>169</v>
      </c>
      <c r="D1865" s="38">
        <v>5</v>
      </c>
      <c r="E1865" s="81" t="s">
        <v>169</v>
      </c>
      <c r="F1865">
        <v>1802659</v>
      </c>
      <c r="G1865" s="81" t="s">
        <v>161</v>
      </c>
      <c r="H1865" s="81" t="s">
        <v>31</v>
      </c>
      <c r="I1865" s="3">
        <v>20</v>
      </c>
      <c r="J1865" s="3"/>
      <c r="K1865" s="26">
        <v>20</v>
      </c>
      <c r="L1865" s="2">
        <v>2446.65</v>
      </c>
      <c r="M1865" s="2">
        <v>48933</v>
      </c>
      <c r="N1865" s="2">
        <v>48933</v>
      </c>
      <c r="O1865" s="2">
        <v>2929.4632000000001</v>
      </c>
      <c r="P1865" s="2">
        <v>482.81319999999999</v>
      </c>
      <c r="Q1865" s="2">
        <v>9656.2631999999994</v>
      </c>
      <c r="R1865" s="4">
        <v>0.1648128452073197</v>
      </c>
      <c r="T1865">
        <v>316913</v>
      </c>
      <c r="U1865" s="2"/>
      <c r="V1865">
        <v>6215</v>
      </c>
      <c r="W1865" s="2">
        <v>6579000000</v>
      </c>
      <c r="X1865" s="6">
        <v>58589.263160000002</v>
      </c>
      <c r="Y1865" s="38">
        <v>10010</v>
      </c>
      <c r="Z1865" s="86">
        <f>+((DETALLE_GD_1[[#This Row],[VALOR X UN (GD)]]-DETALLE_GD_1[[#This Row],[VALOR PPTO]])/DETALLE_GD_1[[#This Row],[VALOR PPTO]])</f>
        <v>-0.16481285718147953</v>
      </c>
      <c r="AA1865" s="2">
        <f>+DETALLE_GD_1[[#This Row],[VALOR PPTO]]*DETALLE_GD_1[[#This Row],[CANTIDAD RECIBIDA]]</f>
        <v>58589.264000000003</v>
      </c>
      <c r="AB1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5" s="3">
        <f>+DETALLE_GD_1[[#This Row],[CANTIDAD SOLICITADA]]-DETALLE_GD_1[[#This Row],[DEVOLUCIÓN]]</f>
        <v>20</v>
      </c>
      <c r="AD1865" s="38">
        <f>+_xlfn.XLOOKUP(DETALLE_GD_1[[#This Row],[CODIGO]],PRODUCTOS[CODIGO],PRODUCTOS[DESC CORTA],"",0)</f>
        <v>0</v>
      </c>
    </row>
    <row r="1866" spans="1:30" x14ac:dyDescent="0.25">
      <c r="A1866" s="1">
        <v>46170</v>
      </c>
      <c r="B1866" s="1">
        <v>46170</v>
      </c>
      <c r="C1866" s="81" t="s">
        <v>169</v>
      </c>
      <c r="D1866" s="38">
        <v>5</v>
      </c>
      <c r="E1866" s="81" t="s">
        <v>169</v>
      </c>
      <c r="F1866">
        <v>810007</v>
      </c>
      <c r="G1866" s="81" t="s">
        <v>235</v>
      </c>
      <c r="H1866" s="81" t="s">
        <v>137</v>
      </c>
      <c r="I1866" s="3">
        <v>50</v>
      </c>
      <c r="J1866" s="3"/>
      <c r="K1866" s="26">
        <v>50</v>
      </c>
      <c r="L1866" s="2">
        <v>3372.06</v>
      </c>
      <c r="M1866" s="2">
        <v>168603</v>
      </c>
      <c r="N1866" s="2">
        <v>168603</v>
      </c>
      <c r="O1866" s="2">
        <v>3274.7246</v>
      </c>
      <c r="P1866" s="2">
        <v>-97.335400000000007</v>
      </c>
      <c r="Q1866" s="2">
        <v>-4866.7681000000002</v>
      </c>
      <c r="R1866" s="4">
        <v>-2.9723220349740991E-2</v>
      </c>
      <c r="T1866">
        <v>316913</v>
      </c>
      <c r="U1866" s="2"/>
      <c r="V1866">
        <v>6215</v>
      </c>
      <c r="W1866" s="2">
        <v>6579000000</v>
      </c>
      <c r="X1866" s="6">
        <v>163736.23190000001</v>
      </c>
      <c r="Y1866" s="38">
        <v>10010</v>
      </c>
      <c r="Z1866" s="86">
        <f>+((DETALLE_GD_1[[#This Row],[VALOR X UN (GD)]]-DETALLE_GD_1[[#This Row],[VALOR PPTO]])/DETALLE_GD_1[[#This Row],[VALOR PPTO]])</f>
        <v>2.9723232298679386E-2</v>
      </c>
      <c r="AA1866" s="2">
        <f>+DETALLE_GD_1[[#This Row],[VALOR PPTO]]*DETALLE_GD_1[[#This Row],[CANTIDAD RECIBIDA]]</f>
        <v>163736.23000000001</v>
      </c>
      <c r="AB1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6" s="3">
        <f>+DETALLE_GD_1[[#This Row],[CANTIDAD SOLICITADA]]-DETALLE_GD_1[[#This Row],[DEVOLUCIÓN]]</f>
        <v>50</v>
      </c>
      <c r="AD1866" s="38">
        <f>+_xlfn.XLOOKUP(DETALLE_GD_1[[#This Row],[CODIGO]],PRODUCTOS[CODIGO],PRODUCTOS[DESC CORTA],"",0)</f>
        <v>0</v>
      </c>
    </row>
    <row r="1867" spans="1:30" x14ac:dyDescent="0.25">
      <c r="A1867" s="1">
        <v>46170</v>
      </c>
      <c r="B1867" s="1">
        <v>46170</v>
      </c>
      <c r="C1867" s="81" t="s">
        <v>169</v>
      </c>
      <c r="D1867" s="38">
        <v>5</v>
      </c>
      <c r="E1867" s="81" t="s">
        <v>169</v>
      </c>
      <c r="F1867">
        <v>302054</v>
      </c>
      <c r="G1867" s="81" t="s">
        <v>356</v>
      </c>
      <c r="H1867" s="81" t="s">
        <v>20</v>
      </c>
      <c r="I1867" s="3">
        <v>1872</v>
      </c>
      <c r="J1867" s="3"/>
      <c r="K1867" s="26">
        <v>1872</v>
      </c>
      <c r="L1867" s="2">
        <v>4575.8221000000003</v>
      </c>
      <c r="M1867" s="2">
        <v>8565939</v>
      </c>
      <c r="N1867" s="2">
        <v>8565939</v>
      </c>
      <c r="O1867" s="2">
        <v>5713</v>
      </c>
      <c r="P1867" s="2">
        <v>1137.1778999999999</v>
      </c>
      <c r="Q1867" s="2">
        <v>2128797</v>
      </c>
      <c r="R1867" s="4">
        <v>0.19905091626385171</v>
      </c>
      <c r="T1867">
        <v>316913</v>
      </c>
      <c r="U1867" s="2"/>
      <c r="V1867">
        <v>6215</v>
      </c>
      <c r="W1867" s="2">
        <v>6579000000</v>
      </c>
      <c r="X1867" s="6">
        <v>10694736</v>
      </c>
      <c r="Y1867" s="38">
        <v>10010</v>
      </c>
      <c r="Z1867" s="86">
        <f>+((DETALLE_GD_1[[#This Row],[VALOR X UN (GD)]]-DETALLE_GD_1[[#This Row],[VALOR PPTO]])/DETALLE_GD_1[[#This Row],[VALOR PPTO]])</f>
        <v>-0.19905091895676522</v>
      </c>
      <c r="AA1867" s="2">
        <f>+DETALLE_GD_1[[#This Row],[VALOR PPTO]]*DETALLE_GD_1[[#This Row],[CANTIDAD RECIBIDA]]</f>
        <v>10694736</v>
      </c>
      <c r="AB18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67" s="3">
        <f>+DETALLE_GD_1[[#This Row],[CANTIDAD SOLICITADA]]-DETALLE_GD_1[[#This Row],[DEVOLUCIÓN]]</f>
        <v>1872</v>
      </c>
      <c r="AD1867" s="38">
        <f>+_xlfn.XLOOKUP(DETALLE_GD_1[[#This Row],[CODIGO]],PRODUCTOS[CODIGO],PRODUCTOS[DESC CORTA],"",0)</f>
        <v>0</v>
      </c>
    </row>
    <row r="1868" spans="1:30" x14ac:dyDescent="0.25">
      <c r="A1868" s="1">
        <v>46170</v>
      </c>
      <c r="B1868" s="1">
        <v>46170</v>
      </c>
      <c r="C1868" s="81" t="s">
        <v>169</v>
      </c>
      <c r="D1868" s="38">
        <v>5</v>
      </c>
      <c r="E1868" s="81" t="s">
        <v>169</v>
      </c>
      <c r="F1868">
        <v>704022</v>
      </c>
      <c r="G1868" s="81" t="s">
        <v>330</v>
      </c>
      <c r="H1868" s="81" t="s">
        <v>31</v>
      </c>
      <c r="I1868" s="3">
        <v>2</v>
      </c>
      <c r="J1868" s="3"/>
      <c r="K1868" s="26">
        <v>2</v>
      </c>
      <c r="L1868" s="2">
        <v>258.5</v>
      </c>
      <c r="M1868" s="2">
        <v>517</v>
      </c>
      <c r="N1868" s="2">
        <v>517</v>
      </c>
      <c r="O1868" s="2">
        <v>306</v>
      </c>
      <c r="P1868" s="2">
        <v>47.5</v>
      </c>
      <c r="Q1868" s="2">
        <v>95</v>
      </c>
      <c r="R1868" s="4">
        <v>0.15522875816993481</v>
      </c>
      <c r="T1868">
        <v>316913</v>
      </c>
      <c r="U1868" s="2"/>
      <c r="V1868">
        <v>6215</v>
      </c>
      <c r="W1868" s="2">
        <v>6579000000</v>
      </c>
      <c r="X1868" s="6">
        <v>612.00000000000011</v>
      </c>
      <c r="Y1868" s="38">
        <v>10010</v>
      </c>
      <c r="Z1868" s="86">
        <f>+((DETALLE_GD_1[[#This Row],[VALOR X UN (GD)]]-DETALLE_GD_1[[#This Row],[VALOR PPTO]])/DETALLE_GD_1[[#This Row],[VALOR PPTO]])</f>
        <v>-0.15522875816993464</v>
      </c>
      <c r="AA1868" s="2">
        <f>+DETALLE_GD_1[[#This Row],[VALOR PPTO]]*DETALLE_GD_1[[#This Row],[CANTIDAD RECIBIDA]]</f>
        <v>612</v>
      </c>
      <c r="AB18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8" s="3">
        <f>+DETALLE_GD_1[[#This Row],[CANTIDAD SOLICITADA]]-DETALLE_GD_1[[#This Row],[DEVOLUCIÓN]]</f>
        <v>2</v>
      </c>
      <c r="AD1868" s="38" t="str">
        <f>+_xlfn.XLOOKUP(DETALLE_GD_1[[#This Row],[CODIGO]],PRODUCTOS[CODIGO],PRODUCTOS[DESC CORTA],"",0)</f>
        <v>ESQUINERO CORNIZA INTERIOR</v>
      </c>
    </row>
    <row r="1869" spans="1:30" x14ac:dyDescent="0.25">
      <c r="A1869" s="1">
        <v>46170</v>
      </c>
      <c r="B1869" s="1">
        <v>46170</v>
      </c>
      <c r="C1869" s="81" t="s">
        <v>169</v>
      </c>
      <c r="D1869" s="38">
        <v>5</v>
      </c>
      <c r="E1869" s="81" t="s">
        <v>169</v>
      </c>
      <c r="F1869">
        <v>408034</v>
      </c>
      <c r="G1869" s="81" t="s">
        <v>250</v>
      </c>
      <c r="H1869" s="81" t="s">
        <v>36</v>
      </c>
      <c r="I1869" s="3">
        <v>2</v>
      </c>
      <c r="J1869" s="3"/>
      <c r="K1869" s="26">
        <v>2</v>
      </c>
      <c r="L1869" s="2">
        <v>1867</v>
      </c>
      <c r="M1869" s="2">
        <v>3734</v>
      </c>
      <c r="N1869" s="2">
        <v>3734</v>
      </c>
      <c r="O1869" s="2">
        <v>1866.9503999999999</v>
      </c>
      <c r="P1869" s="2">
        <v>-4.9599999999999998E-2</v>
      </c>
      <c r="Q1869" s="2">
        <v>-9.9299999999999999E-2</v>
      </c>
      <c r="R1869" s="4">
        <v>-2.6591494447838636E-5</v>
      </c>
      <c r="T1869">
        <v>316913</v>
      </c>
      <c r="U1869" s="2"/>
      <c r="V1869">
        <v>6215</v>
      </c>
      <c r="W1869" s="2">
        <v>6579000000</v>
      </c>
      <c r="X1869" s="6">
        <v>3733.9007100000017</v>
      </c>
      <c r="Y1869" s="38">
        <v>10010</v>
      </c>
      <c r="Z1869" s="86">
        <f>+((DETALLE_GD_1[[#This Row],[VALOR X UN (GD)]]-DETALLE_GD_1[[#This Row],[VALOR PPTO]])/DETALLE_GD_1[[#This Row],[VALOR PPTO]])</f>
        <v>2.6567390328128124E-5</v>
      </c>
      <c r="AA1869" s="2">
        <f>+DETALLE_GD_1[[#This Row],[VALOR PPTO]]*DETALLE_GD_1[[#This Row],[CANTIDAD RECIBIDA]]</f>
        <v>3733.9007999999999</v>
      </c>
      <c r="AB1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9" s="3">
        <f>+DETALLE_GD_1[[#This Row],[CANTIDAD SOLICITADA]]-DETALLE_GD_1[[#This Row],[DEVOLUCIÓN]]</f>
        <v>2</v>
      </c>
      <c r="AD1869" s="38">
        <f>+_xlfn.XLOOKUP(DETALLE_GD_1[[#This Row],[CODIGO]],PRODUCTOS[CODIGO],PRODUCTOS[DESC CORTA],"",0)</f>
        <v>0</v>
      </c>
    </row>
    <row r="1870" spans="1:30" x14ac:dyDescent="0.25">
      <c r="A1870" s="1">
        <v>46170</v>
      </c>
      <c r="B1870" s="1">
        <v>46170</v>
      </c>
      <c r="C1870" s="81" t="s">
        <v>169</v>
      </c>
      <c r="D1870" s="38">
        <v>5</v>
      </c>
      <c r="E1870" s="81" t="s">
        <v>169</v>
      </c>
      <c r="F1870">
        <v>1901505</v>
      </c>
      <c r="G1870" s="81" t="s">
        <v>27</v>
      </c>
      <c r="H1870" s="81" t="s">
        <v>28</v>
      </c>
      <c r="I1870" s="3">
        <v>100</v>
      </c>
      <c r="J1870" s="3"/>
      <c r="K1870" s="26">
        <v>100</v>
      </c>
      <c r="L1870" s="2">
        <v>1895</v>
      </c>
      <c r="M1870" s="2">
        <v>189500</v>
      </c>
      <c r="N1870" s="2">
        <v>189500</v>
      </c>
      <c r="O1870" s="2">
        <v>1895</v>
      </c>
      <c r="P1870" s="2">
        <v>0</v>
      </c>
      <c r="Q1870" s="2">
        <v>0</v>
      </c>
      <c r="R1870" s="4">
        <v>0</v>
      </c>
      <c r="T1870">
        <v>316913</v>
      </c>
      <c r="U1870" s="2"/>
      <c r="V1870">
        <v>6215</v>
      </c>
      <c r="W1870" s="2">
        <v>6579000000</v>
      </c>
      <c r="X1870" s="6">
        <v>189500</v>
      </c>
      <c r="Y1870" s="38">
        <v>10010</v>
      </c>
      <c r="Z1870" s="86">
        <f>+((DETALLE_GD_1[[#This Row],[VALOR X UN (GD)]]-DETALLE_GD_1[[#This Row],[VALOR PPTO]])/DETALLE_GD_1[[#This Row],[VALOR PPTO]])</f>
        <v>0</v>
      </c>
      <c r="AA1870" s="2">
        <f>+DETALLE_GD_1[[#This Row],[VALOR PPTO]]*DETALLE_GD_1[[#This Row],[CANTIDAD RECIBIDA]]</f>
        <v>189500</v>
      </c>
      <c r="AB1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0" s="3">
        <f>+DETALLE_GD_1[[#This Row],[CANTIDAD SOLICITADA]]-DETALLE_GD_1[[#This Row],[DEVOLUCIÓN]]</f>
        <v>100</v>
      </c>
      <c r="AD1870" s="38" t="str">
        <f>+_xlfn.XLOOKUP(DETALLE_GD_1[[#This Row],[CODIGO]],PRODUCTOS[CODIGO],PRODUCTOS[DESC CORTA],"",0)</f>
        <v>POLIETILENO</v>
      </c>
    </row>
    <row r="1871" spans="1:30" x14ac:dyDescent="0.25">
      <c r="A1871" s="1">
        <v>46170</v>
      </c>
      <c r="B1871" s="1">
        <v>46170</v>
      </c>
      <c r="C1871" s="81" t="s">
        <v>169</v>
      </c>
      <c r="D1871" s="38">
        <v>5</v>
      </c>
      <c r="E1871" s="81" t="s">
        <v>169</v>
      </c>
      <c r="F1871">
        <v>2304056</v>
      </c>
      <c r="G1871" s="81" t="s">
        <v>417</v>
      </c>
      <c r="H1871" s="81" t="s">
        <v>31</v>
      </c>
      <c r="I1871" s="3">
        <v>60</v>
      </c>
      <c r="J1871" s="3"/>
      <c r="K1871" s="26">
        <v>60</v>
      </c>
      <c r="L1871" s="2">
        <v>3163.1333</v>
      </c>
      <c r="M1871" s="2">
        <v>189788</v>
      </c>
      <c r="N1871" s="2">
        <v>189788</v>
      </c>
      <c r="O1871" s="2">
        <v>2979</v>
      </c>
      <c r="P1871" s="2">
        <v>-184.13329999999999</v>
      </c>
      <c r="Q1871" s="2">
        <v>-11048</v>
      </c>
      <c r="R1871" s="4">
        <v>-6.1810450934317966E-2</v>
      </c>
      <c r="T1871">
        <v>316913</v>
      </c>
      <c r="U1871" s="2"/>
      <c r="V1871">
        <v>6215</v>
      </c>
      <c r="W1871" s="2">
        <v>6579000000</v>
      </c>
      <c r="X1871" s="6">
        <v>178740</v>
      </c>
      <c r="Y1871" s="38">
        <v>10010</v>
      </c>
      <c r="Z1871" s="86">
        <f>+((DETALLE_GD_1[[#This Row],[VALOR X UN (GD)]]-DETALLE_GD_1[[#This Row],[VALOR PPTO]])/DETALLE_GD_1[[#This Row],[VALOR PPTO]])</f>
        <v>6.1810439744880818E-2</v>
      </c>
      <c r="AA1871" s="2">
        <f>+DETALLE_GD_1[[#This Row],[VALOR PPTO]]*DETALLE_GD_1[[#This Row],[CANTIDAD RECIBIDA]]</f>
        <v>178740</v>
      </c>
      <c r="AB1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1" s="3">
        <f>+DETALLE_GD_1[[#This Row],[CANTIDAD SOLICITADA]]-DETALLE_GD_1[[#This Row],[DEVOLUCIÓN]]</f>
        <v>60</v>
      </c>
      <c r="AD1871" s="38" t="str">
        <f>+_xlfn.XLOOKUP(DETALLE_GD_1[[#This Row],[CODIGO]],PRODUCTOS[CODIGO],PRODUCTOS[DESC CORTA],"",0)</f>
        <v/>
      </c>
    </row>
    <row r="1872" spans="1:30" x14ac:dyDescent="0.25">
      <c r="A1872" s="1">
        <v>46170</v>
      </c>
      <c r="B1872" s="1">
        <v>46170</v>
      </c>
      <c r="C1872" s="81" t="s">
        <v>169</v>
      </c>
      <c r="D1872" s="38">
        <v>5</v>
      </c>
      <c r="E1872" s="81" t="s">
        <v>169</v>
      </c>
      <c r="F1872">
        <v>1901038</v>
      </c>
      <c r="G1872" s="81" t="s">
        <v>39</v>
      </c>
      <c r="H1872" s="81" t="s">
        <v>26</v>
      </c>
      <c r="I1872" s="3">
        <v>108</v>
      </c>
      <c r="J1872" s="3"/>
      <c r="K1872" s="26">
        <v>108</v>
      </c>
      <c r="L1872" s="2">
        <v>4862.5370000000003</v>
      </c>
      <c r="M1872" s="2">
        <v>525154</v>
      </c>
      <c r="N1872" s="2">
        <v>525154</v>
      </c>
      <c r="O1872" s="2">
        <v>4197.4179000000004</v>
      </c>
      <c r="P1872" s="2">
        <v>-665.11919999999998</v>
      </c>
      <c r="Q1872" s="2">
        <v>-71832.869500000001</v>
      </c>
      <c r="R1872" s="4">
        <v>-0.15845912459622244</v>
      </c>
      <c r="T1872">
        <v>316913</v>
      </c>
      <c r="U1872" s="2"/>
      <c r="V1872">
        <v>6215</v>
      </c>
      <c r="W1872" s="2">
        <v>6579000000</v>
      </c>
      <c r="X1872" s="6">
        <v>453321.13050000009</v>
      </c>
      <c r="Y1872" s="38">
        <v>10010</v>
      </c>
      <c r="Z1872" s="86">
        <f>+((DETALLE_GD_1[[#This Row],[VALOR X UN (GD)]]-DETALLE_GD_1[[#This Row],[VALOR PPTO]])/DETALLE_GD_1[[#This Row],[VALOR PPTO]])</f>
        <v>0.15845910887262377</v>
      </c>
      <c r="AA1872" s="2">
        <f>+DETALLE_GD_1[[#This Row],[VALOR PPTO]]*DETALLE_GD_1[[#This Row],[CANTIDAD RECIBIDA]]</f>
        <v>453321.13320000004</v>
      </c>
      <c r="AB18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72" s="3">
        <f>+DETALLE_GD_1[[#This Row],[CANTIDAD SOLICITADA]]-DETALLE_GD_1[[#This Row],[DEVOLUCIÓN]]</f>
        <v>108</v>
      </c>
      <c r="AD1872" s="38" t="str">
        <f>+_xlfn.XLOOKUP(DETALLE_GD_1[[#This Row],[CODIGO]],PRODUCTOS[CODIGO],PRODUCTOS[DESC CORTA],"",0)</f>
        <v>AISLAN ROCA 90MM</v>
      </c>
    </row>
    <row r="1873" spans="1:30" x14ac:dyDescent="0.25">
      <c r="A1873" s="1">
        <v>46170</v>
      </c>
      <c r="B1873" s="1">
        <v>46170</v>
      </c>
      <c r="C1873" s="81" t="s">
        <v>169</v>
      </c>
      <c r="D1873" s="38">
        <v>5</v>
      </c>
      <c r="E1873" s="81" t="s">
        <v>169</v>
      </c>
      <c r="F1873">
        <v>1901008</v>
      </c>
      <c r="G1873" s="81" t="s">
        <v>278</v>
      </c>
      <c r="H1873" s="81" t="s">
        <v>26</v>
      </c>
      <c r="I1873" s="3">
        <v>270</v>
      </c>
      <c r="J1873" s="3"/>
      <c r="K1873" s="26">
        <v>270</v>
      </c>
      <c r="L1873" s="2">
        <v>2060.9110999999998</v>
      </c>
      <c r="M1873" s="2">
        <v>556446</v>
      </c>
      <c r="N1873" s="2">
        <v>556446</v>
      </c>
      <c r="O1873" s="2">
        <v>2112.7957999999999</v>
      </c>
      <c r="P1873" s="2">
        <v>51.884700000000002</v>
      </c>
      <c r="Q1873" s="2">
        <v>14008.8603</v>
      </c>
      <c r="R1873" s="4">
        <v>2.4557351166919855E-2</v>
      </c>
      <c r="T1873">
        <v>316913</v>
      </c>
      <c r="U1873" s="2"/>
      <c r="V1873">
        <v>6215</v>
      </c>
      <c r="W1873" s="2">
        <v>6579000000</v>
      </c>
      <c r="X1873" s="6">
        <v>570454.86033000005</v>
      </c>
      <c r="Y1873" s="38">
        <v>10010</v>
      </c>
      <c r="Z1873" s="86">
        <f>+((DETALLE_GD_1[[#This Row],[VALOR X UN (GD)]]-DETALLE_GD_1[[#This Row],[VALOR PPTO]])/DETALLE_GD_1[[#This Row],[VALOR PPTO]])</f>
        <v>-2.4557366121231435E-2</v>
      </c>
      <c r="AA1873" s="2">
        <f>+DETALLE_GD_1[[#This Row],[VALOR PPTO]]*DETALLE_GD_1[[#This Row],[CANTIDAD RECIBIDA]]</f>
        <v>570454.86599999992</v>
      </c>
      <c r="AB18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73" s="3">
        <f>+DETALLE_GD_1[[#This Row],[CANTIDAD SOLICITADA]]-DETALLE_GD_1[[#This Row],[DEVOLUCIÓN]]</f>
        <v>270</v>
      </c>
      <c r="AD1873" s="38" t="str">
        <f>+_xlfn.XLOOKUP(DETALLE_GD_1[[#This Row],[CODIGO]],PRODUCTOS[CODIGO],PRODUCTOS[DESC CORTA],"",0)</f>
        <v>AISLAN GLASS 90MM</v>
      </c>
    </row>
    <row r="1874" spans="1:30" x14ac:dyDescent="0.25">
      <c r="A1874" s="1">
        <v>46170</v>
      </c>
      <c r="B1874" s="1">
        <v>46170</v>
      </c>
      <c r="C1874" s="81" t="s">
        <v>169</v>
      </c>
      <c r="D1874" s="38">
        <v>5</v>
      </c>
      <c r="E1874" s="81" t="s">
        <v>169</v>
      </c>
      <c r="F1874">
        <v>2302119</v>
      </c>
      <c r="G1874" s="81" t="s">
        <v>74</v>
      </c>
      <c r="H1874" s="81" t="s">
        <v>31</v>
      </c>
      <c r="I1874" s="3">
        <v>60</v>
      </c>
      <c r="J1874" s="3"/>
      <c r="K1874" s="26">
        <v>60</v>
      </c>
      <c r="L1874" s="2">
        <v>3679.8833</v>
      </c>
      <c r="M1874" s="2">
        <v>220793</v>
      </c>
      <c r="N1874" s="2">
        <v>220793</v>
      </c>
      <c r="O1874" s="2">
        <v>3671</v>
      </c>
      <c r="P1874" s="2">
        <v>-8.8833000000000002</v>
      </c>
      <c r="Q1874" s="2">
        <v>-533</v>
      </c>
      <c r="R1874" s="4">
        <v>-2.4198674294015833E-3</v>
      </c>
      <c r="T1874">
        <v>316913</v>
      </c>
      <c r="U1874" s="2"/>
      <c r="V1874">
        <v>6215</v>
      </c>
      <c r="W1874" s="2">
        <v>6579000000</v>
      </c>
      <c r="X1874" s="6">
        <v>220260</v>
      </c>
      <c r="Y1874" s="38">
        <v>10010</v>
      </c>
      <c r="Z1874" s="86">
        <f>+((DETALLE_GD_1[[#This Row],[VALOR X UN (GD)]]-DETALLE_GD_1[[#This Row],[VALOR PPTO]])/DETALLE_GD_1[[#This Row],[VALOR PPTO]])</f>
        <v>2.4198583492236348E-3</v>
      </c>
      <c r="AA1874" s="2">
        <f>+DETALLE_GD_1[[#This Row],[VALOR PPTO]]*DETALLE_GD_1[[#This Row],[CANTIDAD RECIBIDA]]</f>
        <v>220260</v>
      </c>
      <c r="AB1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4" s="3">
        <f>+DETALLE_GD_1[[#This Row],[CANTIDAD SOLICITADA]]-DETALLE_GD_1[[#This Row],[DEVOLUCIÓN]]</f>
        <v>60</v>
      </c>
      <c r="AD1874" s="38" t="str">
        <f>+_xlfn.XLOOKUP(DETALLE_GD_1[[#This Row],[CODIGO]],PRODUCTOS[CODIGO],PRODUCTOS[DESC CORTA],"",0)</f>
        <v>SELLO</v>
      </c>
    </row>
    <row r="1875" spans="1:30" x14ac:dyDescent="0.25">
      <c r="A1875" s="1">
        <v>46170</v>
      </c>
      <c r="B1875" s="1">
        <v>46170</v>
      </c>
      <c r="C1875" s="81" t="s">
        <v>169</v>
      </c>
      <c r="D1875" s="38">
        <v>5</v>
      </c>
      <c r="E1875" s="81" t="s">
        <v>169</v>
      </c>
      <c r="F1875">
        <v>617057</v>
      </c>
      <c r="G1875" s="81" t="s">
        <v>134</v>
      </c>
      <c r="H1875" s="81" t="s">
        <v>31</v>
      </c>
      <c r="I1875" s="3">
        <v>12</v>
      </c>
      <c r="J1875" s="3"/>
      <c r="K1875" s="26">
        <v>12</v>
      </c>
      <c r="L1875" s="2">
        <v>1698.3333</v>
      </c>
      <c r="M1875" s="2">
        <v>20380</v>
      </c>
      <c r="N1875" s="2">
        <v>20380</v>
      </c>
      <c r="O1875" s="2">
        <v>2042.1197</v>
      </c>
      <c r="P1875" s="2">
        <v>343.78640000000001</v>
      </c>
      <c r="Q1875" s="2">
        <v>4125.4364999999998</v>
      </c>
      <c r="R1875" s="4">
        <v>0.16834780628019985</v>
      </c>
      <c r="T1875">
        <v>316913</v>
      </c>
      <c r="U1875" s="2"/>
      <c r="V1875">
        <v>6215</v>
      </c>
      <c r="W1875" s="2">
        <v>6579000000</v>
      </c>
      <c r="X1875" s="6">
        <v>24505.436472000001</v>
      </c>
      <c r="Y1875" s="38">
        <v>10010</v>
      </c>
      <c r="Z1875" s="86">
        <f>+((DETALLE_GD_1[[#This Row],[VALOR X UN (GD)]]-DETALLE_GD_1[[#This Row],[VALOR PPTO]])/DETALLE_GD_1[[#This Row],[VALOR PPTO]])</f>
        <v>-0.16834782015961158</v>
      </c>
      <c r="AA1875" s="2">
        <f>+DETALLE_GD_1[[#This Row],[VALOR PPTO]]*DETALLE_GD_1[[#This Row],[CANTIDAD RECIBIDA]]</f>
        <v>24505.436399999999</v>
      </c>
      <c r="AB1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5" s="3">
        <f>+DETALLE_GD_1[[#This Row],[CANTIDAD SOLICITADA]]-DETALLE_GD_1[[#This Row],[DEVOLUCIÓN]]</f>
        <v>12</v>
      </c>
      <c r="AD1875" s="38" t="str">
        <f>+_xlfn.XLOOKUP(DETALLE_GD_1[[#This Row],[CODIGO]],PRODUCTOS[CODIGO],PRODUCTOS[DESC CORTA],"",0)</f>
        <v>BROCHA 5/8 X4</v>
      </c>
    </row>
    <row r="1876" spans="1:30" x14ac:dyDescent="0.25">
      <c r="A1876" s="1">
        <v>46170</v>
      </c>
      <c r="B1876" s="1">
        <v>46170</v>
      </c>
      <c r="C1876" s="81" t="s">
        <v>169</v>
      </c>
      <c r="D1876" s="38">
        <v>5</v>
      </c>
      <c r="E1876" s="81" t="s">
        <v>169</v>
      </c>
      <c r="F1876">
        <v>617055</v>
      </c>
      <c r="G1876" s="81" t="s">
        <v>182</v>
      </c>
      <c r="H1876" s="81" t="s">
        <v>31</v>
      </c>
      <c r="I1876" s="3">
        <v>12</v>
      </c>
      <c r="J1876" s="3"/>
      <c r="K1876" s="26">
        <v>12</v>
      </c>
      <c r="L1876" s="2">
        <v>694.75</v>
      </c>
      <c r="M1876" s="2">
        <v>8337</v>
      </c>
      <c r="N1876" s="2">
        <v>8337</v>
      </c>
      <c r="O1876" s="2">
        <v>920.35379999999998</v>
      </c>
      <c r="P1876" s="2">
        <v>225.60380000000001</v>
      </c>
      <c r="Q1876" s="2">
        <v>2707.2453999999998</v>
      </c>
      <c r="R1876" s="4">
        <v>0.2451272387395125</v>
      </c>
      <c r="T1876">
        <v>316913</v>
      </c>
      <c r="U1876" s="2"/>
      <c r="V1876">
        <v>6215</v>
      </c>
      <c r="W1876" s="2">
        <v>6579000000</v>
      </c>
      <c r="X1876" s="6">
        <v>11044.245371999999</v>
      </c>
      <c r="Y1876" s="38">
        <v>10010</v>
      </c>
      <c r="Z1876" s="86">
        <f>+((DETALLE_GD_1[[#This Row],[VALOR X UN (GD)]]-DETALLE_GD_1[[#This Row],[VALOR PPTO]])/DETALLE_GD_1[[#This Row],[VALOR PPTO]])</f>
        <v>-0.24512725432328306</v>
      </c>
      <c r="AA1876" s="2">
        <f>+DETALLE_GD_1[[#This Row],[VALOR PPTO]]*DETALLE_GD_1[[#This Row],[CANTIDAD RECIBIDA]]</f>
        <v>11044.2456</v>
      </c>
      <c r="AB1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6" s="3">
        <f>+DETALLE_GD_1[[#This Row],[CANTIDAD SOLICITADA]]-DETALLE_GD_1[[#This Row],[DEVOLUCIÓN]]</f>
        <v>12</v>
      </c>
      <c r="AD1876" s="38">
        <f>+_xlfn.XLOOKUP(DETALLE_GD_1[[#This Row],[CODIGO]],PRODUCTOS[CODIGO],PRODUCTOS[DESC CORTA],"",0)</f>
        <v>0</v>
      </c>
    </row>
    <row r="1877" spans="1:30" x14ac:dyDescent="0.25">
      <c r="A1877" s="1">
        <v>46170</v>
      </c>
      <c r="B1877" s="1">
        <v>46170</v>
      </c>
      <c r="C1877" s="81" t="s">
        <v>169</v>
      </c>
      <c r="D1877" s="38">
        <v>5</v>
      </c>
      <c r="E1877" s="81" t="s">
        <v>169</v>
      </c>
      <c r="F1877">
        <v>1610023</v>
      </c>
      <c r="G1877" s="81" t="s">
        <v>351</v>
      </c>
      <c r="H1877" s="81" t="s">
        <v>28</v>
      </c>
      <c r="I1877" s="3">
        <v>6</v>
      </c>
      <c r="J1877" s="3"/>
      <c r="K1877" s="26">
        <v>6</v>
      </c>
      <c r="L1877" s="2">
        <v>2278.1667000000002</v>
      </c>
      <c r="M1877" s="2">
        <v>13669</v>
      </c>
      <c r="N1877" s="2">
        <v>13669</v>
      </c>
      <c r="O1877" s="2">
        <v>2109.0585000000001</v>
      </c>
      <c r="P1877" s="2">
        <v>-169.10810000000001</v>
      </c>
      <c r="Q1877" s="2">
        <v>-1014.6487</v>
      </c>
      <c r="R1877" s="4">
        <v>-8.0181806857908586E-2</v>
      </c>
      <c r="T1877">
        <v>316913</v>
      </c>
      <c r="U1877" s="2"/>
      <c r="V1877">
        <v>6215</v>
      </c>
      <c r="W1877" s="2">
        <v>6579000000</v>
      </c>
      <c r="X1877" s="6">
        <v>12654.351252</v>
      </c>
      <c r="Y1877" s="38">
        <v>10010</v>
      </c>
      <c r="Z1877" s="86">
        <f>+((DETALLE_GD_1[[#This Row],[VALOR X UN (GD)]]-DETALLE_GD_1[[#This Row],[VALOR PPTO]])/DETALLE_GD_1[[#This Row],[VALOR PPTO]])</f>
        <v>8.0181844173596944E-2</v>
      </c>
      <c r="AA1877" s="2">
        <f>+DETALLE_GD_1[[#This Row],[VALOR PPTO]]*DETALLE_GD_1[[#This Row],[CANTIDAD RECIBIDA]]</f>
        <v>12654.351000000001</v>
      </c>
      <c r="AB1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7" s="3">
        <f>+DETALLE_GD_1[[#This Row],[CANTIDAD SOLICITADA]]-DETALLE_GD_1[[#This Row],[DEVOLUCIÓN]]</f>
        <v>6</v>
      </c>
      <c r="AD1877" s="38" t="str">
        <f>+_xlfn.XLOOKUP(DETALLE_GD_1[[#This Row],[CODIGO]],PRODUCTOS[CODIGO],PRODUCTOS[DESC CORTA],"",0)</f>
        <v>TRAPOS DE ASEO</v>
      </c>
    </row>
    <row r="1878" spans="1:30" x14ac:dyDescent="0.25">
      <c r="A1878" s="1">
        <v>46170</v>
      </c>
      <c r="B1878" s="1">
        <v>46170</v>
      </c>
      <c r="C1878" s="81" t="s">
        <v>169</v>
      </c>
      <c r="D1878" s="38">
        <v>5</v>
      </c>
      <c r="E1878" s="81" t="s">
        <v>169</v>
      </c>
      <c r="F1878">
        <v>609008</v>
      </c>
      <c r="G1878" s="81" t="s">
        <v>57</v>
      </c>
      <c r="H1878" s="81" t="s">
        <v>58</v>
      </c>
      <c r="I1878" s="3">
        <v>10</v>
      </c>
      <c r="J1878" s="3"/>
      <c r="K1878" s="26">
        <v>10</v>
      </c>
      <c r="L1878" s="2">
        <v>2067.1999999999998</v>
      </c>
      <c r="M1878" s="2">
        <v>20672</v>
      </c>
      <c r="N1878" s="2">
        <v>20672</v>
      </c>
      <c r="O1878" s="2">
        <v>2130.7573000000002</v>
      </c>
      <c r="P1878" s="2">
        <v>63.557299999999998</v>
      </c>
      <c r="Q1878" s="2">
        <v>635.57309999999995</v>
      </c>
      <c r="R1878" s="4">
        <v>2.9828507311327791E-2</v>
      </c>
      <c r="T1878">
        <v>316913</v>
      </c>
      <c r="U1878" s="2"/>
      <c r="V1878">
        <v>6215</v>
      </c>
      <c r="W1878" s="2">
        <v>6579000000</v>
      </c>
      <c r="X1878" s="6">
        <v>21307.573100000001</v>
      </c>
      <c r="Y1878" s="38">
        <v>10010</v>
      </c>
      <c r="Z1878" s="86">
        <f>+((DETALLE_GD_1[[#This Row],[VALOR X UN (GD)]]-DETALLE_GD_1[[#This Row],[VALOR PPTO]])/DETALLE_GD_1[[#This Row],[VALOR PPTO]])</f>
        <v>-2.9828502758151007E-2</v>
      </c>
      <c r="AA1878" s="2">
        <f>+DETALLE_GD_1[[#This Row],[VALOR PPTO]]*DETALLE_GD_1[[#This Row],[CANTIDAD RECIBIDA]]</f>
        <v>21307.573000000004</v>
      </c>
      <c r="AB18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8" s="3">
        <f>+DETALLE_GD_1[[#This Row],[CANTIDAD SOLICITADA]]-DETALLE_GD_1[[#This Row],[DEVOLUCIÓN]]</f>
        <v>10</v>
      </c>
      <c r="AD1878" s="38" t="str">
        <f>+_xlfn.XLOOKUP(DETALLE_GD_1[[#This Row],[CODIGO]],PRODUCTOS[CODIGO],PRODUCTOS[DESC CORTA],"",0)</f>
        <v>DUCO</v>
      </c>
    </row>
    <row r="1879" spans="1:30" x14ac:dyDescent="0.25">
      <c r="A1879" s="1">
        <v>46170</v>
      </c>
      <c r="B1879" s="1">
        <v>46170</v>
      </c>
      <c r="C1879" s="81" t="s">
        <v>169</v>
      </c>
      <c r="D1879" s="38">
        <v>5</v>
      </c>
      <c r="E1879" s="81" t="s">
        <v>169</v>
      </c>
      <c r="F1879">
        <v>106022</v>
      </c>
      <c r="G1879" s="81" t="s">
        <v>245</v>
      </c>
      <c r="H1879" s="81" t="s">
        <v>31</v>
      </c>
      <c r="I1879" s="3">
        <v>12</v>
      </c>
      <c r="J1879" s="3"/>
      <c r="K1879" s="26">
        <v>12</v>
      </c>
      <c r="L1879" s="2">
        <v>3800.25</v>
      </c>
      <c r="M1879" s="2">
        <v>45603</v>
      </c>
      <c r="N1879" s="2">
        <v>45603</v>
      </c>
      <c r="O1879" s="2">
        <v>3800.6911</v>
      </c>
      <c r="P1879" s="2">
        <v>0.44109999999999999</v>
      </c>
      <c r="Q1879" s="2">
        <v>5.2931999999999997</v>
      </c>
      <c r="R1879" s="4">
        <v>1.1605757703293336E-4</v>
      </c>
      <c r="T1879">
        <v>316913</v>
      </c>
      <c r="U1879" s="2"/>
      <c r="V1879">
        <v>6215</v>
      </c>
      <c r="W1879" s="2">
        <v>6579000000</v>
      </c>
      <c r="X1879" s="6">
        <v>45608.293188000011</v>
      </c>
      <c r="Y1879" s="38">
        <v>10010</v>
      </c>
      <c r="Z1879" s="86">
        <f>+((DETALLE_GD_1[[#This Row],[VALOR X UN (GD)]]-DETALLE_GD_1[[#This Row],[VALOR PPTO]])/DETALLE_GD_1[[#This Row],[VALOR PPTO]])</f>
        <v>-1.1605784011229058E-4</v>
      </c>
      <c r="AA1879" s="2">
        <f>+DETALLE_GD_1[[#This Row],[VALOR PPTO]]*DETALLE_GD_1[[#This Row],[CANTIDAD RECIBIDA]]</f>
        <v>45608.2932</v>
      </c>
      <c r="AB18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9" s="3">
        <f>+DETALLE_GD_1[[#This Row],[CANTIDAD SOLICITADA]]-DETALLE_GD_1[[#This Row],[DEVOLUCIÓN]]</f>
        <v>12</v>
      </c>
      <c r="AD1879" s="38">
        <f>+_xlfn.XLOOKUP(DETALLE_GD_1[[#This Row],[CODIGO]],PRODUCTOS[CODIGO],PRODUCTOS[DESC CORTA],"",0)</f>
        <v>0</v>
      </c>
    </row>
    <row r="1880" spans="1:30" x14ac:dyDescent="0.25">
      <c r="A1880" s="1">
        <v>46170</v>
      </c>
      <c r="B1880" s="1">
        <v>46170</v>
      </c>
      <c r="C1880" s="81" t="s">
        <v>169</v>
      </c>
      <c r="D1880" s="38">
        <v>5</v>
      </c>
      <c r="E1880" s="81" t="s">
        <v>169</v>
      </c>
      <c r="F1880">
        <v>707023</v>
      </c>
      <c r="G1880" s="81" t="s">
        <v>797</v>
      </c>
      <c r="H1880" s="81" t="s">
        <v>31</v>
      </c>
      <c r="I1880" s="3">
        <v>48</v>
      </c>
      <c r="J1880" s="3"/>
      <c r="K1880" s="26">
        <v>48</v>
      </c>
      <c r="L1880" s="2">
        <v>16734.458299999998</v>
      </c>
      <c r="M1880" s="2">
        <v>803254</v>
      </c>
      <c r="N1880" s="2">
        <v>803254</v>
      </c>
      <c r="O1880" s="2"/>
      <c r="P1880" s="2"/>
      <c r="Q1880" s="2">
        <v>-803254</v>
      </c>
      <c r="R1880" s="4"/>
      <c r="T1880">
        <v>316941</v>
      </c>
      <c r="U1880" s="2">
        <v>803254</v>
      </c>
      <c r="V1880">
        <v>6215</v>
      </c>
      <c r="W1880" s="2">
        <v>6579000000</v>
      </c>
      <c r="X1880" s="6" t="s">
        <v>355</v>
      </c>
      <c r="Y1880" s="38">
        <v>10010</v>
      </c>
      <c r="Z1880" s="86" t="e">
        <f>+((DETALLE_GD_1[[#This Row],[VALOR X UN (GD)]]-DETALLE_GD_1[[#This Row],[VALOR PPTO]])/DETALLE_GD_1[[#This Row],[VALOR PPTO]])</f>
        <v>#DIV/0!</v>
      </c>
      <c r="AA1880" s="2">
        <f>+DETALLE_GD_1[[#This Row],[VALOR PPTO]]*DETALLE_GD_1[[#This Row],[CANTIDAD RECIBIDA]]</f>
        <v>0</v>
      </c>
      <c r="AB18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0" s="3">
        <f>+DETALLE_GD_1[[#This Row],[CANTIDAD SOLICITADA]]-DETALLE_GD_1[[#This Row],[DEVOLUCIÓN]]</f>
        <v>48</v>
      </c>
      <c r="AD1880" s="38" t="str">
        <f>+_xlfn.XLOOKUP(DETALLE_GD_1[[#This Row],[CODIGO]],PRODUCTOS[CODIGO],PRODUCTOS[DESC CORTA],"",0)</f>
        <v/>
      </c>
    </row>
    <row r="1881" spans="1:30" x14ac:dyDescent="0.25">
      <c r="A1881" s="1">
        <v>46171</v>
      </c>
      <c r="B1881" s="1">
        <v>46171</v>
      </c>
      <c r="C1881" s="81" t="s">
        <v>169</v>
      </c>
      <c r="D1881" s="38">
        <v>5</v>
      </c>
      <c r="E1881" s="81" t="s">
        <v>169</v>
      </c>
      <c r="F1881" t="s">
        <v>296</v>
      </c>
      <c r="G1881" s="81" t="s">
        <v>297</v>
      </c>
      <c r="H1881" s="81" t="s">
        <v>31</v>
      </c>
      <c r="I1881" s="3">
        <v>36</v>
      </c>
      <c r="J1881" s="3"/>
      <c r="K1881" s="26">
        <v>36</v>
      </c>
      <c r="L1881" s="2">
        <v>203506</v>
      </c>
      <c r="M1881" s="2">
        <v>7326216</v>
      </c>
      <c r="N1881" s="2">
        <v>7326216</v>
      </c>
      <c r="O1881" s="2">
        <v>205500</v>
      </c>
      <c r="P1881" s="2">
        <v>1994</v>
      </c>
      <c r="Q1881" s="2">
        <v>71784</v>
      </c>
      <c r="R1881" s="4">
        <v>9.7031630170316303E-3</v>
      </c>
      <c r="U1881" s="2">
        <v>14623178</v>
      </c>
      <c r="V1881">
        <v>6213</v>
      </c>
      <c r="W1881" s="2">
        <v>6579000000</v>
      </c>
      <c r="X1881" s="6">
        <v>7398000</v>
      </c>
      <c r="Y1881" s="38">
        <v>10010</v>
      </c>
      <c r="Z1881" s="86">
        <f>+((DETALLE_GD_1[[#This Row],[VALOR X UN (GD)]]-DETALLE_GD_1[[#This Row],[VALOR PPTO]])/DETALLE_GD_1[[#This Row],[VALOR PPTO]])</f>
        <v>-9.7031630170316303E-3</v>
      </c>
      <c r="AA1881" s="2">
        <f>+DETALLE_GD_1[[#This Row],[VALOR PPTO]]*DETALLE_GD_1[[#This Row],[CANTIDAD RECIBIDA]]</f>
        <v>7398000</v>
      </c>
      <c r="AB18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1" s="3">
        <f>+DETALLE_GD_1[[#This Row],[CANTIDAD SOLICITADA]]-DETALLE_GD_1[[#This Row],[DEVOLUCIÓN]]</f>
        <v>36</v>
      </c>
      <c r="AD1881" s="38" t="str">
        <f>+_xlfn.XLOOKUP(DETALLE_GD_1[[#This Row],[CODIGO]],PRODUCTOS[CODIGO],PRODUCTOS[DESC CORTA],"",0)</f>
        <v>VENTANA V-01</v>
      </c>
    </row>
    <row r="1882" spans="1:30" x14ac:dyDescent="0.25">
      <c r="A1882" s="1">
        <v>46171</v>
      </c>
      <c r="B1882" s="1">
        <v>46171</v>
      </c>
      <c r="C1882" s="81" t="s">
        <v>169</v>
      </c>
      <c r="D1882" s="38">
        <v>5</v>
      </c>
      <c r="E1882" s="81" t="s">
        <v>169</v>
      </c>
      <c r="F1882" t="s">
        <v>288</v>
      </c>
      <c r="G1882" s="81" t="s">
        <v>289</v>
      </c>
      <c r="H1882" s="81" t="s">
        <v>31</v>
      </c>
      <c r="I1882" s="3">
        <v>13</v>
      </c>
      <c r="J1882" s="3"/>
      <c r="K1882" s="26">
        <v>13</v>
      </c>
      <c r="L1882" s="2">
        <v>120383</v>
      </c>
      <c r="M1882" s="2">
        <v>1564979</v>
      </c>
      <c r="N1882" s="2">
        <v>1564979</v>
      </c>
      <c r="O1882" s="2">
        <v>101229</v>
      </c>
      <c r="P1882" s="2">
        <v>-19154</v>
      </c>
      <c r="Q1882" s="2">
        <v>-249002</v>
      </c>
      <c r="R1882" s="4">
        <v>-0.1892145531418862</v>
      </c>
      <c r="U1882" s="2"/>
      <c r="V1882">
        <v>6213</v>
      </c>
      <c r="W1882" s="2">
        <v>6579000000</v>
      </c>
      <c r="X1882" s="6">
        <v>1315977</v>
      </c>
      <c r="Y1882" s="38">
        <v>10010</v>
      </c>
      <c r="Z1882" s="86">
        <f>+((DETALLE_GD_1[[#This Row],[VALOR X UN (GD)]]-DETALLE_GD_1[[#This Row],[VALOR PPTO]])/DETALLE_GD_1[[#This Row],[VALOR PPTO]])</f>
        <v>0.1892145531418862</v>
      </c>
      <c r="AA1882" s="2">
        <f>+DETALLE_GD_1[[#This Row],[VALOR PPTO]]*DETALLE_GD_1[[#This Row],[CANTIDAD RECIBIDA]]</f>
        <v>1315977</v>
      </c>
      <c r="AB1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2" s="3">
        <f>+DETALLE_GD_1[[#This Row],[CANTIDAD SOLICITADA]]-DETALLE_GD_1[[#This Row],[DEVOLUCIÓN]]</f>
        <v>13</v>
      </c>
      <c r="AD1882" s="38">
        <f>+_xlfn.XLOOKUP(DETALLE_GD_1[[#This Row],[CODIGO]],PRODUCTOS[CODIGO],PRODUCTOS[DESC CORTA],"",0)</f>
        <v>0</v>
      </c>
    </row>
    <row r="1883" spans="1:30" x14ac:dyDescent="0.25">
      <c r="A1883" s="1">
        <v>46171</v>
      </c>
      <c r="B1883" s="1">
        <v>46171</v>
      </c>
      <c r="C1883" s="81" t="s">
        <v>169</v>
      </c>
      <c r="D1883" s="38">
        <v>5</v>
      </c>
      <c r="E1883" s="81" t="s">
        <v>169</v>
      </c>
      <c r="F1883" t="s">
        <v>286</v>
      </c>
      <c r="G1883" s="81" t="s">
        <v>287</v>
      </c>
      <c r="H1883" s="81" t="s">
        <v>31</v>
      </c>
      <c r="I1883" s="3">
        <v>15</v>
      </c>
      <c r="J1883" s="3"/>
      <c r="K1883" s="26">
        <v>15</v>
      </c>
      <c r="L1883" s="2">
        <v>382132.2</v>
      </c>
      <c r="M1883" s="2">
        <v>5731983</v>
      </c>
      <c r="N1883" s="2">
        <v>5731983</v>
      </c>
      <c r="O1883" s="2">
        <v>350139</v>
      </c>
      <c r="P1883" s="2">
        <v>-31993.200000000001</v>
      </c>
      <c r="Q1883" s="2">
        <v>-479898</v>
      </c>
      <c r="R1883" s="4">
        <v>-9.1372854780530047E-2</v>
      </c>
      <c r="U1883" s="2"/>
      <c r="V1883">
        <v>6213</v>
      </c>
      <c r="W1883" s="2">
        <v>6579000000</v>
      </c>
      <c r="X1883" s="6">
        <v>5252085</v>
      </c>
      <c r="Y1883" s="38">
        <v>10010</v>
      </c>
      <c r="Z1883" s="86">
        <f>+((DETALLE_GD_1[[#This Row],[VALOR X UN (GD)]]-DETALLE_GD_1[[#This Row],[VALOR PPTO]])/DETALLE_GD_1[[#This Row],[VALOR PPTO]])</f>
        <v>9.1372854780530047E-2</v>
      </c>
      <c r="AA1883" s="2">
        <f>+DETALLE_GD_1[[#This Row],[VALOR PPTO]]*DETALLE_GD_1[[#This Row],[CANTIDAD RECIBIDA]]</f>
        <v>5252085</v>
      </c>
      <c r="AB18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3" s="3">
        <f>+DETALLE_GD_1[[#This Row],[CANTIDAD SOLICITADA]]-DETALLE_GD_1[[#This Row],[DEVOLUCIÓN]]</f>
        <v>15</v>
      </c>
      <c r="AD1883" s="38" t="str">
        <f>+_xlfn.XLOOKUP(DETALLE_GD_1[[#This Row],[CODIGO]],PRODUCTOS[CODIGO],PRODUCTOS[DESC CORTA],"",0)</f>
        <v>VENTANA V.05</v>
      </c>
    </row>
    <row r="1884" spans="1:30" x14ac:dyDescent="0.25">
      <c r="A1884" s="1">
        <v>46171</v>
      </c>
      <c r="B1884" s="1">
        <v>46171</v>
      </c>
      <c r="C1884" s="81" t="s">
        <v>169</v>
      </c>
      <c r="D1884" s="38">
        <v>5</v>
      </c>
      <c r="E1884" s="81" t="s">
        <v>169</v>
      </c>
      <c r="F1884">
        <v>701015</v>
      </c>
      <c r="G1884" s="81" t="s">
        <v>254</v>
      </c>
      <c r="H1884" s="81" t="s">
        <v>18</v>
      </c>
      <c r="I1884" s="3">
        <v>100</v>
      </c>
      <c r="J1884" s="3"/>
      <c r="K1884" s="26">
        <v>100</v>
      </c>
      <c r="L1884" s="2">
        <v>9447.74</v>
      </c>
      <c r="M1884" s="2">
        <v>944774</v>
      </c>
      <c r="N1884" s="2">
        <v>944774</v>
      </c>
      <c r="O1884" s="2">
        <v>9151.2975000000006</v>
      </c>
      <c r="P1884" s="2">
        <v>-296.4425</v>
      </c>
      <c r="Q1884" s="2">
        <v>-29644.253199999999</v>
      </c>
      <c r="R1884" s="4">
        <v>-3.2393497538091294E-2</v>
      </c>
      <c r="T1884">
        <v>317058</v>
      </c>
      <c r="U1884" s="2">
        <v>21103743</v>
      </c>
      <c r="V1884">
        <v>6215</v>
      </c>
      <c r="W1884" s="2">
        <v>6579000000</v>
      </c>
      <c r="X1884" s="6">
        <v>915129.74679999996</v>
      </c>
      <c r="Y1884" s="38">
        <v>10010</v>
      </c>
      <c r="Z1884" s="86">
        <f>+((DETALLE_GD_1[[#This Row],[VALOR X UN (GD)]]-DETALLE_GD_1[[#This Row],[VALOR PPTO]])/DETALLE_GD_1[[#This Row],[VALOR PPTO]])</f>
        <v>3.2393493928046725E-2</v>
      </c>
      <c r="AA1884" s="2">
        <f>+DETALLE_GD_1[[#This Row],[VALOR PPTO]]*DETALLE_GD_1[[#This Row],[CANTIDAD RECIBIDA]]</f>
        <v>915129.75</v>
      </c>
      <c r="AB1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4" s="3">
        <f>+DETALLE_GD_1[[#This Row],[CANTIDAD SOLICITADA]]-DETALLE_GD_1[[#This Row],[DEVOLUCIÓN]]</f>
        <v>100</v>
      </c>
      <c r="AD1884" s="38" t="str">
        <f>+_xlfn.XLOOKUP(DETALLE_GD_1[[#This Row],[CODIGO]],PRODUCTOS[CODIGO],PRODUCTOS[DESC CORTA],"",0)</f>
        <v>VOLCANITA RH</v>
      </c>
    </row>
    <row r="1885" spans="1:30" x14ac:dyDescent="0.25">
      <c r="A1885" s="1">
        <v>46171</v>
      </c>
      <c r="B1885" s="1">
        <v>46171</v>
      </c>
      <c r="C1885" s="81" t="s">
        <v>169</v>
      </c>
      <c r="D1885" s="38">
        <v>5</v>
      </c>
      <c r="E1885" s="81" t="s">
        <v>169</v>
      </c>
      <c r="F1885" t="s">
        <v>21</v>
      </c>
      <c r="G1885" s="81" t="s">
        <v>22</v>
      </c>
      <c r="H1885" s="81" t="s">
        <v>20</v>
      </c>
      <c r="I1885" s="3">
        <v>40</v>
      </c>
      <c r="J1885" s="3"/>
      <c r="K1885" s="26">
        <v>40</v>
      </c>
      <c r="L1885" s="2">
        <v>15359.7</v>
      </c>
      <c r="M1885" s="2">
        <v>614388</v>
      </c>
      <c r="N1885" s="2">
        <v>614388</v>
      </c>
      <c r="O1885" s="2">
        <v>15359.702799999999</v>
      </c>
      <c r="P1885" s="2">
        <v>2.8E-3</v>
      </c>
      <c r="Q1885" s="2">
        <v>0.1114</v>
      </c>
      <c r="R1885" s="4">
        <v>1.81318612826567E-7</v>
      </c>
      <c r="T1885">
        <v>317058</v>
      </c>
      <c r="U1885" s="2"/>
      <c r="V1885">
        <v>6215</v>
      </c>
      <c r="W1885" s="2">
        <v>6579000000</v>
      </c>
      <c r="X1885" s="6">
        <v>614388.11140000017</v>
      </c>
      <c r="Y1885" s="38">
        <v>10010</v>
      </c>
      <c r="Z1885" s="86">
        <f>+((DETALLE_GD_1[[#This Row],[VALOR X UN (GD)]]-DETALLE_GD_1[[#This Row],[VALOR PPTO]])/DETALLE_GD_1[[#This Row],[VALOR PPTO]])</f>
        <v>-1.8229519378380471E-7</v>
      </c>
      <c r="AA1885" s="2">
        <f>+DETALLE_GD_1[[#This Row],[VALOR PPTO]]*DETALLE_GD_1[[#This Row],[CANTIDAD RECIBIDA]]</f>
        <v>614388.11199999996</v>
      </c>
      <c r="AB18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5" s="3">
        <f>+DETALLE_GD_1[[#This Row],[CANTIDAD SOLICITADA]]-DETALLE_GD_1[[#This Row],[DEVOLUCIÓN]]</f>
        <v>40</v>
      </c>
      <c r="AD1885" s="38" t="str">
        <f>+_xlfn.XLOOKUP(DETALLE_GD_1[[#This Row],[CODIGO]],PRODUCTOS[CODIGO],PRODUCTOS[DESC CORTA],"",0)</f>
        <v>PINO 3X8X320</v>
      </c>
    </row>
    <row r="1886" spans="1:30" x14ac:dyDescent="0.25">
      <c r="A1886" s="1">
        <v>46171</v>
      </c>
      <c r="B1886" s="1">
        <v>46171</v>
      </c>
      <c r="C1886" s="81" t="s">
        <v>169</v>
      </c>
      <c r="D1886" s="38">
        <v>5</v>
      </c>
      <c r="E1886" s="81" t="s">
        <v>169</v>
      </c>
      <c r="F1886">
        <v>302248</v>
      </c>
      <c r="G1886" s="81" t="s">
        <v>281</v>
      </c>
      <c r="H1886" s="81" t="s">
        <v>20</v>
      </c>
      <c r="I1886" s="3">
        <v>480</v>
      </c>
      <c r="J1886" s="3"/>
      <c r="K1886" s="26">
        <v>480</v>
      </c>
      <c r="L1886" s="2">
        <v>2396.9729000000002</v>
      </c>
      <c r="M1886" s="2">
        <v>1150547</v>
      </c>
      <c r="N1886" s="2">
        <v>1150547</v>
      </c>
      <c r="O1886" s="2">
        <v>2342.1750999999999</v>
      </c>
      <c r="P1886" s="2">
        <v>-54.797800000000002</v>
      </c>
      <c r="Q1886" s="2">
        <v>-26302.9342</v>
      </c>
      <c r="R1886" s="4">
        <v>-2.3396106807305087E-2</v>
      </c>
      <c r="T1886">
        <v>317058</v>
      </c>
      <c r="U1886" s="2"/>
      <c r="V1886">
        <v>6215</v>
      </c>
      <c r="W1886" s="2">
        <v>6579000000</v>
      </c>
      <c r="X1886" s="6">
        <v>1124244.0657599999</v>
      </c>
      <c r="Y1886" s="38">
        <v>10010</v>
      </c>
      <c r="Z1886" s="86">
        <f>+((DETALLE_GD_1[[#This Row],[VALOR X UN (GD)]]-DETALLE_GD_1[[#This Row],[VALOR PPTO]])/DETALLE_GD_1[[#This Row],[VALOR PPTO]])</f>
        <v>2.3396115858289282E-2</v>
      </c>
      <c r="AA1886" s="2">
        <f>+DETALLE_GD_1[[#This Row],[VALOR PPTO]]*DETALLE_GD_1[[#This Row],[CANTIDAD RECIBIDA]]</f>
        <v>1124244.048</v>
      </c>
      <c r="AB1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6" s="3">
        <f>+DETALLE_GD_1[[#This Row],[CANTIDAD SOLICITADA]]-DETALLE_GD_1[[#This Row],[DEVOLUCIÓN]]</f>
        <v>480</v>
      </c>
      <c r="AD1886" s="38">
        <f>+_xlfn.XLOOKUP(DETALLE_GD_1[[#This Row],[CODIGO]],PRODUCTOS[CODIGO],PRODUCTOS[DESC CORTA],"",0)</f>
        <v>0</v>
      </c>
    </row>
    <row r="1887" spans="1:30" x14ac:dyDescent="0.25">
      <c r="A1887" s="1">
        <v>46171</v>
      </c>
      <c r="B1887" s="1">
        <v>46171</v>
      </c>
      <c r="C1887" s="81" t="s">
        <v>169</v>
      </c>
      <c r="D1887" s="38">
        <v>5</v>
      </c>
      <c r="E1887" s="81" t="s">
        <v>169</v>
      </c>
      <c r="F1887">
        <v>302048</v>
      </c>
      <c r="G1887" s="81" t="s">
        <v>126</v>
      </c>
      <c r="H1887" s="81" t="s">
        <v>20</v>
      </c>
      <c r="I1887" s="3">
        <v>324</v>
      </c>
      <c r="J1887" s="3"/>
      <c r="K1887" s="26">
        <v>324</v>
      </c>
      <c r="L1887" s="2">
        <v>14163.534</v>
      </c>
      <c r="M1887" s="2">
        <v>4588985</v>
      </c>
      <c r="N1887" s="2">
        <v>4588985</v>
      </c>
      <c r="O1887" s="2">
        <v>13710.695</v>
      </c>
      <c r="P1887" s="2">
        <v>-452.839</v>
      </c>
      <c r="Q1887" s="2">
        <v>-146719.83259999999</v>
      </c>
      <c r="R1887" s="4">
        <v>-3.3028157281989205E-2</v>
      </c>
      <c r="T1887">
        <v>317058</v>
      </c>
      <c r="U1887" s="2"/>
      <c r="V1887">
        <v>6215</v>
      </c>
      <c r="W1887" s="2">
        <v>6579000000</v>
      </c>
      <c r="X1887" s="6">
        <v>4442265.1673639994</v>
      </c>
      <c r="Y1887" s="38">
        <v>10010</v>
      </c>
      <c r="Z1887" s="86">
        <f>+((DETALLE_GD_1[[#This Row],[VALOR X UN (GD)]]-DETALLE_GD_1[[#This Row],[VALOR PPTO]])/DETALLE_GD_1[[#This Row],[VALOR PPTO]])</f>
        <v>3.3028157945312032E-2</v>
      </c>
      <c r="AA1887" s="2">
        <f>+DETALLE_GD_1[[#This Row],[VALOR PPTO]]*DETALLE_GD_1[[#This Row],[CANTIDAD RECIBIDA]]</f>
        <v>4442265.18</v>
      </c>
      <c r="AB18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7" s="3">
        <f>+DETALLE_GD_1[[#This Row],[CANTIDAD SOLICITADA]]-DETALLE_GD_1[[#This Row],[DEVOLUCIÓN]]</f>
        <v>324</v>
      </c>
      <c r="AD1887" s="38" t="str">
        <f>+_xlfn.XLOOKUP(DETALLE_GD_1[[#This Row],[CODIGO]],PRODUCTOS[CODIGO],PRODUCTOS[DESC CORTA],"",0)</f>
        <v>PINO 2X8X4</v>
      </c>
    </row>
    <row r="1888" spans="1:30" x14ac:dyDescent="0.25">
      <c r="A1888" s="1">
        <v>46171</v>
      </c>
      <c r="B1888" s="1">
        <v>46171</v>
      </c>
      <c r="C1888" s="81" t="s">
        <v>169</v>
      </c>
      <c r="D1888" s="38">
        <v>5</v>
      </c>
      <c r="E1888" s="81" t="s">
        <v>169</v>
      </c>
      <c r="F1888">
        <v>302028</v>
      </c>
      <c r="G1888" s="81" t="s">
        <v>246</v>
      </c>
      <c r="H1888" s="81" t="s">
        <v>20</v>
      </c>
      <c r="I1888" s="3">
        <v>360</v>
      </c>
      <c r="J1888" s="3"/>
      <c r="K1888" s="26">
        <v>360</v>
      </c>
      <c r="L1888" s="2">
        <v>4940.6027999999997</v>
      </c>
      <c r="M1888" s="2">
        <v>1778617</v>
      </c>
      <c r="N1888" s="2">
        <v>1778617</v>
      </c>
      <c r="O1888" s="2">
        <v>5123.8024999999998</v>
      </c>
      <c r="P1888" s="2">
        <v>183.19970000000001</v>
      </c>
      <c r="Q1888" s="2">
        <v>65951.909700000004</v>
      </c>
      <c r="R1888" s="4">
        <v>3.5754646721228626E-2</v>
      </c>
      <c r="T1888">
        <v>317058</v>
      </c>
      <c r="U1888" s="2"/>
      <c r="V1888">
        <v>6215</v>
      </c>
      <c r="W1888" s="2">
        <v>6579000000</v>
      </c>
      <c r="X1888" s="6">
        <v>1844568.9097200008</v>
      </c>
      <c r="Y1888" s="38">
        <v>10010</v>
      </c>
      <c r="Z1888" s="86">
        <f>+((DETALLE_GD_1[[#This Row],[VALOR X UN (GD)]]-DETALLE_GD_1[[#This Row],[VALOR PPTO]])/DETALLE_GD_1[[#This Row],[VALOR PPTO]])</f>
        <v>-3.5754637303057668E-2</v>
      </c>
      <c r="AA1888" s="2">
        <f>+DETALLE_GD_1[[#This Row],[VALOR PPTO]]*DETALLE_GD_1[[#This Row],[CANTIDAD RECIBIDA]]</f>
        <v>1844568.9</v>
      </c>
      <c r="AB1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8" s="3">
        <f>+DETALLE_GD_1[[#This Row],[CANTIDAD SOLICITADA]]-DETALLE_GD_1[[#This Row],[DEVOLUCIÓN]]</f>
        <v>360</v>
      </c>
      <c r="AD1888" s="38" t="str">
        <f>+_xlfn.XLOOKUP(DETALLE_GD_1[[#This Row],[CODIGO]],PRODUCTOS[CODIGO],PRODUCTOS[DESC CORTA],"",0)</f>
        <v>PINO 2X4X320</v>
      </c>
    </row>
    <row r="1889" spans="1:30" x14ac:dyDescent="0.25">
      <c r="A1889" s="1">
        <v>46171</v>
      </c>
      <c r="B1889" s="1">
        <v>46171</v>
      </c>
      <c r="C1889" s="81" t="s">
        <v>169</v>
      </c>
      <c r="D1889" s="38">
        <v>5</v>
      </c>
      <c r="E1889" s="81" t="s">
        <v>169</v>
      </c>
      <c r="F1889">
        <v>704022</v>
      </c>
      <c r="G1889" s="81" t="s">
        <v>330</v>
      </c>
      <c r="H1889" s="81" t="s">
        <v>31</v>
      </c>
      <c r="I1889" s="3">
        <v>200</v>
      </c>
      <c r="J1889" s="3"/>
      <c r="K1889" s="26">
        <v>200</v>
      </c>
      <c r="L1889" s="2">
        <v>258.38499999999999</v>
      </c>
      <c r="M1889" s="2">
        <v>51677</v>
      </c>
      <c r="N1889" s="2">
        <v>51677</v>
      </c>
      <c r="O1889" s="2">
        <v>306</v>
      </c>
      <c r="P1889" s="2">
        <v>47.615000000000002</v>
      </c>
      <c r="Q1889" s="2">
        <v>9523</v>
      </c>
      <c r="R1889" s="4">
        <v>0.15560457516339887</v>
      </c>
      <c r="T1889">
        <v>317058</v>
      </c>
      <c r="U1889" s="2"/>
      <c r="V1889">
        <v>6215</v>
      </c>
      <c r="W1889" s="2">
        <v>6579000000</v>
      </c>
      <c r="X1889" s="6">
        <v>61200.000000000015</v>
      </c>
      <c r="Y1889" s="38">
        <v>10010</v>
      </c>
      <c r="Z1889" s="86">
        <f>+((DETALLE_GD_1[[#This Row],[VALOR X UN (GD)]]-DETALLE_GD_1[[#This Row],[VALOR PPTO]])/DETALLE_GD_1[[#This Row],[VALOR PPTO]])</f>
        <v>-0.15560457516339873</v>
      </c>
      <c r="AA1889" s="2">
        <f>+DETALLE_GD_1[[#This Row],[VALOR PPTO]]*DETALLE_GD_1[[#This Row],[CANTIDAD RECIBIDA]]</f>
        <v>61200</v>
      </c>
      <c r="AB18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9" s="3">
        <f>+DETALLE_GD_1[[#This Row],[CANTIDAD SOLICITADA]]-DETALLE_GD_1[[#This Row],[DEVOLUCIÓN]]</f>
        <v>200</v>
      </c>
      <c r="AD1889" s="38" t="str">
        <f>+_xlfn.XLOOKUP(DETALLE_GD_1[[#This Row],[CODIGO]],PRODUCTOS[CODIGO],PRODUCTOS[DESC CORTA],"",0)</f>
        <v>ESQUINERO CORNIZA INTERIOR</v>
      </c>
    </row>
    <row r="1890" spans="1:30" x14ac:dyDescent="0.25">
      <c r="A1890" s="1">
        <v>46171</v>
      </c>
      <c r="B1890" s="1">
        <v>46171</v>
      </c>
      <c r="C1890" s="81" t="s">
        <v>169</v>
      </c>
      <c r="D1890" s="38">
        <v>5</v>
      </c>
      <c r="E1890" s="81" t="s">
        <v>169</v>
      </c>
      <c r="F1890">
        <v>302010</v>
      </c>
      <c r="G1890" s="81" t="s">
        <v>323</v>
      </c>
      <c r="H1890" s="81" t="s">
        <v>20</v>
      </c>
      <c r="I1890" s="3">
        <v>252</v>
      </c>
      <c r="J1890" s="3"/>
      <c r="K1890" s="26">
        <v>252</v>
      </c>
      <c r="L1890" s="2">
        <v>6678.2102999999997</v>
      </c>
      <c r="M1890" s="2">
        <v>1682909</v>
      </c>
      <c r="N1890" s="2">
        <v>1682909</v>
      </c>
      <c r="O1890" s="2">
        <v>6585.1337000000003</v>
      </c>
      <c r="P1890" s="2">
        <v>-93.076599999999999</v>
      </c>
      <c r="Q1890" s="2">
        <v>-23455.296300000002</v>
      </c>
      <c r="R1890" s="4">
        <v>-1.4134348073187896E-2</v>
      </c>
      <c r="T1890">
        <v>317058</v>
      </c>
      <c r="U1890" s="2"/>
      <c r="V1890">
        <v>6215</v>
      </c>
      <c r="W1890" s="2">
        <v>6579000000</v>
      </c>
      <c r="X1890" s="6">
        <v>1659453.7037399979</v>
      </c>
      <c r="Y1890" s="38">
        <v>10010</v>
      </c>
      <c r="Z1890" s="86">
        <f>+((DETALLE_GD_1[[#This Row],[VALOR X UN (GD)]]-DETALLE_GD_1[[#This Row],[VALOR PPTO]])/DETALLE_GD_1[[#This Row],[VALOR PPTO]])</f>
        <v>1.4134352351873951E-2</v>
      </c>
      <c r="AA1890" s="2">
        <f>+DETALLE_GD_1[[#This Row],[VALOR PPTO]]*DETALLE_GD_1[[#This Row],[CANTIDAD RECIBIDA]]</f>
        <v>1659453.6924000001</v>
      </c>
      <c r="AB1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90" s="3">
        <f>+DETALLE_GD_1[[#This Row],[CANTIDAD SOLICITADA]]-DETALLE_GD_1[[#This Row],[DEVOLUCIÓN]]</f>
        <v>252</v>
      </c>
      <c r="AD1890" s="38" t="str">
        <f>+_xlfn.XLOOKUP(DETALLE_GD_1[[#This Row],[CODIGO]],PRODUCTOS[CODIGO],PRODUCTOS[DESC CORTA],"",0)</f>
        <v>PINO 2X6X320</v>
      </c>
    </row>
    <row r="1891" spans="1:30" x14ac:dyDescent="0.25">
      <c r="A1891" s="1">
        <v>46171</v>
      </c>
      <c r="B1891" s="1">
        <v>46171</v>
      </c>
      <c r="C1891" s="81" t="s">
        <v>169</v>
      </c>
      <c r="D1891" s="38">
        <v>5</v>
      </c>
      <c r="E1891" s="81" t="s">
        <v>169</v>
      </c>
      <c r="F1891">
        <v>304049</v>
      </c>
      <c r="G1891" s="81" t="s">
        <v>318</v>
      </c>
      <c r="H1891" s="81" t="s">
        <v>18</v>
      </c>
      <c r="I1891" s="3">
        <v>195</v>
      </c>
      <c r="J1891" s="3"/>
      <c r="K1891" s="26">
        <v>195</v>
      </c>
      <c r="L1891" s="2">
        <v>14981.2256</v>
      </c>
      <c r="M1891" s="2">
        <v>2921339</v>
      </c>
      <c r="N1891" s="2">
        <v>2921339</v>
      </c>
      <c r="O1891" s="2">
        <v>14982</v>
      </c>
      <c r="P1891" s="2">
        <v>0.77439999999999998</v>
      </c>
      <c r="Q1891" s="2">
        <v>151</v>
      </c>
      <c r="R1891" s="4">
        <v>5.168595476914593E-5</v>
      </c>
      <c r="T1891">
        <v>317058</v>
      </c>
      <c r="U1891" s="2"/>
      <c r="V1891">
        <v>6215</v>
      </c>
      <c r="W1891" s="2">
        <v>6579000000</v>
      </c>
      <c r="X1891" s="6">
        <v>2921489.9999999986</v>
      </c>
      <c r="Y1891" s="38">
        <v>10010</v>
      </c>
      <c r="Z1891" s="86">
        <f>+((DETALLE_GD_1[[#This Row],[VALOR X UN (GD)]]-DETALLE_GD_1[[#This Row],[VALOR PPTO]])/DETALLE_GD_1[[#This Row],[VALOR PPTO]])</f>
        <v>-5.1688693098400854E-5</v>
      </c>
      <c r="AA1891" s="2">
        <f>+DETALLE_GD_1[[#This Row],[VALOR PPTO]]*DETALLE_GD_1[[#This Row],[CANTIDAD RECIBIDA]]</f>
        <v>2921490</v>
      </c>
      <c r="AB18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91" s="3">
        <f>+DETALLE_GD_1[[#This Row],[CANTIDAD SOLICITADA]]-DETALLE_GD_1[[#This Row],[DEVOLUCIÓN]]</f>
        <v>195</v>
      </c>
      <c r="AD1891" s="38" t="str">
        <f>+_xlfn.XLOOKUP(DETALLE_GD_1[[#This Row],[CODIGO]],PRODUCTOS[CODIGO],PRODUCTOS[DESC CORTA],"",0)</f>
        <v>TERCIADO FENOLICO</v>
      </c>
    </row>
    <row r="1892" spans="1:30" x14ac:dyDescent="0.25">
      <c r="A1892" s="1">
        <v>46171</v>
      </c>
      <c r="B1892" s="1">
        <v>46171</v>
      </c>
      <c r="C1892" s="81" t="s">
        <v>169</v>
      </c>
      <c r="D1892" s="38">
        <v>5</v>
      </c>
      <c r="E1892" s="81" t="s">
        <v>169</v>
      </c>
      <c r="F1892">
        <v>701096</v>
      </c>
      <c r="G1892" s="81" t="s">
        <v>204</v>
      </c>
      <c r="H1892" s="81" t="s">
        <v>18</v>
      </c>
      <c r="I1892" s="3">
        <v>210</v>
      </c>
      <c r="J1892" s="3"/>
      <c r="K1892" s="26">
        <v>210</v>
      </c>
      <c r="L1892" s="2">
        <v>16127.161899999999</v>
      </c>
      <c r="M1892" s="2">
        <v>3386704</v>
      </c>
      <c r="N1892" s="2">
        <v>3386704</v>
      </c>
      <c r="O1892" s="2">
        <v>16019.885700000001</v>
      </c>
      <c r="P1892" s="2">
        <v>-107.2762</v>
      </c>
      <c r="Q1892" s="2">
        <v>-22528.006099999999</v>
      </c>
      <c r="R1892" s="4">
        <v>-6.69644102781257E-3</v>
      </c>
      <c r="T1892">
        <v>317058</v>
      </c>
      <c r="U1892" s="2"/>
      <c r="V1892">
        <v>6215</v>
      </c>
      <c r="W1892" s="2">
        <v>6579000000</v>
      </c>
      <c r="X1892" s="6">
        <v>3364175.9938500007</v>
      </c>
      <c r="Y1892" s="38">
        <v>10010</v>
      </c>
      <c r="Z1892" s="86">
        <f>+((DETALLE_GD_1[[#This Row],[VALOR X UN (GD)]]-DETALLE_GD_1[[#This Row],[VALOR PPTO]])/DETALLE_GD_1[[#This Row],[VALOR PPTO]])</f>
        <v>6.6964397879566906E-3</v>
      </c>
      <c r="AA1892" s="2">
        <f>+DETALLE_GD_1[[#This Row],[VALOR PPTO]]*DETALLE_GD_1[[#This Row],[CANTIDAD RECIBIDA]]</f>
        <v>3364175.997</v>
      </c>
      <c r="AB18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92" s="3">
        <f>+DETALLE_GD_1[[#This Row],[CANTIDAD SOLICITADA]]-DETALLE_GD_1[[#This Row],[DEVOLUCIÓN]]</f>
        <v>210</v>
      </c>
      <c r="AD1892" s="38" t="str">
        <f>+_xlfn.XLOOKUP(DETALLE_GD_1[[#This Row],[CODIGO]],PRODUCTOS[CODIGO],PRODUCTOS[DESC CORTA],"",0)</f>
        <v>VOCANITA EMPAPELADA MURO</v>
      </c>
    </row>
    <row r="1893" spans="1:30" x14ac:dyDescent="0.25">
      <c r="A1893" s="1">
        <v>46171</v>
      </c>
      <c r="B1893" s="1">
        <v>46171</v>
      </c>
      <c r="C1893" s="81" t="s">
        <v>169</v>
      </c>
      <c r="D1893" s="38">
        <v>5</v>
      </c>
      <c r="E1893" s="81" t="s">
        <v>169</v>
      </c>
      <c r="F1893">
        <v>701040</v>
      </c>
      <c r="G1893" s="81" t="s">
        <v>19</v>
      </c>
      <c r="H1893" s="81" t="s">
        <v>18</v>
      </c>
      <c r="I1893" s="3">
        <v>160</v>
      </c>
      <c r="J1893" s="3"/>
      <c r="K1893" s="26">
        <v>160</v>
      </c>
      <c r="L1893" s="2">
        <v>8083.125</v>
      </c>
      <c r="M1893" s="2">
        <v>1293300</v>
      </c>
      <c r="N1893" s="2">
        <v>1293300</v>
      </c>
      <c r="O1893" s="2">
        <v>7835.7259999999997</v>
      </c>
      <c r="P1893" s="2">
        <v>-247.399</v>
      </c>
      <c r="Q1893" s="2">
        <v>-39583.847399999999</v>
      </c>
      <c r="R1893" s="4">
        <v>-3.1573213184377572E-2</v>
      </c>
      <c r="T1893">
        <v>317058</v>
      </c>
      <c r="U1893" s="2"/>
      <c r="V1893">
        <v>6215</v>
      </c>
      <c r="W1893" s="2">
        <v>6579000000</v>
      </c>
      <c r="X1893" s="6">
        <v>1253716.1526399995</v>
      </c>
      <c r="Y1893" s="38">
        <v>10010</v>
      </c>
      <c r="Z1893" s="86">
        <f>+((DETALLE_GD_1[[#This Row],[VALOR X UN (GD)]]-DETALLE_GD_1[[#This Row],[VALOR PPTO]])/DETALLE_GD_1[[#This Row],[VALOR PPTO]])</f>
        <v>3.1573207128477991E-2</v>
      </c>
      <c r="AA1893" s="2">
        <f>+DETALLE_GD_1[[#This Row],[VALOR PPTO]]*DETALLE_GD_1[[#This Row],[CANTIDAD RECIBIDA]]</f>
        <v>1253716.1599999999</v>
      </c>
      <c r="AB1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3" s="3">
        <f>+DETALLE_GD_1[[#This Row],[CANTIDAD SOLICITADA]]-DETALLE_GD_1[[#This Row],[DEVOLUCIÓN]]</f>
        <v>160</v>
      </c>
      <c r="AD1893" s="38" t="str">
        <f>+_xlfn.XLOOKUP(DETALLE_GD_1[[#This Row],[CODIGO]],PRODUCTOS[CODIGO],PRODUCTOS[DESC CORTA],"",0)</f>
        <v>VOLCANITA RF</v>
      </c>
    </row>
    <row r="1894" spans="1:30" x14ac:dyDescent="0.25">
      <c r="A1894" s="1">
        <v>46171</v>
      </c>
      <c r="B1894" s="1">
        <v>46171</v>
      </c>
      <c r="C1894" s="81" t="s">
        <v>169</v>
      </c>
      <c r="D1894" s="38">
        <v>5</v>
      </c>
      <c r="E1894" s="81" t="s">
        <v>169</v>
      </c>
      <c r="F1894">
        <v>701043</v>
      </c>
      <c r="G1894" s="81" t="s">
        <v>197</v>
      </c>
      <c r="H1894" s="81" t="s">
        <v>18</v>
      </c>
      <c r="I1894" s="3">
        <v>120</v>
      </c>
      <c r="J1894" s="3"/>
      <c r="K1894" s="26">
        <v>120</v>
      </c>
      <c r="L1894" s="2">
        <v>22420.8583</v>
      </c>
      <c r="M1894" s="2">
        <v>2690503</v>
      </c>
      <c r="N1894" s="2">
        <v>2690503</v>
      </c>
      <c r="O1894" s="2">
        <v>22146.362799999999</v>
      </c>
      <c r="P1894" s="2">
        <v>-274.49560000000002</v>
      </c>
      <c r="Q1894" s="2">
        <v>-32939.467400000001</v>
      </c>
      <c r="R1894" s="4">
        <v>-1.2394611438424656E-2</v>
      </c>
      <c r="T1894">
        <v>317058</v>
      </c>
      <c r="U1894" s="2"/>
      <c r="V1894">
        <v>6215</v>
      </c>
      <c r="W1894" s="2">
        <v>6579000000</v>
      </c>
      <c r="X1894" s="6">
        <v>2657563.5326399999</v>
      </c>
      <c r="Y1894" s="38">
        <v>10010</v>
      </c>
      <c r="Z1894" s="86">
        <f>+((DETALLE_GD_1[[#This Row],[VALOR X UN (GD)]]-DETALLE_GD_1[[#This Row],[VALOR PPTO]])/DETALLE_GD_1[[#This Row],[VALOR PPTO]])</f>
        <v>1.2394608653299987E-2</v>
      </c>
      <c r="AA1894" s="2">
        <f>+DETALLE_GD_1[[#This Row],[VALOR PPTO]]*DETALLE_GD_1[[#This Row],[CANTIDAD RECIBIDA]]</f>
        <v>2657563.5359999998</v>
      </c>
      <c r="AB18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94" s="3">
        <f>+DETALLE_GD_1[[#This Row],[CANTIDAD SOLICITADA]]-DETALLE_GD_1[[#This Row],[DEVOLUCIÓN]]</f>
        <v>120</v>
      </c>
      <c r="AD1894" s="38" t="str">
        <f>+_xlfn.XLOOKUP(DETALLE_GD_1[[#This Row],[CODIGO]],PRODUCTOS[CODIGO],PRODUCTOS[DESC CORTA],"",0)</f>
        <v>VOLCANITA EMPAPELADA CIELO</v>
      </c>
    </row>
    <row r="1895" spans="1:30" x14ac:dyDescent="0.25">
      <c r="A1895" s="1">
        <v>46171</v>
      </c>
      <c r="B1895" s="1">
        <v>46171</v>
      </c>
      <c r="C1895" s="81" t="s">
        <v>169</v>
      </c>
      <c r="D1895" s="38">
        <v>5</v>
      </c>
      <c r="E1895" s="81" t="s">
        <v>169</v>
      </c>
      <c r="F1895" t="s">
        <v>463</v>
      </c>
      <c r="G1895" s="81" t="s">
        <v>453</v>
      </c>
      <c r="H1895" s="81" t="s">
        <v>31</v>
      </c>
      <c r="I1895" s="3">
        <v>2</v>
      </c>
      <c r="J1895" s="3"/>
      <c r="K1895" s="26">
        <v>2</v>
      </c>
      <c r="L1895" s="2">
        <v>31553</v>
      </c>
      <c r="M1895" s="2">
        <v>63106</v>
      </c>
      <c r="N1895" s="2">
        <v>63106</v>
      </c>
      <c r="O1895" s="2"/>
      <c r="P1895" s="2"/>
      <c r="Q1895" s="2">
        <v>-63106</v>
      </c>
      <c r="R1895" s="4"/>
      <c r="T1895">
        <v>317060</v>
      </c>
      <c r="U1895" s="2">
        <v>715076</v>
      </c>
      <c r="V1895">
        <v>6215</v>
      </c>
      <c r="W1895" s="2">
        <v>6579000000</v>
      </c>
      <c r="X1895" s="6" t="s">
        <v>355</v>
      </c>
      <c r="Y1895" s="38">
        <v>10010</v>
      </c>
      <c r="Z1895" s="86" t="e">
        <f>+((DETALLE_GD_1[[#This Row],[VALOR X UN (GD)]]-DETALLE_GD_1[[#This Row],[VALOR PPTO]])/DETALLE_GD_1[[#This Row],[VALOR PPTO]])</f>
        <v>#DIV/0!</v>
      </c>
      <c r="AA1895" s="2">
        <f>+DETALLE_GD_1[[#This Row],[VALOR PPTO]]*DETALLE_GD_1[[#This Row],[CANTIDAD RECIBIDA]]</f>
        <v>0</v>
      </c>
      <c r="AB1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5" s="3">
        <f>+DETALLE_GD_1[[#This Row],[CANTIDAD SOLICITADA]]-DETALLE_GD_1[[#This Row],[DEVOLUCIÓN]]</f>
        <v>2</v>
      </c>
      <c r="AD1895" s="38" t="str">
        <f>+_xlfn.XLOOKUP(DETALLE_GD_1[[#This Row],[CODIGO]],PRODUCTOS[CODIGO],PRODUCTOS[DESC CORTA],"",0)</f>
        <v/>
      </c>
    </row>
    <row r="1896" spans="1:30" x14ac:dyDescent="0.25">
      <c r="A1896" s="1">
        <v>46171</v>
      </c>
      <c r="B1896" s="1">
        <v>46171</v>
      </c>
      <c r="C1896" s="81" t="s">
        <v>169</v>
      </c>
      <c r="D1896" s="38">
        <v>5</v>
      </c>
      <c r="E1896" s="81" t="s">
        <v>169</v>
      </c>
      <c r="F1896">
        <v>704025</v>
      </c>
      <c r="G1896" s="81" t="s">
        <v>333</v>
      </c>
      <c r="H1896" s="81" t="s">
        <v>31</v>
      </c>
      <c r="I1896" s="3">
        <v>100</v>
      </c>
      <c r="J1896" s="3"/>
      <c r="K1896" s="26">
        <v>100</v>
      </c>
      <c r="L1896" s="2">
        <v>579.9</v>
      </c>
      <c r="M1896" s="2">
        <v>57990</v>
      </c>
      <c r="N1896" s="2">
        <v>57990</v>
      </c>
      <c r="O1896" s="2">
        <v>580</v>
      </c>
      <c r="P1896" s="2">
        <v>0.1</v>
      </c>
      <c r="Q1896" s="2">
        <v>10</v>
      </c>
      <c r="R1896" s="4">
        <v>1.7241379310348748E-4</v>
      </c>
      <c r="T1896">
        <v>317060</v>
      </c>
      <c r="U1896" s="2"/>
      <c r="V1896">
        <v>6215</v>
      </c>
      <c r="W1896" s="2">
        <v>6579000000</v>
      </c>
      <c r="X1896" s="6">
        <v>58000</v>
      </c>
      <c r="Y1896" s="38">
        <v>10010</v>
      </c>
      <c r="Z1896" s="86">
        <f>+((DETALLE_GD_1[[#This Row],[VALOR X UN (GD)]]-DETALLE_GD_1[[#This Row],[VALOR PPTO]])/DETALLE_GD_1[[#This Row],[VALOR PPTO]])</f>
        <v>-1.7241379310348748E-4</v>
      </c>
      <c r="AA1896" s="2">
        <f>+DETALLE_GD_1[[#This Row],[VALOR PPTO]]*DETALLE_GD_1[[#This Row],[CANTIDAD RECIBIDA]]</f>
        <v>58000</v>
      </c>
      <c r="AB1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6" s="3">
        <f>+DETALLE_GD_1[[#This Row],[CANTIDAD SOLICITADA]]-DETALLE_GD_1[[#This Row],[DEVOLUCIÓN]]</f>
        <v>100</v>
      </c>
      <c r="AD1896" s="38" t="str">
        <f>+_xlfn.XLOOKUP(DETALLE_GD_1[[#This Row],[CODIGO]],PRODUCTOS[CODIGO],PRODUCTOS[DESC CORTA],"",0)</f>
        <v>ESQUINERO GUARDAPOLVO EXTERIOR</v>
      </c>
    </row>
    <row r="1897" spans="1:30" x14ac:dyDescent="0.25">
      <c r="A1897" s="1">
        <v>46171</v>
      </c>
      <c r="B1897" s="1">
        <v>46171</v>
      </c>
      <c r="C1897" s="81" t="s">
        <v>169</v>
      </c>
      <c r="D1897" s="38">
        <v>5</v>
      </c>
      <c r="E1897" s="81" t="s">
        <v>169</v>
      </c>
      <c r="F1897">
        <v>704024</v>
      </c>
      <c r="G1897" s="81" t="s">
        <v>332</v>
      </c>
      <c r="H1897" s="81" t="s">
        <v>31</v>
      </c>
      <c r="I1897" s="3">
        <v>100</v>
      </c>
      <c r="J1897" s="3"/>
      <c r="K1897" s="26">
        <v>100</v>
      </c>
      <c r="L1897" s="2">
        <v>317.93</v>
      </c>
      <c r="M1897" s="2">
        <v>31793</v>
      </c>
      <c r="N1897" s="2">
        <v>31793</v>
      </c>
      <c r="O1897" s="2">
        <v>363</v>
      </c>
      <c r="P1897" s="2">
        <v>45.07</v>
      </c>
      <c r="Q1897" s="2">
        <v>4507</v>
      </c>
      <c r="R1897" s="4">
        <v>0.12415977961432503</v>
      </c>
      <c r="T1897">
        <v>317060</v>
      </c>
      <c r="U1897" s="2"/>
      <c r="V1897">
        <v>6215</v>
      </c>
      <c r="W1897" s="2">
        <v>6579000000</v>
      </c>
      <c r="X1897" s="6">
        <v>36300</v>
      </c>
      <c r="Y1897" s="38">
        <v>10010</v>
      </c>
      <c r="Z1897" s="86">
        <f>+((DETALLE_GD_1[[#This Row],[VALOR X UN (GD)]]-DETALLE_GD_1[[#This Row],[VALOR PPTO]])/DETALLE_GD_1[[#This Row],[VALOR PPTO]])</f>
        <v>-0.12415977961432505</v>
      </c>
      <c r="AA1897" s="2">
        <f>+DETALLE_GD_1[[#This Row],[VALOR PPTO]]*DETALLE_GD_1[[#This Row],[CANTIDAD RECIBIDA]]</f>
        <v>36300</v>
      </c>
      <c r="AB1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7" s="3">
        <f>+DETALLE_GD_1[[#This Row],[CANTIDAD SOLICITADA]]-DETALLE_GD_1[[#This Row],[DEVOLUCIÓN]]</f>
        <v>100</v>
      </c>
      <c r="AD1897" s="38" t="str">
        <f>+_xlfn.XLOOKUP(DETALLE_GD_1[[#This Row],[CODIGO]],PRODUCTOS[CODIGO],PRODUCTOS[DESC CORTA],"",0)</f>
        <v>ESQUINERO CORNIZA EXTERIOR</v>
      </c>
    </row>
    <row r="1898" spans="1:30" x14ac:dyDescent="0.25">
      <c r="A1898" s="1">
        <v>46171</v>
      </c>
      <c r="B1898" s="1">
        <v>46171</v>
      </c>
      <c r="C1898" s="81" t="s">
        <v>169</v>
      </c>
      <c r="D1898" s="38">
        <v>5</v>
      </c>
      <c r="E1898" s="81" t="s">
        <v>169</v>
      </c>
      <c r="F1898">
        <v>704023</v>
      </c>
      <c r="G1898" s="81" t="s">
        <v>331</v>
      </c>
      <c r="H1898" s="81" t="s">
        <v>31</v>
      </c>
      <c r="I1898" s="3">
        <v>100</v>
      </c>
      <c r="J1898" s="3"/>
      <c r="K1898" s="26">
        <v>100</v>
      </c>
      <c r="L1898" s="2">
        <v>324</v>
      </c>
      <c r="M1898" s="2">
        <v>32400</v>
      </c>
      <c r="N1898" s="2">
        <v>32400</v>
      </c>
      <c r="O1898" s="2">
        <v>324</v>
      </c>
      <c r="P1898" s="2">
        <v>0</v>
      </c>
      <c r="Q1898" s="2">
        <v>0</v>
      </c>
      <c r="R1898" s="4">
        <v>0</v>
      </c>
      <c r="T1898">
        <v>317060</v>
      </c>
      <c r="U1898" s="2"/>
      <c r="V1898">
        <v>6215</v>
      </c>
      <c r="W1898" s="2">
        <v>6579000000</v>
      </c>
      <c r="X1898" s="6">
        <v>32400</v>
      </c>
      <c r="Y1898" s="38">
        <v>10010</v>
      </c>
      <c r="Z1898" s="86">
        <f>+((DETALLE_GD_1[[#This Row],[VALOR X UN (GD)]]-DETALLE_GD_1[[#This Row],[VALOR PPTO]])/DETALLE_GD_1[[#This Row],[VALOR PPTO]])</f>
        <v>0</v>
      </c>
      <c r="AA1898" s="2">
        <f>+DETALLE_GD_1[[#This Row],[VALOR PPTO]]*DETALLE_GD_1[[#This Row],[CANTIDAD RECIBIDA]]</f>
        <v>32400</v>
      </c>
      <c r="AB1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8" s="3">
        <f>+DETALLE_GD_1[[#This Row],[CANTIDAD SOLICITADA]]-DETALLE_GD_1[[#This Row],[DEVOLUCIÓN]]</f>
        <v>100</v>
      </c>
      <c r="AD1898" s="38" t="str">
        <f>+_xlfn.XLOOKUP(DETALLE_GD_1[[#This Row],[CODIGO]],PRODUCTOS[CODIGO],PRODUCTOS[DESC CORTA],"",0)</f>
        <v>ESQUINERO GUARDAPOLVO INTERIOR</v>
      </c>
    </row>
    <row r="1899" spans="1:30" x14ac:dyDescent="0.25">
      <c r="A1899" s="1">
        <v>46171</v>
      </c>
      <c r="B1899" s="1">
        <v>46171</v>
      </c>
      <c r="C1899" s="81" t="s">
        <v>169</v>
      </c>
      <c r="D1899" s="38">
        <v>5</v>
      </c>
      <c r="E1899" s="81" t="s">
        <v>169</v>
      </c>
      <c r="F1899">
        <v>704022</v>
      </c>
      <c r="G1899" s="81" t="s">
        <v>330</v>
      </c>
      <c r="H1899" s="81" t="s">
        <v>31</v>
      </c>
      <c r="I1899" s="3">
        <v>300</v>
      </c>
      <c r="J1899" s="3"/>
      <c r="K1899" s="26">
        <v>300</v>
      </c>
      <c r="L1899" s="2">
        <v>258.38670000000002</v>
      </c>
      <c r="M1899" s="2">
        <v>77516</v>
      </c>
      <c r="N1899" s="2">
        <v>77516</v>
      </c>
      <c r="O1899" s="2">
        <v>306</v>
      </c>
      <c r="P1899" s="2">
        <v>47.613300000000002</v>
      </c>
      <c r="Q1899" s="2">
        <v>14284</v>
      </c>
      <c r="R1899" s="4">
        <v>0.15559912854030519</v>
      </c>
      <c r="T1899">
        <v>317060</v>
      </c>
      <c r="U1899" s="2"/>
      <c r="V1899">
        <v>6215</v>
      </c>
      <c r="W1899" s="2">
        <v>6579000000</v>
      </c>
      <c r="X1899" s="6">
        <v>91800.000000000015</v>
      </c>
      <c r="Y1899" s="38">
        <v>10010</v>
      </c>
      <c r="Z1899" s="86">
        <f>+((DETALLE_GD_1[[#This Row],[VALOR X UN (GD)]]-DETALLE_GD_1[[#This Row],[VALOR PPTO]])/DETALLE_GD_1[[#This Row],[VALOR PPTO]])</f>
        <v>-0.15559901960784309</v>
      </c>
      <c r="AA1899" s="2">
        <f>+DETALLE_GD_1[[#This Row],[VALOR PPTO]]*DETALLE_GD_1[[#This Row],[CANTIDAD RECIBIDA]]</f>
        <v>91800</v>
      </c>
      <c r="AB1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9" s="3">
        <f>+DETALLE_GD_1[[#This Row],[CANTIDAD SOLICITADA]]-DETALLE_GD_1[[#This Row],[DEVOLUCIÓN]]</f>
        <v>300</v>
      </c>
      <c r="AD1899" s="38" t="str">
        <f>+_xlfn.XLOOKUP(DETALLE_GD_1[[#This Row],[CODIGO]],PRODUCTOS[CODIGO],PRODUCTOS[DESC CORTA],"",0)</f>
        <v>ESQUINERO CORNIZA INTERIOR</v>
      </c>
    </row>
    <row r="1900" spans="1:30" x14ac:dyDescent="0.25">
      <c r="A1900" s="1">
        <v>46171</v>
      </c>
      <c r="B1900" s="1">
        <v>46171</v>
      </c>
      <c r="C1900" s="81" t="s">
        <v>169</v>
      </c>
      <c r="D1900" s="38">
        <v>5</v>
      </c>
      <c r="E1900" s="81" t="s">
        <v>169</v>
      </c>
      <c r="F1900">
        <v>404745</v>
      </c>
      <c r="G1900" s="81" t="s">
        <v>444</v>
      </c>
      <c r="H1900" s="81" t="s">
        <v>31</v>
      </c>
      <c r="I1900" s="3">
        <v>10</v>
      </c>
      <c r="J1900" s="3"/>
      <c r="K1900" s="26">
        <v>10</v>
      </c>
      <c r="L1900" s="2">
        <v>8826</v>
      </c>
      <c r="M1900" s="2">
        <v>88260</v>
      </c>
      <c r="N1900" s="2">
        <v>88260</v>
      </c>
      <c r="O1900" s="2"/>
      <c r="P1900" s="2"/>
      <c r="Q1900" s="2">
        <v>-88260</v>
      </c>
      <c r="R1900" s="4"/>
      <c r="T1900">
        <v>317060</v>
      </c>
      <c r="U1900" s="2"/>
      <c r="V1900">
        <v>6215</v>
      </c>
      <c r="W1900" s="2">
        <v>6579000000</v>
      </c>
      <c r="X1900" s="6" t="s">
        <v>355</v>
      </c>
      <c r="Y1900" s="38">
        <v>10010</v>
      </c>
      <c r="Z1900" s="86" t="e">
        <f>+((DETALLE_GD_1[[#This Row],[VALOR X UN (GD)]]-DETALLE_GD_1[[#This Row],[VALOR PPTO]])/DETALLE_GD_1[[#This Row],[VALOR PPTO]])</f>
        <v>#DIV/0!</v>
      </c>
      <c r="AA1900" s="2">
        <f>+DETALLE_GD_1[[#This Row],[VALOR PPTO]]*DETALLE_GD_1[[#This Row],[CANTIDAD RECIBIDA]]</f>
        <v>0</v>
      </c>
      <c r="AB1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0" s="3">
        <f>+DETALLE_GD_1[[#This Row],[CANTIDAD SOLICITADA]]-DETALLE_GD_1[[#This Row],[DEVOLUCIÓN]]</f>
        <v>10</v>
      </c>
      <c r="AD1900" s="38" t="str">
        <f>+_xlfn.XLOOKUP(DETALLE_GD_1[[#This Row],[CODIGO]],PRODUCTOS[CODIGO],PRODUCTOS[DESC CORTA],"",0)</f>
        <v/>
      </c>
    </row>
    <row r="1901" spans="1:30" x14ac:dyDescent="0.25">
      <c r="A1901" s="1">
        <v>46171</v>
      </c>
      <c r="B1901" s="1">
        <v>46171</v>
      </c>
      <c r="C1901" s="81" t="s">
        <v>169</v>
      </c>
      <c r="D1901" s="38">
        <v>5</v>
      </c>
      <c r="E1901" s="81" t="s">
        <v>169</v>
      </c>
      <c r="F1901">
        <v>307096</v>
      </c>
      <c r="G1901" s="81" t="s">
        <v>249</v>
      </c>
      <c r="H1901" s="81" t="s">
        <v>137</v>
      </c>
      <c r="I1901" s="3">
        <v>50</v>
      </c>
      <c r="J1901" s="3"/>
      <c r="K1901" s="26">
        <v>50</v>
      </c>
      <c r="L1901" s="2">
        <v>1651.42</v>
      </c>
      <c r="M1901" s="2">
        <v>82571</v>
      </c>
      <c r="N1901" s="2">
        <v>82571</v>
      </c>
      <c r="O1901" s="2">
        <v>2095.3501000000001</v>
      </c>
      <c r="P1901" s="2">
        <v>443.93009999999998</v>
      </c>
      <c r="Q1901" s="2">
        <v>22196.506399999998</v>
      </c>
      <c r="R1901" s="4">
        <v>0.21186441485646276</v>
      </c>
      <c r="T1901">
        <v>317060</v>
      </c>
      <c r="U1901" s="2"/>
      <c r="V1901">
        <v>6215</v>
      </c>
      <c r="W1901" s="2">
        <v>6579000000</v>
      </c>
      <c r="X1901" s="6">
        <v>104767.50644999991</v>
      </c>
      <c r="Y1901" s="38">
        <v>10010</v>
      </c>
      <c r="Z1901" s="86">
        <f>+((DETALLE_GD_1[[#This Row],[VALOR X UN (GD)]]-DETALLE_GD_1[[#This Row],[VALOR PPTO]])/DETALLE_GD_1[[#This Row],[VALOR PPTO]])</f>
        <v>-0.21186440394853348</v>
      </c>
      <c r="AA1901" s="2">
        <f>+DETALLE_GD_1[[#This Row],[VALOR PPTO]]*DETALLE_GD_1[[#This Row],[CANTIDAD RECIBIDA]]</f>
        <v>104767.505</v>
      </c>
      <c r="AB1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01" s="3">
        <f>+DETALLE_GD_1[[#This Row],[CANTIDAD SOLICITADA]]-DETALLE_GD_1[[#This Row],[DEVOLUCIÓN]]</f>
        <v>50</v>
      </c>
      <c r="AD1901" s="38" t="str">
        <f>+_xlfn.XLOOKUP(DETALLE_GD_1[[#This Row],[CODIGO]],PRODUCTOS[CODIGO],PRODUCTOS[DESC CORTA],"",0)</f>
        <v>CUBREJUNTA</v>
      </c>
    </row>
    <row r="1902" spans="1:30" x14ac:dyDescent="0.25">
      <c r="A1902" s="1">
        <v>46171</v>
      </c>
      <c r="B1902" s="1">
        <v>46171</v>
      </c>
      <c r="C1902" s="81" t="s">
        <v>169</v>
      </c>
      <c r="D1902" s="38">
        <v>5</v>
      </c>
      <c r="E1902" s="81" t="s">
        <v>169</v>
      </c>
      <c r="F1902">
        <v>307032</v>
      </c>
      <c r="G1902" s="81" t="s">
        <v>186</v>
      </c>
      <c r="H1902" s="81" t="s">
        <v>137</v>
      </c>
      <c r="I1902" s="3">
        <v>30</v>
      </c>
      <c r="J1902" s="3"/>
      <c r="K1902" s="26">
        <v>30</v>
      </c>
      <c r="L1902" s="2">
        <v>2181.3332999999998</v>
      </c>
      <c r="M1902" s="2">
        <v>65440</v>
      </c>
      <c r="N1902" s="2">
        <v>65440</v>
      </c>
      <c r="O1902" s="2">
        <v>2378.375</v>
      </c>
      <c r="P1902" s="2">
        <v>197.04169999999999</v>
      </c>
      <c r="Q1902" s="2">
        <v>5911.2511999999997</v>
      </c>
      <c r="R1902" s="4">
        <v>8.28471978850817E-2</v>
      </c>
      <c r="T1902">
        <v>317060</v>
      </c>
      <c r="U1902" s="2"/>
      <c r="V1902">
        <v>6215</v>
      </c>
      <c r="W1902" s="2">
        <v>6579000000</v>
      </c>
      <c r="X1902" s="6">
        <v>71351.251229999994</v>
      </c>
      <c r="Y1902" s="38">
        <v>10010</v>
      </c>
      <c r="Z1902" s="86">
        <f>+((DETALLE_GD_1[[#This Row],[VALOR X UN (GD)]]-DETALLE_GD_1[[#This Row],[VALOR PPTO]])/DETALLE_GD_1[[#This Row],[VALOR PPTO]])</f>
        <v>-8.2847196089767261E-2</v>
      </c>
      <c r="AA1902" s="2">
        <f>+DETALLE_GD_1[[#This Row],[VALOR PPTO]]*DETALLE_GD_1[[#This Row],[CANTIDAD RECIBIDA]]</f>
        <v>71351.25</v>
      </c>
      <c r="AB19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2" s="3">
        <f>+DETALLE_GD_1[[#This Row],[CANTIDAD SOLICITADA]]-DETALLE_GD_1[[#This Row],[DEVOLUCIÓN]]</f>
        <v>30</v>
      </c>
      <c r="AD1902" s="38">
        <f>+_xlfn.XLOOKUP(DETALLE_GD_1[[#This Row],[CODIGO]],PRODUCTOS[CODIGO],PRODUCTOS[DESC CORTA],"",0)</f>
        <v>0</v>
      </c>
    </row>
    <row r="1903" spans="1:30" x14ac:dyDescent="0.25">
      <c r="A1903" s="1">
        <v>46171</v>
      </c>
      <c r="B1903" s="1">
        <v>46171</v>
      </c>
      <c r="C1903" s="81" t="s">
        <v>169</v>
      </c>
      <c r="D1903" s="38">
        <v>5</v>
      </c>
      <c r="E1903" s="81" t="s">
        <v>169</v>
      </c>
      <c r="F1903">
        <v>307031</v>
      </c>
      <c r="G1903" s="81" t="s">
        <v>65</v>
      </c>
      <c r="H1903" s="81" t="s">
        <v>31</v>
      </c>
      <c r="I1903" s="3">
        <v>80</v>
      </c>
      <c r="J1903" s="3"/>
      <c r="K1903" s="26">
        <v>80</v>
      </c>
      <c r="L1903" s="2">
        <v>2700</v>
      </c>
      <c r="M1903" s="2">
        <v>216000</v>
      </c>
      <c r="N1903" s="2">
        <v>216000</v>
      </c>
      <c r="O1903" s="2">
        <v>2699.9985999999999</v>
      </c>
      <c r="P1903" s="2">
        <v>-1.4E-3</v>
      </c>
      <c r="Q1903" s="2">
        <v>-0.1116</v>
      </c>
      <c r="R1903" s="4">
        <v>-5.1666693335944687E-7</v>
      </c>
      <c r="T1903">
        <v>317060</v>
      </c>
      <c r="U1903" s="2"/>
      <c r="V1903">
        <v>6215</v>
      </c>
      <c r="W1903" s="2">
        <v>6579000000</v>
      </c>
      <c r="X1903" s="6">
        <v>215999.88840000005</v>
      </c>
      <c r="Y1903" s="38">
        <v>10010</v>
      </c>
      <c r="Z1903" s="86">
        <f>+((DETALLE_GD_1[[#This Row],[VALOR X UN (GD)]]-DETALLE_GD_1[[#This Row],[VALOR PPTO]])/DETALLE_GD_1[[#This Row],[VALOR PPTO]])</f>
        <v>5.1851878741837811E-7</v>
      </c>
      <c r="AA1903" s="2">
        <f>+DETALLE_GD_1[[#This Row],[VALOR PPTO]]*DETALLE_GD_1[[#This Row],[CANTIDAD RECIBIDA]]</f>
        <v>215999.88799999998</v>
      </c>
      <c r="AB1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3" s="3">
        <f>+DETALLE_GD_1[[#This Row],[CANTIDAD SOLICITADA]]-DETALLE_GD_1[[#This Row],[DEVOLUCIÓN]]</f>
        <v>80</v>
      </c>
      <c r="AD1903" s="38" t="str">
        <f>+_xlfn.XLOOKUP(DETALLE_GD_1[[#This Row],[CODIGO]],PRODUCTOS[CODIGO],PRODUCTOS[DESC CORTA],"",0)</f>
        <v>CORNIZA BLANCA</v>
      </c>
    </row>
    <row r="1904" spans="1:30" x14ac:dyDescent="0.25">
      <c r="A1904" s="1">
        <v>46171</v>
      </c>
      <c r="B1904" s="1">
        <v>46171</v>
      </c>
      <c r="C1904" s="81" t="s">
        <v>169</v>
      </c>
      <c r="D1904" s="38">
        <v>5</v>
      </c>
      <c r="E1904" s="81" t="s">
        <v>169</v>
      </c>
      <c r="F1904">
        <v>2302119</v>
      </c>
      <c r="G1904" s="81" t="s">
        <v>74</v>
      </c>
      <c r="H1904" s="81" t="s">
        <v>31</v>
      </c>
      <c r="I1904" s="3">
        <v>29</v>
      </c>
      <c r="J1904" s="3"/>
      <c r="K1904" s="26">
        <v>29</v>
      </c>
      <c r="L1904" s="2">
        <v>3679.8620999999998</v>
      </c>
      <c r="M1904" s="2">
        <v>106716</v>
      </c>
      <c r="N1904" s="2">
        <v>106716</v>
      </c>
      <c r="O1904" s="2">
        <v>3671</v>
      </c>
      <c r="P1904" s="2">
        <v>-8.8620999999999999</v>
      </c>
      <c r="Q1904" s="2">
        <v>-257</v>
      </c>
      <c r="R1904" s="4">
        <v>-2.4140749020749685E-3</v>
      </c>
      <c r="T1904">
        <v>317063</v>
      </c>
      <c r="U1904" s="2">
        <v>597993</v>
      </c>
      <c r="V1904">
        <v>6215</v>
      </c>
      <c r="W1904" s="2">
        <v>6579000000</v>
      </c>
      <c r="X1904" s="6">
        <v>106459</v>
      </c>
      <c r="Y1904" s="38">
        <v>10010</v>
      </c>
      <c r="Z1904" s="86">
        <f>+((DETALLE_GD_1[[#This Row],[VALOR X UN (GD)]]-DETALLE_GD_1[[#This Row],[VALOR PPTO]])/DETALLE_GD_1[[#This Row],[VALOR PPTO]])</f>
        <v>2.4140833560337312E-3</v>
      </c>
      <c r="AA1904" s="2">
        <f>+DETALLE_GD_1[[#This Row],[VALOR PPTO]]*DETALLE_GD_1[[#This Row],[CANTIDAD RECIBIDA]]</f>
        <v>106459</v>
      </c>
      <c r="AB19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4" s="3">
        <f>+DETALLE_GD_1[[#This Row],[CANTIDAD SOLICITADA]]-DETALLE_GD_1[[#This Row],[DEVOLUCIÓN]]</f>
        <v>29</v>
      </c>
      <c r="AD1904" s="38" t="str">
        <f>+_xlfn.XLOOKUP(DETALLE_GD_1[[#This Row],[CODIGO]],PRODUCTOS[CODIGO],PRODUCTOS[DESC CORTA],"",0)</f>
        <v>SELLO</v>
      </c>
    </row>
    <row r="1905" spans="1:30" x14ac:dyDescent="0.25">
      <c r="A1905" s="1">
        <v>46171</v>
      </c>
      <c r="B1905" s="1">
        <v>46171</v>
      </c>
      <c r="C1905" s="81" t="s">
        <v>169</v>
      </c>
      <c r="D1905" s="38">
        <v>5</v>
      </c>
      <c r="E1905" s="81" t="s">
        <v>169</v>
      </c>
      <c r="F1905">
        <v>2508991</v>
      </c>
      <c r="G1905" s="81" t="s">
        <v>485</v>
      </c>
      <c r="H1905" s="81" t="s">
        <v>31</v>
      </c>
      <c r="I1905" s="3">
        <v>7</v>
      </c>
      <c r="J1905" s="3"/>
      <c r="K1905" s="26">
        <v>7</v>
      </c>
      <c r="L1905" s="2">
        <v>4785.4286000000002</v>
      </c>
      <c r="M1905" s="2">
        <v>33498</v>
      </c>
      <c r="N1905" s="2">
        <v>33498</v>
      </c>
      <c r="O1905" s="2">
        <v>4798</v>
      </c>
      <c r="P1905" s="2">
        <v>12.571400000000001</v>
      </c>
      <c r="Q1905" s="2">
        <v>88</v>
      </c>
      <c r="R1905" s="4">
        <v>2.620139343774165E-3</v>
      </c>
      <c r="T1905">
        <v>317063</v>
      </c>
      <c r="U1905" s="2"/>
      <c r="V1905">
        <v>6215</v>
      </c>
      <c r="W1905" s="2">
        <v>6579000000</v>
      </c>
      <c r="X1905" s="6">
        <v>33586</v>
      </c>
      <c r="Y1905" s="38">
        <v>10010</v>
      </c>
      <c r="Z1905" s="86">
        <f>+((DETALLE_GD_1[[#This Row],[VALOR X UN (GD)]]-DETALLE_GD_1[[#This Row],[VALOR PPTO]])/DETALLE_GD_1[[#This Row],[VALOR PPTO]])</f>
        <v>-2.6201333889120074E-3</v>
      </c>
      <c r="AA1905" s="2">
        <f>+DETALLE_GD_1[[#This Row],[VALOR PPTO]]*DETALLE_GD_1[[#This Row],[CANTIDAD RECIBIDA]]</f>
        <v>33586</v>
      </c>
      <c r="AB1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5" s="3">
        <f>+DETALLE_GD_1[[#This Row],[CANTIDAD SOLICITADA]]-DETALLE_GD_1[[#This Row],[DEVOLUCIÓN]]</f>
        <v>7</v>
      </c>
      <c r="AD1905" s="38" t="str">
        <f>+_xlfn.XLOOKUP(DETALLE_GD_1[[#This Row],[CODIGO]],PRODUCTOS[CODIGO],PRODUCTOS[DESC CORTA],"",0)</f>
        <v>CILINDRO 03 LLAVE/LLAVE</v>
      </c>
    </row>
    <row r="1906" spans="1:30" x14ac:dyDescent="0.25">
      <c r="A1906" s="1">
        <v>46171</v>
      </c>
      <c r="B1906" s="1">
        <v>46171</v>
      </c>
      <c r="C1906" s="81" t="s">
        <v>169</v>
      </c>
      <c r="D1906" s="38">
        <v>5</v>
      </c>
      <c r="E1906" s="81" t="s">
        <v>169</v>
      </c>
      <c r="F1906">
        <v>2508990</v>
      </c>
      <c r="G1906" s="81" t="s">
        <v>484</v>
      </c>
      <c r="H1906" s="81" t="s">
        <v>31</v>
      </c>
      <c r="I1906" s="3">
        <v>7</v>
      </c>
      <c r="J1906" s="3"/>
      <c r="K1906" s="26">
        <v>7</v>
      </c>
      <c r="L1906" s="2">
        <v>6688.7142999999996</v>
      </c>
      <c r="M1906" s="2">
        <v>46821</v>
      </c>
      <c r="N1906" s="2">
        <v>46821</v>
      </c>
      <c r="O1906" s="2">
        <v>6738</v>
      </c>
      <c r="P1906" s="2">
        <v>49.285699999999999</v>
      </c>
      <c r="Q1906" s="2">
        <v>345</v>
      </c>
      <c r="R1906" s="4">
        <v>7.3145910189543906E-3</v>
      </c>
      <c r="T1906">
        <v>317063</v>
      </c>
      <c r="U1906" s="2"/>
      <c r="V1906">
        <v>6215</v>
      </c>
      <c r="W1906" s="2">
        <v>6579000000</v>
      </c>
      <c r="X1906" s="6">
        <v>47166</v>
      </c>
      <c r="Y1906" s="38">
        <v>10010</v>
      </c>
      <c r="Z1906" s="86">
        <f>+((DETALLE_GD_1[[#This Row],[VALOR X UN (GD)]]-DETALLE_GD_1[[#This Row],[VALOR PPTO]])/DETALLE_GD_1[[#This Row],[VALOR PPTO]])</f>
        <v>-7.3145888987830752E-3</v>
      </c>
      <c r="AA1906" s="2">
        <f>+DETALLE_GD_1[[#This Row],[VALOR PPTO]]*DETALLE_GD_1[[#This Row],[CANTIDAD RECIBIDA]]</f>
        <v>47166</v>
      </c>
      <c r="AB19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6" s="3">
        <f>+DETALLE_GD_1[[#This Row],[CANTIDAD SOLICITADA]]-DETALLE_GD_1[[#This Row],[DEVOLUCIÓN]]</f>
        <v>7</v>
      </c>
      <c r="AD1906" s="38" t="str">
        <f>+_xlfn.XLOOKUP(DETALLE_GD_1[[#This Row],[CODIGO]],PRODUCTOS[CODIGO],PRODUCTOS[DESC CORTA],"",0)</f>
        <v>CERRADURA DE EMB</v>
      </c>
    </row>
    <row r="1907" spans="1:30" x14ac:dyDescent="0.25">
      <c r="A1907" s="1">
        <v>46171</v>
      </c>
      <c r="B1907" s="1">
        <v>46171</v>
      </c>
      <c r="C1907" s="81" t="s">
        <v>169</v>
      </c>
      <c r="D1907" s="38">
        <v>5</v>
      </c>
      <c r="E1907" s="81" t="s">
        <v>169</v>
      </c>
      <c r="F1907">
        <v>2508992</v>
      </c>
      <c r="G1907" s="81" t="s">
        <v>486</v>
      </c>
      <c r="H1907" s="81" t="s">
        <v>31</v>
      </c>
      <c r="I1907" s="3">
        <v>1</v>
      </c>
      <c r="J1907" s="3"/>
      <c r="K1907" s="26">
        <v>1</v>
      </c>
      <c r="L1907" s="2">
        <v>5069</v>
      </c>
      <c r="M1907" s="2">
        <v>5069</v>
      </c>
      <c r="N1907" s="2">
        <v>5069</v>
      </c>
      <c r="O1907" s="2">
        <v>5084</v>
      </c>
      <c r="P1907" s="2">
        <v>15</v>
      </c>
      <c r="Q1907" s="2">
        <v>15</v>
      </c>
      <c r="R1907" s="4">
        <v>2.9504327301337532E-3</v>
      </c>
      <c r="T1907">
        <v>317063</v>
      </c>
      <c r="U1907" s="2"/>
      <c r="V1907">
        <v>6215</v>
      </c>
      <c r="W1907" s="2">
        <v>6579000000</v>
      </c>
      <c r="X1907" s="6">
        <v>5084</v>
      </c>
      <c r="Y1907" s="38">
        <v>10010</v>
      </c>
      <c r="Z1907" s="86">
        <f>+((DETALLE_GD_1[[#This Row],[VALOR X UN (GD)]]-DETALLE_GD_1[[#This Row],[VALOR PPTO]])/DETALLE_GD_1[[#This Row],[VALOR PPTO]])</f>
        <v>-2.9504327301337532E-3</v>
      </c>
      <c r="AA1907" s="2">
        <f>+DETALLE_GD_1[[#This Row],[VALOR PPTO]]*DETALLE_GD_1[[#This Row],[CANTIDAD RECIBIDA]]</f>
        <v>5084</v>
      </c>
      <c r="AB1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7" s="3">
        <f>+DETALLE_GD_1[[#This Row],[CANTIDAD SOLICITADA]]-DETALLE_GD_1[[#This Row],[DEVOLUCIÓN]]</f>
        <v>1</v>
      </c>
      <c r="AD1907" s="38" t="str">
        <f>+_xlfn.XLOOKUP(DETALLE_GD_1[[#This Row],[CODIGO]],PRODUCTOS[CODIGO],PRODUCTOS[DESC CORTA],"",0)</f>
        <v>MANILLA JUEGO</v>
      </c>
    </row>
    <row r="1908" spans="1:30" x14ac:dyDescent="0.25">
      <c r="A1908" s="1">
        <v>46171</v>
      </c>
      <c r="B1908" s="1">
        <v>46171</v>
      </c>
      <c r="C1908" s="81" t="s">
        <v>169</v>
      </c>
      <c r="D1908" s="38">
        <v>5</v>
      </c>
      <c r="E1908" s="81" t="s">
        <v>169</v>
      </c>
      <c r="F1908">
        <v>2508993</v>
      </c>
      <c r="G1908" s="81" t="s">
        <v>487</v>
      </c>
      <c r="H1908" s="81" t="s">
        <v>31</v>
      </c>
      <c r="I1908" s="3">
        <v>7</v>
      </c>
      <c r="J1908" s="3"/>
      <c r="K1908" s="26">
        <v>7</v>
      </c>
      <c r="L1908" s="2">
        <v>1461.5714</v>
      </c>
      <c r="M1908" s="2">
        <v>10231</v>
      </c>
      <c r="N1908" s="2">
        <v>10231</v>
      </c>
      <c r="O1908" s="2">
        <v>1410</v>
      </c>
      <c r="P1908" s="2">
        <v>-51.571399999999997</v>
      </c>
      <c r="Q1908" s="2">
        <v>-361</v>
      </c>
      <c r="R1908" s="4">
        <v>-3.6575481256332386E-2</v>
      </c>
      <c r="T1908">
        <v>317063</v>
      </c>
      <c r="U1908" s="2"/>
      <c r="V1908">
        <v>6215</v>
      </c>
      <c r="W1908" s="2">
        <v>6579000000</v>
      </c>
      <c r="X1908" s="6">
        <v>9870</v>
      </c>
      <c r="Y1908" s="38">
        <v>10010</v>
      </c>
      <c r="Z1908" s="86">
        <f>+((DETALLE_GD_1[[#This Row],[VALOR X UN (GD)]]-DETALLE_GD_1[[#This Row],[VALOR PPTO]])/DETALLE_GD_1[[#This Row],[VALOR PPTO]])</f>
        <v>3.6575460992907829E-2</v>
      </c>
      <c r="AA1908" s="2">
        <f>+DETALLE_GD_1[[#This Row],[VALOR PPTO]]*DETALLE_GD_1[[#This Row],[CANTIDAD RECIBIDA]]</f>
        <v>9870</v>
      </c>
      <c r="AB1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8" s="3">
        <f>+DETALLE_GD_1[[#This Row],[CANTIDAD SOLICITADA]]-DETALLE_GD_1[[#This Row],[DEVOLUCIÓN]]</f>
        <v>7</v>
      </c>
      <c r="AD1908" s="38" t="str">
        <f>+_xlfn.XLOOKUP(DETALLE_GD_1[[#This Row],[CODIGO]],PRODUCTOS[CODIGO],PRODUCTOS[DESC CORTA],"",0)</f>
        <v>BOCALLAVE B1 800 ACCESO</v>
      </c>
    </row>
    <row r="1909" spans="1:30" x14ac:dyDescent="0.25">
      <c r="A1909" s="1">
        <v>46171</v>
      </c>
      <c r="B1909" s="1">
        <v>46171</v>
      </c>
      <c r="C1909" s="81" t="s">
        <v>169</v>
      </c>
      <c r="D1909" s="38">
        <v>5</v>
      </c>
      <c r="E1909" s="81" t="s">
        <v>169</v>
      </c>
      <c r="F1909">
        <v>1808156</v>
      </c>
      <c r="G1909" s="81" t="s">
        <v>277</v>
      </c>
      <c r="H1909" s="81" t="s">
        <v>31</v>
      </c>
      <c r="I1909" s="3">
        <v>3</v>
      </c>
      <c r="J1909" s="3"/>
      <c r="K1909" s="26">
        <v>3</v>
      </c>
      <c r="L1909" s="2">
        <v>1931.6667</v>
      </c>
      <c r="M1909" s="2">
        <v>5795</v>
      </c>
      <c r="N1909" s="2">
        <v>5795</v>
      </c>
      <c r="O1909" s="2">
        <v>1916</v>
      </c>
      <c r="P1909" s="2">
        <v>-15.666700000000001</v>
      </c>
      <c r="Q1909" s="2">
        <v>-47</v>
      </c>
      <c r="R1909" s="4">
        <v>-8.1767571329158361E-3</v>
      </c>
      <c r="T1909">
        <v>317063</v>
      </c>
      <c r="U1909" s="2"/>
      <c r="V1909">
        <v>6215</v>
      </c>
      <c r="W1909" s="2">
        <v>6579000000</v>
      </c>
      <c r="X1909" s="6">
        <v>5748</v>
      </c>
      <c r="Y1909" s="38">
        <v>10010</v>
      </c>
      <c r="Z1909" s="86">
        <f>+((DETALLE_GD_1[[#This Row],[VALOR X UN (GD)]]-DETALLE_GD_1[[#This Row],[VALOR PPTO]])/DETALLE_GD_1[[#This Row],[VALOR PPTO]])</f>
        <v>8.176774530271394E-3</v>
      </c>
      <c r="AA1909" s="2">
        <f>+DETALLE_GD_1[[#This Row],[VALOR PPTO]]*DETALLE_GD_1[[#This Row],[CANTIDAD RECIBIDA]]</f>
        <v>5748</v>
      </c>
      <c r="AB1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9" s="3">
        <f>+DETALLE_GD_1[[#This Row],[CANTIDAD SOLICITADA]]-DETALLE_GD_1[[#This Row],[DEVOLUCIÓN]]</f>
        <v>3</v>
      </c>
      <c r="AD1909" s="38" t="str">
        <f>+_xlfn.XLOOKUP(DETALLE_GD_1[[#This Row],[CODIGO]],PRODUCTOS[CODIGO],PRODUCTOS[DESC CORTA],"",0)</f>
        <v>PERCHA SIMPLE YORK</v>
      </c>
    </row>
    <row r="1910" spans="1:30" x14ac:dyDescent="0.25">
      <c r="A1910" s="1">
        <v>46171</v>
      </c>
      <c r="B1910" s="1">
        <v>46171</v>
      </c>
      <c r="C1910" s="81" t="s">
        <v>169</v>
      </c>
      <c r="D1910" s="38">
        <v>5</v>
      </c>
      <c r="E1910" s="81" t="s">
        <v>169</v>
      </c>
      <c r="F1910">
        <v>1808006</v>
      </c>
      <c r="G1910" s="81" t="s">
        <v>194</v>
      </c>
      <c r="H1910" s="81" t="s">
        <v>31</v>
      </c>
      <c r="I1910" s="3">
        <v>3</v>
      </c>
      <c r="J1910" s="3"/>
      <c r="K1910" s="26">
        <v>3</v>
      </c>
      <c r="L1910" s="2">
        <v>2906.6667000000002</v>
      </c>
      <c r="M1910" s="2">
        <v>8720</v>
      </c>
      <c r="N1910" s="2">
        <v>8720</v>
      </c>
      <c r="O1910" s="2">
        <v>2906.6711</v>
      </c>
      <c r="P1910" s="2">
        <v>4.4000000000000003E-3</v>
      </c>
      <c r="Q1910" s="2">
        <v>1.3299999999999999E-2</v>
      </c>
      <c r="R1910" s="4">
        <v>1.523850888947989E-6</v>
      </c>
      <c r="T1910">
        <v>317063</v>
      </c>
      <c r="U1910" s="2"/>
      <c r="V1910">
        <v>6215</v>
      </c>
      <c r="W1910" s="2">
        <v>6579000000</v>
      </c>
      <c r="X1910" s="6">
        <v>8720.0132880000001</v>
      </c>
      <c r="Y1910" s="38">
        <v>10010</v>
      </c>
      <c r="Z1910" s="86">
        <f>+((DETALLE_GD_1[[#This Row],[VALOR X UN (GD)]]-DETALLE_GD_1[[#This Row],[VALOR PPTO]])/DETALLE_GD_1[[#This Row],[VALOR PPTO]])</f>
        <v>-1.5137591589929127E-6</v>
      </c>
      <c r="AA1910" s="2">
        <f>+DETALLE_GD_1[[#This Row],[VALOR PPTO]]*DETALLE_GD_1[[#This Row],[CANTIDAD RECIBIDA]]</f>
        <v>8720.0133000000005</v>
      </c>
      <c r="AB1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0" s="3">
        <f>+DETALLE_GD_1[[#This Row],[CANTIDAD SOLICITADA]]-DETALLE_GD_1[[#This Row],[DEVOLUCIÓN]]</f>
        <v>3</v>
      </c>
      <c r="AD1910" s="38">
        <f>+_xlfn.XLOOKUP(DETALLE_GD_1[[#This Row],[CODIGO]],PRODUCTOS[CODIGO],PRODUCTOS[DESC CORTA],"",0)</f>
        <v>0</v>
      </c>
    </row>
    <row r="1911" spans="1:30" x14ac:dyDescent="0.25">
      <c r="A1911" s="1">
        <v>46171</v>
      </c>
      <c r="B1911" s="1">
        <v>46171</v>
      </c>
      <c r="C1911" s="81" t="s">
        <v>169</v>
      </c>
      <c r="D1911" s="38">
        <v>5</v>
      </c>
      <c r="E1911" s="81" t="s">
        <v>169</v>
      </c>
      <c r="F1911">
        <v>1808003</v>
      </c>
      <c r="G1911" s="81" t="s">
        <v>195</v>
      </c>
      <c r="H1911" s="81" t="s">
        <v>31</v>
      </c>
      <c r="I1911" s="3">
        <v>6</v>
      </c>
      <c r="J1911" s="3"/>
      <c r="K1911" s="26">
        <v>6</v>
      </c>
      <c r="L1911" s="2">
        <v>167.66669999999999</v>
      </c>
      <c r="M1911" s="2">
        <v>1006</v>
      </c>
      <c r="N1911" s="2">
        <v>1006</v>
      </c>
      <c r="O1911" s="2">
        <v>167.7449</v>
      </c>
      <c r="P1911" s="2">
        <v>7.8200000000000006E-2</v>
      </c>
      <c r="Q1911" s="2">
        <v>0.46910000000000002</v>
      </c>
      <c r="R1911" s="4">
        <v>4.6613251974236255E-4</v>
      </c>
      <c r="T1911">
        <v>317063</v>
      </c>
      <c r="U1911" s="2"/>
      <c r="V1911">
        <v>6215</v>
      </c>
      <c r="W1911" s="2">
        <v>6579000000</v>
      </c>
      <c r="X1911" s="6">
        <v>1006.469148</v>
      </c>
      <c r="Y1911" s="38">
        <v>10010</v>
      </c>
      <c r="Z1911" s="86">
        <f>+((DETALLE_GD_1[[#This Row],[VALOR X UN (GD)]]-DETALLE_GD_1[[#This Row],[VALOR PPTO]])/DETALLE_GD_1[[#This Row],[VALOR PPTO]])</f>
        <v>-4.6618406878545695E-4</v>
      </c>
      <c r="AA1911" s="2">
        <f>+DETALLE_GD_1[[#This Row],[VALOR PPTO]]*DETALLE_GD_1[[#This Row],[CANTIDAD RECIBIDA]]</f>
        <v>1006.4694</v>
      </c>
      <c r="AB1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1" s="3">
        <f>+DETALLE_GD_1[[#This Row],[CANTIDAD SOLICITADA]]-DETALLE_GD_1[[#This Row],[DEVOLUCIÓN]]</f>
        <v>6</v>
      </c>
      <c r="AD1911" s="38">
        <f>+_xlfn.XLOOKUP(DETALLE_GD_1[[#This Row],[CODIGO]],PRODUCTOS[CODIGO],PRODUCTOS[DESC CORTA],"",0)</f>
        <v>0</v>
      </c>
    </row>
    <row r="1912" spans="1:30" x14ac:dyDescent="0.25">
      <c r="A1912" s="1">
        <v>46171</v>
      </c>
      <c r="B1912" s="1">
        <v>46171</v>
      </c>
      <c r="C1912" s="81" t="s">
        <v>169</v>
      </c>
      <c r="D1912" s="38">
        <v>5</v>
      </c>
      <c r="E1912" s="81" t="s">
        <v>169</v>
      </c>
      <c r="F1912">
        <v>1802517</v>
      </c>
      <c r="G1912" s="81" t="s">
        <v>141</v>
      </c>
      <c r="H1912" s="81" t="s">
        <v>31</v>
      </c>
      <c r="I1912" s="3">
        <v>3</v>
      </c>
      <c r="J1912" s="3"/>
      <c r="K1912" s="26">
        <v>3</v>
      </c>
      <c r="L1912" s="2">
        <v>2312.6667000000002</v>
      </c>
      <c r="M1912" s="2">
        <v>6938</v>
      </c>
      <c r="N1912" s="2">
        <v>6938</v>
      </c>
      <c r="O1912" s="2">
        <v>2312</v>
      </c>
      <c r="P1912" s="2">
        <v>-0.66669999999999996</v>
      </c>
      <c r="Q1912" s="2">
        <v>-2</v>
      </c>
      <c r="R1912" s="4">
        <v>-2.8835063437133003E-4</v>
      </c>
      <c r="T1912">
        <v>317063</v>
      </c>
      <c r="U1912" s="2"/>
      <c r="V1912">
        <v>6215</v>
      </c>
      <c r="W1912" s="2">
        <v>6579000000</v>
      </c>
      <c r="X1912" s="6">
        <v>6936</v>
      </c>
      <c r="Y1912" s="38">
        <v>10010</v>
      </c>
      <c r="Z1912" s="86">
        <f>+((DETALLE_GD_1[[#This Row],[VALOR X UN (GD)]]-DETALLE_GD_1[[#This Row],[VALOR PPTO]])/DETALLE_GD_1[[#This Row],[VALOR PPTO]])</f>
        <v>2.883650519032089E-4</v>
      </c>
      <c r="AA1912" s="2">
        <f>+DETALLE_GD_1[[#This Row],[VALOR PPTO]]*DETALLE_GD_1[[#This Row],[CANTIDAD RECIBIDA]]</f>
        <v>6936</v>
      </c>
      <c r="AB1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2" s="3">
        <f>+DETALLE_GD_1[[#This Row],[CANTIDAD SOLICITADA]]-DETALLE_GD_1[[#This Row],[DEVOLUCIÓN]]</f>
        <v>3</v>
      </c>
      <c r="AD1912" s="38" t="str">
        <f>+_xlfn.XLOOKUP(DETALLE_GD_1[[#This Row],[CODIGO]],PRODUCTOS[CODIGO],PRODUCTOS[DESC CORTA],"",0)</f>
        <v>CELOSIA ALUMINIO 25X25</v>
      </c>
    </row>
    <row r="1913" spans="1:30" x14ac:dyDescent="0.25">
      <c r="A1913" s="1">
        <v>46171</v>
      </c>
      <c r="B1913" s="1">
        <v>46171</v>
      </c>
      <c r="C1913" s="81" t="s">
        <v>169</v>
      </c>
      <c r="D1913" s="38">
        <v>5</v>
      </c>
      <c r="E1913" s="81" t="s">
        <v>169</v>
      </c>
      <c r="F1913">
        <v>1802172</v>
      </c>
      <c r="G1913" s="81" t="s">
        <v>266</v>
      </c>
      <c r="H1913" s="81" t="s">
        <v>31</v>
      </c>
      <c r="I1913" s="3">
        <v>3</v>
      </c>
      <c r="J1913" s="3"/>
      <c r="K1913" s="26">
        <v>3</v>
      </c>
      <c r="L1913" s="2">
        <v>3032.3332999999998</v>
      </c>
      <c r="M1913" s="2">
        <v>9097</v>
      </c>
      <c r="N1913" s="2">
        <v>9097</v>
      </c>
      <c r="O1913" s="2">
        <v>3035</v>
      </c>
      <c r="P1913" s="2">
        <v>2.6667000000000001</v>
      </c>
      <c r="Q1913" s="2">
        <v>8</v>
      </c>
      <c r="R1913" s="4">
        <v>8.7863811092801151E-4</v>
      </c>
      <c r="T1913">
        <v>317063</v>
      </c>
      <c r="U1913" s="2"/>
      <c r="V1913">
        <v>6215</v>
      </c>
      <c r="W1913" s="2">
        <v>6579000000</v>
      </c>
      <c r="X1913" s="6">
        <v>9105</v>
      </c>
      <c r="Y1913" s="38">
        <v>10010</v>
      </c>
      <c r="Z1913" s="86">
        <f>+((DETALLE_GD_1[[#This Row],[VALOR X UN (GD)]]-DETALLE_GD_1[[#This Row],[VALOR PPTO]])/DETALLE_GD_1[[#This Row],[VALOR PPTO]])</f>
        <v>-8.7864909390452024E-4</v>
      </c>
      <c r="AA1913" s="2">
        <f>+DETALLE_GD_1[[#This Row],[VALOR PPTO]]*DETALLE_GD_1[[#This Row],[CANTIDAD RECIBIDA]]</f>
        <v>9105</v>
      </c>
      <c r="AB1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3" s="3">
        <f>+DETALLE_GD_1[[#This Row],[CANTIDAD SOLICITADA]]-DETALLE_GD_1[[#This Row],[DEVOLUCIÓN]]</f>
        <v>3</v>
      </c>
      <c r="AD1913" s="38" t="str">
        <f>+_xlfn.XLOOKUP(DETALLE_GD_1[[#This Row],[CODIGO]],PRODUCTOS[CODIGO],PRODUCTOS[DESC CORTA],"",0)</f>
        <v>ARGOLLA TOALLA BENTON</v>
      </c>
    </row>
    <row r="1914" spans="1:30" x14ac:dyDescent="0.25">
      <c r="A1914" s="1">
        <v>46171</v>
      </c>
      <c r="B1914" s="1">
        <v>46171</v>
      </c>
      <c r="C1914" s="81" t="s">
        <v>169</v>
      </c>
      <c r="D1914" s="38">
        <v>5</v>
      </c>
      <c r="E1914" s="81" t="s">
        <v>169</v>
      </c>
      <c r="F1914">
        <v>1802171</v>
      </c>
      <c r="G1914" s="81" t="s">
        <v>265</v>
      </c>
      <c r="H1914" s="81" t="s">
        <v>31</v>
      </c>
      <c r="I1914" s="3">
        <v>3</v>
      </c>
      <c r="J1914" s="3"/>
      <c r="K1914" s="26">
        <v>3</v>
      </c>
      <c r="L1914" s="2">
        <v>3148.3332999999998</v>
      </c>
      <c r="M1914" s="2">
        <v>9445</v>
      </c>
      <c r="N1914" s="2">
        <v>9445</v>
      </c>
      <c r="O1914" s="2">
        <v>3632</v>
      </c>
      <c r="P1914" s="2">
        <v>483.66669999999999</v>
      </c>
      <c r="Q1914" s="2">
        <v>1451</v>
      </c>
      <c r="R1914" s="4">
        <v>0.13316813509544784</v>
      </c>
      <c r="T1914">
        <v>317063</v>
      </c>
      <c r="U1914" s="2"/>
      <c r="V1914">
        <v>6215</v>
      </c>
      <c r="W1914" s="2">
        <v>6579000000</v>
      </c>
      <c r="X1914" s="6">
        <v>10896</v>
      </c>
      <c r="Y1914" s="38">
        <v>10010</v>
      </c>
      <c r="Z1914" s="86">
        <f>+((DETALLE_GD_1[[#This Row],[VALOR X UN (GD)]]-DETALLE_GD_1[[#This Row],[VALOR PPTO]])/DETALLE_GD_1[[#This Row],[VALOR PPTO]])</f>
        <v>-0.13316814427312781</v>
      </c>
      <c r="AA1914" s="2">
        <f>+DETALLE_GD_1[[#This Row],[VALOR PPTO]]*DETALLE_GD_1[[#This Row],[CANTIDAD RECIBIDA]]</f>
        <v>10896</v>
      </c>
      <c r="AB1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4" s="3">
        <f>+DETALLE_GD_1[[#This Row],[CANTIDAD SOLICITADA]]-DETALLE_GD_1[[#This Row],[DEVOLUCIÓN]]</f>
        <v>3</v>
      </c>
      <c r="AD1914" s="38" t="str">
        <f>+_xlfn.XLOOKUP(DETALLE_GD_1[[#This Row],[CODIGO]],PRODUCTOS[CODIGO],PRODUCTOS[DESC CORTA],"",0)</f>
        <v>PORTA ROLLO BENTON</v>
      </c>
    </row>
    <row r="1915" spans="1:30" x14ac:dyDescent="0.25">
      <c r="A1915" s="1">
        <v>46171</v>
      </c>
      <c r="B1915" s="1">
        <v>46171</v>
      </c>
      <c r="C1915" s="81" t="s">
        <v>169</v>
      </c>
      <c r="D1915" s="38">
        <v>5</v>
      </c>
      <c r="E1915" s="81" t="s">
        <v>169</v>
      </c>
      <c r="F1915">
        <v>1206002</v>
      </c>
      <c r="G1915" s="81" t="s">
        <v>192</v>
      </c>
      <c r="H1915" s="81" t="s">
        <v>31</v>
      </c>
      <c r="I1915" s="3">
        <v>3</v>
      </c>
      <c r="J1915" s="3"/>
      <c r="K1915" s="26">
        <v>3</v>
      </c>
      <c r="L1915" s="2">
        <v>20331.666700000002</v>
      </c>
      <c r="M1915" s="2">
        <v>60995</v>
      </c>
      <c r="N1915" s="2">
        <v>60995</v>
      </c>
      <c r="O1915" s="2">
        <v>15783.483899999999</v>
      </c>
      <c r="P1915" s="2">
        <v>-4548.1827999999996</v>
      </c>
      <c r="Q1915" s="2">
        <v>-13644.5484</v>
      </c>
      <c r="R1915" s="4">
        <v>-0.28816089228711639</v>
      </c>
      <c r="T1915">
        <v>317063</v>
      </c>
      <c r="U1915" s="2"/>
      <c r="V1915">
        <v>6215</v>
      </c>
      <c r="W1915" s="2">
        <v>6579000000</v>
      </c>
      <c r="X1915" s="6">
        <v>47350.451612999997</v>
      </c>
      <c r="Y1915" s="38">
        <v>10010</v>
      </c>
      <c r="Z1915" s="86">
        <f>+((DETALLE_GD_1[[#This Row],[VALOR X UN (GD)]]-DETALLE_GD_1[[#This Row],[VALOR PPTO]])/DETALLE_GD_1[[#This Row],[VALOR PPTO]])</f>
        <v>0.28816089203220857</v>
      </c>
      <c r="AA1915" s="2">
        <f>+DETALLE_GD_1[[#This Row],[VALOR PPTO]]*DETALLE_GD_1[[#This Row],[CANTIDAD RECIBIDA]]</f>
        <v>47350.451699999998</v>
      </c>
      <c r="AB1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5" s="3">
        <f>+DETALLE_GD_1[[#This Row],[CANTIDAD SOLICITADA]]-DETALLE_GD_1[[#This Row],[DEVOLUCIÓN]]</f>
        <v>3</v>
      </c>
      <c r="AD1915" s="38">
        <f>+_xlfn.XLOOKUP(DETALLE_GD_1[[#This Row],[CODIGO]],PRODUCTOS[CODIGO],PRODUCTOS[DESC CORTA],"",0)</f>
        <v>0</v>
      </c>
    </row>
    <row r="1916" spans="1:30" x14ac:dyDescent="0.25">
      <c r="A1916" s="1">
        <v>46171</v>
      </c>
      <c r="B1916" s="1">
        <v>46171</v>
      </c>
      <c r="C1916" s="81" t="s">
        <v>169</v>
      </c>
      <c r="D1916" s="38">
        <v>5</v>
      </c>
      <c r="E1916" s="81" t="s">
        <v>169</v>
      </c>
      <c r="F1916">
        <v>1802162</v>
      </c>
      <c r="G1916" s="81" t="s">
        <v>260</v>
      </c>
      <c r="H1916" s="81" t="s">
        <v>31</v>
      </c>
      <c r="I1916" s="3">
        <v>3</v>
      </c>
      <c r="J1916" s="3"/>
      <c r="K1916" s="26">
        <v>3</v>
      </c>
      <c r="L1916" s="2">
        <v>42840</v>
      </c>
      <c r="M1916" s="2">
        <v>128520</v>
      </c>
      <c r="N1916" s="2">
        <v>128520</v>
      </c>
      <c r="O1916" s="2">
        <v>42840</v>
      </c>
      <c r="P1916" s="2">
        <v>0</v>
      </c>
      <c r="Q1916" s="2">
        <v>0</v>
      </c>
      <c r="R1916" s="4">
        <v>0</v>
      </c>
      <c r="T1916">
        <v>317063</v>
      </c>
      <c r="U1916" s="2"/>
      <c r="V1916">
        <v>6215</v>
      </c>
      <c r="W1916" s="2">
        <v>6579000000</v>
      </c>
      <c r="X1916" s="6">
        <v>128520</v>
      </c>
      <c r="Y1916" s="38">
        <v>10010</v>
      </c>
      <c r="Z1916" s="86">
        <f>+((DETALLE_GD_1[[#This Row],[VALOR X UN (GD)]]-DETALLE_GD_1[[#This Row],[VALOR PPTO]])/DETALLE_GD_1[[#This Row],[VALOR PPTO]])</f>
        <v>0</v>
      </c>
      <c r="AA1916" s="2">
        <f>+DETALLE_GD_1[[#This Row],[VALOR PPTO]]*DETALLE_GD_1[[#This Row],[CANTIDAD RECIBIDA]]</f>
        <v>128520</v>
      </c>
      <c r="AB1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6" s="3">
        <f>+DETALLE_GD_1[[#This Row],[CANTIDAD SOLICITADA]]-DETALLE_GD_1[[#This Row],[DEVOLUCIÓN]]</f>
        <v>3</v>
      </c>
      <c r="AD1916" s="38" t="str">
        <f>+_xlfn.XLOOKUP(DETALLE_GD_1[[#This Row],[CODIGO]],PRODUCTOS[CODIGO],PRODUCTOS[DESC CORTA],"",0)</f>
        <v>TINA DE ACERO</v>
      </c>
    </row>
    <row r="1917" spans="1:30" x14ac:dyDescent="0.25">
      <c r="A1917" s="1">
        <v>46171</v>
      </c>
      <c r="B1917" s="1">
        <v>46171</v>
      </c>
      <c r="C1917" s="81" t="s">
        <v>169</v>
      </c>
      <c r="D1917" s="38">
        <v>5</v>
      </c>
      <c r="E1917" s="81" t="s">
        <v>169</v>
      </c>
      <c r="F1917">
        <v>307096</v>
      </c>
      <c r="G1917" s="81" t="s">
        <v>249</v>
      </c>
      <c r="H1917" s="81" t="s">
        <v>137</v>
      </c>
      <c r="I1917" s="3">
        <v>100</v>
      </c>
      <c r="J1917" s="3"/>
      <c r="K1917" s="26">
        <v>100</v>
      </c>
      <c r="L1917" s="2">
        <v>1651.42</v>
      </c>
      <c r="M1917" s="2">
        <v>165142</v>
      </c>
      <c r="N1917" s="2">
        <v>165142</v>
      </c>
      <c r="O1917" s="2">
        <v>2095.3501000000001</v>
      </c>
      <c r="P1917" s="2">
        <v>443.93009999999998</v>
      </c>
      <c r="Q1917" s="2">
        <v>44393.012900000002</v>
      </c>
      <c r="R1917" s="4">
        <v>0.21186441485646276</v>
      </c>
      <c r="T1917">
        <v>317063</v>
      </c>
      <c r="U1917" s="2"/>
      <c r="V1917">
        <v>6215</v>
      </c>
      <c r="W1917" s="2">
        <v>6579000000</v>
      </c>
      <c r="X1917" s="6">
        <v>209535.01289999983</v>
      </c>
      <c r="Y1917" s="38">
        <v>10010</v>
      </c>
      <c r="Z1917" s="86">
        <f>+((DETALLE_GD_1[[#This Row],[VALOR X UN (GD)]]-DETALLE_GD_1[[#This Row],[VALOR PPTO]])/DETALLE_GD_1[[#This Row],[VALOR PPTO]])</f>
        <v>-0.21186440394853348</v>
      </c>
      <c r="AA1917" s="2">
        <f>+DETALLE_GD_1[[#This Row],[VALOR PPTO]]*DETALLE_GD_1[[#This Row],[CANTIDAD RECIBIDA]]</f>
        <v>209535.01</v>
      </c>
      <c r="AB19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17" s="3">
        <f>+DETALLE_GD_1[[#This Row],[CANTIDAD SOLICITADA]]-DETALLE_GD_1[[#This Row],[DEVOLUCIÓN]]</f>
        <v>100</v>
      </c>
      <c r="AD1917" s="38" t="str">
        <f>+_xlfn.XLOOKUP(DETALLE_GD_1[[#This Row],[CODIGO]],PRODUCTOS[CODIGO],PRODUCTOS[DESC CORTA],"",0)</f>
        <v>CUBREJUNTA</v>
      </c>
    </row>
    <row r="1918" spans="1:30" x14ac:dyDescent="0.25">
      <c r="A1918" s="1">
        <v>46171</v>
      </c>
      <c r="B1918" s="1">
        <v>46171</v>
      </c>
      <c r="C1918" s="81" t="s">
        <v>169</v>
      </c>
      <c r="D1918" s="38">
        <v>5</v>
      </c>
      <c r="E1918" s="81" t="s">
        <v>169</v>
      </c>
      <c r="F1918">
        <v>307096</v>
      </c>
      <c r="G1918" s="81" t="s">
        <v>249</v>
      </c>
      <c r="H1918" s="81" t="s">
        <v>137</v>
      </c>
      <c r="I1918" s="3">
        <v>50</v>
      </c>
      <c r="J1918" s="3"/>
      <c r="K1918" s="26">
        <v>50</v>
      </c>
      <c r="L1918" s="2">
        <v>1651.42</v>
      </c>
      <c r="M1918" s="2">
        <v>82571</v>
      </c>
      <c r="N1918" s="2">
        <v>82571</v>
      </c>
      <c r="O1918" s="2">
        <v>2095.3501000000001</v>
      </c>
      <c r="P1918" s="2">
        <v>443.93009999999998</v>
      </c>
      <c r="Q1918" s="2">
        <v>22196.506399999998</v>
      </c>
      <c r="R1918" s="4">
        <v>0.21186441485646276</v>
      </c>
      <c r="T1918">
        <v>317066</v>
      </c>
      <c r="U1918" s="2">
        <v>179076</v>
      </c>
      <c r="V1918">
        <v>6215</v>
      </c>
      <c r="W1918" s="2">
        <v>6579000000</v>
      </c>
      <c r="X1918" s="6">
        <v>104767.50644999991</v>
      </c>
      <c r="Y1918" s="38">
        <v>10010</v>
      </c>
      <c r="Z1918" s="86">
        <f>+((DETALLE_GD_1[[#This Row],[VALOR X UN (GD)]]-DETALLE_GD_1[[#This Row],[VALOR PPTO]])/DETALLE_GD_1[[#This Row],[VALOR PPTO]])</f>
        <v>-0.21186440394853348</v>
      </c>
      <c r="AA1918" s="2">
        <f>+DETALLE_GD_1[[#This Row],[VALOR PPTO]]*DETALLE_GD_1[[#This Row],[CANTIDAD RECIBIDA]]</f>
        <v>104767.505</v>
      </c>
      <c r="AB19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18" s="3">
        <f>+DETALLE_GD_1[[#This Row],[CANTIDAD SOLICITADA]]-DETALLE_GD_1[[#This Row],[DEVOLUCIÓN]]</f>
        <v>50</v>
      </c>
      <c r="AD1918" s="38" t="str">
        <f>+_xlfn.XLOOKUP(DETALLE_GD_1[[#This Row],[CODIGO]],PRODUCTOS[CODIGO],PRODUCTOS[DESC CORTA],"",0)</f>
        <v>CUBREJUNTA</v>
      </c>
    </row>
    <row r="1919" spans="1:30" x14ac:dyDescent="0.25">
      <c r="A1919" s="1">
        <v>46171</v>
      </c>
      <c r="B1919" s="1">
        <v>46171</v>
      </c>
      <c r="C1919" s="81" t="s">
        <v>169</v>
      </c>
      <c r="D1919" s="38">
        <v>5</v>
      </c>
      <c r="E1919" s="81" t="s">
        <v>169</v>
      </c>
      <c r="F1919">
        <v>2304053</v>
      </c>
      <c r="G1919" s="81" t="s">
        <v>213</v>
      </c>
      <c r="H1919" s="81" t="s">
        <v>31</v>
      </c>
      <c r="I1919" s="3">
        <v>16</v>
      </c>
      <c r="J1919" s="3"/>
      <c r="K1919" s="26">
        <v>16</v>
      </c>
      <c r="L1919" s="2">
        <v>1021.9375</v>
      </c>
      <c r="M1919" s="2">
        <v>16351</v>
      </c>
      <c r="N1919" s="2">
        <v>16351</v>
      </c>
      <c r="O1919" s="2">
        <v>862</v>
      </c>
      <c r="P1919" s="2">
        <v>-159.9375</v>
      </c>
      <c r="Q1919" s="2">
        <v>-2559</v>
      </c>
      <c r="R1919" s="4">
        <v>-0.18554234338747083</v>
      </c>
      <c r="T1919">
        <v>317066</v>
      </c>
      <c r="U1919" s="2"/>
      <c r="V1919">
        <v>6215</v>
      </c>
      <c r="W1919" s="2">
        <v>6579000000</v>
      </c>
      <c r="X1919" s="6">
        <v>13792.000000000002</v>
      </c>
      <c r="Y1919" s="38">
        <v>10010</v>
      </c>
      <c r="Z1919" s="86">
        <f>+((DETALLE_GD_1[[#This Row],[VALOR X UN (GD)]]-DETALLE_GD_1[[#This Row],[VALOR PPTO]])/DETALLE_GD_1[[#This Row],[VALOR PPTO]])</f>
        <v>0.185542343387471</v>
      </c>
      <c r="AA1919" s="2">
        <f>+DETALLE_GD_1[[#This Row],[VALOR PPTO]]*DETALLE_GD_1[[#This Row],[CANTIDAD RECIBIDA]]</f>
        <v>13792</v>
      </c>
      <c r="AB1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9" s="3">
        <f>+DETALLE_GD_1[[#This Row],[CANTIDAD SOLICITADA]]-DETALLE_GD_1[[#This Row],[DEVOLUCIÓN]]</f>
        <v>16</v>
      </c>
      <c r="AD1919" s="38">
        <f>+_xlfn.XLOOKUP(DETALLE_GD_1[[#This Row],[CODIGO]],PRODUCTOS[CODIGO],PRODUCTOS[DESC CORTA],"",0)</f>
        <v>0</v>
      </c>
    </row>
    <row r="1920" spans="1:30" x14ac:dyDescent="0.25">
      <c r="A1920" s="1">
        <v>46171</v>
      </c>
      <c r="B1920" s="1">
        <v>46171</v>
      </c>
      <c r="C1920" s="81" t="s">
        <v>169</v>
      </c>
      <c r="D1920" s="38">
        <v>5</v>
      </c>
      <c r="E1920" s="81" t="s">
        <v>169</v>
      </c>
      <c r="F1920">
        <v>2304002</v>
      </c>
      <c r="G1920" s="81" t="s">
        <v>212</v>
      </c>
      <c r="H1920" s="81" t="s">
        <v>31</v>
      </c>
      <c r="I1920" s="3">
        <v>24</v>
      </c>
      <c r="J1920" s="3"/>
      <c r="K1920" s="26">
        <v>24</v>
      </c>
      <c r="L1920" s="2">
        <v>1409.5</v>
      </c>
      <c r="M1920" s="2">
        <v>33828</v>
      </c>
      <c r="N1920" s="2">
        <v>33828</v>
      </c>
      <c r="O1920" s="2">
        <v>1376.4717000000001</v>
      </c>
      <c r="P1920" s="2">
        <v>-33.028300000000002</v>
      </c>
      <c r="Q1920" s="2">
        <v>-792.67859999999996</v>
      </c>
      <c r="R1920" s="4">
        <v>-2.399488156866781E-2</v>
      </c>
      <c r="T1920">
        <v>317066</v>
      </c>
      <c r="U1920" s="2"/>
      <c r="V1920">
        <v>6215</v>
      </c>
      <c r="W1920" s="2">
        <v>6579000000</v>
      </c>
      <c r="X1920" s="6">
        <v>33035.321376</v>
      </c>
      <c r="Y1920" s="38">
        <v>10010</v>
      </c>
      <c r="Z1920" s="86">
        <f>+((DETALLE_GD_1[[#This Row],[VALOR X UN (GD)]]-DETALLE_GD_1[[#This Row],[VALOR PPTO]])/DETALLE_GD_1[[#This Row],[VALOR PPTO]])</f>
        <v>2.3994899422923075E-2</v>
      </c>
      <c r="AA1920" s="2">
        <f>+DETALLE_GD_1[[#This Row],[VALOR PPTO]]*DETALLE_GD_1[[#This Row],[CANTIDAD RECIBIDA]]</f>
        <v>33035.320800000001</v>
      </c>
      <c r="AB1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0" s="3">
        <f>+DETALLE_GD_1[[#This Row],[CANTIDAD SOLICITADA]]-DETALLE_GD_1[[#This Row],[DEVOLUCIÓN]]</f>
        <v>24</v>
      </c>
      <c r="AD1920" s="38">
        <f>+_xlfn.XLOOKUP(DETALLE_GD_1[[#This Row],[CODIGO]],PRODUCTOS[CODIGO],PRODUCTOS[DESC CORTA],"",0)</f>
        <v>0</v>
      </c>
    </row>
    <row r="1921" spans="1:30" x14ac:dyDescent="0.25">
      <c r="A1921" s="1">
        <v>46171</v>
      </c>
      <c r="B1921" s="1">
        <v>46171</v>
      </c>
      <c r="C1921" s="81" t="s">
        <v>169</v>
      </c>
      <c r="D1921" s="38">
        <v>5</v>
      </c>
      <c r="E1921" s="81" t="s">
        <v>169</v>
      </c>
      <c r="F1921">
        <v>404252</v>
      </c>
      <c r="G1921" s="81" t="s">
        <v>181</v>
      </c>
      <c r="H1921" s="81" t="s">
        <v>31</v>
      </c>
      <c r="I1921" s="3">
        <v>30</v>
      </c>
      <c r="J1921" s="3"/>
      <c r="K1921" s="26">
        <v>30</v>
      </c>
      <c r="L1921" s="2">
        <v>1544.2</v>
      </c>
      <c r="M1921" s="2">
        <v>46326</v>
      </c>
      <c r="N1921" s="2">
        <v>46326</v>
      </c>
      <c r="O1921" s="2">
        <v>1110.0438999999999</v>
      </c>
      <c r="P1921" s="2">
        <v>-434.15609999999998</v>
      </c>
      <c r="Q1921" s="2">
        <v>-13024.6837</v>
      </c>
      <c r="R1921" s="4">
        <v>-0.39111618323094111</v>
      </c>
      <c r="T1921">
        <v>317066</v>
      </c>
      <c r="U1921" s="2"/>
      <c r="V1921">
        <v>6215</v>
      </c>
      <c r="W1921" s="2">
        <v>6579000000</v>
      </c>
      <c r="X1921" s="6">
        <v>33301.316279999999</v>
      </c>
      <c r="Y1921" s="38">
        <v>10010</v>
      </c>
      <c r="Z1921" s="86">
        <f>+((DETALLE_GD_1[[#This Row],[VALOR X UN (GD)]]-DETALLE_GD_1[[#This Row],[VALOR PPTO]])/DETALLE_GD_1[[#This Row],[VALOR PPTO]])</f>
        <v>0.39111615315394299</v>
      </c>
      <c r="AA1921" s="2">
        <f>+DETALLE_GD_1[[#This Row],[VALOR PPTO]]*DETALLE_GD_1[[#This Row],[CANTIDAD RECIBIDA]]</f>
        <v>33301.316999999995</v>
      </c>
      <c r="AB19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1" s="3">
        <f>+DETALLE_GD_1[[#This Row],[CANTIDAD SOLICITADA]]-DETALLE_GD_1[[#This Row],[DEVOLUCIÓN]]</f>
        <v>30</v>
      </c>
      <c r="AD1921" s="38">
        <f>+_xlfn.XLOOKUP(DETALLE_GD_1[[#This Row],[CODIGO]],PRODUCTOS[CODIGO],PRODUCTOS[DESC CORTA],"",0)</f>
        <v>0</v>
      </c>
    </row>
    <row r="1922" spans="1:30" x14ac:dyDescent="0.25">
      <c r="A1922" s="1">
        <v>46171</v>
      </c>
      <c r="B1922" s="1">
        <v>46171</v>
      </c>
      <c r="C1922" s="81" t="s">
        <v>169</v>
      </c>
      <c r="D1922" s="38">
        <v>5</v>
      </c>
      <c r="E1922" s="81" t="s">
        <v>169</v>
      </c>
      <c r="F1922">
        <v>304002</v>
      </c>
      <c r="G1922" s="81" t="s">
        <v>37</v>
      </c>
      <c r="H1922" s="81" t="s">
        <v>18</v>
      </c>
      <c r="I1922" s="3">
        <v>72</v>
      </c>
      <c r="J1922" s="3"/>
      <c r="K1922" s="26">
        <v>72</v>
      </c>
      <c r="L1922" s="2">
        <v>21648.833299999998</v>
      </c>
      <c r="M1922" s="2">
        <v>1558716</v>
      </c>
      <c r="N1922" s="2">
        <v>1558716</v>
      </c>
      <c r="O1922" s="2">
        <v>21246.5072</v>
      </c>
      <c r="P1922" s="2">
        <v>-402.32619999999997</v>
      </c>
      <c r="Q1922" s="2">
        <v>-28967.485000000001</v>
      </c>
      <c r="R1922" s="4">
        <v>-1.8936109236031368E-2</v>
      </c>
      <c r="T1922">
        <v>317070</v>
      </c>
      <c r="U1922" s="2">
        <v>1558716</v>
      </c>
      <c r="V1922">
        <v>6215</v>
      </c>
      <c r="W1922" s="2">
        <v>6579000000</v>
      </c>
      <c r="X1922" s="6">
        <v>1529748.5150160005</v>
      </c>
      <c r="Y1922" s="38">
        <v>10010</v>
      </c>
      <c r="Z1922" s="86">
        <f>+((DETALLE_GD_1[[#This Row],[VALOR X UN (GD)]]-DETALLE_GD_1[[#This Row],[VALOR PPTO]])/DETALLE_GD_1[[#This Row],[VALOR PPTO]])</f>
        <v>1.8936105413128724E-2</v>
      </c>
      <c r="AA1922" s="2">
        <f>+DETALLE_GD_1[[#This Row],[VALOR PPTO]]*DETALLE_GD_1[[#This Row],[CANTIDAD RECIBIDA]]</f>
        <v>1529748.5183999999</v>
      </c>
      <c r="AB1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22" s="3">
        <f>+DETALLE_GD_1[[#This Row],[CANTIDAD SOLICITADA]]-DETALLE_GD_1[[#This Row],[DEVOLUCIÓN]]</f>
        <v>72</v>
      </c>
      <c r="AD1922" s="38" t="str">
        <f>+_xlfn.XLOOKUP(DETALLE_GD_1[[#This Row],[CODIGO]],PRODUCTOS[CODIGO],PRODUCTOS[DESC CORTA],"",0)</f>
        <v>SMARTPANEL</v>
      </c>
    </row>
    <row r="1923" spans="1:30" x14ac:dyDescent="0.25">
      <c r="A1923" s="1">
        <v>46174</v>
      </c>
      <c r="B1923" s="1">
        <v>46171</v>
      </c>
      <c r="C1923" s="81" t="s">
        <v>169</v>
      </c>
      <c r="D1923" s="38">
        <v>5</v>
      </c>
      <c r="E1923" s="81" t="s">
        <v>169</v>
      </c>
      <c r="F1923">
        <v>101010</v>
      </c>
      <c r="G1923" s="81" t="s">
        <v>780</v>
      </c>
      <c r="H1923" s="81" t="s">
        <v>28</v>
      </c>
      <c r="I1923" s="3">
        <v>245</v>
      </c>
      <c r="J1923" s="3"/>
      <c r="K1923" s="26">
        <v>245</v>
      </c>
      <c r="L1923" s="2">
        <v>4916.9224000000004</v>
      </c>
      <c r="M1923" s="2">
        <v>1204646</v>
      </c>
      <c r="N1923" s="2">
        <v>1204646</v>
      </c>
      <c r="O1923" s="2">
        <v>5828.66</v>
      </c>
      <c r="P1923" s="2">
        <v>911.73760000000004</v>
      </c>
      <c r="Q1923" s="2">
        <v>223375.7</v>
      </c>
      <c r="R1923" s="4">
        <v>0.15642318320512918</v>
      </c>
      <c r="T1923">
        <v>44341</v>
      </c>
      <c r="U1923" s="2">
        <v>1204646</v>
      </c>
      <c r="W1923" s="2">
        <v>6579000000</v>
      </c>
      <c r="X1923" s="6">
        <v>1428021.7</v>
      </c>
      <c r="Z1923" s="86">
        <f>+((DETALLE_GD_1[[#This Row],[VALOR X UN (GD)]]-DETALLE_GD_1[[#This Row],[VALOR PPTO]])/DETALLE_GD_1[[#This Row],[VALOR PPTO]])</f>
        <v>-0.15642319160836274</v>
      </c>
      <c r="AA1923" s="2">
        <f>+DETALLE_GD_1[[#This Row],[VALOR PPTO]]*DETALLE_GD_1[[#This Row],[CANTIDAD RECIBIDA]]</f>
        <v>1428021.7</v>
      </c>
      <c r="AB1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3" s="3">
        <f>+DETALLE_GD_1[[#This Row],[CANTIDAD SOLICITADA]]-DETALLE_GD_1[[#This Row],[DEVOLUCIÓN]]</f>
        <v>245</v>
      </c>
      <c r="AD1923" s="38" t="str">
        <f>+_xlfn.XLOOKUP(DETALLE_GD_1[[#This Row],[CODIGO]],PRODUCTOS[CODIGO],PRODUCTOS[DESC CORTA],"",0)</f>
        <v/>
      </c>
    </row>
    <row r="1924" spans="1:30" x14ac:dyDescent="0.25">
      <c r="A1924" s="1">
        <v>46171</v>
      </c>
      <c r="B1924" s="1">
        <v>46174</v>
      </c>
      <c r="C1924" s="81" t="s">
        <v>169</v>
      </c>
      <c r="D1924" s="38">
        <v>6</v>
      </c>
      <c r="E1924" s="81" t="s">
        <v>169</v>
      </c>
      <c r="F1924">
        <v>1402016</v>
      </c>
      <c r="G1924" s="81" t="s">
        <v>798</v>
      </c>
      <c r="H1924" s="81" t="s">
        <v>31</v>
      </c>
      <c r="I1924" s="3">
        <v>9</v>
      </c>
      <c r="J1924" s="3"/>
      <c r="K1924" s="26">
        <v>9</v>
      </c>
      <c r="L1924" s="2">
        <v>754.22220000000004</v>
      </c>
      <c r="M1924" s="2">
        <v>6788</v>
      </c>
      <c r="N1924" s="2">
        <v>6788</v>
      </c>
      <c r="O1924" s="2"/>
      <c r="P1924" s="2"/>
      <c r="Q1924" s="2">
        <v>-6788</v>
      </c>
      <c r="R1924" s="4"/>
      <c r="T1924">
        <v>317096</v>
      </c>
      <c r="U1924" s="2">
        <v>6788</v>
      </c>
      <c r="V1924">
        <v>6266</v>
      </c>
      <c r="W1924" s="2">
        <v>6579000000</v>
      </c>
      <c r="X1924" s="6" t="s">
        <v>355</v>
      </c>
      <c r="Y1924" s="38">
        <v>10010</v>
      </c>
      <c r="Z1924" s="86" t="e">
        <f>+((DETALLE_GD_1[[#This Row],[VALOR X UN (GD)]]-DETALLE_GD_1[[#This Row],[VALOR PPTO]])/DETALLE_GD_1[[#This Row],[VALOR PPTO]])</f>
        <v>#DIV/0!</v>
      </c>
      <c r="AA1924" s="2">
        <f>+DETALLE_GD_1[[#This Row],[VALOR PPTO]]*DETALLE_GD_1[[#This Row],[CANTIDAD RECIBIDA]]</f>
        <v>0</v>
      </c>
      <c r="AB1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4" s="3">
        <f>+DETALLE_GD_1[[#This Row],[CANTIDAD SOLICITADA]]-DETALLE_GD_1[[#This Row],[DEVOLUCIÓN]]</f>
        <v>9</v>
      </c>
      <c r="AD1924" s="38" t="str">
        <f>+_xlfn.XLOOKUP(DETALLE_GD_1[[#This Row],[CODIGO]],PRODUCTOS[CODIGO],PRODUCTOS[DESC CORTA],"",0)</f>
        <v/>
      </c>
    </row>
    <row r="1925" spans="1:30" x14ac:dyDescent="0.25">
      <c r="A1925" s="1">
        <v>46174</v>
      </c>
      <c r="B1925" s="1">
        <v>46174</v>
      </c>
      <c r="C1925" s="81" t="s">
        <v>169</v>
      </c>
      <c r="D1925" s="38">
        <v>6</v>
      </c>
      <c r="E1925" s="81" t="s">
        <v>169</v>
      </c>
      <c r="F1925">
        <v>2508994</v>
      </c>
      <c r="G1925" s="81" t="s">
        <v>488</v>
      </c>
      <c r="H1925" s="81" t="s">
        <v>31</v>
      </c>
      <c r="I1925" s="3">
        <v>3</v>
      </c>
      <c r="J1925" s="3"/>
      <c r="K1925" s="26">
        <v>3</v>
      </c>
      <c r="L1925" s="2">
        <v>1691.3333</v>
      </c>
      <c r="M1925" s="2">
        <v>5074</v>
      </c>
      <c r="N1925" s="2">
        <v>5074</v>
      </c>
      <c r="O1925" s="2">
        <v>1598</v>
      </c>
      <c r="P1925" s="2">
        <v>-93.333299999999994</v>
      </c>
      <c r="Q1925" s="2">
        <v>-280</v>
      </c>
      <c r="R1925" s="4">
        <v>-5.8406341259908179E-2</v>
      </c>
      <c r="T1925">
        <v>317228</v>
      </c>
      <c r="U1925" s="2">
        <v>1097303</v>
      </c>
      <c r="V1925">
        <v>6266</v>
      </c>
      <c r="W1925" s="2">
        <v>6579000000</v>
      </c>
      <c r="X1925" s="6">
        <v>4794</v>
      </c>
      <c r="Y1925" s="38">
        <v>10010</v>
      </c>
      <c r="Z1925" s="86">
        <f>+((DETALLE_GD_1[[#This Row],[VALOR X UN (GD)]]-DETALLE_GD_1[[#This Row],[VALOR PPTO]])/DETALLE_GD_1[[#This Row],[VALOR PPTO]])</f>
        <v>5.840632040050063E-2</v>
      </c>
      <c r="AA1925" s="2">
        <f>+DETALLE_GD_1[[#This Row],[VALOR PPTO]]*DETALLE_GD_1[[#This Row],[CANTIDAD RECIBIDA]]</f>
        <v>4794</v>
      </c>
      <c r="AB19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5" s="3">
        <f>+DETALLE_GD_1[[#This Row],[CANTIDAD SOLICITADA]]-DETALLE_GD_1[[#This Row],[DEVOLUCIÓN]]</f>
        <v>3</v>
      </c>
      <c r="AD1925" s="38" t="str">
        <f>+_xlfn.XLOOKUP(DETALLE_GD_1[[#This Row],[CODIGO]],PRODUCTOS[CODIGO],PRODUCTOS[DESC CORTA],"",0)</f>
        <v>CUADRADILLO EXPANSION 8X</v>
      </c>
    </row>
    <row r="1926" spans="1:30" x14ac:dyDescent="0.25">
      <c r="A1926" s="1">
        <v>46174</v>
      </c>
      <c r="B1926" s="1">
        <v>46174</v>
      </c>
      <c r="C1926" s="81" t="s">
        <v>169</v>
      </c>
      <c r="D1926" s="38">
        <v>6</v>
      </c>
      <c r="E1926" s="81" t="s">
        <v>169</v>
      </c>
      <c r="F1926">
        <v>2508993</v>
      </c>
      <c r="G1926" s="81" t="s">
        <v>487</v>
      </c>
      <c r="H1926" s="81" t="s">
        <v>31</v>
      </c>
      <c r="I1926" s="3">
        <v>3</v>
      </c>
      <c r="J1926" s="3"/>
      <c r="K1926" s="26">
        <v>3</v>
      </c>
      <c r="L1926" s="2">
        <v>1461.6667</v>
      </c>
      <c r="M1926" s="2">
        <v>4385</v>
      </c>
      <c r="N1926" s="2">
        <v>4385</v>
      </c>
      <c r="O1926" s="2">
        <v>1410</v>
      </c>
      <c r="P1926" s="2">
        <v>-51.666699999999999</v>
      </c>
      <c r="Q1926" s="2">
        <v>-155</v>
      </c>
      <c r="R1926" s="4">
        <v>-3.6643026004728185E-2</v>
      </c>
      <c r="T1926">
        <v>317228</v>
      </c>
      <c r="U1926" s="2"/>
      <c r="V1926">
        <v>6266</v>
      </c>
      <c r="W1926" s="2">
        <v>6579000000</v>
      </c>
      <c r="X1926" s="6">
        <v>4230</v>
      </c>
      <c r="Y1926" s="38">
        <v>10010</v>
      </c>
      <c r="Z1926" s="86">
        <f>+((DETALLE_GD_1[[#This Row],[VALOR X UN (GD)]]-DETALLE_GD_1[[#This Row],[VALOR PPTO]])/DETALLE_GD_1[[#This Row],[VALOR PPTO]])</f>
        <v>3.6643049645390065E-2</v>
      </c>
      <c r="AA1926" s="2">
        <f>+DETALLE_GD_1[[#This Row],[VALOR PPTO]]*DETALLE_GD_1[[#This Row],[CANTIDAD RECIBIDA]]</f>
        <v>4230</v>
      </c>
      <c r="AB19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6" s="3">
        <f>+DETALLE_GD_1[[#This Row],[CANTIDAD SOLICITADA]]-DETALLE_GD_1[[#This Row],[DEVOLUCIÓN]]</f>
        <v>3</v>
      </c>
      <c r="AD1926" s="38" t="str">
        <f>+_xlfn.XLOOKUP(DETALLE_GD_1[[#This Row],[CODIGO]],PRODUCTOS[CODIGO],PRODUCTOS[DESC CORTA],"",0)</f>
        <v>BOCALLAVE B1 800 ACCESO</v>
      </c>
    </row>
    <row r="1927" spans="1:30" x14ac:dyDescent="0.25">
      <c r="A1927" s="1">
        <v>46174</v>
      </c>
      <c r="B1927" s="1">
        <v>46174</v>
      </c>
      <c r="C1927" s="81" t="s">
        <v>169</v>
      </c>
      <c r="D1927" s="38">
        <v>6</v>
      </c>
      <c r="E1927" s="81" t="s">
        <v>169</v>
      </c>
      <c r="F1927">
        <v>2508992</v>
      </c>
      <c r="G1927" s="81" t="s">
        <v>486</v>
      </c>
      <c r="H1927" s="81" t="s">
        <v>31</v>
      </c>
      <c r="I1927" s="3">
        <v>3</v>
      </c>
      <c r="J1927" s="3"/>
      <c r="K1927" s="26">
        <v>3</v>
      </c>
      <c r="L1927" s="2">
        <v>5068.6666999999998</v>
      </c>
      <c r="M1927" s="2">
        <v>15206</v>
      </c>
      <c r="N1927" s="2">
        <v>15206</v>
      </c>
      <c r="O1927" s="2">
        <v>5084</v>
      </c>
      <c r="P1927" s="2">
        <v>15.333299999999999</v>
      </c>
      <c r="Q1927" s="2">
        <v>46</v>
      </c>
      <c r="R1927" s="4">
        <v>3.0159979019144436E-3</v>
      </c>
      <c r="T1927">
        <v>317228</v>
      </c>
      <c r="U1927" s="2"/>
      <c r="V1927">
        <v>6266</v>
      </c>
      <c r="W1927" s="2">
        <v>6579000000</v>
      </c>
      <c r="X1927" s="6">
        <v>15252</v>
      </c>
      <c r="Y1927" s="38">
        <v>10010</v>
      </c>
      <c r="Z1927" s="86">
        <f>+((DETALLE_GD_1[[#This Row],[VALOR X UN (GD)]]-DETALLE_GD_1[[#This Row],[VALOR PPTO]])/DETALLE_GD_1[[#This Row],[VALOR PPTO]])</f>
        <v>-3.0159913453973713E-3</v>
      </c>
      <c r="AA1927" s="2">
        <f>+DETALLE_GD_1[[#This Row],[VALOR PPTO]]*DETALLE_GD_1[[#This Row],[CANTIDAD RECIBIDA]]</f>
        <v>15252</v>
      </c>
      <c r="AB1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7" s="3">
        <f>+DETALLE_GD_1[[#This Row],[CANTIDAD SOLICITADA]]-DETALLE_GD_1[[#This Row],[DEVOLUCIÓN]]</f>
        <v>3</v>
      </c>
      <c r="AD1927" s="38" t="str">
        <f>+_xlfn.XLOOKUP(DETALLE_GD_1[[#This Row],[CODIGO]],PRODUCTOS[CODIGO],PRODUCTOS[DESC CORTA],"",0)</f>
        <v>MANILLA JUEGO</v>
      </c>
    </row>
    <row r="1928" spans="1:30" x14ac:dyDescent="0.25">
      <c r="A1928" s="1">
        <v>46174</v>
      </c>
      <c r="B1928" s="1">
        <v>46174</v>
      </c>
      <c r="C1928" s="81" t="s">
        <v>169</v>
      </c>
      <c r="D1928" s="38">
        <v>6</v>
      </c>
      <c r="E1928" s="81" t="s">
        <v>169</v>
      </c>
      <c r="F1928">
        <v>2508991</v>
      </c>
      <c r="G1928" s="81" t="s">
        <v>485</v>
      </c>
      <c r="H1928" s="81" t="s">
        <v>31</v>
      </c>
      <c r="I1928" s="3">
        <v>3</v>
      </c>
      <c r="J1928" s="3"/>
      <c r="K1928" s="26">
        <v>3</v>
      </c>
      <c r="L1928" s="2">
        <v>4785.3333000000002</v>
      </c>
      <c r="M1928" s="2">
        <v>14356</v>
      </c>
      <c r="N1928" s="2">
        <v>14356</v>
      </c>
      <c r="O1928" s="2">
        <v>4798</v>
      </c>
      <c r="P1928" s="2">
        <v>12.666700000000001</v>
      </c>
      <c r="Q1928" s="2">
        <v>38</v>
      </c>
      <c r="R1928" s="4">
        <v>2.6399888842573928E-3</v>
      </c>
      <c r="T1928">
        <v>317228</v>
      </c>
      <c r="U1928" s="2"/>
      <c r="V1928">
        <v>6266</v>
      </c>
      <c r="W1928" s="2">
        <v>6579000000</v>
      </c>
      <c r="X1928" s="6">
        <v>14394</v>
      </c>
      <c r="Y1928" s="38">
        <v>10010</v>
      </c>
      <c r="Z1928" s="86">
        <f>+((DETALLE_GD_1[[#This Row],[VALOR X UN (GD)]]-DETALLE_GD_1[[#This Row],[VALOR PPTO]])/DETALLE_GD_1[[#This Row],[VALOR PPTO]])</f>
        <v>-2.6399958315964493E-3</v>
      </c>
      <c r="AA1928" s="2">
        <f>+DETALLE_GD_1[[#This Row],[VALOR PPTO]]*DETALLE_GD_1[[#This Row],[CANTIDAD RECIBIDA]]</f>
        <v>14394</v>
      </c>
      <c r="AB19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8" s="3">
        <f>+DETALLE_GD_1[[#This Row],[CANTIDAD SOLICITADA]]-DETALLE_GD_1[[#This Row],[DEVOLUCIÓN]]</f>
        <v>3</v>
      </c>
      <c r="AD1928" s="38" t="str">
        <f>+_xlfn.XLOOKUP(DETALLE_GD_1[[#This Row],[CODIGO]],PRODUCTOS[CODIGO],PRODUCTOS[DESC CORTA],"",0)</f>
        <v>CILINDRO 03 LLAVE/LLAVE</v>
      </c>
    </row>
    <row r="1929" spans="1:30" x14ac:dyDescent="0.25">
      <c r="A1929" s="1">
        <v>46174</v>
      </c>
      <c r="B1929" s="1">
        <v>46174</v>
      </c>
      <c r="C1929" s="81" t="s">
        <v>169</v>
      </c>
      <c r="D1929" s="38">
        <v>6</v>
      </c>
      <c r="E1929" s="81" t="s">
        <v>169</v>
      </c>
      <c r="F1929">
        <v>2508990</v>
      </c>
      <c r="G1929" s="81" t="s">
        <v>484</v>
      </c>
      <c r="H1929" s="81" t="s">
        <v>31</v>
      </c>
      <c r="I1929" s="3">
        <v>3</v>
      </c>
      <c r="J1929" s="3"/>
      <c r="K1929" s="26">
        <v>3</v>
      </c>
      <c r="L1929" s="2">
        <v>6688.6666999999998</v>
      </c>
      <c r="M1929" s="2">
        <v>20066</v>
      </c>
      <c r="N1929" s="2">
        <v>20066</v>
      </c>
      <c r="O1929" s="2">
        <v>6738</v>
      </c>
      <c r="P1929" s="2">
        <v>49.333300000000001</v>
      </c>
      <c r="Q1929" s="2">
        <v>148</v>
      </c>
      <c r="R1929" s="4">
        <v>7.321658256653759E-3</v>
      </c>
      <c r="T1929">
        <v>317228</v>
      </c>
      <c r="U1929" s="2"/>
      <c r="V1929">
        <v>6266</v>
      </c>
      <c r="W1929" s="2">
        <v>6579000000</v>
      </c>
      <c r="X1929" s="6">
        <v>20214</v>
      </c>
      <c r="Y1929" s="38">
        <v>10010</v>
      </c>
      <c r="Z1929" s="86">
        <f>+((DETALLE_GD_1[[#This Row],[VALOR X UN (GD)]]-DETALLE_GD_1[[#This Row],[VALOR PPTO]])/DETALLE_GD_1[[#This Row],[VALOR PPTO]])</f>
        <v>-7.3216533095874494E-3</v>
      </c>
      <c r="AA1929" s="2">
        <f>+DETALLE_GD_1[[#This Row],[VALOR PPTO]]*DETALLE_GD_1[[#This Row],[CANTIDAD RECIBIDA]]</f>
        <v>20214</v>
      </c>
      <c r="AB19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9" s="3">
        <f>+DETALLE_GD_1[[#This Row],[CANTIDAD SOLICITADA]]-DETALLE_GD_1[[#This Row],[DEVOLUCIÓN]]</f>
        <v>3</v>
      </c>
      <c r="AD1929" s="38" t="str">
        <f>+_xlfn.XLOOKUP(DETALLE_GD_1[[#This Row],[CODIGO]],PRODUCTOS[CODIGO],PRODUCTOS[DESC CORTA],"",0)</f>
        <v>CERRADURA DE EMB</v>
      </c>
    </row>
    <row r="1930" spans="1:30" x14ac:dyDescent="0.25">
      <c r="A1930" s="1">
        <v>46174</v>
      </c>
      <c r="B1930" s="1">
        <v>46174</v>
      </c>
      <c r="C1930" s="81" t="s">
        <v>169</v>
      </c>
      <c r="D1930" s="38">
        <v>6</v>
      </c>
      <c r="E1930" s="81" t="s">
        <v>169</v>
      </c>
      <c r="F1930">
        <v>1405025</v>
      </c>
      <c r="G1930" s="81" t="s">
        <v>189</v>
      </c>
      <c r="H1930" s="81" t="s">
        <v>31</v>
      </c>
      <c r="I1930" s="3">
        <v>3</v>
      </c>
      <c r="J1930" s="3"/>
      <c r="K1930" s="26">
        <v>3</v>
      </c>
      <c r="L1930" s="2">
        <v>6988</v>
      </c>
      <c r="M1930" s="2">
        <v>20964</v>
      </c>
      <c r="N1930" s="2">
        <v>20964</v>
      </c>
      <c r="O1930" s="2">
        <v>6758.5333000000001</v>
      </c>
      <c r="P1930" s="2">
        <v>-229.4667</v>
      </c>
      <c r="Q1930" s="2">
        <v>-688.4</v>
      </c>
      <c r="R1930" s="4">
        <v>-3.3952139568444395E-2</v>
      </c>
      <c r="T1930">
        <v>317228</v>
      </c>
      <c r="U1930" s="2"/>
      <c r="V1930">
        <v>6266</v>
      </c>
      <c r="W1930" s="2">
        <v>6579000000</v>
      </c>
      <c r="X1930" s="6">
        <v>20275.599998999998</v>
      </c>
      <c r="Y1930" s="38">
        <v>10010</v>
      </c>
      <c r="Z1930" s="86">
        <f>+((DETALLE_GD_1[[#This Row],[VALOR X UN (GD)]]-DETALLE_GD_1[[#This Row],[VALOR PPTO]])/DETALLE_GD_1[[#This Row],[VALOR PPTO]])</f>
        <v>3.3952144616939288E-2</v>
      </c>
      <c r="AA1930" s="2">
        <f>+DETALLE_GD_1[[#This Row],[VALOR PPTO]]*DETALLE_GD_1[[#This Row],[CANTIDAD RECIBIDA]]</f>
        <v>20275.599900000001</v>
      </c>
      <c r="AB19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0" s="3">
        <f>+DETALLE_GD_1[[#This Row],[CANTIDAD SOLICITADA]]-DETALLE_GD_1[[#This Row],[DEVOLUCIÓN]]</f>
        <v>3</v>
      </c>
      <c r="AD1930" s="38">
        <f>+_xlfn.XLOOKUP(DETALLE_GD_1[[#This Row],[CODIGO]],PRODUCTOS[CODIGO],PRODUCTOS[DESC CORTA],"",0)</f>
        <v>0</v>
      </c>
    </row>
    <row r="1931" spans="1:30" x14ac:dyDescent="0.25">
      <c r="A1931" s="1">
        <v>46174</v>
      </c>
      <c r="B1931" s="1">
        <v>46174</v>
      </c>
      <c r="C1931" s="81" t="s">
        <v>169</v>
      </c>
      <c r="D1931" s="38">
        <v>6</v>
      </c>
      <c r="E1931" s="81" t="s">
        <v>169</v>
      </c>
      <c r="F1931">
        <v>1103076</v>
      </c>
      <c r="G1931" s="81" t="s">
        <v>311</v>
      </c>
      <c r="H1931" s="81" t="s">
        <v>31</v>
      </c>
      <c r="I1931" s="3">
        <v>30</v>
      </c>
      <c r="J1931" s="3"/>
      <c r="K1931" s="26">
        <v>30</v>
      </c>
      <c r="L1931" s="2">
        <v>2033.0333000000001</v>
      </c>
      <c r="M1931" s="2">
        <v>60991</v>
      </c>
      <c r="N1931" s="2">
        <v>60991</v>
      </c>
      <c r="O1931" s="2">
        <v>3191</v>
      </c>
      <c r="P1931" s="2">
        <v>1157.9666999999999</v>
      </c>
      <c r="Q1931" s="2">
        <v>34739</v>
      </c>
      <c r="R1931" s="4">
        <v>0.36288519795257496</v>
      </c>
      <c r="T1931">
        <v>317228</v>
      </c>
      <c r="U1931" s="2"/>
      <c r="V1931">
        <v>6266</v>
      </c>
      <c r="W1931" s="2">
        <v>6579000000</v>
      </c>
      <c r="X1931" s="6">
        <v>95730</v>
      </c>
      <c r="Y1931" s="38">
        <v>10010</v>
      </c>
      <c r="Z1931" s="86">
        <f>+((DETALLE_GD_1[[#This Row],[VALOR X UN (GD)]]-DETALLE_GD_1[[#This Row],[VALOR PPTO]])/DETALLE_GD_1[[#This Row],[VALOR PPTO]])</f>
        <v>-0.3628852083986211</v>
      </c>
      <c r="AA1931" s="2">
        <f>+DETALLE_GD_1[[#This Row],[VALOR PPTO]]*DETALLE_GD_1[[#This Row],[CANTIDAD RECIBIDA]]</f>
        <v>95730</v>
      </c>
      <c r="AB19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1" s="3">
        <f>+DETALLE_GD_1[[#This Row],[CANTIDAD SOLICITADA]]-DETALLE_GD_1[[#This Row],[DEVOLUCIÓN]]</f>
        <v>30</v>
      </c>
      <c r="AD1931" s="38" t="str">
        <f>+_xlfn.XLOOKUP(DETALLE_GD_1[[#This Row],[CODIGO]],PRODUCTOS[CODIGO],PRODUCTOS[DESC CORTA],"",0)</f>
        <v>PERFIL ESQUINERO INTERIOR</v>
      </c>
    </row>
    <row r="1932" spans="1:30" x14ac:dyDescent="0.25">
      <c r="A1932" s="1">
        <v>46174</v>
      </c>
      <c r="B1932" s="1">
        <v>46174</v>
      </c>
      <c r="C1932" s="81" t="s">
        <v>169</v>
      </c>
      <c r="D1932" s="38">
        <v>6</v>
      </c>
      <c r="E1932" s="81" t="s">
        <v>169</v>
      </c>
      <c r="F1932">
        <v>1103074</v>
      </c>
      <c r="G1932" s="81" t="s">
        <v>310</v>
      </c>
      <c r="H1932" s="81" t="s">
        <v>31</v>
      </c>
      <c r="I1932" s="3">
        <v>30</v>
      </c>
      <c r="J1932" s="3"/>
      <c r="K1932" s="26">
        <v>30</v>
      </c>
      <c r="L1932" s="2">
        <v>1499.3667</v>
      </c>
      <c r="M1932" s="2">
        <v>44981</v>
      </c>
      <c r="N1932" s="2">
        <v>44981</v>
      </c>
      <c r="O1932" s="2">
        <v>2427</v>
      </c>
      <c r="P1932" s="2">
        <v>927.63329999999996</v>
      </c>
      <c r="Q1932" s="2">
        <v>27829</v>
      </c>
      <c r="R1932" s="4">
        <v>0.38221398159593462</v>
      </c>
      <c r="T1932">
        <v>317228</v>
      </c>
      <c r="U1932" s="2"/>
      <c r="V1932">
        <v>6266</v>
      </c>
      <c r="W1932" s="2">
        <v>6579000000</v>
      </c>
      <c r="X1932" s="6">
        <v>72810</v>
      </c>
      <c r="Y1932" s="38">
        <v>10010</v>
      </c>
      <c r="Z1932" s="86">
        <f>+((DETALLE_GD_1[[#This Row],[VALOR X UN (GD)]]-DETALLE_GD_1[[#This Row],[VALOR PPTO]])/DETALLE_GD_1[[#This Row],[VALOR PPTO]])</f>
        <v>-0.38221396786155748</v>
      </c>
      <c r="AA1932" s="2">
        <f>+DETALLE_GD_1[[#This Row],[VALOR PPTO]]*DETALLE_GD_1[[#This Row],[CANTIDAD RECIBIDA]]</f>
        <v>72810</v>
      </c>
      <c r="AB19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2" s="3">
        <f>+DETALLE_GD_1[[#This Row],[CANTIDAD SOLICITADA]]-DETALLE_GD_1[[#This Row],[DEVOLUCIÓN]]</f>
        <v>30</v>
      </c>
      <c r="AD1932" s="38" t="str">
        <f>+_xlfn.XLOOKUP(DETALLE_GD_1[[#This Row],[CODIGO]],PRODUCTOS[CODIGO],PRODUCTOS[DESC CORTA],"",0)</f>
        <v>PERFIL ESQUINERO ENCUENTRO</v>
      </c>
    </row>
    <row r="1933" spans="1:30" x14ac:dyDescent="0.25">
      <c r="A1933" s="1">
        <v>46174</v>
      </c>
      <c r="B1933" s="1">
        <v>46174</v>
      </c>
      <c r="C1933" s="81" t="s">
        <v>169</v>
      </c>
      <c r="D1933" s="38">
        <v>6</v>
      </c>
      <c r="E1933" s="81" t="s">
        <v>169</v>
      </c>
      <c r="F1933">
        <v>705028</v>
      </c>
      <c r="G1933" s="81" t="s">
        <v>72</v>
      </c>
      <c r="H1933" s="81" t="s">
        <v>18</v>
      </c>
      <c r="I1933" s="3">
        <v>40</v>
      </c>
      <c r="J1933" s="3"/>
      <c r="K1933" s="26">
        <v>40</v>
      </c>
      <c r="L1933" s="2">
        <v>22782</v>
      </c>
      <c r="M1933" s="2">
        <v>911280</v>
      </c>
      <c r="N1933" s="2">
        <v>911280</v>
      </c>
      <c r="O1933" s="2">
        <v>22927.086200000002</v>
      </c>
      <c r="P1933" s="2">
        <v>145.08619999999999</v>
      </c>
      <c r="Q1933" s="2">
        <v>5803.4483</v>
      </c>
      <c r="R1933" s="4">
        <v>6.3281572586272733E-3</v>
      </c>
      <c r="T1933">
        <v>317228</v>
      </c>
      <c r="U1933" s="2"/>
      <c r="V1933">
        <v>6266</v>
      </c>
      <c r="W1933" s="2">
        <v>6579000000</v>
      </c>
      <c r="X1933" s="6">
        <v>917083.44828000001</v>
      </c>
      <c r="Y1933" s="38">
        <v>10010</v>
      </c>
      <c r="Z1933" s="86">
        <f>+((DETALLE_GD_1[[#This Row],[VALOR X UN (GD)]]-DETALLE_GD_1[[#This Row],[VALOR PPTO]])/DETALLE_GD_1[[#This Row],[VALOR PPTO]])</f>
        <v>-6.3281569552436868E-3</v>
      </c>
      <c r="AA1933" s="2">
        <f>+DETALLE_GD_1[[#This Row],[VALOR PPTO]]*DETALLE_GD_1[[#This Row],[CANTIDAD RECIBIDA]]</f>
        <v>917083.44800000009</v>
      </c>
      <c r="AB1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33" s="3">
        <f>+DETALLE_GD_1[[#This Row],[CANTIDAD SOLICITADA]]-DETALLE_GD_1[[#This Row],[DEVOLUCIÓN]]</f>
        <v>40</v>
      </c>
      <c r="AD1933" s="38" t="str">
        <f>+_xlfn.XLOOKUP(DETALLE_GD_1[[#This Row],[CODIGO]],PRODUCTOS[CODIGO],PRODUCTOS[DESC CORTA],"",0)</f>
        <v>SIMPLISIMA</v>
      </c>
    </row>
    <row r="1934" spans="1:30" x14ac:dyDescent="0.25">
      <c r="A1934" s="1">
        <v>46174</v>
      </c>
      <c r="B1934" s="1">
        <v>46174</v>
      </c>
      <c r="C1934" s="81" t="s">
        <v>169</v>
      </c>
      <c r="D1934" s="38">
        <v>6</v>
      </c>
      <c r="E1934" s="81" t="s">
        <v>169</v>
      </c>
      <c r="F1934">
        <v>1808146</v>
      </c>
      <c r="G1934" s="81" t="s">
        <v>274</v>
      </c>
      <c r="H1934" s="81" t="s">
        <v>31</v>
      </c>
      <c r="I1934" s="3">
        <v>3</v>
      </c>
      <c r="J1934" s="3"/>
      <c r="K1934" s="26">
        <v>3</v>
      </c>
      <c r="L1934" s="2">
        <v>3318</v>
      </c>
      <c r="M1934" s="2">
        <v>9954</v>
      </c>
      <c r="N1934" s="2">
        <v>9954</v>
      </c>
      <c r="O1934" s="2">
        <v>3404</v>
      </c>
      <c r="P1934" s="2">
        <v>86</v>
      </c>
      <c r="Q1934" s="2">
        <v>258</v>
      </c>
      <c r="R1934" s="4">
        <v>2.5264394829612225E-2</v>
      </c>
      <c r="T1934">
        <v>317154</v>
      </c>
      <c r="U1934" s="2">
        <v>389993</v>
      </c>
      <c r="V1934">
        <v>6266</v>
      </c>
      <c r="W1934" s="2">
        <v>6579000000</v>
      </c>
      <c r="X1934" s="6">
        <v>10212</v>
      </c>
      <c r="Y1934" s="38">
        <v>10010</v>
      </c>
      <c r="Z1934" s="86">
        <f>+((DETALLE_GD_1[[#This Row],[VALOR X UN (GD)]]-DETALLE_GD_1[[#This Row],[VALOR PPTO]])/DETALLE_GD_1[[#This Row],[VALOR PPTO]])</f>
        <v>-2.5264394829612222E-2</v>
      </c>
      <c r="AA1934" s="2">
        <f>+DETALLE_GD_1[[#This Row],[VALOR PPTO]]*DETALLE_GD_1[[#This Row],[CANTIDAD RECIBIDA]]</f>
        <v>10212</v>
      </c>
      <c r="AB1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4" s="3">
        <f>+DETALLE_GD_1[[#This Row],[CANTIDAD SOLICITADA]]-DETALLE_GD_1[[#This Row],[DEVOLUCIÓN]]</f>
        <v>3</v>
      </c>
      <c r="AD1934" s="38" t="str">
        <f>+_xlfn.XLOOKUP(DETALLE_GD_1[[#This Row],[CODIGO]],PRODUCTOS[CODIGO],PRODUCTOS[DESC CORTA],"",0)</f>
        <v>NUEVA</v>
      </c>
    </row>
    <row r="1935" spans="1:30" x14ac:dyDescent="0.25">
      <c r="A1935" s="1">
        <v>46174</v>
      </c>
      <c r="B1935" s="1">
        <v>46174</v>
      </c>
      <c r="C1935" s="81" t="s">
        <v>169</v>
      </c>
      <c r="D1935" s="38">
        <v>6</v>
      </c>
      <c r="E1935" s="81" t="s">
        <v>169</v>
      </c>
      <c r="F1935">
        <v>1808148</v>
      </c>
      <c r="G1935" s="81" t="s">
        <v>276</v>
      </c>
      <c r="H1935" s="81" t="s">
        <v>31</v>
      </c>
      <c r="I1935" s="3">
        <v>3</v>
      </c>
      <c r="J1935" s="3"/>
      <c r="K1935" s="26">
        <v>3</v>
      </c>
      <c r="L1935" s="2">
        <v>1098.6667</v>
      </c>
      <c r="M1935" s="2">
        <v>3296</v>
      </c>
      <c r="N1935" s="2">
        <v>3296</v>
      </c>
      <c r="O1935" s="2">
        <v>1089</v>
      </c>
      <c r="P1935" s="2">
        <v>-9.6667000000000005</v>
      </c>
      <c r="Q1935" s="2">
        <v>-29</v>
      </c>
      <c r="R1935" s="4">
        <v>-8.8766452402816737E-3</v>
      </c>
      <c r="T1935">
        <v>317154</v>
      </c>
      <c r="U1935" s="2"/>
      <c r="V1935">
        <v>6266</v>
      </c>
      <c r="W1935" s="2">
        <v>6579000000</v>
      </c>
      <c r="X1935" s="6">
        <v>3267</v>
      </c>
      <c r="Y1935" s="38">
        <v>10010</v>
      </c>
      <c r="Z1935" s="86">
        <f>+((DETALLE_GD_1[[#This Row],[VALOR X UN (GD)]]-DETALLE_GD_1[[#This Row],[VALOR PPTO]])/DETALLE_GD_1[[#This Row],[VALOR PPTO]])</f>
        <v>8.8766758494031144E-3</v>
      </c>
      <c r="AA1935" s="2">
        <f>+DETALLE_GD_1[[#This Row],[VALOR PPTO]]*DETALLE_GD_1[[#This Row],[CANTIDAD RECIBIDA]]</f>
        <v>3267</v>
      </c>
      <c r="AB19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5" s="3">
        <f>+DETALLE_GD_1[[#This Row],[CANTIDAD SOLICITADA]]-DETALLE_GD_1[[#This Row],[DEVOLUCIÓN]]</f>
        <v>3</v>
      </c>
      <c r="AD1935" s="38" t="str">
        <f>+_xlfn.XLOOKUP(DETALLE_GD_1[[#This Row],[CODIGO]],PRODUCTOS[CODIGO],PRODUCTOS[DESC CORTA],"",0)</f>
        <v>SELLO INSTALACION WC</v>
      </c>
    </row>
    <row r="1936" spans="1:30" x14ac:dyDescent="0.25">
      <c r="A1936" s="1">
        <v>46174</v>
      </c>
      <c r="B1936" s="1">
        <v>46174</v>
      </c>
      <c r="C1936" s="81" t="s">
        <v>169</v>
      </c>
      <c r="D1936" s="38">
        <v>6</v>
      </c>
      <c r="E1936" s="81" t="s">
        <v>169</v>
      </c>
      <c r="F1936">
        <v>1808147</v>
      </c>
      <c r="G1936" s="81" t="s">
        <v>275</v>
      </c>
      <c r="H1936" s="81" t="s">
        <v>31</v>
      </c>
      <c r="I1936" s="3">
        <v>3</v>
      </c>
      <c r="J1936" s="3"/>
      <c r="K1936" s="26">
        <v>3</v>
      </c>
      <c r="L1936" s="2">
        <v>2216</v>
      </c>
      <c r="M1936" s="2">
        <v>6648</v>
      </c>
      <c r="N1936" s="2">
        <v>6648</v>
      </c>
      <c r="O1936" s="2">
        <v>2293</v>
      </c>
      <c r="P1936" s="2">
        <v>77</v>
      </c>
      <c r="Q1936" s="2">
        <v>231</v>
      </c>
      <c r="R1936" s="4">
        <v>3.3580462276493674E-2</v>
      </c>
      <c r="T1936">
        <v>317154</v>
      </c>
      <c r="U1936" s="2"/>
      <c r="V1936">
        <v>6266</v>
      </c>
      <c r="W1936" s="2">
        <v>6579000000</v>
      </c>
      <c r="X1936" s="6">
        <v>6879</v>
      </c>
      <c r="Y1936" s="38">
        <v>10010</v>
      </c>
      <c r="Z1936" s="86">
        <f>+((DETALLE_GD_1[[#This Row],[VALOR X UN (GD)]]-DETALLE_GD_1[[#This Row],[VALOR PPTO]])/DETALLE_GD_1[[#This Row],[VALOR PPTO]])</f>
        <v>-3.3580462276493674E-2</v>
      </c>
      <c r="AA1936" s="2">
        <f>+DETALLE_GD_1[[#This Row],[VALOR PPTO]]*DETALLE_GD_1[[#This Row],[CANTIDAD RECIBIDA]]</f>
        <v>6879</v>
      </c>
      <c r="AB1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6" s="3">
        <f>+DETALLE_GD_1[[#This Row],[CANTIDAD SOLICITADA]]-DETALLE_GD_1[[#This Row],[DEVOLUCIÓN]]</f>
        <v>3</v>
      </c>
      <c r="AD1936" s="38" t="str">
        <f>+_xlfn.XLOOKUP(DETALLE_GD_1[[#This Row],[CODIGO]],PRODUCTOS[CODIGO],PRODUCTOS[DESC CORTA],"",0)</f>
        <v>LLAVE ANGULAR 1/2X</v>
      </c>
    </row>
    <row r="1937" spans="1:30" x14ac:dyDescent="0.25">
      <c r="A1937" s="1">
        <v>46174</v>
      </c>
      <c r="B1937" s="1">
        <v>46174</v>
      </c>
      <c r="C1937" s="81" t="s">
        <v>169</v>
      </c>
      <c r="D1937" s="38">
        <v>6</v>
      </c>
      <c r="E1937" s="81" t="s">
        <v>169</v>
      </c>
      <c r="F1937">
        <v>1808145</v>
      </c>
      <c r="G1937" s="81" t="s">
        <v>273</v>
      </c>
      <c r="H1937" s="81" t="s">
        <v>31</v>
      </c>
      <c r="I1937" s="3">
        <v>3</v>
      </c>
      <c r="J1937" s="3"/>
      <c r="K1937" s="26">
        <v>3</v>
      </c>
      <c r="L1937" s="2">
        <v>16189.3333</v>
      </c>
      <c r="M1937" s="2">
        <v>48568</v>
      </c>
      <c r="N1937" s="2">
        <v>48568</v>
      </c>
      <c r="O1937" s="2">
        <v>17145</v>
      </c>
      <c r="P1937" s="2">
        <v>955.66669999999999</v>
      </c>
      <c r="Q1937" s="2">
        <v>2867</v>
      </c>
      <c r="R1937" s="4">
        <v>5.574025469038589E-2</v>
      </c>
      <c r="T1937">
        <v>317154</v>
      </c>
      <c r="U1937" s="2"/>
      <c r="V1937">
        <v>6266</v>
      </c>
      <c r="W1937" s="2">
        <v>6579000000</v>
      </c>
      <c r="X1937" s="6">
        <v>51435</v>
      </c>
      <c r="Y1937" s="38">
        <v>10010</v>
      </c>
      <c r="Z1937" s="86">
        <f>+((DETALLE_GD_1[[#This Row],[VALOR X UN (GD)]]-DETALLE_GD_1[[#This Row],[VALOR PPTO]])/DETALLE_GD_1[[#This Row],[VALOR PPTO]])</f>
        <v>-5.5740256634587329E-2</v>
      </c>
      <c r="AA1937" s="2">
        <f>+DETALLE_GD_1[[#This Row],[VALOR PPTO]]*DETALLE_GD_1[[#This Row],[CANTIDAD RECIBIDA]]</f>
        <v>51435</v>
      </c>
      <c r="AB1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7" s="3">
        <f>+DETALLE_GD_1[[#This Row],[CANTIDAD SOLICITADA]]-DETALLE_GD_1[[#This Row],[DEVOLUCIÓN]]</f>
        <v>3</v>
      </c>
      <c r="AD1937" s="38" t="str">
        <f>+_xlfn.XLOOKUP(DETALLE_GD_1[[#This Row],[CODIGO]],PRODUCTOS[CODIGO],PRODUCTOS[DESC CORTA],"",0)</f>
        <v>ESTANQUE WC AURA</v>
      </c>
    </row>
    <row r="1938" spans="1:30" x14ac:dyDescent="0.25">
      <c r="A1938" s="1">
        <v>46174</v>
      </c>
      <c r="B1938" s="1">
        <v>46174</v>
      </c>
      <c r="C1938" s="81" t="s">
        <v>169</v>
      </c>
      <c r="D1938" s="38">
        <v>6</v>
      </c>
      <c r="E1938" s="81" t="s">
        <v>169</v>
      </c>
      <c r="F1938">
        <v>1808144</v>
      </c>
      <c r="G1938" s="81" t="s">
        <v>272</v>
      </c>
      <c r="H1938" s="81" t="s">
        <v>31</v>
      </c>
      <c r="I1938" s="3">
        <v>3</v>
      </c>
      <c r="J1938" s="3"/>
      <c r="K1938" s="26">
        <v>3</v>
      </c>
      <c r="L1938" s="2">
        <v>23316.666700000002</v>
      </c>
      <c r="M1938" s="2">
        <v>69950</v>
      </c>
      <c r="N1938" s="2">
        <v>69950</v>
      </c>
      <c r="O1938" s="2">
        <v>23228</v>
      </c>
      <c r="P1938" s="2">
        <v>-88.666700000000006</v>
      </c>
      <c r="Q1938" s="2">
        <v>-266</v>
      </c>
      <c r="R1938" s="4">
        <v>-3.8172320762298894E-3</v>
      </c>
      <c r="T1938">
        <v>317154</v>
      </c>
      <c r="U1938" s="2"/>
      <c r="V1938">
        <v>6266</v>
      </c>
      <c r="W1938" s="2">
        <v>6579000000</v>
      </c>
      <c r="X1938" s="6">
        <v>69684</v>
      </c>
      <c r="Y1938" s="38">
        <v>10010</v>
      </c>
      <c r="Z1938" s="86">
        <f>+((DETALLE_GD_1[[#This Row],[VALOR X UN (GD)]]-DETALLE_GD_1[[#This Row],[VALOR PPTO]])/DETALLE_GD_1[[#This Row],[VALOR PPTO]])</f>
        <v>3.8172335112795584E-3</v>
      </c>
      <c r="AA1938" s="2">
        <f>+DETALLE_GD_1[[#This Row],[VALOR PPTO]]*DETALLE_GD_1[[#This Row],[CANTIDAD RECIBIDA]]</f>
        <v>69684</v>
      </c>
      <c r="AB1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8" s="3">
        <f>+DETALLE_GD_1[[#This Row],[CANTIDAD SOLICITADA]]-DETALLE_GD_1[[#This Row],[DEVOLUCIÓN]]</f>
        <v>3</v>
      </c>
      <c r="AD1938" s="38" t="str">
        <f>+_xlfn.XLOOKUP(DETALLE_GD_1[[#This Row],[CODIGO]],PRODUCTOS[CODIGO],PRODUCTOS[DESC CORTA],"",0)</f>
        <v>TAZA WC AURA</v>
      </c>
    </row>
    <row r="1939" spans="1:30" x14ac:dyDescent="0.25">
      <c r="A1939" s="1">
        <v>46174</v>
      </c>
      <c r="B1939" s="1">
        <v>46174</v>
      </c>
      <c r="C1939" s="81" t="s">
        <v>169</v>
      </c>
      <c r="D1939" s="38">
        <v>6</v>
      </c>
      <c r="E1939" s="81" t="s">
        <v>169</v>
      </c>
      <c r="F1939">
        <v>407795</v>
      </c>
      <c r="G1939" s="81" t="s">
        <v>325</v>
      </c>
      <c r="H1939" s="81" t="s">
        <v>31</v>
      </c>
      <c r="I1939" s="3">
        <v>3</v>
      </c>
      <c r="J1939" s="3"/>
      <c r="K1939" s="26">
        <v>3</v>
      </c>
      <c r="L1939" s="2">
        <v>1253.3333</v>
      </c>
      <c r="M1939" s="2">
        <v>3760</v>
      </c>
      <c r="N1939" s="2">
        <v>3760</v>
      </c>
      <c r="O1939" s="2">
        <v>1610.9336000000001</v>
      </c>
      <c r="P1939" s="2">
        <v>357.6003</v>
      </c>
      <c r="Q1939" s="2">
        <v>1072.8008</v>
      </c>
      <c r="R1939" s="4">
        <v>0.22198324899724872</v>
      </c>
      <c r="T1939">
        <v>317154</v>
      </c>
      <c r="U1939" s="2"/>
      <c r="V1939">
        <v>6266</v>
      </c>
      <c r="W1939" s="2">
        <v>6579000000</v>
      </c>
      <c r="X1939" s="6">
        <v>4832.8008300000001</v>
      </c>
      <c r="Y1939" s="38">
        <v>10010</v>
      </c>
      <c r="Z1939" s="86">
        <f>+((DETALLE_GD_1[[#This Row],[VALOR X UN (GD)]]-DETALLE_GD_1[[#This Row],[VALOR PPTO]])/DETALLE_GD_1[[#This Row],[VALOR PPTO]])</f>
        <v>-0.22198326485958209</v>
      </c>
      <c r="AA1939" s="2">
        <f>+DETALLE_GD_1[[#This Row],[VALOR PPTO]]*DETALLE_GD_1[[#This Row],[CANTIDAD RECIBIDA]]</f>
        <v>4832.8008</v>
      </c>
      <c r="AB1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9" s="3">
        <f>+DETALLE_GD_1[[#This Row],[CANTIDAD SOLICITADA]]-DETALLE_GD_1[[#This Row],[DEVOLUCIÓN]]</f>
        <v>3</v>
      </c>
      <c r="AD1939" s="38" t="str">
        <f>+_xlfn.XLOOKUP(DETALLE_GD_1[[#This Row],[CODIGO]],PRODUCTOS[CODIGO],PRODUCTOS[DESC CORTA],"",0)</f>
        <v>SET BALCON</v>
      </c>
    </row>
    <row r="1940" spans="1:30" x14ac:dyDescent="0.25">
      <c r="A1940" s="1">
        <v>46174</v>
      </c>
      <c r="B1940" s="1">
        <v>46174</v>
      </c>
      <c r="C1940" s="81" t="s">
        <v>169</v>
      </c>
      <c r="D1940" s="38">
        <v>6</v>
      </c>
      <c r="E1940" s="81" t="s">
        <v>169</v>
      </c>
      <c r="F1940">
        <v>2505426</v>
      </c>
      <c r="G1940" s="81" t="s">
        <v>711</v>
      </c>
      <c r="H1940" s="81" t="s">
        <v>31</v>
      </c>
      <c r="I1940" s="3">
        <v>3</v>
      </c>
      <c r="J1940" s="3"/>
      <c r="K1940" s="26">
        <v>3</v>
      </c>
      <c r="L1940" s="2">
        <v>1725.6667</v>
      </c>
      <c r="M1940" s="2">
        <v>5177</v>
      </c>
      <c r="N1940" s="2">
        <v>5177</v>
      </c>
      <c r="O1940" s="2">
        <v>1684</v>
      </c>
      <c r="P1940" s="2">
        <v>-41.666699999999999</v>
      </c>
      <c r="Q1940" s="2">
        <v>-125</v>
      </c>
      <c r="R1940" s="4">
        <v>-2.4742676167854361E-2</v>
      </c>
      <c r="T1940">
        <v>317154</v>
      </c>
      <c r="U1940" s="2"/>
      <c r="V1940">
        <v>6266</v>
      </c>
      <c r="W1940" s="2">
        <v>6579000000</v>
      </c>
      <c r="X1940" s="6">
        <v>5052</v>
      </c>
      <c r="Y1940" s="38">
        <v>10010</v>
      </c>
      <c r="Z1940" s="86">
        <f>+((DETALLE_GD_1[[#This Row],[VALOR X UN (GD)]]-DETALLE_GD_1[[#This Row],[VALOR PPTO]])/DETALLE_GD_1[[#This Row],[VALOR PPTO]])</f>
        <v>2.4742695961995246E-2</v>
      </c>
      <c r="AA1940" s="2">
        <f>+DETALLE_GD_1[[#This Row],[VALOR PPTO]]*DETALLE_GD_1[[#This Row],[CANTIDAD RECIBIDA]]</f>
        <v>5052</v>
      </c>
      <c r="AB1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0" s="3">
        <f>+DETALLE_GD_1[[#This Row],[CANTIDAD SOLICITADA]]-DETALLE_GD_1[[#This Row],[DEVOLUCIÓN]]</f>
        <v>3</v>
      </c>
      <c r="AD1940" s="38" t="str">
        <f>+_xlfn.XLOOKUP(DETALLE_GD_1[[#This Row],[CODIGO]],PRODUCTOS[CODIGO],PRODUCTOS[DESC CORTA],"",0)</f>
        <v/>
      </c>
    </row>
    <row r="1941" spans="1:30" x14ac:dyDescent="0.25">
      <c r="A1941" s="1">
        <v>46174</v>
      </c>
      <c r="B1941" s="1">
        <v>46174</v>
      </c>
      <c r="C1941" s="81" t="s">
        <v>169</v>
      </c>
      <c r="D1941" s="38">
        <v>6</v>
      </c>
      <c r="E1941" s="81" t="s">
        <v>169</v>
      </c>
      <c r="F1941">
        <v>1802176</v>
      </c>
      <c r="G1941" s="81" t="s">
        <v>196</v>
      </c>
      <c r="H1941" s="81" t="s">
        <v>31</v>
      </c>
      <c r="I1941" s="3">
        <v>3</v>
      </c>
      <c r="J1941" s="3"/>
      <c r="K1941" s="26">
        <v>3</v>
      </c>
      <c r="L1941" s="2">
        <v>2199</v>
      </c>
      <c r="M1941" s="2">
        <v>6597</v>
      </c>
      <c r="N1941" s="2">
        <v>6597</v>
      </c>
      <c r="O1941" s="2">
        <v>2199</v>
      </c>
      <c r="P1941" s="2">
        <v>0</v>
      </c>
      <c r="Q1941" s="2">
        <v>0</v>
      </c>
      <c r="R1941" s="4">
        <v>0</v>
      </c>
      <c r="T1941">
        <v>317154</v>
      </c>
      <c r="U1941" s="2"/>
      <c r="V1941">
        <v>6266</v>
      </c>
      <c r="W1941" s="2">
        <v>6579000000</v>
      </c>
      <c r="X1941" s="6">
        <v>6597</v>
      </c>
      <c r="Y1941" s="38">
        <v>10010</v>
      </c>
      <c r="Z1941" s="86">
        <f>+((DETALLE_GD_1[[#This Row],[VALOR X UN (GD)]]-DETALLE_GD_1[[#This Row],[VALOR PPTO]])/DETALLE_GD_1[[#This Row],[VALOR PPTO]])</f>
        <v>0</v>
      </c>
      <c r="AA1941" s="2">
        <f>+DETALLE_GD_1[[#This Row],[VALOR PPTO]]*DETALLE_GD_1[[#This Row],[CANTIDAD RECIBIDA]]</f>
        <v>6597</v>
      </c>
      <c r="AB1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1" s="3">
        <f>+DETALLE_GD_1[[#This Row],[CANTIDAD SOLICITADA]]-DETALLE_GD_1[[#This Row],[DEVOLUCIÓN]]</f>
        <v>3</v>
      </c>
      <c r="AD1941" s="38">
        <f>+_xlfn.XLOOKUP(DETALLE_GD_1[[#This Row],[CODIGO]],PRODUCTOS[CODIGO],PRODUCTOS[DESC CORTA],"",0)</f>
        <v>0</v>
      </c>
    </row>
    <row r="1942" spans="1:30" x14ac:dyDescent="0.25">
      <c r="A1942" s="1">
        <v>46174</v>
      </c>
      <c r="B1942" s="1">
        <v>46174</v>
      </c>
      <c r="C1942" s="81" t="s">
        <v>169</v>
      </c>
      <c r="D1942" s="38">
        <v>6</v>
      </c>
      <c r="E1942" s="81" t="s">
        <v>169</v>
      </c>
      <c r="F1942">
        <v>1802165</v>
      </c>
      <c r="G1942" s="81" t="s">
        <v>261</v>
      </c>
      <c r="H1942" s="81" t="s">
        <v>31</v>
      </c>
      <c r="I1942" s="3">
        <v>3</v>
      </c>
      <c r="J1942" s="3"/>
      <c r="K1942" s="26">
        <v>3</v>
      </c>
      <c r="L1942" s="2">
        <v>9122</v>
      </c>
      <c r="M1942" s="2">
        <v>27366</v>
      </c>
      <c r="N1942" s="2">
        <v>27366</v>
      </c>
      <c r="O1942" s="2">
        <v>9122</v>
      </c>
      <c r="P1942" s="2">
        <v>0</v>
      </c>
      <c r="Q1942" s="2">
        <v>0</v>
      </c>
      <c r="R1942" s="4">
        <v>0</v>
      </c>
      <c r="T1942">
        <v>317154</v>
      </c>
      <c r="U1942" s="2"/>
      <c r="V1942">
        <v>6266</v>
      </c>
      <c r="W1942" s="2">
        <v>6579000000</v>
      </c>
      <c r="X1942" s="6">
        <v>27366</v>
      </c>
      <c r="Y1942" s="38">
        <v>10010</v>
      </c>
      <c r="Z1942" s="86">
        <f>+((DETALLE_GD_1[[#This Row],[VALOR X UN (GD)]]-DETALLE_GD_1[[#This Row],[VALOR PPTO]])/DETALLE_GD_1[[#This Row],[VALOR PPTO]])</f>
        <v>0</v>
      </c>
      <c r="AA1942" s="2">
        <f>+DETALLE_GD_1[[#This Row],[VALOR PPTO]]*DETALLE_GD_1[[#This Row],[CANTIDAD RECIBIDA]]</f>
        <v>27366</v>
      </c>
      <c r="AB1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2" s="3">
        <f>+DETALLE_GD_1[[#This Row],[CANTIDAD SOLICITADA]]-DETALLE_GD_1[[#This Row],[DEVOLUCIÓN]]</f>
        <v>3</v>
      </c>
      <c r="AD1942" s="38" t="str">
        <f>+_xlfn.XLOOKUP(DETALLE_GD_1[[#This Row],[CODIGO]],PRODUCTOS[CODIGO],PRODUCTOS[DESC CORTA],"",0)</f>
        <v>NEW TS2024019)</v>
      </c>
    </row>
    <row r="1943" spans="1:30" x14ac:dyDescent="0.25">
      <c r="A1943" s="1">
        <v>46174</v>
      </c>
      <c r="B1943" s="1">
        <v>46174</v>
      </c>
      <c r="C1943" s="81" t="s">
        <v>169</v>
      </c>
      <c r="D1943" s="38">
        <v>6</v>
      </c>
      <c r="E1943" s="81" t="s">
        <v>169</v>
      </c>
      <c r="F1943">
        <v>1801154</v>
      </c>
      <c r="G1943" s="81" t="s">
        <v>99</v>
      </c>
      <c r="H1943" s="81" t="s">
        <v>31</v>
      </c>
      <c r="I1943" s="3">
        <v>3</v>
      </c>
      <c r="J1943" s="3"/>
      <c r="K1943" s="26">
        <v>3</v>
      </c>
      <c r="L1943" s="2">
        <v>1229.6667</v>
      </c>
      <c r="M1943" s="2">
        <v>3689</v>
      </c>
      <c r="N1943" s="2">
        <v>3689</v>
      </c>
      <c r="O1943" s="2">
        <v>32738.5</v>
      </c>
      <c r="P1943" s="2">
        <v>31508.833299999998</v>
      </c>
      <c r="Q1943" s="2">
        <v>94526.5</v>
      </c>
      <c r="R1943" s="4">
        <v>0.96243973710870478</v>
      </c>
      <c r="T1943">
        <v>317154</v>
      </c>
      <c r="U1943" s="2"/>
      <c r="V1943">
        <v>6266</v>
      </c>
      <c r="W1943" s="2">
        <v>6579000000</v>
      </c>
      <c r="X1943" s="6">
        <v>98215.5</v>
      </c>
      <c r="Y1943" s="38">
        <v>10010</v>
      </c>
      <c r="Z1943" s="86">
        <f>+((DETALLE_GD_1[[#This Row],[VALOR X UN (GD)]]-DETALLE_GD_1[[#This Row],[VALOR PPTO]])/DETALLE_GD_1[[#This Row],[VALOR PPTO]])</f>
        <v>-0.96243973609053557</v>
      </c>
      <c r="AA1943" s="2">
        <f>+DETALLE_GD_1[[#This Row],[VALOR PPTO]]*DETALLE_GD_1[[#This Row],[CANTIDAD RECIBIDA]]</f>
        <v>98215.5</v>
      </c>
      <c r="AB1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3" s="3">
        <f>+DETALLE_GD_1[[#This Row],[CANTIDAD SOLICITADA]]-DETALLE_GD_1[[#This Row],[DEVOLUCIÓN]]</f>
        <v>3</v>
      </c>
      <c r="AD1943" s="38" t="str">
        <f>+_xlfn.XLOOKUP(DETALLE_GD_1[[#This Row],[CODIGO]],PRODUCTOS[CODIGO],PRODUCTOS[DESC CORTA],"",0)</f>
        <v>WC</v>
      </c>
    </row>
    <row r="1944" spans="1:30" x14ac:dyDescent="0.25">
      <c r="A1944" s="1">
        <v>46174</v>
      </c>
      <c r="B1944" s="1">
        <v>46174</v>
      </c>
      <c r="C1944" s="81" t="s">
        <v>169</v>
      </c>
      <c r="D1944" s="38">
        <v>6</v>
      </c>
      <c r="E1944" s="81" t="s">
        <v>169</v>
      </c>
      <c r="F1944">
        <v>1802175</v>
      </c>
      <c r="G1944" s="81" t="s">
        <v>269</v>
      </c>
      <c r="H1944" s="81" t="s">
        <v>31</v>
      </c>
      <c r="I1944" s="3">
        <v>3</v>
      </c>
      <c r="J1944" s="3"/>
      <c r="K1944" s="26">
        <v>3</v>
      </c>
      <c r="L1944" s="2">
        <v>1079</v>
      </c>
      <c r="M1944" s="2">
        <v>3237</v>
      </c>
      <c r="N1944" s="2">
        <v>3237</v>
      </c>
      <c r="O1944" s="2">
        <v>1079</v>
      </c>
      <c r="P1944" s="2">
        <v>0</v>
      </c>
      <c r="Q1944" s="2">
        <v>0</v>
      </c>
      <c r="R1944" s="4">
        <v>0</v>
      </c>
      <c r="T1944">
        <v>317154</v>
      </c>
      <c r="U1944" s="2"/>
      <c r="V1944">
        <v>6266</v>
      </c>
      <c r="W1944" s="2">
        <v>6579000000</v>
      </c>
      <c r="X1944" s="6">
        <v>3237</v>
      </c>
      <c r="Y1944" s="38">
        <v>10010</v>
      </c>
      <c r="Z1944" s="86">
        <f>+((DETALLE_GD_1[[#This Row],[VALOR X UN (GD)]]-DETALLE_GD_1[[#This Row],[VALOR PPTO]])/DETALLE_GD_1[[#This Row],[VALOR PPTO]])</f>
        <v>0</v>
      </c>
      <c r="AA1944" s="2">
        <f>+DETALLE_GD_1[[#This Row],[VALOR PPTO]]*DETALLE_GD_1[[#This Row],[CANTIDAD RECIBIDA]]</f>
        <v>3237</v>
      </c>
      <c r="AB19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4" s="3">
        <f>+DETALLE_GD_1[[#This Row],[CANTIDAD SOLICITADA]]-DETALLE_GD_1[[#This Row],[DEVOLUCIÓN]]</f>
        <v>3</v>
      </c>
      <c r="AD1944" s="38" t="str">
        <f>+_xlfn.XLOOKUP(DETALLE_GD_1[[#This Row],[CODIGO]],PRODUCTOS[CODIGO],PRODUCTOS[DESC CORTA],"",0)</f>
        <v>UÑETAS INSTLACION LAVAMANOS</v>
      </c>
    </row>
    <row r="1945" spans="1:30" x14ac:dyDescent="0.25">
      <c r="A1945" s="1">
        <v>46174</v>
      </c>
      <c r="B1945" s="1">
        <v>46174</v>
      </c>
      <c r="C1945" s="81" t="s">
        <v>169</v>
      </c>
      <c r="D1945" s="38">
        <v>6</v>
      </c>
      <c r="E1945" s="81" t="s">
        <v>169</v>
      </c>
      <c r="F1945">
        <v>1802174</v>
      </c>
      <c r="G1945" s="81" t="s">
        <v>268</v>
      </c>
      <c r="H1945" s="81" t="s">
        <v>31</v>
      </c>
      <c r="I1945" s="3">
        <v>3</v>
      </c>
      <c r="J1945" s="3"/>
      <c r="K1945" s="26">
        <v>3</v>
      </c>
      <c r="L1945" s="2">
        <v>7701.6666999999998</v>
      </c>
      <c r="M1945" s="2">
        <v>23105</v>
      </c>
      <c r="N1945" s="2">
        <v>23105</v>
      </c>
      <c r="O1945" s="2">
        <v>7709</v>
      </c>
      <c r="P1945" s="2">
        <v>7.3333000000000004</v>
      </c>
      <c r="Q1945" s="2">
        <v>22</v>
      </c>
      <c r="R1945" s="4">
        <v>9.5126907943092877E-4</v>
      </c>
      <c r="T1945">
        <v>317154</v>
      </c>
      <c r="U1945" s="2"/>
      <c r="V1945">
        <v>6266</v>
      </c>
      <c r="W1945" s="2">
        <v>6579000000</v>
      </c>
      <c r="X1945" s="6">
        <v>23127</v>
      </c>
      <c r="Y1945" s="38">
        <v>10010</v>
      </c>
      <c r="Z1945" s="86">
        <f>+((DETALLE_GD_1[[#This Row],[VALOR X UN (GD)]]-DETALLE_GD_1[[#This Row],[VALOR PPTO]])/DETALLE_GD_1[[#This Row],[VALOR PPTO]])</f>
        <v>-9.5126475548063763E-4</v>
      </c>
      <c r="AA1945" s="2">
        <f>+DETALLE_GD_1[[#This Row],[VALOR PPTO]]*DETALLE_GD_1[[#This Row],[CANTIDAD RECIBIDA]]</f>
        <v>23127</v>
      </c>
      <c r="AB1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5" s="3">
        <f>+DETALLE_GD_1[[#This Row],[CANTIDAD SOLICITADA]]-DETALLE_GD_1[[#This Row],[DEVOLUCIÓN]]</f>
        <v>3</v>
      </c>
      <c r="AD1945" s="38" t="str">
        <f>+_xlfn.XLOOKUP(DETALLE_GD_1[[#This Row],[CODIGO]],PRODUCTOS[CODIGO],PRODUCTOS[DESC CORTA],"",0)</f>
        <v>PEDESTAL DS THEOS</v>
      </c>
    </row>
    <row r="1946" spans="1:30" x14ac:dyDescent="0.25">
      <c r="A1946" s="1">
        <v>46174</v>
      </c>
      <c r="B1946" s="1">
        <v>46174</v>
      </c>
      <c r="C1946" s="81" t="s">
        <v>169</v>
      </c>
      <c r="D1946" s="38">
        <v>6</v>
      </c>
      <c r="E1946" s="81" t="s">
        <v>169</v>
      </c>
      <c r="F1946">
        <v>1802173</v>
      </c>
      <c r="G1946" s="81" t="s">
        <v>267</v>
      </c>
      <c r="H1946" s="81" t="s">
        <v>31</v>
      </c>
      <c r="I1946" s="3">
        <v>3</v>
      </c>
      <c r="J1946" s="3"/>
      <c r="K1946" s="26">
        <v>3</v>
      </c>
      <c r="L1946" s="2">
        <v>11984.6667</v>
      </c>
      <c r="M1946" s="2">
        <v>35954</v>
      </c>
      <c r="N1946" s="2">
        <v>35954</v>
      </c>
      <c r="O1946" s="2">
        <v>11996</v>
      </c>
      <c r="P1946" s="2">
        <v>11.333299999999999</v>
      </c>
      <c r="Q1946" s="2">
        <v>34</v>
      </c>
      <c r="R1946" s="4">
        <v>9.4475936423257247E-4</v>
      </c>
      <c r="T1946">
        <v>317154</v>
      </c>
      <c r="U1946" s="2"/>
      <c r="V1946">
        <v>6266</v>
      </c>
      <c r="W1946" s="2">
        <v>6579000000</v>
      </c>
      <c r="X1946" s="6">
        <v>35988</v>
      </c>
      <c r="Y1946" s="38">
        <v>10010</v>
      </c>
      <c r="Z1946" s="86">
        <f>+((DETALLE_GD_1[[#This Row],[VALOR X UN (GD)]]-DETALLE_GD_1[[#This Row],[VALOR PPTO]])/DETALLE_GD_1[[#This Row],[VALOR PPTO]])</f>
        <v>-9.4475658552852914E-4</v>
      </c>
      <c r="AA1946" s="2">
        <f>+DETALLE_GD_1[[#This Row],[VALOR PPTO]]*DETALLE_GD_1[[#This Row],[CANTIDAD RECIBIDA]]</f>
        <v>35988</v>
      </c>
      <c r="AB1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6" s="3">
        <f>+DETALLE_GD_1[[#This Row],[CANTIDAD SOLICITADA]]-DETALLE_GD_1[[#This Row],[DEVOLUCIÓN]]</f>
        <v>3</v>
      </c>
      <c r="AD1946" s="38" t="str">
        <f>+_xlfn.XLOOKUP(DETALLE_GD_1[[#This Row],[CODIGO]],PRODUCTOS[CODIGO],PRODUCTOS[DESC CORTA],"",0)</f>
        <v>LAVAMANOS DS THEOS</v>
      </c>
    </row>
    <row r="1947" spans="1:30" x14ac:dyDescent="0.25">
      <c r="A1947" s="1">
        <v>46174</v>
      </c>
      <c r="B1947" s="1">
        <v>46174</v>
      </c>
      <c r="C1947" s="81" t="s">
        <v>169</v>
      </c>
      <c r="D1947" s="38">
        <v>6</v>
      </c>
      <c r="E1947" s="81" t="s">
        <v>169</v>
      </c>
      <c r="F1947">
        <v>5316484</v>
      </c>
      <c r="G1947" s="81" t="s">
        <v>96</v>
      </c>
      <c r="H1947" s="81" t="s">
        <v>31</v>
      </c>
      <c r="I1947" s="3">
        <v>6</v>
      </c>
      <c r="J1947" s="3"/>
      <c r="K1947" s="26">
        <v>6</v>
      </c>
      <c r="L1947" s="2">
        <v>4283.5</v>
      </c>
      <c r="M1947" s="2">
        <v>25701</v>
      </c>
      <c r="N1947" s="2">
        <v>25701</v>
      </c>
      <c r="O1947" s="2">
        <v>4372.7272999999996</v>
      </c>
      <c r="P1947" s="2">
        <v>89.2273</v>
      </c>
      <c r="Q1947" s="2">
        <v>535.36360000000002</v>
      </c>
      <c r="R1947" s="4">
        <v>2.0405405466502876E-2</v>
      </c>
      <c r="T1947">
        <v>317154</v>
      </c>
      <c r="U1947" s="2"/>
      <c r="V1947">
        <v>6266</v>
      </c>
      <c r="W1947" s="2">
        <v>6579000000</v>
      </c>
      <c r="X1947" s="6">
        <v>26236.363638000003</v>
      </c>
      <c r="Y1947" s="38">
        <v>10010</v>
      </c>
      <c r="Z1947" s="86">
        <f>+((DETALLE_GD_1[[#This Row],[VALOR X UN (GD)]]-DETALLE_GD_1[[#This Row],[VALOR PPTO]])/DETALLE_GD_1[[#This Row],[VALOR PPTO]])</f>
        <v>-2.0405411515142864E-2</v>
      </c>
      <c r="AA1947" s="2">
        <f>+DETALLE_GD_1[[#This Row],[VALOR PPTO]]*DETALLE_GD_1[[#This Row],[CANTIDAD RECIBIDA]]</f>
        <v>26236.363799999999</v>
      </c>
      <c r="AB1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7" s="3">
        <f>+DETALLE_GD_1[[#This Row],[CANTIDAD SOLICITADA]]-DETALLE_GD_1[[#This Row],[DEVOLUCIÓN]]</f>
        <v>6</v>
      </c>
      <c r="AD1947" s="38" t="str">
        <f>+_xlfn.XLOOKUP(DETALLE_GD_1[[#This Row],[CODIGO]],PRODUCTOS[CODIGO],PRODUCTOS[DESC CORTA],"",0)</f>
        <v>LLAVE DE BOLA AC</v>
      </c>
    </row>
    <row r="1948" spans="1:30" x14ac:dyDescent="0.25">
      <c r="A1948" s="1">
        <v>46174</v>
      </c>
      <c r="B1948" s="1">
        <v>46174</v>
      </c>
      <c r="C1948" s="81" t="s">
        <v>169</v>
      </c>
      <c r="D1948" s="38">
        <v>6</v>
      </c>
      <c r="E1948" s="81" t="s">
        <v>169</v>
      </c>
      <c r="F1948">
        <v>5316483</v>
      </c>
      <c r="G1948" s="81" t="s">
        <v>97</v>
      </c>
      <c r="H1948" s="81" t="s">
        <v>31</v>
      </c>
      <c r="I1948" s="3">
        <v>6</v>
      </c>
      <c r="J1948" s="3"/>
      <c r="K1948" s="26">
        <v>6</v>
      </c>
      <c r="L1948" s="2">
        <v>2984.1667000000002</v>
      </c>
      <c r="M1948" s="2">
        <v>17905</v>
      </c>
      <c r="N1948" s="2">
        <v>17905</v>
      </c>
      <c r="O1948" s="2">
        <v>3237.6071000000002</v>
      </c>
      <c r="P1948" s="2">
        <v>253.44049999999999</v>
      </c>
      <c r="Q1948" s="2">
        <v>1520.6429000000001</v>
      </c>
      <c r="R1948" s="4">
        <v>7.8280181979859698E-2</v>
      </c>
      <c r="T1948">
        <v>317154</v>
      </c>
      <c r="U1948" s="2"/>
      <c r="V1948">
        <v>6266</v>
      </c>
      <c r="W1948" s="2">
        <v>6579000000</v>
      </c>
      <c r="X1948" s="6">
        <v>19425.642857999999</v>
      </c>
      <c r="Y1948" s="38">
        <v>10010</v>
      </c>
      <c r="Z1948" s="86">
        <f>+((DETALLE_GD_1[[#This Row],[VALOR X UN (GD)]]-DETALLE_GD_1[[#This Row],[VALOR PPTO]])/DETALLE_GD_1[[#This Row],[VALOR PPTO]])</f>
        <v>-7.8280159442447456E-2</v>
      </c>
      <c r="AA1948" s="2">
        <f>+DETALLE_GD_1[[#This Row],[VALOR PPTO]]*DETALLE_GD_1[[#This Row],[CANTIDAD RECIBIDA]]</f>
        <v>19425.642599999999</v>
      </c>
      <c r="AB1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8" s="3">
        <f>+DETALLE_GD_1[[#This Row],[CANTIDAD SOLICITADA]]-DETALLE_GD_1[[#This Row],[DEVOLUCIÓN]]</f>
        <v>6</v>
      </c>
      <c r="AD1948" s="38" t="str">
        <f>+_xlfn.XLOOKUP(DETALLE_GD_1[[#This Row],[CODIGO]],PRODUCTOS[CODIGO],PRODUCTOS[DESC CORTA],"",0)</f>
        <v>LLAVE DE BOLA AF</v>
      </c>
    </row>
    <row r="1949" spans="1:30" x14ac:dyDescent="0.25">
      <c r="A1949" s="1">
        <v>46174</v>
      </c>
      <c r="B1949" s="1">
        <v>46174</v>
      </c>
      <c r="C1949" s="81" t="s">
        <v>169</v>
      </c>
      <c r="D1949" s="38">
        <v>6</v>
      </c>
      <c r="E1949" s="81" t="s">
        <v>169</v>
      </c>
      <c r="F1949">
        <v>1802170</v>
      </c>
      <c r="G1949" s="81" t="s">
        <v>264</v>
      </c>
      <c r="H1949" s="81" t="s">
        <v>31</v>
      </c>
      <c r="I1949" s="3">
        <v>3</v>
      </c>
      <c r="J1949" s="3"/>
      <c r="K1949" s="26">
        <v>3</v>
      </c>
      <c r="L1949" s="2">
        <v>2043</v>
      </c>
      <c r="M1949" s="2">
        <v>6129</v>
      </c>
      <c r="N1949" s="2">
        <v>6129</v>
      </c>
      <c r="O1949" s="2">
        <v>2043</v>
      </c>
      <c r="P1949" s="2">
        <v>0</v>
      </c>
      <c r="Q1949" s="2">
        <v>0</v>
      </c>
      <c r="R1949" s="4">
        <v>0</v>
      </c>
      <c r="T1949">
        <v>317154</v>
      </c>
      <c r="U1949" s="2"/>
      <c r="V1949">
        <v>6266</v>
      </c>
      <c r="W1949" s="2">
        <v>6579000000</v>
      </c>
      <c r="X1949" s="6">
        <v>6129</v>
      </c>
      <c r="Y1949" s="38">
        <v>10010</v>
      </c>
      <c r="Z1949" s="86">
        <f>+((DETALLE_GD_1[[#This Row],[VALOR X UN (GD)]]-DETALLE_GD_1[[#This Row],[VALOR PPTO]])/DETALLE_GD_1[[#This Row],[VALOR PPTO]])</f>
        <v>0</v>
      </c>
      <c r="AA1949" s="2">
        <f>+DETALLE_GD_1[[#This Row],[VALOR PPTO]]*DETALLE_GD_1[[#This Row],[CANTIDAD RECIBIDA]]</f>
        <v>6129</v>
      </c>
      <c r="AB1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9" s="3">
        <f>+DETALLE_GD_1[[#This Row],[CANTIDAD SOLICITADA]]-DETALLE_GD_1[[#This Row],[DEVOLUCIÓN]]</f>
        <v>3</v>
      </c>
      <c r="AD1949" s="38">
        <f>+_xlfn.XLOOKUP(DETALLE_GD_1[[#This Row],[CODIGO]],PRODUCTOS[CODIGO],PRODUCTOS[DESC CORTA],"",0)</f>
        <v>0</v>
      </c>
    </row>
    <row r="1950" spans="1:30" x14ac:dyDescent="0.25">
      <c r="A1950" s="1">
        <v>46174</v>
      </c>
      <c r="B1950" s="1">
        <v>46174</v>
      </c>
      <c r="C1950" s="81" t="s">
        <v>169</v>
      </c>
      <c r="D1950" s="38">
        <v>6</v>
      </c>
      <c r="E1950" s="81" t="s">
        <v>169</v>
      </c>
      <c r="F1950">
        <v>1802169</v>
      </c>
      <c r="G1950" s="81" t="s">
        <v>263</v>
      </c>
      <c r="H1950" s="81" t="s">
        <v>31</v>
      </c>
      <c r="I1950" s="3">
        <v>3</v>
      </c>
      <c r="J1950" s="3"/>
      <c r="K1950" s="26">
        <v>3</v>
      </c>
      <c r="L1950" s="2">
        <v>10730</v>
      </c>
      <c r="M1950" s="2">
        <v>32190</v>
      </c>
      <c r="N1950" s="2">
        <v>32190</v>
      </c>
      <c r="O1950" s="2">
        <v>10741</v>
      </c>
      <c r="P1950" s="2">
        <v>11</v>
      </c>
      <c r="Q1950" s="2">
        <v>33</v>
      </c>
      <c r="R1950" s="4">
        <v>1.0241132110604227E-3</v>
      </c>
      <c r="T1950">
        <v>317154</v>
      </c>
      <c r="U1950" s="2"/>
      <c r="V1950">
        <v>6266</v>
      </c>
      <c r="W1950" s="2">
        <v>6579000000</v>
      </c>
      <c r="X1950" s="6">
        <v>32223</v>
      </c>
      <c r="Y1950" s="38">
        <v>10010</v>
      </c>
      <c r="Z1950" s="86">
        <f>+((DETALLE_GD_1[[#This Row],[VALOR X UN (GD)]]-DETALLE_GD_1[[#This Row],[VALOR PPTO]])/DETALLE_GD_1[[#This Row],[VALOR PPTO]])</f>
        <v>-1.0241132110604227E-3</v>
      </c>
      <c r="AA1950" s="2">
        <f>+DETALLE_GD_1[[#This Row],[VALOR PPTO]]*DETALLE_GD_1[[#This Row],[CANTIDAD RECIBIDA]]</f>
        <v>32223</v>
      </c>
      <c r="AB1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0" s="3">
        <f>+DETALLE_GD_1[[#This Row],[CANTIDAD SOLICITADA]]-DETALLE_GD_1[[#This Row],[DEVOLUCIÓN]]</f>
        <v>3</v>
      </c>
      <c r="AD1950" s="38" t="str">
        <f>+_xlfn.XLOOKUP(DETALLE_GD_1[[#This Row],[CODIGO]],PRODUCTOS[CODIGO],PRODUCTOS[DESC CORTA],"",0)</f>
        <v>LAVARROPA PLATICO DS</v>
      </c>
    </row>
    <row r="1951" spans="1:30" x14ac:dyDescent="0.25">
      <c r="A1951" s="1">
        <v>46174</v>
      </c>
      <c r="B1951" s="1">
        <v>46174</v>
      </c>
      <c r="C1951" s="81" t="s">
        <v>169</v>
      </c>
      <c r="D1951" s="38">
        <v>6</v>
      </c>
      <c r="E1951" s="81" t="s">
        <v>169</v>
      </c>
      <c r="F1951">
        <v>1802167</v>
      </c>
      <c r="G1951" s="81" t="s">
        <v>262</v>
      </c>
      <c r="H1951" s="81" t="s">
        <v>31</v>
      </c>
      <c r="I1951" s="3">
        <v>3</v>
      </c>
      <c r="J1951" s="3"/>
      <c r="K1951" s="26">
        <v>3</v>
      </c>
      <c r="L1951" s="2">
        <v>14972</v>
      </c>
      <c r="M1951" s="2">
        <v>44916</v>
      </c>
      <c r="N1951" s="2">
        <v>44916</v>
      </c>
      <c r="O1951" s="2">
        <v>14972</v>
      </c>
      <c r="P1951" s="2">
        <v>0</v>
      </c>
      <c r="Q1951" s="2">
        <v>0</v>
      </c>
      <c r="R1951" s="4">
        <v>0</v>
      </c>
      <c r="T1951">
        <v>317154</v>
      </c>
      <c r="U1951" s="2"/>
      <c r="V1951">
        <v>6266</v>
      </c>
      <c r="W1951" s="2">
        <v>6579000000</v>
      </c>
      <c r="X1951" s="6">
        <v>44916</v>
      </c>
      <c r="Y1951" s="38">
        <v>10010</v>
      </c>
      <c r="Z1951" s="86">
        <f>+((DETALLE_GD_1[[#This Row],[VALOR X UN (GD)]]-DETALLE_GD_1[[#This Row],[VALOR PPTO]])/DETALLE_GD_1[[#This Row],[VALOR PPTO]])</f>
        <v>0</v>
      </c>
      <c r="AA1951" s="2">
        <f>+DETALLE_GD_1[[#This Row],[VALOR PPTO]]*DETALLE_GD_1[[#This Row],[CANTIDAD RECIBIDA]]</f>
        <v>44916</v>
      </c>
      <c r="AB1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1" s="3">
        <f>+DETALLE_GD_1[[#This Row],[CANTIDAD SOLICITADA]]-DETALLE_GD_1[[#This Row],[DEVOLUCIÓN]]</f>
        <v>3</v>
      </c>
      <c r="AD1951" s="38" t="str">
        <f>+_xlfn.XLOOKUP(DETALLE_GD_1[[#This Row],[CODIGO]],PRODUCTOS[CODIGO],PRODUCTOS[DESC CORTA],"",0)</f>
        <v>NEW DUCHA SIMPLE, SOPORTE Y FLEXIBLE 1.5M 8LPM, ESTIU (TS2024020)</v>
      </c>
    </row>
    <row r="1952" spans="1:30" x14ac:dyDescent="0.25">
      <c r="A1952" s="1">
        <v>46174</v>
      </c>
      <c r="B1952" s="1">
        <v>46174</v>
      </c>
      <c r="C1952" s="81" t="s">
        <v>169</v>
      </c>
      <c r="D1952" s="38">
        <v>6</v>
      </c>
      <c r="E1952" s="81" t="s">
        <v>169</v>
      </c>
      <c r="F1952">
        <v>1801229</v>
      </c>
      <c r="G1952" s="81" t="s">
        <v>259</v>
      </c>
      <c r="H1952" s="81" t="s">
        <v>31</v>
      </c>
      <c r="I1952" s="3">
        <v>3</v>
      </c>
      <c r="J1952" s="3"/>
      <c r="K1952" s="26">
        <v>3</v>
      </c>
      <c r="L1952" s="2">
        <v>5283.6666999999998</v>
      </c>
      <c r="M1952" s="2">
        <v>15851</v>
      </c>
      <c r="N1952" s="2">
        <v>15851</v>
      </c>
      <c r="O1952" s="2">
        <v>4675.5185000000001</v>
      </c>
      <c r="P1952" s="2">
        <v>-608.1481</v>
      </c>
      <c r="Q1952" s="2">
        <v>-1824.4444000000001</v>
      </c>
      <c r="R1952" s="4">
        <v>-0.13007073872027727</v>
      </c>
      <c r="T1952">
        <v>317154</v>
      </c>
      <c r="U1952" s="2"/>
      <c r="V1952">
        <v>6266</v>
      </c>
      <c r="W1952" s="2">
        <v>6579000000</v>
      </c>
      <c r="X1952" s="6">
        <v>14026.555557</v>
      </c>
      <c r="Y1952" s="38">
        <v>10010</v>
      </c>
      <c r="Z1952" s="86">
        <f>+((DETALLE_GD_1[[#This Row],[VALOR X UN (GD)]]-DETALLE_GD_1[[#This Row],[VALOR PPTO]])/DETALLE_GD_1[[#This Row],[VALOR PPTO]])</f>
        <v>0.13007075044190278</v>
      </c>
      <c r="AA1952" s="2">
        <f>+DETALLE_GD_1[[#This Row],[VALOR PPTO]]*DETALLE_GD_1[[#This Row],[CANTIDAD RECIBIDA]]</f>
        <v>14026.5555</v>
      </c>
      <c r="AB1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2" s="3">
        <f>+DETALLE_GD_1[[#This Row],[CANTIDAD SOLICITADA]]-DETALLE_GD_1[[#This Row],[DEVOLUCIÓN]]</f>
        <v>3</v>
      </c>
      <c r="AD1952" s="38" t="str">
        <f>+_xlfn.XLOOKUP(DETALLE_GD_1[[#This Row],[CODIGO]],PRODUCTOS[CODIGO],PRODUCTOS[DESC CORTA],"",0)</f>
        <v>KIT DESAGUE TINA</v>
      </c>
    </row>
    <row r="1953" spans="1:30" x14ac:dyDescent="0.25">
      <c r="A1953" s="1">
        <v>46174</v>
      </c>
      <c r="B1953" s="1">
        <v>46174</v>
      </c>
      <c r="C1953" s="81" t="s">
        <v>169</v>
      </c>
      <c r="D1953" s="38">
        <v>6</v>
      </c>
      <c r="E1953" s="81" t="s">
        <v>169</v>
      </c>
      <c r="F1953">
        <v>704046</v>
      </c>
      <c r="G1953" s="81" t="s">
        <v>255</v>
      </c>
      <c r="H1953" s="81" t="s">
        <v>47</v>
      </c>
      <c r="I1953" s="3">
        <v>16</v>
      </c>
      <c r="J1953" s="3"/>
      <c r="K1953" s="26">
        <v>16</v>
      </c>
      <c r="L1953" s="2">
        <v>9034.0625</v>
      </c>
      <c r="M1953" s="2">
        <v>144545</v>
      </c>
      <c r="N1953" s="2">
        <v>144545</v>
      </c>
      <c r="O1953" s="2">
        <v>9076.0622000000003</v>
      </c>
      <c r="P1953" s="2">
        <v>41.999699999999997</v>
      </c>
      <c r="Q1953" s="2">
        <v>671.99519999999995</v>
      </c>
      <c r="R1953" s="4">
        <v>4.6275241496123365E-3</v>
      </c>
      <c r="T1953">
        <v>317224</v>
      </c>
      <c r="U1953" s="2">
        <v>2201701</v>
      </c>
      <c r="V1953">
        <v>6266</v>
      </c>
      <c r="W1953" s="2">
        <v>6579000000</v>
      </c>
      <c r="X1953" s="6">
        <v>145216.99515200002</v>
      </c>
      <c r="Y1953" s="38">
        <v>10010</v>
      </c>
      <c r="Z1953" s="86">
        <f>+((DETALLE_GD_1[[#This Row],[VALOR X UN (GD)]]-DETALLE_GD_1[[#This Row],[VALOR PPTO]])/DETALLE_GD_1[[#This Row],[VALOR PPTO]])</f>
        <v>-4.6275244786224915E-3</v>
      </c>
      <c r="AA1953" s="2">
        <f>+DETALLE_GD_1[[#This Row],[VALOR PPTO]]*DETALLE_GD_1[[#This Row],[CANTIDAD RECIBIDA]]</f>
        <v>145216.9952</v>
      </c>
      <c r="AB1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3" s="3">
        <f>+DETALLE_GD_1[[#This Row],[CANTIDAD SOLICITADA]]-DETALLE_GD_1[[#This Row],[DEVOLUCIÓN]]</f>
        <v>16</v>
      </c>
      <c r="AD1953" s="38">
        <f>+_xlfn.XLOOKUP(DETALLE_GD_1[[#This Row],[CODIGO]],PRODUCTOS[CODIGO],PRODUCTOS[DESC CORTA],"",0)</f>
        <v>0</v>
      </c>
    </row>
    <row r="1954" spans="1:30" x14ac:dyDescent="0.25">
      <c r="A1954" s="1">
        <v>46174</v>
      </c>
      <c r="B1954" s="1">
        <v>46174</v>
      </c>
      <c r="C1954" s="81" t="s">
        <v>169</v>
      </c>
      <c r="D1954" s="38">
        <v>6</v>
      </c>
      <c r="E1954" s="81" t="s">
        <v>169</v>
      </c>
      <c r="F1954">
        <v>407115</v>
      </c>
      <c r="G1954" s="81" t="s">
        <v>282</v>
      </c>
      <c r="H1954" s="81" t="s">
        <v>31</v>
      </c>
      <c r="I1954" s="3">
        <v>200</v>
      </c>
      <c r="J1954" s="3"/>
      <c r="K1954" s="26">
        <v>200</v>
      </c>
      <c r="L1954" s="2">
        <v>547.98500000000001</v>
      </c>
      <c r="M1954" s="2">
        <v>109597</v>
      </c>
      <c r="N1954" s="2">
        <v>109597</v>
      </c>
      <c r="O1954" s="2">
        <v>567</v>
      </c>
      <c r="P1954" s="2">
        <v>19.015000000000001</v>
      </c>
      <c r="Q1954" s="2">
        <v>3803</v>
      </c>
      <c r="R1954" s="4">
        <v>3.3536155202821848E-2</v>
      </c>
      <c r="T1954">
        <v>317224</v>
      </c>
      <c r="U1954" s="2"/>
      <c r="V1954">
        <v>6266</v>
      </c>
      <c r="W1954" s="2">
        <v>6579000000</v>
      </c>
      <c r="X1954" s="6">
        <v>113400</v>
      </c>
      <c r="Y1954" s="38">
        <v>10010</v>
      </c>
      <c r="Z1954" s="86">
        <f>+((DETALLE_GD_1[[#This Row],[VALOR X UN (GD)]]-DETALLE_GD_1[[#This Row],[VALOR PPTO]])/DETALLE_GD_1[[#This Row],[VALOR PPTO]])</f>
        <v>-3.3536155202821848E-2</v>
      </c>
      <c r="AA1954" s="2">
        <f>+DETALLE_GD_1[[#This Row],[VALOR PPTO]]*DETALLE_GD_1[[#This Row],[CANTIDAD RECIBIDA]]</f>
        <v>113400</v>
      </c>
      <c r="AB19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4" s="3">
        <f>+DETALLE_GD_1[[#This Row],[CANTIDAD SOLICITADA]]-DETALLE_GD_1[[#This Row],[DEVOLUCIÓN]]</f>
        <v>200</v>
      </c>
      <c r="AD1954" s="38">
        <f>+_xlfn.XLOOKUP(DETALLE_GD_1[[#This Row],[CODIGO]],PRODUCTOS[CODIGO],PRODUCTOS[DESC CORTA],"",0)</f>
        <v>0</v>
      </c>
    </row>
    <row r="1955" spans="1:30" x14ac:dyDescent="0.25">
      <c r="A1955" s="1">
        <v>46174</v>
      </c>
      <c r="B1955" s="1">
        <v>46174</v>
      </c>
      <c r="C1955" s="81" t="s">
        <v>169</v>
      </c>
      <c r="D1955" s="38">
        <v>6</v>
      </c>
      <c r="E1955" s="81" t="s">
        <v>169</v>
      </c>
      <c r="F1955">
        <v>304049</v>
      </c>
      <c r="G1955" s="81" t="s">
        <v>318</v>
      </c>
      <c r="H1955" s="81" t="s">
        <v>18</v>
      </c>
      <c r="I1955" s="3">
        <v>130</v>
      </c>
      <c r="J1955" s="3"/>
      <c r="K1955" s="26">
        <v>130</v>
      </c>
      <c r="L1955" s="2">
        <v>14981.223099999999</v>
      </c>
      <c r="M1955" s="2">
        <v>1947559</v>
      </c>
      <c r="N1955" s="2">
        <v>1947559</v>
      </c>
      <c r="O1955" s="2">
        <v>14982</v>
      </c>
      <c r="P1955" s="2">
        <v>0.77690000000000003</v>
      </c>
      <c r="Q1955" s="2">
        <v>101</v>
      </c>
      <c r="R1955" s="4">
        <v>5.1857100314738323E-5</v>
      </c>
      <c r="T1955">
        <v>317224</v>
      </c>
      <c r="U1955" s="2"/>
      <c r="V1955">
        <v>6266</v>
      </c>
      <c r="W1955" s="2">
        <v>6579000000</v>
      </c>
      <c r="X1955" s="6">
        <v>1947659.9999999993</v>
      </c>
      <c r="Y1955" s="38">
        <v>10010</v>
      </c>
      <c r="Z1955" s="86">
        <f>+((DETALLE_GD_1[[#This Row],[VALOR X UN (GD)]]-DETALLE_GD_1[[#This Row],[VALOR PPTO]])/DETALLE_GD_1[[#This Row],[VALOR PPTO]])</f>
        <v>-5.1855560005389863E-5</v>
      </c>
      <c r="AA1955" s="2">
        <f>+DETALLE_GD_1[[#This Row],[VALOR PPTO]]*DETALLE_GD_1[[#This Row],[CANTIDAD RECIBIDA]]</f>
        <v>1947660</v>
      </c>
      <c r="AB19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55" s="3">
        <f>+DETALLE_GD_1[[#This Row],[CANTIDAD SOLICITADA]]-DETALLE_GD_1[[#This Row],[DEVOLUCIÓN]]</f>
        <v>130</v>
      </c>
      <c r="AD1955" s="38" t="str">
        <f>+_xlfn.XLOOKUP(DETALLE_GD_1[[#This Row],[CODIGO]],PRODUCTOS[CODIGO],PRODUCTOS[DESC CORTA],"",0)</f>
        <v>TERCIADO FENOLICO</v>
      </c>
    </row>
    <row r="1956" spans="1:30" x14ac:dyDescent="0.25">
      <c r="A1956" s="1">
        <v>46171</v>
      </c>
      <c r="B1956" s="1">
        <v>46174</v>
      </c>
      <c r="C1956" s="81" t="s">
        <v>169</v>
      </c>
      <c r="D1956" s="38">
        <v>6</v>
      </c>
      <c r="E1956" s="81" t="s">
        <v>169</v>
      </c>
      <c r="F1956">
        <v>1101298</v>
      </c>
      <c r="G1956" s="81" t="s">
        <v>799</v>
      </c>
      <c r="H1956" s="81" t="s">
        <v>31</v>
      </c>
      <c r="I1956" s="3">
        <v>3</v>
      </c>
      <c r="J1956" s="3"/>
      <c r="K1956" s="26">
        <v>3</v>
      </c>
      <c r="L1956" s="2">
        <v>73070</v>
      </c>
      <c r="M1956" s="2">
        <v>219210</v>
      </c>
      <c r="N1956" s="2">
        <v>219210</v>
      </c>
      <c r="O1956" s="2"/>
      <c r="P1956" s="2"/>
      <c r="Q1956" s="2">
        <v>-219210</v>
      </c>
      <c r="R1956" s="4"/>
      <c r="T1956">
        <v>317077</v>
      </c>
      <c r="U1956" s="2">
        <v>219210</v>
      </c>
      <c r="V1956">
        <v>6266</v>
      </c>
      <c r="W1956" s="2">
        <v>6579000000</v>
      </c>
      <c r="X1956" s="6" t="s">
        <v>355</v>
      </c>
      <c r="Y1956" s="38">
        <v>10010</v>
      </c>
      <c r="Z1956" s="86" t="e">
        <f>+((DETALLE_GD_1[[#This Row],[VALOR X UN (GD)]]-DETALLE_GD_1[[#This Row],[VALOR PPTO]])/DETALLE_GD_1[[#This Row],[VALOR PPTO]])</f>
        <v>#DIV/0!</v>
      </c>
      <c r="AA1956" s="2">
        <f>+DETALLE_GD_1[[#This Row],[VALOR PPTO]]*DETALLE_GD_1[[#This Row],[CANTIDAD RECIBIDA]]</f>
        <v>0</v>
      </c>
      <c r="AB1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6" s="3">
        <f>+DETALLE_GD_1[[#This Row],[CANTIDAD SOLICITADA]]-DETALLE_GD_1[[#This Row],[DEVOLUCIÓN]]</f>
        <v>3</v>
      </c>
      <c r="AD1956" s="38" t="str">
        <f>+_xlfn.XLOOKUP(DETALLE_GD_1[[#This Row],[CODIGO]],PRODUCTOS[CODIGO],PRODUCTOS[DESC CORTA],"",0)</f>
        <v/>
      </c>
    </row>
    <row r="1957" spans="1:30" x14ac:dyDescent="0.25">
      <c r="A1957" s="1">
        <v>46171</v>
      </c>
      <c r="B1957" s="1">
        <v>46174</v>
      </c>
      <c r="C1957" s="81" t="s">
        <v>169</v>
      </c>
      <c r="D1957" s="38">
        <v>6</v>
      </c>
      <c r="E1957" s="81" t="s">
        <v>169</v>
      </c>
      <c r="F1957">
        <v>1402016</v>
      </c>
      <c r="G1957" s="81" t="s">
        <v>798</v>
      </c>
      <c r="H1957" s="81" t="s">
        <v>31</v>
      </c>
      <c r="I1957" s="3">
        <v>3</v>
      </c>
      <c r="J1957" s="3">
        <v>3</v>
      </c>
      <c r="K1957" s="26">
        <v>0</v>
      </c>
      <c r="L1957" s="2">
        <v>754.33330000000001</v>
      </c>
      <c r="M1957" s="2">
        <v>2263</v>
      </c>
      <c r="N1957" s="2">
        <v>0</v>
      </c>
      <c r="O1957" s="2"/>
      <c r="P1957" s="2"/>
      <c r="Q1957" s="2">
        <v>0</v>
      </c>
      <c r="R1957" s="4"/>
      <c r="T1957">
        <v>317077</v>
      </c>
      <c r="U1957" s="2"/>
      <c r="W1957" s="2"/>
      <c r="X1957" s="6" t="s">
        <v>355</v>
      </c>
      <c r="Z1957" s="86" t="e">
        <f>+((DETALLE_GD_1[[#This Row],[VALOR X UN (GD)]]-DETALLE_GD_1[[#This Row],[VALOR PPTO]])/DETALLE_GD_1[[#This Row],[VALOR PPTO]])</f>
        <v>#DIV/0!</v>
      </c>
      <c r="AA1957" s="2">
        <f>+DETALLE_GD_1[[#This Row],[VALOR PPTO]]*DETALLE_GD_1[[#This Row],[CANTIDAD RECIBIDA]]</f>
        <v>0</v>
      </c>
      <c r="AB1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7" s="3">
        <f>+DETALLE_GD_1[[#This Row],[CANTIDAD SOLICITADA]]-DETALLE_GD_1[[#This Row],[DEVOLUCIÓN]]</f>
        <v>0</v>
      </c>
      <c r="AD1957" s="38" t="str">
        <f>+_xlfn.XLOOKUP(DETALLE_GD_1[[#This Row],[CODIGO]],PRODUCTOS[CODIGO],PRODUCTOS[DESC CORTA],"",0)</f>
        <v/>
      </c>
    </row>
    <row r="1958" spans="1:30" x14ac:dyDescent="0.25">
      <c r="A1958" s="1">
        <v>46175</v>
      </c>
      <c r="B1958" s="1">
        <v>46171</v>
      </c>
      <c r="C1958" s="81" t="s">
        <v>169</v>
      </c>
      <c r="D1958" s="38">
        <v>5</v>
      </c>
      <c r="E1958" s="81" t="s">
        <v>169</v>
      </c>
      <c r="F1958">
        <v>304049</v>
      </c>
      <c r="G1958" s="81" t="s">
        <v>318</v>
      </c>
      <c r="H1958" s="81" t="s">
        <v>18</v>
      </c>
      <c r="I1958" s="3">
        <v>40</v>
      </c>
      <c r="J1958" s="3"/>
      <c r="K1958" s="26">
        <v>40</v>
      </c>
      <c r="L1958" s="2">
        <v>14981.225</v>
      </c>
      <c r="M1958" s="2">
        <v>599249</v>
      </c>
      <c r="N1958" s="2">
        <v>599249</v>
      </c>
      <c r="O1958" s="2">
        <v>14982</v>
      </c>
      <c r="P1958" s="2">
        <v>0.77500000000000002</v>
      </c>
      <c r="Q1958" s="2">
        <v>31</v>
      </c>
      <c r="R1958" s="4">
        <v>5.1728741155544025E-5</v>
      </c>
      <c r="T1958">
        <v>317354</v>
      </c>
      <c r="U1958" s="2">
        <v>7343320</v>
      </c>
      <c r="V1958">
        <v>6237</v>
      </c>
      <c r="W1958" s="2">
        <v>6579000000</v>
      </c>
      <c r="X1958" s="6">
        <v>599279.99999999977</v>
      </c>
      <c r="Y1958" s="38">
        <v>10010</v>
      </c>
      <c r="Z1958" s="86">
        <f>+((DETALLE_GD_1[[#This Row],[VALOR X UN (GD)]]-DETALLE_GD_1[[#This Row],[VALOR PPTO]])/DETALLE_GD_1[[#This Row],[VALOR PPTO]])</f>
        <v>-5.1728741156029646E-5</v>
      </c>
      <c r="AA1958" s="2">
        <f>+DETALLE_GD_1[[#This Row],[VALOR PPTO]]*DETALLE_GD_1[[#This Row],[CANTIDAD RECIBIDA]]</f>
        <v>599280</v>
      </c>
      <c r="AB19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58" s="3">
        <f>+DETALLE_GD_1[[#This Row],[CANTIDAD SOLICITADA]]-DETALLE_GD_1[[#This Row],[DEVOLUCIÓN]]</f>
        <v>40</v>
      </c>
      <c r="AD1958" s="38" t="str">
        <f>+_xlfn.XLOOKUP(DETALLE_GD_1[[#This Row],[CODIGO]],PRODUCTOS[CODIGO],PRODUCTOS[DESC CORTA],"",0)</f>
        <v>TERCIADO FENOLICO</v>
      </c>
    </row>
    <row r="1959" spans="1:30" x14ac:dyDescent="0.25">
      <c r="A1959" s="1">
        <v>46175</v>
      </c>
      <c r="B1959" s="1">
        <v>46171</v>
      </c>
      <c r="C1959" s="81" t="s">
        <v>169</v>
      </c>
      <c r="D1959" s="38">
        <v>5</v>
      </c>
      <c r="E1959" s="81" t="s">
        <v>169</v>
      </c>
      <c r="F1959">
        <v>407090</v>
      </c>
      <c r="G1959" s="81" t="s">
        <v>1709</v>
      </c>
      <c r="H1959" s="81" t="s">
        <v>746</v>
      </c>
      <c r="I1959" s="3">
        <v>704</v>
      </c>
      <c r="J1959" s="3"/>
      <c r="K1959" s="26">
        <v>704</v>
      </c>
      <c r="L1959" s="2">
        <v>43.805399999999999</v>
      </c>
      <c r="M1959" s="2">
        <v>30839</v>
      </c>
      <c r="N1959" s="2">
        <v>30839</v>
      </c>
      <c r="O1959" s="2"/>
      <c r="P1959" s="2"/>
      <c r="Q1959" s="2">
        <v>-30839</v>
      </c>
      <c r="R1959" s="4"/>
      <c r="T1959">
        <v>317354</v>
      </c>
      <c r="U1959" s="2"/>
      <c r="V1959">
        <v>6237</v>
      </c>
      <c r="W1959" s="2">
        <v>6579000000</v>
      </c>
      <c r="X1959" s="6" t="s">
        <v>355</v>
      </c>
      <c r="Y1959" s="38">
        <v>10010</v>
      </c>
      <c r="Z1959" s="86" t="e">
        <f>+((DETALLE_GD_1[[#This Row],[VALOR X UN (GD)]]-DETALLE_GD_1[[#This Row],[VALOR PPTO]])/DETALLE_GD_1[[#This Row],[VALOR PPTO]])</f>
        <v>#DIV/0!</v>
      </c>
      <c r="AA1959" s="2">
        <f>+DETALLE_GD_1[[#This Row],[VALOR PPTO]]*DETALLE_GD_1[[#This Row],[CANTIDAD RECIBIDA]]</f>
        <v>0</v>
      </c>
      <c r="AB1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9" s="3">
        <f>+DETALLE_GD_1[[#This Row],[CANTIDAD SOLICITADA]]-DETALLE_GD_1[[#This Row],[DEVOLUCIÓN]]</f>
        <v>704</v>
      </c>
      <c r="AD1959" s="38" t="str">
        <f>+_xlfn.XLOOKUP(DETALLE_GD_1[[#This Row],[CODIGO]],PRODUCTOS[CODIGO],PRODUCTOS[DESC CORTA],"",0)</f>
        <v/>
      </c>
    </row>
    <row r="1960" spans="1:30" x14ac:dyDescent="0.25">
      <c r="A1960" s="1">
        <v>46175</v>
      </c>
      <c r="B1960" s="1">
        <v>46171</v>
      </c>
      <c r="C1960" s="81" t="s">
        <v>169</v>
      </c>
      <c r="D1960" s="38">
        <v>5</v>
      </c>
      <c r="E1960" s="81" t="s">
        <v>169</v>
      </c>
      <c r="F1960">
        <v>407120</v>
      </c>
      <c r="G1960" s="81" t="s">
        <v>1710</v>
      </c>
      <c r="H1960" s="81" t="s">
        <v>746</v>
      </c>
      <c r="I1960" s="3">
        <v>64</v>
      </c>
      <c r="J1960" s="3"/>
      <c r="K1960" s="26">
        <v>64</v>
      </c>
      <c r="L1960" s="2">
        <v>1350</v>
      </c>
      <c r="M1960" s="2">
        <v>86400</v>
      </c>
      <c r="N1960" s="2">
        <v>86400</v>
      </c>
      <c r="O1960" s="2">
        <v>12677</v>
      </c>
      <c r="P1960" s="2">
        <v>11327</v>
      </c>
      <c r="Q1960" s="2">
        <v>724928</v>
      </c>
      <c r="R1960" s="4">
        <v>0.8935079277431569</v>
      </c>
      <c r="T1960">
        <v>317354</v>
      </c>
      <c r="U1960" s="2"/>
      <c r="V1960">
        <v>6237</v>
      </c>
      <c r="W1960" s="2">
        <v>6579000000</v>
      </c>
      <c r="X1960" s="6">
        <v>811328</v>
      </c>
      <c r="Y1960" s="38">
        <v>10010</v>
      </c>
      <c r="Z1960" s="86">
        <f>+((DETALLE_GD_1[[#This Row],[VALOR X UN (GD)]]-DETALLE_GD_1[[#This Row],[VALOR PPTO]])/DETALLE_GD_1[[#This Row],[VALOR PPTO]])</f>
        <v>-0.8935079277431569</v>
      </c>
      <c r="AA1960" s="2">
        <f>+DETALLE_GD_1[[#This Row],[VALOR PPTO]]*DETALLE_GD_1[[#This Row],[CANTIDAD RECIBIDA]]</f>
        <v>811328</v>
      </c>
      <c r="AB1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0" s="3">
        <f>+DETALLE_GD_1[[#This Row],[CANTIDAD SOLICITADA]]-DETALLE_GD_1[[#This Row],[DEVOLUCIÓN]]</f>
        <v>64</v>
      </c>
      <c r="AD1960" s="38" t="str">
        <f>+_xlfn.XLOOKUP(DETALLE_GD_1[[#This Row],[CODIGO]],PRODUCTOS[CODIGO],PRODUCTOS[DESC CORTA],"",0)</f>
        <v/>
      </c>
    </row>
    <row r="1961" spans="1:30" x14ac:dyDescent="0.25">
      <c r="A1961" s="1">
        <v>46175</v>
      </c>
      <c r="B1961" s="1">
        <v>46171</v>
      </c>
      <c r="C1961" s="81" t="s">
        <v>169</v>
      </c>
      <c r="D1961" s="38">
        <v>5</v>
      </c>
      <c r="E1961" s="81" t="s">
        <v>169</v>
      </c>
      <c r="F1961">
        <v>407717</v>
      </c>
      <c r="G1961" s="81" t="s">
        <v>364</v>
      </c>
      <c r="H1961" s="81" t="s">
        <v>31</v>
      </c>
      <c r="I1961" s="3">
        <v>128</v>
      </c>
      <c r="J1961" s="3"/>
      <c r="K1961" s="26">
        <v>128</v>
      </c>
      <c r="L1961" s="2">
        <v>178.1953</v>
      </c>
      <c r="M1961" s="2">
        <v>22809</v>
      </c>
      <c r="N1961" s="2">
        <v>22809</v>
      </c>
      <c r="O1961" s="2">
        <v>181</v>
      </c>
      <c r="P1961" s="2">
        <v>2.8047</v>
      </c>
      <c r="Q1961" s="2">
        <v>359</v>
      </c>
      <c r="R1961" s="4">
        <v>1.5495511049723756E-2</v>
      </c>
      <c r="T1961">
        <v>317354</v>
      </c>
      <c r="U1961" s="2"/>
      <c r="V1961">
        <v>6237</v>
      </c>
      <c r="W1961" s="2">
        <v>6579000000</v>
      </c>
      <c r="X1961" s="6">
        <v>23168</v>
      </c>
      <c r="Y1961" s="38">
        <v>10010</v>
      </c>
      <c r="Z1961" s="86">
        <f>+((DETALLE_GD_1[[#This Row],[VALOR X UN (GD)]]-DETALLE_GD_1[[#This Row],[VALOR PPTO]])/DETALLE_GD_1[[#This Row],[VALOR PPTO]])</f>
        <v>-1.5495580110497221E-2</v>
      </c>
      <c r="AA1961" s="2">
        <f>+DETALLE_GD_1[[#This Row],[VALOR PPTO]]*DETALLE_GD_1[[#This Row],[CANTIDAD RECIBIDA]]</f>
        <v>23168</v>
      </c>
      <c r="AB1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1" s="3">
        <f>+DETALLE_GD_1[[#This Row],[CANTIDAD SOLICITADA]]-DETALLE_GD_1[[#This Row],[DEVOLUCIÓN]]</f>
        <v>128</v>
      </c>
      <c r="AD1961" s="38">
        <f>+_xlfn.XLOOKUP(DETALLE_GD_1[[#This Row],[CODIGO]],PRODUCTOS[CODIGO],PRODUCTOS[DESC CORTA],"",0)</f>
        <v>0</v>
      </c>
    </row>
    <row r="1962" spans="1:30" x14ac:dyDescent="0.25">
      <c r="A1962" s="1">
        <v>46175</v>
      </c>
      <c r="B1962" s="1">
        <v>46171</v>
      </c>
      <c r="C1962" s="81" t="s">
        <v>169</v>
      </c>
      <c r="D1962" s="38">
        <v>5</v>
      </c>
      <c r="E1962" s="81" t="s">
        <v>169</v>
      </c>
      <c r="F1962">
        <v>412249</v>
      </c>
      <c r="G1962" s="81" t="s">
        <v>33</v>
      </c>
      <c r="H1962" s="81" t="s">
        <v>31</v>
      </c>
      <c r="I1962" s="3">
        <v>672</v>
      </c>
      <c r="J1962" s="3"/>
      <c r="K1962" s="26">
        <v>672</v>
      </c>
      <c r="L1962" s="2">
        <v>1719.8779999999999</v>
      </c>
      <c r="M1962" s="2">
        <v>1155758</v>
      </c>
      <c r="N1962" s="2">
        <v>1155758</v>
      </c>
      <c r="O1962" s="2">
        <v>1719.7191</v>
      </c>
      <c r="P1962" s="2">
        <v>-0.15890000000000001</v>
      </c>
      <c r="Q1962" s="2">
        <v>-106.785</v>
      </c>
      <c r="R1962" s="4">
        <v>-9.2402412259140427E-5</v>
      </c>
      <c r="T1962">
        <v>317354</v>
      </c>
      <c r="U1962" s="2"/>
      <c r="V1962">
        <v>6237</v>
      </c>
      <c r="W1962" s="2">
        <v>6579000000</v>
      </c>
      <c r="X1962" s="6">
        <v>1155651.2150400002</v>
      </c>
      <c r="Y1962" s="38">
        <v>10010</v>
      </c>
      <c r="Z1962" s="86">
        <f>+((DETALLE_GD_1[[#This Row],[VALOR X UN (GD)]]-DETALLE_GD_1[[#This Row],[VALOR PPTO]])/DETALLE_GD_1[[#This Row],[VALOR PPTO]])</f>
        <v>9.23988109452894E-5</v>
      </c>
      <c r="AA1962" s="2">
        <f>+DETALLE_GD_1[[#This Row],[VALOR PPTO]]*DETALLE_GD_1[[#This Row],[CANTIDAD RECIBIDA]]</f>
        <v>1155651.2352</v>
      </c>
      <c r="AB1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2" s="3">
        <f>+DETALLE_GD_1[[#This Row],[CANTIDAD SOLICITADA]]-DETALLE_GD_1[[#This Row],[DEVOLUCIÓN]]</f>
        <v>672</v>
      </c>
      <c r="AD1962" s="38">
        <f>+_xlfn.XLOOKUP(DETALLE_GD_1[[#This Row],[CODIGO]],PRODUCTOS[CODIGO],PRODUCTOS[DESC CORTA],"",0)</f>
        <v>0</v>
      </c>
    </row>
    <row r="1963" spans="1:30" x14ac:dyDescent="0.25">
      <c r="A1963" s="1">
        <v>46175</v>
      </c>
      <c r="B1963" s="1">
        <v>46171</v>
      </c>
      <c r="C1963" s="81" t="s">
        <v>169</v>
      </c>
      <c r="D1963" s="38">
        <v>5</v>
      </c>
      <c r="E1963" s="81" t="s">
        <v>169</v>
      </c>
      <c r="F1963">
        <v>407245</v>
      </c>
      <c r="G1963" s="81" t="s">
        <v>1711</v>
      </c>
      <c r="H1963" s="81" t="s">
        <v>746</v>
      </c>
      <c r="I1963" s="3">
        <v>64</v>
      </c>
      <c r="J1963" s="3"/>
      <c r="K1963" s="26">
        <v>64</v>
      </c>
      <c r="L1963" s="2">
        <v>50.6875</v>
      </c>
      <c r="M1963" s="2">
        <v>3244</v>
      </c>
      <c r="N1963" s="2">
        <v>3244</v>
      </c>
      <c r="O1963" s="2"/>
      <c r="P1963" s="2"/>
      <c r="Q1963" s="2">
        <v>-3244</v>
      </c>
      <c r="R1963" s="4"/>
      <c r="T1963">
        <v>317354</v>
      </c>
      <c r="U1963" s="2"/>
      <c r="V1963">
        <v>6237</v>
      </c>
      <c r="W1963" s="2">
        <v>6579000000</v>
      </c>
      <c r="X1963" s="6" t="s">
        <v>355</v>
      </c>
      <c r="Y1963" s="38">
        <v>10010</v>
      </c>
      <c r="Z1963" s="86" t="e">
        <f>+((DETALLE_GD_1[[#This Row],[VALOR X UN (GD)]]-DETALLE_GD_1[[#This Row],[VALOR PPTO]])/DETALLE_GD_1[[#This Row],[VALOR PPTO]])</f>
        <v>#DIV/0!</v>
      </c>
      <c r="AA1963" s="2">
        <f>+DETALLE_GD_1[[#This Row],[VALOR PPTO]]*DETALLE_GD_1[[#This Row],[CANTIDAD RECIBIDA]]</f>
        <v>0</v>
      </c>
      <c r="AB1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3" s="3">
        <f>+DETALLE_GD_1[[#This Row],[CANTIDAD SOLICITADA]]-DETALLE_GD_1[[#This Row],[DEVOLUCIÓN]]</f>
        <v>64</v>
      </c>
      <c r="AD1963" s="38" t="str">
        <f>+_xlfn.XLOOKUP(DETALLE_GD_1[[#This Row],[CODIGO]],PRODUCTOS[CODIGO],PRODUCTOS[DESC CORTA],"",0)</f>
        <v/>
      </c>
    </row>
    <row r="1964" spans="1:30" x14ac:dyDescent="0.25">
      <c r="A1964" s="1">
        <v>46175</v>
      </c>
      <c r="B1964" s="1">
        <v>46171</v>
      </c>
      <c r="C1964" s="81" t="s">
        <v>169</v>
      </c>
      <c r="D1964" s="38">
        <v>5</v>
      </c>
      <c r="E1964" s="81" t="s">
        <v>169</v>
      </c>
      <c r="F1964">
        <v>410083</v>
      </c>
      <c r="G1964" s="81" t="s">
        <v>1712</v>
      </c>
      <c r="H1964" s="81" t="s">
        <v>746</v>
      </c>
      <c r="I1964" s="3">
        <v>32</v>
      </c>
      <c r="J1964" s="3"/>
      <c r="K1964" s="26">
        <v>32</v>
      </c>
      <c r="L1964" s="2">
        <v>4929.4062000000004</v>
      </c>
      <c r="M1964" s="2">
        <v>157741</v>
      </c>
      <c r="N1964" s="2">
        <v>157741</v>
      </c>
      <c r="O1964" s="2">
        <v>5168</v>
      </c>
      <c r="P1964" s="2">
        <v>238.59379999999999</v>
      </c>
      <c r="Q1964" s="2">
        <v>7635</v>
      </c>
      <c r="R1964" s="4">
        <v>4.6167521284829718E-2</v>
      </c>
      <c r="T1964">
        <v>317354</v>
      </c>
      <c r="U1964" s="2"/>
      <c r="V1964">
        <v>6237</v>
      </c>
      <c r="W1964" s="2">
        <v>6579000000</v>
      </c>
      <c r="X1964" s="6">
        <v>165376</v>
      </c>
      <c r="Y1964" s="38">
        <v>10010</v>
      </c>
      <c r="Z1964" s="86">
        <f>+((DETALLE_GD_1[[#This Row],[VALOR X UN (GD)]]-DETALLE_GD_1[[#This Row],[VALOR PPTO]])/DETALLE_GD_1[[#This Row],[VALOR PPTO]])</f>
        <v>-4.6167530959752255E-2</v>
      </c>
      <c r="AA1964" s="2">
        <f>+DETALLE_GD_1[[#This Row],[VALOR PPTO]]*DETALLE_GD_1[[#This Row],[CANTIDAD RECIBIDA]]</f>
        <v>165376</v>
      </c>
      <c r="AB19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4" s="3">
        <f>+DETALLE_GD_1[[#This Row],[CANTIDAD SOLICITADA]]-DETALLE_GD_1[[#This Row],[DEVOLUCIÓN]]</f>
        <v>32</v>
      </c>
      <c r="AD1964" s="38" t="str">
        <f>+_xlfn.XLOOKUP(DETALLE_GD_1[[#This Row],[CODIGO]],PRODUCTOS[CODIGO],PRODUCTOS[DESC CORTA],"",0)</f>
        <v>Varilla de anclaje</v>
      </c>
    </row>
    <row r="1965" spans="1:30" x14ac:dyDescent="0.25">
      <c r="A1965" s="1">
        <v>46175</v>
      </c>
      <c r="B1965" s="1">
        <v>46171</v>
      </c>
      <c r="C1965" s="81" t="s">
        <v>169</v>
      </c>
      <c r="D1965" s="38">
        <v>5</v>
      </c>
      <c r="E1965" s="81" t="s">
        <v>169</v>
      </c>
      <c r="F1965">
        <v>412299</v>
      </c>
      <c r="G1965" s="81" t="s">
        <v>1713</v>
      </c>
      <c r="H1965" s="81" t="s">
        <v>746</v>
      </c>
      <c r="I1965" s="3">
        <v>128</v>
      </c>
      <c r="J1965" s="3"/>
      <c r="K1965" s="26">
        <v>128</v>
      </c>
      <c r="L1965" s="2">
        <v>15026</v>
      </c>
      <c r="M1965" s="2">
        <v>1923328</v>
      </c>
      <c r="N1965" s="2">
        <v>1923328</v>
      </c>
      <c r="O1965" s="2">
        <v>12677</v>
      </c>
      <c r="P1965" s="2">
        <v>-2349</v>
      </c>
      <c r="Q1965" s="2">
        <v>-300672</v>
      </c>
      <c r="R1965" s="4">
        <v>-0.185296205726907</v>
      </c>
      <c r="T1965">
        <v>317354</v>
      </c>
      <c r="U1965" s="2"/>
      <c r="V1965">
        <v>6237</v>
      </c>
      <c r="W1965" s="2">
        <v>6579000000</v>
      </c>
      <c r="X1965" s="6">
        <v>1622656</v>
      </c>
      <c r="Y1965" s="38">
        <v>10010</v>
      </c>
      <c r="Z1965" s="86">
        <f>+((DETALLE_GD_1[[#This Row],[VALOR X UN (GD)]]-DETALLE_GD_1[[#This Row],[VALOR PPTO]])/DETALLE_GD_1[[#This Row],[VALOR PPTO]])</f>
        <v>0.185296205726907</v>
      </c>
      <c r="AA1965" s="2">
        <f>+DETALLE_GD_1[[#This Row],[VALOR PPTO]]*DETALLE_GD_1[[#This Row],[CANTIDAD RECIBIDA]]</f>
        <v>1622656</v>
      </c>
      <c r="AB19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5" s="3">
        <f>+DETALLE_GD_1[[#This Row],[CANTIDAD SOLICITADA]]-DETALLE_GD_1[[#This Row],[DEVOLUCIÓN]]</f>
        <v>128</v>
      </c>
      <c r="AD1965" s="38" t="str">
        <f>+_xlfn.XLOOKUP(DETALLE_GD_1[[#This Row],[CODIGO]],PRODUCTOS[CODIGO],PRODUCTOS[DESC CORTA],"",0)</f>
        <v/>
      </c>
    </row>
    <row r="1966" spans="1:30" x14ac:dyDescent="0.25">
      <c r="A1966" s="1">
        <v>46175</v>
      </c>
      <c r="B1966" s="1">
        <v>46171</v>
      </c>
      <c r="C1966" s="81" t="s">
        <v>169</v>
      </c>
      <c r="D1966" s="38">
        <v>5</v>
      </c>
      <c r="E1966" s="81" t="s">
        <v>169</v>
      </c>
      <c r="F1966">
        <v>412300</v>
      </c>
      <c r="G1966" s="81" t="s">
        <v>1714</v>
      </c>
      <c r="H1966" s="81" t="s">
        <v>746</v>
      </c>
      <c r="I1966" s="3">
        <v>128</v>
      </c>
      <c r="J1966" s="3"/>
      <c r="K1966" s="26">
        <v>128</v>
      </c>
      <c r="L1966" s="2">
        <v>19576</v>
      </c>
      <c r="M1966" s="2">
        <v>2505728</v>
      </c>
      <c r="N1966" s="2">
        <v>2505728</v>
      </c>
      <c r="O1966" s="2">
        <v>12677</v>
      </c>
      <c r="P1966" s="2">
        <v>-6899</v>
      </c>
      <c r="Q1966" s="2">
        <v>-883072</v>
      </c>
      <c r="R1966" s="4">
        <v>-0.54421393074071156</v>
      </c>
      <c r="T1966">
        <v>317354</v>
      </c>
      <c r="U1966" s="2"/>
      <c r="V1966">
        <v>6237</v>
      </c>
      <c r="W1966" s="2">
        <v>6579000000</v>
      </c>
      <c r="X1966" s="6">
        <v>1622656</v>
      </c>
      <c r="Y1966" s="38">
        <v>10010</v>
      </c>
      <c r="Z1966" s="86">
        <f>+((DETALLE_GD_1[[#This Row],[VALOR X UN (GD)]]-DETALLE_GD_1[[#This Row],[VALOR PPTO]])/DETALLE_GD_1[[#This Row],[VALOR PPTO]])</f>
        <v>0.54421393074071156</v>
      </c>
      <c r="AA1966" s="2">
        <f>+DETALLE_GD_1[[#This Row],[VALOR PPTO]]*DETALLE_GD_1[[#This Row],[CANTIDAD RECIBIDA]]</f>
        <v>1622656</v>
      </c>
      <c r="AB1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6" s="3">
        <f>+DETALLE_GD_1[[#This Row],[CANTIDAD SOLICITADA]]-DETALLE_GD_1[[#This Row],[DEVOLUCIÓN]]</f>
        <v>128</v>
      </c>
      <c r="AD1966" s="38" t="str">
        <f>+_xlfn.XLOOKUP(DETALLE_GD_1[[#This Row],[CODIGO]],PRODUCTOS[CODIGO],PRODUCTOS[DESC CORTA],"",0)</f>
        <v/>
      </c>
    </row>
    <row r="1967" spans="1:30" x14ac:dyDescent="0.25">
      <c r="A1967" s="1">
        <v>46175</v>
      </c>
      <c r="B1967" s="1">
        <v>46168</v>
      </c>
      <c r="C1967" s="81" t="s">
        <v>169</v>
      </c>
      <c r="D1967" s="38">
        <v>5</v>
      </c>
      <c r="E1967" s="81" t="s">
        <v>169</v>
      </c>
      <c r="F1967">
        <v>1902003</v>
      </c>
      <c r="G1967" s="81" t="s">
        <v>155</v>
      </c>
      <c r="H1967" s="81" t="s">
        <v>47</v>
      </c>
      <c r="I1967" s="3">
        <v>1</v>
      </c>
      <c r="J1967" s="3"/>
      <c r="K1967" s="26">
        <v>1</v>
      </c>
      <c r="L1967" s="2">
        <v>150752</v>
      </c>
      <c r="M1967" s="2">
        <v>150752</v>
      </c>
      <c r="N1967" s="2">
        <v>150752</v>
      </c>
      <c r="O1967" s="2">
        <v>150703.9755</v>
      </c>
      <c r="P1967" s="2">
        <v>-48.024500000000003</v>
      </c>
      <c r="Q1967" s="2">
        <v>-48.024500000000003</v>
      </c>
      <c r="R1967" s="4">
        <v>-3.1866803681492077E-4</v>
      </c>
      <c r="T1967">
        <v>317354</v>
      </c>
      <c r="U1967" s="2"/>
      <c r="V1967">
        <v>6237</v>
      </c>
      <c r="W1967" s="2">
        <v>6579000000</v>
      </c>
      <c r="X1967" s="6">
        <v>150703.97545999996</v>
      </c>
      <c r="Y1967" s="38">
        <v>10010</v>
      </c>
      <c r="Z1967" s="86">
        <f>+((DETALLE_GD_1[[#This Row],[VALOR X UN (GD)]]-DETALLE_GD_1[[#This Row],[VALOR PPTO]])/DETALLE_GD_1[[#This Row],[VALOR PPTO]])</f>
        <v>3.186677713090557E-4</v>
      </c>
      <c r="AA1967" s="2">
        <f>+DETALLE_GD_1[[#This Row],[VALOR PPTO]]*DETALLE_GD_1[[#This Row],[CANTIDAD RECIBIDA]]</f>
        <v>150703.9755</v>
      </c>
      <c r="AB1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7" s="3">
        <f>+DETALLE_GD_1[[#This Row],[CANTIDAD SOLICITADA]]-DETALLE_GD_1[[#This Row],[DEVOLUCIÓN]]</f>
        <v>1</v>
      </c>
      <c r="AD1967" s="38">
        <f>+_xlfn.XLOOKUP(DETALLE_GD_1[[#This Row],[CODIGO]],PRODUCTOS[CODIGO],PRODUCTOS[DESC CORTA],"",0)</f>
        <v>0</v>
      </c>
    </row>
    <row r="1968" spans="1:30" x14ac:dyDescent="0.25">
      <c r="A1968" s="1">
        <v>46175</v>
      </c>
      <c r="B1968" s="1">
        <v>46171</v>
      </c>
      <c r="C1968" s="81" t="s">
        <v>169</v>
      </c>
      <c r="D1968" s="38">
        <v>5</v>
      </c>
      <c r="E1968" s="81" t="s">
        <v>169</v>
      </c>
      <c r="F1968">
        <v>602255</v>
      </c>
      <c r="G1968" s="81" t="s">
        <v>203</v>
      </c>
      <c r="H1968" s="81" t="s">
        <v>25</v>
      </c>
      <c r="I1968" s="3">
        <v>2</v>
      </c>
      <c r="J1968" s="3"/>
      <c r="K1968" s="26">
        <v>2</v>
      </c>
      <c r="L1968" s="2">
        <v>47890</v>
      </c>
      <c r="M1968" s="2">
        <v>95780</v>
      </c>
      <c r="N1968" s="2">
        <v>95780</v>
      </c>
      <c r="O1968" s="2">
        <v>47889.5</v>
      </c>
      <c r="P1968" s="2">
        <v>-0.5</v>
      </c>
      <c r="Q1968" s="2">
        <v>-1</v>
      </c>
      <c r="R1968" s="4">
        <v>-1.0440702032804683E-5</v>
      </c>
      <c r="T1968">
        <v>317354</v>
      </c>
      <c r="U1968" s="2"/>
      <c r="V1968">
        <v>6237</v>
      </c>
      <c r="W1968" s="2">
        <v>6579000000</v>
      </c>
      <c r="X1968" s="6">
        <v>95779</v>
      </c>
      <c r="Y1968" s="38">
        <v>10010</v>
      </c>
      <c r="Z1968" s="86">
        <f>+((DETALLE_GD_1[[#This Row],[VALOR X UN (GD)]]-DETALLE_GD_1[[#This Row],[VALOR PPTO]])/DETALLE_GD_1[[#This Row],[VALOR PPTO]])</f>
        <v>1.0440702032804685E-5</v>
      </c>
      <c r="AA1968" s="2">
        <f>+DETALLE_GD_1[[#This Row],[VALOR PPTO]]*DETALLE_GD_1[[#This Row],[CANTIDAD RECIBIDA]]</f>
        <v>95779</v>
      </c>
      <c r="AB1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8" s="3">
        <f>+DETALLE_GD_1[[#This Row],[CANTIDAD SOLICITADA]]-DETALLE_GD_1[[#This Row],[DEVOLUCIÓN]]</f>
        <v>2</v>
      </c>
      <c r="AD1968" s="38">
        <f>+_xlfn.XLOOKUP(DETALLE_GD_1[[#This Row],[CODIGO]],PRODUCTOS[CODIGO],PRODUCTOS[DESC CORTA],"",0)</f>
        <v>0</v>
      </c>
    </row>
    <row r="1969" spans="1:30" x14ac:dyDescent="0.25">
      <c r="A1969" s="1">
        <v>46175</v>
      </c>
      <c r="B1969" s="1">
        <v>46171</v>
      </c>
      <c r="C1969" s="81" t="s">
        <v>169</v>
      </c>
      <c r="D1969" s="38">
        <v>5</v>
      </c>
      <c r="E1969" s="81" t="s">
        <v>169</v>
      </c>
      <c r="F1969">
        <v>602254</v>
      </c>
      <c r="G1969" s="81" t="s">
        <v>214</v>
      </c>
      <c r="H1969" s="81" t="s">
        <v>25</v>
      </c>
      <c r="I1969" s="3">
        <v>2</v>
      </c>
      <c r="J1969" s="3"/>
      <c r="K1969" s="26">
        <v>2</v>
      </c>
      <c r="L1969" s="2">
        <v>46060</v>
      </c>
      <c r="M1969" s="2">
        <v>92120</v>
      </c>
      <c r="N1969" s="2">
        <v>92120</v>
      </c>
      <c r="O1969" s="2">
        <v>46060</v>
      </c>
      <c r="P1969" s="2">
        <v>0</v>
      </c>
      <c r="Q1969" s="2">
        <v>0</v>
      </c>
      <c r="R1969" s="4">
        <v>0</v>
      </c>
      <c r="T1969">
        <v>317354</v>
      </c>
      <c r="U1969" s="2"/>
      <c r="V1969">
        <v>6237</v>
      </c>
      <c r="W1969" s="2">
        <v>6579000000</v>
      </c>
      <c r="X1969" s="6">
        <v>92120</v>
      </c>
      <c r="Y1969" s="38">
        <v>10010</v>
      </c>
      <c r="Z1969" s="86">
        <f>+((DETALLE_GD_1[[#This Row],[VALOR X UN (GD)]]-DETALLE_GD_1[[#This Row],[VALOR PPTO]])/DETALLE_GD_1[[#This Row],[VALOR PPTO]])</f>
        <v>0</v>
      </c>
      <c r="AA1969" s="2">
        <f>+DETALLE_GD_1[[#This Row],[VALOR PPTO]]*DETALLE_GD_1[[#This Row],[CANTIDAD RECIBIDA]]</f>
        <v>92120</v>
      </c>
      <c r="AB19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9" s="3">
        <f>+DETALLE_GD_1[[#This Row],[CANTIDAD SOLICITADA]]-DETALLE_GD_1[[#This Row],[DEVOLUCIÓN]]</f>
        <v>2</v>
      </c>
      <c r="AD1969" s="38">
        <f>+_xlfn.XLOOKUP(DETALLE_GD_1[[#This Row],[CODIGO]],PRODUCTOS[CODIGO],PRODUCTOS[DESC CORTA],"",0)</f>
        <v>0</v>
      </c>
    </row>
    <row r="1970" spans="1:30" x14ac:dyDescent="0.25">
      <c r="A1970" s="1">
        <v>46175</v>
      </c>
      <c r="B1970" s="1">
        <v>46171</v>
      </c>
      <c r="C1970" s="81" t="s">
        <v>169</v>
      </c>
      <c r="D1970" s="38">
        <v>5</v>
      </c>
      <c r="E1970" s="81" t="s">
        <v>169</v>
      </c>
      <c r="F1970">
        <v>304002</v>
      </c>
      <c r="G1970" s="81" t="s">
        <v>37</v>
      </c>
      <c r="H1970" s="81" t="s">
        <v>18</v>
      </c>
      <c r="I1970" s="3">
        <v>24</v>
      </c>
      <c r="J1970" s="3"/>
      <c r="K1970" s="26">
        <v>24</v>
      </c>
      <c r="L1970" s="2">
        <v>21648.833299999998</v>
      </c>
      <c r="M1970" s="2">
        <v>519572</v>
      </c>
      <c r="N1970" s="2">
        <v>519572</v>
      </c>
      <c r="O1970" s="2">
        <v>21246.5072</v>
      </c>
      <c r="P1970" s="2">
        <v>-402.32619999999997</v>
      </c>
      <c r="Q1970" s="2">
        <v>-9655.8282999999992</v>
      </c>
      <c r="R1970" s="4">
        <v>-1.8936109236031368E-2</v>
      </c>
      <c r="T1970">
        <v>317354</v>
      </c>
      <c r="U1970" s="2"/>
      <c r="V1970">
        <v>6237</v>
      </c>
      <c r="W1970" s="2">
        <v>6579000000</v>
      </c>
      <c r="X1970" s="6">
        <v>509916.17167200008</v>
      </c>
      <c r="Y1970" s="38">
        <v>10010</v>
      </c>
      <c r="Z1970" s="86">
        <f>+((DETALLE_GD_1[[#This Row],[VALOR X UN (GD)]]-DETALLE_GD_1[[#This Row],[VALOR PPTO]])/DETALLE_GD_1[[#This Row],[VALOR PPTO]])</f>
        <v>1.8936105413128724E-2</v>
      </c>
      <c r="AA1970" s="2">
        <f>+DETALLE_GD_1[[#This Row],[VALOR PPTO]]*DETALLE_GD_1[[#This Row],[CANTIDAD RECIBIDA]]</f>
        <v>509916.1728</v>
      </c>
      <c r="AB1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70" s="3">
        <f>+DETALLE_GD_1[[#This Row],[CANTIDAD SOLICITADA]]-DETALLE_GD_1[[#This Row],[DEVOLUCIÓN]]</f>
        <v>24</v>
      </c>
      <c r="AD1970" s="38" t="str">
        <f>+_xlfn.XLOOKUP(DETALLE_GD_1[[#This Row],[CODIGO]],PRODUCTOS[CODIGO],PRODUCTOS[DESC CORTA],"",0)</f>
        <v>SMARTPANEL</v>
      </c>
    </row>
    <row r="1971" spans="1:30" x14ac:dyDescent="0.25">
      <c r="A1971" s="1">
        <v>46175</v>
      </c>
      <c r="B1971" s="1">
        <v>46171</v>
      </c>
      <c r="C1971" s="81" t="s">
        <v>169</v>
      </c>
      <c r="D1971" s="38">
        <v>5</v>
      </c>
      <c r="E1971" s="81" t="s">
        <v>169</v>
      </c>
      <c r="F1971">
        <v>2508169</v>
      </c>
      <c r="G1971" s="81" t="s">
        <v>307</v>
      </c>
      <c r="H1971" s="81" t="s">
        <v>90</v>
      </c>
      <c r="I1971" s="3">
        <v>16</v>
      </c>
      <c r="J1971" s="3"/>
      <c r="K1971" s="26">
        <v>16</v>
      </c>
      <c r="L1971" s="2">
        <v>13952</v>
      </c>
      <c r="M1971" s="2">
        <v>223232</v>
      </c>
      <c r="N1971" s="2">
        <v>223232</v>
      </c>
      <c r="O1971" s="2">
        <v>13952</v>
      </c>
      <c r="P1971" s="2">
        <v>0</v>
      </c>
      <c r="Q1971" s="2">
        <v>0</v>
      </c>
      <c r="R1971" s="4">
        <v>0</v>
      </c>
      <c r="T1971">
        <v>317350</v>
      </c>
      <c r="U1971" s="2">
        <v>9842227</v>
      </c>
      <c r="V1971">
        <v>6237</v>
      </c>
      <c r="W1971" s="2">
        <v>6579000000</v>
      </c>
      <c r="X1971" s="6">
        <v>223232</v>
      </c>
      <c r="Y1971" s="38">
        <v>10010</v>
      </c>
      <c r="Z1971" s="86">
        <f>+((DETALLE_GD_1[[#This Row],[VALOR X UN (GD)]]-DETALLE_GD_1[[#This Row],[VALOR PPTO]])/DETALLE_GD_1[[#This Row],[VALOR PPTO]])</f>
        <v>0</v>
      </c>
      <c r="AA1971" s="2">
        <f>+DETALLE_GD_1[[#This Row],[VALOR PPTO]]*DETALLE_GD_1[[#This Row],[CANTIDAD RECIBIDA]]</f>
        <v>223232</v>
      </c>
      <c r="AB1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1" s="3">
        <f>+DETALLE_GD_1[[#This Row],[CANTIDAD SOLICITADA]]-DETALLE_GD_1[[#This Row],[DEVOLUCIÓN]]</f>
        <v>16</v>
      </c>
      <c r="AD1971" s="38">
        <f>+_xlfn.XLOOKUP(DETALLE_GD_1[[#This Row],[CODIGO]],PRODUCTOS[CODIGO],PRODUCTOS[DESC CORTA],"",0)</f>
        <v>0</v>
      </c>
    </row>
    <row r="1972" spans="1:30" x14ac:dyDescent="0.25">
      <c r="A1972" s="1">
        <v>46175</v>
      </c>
      <c r="B1972" s="1">
        <v>46171</v>
      </c>
      <c r="C1972" s="81" t="s">
        <v>169</v>
      </c>
      <c r="D1972" s="38">
        <v>5</v>
      </c>
      <c r="E1972" s="81" t="s">
        <v>169</v>
      </c>
      <c r="F1972">
        <v>1802164</v>
      </c>
      <c r="G1972" s="81" t="s">
        <v>306</v>
      </c>
      <c r="H1972" s="81" t="s">
        <v>31</v>
      </c>
      <c r="I1972" s="3">
        <v>16</v>
      </c>
      <c r="J1972" s="3"/>
      <c r="K1972" s="26">
        <v>16</v>
      </c>
      <c r="L1972" s="2">
        <v>138041</v>
      </c>
      <c r="M1972" s="2">
        <v>2208656</v>
      </c>
      <c r="N1972" s="2">
        <v>2208656</v>
      </c>
      <c r="O1972" s="2">
        <v>138041</v>
      </c>
      <c r="P1972" s="2">
        <v>0</v>
      </c>
      <c r="Q1972" s="2">
        <v>0</v>
      </c>
      <c r="R1972" s="4">
        <v>0</v>
      </c>
      <c r="T1972">
        <v>317350</v>
      </c>
      <c r="U1972" s="2"/>
      <c r="V1972">
        <v>6237</v>
      </c>
      <c r="W1972" s="2">
        <v>6579000000</v>
      </c>
      <c r="X1972" s="6">
        <v>2208656</v>
      </c>
      <c r="Y1972" s="38">
        <v>10010</v>
      </c>
      <c r="Z1972" s="86">
        <f>+((DETALLE_GD_1[[#This Row],[VALOR X UN (GD)]]-DETALLE_GD_1[[#This Row],[VALOR PPTO]])/DETALLE_GD_1[[#This Row],[VALOR PPTO]])</f>
        <v>0</v>
      </c>
      <c r="AA1972" s="2">
        <f>+DETALLE_GD_1[[#This Row],[VALOR PPTO]]*DETALLE_GD_1[[#This Row],[CANTIDAD RECIBIDA]]</f>
        <v>2208656</v>
      </c>
      <c r="AB1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2" s="3">
        <f>+DETALLE_GD_1[[#This Row],[CANTIDAD SOLICITADA]]-DETALLE_GD_1[[#This Row],[DEVOLUCIÓN]]</f>
        <v>16</v>
      </c>
      <c r="AD1972" s="38">
        <f>+_xlfn.XLOOKUP(DETALLE_GD_1[[#This Row],[CODIGO]],PRODUCTOS[CODIGO],PRODUCTOS[DESC CORTA],"",0)</f>
        <v>0</v>
      </c>
    </row>
    <row r="1973" spans="1:30" x14ac:dyDescent="0.25">
      <c r="A1973" s="1">
        <v>46175</v>
      </c>
      <c r="B1973" s="1">
        <v>46171</v>
      </c>
      <c r="C1973" s="81" t="s">
        <v>169</v>
      </c>
      <c r="D1973" s="38">
        <v>5</v>
      </c>
      <c r="E1973" s="81" t="s">
        <v>169</v>
      </c>
      <c r="F1973">
        <v>404793</v>
      </c>
      <c r="G1973" s="81" t="s">
        <v>1651</v>
      </c>
      <c r="H1973" s="81" t="s">
        <v>137</v>
      </c>
      <c r="I1973" s="3">
        <v>16</v>
      </c>
      <c r="J1973" s="3"/>
      <c r="K1973" s="26">
        <v>16</v>
      </c>
      <c r="L1973" s="2">
        <v>3400</v>
      </c>
      <c r="M1973" s="2">
        <v>54400</v>
      </c>
      <c r="N1973" s="2">
        <v>54400</v>
      </c>
      <c r="O1973" s="2">
        <v>13713.2695</v>
      </c>
      <c r="P1973" s="2">
        <v>10313.2695</v>
      </c>
      <c r="Q1973" s="2">
        <v>165012.31210000001</v>
      </c>
      <c r="R1973" s="4">
        <v>0.75206496167757364</v>
      </c>
      <c r="T1973">
        <v>317350</v>
      </c>
      <c r="U1973" s="2"/>
      <c r="V1973">
        <v>6237</v>
      </c>
      <c r="W1973" s="2">
        <v>6579000000</v>
      </c>
      <c r="X1973" s="6">
        <v>219412.312064</v>
      </c>
      <c r="Y1973" s="38">
        <v>10010</v>
      </c>
      <c r="Z1973" s="86">
        <f>+((DETALLE_GD_1[[#This Row],[VALOR X UN (GD)]]-DETALLE_GD_1[[#This Row],[VALOR PPTO]])/DETALLE_GD_1[[#This Row],[VALOR PPTO]])</f>
        <v>-0.75206496160525393</v>
      </c>
      <c r="AA1973" s="2">
        <f>+DETALLE_GD_1[[#This Row],[VALOR PPTO]]*DETALLE_GD_1[[#This Row],[CANTIDAD RECIBIDA]]</f>
        <v>219412.31200000001</v>
      </c>
      <c r="AB1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3" s="3">
        <f>+DETALLE_GD_1[[#This Row],[CANTIDAD SOLICITADA]]-DETALLE_GD_1[[#This Row],[DEVOLUCIÓN]]</f>
        <v>16</v>
      </c>
      <c r="AD1973" s="38" t="str">
        <f>+_xlfn.XLOOKUP(DETALLE_GD_1[[#This Row],[CODIGO]],PRODUCTOS[CODIGO],PRODUCTOS[DESC CORTA],"",0)</f>
        <v>NARIZ GRADA ALUMINIO</v>
      </c>
    </row>
    <row r="1974" spans="1:30" x14ac:dyDescent="0.25">
      <c r="A1974" s="1">
        <v>46175</v>
      </c>
      <c r="B1974" s="1">
        <v>46171</v>
      </c>
      <c r="C1974" s="81" t="s">
        <v>169</v>
      </c>
      <c r="D1974" s="38">
        <v>5</v>
      </c>
      <c r="E1974" s="81" t="s">
        <v>169</v>
      </c>
      <c r="F1974">
        <v>1103107</v>
      </c>
      <c r="G1974" s="81" t="s">
        <v>559</v>
      </c>
      <c r="H1974" s="81" t="s">
        <v>140</v>
      </c>
      <c r="I1974" s="3">
        <v>84</v>
      </c>
      <c r="J1974" s="3"/>
      <c r="K1974" s="26">
        <v>84</v>
      </c>
      <c r="L1974" s="2">
        <v>1200</v>
      </c>
      <c r="M1974" s="2">
        <v>100800</v>
      </c>
      <c r="N1974" s="2">
        <v>100800</v>
      </c>
      <c r="O1974" s="2">
        <v>5092</v>
      </c>
      <c r="P1974" s="2">
        <v>3892</v>
      </c>
      <c r="Q1974" s="2">
        <v>326928</v>
      </c>
      <c r="R1974" s="4">
        <v>0.76433621366849946</v>
      </c>
      <c r="T1974">
        <v>317350</v>
      </c>
      <c r="U1974" s="2"/>
      <c r="V1974">
        <v>6237</v>
      </c>
      <c r="W1974" s="2">
        <v>6579000000</v>
      </c>
      <c r="X1974" s="6">
        <v>427728</v>
      </c>
      <c r="Y1974" s="38">
        <v>10010</v>
      </c>
      <c r="Z1974" s="86">
        <f>+((DETALLE_GD_1[[#This Row],[VALOR X UN (GD)]]-DETALLE_GD_1[[#This Row],[VALOR PPTO]])/DETALLE_GD_1[[#This Row],[VALOR PPTO]])</f>
        <v>-0.76433621366849958</v>
      </c>
      <c r="AA1974" s="2">
        <f>+DETALLE_GD_1[[#This Row],[VALOR PPTO]]*DETALLE_GD_1[[#This Row],[CANTIDAD RECIBIDA]]</f>
        <v>427728</v>
      </c>
      <c r="AB19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4" s="3">
        <f>+DETALLE_GD_1[[#This Row],[CANTIDAD SOLICITADA]]-DETALLE_GD_1[[#This Row],[DEVOLUCIÓN]]</f>
        <v>84</v>
      </c>
      <c r="AD1974" s="38" t="str">
        <f>+_xlfn.XLOOKUP(DETALLE_GD_1[[#This Row],[CODIGO]],PRODUCTOS[CODIGO],PRODUCTOS[DESC CORTA],"",0)</f>
        <v/>
      </c>
    </row>
    <row r="1975" spans="1:30" x14ac:dyDescent="0.25">
      <c r="A1975" s="1">
        <v>46175</v>
      </c>
      <c r="B1975" s="1">
        <v>46171</v>
      </c>
      <c r="C1975" s="81" t="s">
        <v>169</v>
      </c>
      <c r="D1975" s="38">
        <v>5</v>
      </c>
      <c r="E1975" s="81" t="s">
        <v>169</v>
      </c>
      <c r="F1975">
        <v>1103105</v>
      </c>
      <c r="G1975" s="81" t="s">
        <v>558</v>
      </c>
      <c r="H1975" s="81" t="s">
        <v>140</v>
      </c>
      <c r="I1975" s="3">
        <v>93</v>
      </c>
      <c r="J1975" s="3"/>
      <c r="K1975" s="26">
        <v>93</v>
      </c>
      <c r="L1975" s="2">
        <v>1200</v>
      </c>
      <c r="M1975" s="2">
        <v>111600</v>
      </c>
      <c r="N1975" s="2">
        <v>111600</v>
      </c>
      <c r="O1975" s="2">
        <v>5092</v>
      </c>
      <c r="P1975" s="2">
        <v>3892</v>
      </c>
      <c r="Q1975" s="2">
        <v>361956</v>
      </c>
      <c r="R1975" s="4">
        <v>0.76433621366849946</v>
      </c>
      <c r="T1975">
        <v>317350</v>
      </c>
      <c r="U1975" s="2"/>
      <c r="V1975">
        <v>6237</v>
      </c>
      <c r="W1975" s="2">
        <v>6579000000</v>
      </c>
      <c r="X1975" s="6">
        <v>473556</v>
      </c>
      <c r="Y1975" s="38">
        <v>10010</v>
      </c>
      <c r="Z1975" s="86">
        <f>+((DETALLE_GD_1[[#This Row],[VALOR X UN (GD)]]-DETALLE_GD_1[[#This Row],[VALOR PPTO]])/DETALLE_GD_1[[#This Row],[VALOR PPTO]])</f>
        <v>-0.76433621366849958</v>
      </c>
      <c r="AA1975" s="2">
        <f>+DETALLE_GD_1[[#This Row],[VALOR PPTO]]*DETALLE_GD_1[[#This Row],[CANTIDAD RECIBIDA]]</f>
        <v>473556</v>
      </c>
      <c r="AB1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5" s="3">
        <f>+DETALLE_GD_1[[#This Row],[CANTIDAD SOLICITADA]]-DETALLE_GD_1[[#This Row],[DEVOLUCIÓN]]</f>
        <v>93</v>
      </c>
      <c r="AD1975" s="38" t="str">
        <f>+_xlfn.XLOOKUP(DETALLE_GD_1[[#This Row],[CODIGO]],PRODUCTOS[CODIGO],PRODUCTOS[DESC CORTA],"",0)</f>
        <v/>
      </c>
    </row>
    <row r="1976" spans="1:30" x14ac:dyDescent="0.25">
      <c r="A1976" s="1">
        <v>46175</v>
      </c>
      <c r="B1976" s="1">
        <v>46171</v>
      </c>
      <c r="C1976" s="81" t="s">
        <v>169</v>
      </c>
      <c r="D1976" s="38">
        <v>5</v>
      </c>
      <c r="E1976" s="81" t="s">
        <v>169</v>
      </c>
      <c r="F1976" t="s">
        <v>787</v>
      </c>
      <c r="G1976" s="81" t="s">
        <v>95</v>
      </c>
      <c r="H1976" s="81" t="s">
        <v>31</v>
      </c>
      <c r="I1976" s="3">
        <v>64</v>
      </c>
      <c r="J1976" s="3"/>
      <c r="K1976" s="26">
        <v>64</v>
      </c>
      <c r="L1976" s="2">
        <v>3021.2811999999999</v>
      </c>
      <c r="M1976" s="2">
        <v>193362</v>
      </c>
      <c r="N1976" s="2">
        <v>193362</v>
      </c>
      <c r="O1976" s="2">
        <v>3021.2829000000002</v>
      </c>
      <c r="P1976" s="2">
        <v>1.6000000000000001E-3</v>
      </c>
      <c r="Q1976" s="2">
        <v>0.1036</v>
      </c>
      <c r="R1976" s="4">
        <v>5.358650847245703E-7</v>
      </c>
      <c r="T1976">
        <v>317350</v>
      </c>
      <c r="U1976" s="2"/>
      <c r="V1976">
        <v>6237</v>
      </c>
      <c r="W1976" s="2">
        <v>6579000000</v>
      </c>
      <c r="X1976" s="6">
        <v>193362.10361600004</v>
      </c>
      <c r="Y1976" s="38">
        <v>10010</v>
      </c>
      <c r="Z1976" s="86">
        <f>+((DETALLE_GD_1[[#This Row],[VALOR X UN (GD)]]-DETALLE_GD_1[[#This Row],[VALOR PPTO]])/DETALLE_GD_1[[#This Row],[VALOR PPTO]])</f>
        <v>-5.6267488233405282E-7</v>
      </c>
      <c r="AA1976" s="2">
        <f>+DETALLE_GD_1[[#This Row],[VALOR PPTO]]*DETALLE_GD_1[[#This Row],[CANTIDAD RECIBIDA]]</f>
        <v>193362.10560000001</v>
      </c>
      <c r="AB1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6" s="3">
        <f>+DETALLE_GD_1[[#This Row],[CANTIDAD SOLICITADA]]-DETALLE_GD_1[[#This Row],[DEVOLUCIÓN]]</f>
        <v>64</v>
      </c>
      <c r="AD1976" s="38" t="str">
        <f>+_xlfn.XLOOKUP(DETALLE_GD_1[[#This Row],[CODIGO]],PRODUCTOS[CODIGO],PRODUCTOS[DESC CORTA],"",0)</f>
        <v>TOPE DE PUERTA</v>
      </c>
    </row>
    <row r="1977" spans="1:30" x14ac:dyDescent="0.25">
      <c r="A1977" s="1">
        <v>46175</v>
      </c>
      <c r="B1977" s="1">
        <v>46171</v>
      </c>
      <c r="C1977" s="81" t="s">
        <v>169</v>
      </c>
      <c r="D1977" s="38">
        <v>5</v>
      </c>
      <c r="E1977" s="81" t="s">
        <v>169</v>
      </c>
      <c r="F1977">
        <v>704024</v>
      </c>
      <c r="G1977" s="81" t="s">
        <v>332</v>
      </c>
      <c r="H1977" s="81" t="s">
        <v>31</v>
      </c>
      <c r="I1977" s="3">
        <v>64</v>
      </c>
      <c r="J1977" s="3"/>
      <c r="K1977" s="26">
        <v>64</v>
      </c>
      <c r="L1977" s="2">
        <v>317.9375</v>
      </c>
      <c r="M1977" s="2">
        <v>20348</v>
      </c>
      <c r="N1977" s="2">
        <v>20348</v>
      </c>
      <c r="O1977" s="2">
        <v>363</v>
      </c>
      <c r="P1977" s="2">
        <v>45.0625</v>
      </c>
      <c r="Q1977" s="2">
        <v>2884</v>
      </c>
      <c r="R1977" s="4">
        <v>0.12413911845730027</v>
      </c>
      <c r="T1977">
        <v>317350</v>
      </c>
      <c r="U1977" s="2"/>
      <c r="V1977">
        <v>6237</v>
      </c>
      <c r="W1977" s="2">
        <v>6579000000</v>
      </c>
      <c r="X1977" s="6">
        <v>23232</v>
      </c>
      <c r="Y1977" s="38">
        <v>10010</v>
      </c>
      <c r="Z1977" s="86">
        <f>+((DETALLE_GD_1[[#This Row],[VALOR X UN (GD)]]-DETALLE_GD_1[[#This Row],[VALOR PPTO]])/DETALLE_GD_1[[#This Row],[VALOR PPTO]])</f>
        <v>-0.12413911845730027</v>
      </c>
      <c r="AA1977" s="2">
        <f>+DETALLE_GD_1[[#This Row],[VALOR PPTO]]*DETALLE_GD_1[[#This Row],[CANTIDAD RECIBIDA]]</f>
        <v>23232</v>
      </c>
      <c r="AB1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7" s="3">
        <f>+DETALLE_GD_1[[#This Row],[CANTIDAD SOLICITADA]]-DETALLE_GD_1[[#This Row],[DEVOLUCIÓN]]</f>
        <v>64</v>
      </c>
      <c r="AD1977" s="38" t="str">
        <f>+_xlfn.XLOOKUP(DETALLE_GD_1[[#This Row],[CODIGO]],PRODUCTOS[CODIGO],PRODUCTOS[DESC CORTA],"",0)</f>
        <v>ESQUINERO CORNIZA EXTERIOR</v>
      </c>
    </row>
    <row r="1978" spans="1:30" x14ac:dyDescent="0.25">
      <c r="A1978" s="1">
        <v>46175</v>
      </c>
      <c r="B1978" s="1">
        <v>46171</v>
      </c>
      <c r="C1978" s="81" t="s">
        <v>169</v>
      </c>
      <c r="D1978" s="38">
        <v>5</v>
      </c>
      <c r="E1978" s="81" t="s">
        <v>169</v>
      </c>
      <c r="F1978">
        <v>704022</v>
      </c>
      <c r="G1978" s="81" t="s">
        <v>330</v>
      </c>
      <c r="H1978" s="81" t="s">
        <v>31</v>
      </c>
      <c r="I1978" s="3">
        <v>304</v>
      </c>
      <c r="J1978" s="3"/>
      <c r="K1978" s="26">
        <v>304</v>
      </c>
      <c r="L1978" s="2">
        <v>258.38490000000002</v>
      </c>
      <c r="M1978" s="2">
        <v>78549</v>
      </c>
      <c r="N1978" s="2">
        <v>78549</v>
      </c>
      <c r="O1978" s="2">
        <v>306</v>
      </c>
      <c r="P1978" s="2">
        <v>47.615099999999998</v>
      </c>
      <c r="Q1978" s="2">
        <v>14475</v>
      </c>
      <c r="R1978" s="4">
        <v>0.15560500515995879</v>
      </c>
      <c r="T1978">
        <v>317350</v>
      </c>
      <c r="U1978" s="2"/>
      <c r="V1978">
        <v>6237</v>
      </c>
      <c r="W1978" s="2">
        <v>6579000000</v>
      </c>
      <c r="X1978" s="6">
        <v>93024.000000000015</v>
      </c>
      <c r="Y1978" s="38">
        <v>10010</v>
      </c>
      <c r="Z1978" s="86">
        <f>+((DETALLE_GD_1[[#This Row],[VALOR X UN (GD)]]-DETALLE_GD_1[[#This Row],[VALOR PPTO]])/DETALLE_GD_1[[#This Row],[VALOR PPTO]])</f>
        <v>-0.15560490196078425</v>
      </c>
      <c r="AA1978" s="2">
        <f>+DETALLE_GD_1[[#This Row],[VALOR PPTO]]*DETALLE_GD_1[[#This Row],[CANTIDAD RECIBIDA]]</f>
        <v>93024</v>
      </c>
      <c r="AB1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8" s="3">
        <f>+DETALLE_GD_1[[#This Row],[CANTIDAD SOLICITADA]]-DETALLE_GD_1[[#This Row],[DEVOLUCIÓN]]</f>
        <v>304</v>
      </c>
      <c r="AD1978" s="38" t="str">
        <f>+_xlfn.XLOOKUP(DETALLE_GD_1[[#This Row],[CODIGO]],PRODUCTOS[CODIGO],PRODUCTOS[DESC CORTA],"",0)</f>
        <v>ESQUINERO CORNIZA INTERIOR</v>
      </c>
    </row>
    <row r="1979" spans="1:30" x14ac:dyDescent="0.25">
      <c r="A1979" s="1">
        <v>46175</v>
      </c>
      <c r="B1979" s="1">
        <v>46171</v>
      </c>
      <c r="C1979" s="81" t="s">
        <v>169</v>
      </c>
      <c r="D1979" s="38">
        <v>5</v>
      </c>
      <c r="E1979" s="81" t="s">
        <v>169</v>
      </c>
      <c r="F1979">
        <v>307032</v>
      </c>
      <c r="G1979" s="81" t="s">
        <v>186</v>
      </c>
      <c r="H1979" s="81" t="s">
        <v>137</v>
      </c>
      <c r="I1979" s="3">
        <v>160</v>
      </c>
      <c r="J1979" s="3"/>
      <c r="K1979" s="26">
        <v>160</v>
      </c>
      <c r="L1979" s="2">
        <v>2181.3249999999998</v>
      </c>
      <c r="M1979" s="2">
        <v>349012</v>
      </c>
      <c r="N1979" s="2">
        <v>349012</v>
      </c>
      <c r="O1979" s="2">
        <v>2378.375</v>
      </c>
      <c r="P1979" s="2">
        <v>197.05</v>
      </c>
      <c r="Q1979" s="2">
        <v>31528.006600000001</v>
      </c>
      <c r="R1979" s="4">
        <v>8.2850701677877212E-2</v>
      </c>
      <c r="T1979">
        <v>317350</v>
      </c>
      <c r="U1979" s="2"/>
      <c r="V1979">
        <v>6237</v>
      </c>
      <c r="W1979" s="2">
        <v>6579000000</v>
      </c>
      <c r="X1979" s="6">
        <v>380540.00655999989</v>
      </c>
      <c r="Y1979" s="38">
        <v>10010</v>
      </c>
      <c r="Z1979" s="86">
        <f>+((DETALLE_GD_1[[#This Row],[VALOR X UN (GD)]]-DETALLE_GD_1[[#This Row],[VALOR PPTO]])/DETALLE_GD_1[[#This Row],[VALOR PPTO]])</f>
        <v>-8.285068586745159E-2</v>
      </c>
      <c r="AA1979" s="2">
        <f>+DETALLE_GD_1[[#This Row],[VALOR PPTO]]*DETALLE_GD_1[[#This Row],[CANTIDAD RECIBIDA]]</f>
        <v>380540</v>
      </c>
      <c r="AB1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9" s="3">
        <f>+DETALLE_GD_1[[#This Row],[CANTIDAD SOLICITADA]]-DETALLE_GD_1[[#This Row],[DEVOLUCIÓN]]</f>
        <v>160</v>
      </c>
      <c r="AD1979" s="38">
        <f>+_xlfn.XLOOKUP(DETALLE_GD_1[[#This Row],[CODIGO]],PRODUCTOS[CODIGO],PRODUCTOS[DESC CORTA],"",0)</f>
        <v>0</v>
      </c>
    </row>
    <row r="1980" spans="1:30" x14ac:dyDescent="0.25">
      <c r="A1980" s="1">
        <v>46175</v>
      </c>
      <c r="B1980" s="1">
        <v>46171</v>
      </c>
      <c r="C1980" s="81" t="s">
        <v>169</v>
      </c>
      <c r="D1980" s="38">
        <v>5</v>
      </c>
      <c r="E1980" s="81" t="s">
        <v>169</v>
      </c>
      <c r="F1980">
        <v>307096</v>
      </c>
      <c r="G1980" s="81" t="s">
        <v>249</v>
      </c>
      <c r="H1980" s="81" t="s">
        <v>137</v>
      </c>
      <c r="I1980" s="3">
        <v>1280</v>
      </c>
      <c r="J1980" s="3"/>
      <c r="K1980" s="26">
        <v>1280</v>
      </c>
      <c r="L1980" s="2">
        <v>1651.4164000000001</v>
      </c>
      <c r="M1980" s="2">
        <v>2113813</v>
      </c>
      <c r="N1980" s="2">
        <v>2113813</v>
      </c>
      <c r="O1980" s="2">
        <v>2095.3501000000001</v>
      </c>
      <c r="P1980" s="2">
        <v>443.93369999999999</v>
      </c>
      <c r="Q1980" s="2">
        <v>568235.16509999998</v>
      </c>
      <c r="R1980" s="4">
        <v>0.21186612996361859</v>
      </c>
      <c r="T1980">
        <v>317350</v>
      </c>
      <c r="U1980" s="2"/>
      <c r="V1980">
        <v>6237</v>
      </c>
      <c r="W1980" s="2">
        <v>6579000000</v>
      </c>
      <c r="X1980" s="6">
        <v>2682048.1651199986</v>
      </c>
      <c r="Y1980" s="38">
        <v>10010</v>
      </c>
      <c r="Z1980" s="86">
        <f>+((DETALLE_GD_1[[#This Row],[VALOR X UN (GD)]]-DETALLE_GD_1[[#This Row],[VALOR PPTO]])/DETALLE_GD_1[[#This Row],[VALOR PPTO]])</f>
        <v>-0.21186612203850805</v>
      </c>
      <c r="AA1980" s="2">
        <f>+DETALLE_GD_1[[#This Row],[VALOR PPTO]]*DETALLE_GD_1[[#This Row],[CANTIDAD RECIBIDA]]</f>
        <v>2682048.128</v>
      </c>
      <c r="AB19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0" s="3">
        <f>+DETALLE_GD_1[[#This Row],[CANTIDAD SOLICITADA]]-DETALLE_GD_1[[#This Row],[DEVOLUCIÓN]]</f>
        <v>1280</v>
      </c>
      <c r="AD1980" s="38" t="str">
        <f>+_xlfn.XLOOKUP(DETALLE_GD_1[[#This Row],[CODIGO]],PRODUCTOS[CODIGO],PRODUCTOS[DESC CORTA],"",0)</f>
        <v>CUBREJUNTA</v>
      </c>
    </row>
    <row r="1981" spans="1:30" x14ac:dyDescent="0.25">
      <c r="A1981" s="1">
        <v>46175</v>
      </c>
      <c r="B1981" s="1">
        <v>46171</v>
      </c>
      <c r="C1981" s="81" t="s">
        <v>169</v>
      </c>
      <c r="D1981" s="38">
        <v>5</v>
      </c>
      <c r="E1981" s="81" t="s">
        <v>169</v>
      </c>
      <c r="F1981">
        <v>307031</v>
      </c>
      <c r="G1981" s="81" t="s">
        <v>65</v>
      </c>
      <c r="H1981" s="81" t="s">
        <v>31</v>
      </c>
      <c r="I1981" s="3">
        <v>168</v>
      </c>
      <c r="J1981" s="3"/>
      <c r="K1981" s="26">
        <v>168</v>
      </c>
      <c r="L1981" s="2">
        <v>2700</v>
      </c>
      <c r="M1981" s="2">
        <v>453600</v>
      </c>
      <c r="N1981" s="2">
        <v>453600</v>
      </c>
      <c r="O1981" s="2">
        <v>2699.9985999999999</v>
      </c>
      <c r="P1981" s="2">
        <v>-1.4E-3</v>
      </c>
      <c r="Q1981" s="2">
        <v>-0.2344</v>
      </c>
      <c r="R1981" s="4">
        <v>-5.1666693335944687E-7</v>
      </c>
      <c r="T1981">
        <v>317350</v>
      </c>
      <c r="U1981" s="2"/>
      <c r="V1981">
        <v>6237</v>
      </c>
      <c r="W1981" s="2">
        <v>6579000000</v>
      </c>
      <c r="X1981" s="6">
        <v>453599.76564000006</v>
      </c>
      <c r="Y1981" s="38">
        <v>10010</v>
      </c>
      <c r="Z1981" s="86">
        <f>+((DETALLE_GD_1[[#This Row],[VALOR X UN (GD)]]-DETALLE_GD_1[[#This Row],[VALOR PPTO]])/DETALLE_GD_1[[#This Row],[VALOR PPTO]])</f>
        <v>5.1851878741837811E-7</v>
      </c>
      <c r="AA1981" s="2">
        <f>+DETALLE_GD_1[[#This Row],[VALOR PPTO]]*DETALLE_GD_1[[#This Row],[CANTIDAD RECIBIDA]]</f>
        <v>453599.7648</v>
      </c>
      <c r="AB1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81" s="3">
        <f>+DETALLE_GD_1[[#This Row],[CANTIDAD SOLICITADA]]-DETALLE_GD_1[[#This Row],[DEVOLUCIÓN]]</f>
        <v>168</v>
      </c>
      <c r="AD1981" s="38" t="str">
        <f>+_xlfn.XLOOKUP(DETALLE_GD_1[[#This Row],[CODIGO]],PRODUCTOS[CODIGO],PRODUCTOS[DESC CORTA],"",0)</f>
        <v>CORNIZA BLANCA</v>
      </c>
    </row>
    <row r="1982" spans="1:30" x14ac:dyDescent="0.25">
      <c r="A1982" s="1">
        <v>46175</v>
      </c>
      <c r="B1982" s="1">
        <v>46171</v>
      </c>
      <c r="C1982" s="81" t="s">
        <v>169</v>
      </c>
      <c r="D1982" s="38">
        <v>5</v>
      </c>
      <c r="E1982" s="81" t="s">
        <v>169</v>
      </c>
      <c r="F1982">
        <v>1901038</v>
      </c>
      <c r="G1982" s="81" t="s">
        <v>39</v>
      </c>
      <c r="H1982" s="81" t="s">
        <v>26</v>
      </c>
      <c r="I1982" s="3">
        <v>135</v>
      </c>
      <c r="J1982" s="3"/>
      <c r="K1982" s="26">
        <v>135</v>
      </c>
      <c r="L1982" s="2">
        <v>4992.6369999999997</v>
      </c>
      <c r="M1982" s="2">
        <v>674006</v>
      </c>
      <c r="N1982" s="2">
        <v>674006</v>
      </c>
      <c r="O1982" s="2">
        <v>4197.4179000000004</v>
      </c>
      <c r="P1982" s="2">
        <v>-795.2192</v>
      </c>
      <c r="Q1982" s="2">
        <v>-107354.58689999999</v>
      </c>
      <c r="R1982" s="4">
        <v>-0.18945437069141841</v>
      </c>
      <c r="T1982">
        <v>317350</v>
      </c>
      <c r="U1982" s="2"/>
      <c r="V1982">
        <v>6237</v>
      </c>
      <c r="W1982" s="2">
        <v>6579000000</v>
      </c>
      <c r="X1982" s="6">
        <v>566651.41312500008</v>
      </c>
      <c r="Y1982" s="38">
        <v>10010</v>
      </c>
      <c r="Z1982" s="86">
        <f>+((DETALLE_GD_1[[#This Row],[VALOR X UN (GD)]]-DETALLE_GD_1[[#This Row],[VALOR PPTO]])/DETALLE_GD_1[[#This Row],[VALOR PPTO]])</f>
        <v>0.18945435478321071</v>
      </c>
      <c r="AA1982" s="2">
        <f>+DETALLE_GD_1[[#This Row],[VALOR PPTO]]*DETALLE_GD_1[[#This Row],[CANTIDAD RECIBIDA]]</f>
        <v>566651.41650000005</v>
      </c>
      <c r="AB19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2" s="3">
        <f>+DETALLE_GD_1[[#This Row],[CANTIDAD SOLICITADA]]-DETALLE_GD_1[[#This Row],[DEVOLUCIÓN]]</f>
        <v>135</v>
      </c>
      <c r="AD1982" s="38" t="str">
        <f>+_xlfn.XLOOKUP(DETALLE_GD_1[[#This Row],[CODIGO]],PRODUCTOS[CODIGO],PRODUCTOS[DESC CORTA],"",0)</f>
        <v>AISLAN ROCA 90MM</v>
      </c>
    </row>
    <row r="1983" spans="1:30" x14ac:dyDescent="0.25">
      <c r="A1983" s="1">
        <v>46175</v>
      </c>
      <c r="B1983" s="1">
        <v>46171</v>
      </c>
      <c r="C1983" s="81" t="s">
        <v>169</v>
      </c>
      <c r="D1983" s="38">
        <v>5</v>
      </c>
      <c r="E1983" s="81" t="s">
        <v>169</v>
      </c>
      <c r="F1983">
        <v>1901008</v>
      </c>
      <c r="G1983" s="81" t="s">
        <v>278</v>
      </c>
      <c r="H1983" s="81" t="s">
        <v>26</v>
      </c>
      <c r="I1983" s="3">
        <v>216</v>
      </c>
      <c r="J1983" s="3"/>
      <c r="K1983" s="26">
        <v>216</v>
      </c>
      <c r="L1983" s="2">
        <v>2057.0787</v>
      </c>
      <c r="M1983" s="2">
        <v>444329</v>
      </c>
      <c r="N1983" s="2">
        <v>444329</v>
      </c>
      <c r="O1983" s="2">
        <v>2112.7957999999999</v>
      </c>
      <c r="P1983" s="2">
        <v>55.717100000000002</v>
      </c>
      <c r="Q1983" s="2">
        <v>12034.888300000001</v>
      </c>
      <c r="R1983" s="4">
        <v>2.6371254548164313E-2</v>
      </c>
      <c r="T1983">
        <v>317350</v>
      </c>
      <c r="U1983" s="2"/>
      <c r="V1983">
        <v>6237</v>
      </c>
      <c r="W1983" s="2">
        <v>6579000000</v>
      </c>
      <c r="X1983" s="6">
        <v>456363.88826400001</v>
      </c>
      <c r="Y1983" s="38">
        <v>10010</v>
      </c>
      <c r="Z1983" s="86">
        <f>+((DETALLE_GD_1[[#This Row],[VALOR X UN (GD)]]-DETALLE_GD_1[[#This Row],[VALOR PPTO]])/DETALLE_GD_1[[#This Row],[VALOR PPTO]])</f>
        <v>-2.6371265978472624E-2</v>
      </c>
      <c r="AA1983" s="2">
        <f>+DETALLE_GD_1[[#This Row],[VALOR PPTO]]*DETALLE_GD_1[[#This Row],[CANTIDAD RECIBIDA]]</f>
        <v>456363.89279999997</v>
      </c>
      <c r="AB1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3" s="3">
        <f>+DETALLE_GD_1[[#This Row],[CANTIDAD SOLICITADA]]-DETALLE_GD_1[[#This Row],[DEVOLUCIÓN]]</f>
        <v>216</v>
      </c>
      <c r="AD1983" s="38" t="str">
        <f>+_xlfn.XLOOKUP(DETALLE_GD_1[[#This Row],[CODIGO]],PRODUCTOS[CODIGO],PRODUCTOS[DESC CORTA],"",0)</f>
        <v>AISLAN GLASS 90MM</v>
      </c>
    </row>
    <row r="1984" spans="1:30" x14ac:dyDescent="0.25">
      <c r="A1984" s="1">
        <v>46175</v>
      </c>
      <c r="B1984" s="1">
        <v>46171</v>
      </c>
      <c r="C1984" s="81" t="s">
        <v>169</v>
      </c>
      <c r="D1984" s="38">
        <v>5</v>
      </c>
      <c r="E1984" s="81" t="s">
        <v>169</v>
      </c>
      <c r="F1984">
        <v>1902013</v>
      </c>
      <c r="G1984" s="81" t="s">
        <v>338</v>
      </c>
      <c r="H1984" s="81" t="s">
        <v>47</v>
      </c>
      <c r="I1984" s="3">
        <v>4</v>
      </c>
      <c r="J1984" s="3"/>
      <c r="K1984" s="26">
        <v>4</v>
      </c>
      <c r="L1984" s="2">
        <v>39232.5</v>
      </c>
      <c r="M1984" s="2">
        <v>156930</v>
      </c>
      <c r="N1984" s="2">
        <v>156930</v>
      </c>
      <c r="O1984" s="2">
        <v>29779</v>
      </c>
      <c r="P1984" s="2">
        <v>-9453.5</v>
      </c>
      <c r="Q1984" s="2">
        <v>-37814</v>
      </c>
      <c r="R1984" s="4">
        <v>-0.3174552537022734</v>
      </c>
      <c r="T1984">
        <v>317350</v>
      </c>
      <c r="U1984" s="2"/>
      <c r="V1984">
        <v>6237</v>
      </c>
      <c r="W1984" s="2">
        <v>6579000000</v>
      </c>
      <c r="X1984" s="6">
        <v>119116</v>
      </c>
      <c r="Y1984" s="38">
        <v>10010</v>
      </c>
      <c r="Z1984" s="86">
        <f>+((DETALLE_GD_1[[#This Row],[VALOR X UN (GD)]]-DETALLE_GD_1[[#This Row],[VALOR PPTO]])/DETALLE_GD_1[[#This Row],[VALOR PPTO]])</f>
        <v>0.3174552537022734</v>
      </c>
      <c r="AA1984" s="2">
        <f>+DETALLE_GD_1[[#This Row],[VALOR PPTO]]*DETALLE_GD_1[[#This Row],[CANTIDAD RECIBIDA]]</f>
        <v>119116</v>
      </c>
      <c r="AB19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4" s="3">
        <f>+DETALLE_GD_1[[#This Row],[CANTIDAD SOLICITADA]]-DETALLE_GD_1[[#This Row],[DEVOLUCIÓN]]</f>
        <v>4</v>
      </c>
      <c r="AD1984" s="38">
        <f>+_xlfn.XLOOKUP(DETALLE_GD_1[[#This Row],[CODIGO]],PRODUCTOS[CODIGO],PRODUCTOS[DESC CORTA],"",0)</f>
        <v>0</v>
      </c>
    </row>
    <row r="1985" spans="1:30" x14ac:dyDescent="0.25">
      <c r="A1985" s="1">
        <v>46175</v>
      </c>
      <c r="B1985" s="1">
        <v>46171</v>
      </c>
      <c r="C1985" s="81" t="s">
        <v>169</v>
      </c>
      <c r="D1985" s="38">
        <v>5</v>
      </c>
      <c r="E1985" s="81" t="s">
        <v>169</v>
      </c>
      <c r="F1985">
        <v>701096</v>
      </c>
      <c r="G1985" s="81" t="s">
        <v>204</v>
      </c>
      <c r="H1985" s="81" t="s">
        <v>18</v>
      </c>
      <c r="I1985" s="3">
        <v>124</v>
      </c>
      <c r="J1985" s="3"/>
      <c r="K1985" s="26">
        <v>124</v>
      </c>
      <c r="L1985" s="2">
        <v>16127.1613</v>
      </c>
      <c r="M1985" s="2">
        <v>1999768</v>
      </c>
      <c r="N1985" s="2">
        <v>1999768</v>
      </c>
      <c r="O1985" s="2">
        <v>16019.885700000001</v>
      </c>
      <c r="P1985" s="2">
        <v>-107.2756</v>
      </c>
      <c r="Q1985" s="2">
        <v>-13302.1751</v>
      </c>
      <c r="R1985" s="4">
        <v>-6.6964026730243469E-3</v>
      </c>
      <c r="T1985">
        <v>317350</v>
      </c>
      <c r="U1985" s="2"/>
      <c r="V1985">
        <v>6237</v>
      </c>
      <c r="W1985" s="2">
        <v>6579000000</v>
      </c>
      <c r="X1985" s="6">
        <v>1986465.8249400004</v>
      </c>
      <c r="Y1985" s="38">
        <v>10010</v>
      </c>
      <c r="Z1985" s="86">
        <f>+((DETALLE_GD_1[[#This Row],[VALOR X UN (GD)]]-DETALLE_GD_1[[#This Row],[VALOR PPTO]])/DETALLE_GD_1[[#This Row],[VALOR PPTO]])</f>
        <v>6.6964023345059834E-3</v>
      </c>
      <c r="AA1985" s="2">
        <f>+DETALLE_GD_1[[#This Row],[VALOR PPTO]]*DETALLE_GD_1[[#This Row],[CANTIDAD RECIBIDA]]</f>
        <v>1986465.8268000002</v>
      </c>
      <c r="AB1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5" s="3">
        <f>+DETALLE_GD_1[[#This Row],[CANTIDAD SOLICITADA]]-DETALLE_GD_1[[#This Row],[DEVOLUCIÓN]]</f>
        <v>124</v>
      </c>
      <c r="AD1985" s="38" t="str">
        <f>+_xlfn.XLOOKUP(DETALLE_GD_1[[#This Row],[CODIGO]],PRODUCTOS[CODIGO],PRODUCTOS[DESC CORTA],"",0)</f>
        <v>VOCANITA EMPAPELADA MURO</v>
      </c>
    </row>
    <row r="1986" spans="1:30" x14ac:dyDescent="0.25">
      <c r="A1986" s="1">
        <v>46175</v>
      </c>
      <c r="B1986" s="1">
        <v>46171</v>
      </c>
      <c r="C1986" s="81" t="s">
        <v>169</v>
      </c>
      <c r="D1986" s="38">
        <v>5</v>
      </c>
      <c r="E1986" s="81" t="s">
        <v>169</v>
      </c>
      <c r="F1986">
        <v>304007</v>
      </c>
      <c r="G1986" s="81" t="s">
        <v>80</v>
      </c>
      <c r="H1986" s="81" t="s">
        <v>18</v>
      </c>
      <c r="I1986" s="3">
        <v>28</v>
      </c>
      <c r="J1986" s="3"/>
      <c r="K1986" s="26">
        <v>28</v>
      </c>
      <c r="L1986" s="2">
        <v>11200.142900000001</v>
      </c>
      <c r="M1986" s="2">
        <v>313604</v>
      </c>
      <c r="N1986" s="2">
        <v>313604</v>
      </c>
      <c r="O1986" s="2">
        <v>11444.352999999999</v>
      </c>
      <c r="P1986" s="2">
        <v>244.21019999999999</v>
      </c>
      <c r="Q1986" s="2">
        <v>6837.8846000000003</v>
      </c>
      <c r="R1986" s="4">
        <v>2.1338922732257785E-2</v>
      </c>
      <c r="T1986">
        <v>317350</v>
      </c>
      <c r="U1986" s="2"/>
      <c r="V1986">
        <v>6237</v>
      </c>
      <c r="W1986" s="2">
        <v>6579000000</v>
      </c>
      <c r="X1986" s="6">
        <v>320441.88461599988</v>
      </c>
      <c r="Y1986" s="38">
        <v>10010</v>
      </c>
      <c r="Z1986" s="86">
        <f>+((DETALLE_GD_1[[#This Row],[VALOR X UN (GD)]]-DETALLE_GD_1[[#This Row],[VALOR PPTO]])/DETALLE_GD_1[[#This Row],[VALOR PPTO]])</f>
        <v>-2.1338917106104506E-2</v>
      </c>
      <c r="AA1986" s="2">
        <f>+DETALLE_GD_1[[#This Row],[VALOR PPTO]]*DETALLE_GD_1[[#This Row],[CANTIDAD RECIBIDA]]</f>
        <v>320441.88399999996</v>
      </c>
      <c r="AB19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6" s="3">
        <f>+DETALLE_GD_1[[#This Row],[CANTIDAD SOLICITADA]]-DETALLE_GD_1[[#This Row],[DEVOLUCIÓN]]</f>
        <v>28</v>
      </c>
      <c r="AD1986" s="38" t="str">
        <f>+_xlfn.XLOOKUP(DETALLE_GD_1[[#This Row],[CODIGO]],PRODUCTOS[CODIGO],PRODUCTOS[DESC CORTA],"",0)</f>
        <v>OSB 11MM</v>
      </c>
    </row>
    <row r="1987" spans="1:30" x14ac:dyDescent="0.25">
      <c r="A1987" s="1">
        <v>46175</v>
      </c>
      <c r="B1987" s="1">
        <v>46171</v>
      </c>
      <c r="C1987" s="81" t="s">
        <v>169</v>
      </c>
      <c r="D1987" s="38">
        <v>5</v>
      </c>
      <c r="E1987" s="81" t="s">
        <v>169</v>
      </c>
      <c r="F1987">
        <v>304101</v>
      </c>
      <c r="G1987" s="81" t="s">
        <v>17</v>
      </c>
      <c r="H1987" s="81" t="s">
        <v>18</v>
      </c>
      <c r="I1987" s="3">
        <v>36</v>
      </c>
      <c r="J1987" s="3"/>
      <c r="K1987" s="26">
        <v>36</v>
      </c>
      <c r="L1987" s="2">
        <v>9617.1666999999998</v>
      </c>
      <c r="M1987" s="2">
        <v>346218</v>
      </c>
      <c r="N1987" s="2">
        <v>346218</v>
      </c>
      <c r="O1987" s="2">
        <v>9657.5879999999997</v>
      </c>
      <c r="P1987" s="2">
        <v>40.421300000000002</v>
      </c>
      <c r="Q1987" s="2">
        <v>1455.1661999999999</v>
      </c>
      <c r="R1987" s="4">
        <v>4.1854429431666274E-3</v>
      </c>
      <c r="T1987">
        <v>317350</v>
      </c>
      <c r="U1987" s="2"/>
      <c r="V1987">
        <v>6237</v>
      </c>
      <c r="W1987" s="2">
        <v>6579000000</v>
      </c>
      <c r="X1987" s="6">
        <v>347673.16620000015</v>
      </c>
      <c r="Y1987" s="38">
        <v>10010</v>
      </c>
      <c r="Z1987" s="86">
        <f>+((DETALLE_GD_1[[#This Row],[VALOR X UN (GD)]]-DETALLE_GD_1[[#This Row],[VALOR PPTO]])/DETALLE_GD_1[[#This Row],[VALOR PPTO]])</f>
        <v>-4.1854446472556059E-3</v>
      </c>
      <c r="AA1987" s="2">
        <f>+DETALLE_GD_1[[#This Row],[VALOR PPTO]]*DETALLE_GD_1[[#This Row],[CANTIDAD RECIBIDA]]</f>
        <v>347673.16800000001</v>
      </c>
      <c r="AB19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7" s="3">
        <f>+DETALLE_GD_1[[#This Row],[CANTIDAD SOLICITADA]]-DETALLE_GD_1[[#This Row],[DEVOLUCIÓN]]</f>
        <v>36</v>
      </c>
      <c r="AD1987" s="38" t="str">
        <f>+_xlfn.XLOOKUP(DETALLE_GD_1[[#This Row],[CODIGO]],PRODUCTOS[CODIGO],PRODUCTOS[DESC CORTA],"",0)</f>
        <v>OSB 9.5</v>
      </c>
    </row>
    <row r="1988" spans="1:30" x14ac:dyDescent="0.25">
      <c r="A1988" s="1">
        <v>46175</v>
      </c>
      <c r="B1988" s="1">
        <v>46175</v>
      </c>
      <c r="C1988" s="81" t="s">
        <v>169</v>
      </c>
      <c r="D1988" s="38">
        <v>6</v>
      </c>
      <c r="E1988" s="81" t="s">
        <v>169</v>
      </c>
      <c r="F1988">
        <v>407185</v>
      </c>
      <c r="G1988" s="81" t="s">
        <v>43</v>
      </c>
      <c r="H1988" s="81" t="s">
        <v>31</v>
      </c>
      <c r="I1988" s="3">
        <v>5000</v>
      </c>
      <c r="J1988" s="3"/>
      <c r="K1988" s="26">
        <v>5000</v>
      </c>
      <c r="L1988" s="2">
        <v>6.2656000000000001</v>
      </c>
      <c r="M1988" s="2">
        <v>31328</v>
      </c>
      <c r="N1988" s="2">
        <v>31328</v>
      </c>
      <c r="O1988" s="2">
        <v>6.8783000000000003</v>
      </c>
      <c r="P1988" s="2">
        <v>0.61270000000000002</v>
      </c>
      <c r="Q1988" s="2">
        <v>3063.6</v>
      </c>
      <c r="R1988" s="4">
        <v>8.9079891601437602E-2</v>
      </c>
      <c r="T1988">
        <v>317375</v>
      </c>
      <c r="U1988" s="2">
        <v>1228206</v>
      </c>
      <c r="V1988">
        <v>6266</v>
      </c>
      <c r="W1988" s="2">
        <v>6579000000</v>
      </c>
      <c r="X1988" s="6">
        <v>34391.599999999999</v>
      </c>
      <c r="Y1988" s="38">
        <v>10010</v>
      </c>
      <c r="Z1988" s="86">
        <f>+((DETALLE_GD_1[[#This Row],[VALOR X UN (GD)]]-DETALLE_GD_1[[#This Row],[VALOR PPTO]])/DETALLE_GD_1[[#This Row],[VALOR PPTO]])</f>
        <v>-8.9077242923396804E-2</v>
      </c>
      <c r="AA1988" s="2">
        <f>+DETALLE_GD_1[[#This Row],[VALOR PPTO]]*DETALLE_GD_1[[#This Row],[CANTIDAD RECIBIDA]]</f>
        <v>34391.5</v>
      </c>
      <c r="AB19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88" s="3">
        <f>+DETALLE_GD_1[[#This Row],[CANTIDAD SOLICITADA]]-DETALLE_GD_1[[#This Row],[DEVOLUCIÓN]]</f>
        <v>5000</v>
      </c>
      <c r="AD1988" s="38">
        <f>+_xlfn.XLOOKUP(DETALLE_GD_1[[#This Row],[CODIGO]],PRODUCTOS[CODIGO],PRODUCTOS[DESC CORTA],"",0)</f>
        <v>0</v>
      </c>
    </row>
    <row r="1989" spans="1:30" x14ac:dyDescent="0.25">
      <c r="A1989" s="1">
        <v>46175</v>
      </c>
      <c r="B1989" s="1">
        <v>46175</v>
      </c>
      <c r="C1989" s="81" t="s">
        <v>169</v>
      </c>
      <c r="D1989" s="38">
        <v>6</v>
      </c>
      <c r="E1989" s="81" t="s">
        <v>169</v>
      </c>
      <c r="F1989">
        <v>407423</v>
      </c>
      <c r="G1989" s="81" t="s">
        <v>106</v>
      </c>
      <c r="H1989" s="81" t="s">
        <v>31</v>
      </c>
      <c r="I1989" s="3">
        <v>5000</v>
      </c>
      <c r="J1989" s="3"/>
      <c r="K1989" s="26">
        <v>5000</v>
      </c>
      <c r="L1989" s="2">
        <v>3.4662000000000002</v>
      </c>
      <c r="M1989" s="2">
        <v>17331</v>
      </c>
      <c r="N1989" s="2">
        <v>17331</v>
      </c>
      <c r="O1989" s="2">
        <v>106.6405</v>
      </c>
      <c r="P1989" s="2">
        <v>103.1743</v>
      </c>
      <c r="Q1989" s="2">
        <v>515871.5099</v>
      </c>
      <c r="R1989" s="4">
        <v>0.96749640206563281</v>
      </c>
      <c r="T1989">
        <v>317375</v>
      </c>
      <c r="U1989" s="2"/>
      <c r="V1989">
        <v>6266</v>
      </c>
      <c r="W1989" s="2">
        <v>6579000000</v>
      </c>
      <c r="X1989" s="6">
        <v>533202.50991891895</v>
      </c>
      <c r="Y1989" s="38">
        <v>10010</v>
      </c>
      <c r="Z1989" s="86">
        <f>+((DETALLE_GD_1[[#This Row],[VALOR X UN (GD)]]-DETALLE_GD_1[[#This Row],[VALOR PPTO]])/DETALLE_GD_1[[#This Row],[VALOR PPTO]])</f>
        <v>-0.96749640146098337</v>
      </c>
      <c r="AA1989" s="2">
        <f>+DETALLE_GD_1[[#This Row],[VALOR PPTO]]*DETALLE_GD_1[[#This Row],[CANTIDAD RECIBIDA]]</f>
        <v>533202.5</v>
      </c>
      <c r="AB1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89" s="3">
        <f>+DETALLE_GD_1[[#This Row],[CANTIDAD SOLICITADA]]-DETALLE_GD_1[[#This Row],[DEVOLUCIÓN]]</f>
        <v>5000</v>
      </c>
      <c r="AD1989" s="38" t="str">
        <f>+_xlfn.XLOOKUP(DETALLE_GD_1[[#This Row],[CODIGO]],PRODUCTOS[CODIGO],PRODUCTOS[DESC CORTA],"",0)</f>
        <v>TORNILLO CRS 6X1 5/8</v>
      </c>
    </row>
    <row r="1990" spans="1:30" x14ac:dyDescent="0.25">
      <c r="A1990" s="1">
        <v>46175</v>
      </c>
      <c r="B1990" s="1">
        <v>46175</v>
      </c>
      <c r="C1990" s="81" t="s">
        <v>169</v>
      </c>
      <c r="D1990" s="38">
        <v>6</v>
      </c>
      <c r="E1990" s="81" t="s">
        <v>169</v>
      </c>
      <c r="F1990">
        <v>617057</v>
      </c>
      <c r="G1990" s="81" t="s">
        <v>1715</v>
      </c>
      <c r="H1990" s="81" t="s">
        <v>31</v>
      </c>
      <c r="I1990" s="3">
        <v>5</v>
      </c>
      <c r="J1990" s="3"/>
      <c r="K1990" s="26">
        <v>5</v>
      </c>
      <c r="L1990" s="2">
        <v>1698.4</v>
      </c>
      <c r="M1990" s="2">
        <v>8492</v>
      </c>
      <c r="N1990" s="2">
        <v>8492</v>
      </c>
      <c r="O1990" s="2">
        <v>2042.1197</v>
      </c>
      <c r="P1990" s="2">
        <v>343.71969999999999</v>
      </c>
      <c r="Q1990" s="2">
        <v>1718.5985000000001</v>
      </c>
      <c r="R1990" s="4">
        <v>0.1683151604629782</v>
      </c>
      <c r="T1990">
        <v>317375</v>
      </c>
      <c r="U1990" s="2"/>
      <c r="V1990">
        <v>6266</v>
      </c>
      <c r="W1990" s="2">
        <v>6579000000</v>
      </c>
      <c r="X1990" s="6">
        <v>10210.598529999999</v>
      </c>
      <c r="Y1990" s="38">
        <v>10010</v>
      </c>
      <c r="Z1990" s="86">
        <f>+((DETALLE_GD_1[[#This Row],[VALOR X UN (GD)]]-DETALLE_GD_1[[#This Row],[VALOR PPTO]])/DETALLE_GD_1[[#This Row],[VALOR PPTO]])</f>
        <v>-0.16831515801938537</v>
      </c>
      <c r="AA1990" s="2">
        <f>+DETALLE_GD_1[[#This Row],[VALOR PPTO]]*DETALLE_GD_1[[#This Row],[CANTIDAD RECIBIDA]]</f>
        <v>10210.5985</v>
      </c>
      <c r="AB1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0" s="3">
        <f>+DETALLE_GD_1[[#This Row],[CANTIDAD SOLICITADA]]-DETALLE_GD_1[[#This Row],[DEVOLUCIÓN]]</f>
        <v>5</v>
      </c>
      <c r="AD1990" s="38" t="str">
        <f>+_xlfn.XLOOKUP(DETALLE_GD_1[[#This Row],[CODIGO]],PRODUCTOS[CODIGO],PRODUCTOS[DESC CORTA],"",0)</f>
        <v>BROCHA 5/8 X4</v>
      </c>
    </row>
    <row r="1991" spans="1:30" x14ac:dyDescent="0.25">
      <c r="A1991" s="1">
        <v>46175</v>
      </c>
      <c r="B1991" s="1">
        <v>46175</v>
      </c>
      <c r="C1991" s="81" t="s">
        <v>169</v>
      </c>
      <c r="D1991" s="38">
        <v>6</v>
      </c>
      <c r="E1991" s="81" t="s">
        <v>169</v>
      </c>
      <c r="F1991">
        <v>617055</v>
      </c>
      <c r="G1991" s="81" t="s">
        <v>182</v>
      </c>
      <c r="H1991" s="81" t="s">
        <v>31</v>
      </c>
      <c r="I1991" s="3">
        <v>5</v>
      </c>
      <c r="J1991" s="3"/>
      <c r="K1991" s="26">
        <v>5</v>
      </c>
      <c r="L1991" s="2">
        <v>694.8</v>
      </c>
      <c r="M1991" s="2">
        <v>3474</v>
      </c>
      <c r="N1991" s="2">
        <v>3474</v>
      </c>
      <c r="O1991" s="2">
        <v>920.35379999999998</v>
      </c>
      <c r="P1991" s="2">
        <v>225.5538</v>
      </c>
      <c r="Q1991" s="2">
        <v>1127.7689</v>
      </c>
      <c r="R1991" s="4">
        <v>0.24507291180455321</v>
      </c>
      <c r="T1991">
        <v>317375</v>
      </c>
      <c r="U1991" s="2"/>
      <c r="V1991">
        <v>6266</v>
      </c>
      <c r="W1991" s="2">
        <v>6579000000</v>
      </c>
      <c r="X1991" s="6">
        <v>4601.7689049999999</v>
      </c>
      <c r="Y1991" s="38">
        <v>10010</v>
      </c>
      <c r="Z1991" s="86">
        <f>+((DETALLE_GD_1[[#This Row],[VALOR X UN (GD)]]-DETALLE_GD_1[[#This Row],[VALOR PPTO]])/DETALLE_GD_1[[#This Row],[VALOR PPTO]])</f>
        <v>-0.24507292738944528</v>
      </c>
      <c r="AA1991" s="2">
        <f>+DETALLE_GD_1[[#This Row],[VALOR PPTO]]*DETALLE_GD_1[[#This Row],[CANTIDAD RECIBIDA]]</f>
        <v>4601.7690000000002</v>
      </c>
      <c r="AB1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1" s="3">
        <f>+DETALLE_GD_1[[#This Row],[CANTIDAD SOLICITADA]]-DETALLE_GD_1[[#This Row],[DEVOLUCIÓN]]</f>
        <v>5</v>
      </c>
      <c r="AD1991" s="38">
        <f>+_xlfn.XLOOKUP(DETALLE_GD_1[[#This Row],[CODIGO]],PRODUCTOS[CODIGO],PRODUCTOS[DESC CORTA],"",0)</f>
        <v>0</v>
      </c>
    </row>
    <row r="1992" spans="1:30" x14ac:dyDescent="0.25">
      <c r="A1992" s="1">
        <v>46175</v>
      </c>
      <c r="B1992" s="1">
        <v>46175</v>
      </c>
      <c r="C1992" s="81" t="s">
        <v>169</v>
      </c>
      <c r="D1992" s="38">
        <v>6</v>
      </c>
      <c r="E1992" s="81" t="s">
        <v>169</v>
      </c>
      <c r="F1992">
        <v>617016</v>
      </c>
      <c r="G1992" s="81" t="s">
        <v>133</v>
      </c>
      <c r="H1992" s="81" t="s">
        <v>31</v>
      </c>
      <c r="I1992" s="3">
        <v>10</v>
      </c>
      <c r="J1992" s="3"/>
      <c r="K1992" s="26">
        <v>10</v>
      </c>
      <c r="L1992" s="2">
        <v>2864.3</v>
      </c>
      <c r="M1992" s="2">
        <v>28643</v>
      </c>
      <c r="N1992" s="2">
        <v>28643</v>
      </c>
      <c r="O1992" s="2">
        <v>2857.5133000000001</v>
      </c>
      <c r="P1992" s="2">
        <v>-6.7866999999999997</v>
      </c>
      <c r="Q1992" s="2">
        <v>-67.8673</v>
      </c>
      <c r="R1992" s="4">
        <v>-2.3750461849998991E-3</v>
      </c>
      <c r="T1992">
        <v>317375</v>
      </c>
      <c r="U1992" s="2"/>
      <c r="V1992">
        <v>6266</v>
      </c>
      <c r="W1992" s="2">
        <v>6579000000</v>
      </c>
      <c r="X1992" s="6">
        <v>28575.132740000001</v>
      </c>
      <c r="Y1992" s="38">
        <v>10010</v>
      </c>
      <c r="Z1992" s="86">
        <f>+((DETALLE_GD_1[[#This Row],[VALOR X UN (GD)]]-DETALLE_GD_1[[#This Row],[VALOR PPTO]])/DETALLE_GD_1[[#This Row],[VALOR PPTO]])</f>
        <v>2.3750370645694318E-3</v>
      </c>
      <c r="AA1992" s="2">
        <f>+DETALLE_GD_1[[#This Row],[VALOR PPTO]]*DETALLE_GD_1[[#This Row],[CANTIDAD RECIBIDA]]</f>
        <v>28575.133000000002</v>
      </c>
      <c r="AB1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2" s="3">
        <f>+DETALLE_GD_1[[#This Row],[CANTIDAD SOLICITADA]]-DETALLE_GD_1[[#This Row],[DEVOLUCIÓN]]</f>
        <v>10</v>
      </c>
      <c r="AD1992" s="38" t="str">
        <f>+_xlfn.XLOOKUP(DETALLE_GD_1[[#This Row],[CODIGO]],PRODUCTOS[CODIGO],PRODUCTOS[DESC CORTA],"",0)</f>
        <v>RODILLO CHIPORRO</v>
      </c>
    </row>
    <row r="1993" spans="1:30" x14ac:dyDescent="0.25">
      <c r="A1993" s="1">
        <v>46175</v>
      </c>
      <c r="B1993" s="1">
        <v>46175</v>
      </c>
      <c r="C1993" s="81" t="s">
        <v>169</v>
      </c>
      <c r="D1993" s="38">
        <v>6</v>
      </c>
      <c r="E1993" s="81" t="s">
        <v>169</v>
      </c>
      <c r="F1993">
        <v>707023</v>
      </c>
      <c r="G1993" s="81" t="s">
        <v>797</v>
      </c>
      <c r="H1993" s="81" t="s">
        <v>31</v>
      </c>
      <c r="I1993" s="3">
        <v>5</v>
      </c>
      <c r="J1993" s="3"/>
      <c r="K1993" s="26">
        <v>5</v>
      </c>
      <c r="L1993" s="2">
        <v>16734.400000000001</v>
      </c>
      <c r="M1993" s="2">
        <v>83672</v>
      </c>
      <c r="N1993" s="2">
        <v>83672</v>
      </c>
      <c r="O1993" s="2"/>
      <c r="P1993" s="2"/>
      <c r="Q1993" s="2">
        <v>-83672</v>
      </c>
      <c r="R1993" s="4"/>
      <c r="T1993">
        <v>317375</v>
      </c>
      <c r="U1993" s="2"/>
      <c r="V1993">
        <v>6266</v>
      </c>
      <c r="W1993" s="2">
        <v>6579000000</v>
      </c>
      <c r="X1993" s="6" t="s">
        <v>355</v>
      </c>
      <c r="Y1993" s="38">
        <v>10010</v>
      </c>
      <c r="Z1993" s="86" t="e">
        <f>+((DETALLE_GD_1[[#This Row],[VALOR X UN (GD)]]-DETALLE_GD_1[[#This Row],[VALOR PPTO]])/DETALLE_GD_1[[#This Row],[VALOR PPTO]])</f>
        <v>#DIV/0!</v>
      </c>
      <c r="AA1993" s="2">
        <f>+DETALLE_GD_1[[#This Row],[VALOR PPTO]]*DETALLE_GD_1[[#This Row],[CANTIDAD RECIBIDA]]</f>
        <v>0</v>
      </c>
      <c r="AB1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3" s="3">
        <f>+DETALLE_GD_1[[#This Row],[CANTIDAD SOLICITADA]]-DETALLE_GD_1[[#This Row],[DEVOLUCIÓN]]</f>
        <v>5</v>
      </c>
      <c r="AD1993" s="38" t="str">
        <f>+_xlfn.XLOOKUP(DETALLE_GD_1[[#This Row],[CODIGO]],PRODUCTOS[CODIGO],PRODUCTOS[DESC CORTA],"",0)</f>
        <v/>
      </c>
    </row>
    <row r="1994" spans="1:30" x14ac:dyDescent="0.25">
      <c r="A1994" s="1">
        <v>46175</v>
      </c>
      <c r="B1994" s="1">
        <v>46175</v>
      </c>
      <c r="C1994" s="81" t="s">
        <v>169</v>
      </c>
      <c r="D1994" s="38">
        <v>6</v>
      </c>
      <c r="E1994" s="81" t="s">
        <v>169</v>
      </c>
      <c r="F1994">
        <v>1902003</v>
      </c>
      <c r="G1994" s="81" t="s">
        <v>155</v>
      </c>
      <c r="H1994" s="81" t="s">
        <v>47</v>
      </c>
      <c r="I1994" s="3">
        <v>7</v>
      </c>
      <c r="J1994" s="3"/>
      <c r="K1994" s="26">
        <v>7</v>
      </c>
      <c r="L1994" s="2">
        <v>150752.28570000001</v>
      </c>
      <c r="M1994" s="2">
        <v>1055266</v>
      </c>
      <c r="N1994" s="2">
        <v>1055266</v>
      </c>
      <c r="O1994" s="2">
        <v>150703.9755</v>
      </c>
      <c r="P1994" s="2">
        <v>-48.310299999999998</v>
      </c>
      <c r="Q1994" s="2">
        <v>-338.17180000000002</v>
      </c>
      <c r="R1994" s="4">
        <v>-3.2056390110674207E-4</v>
      </c>
      <c r="T1994">
        <v>317375</v>
      </c>
      <c r="U1994" s="2"/>
      <c r="V1994">
        <v>6266</v>
      </c>
      <c r="W1994" s="2">
        <v>6579000000</v>
      </c>
      <c r="X1994" s="6">
        <v>1054927.8282199998</v>
      </c>
      <c r="Y1994" s="38">
        <v>10010</v>
      </c>
      <c r="Z1994" s="86">
        <f>+((DETALLE_GD_1[[#This Row],[VALOR X UN (GD)]]-DETALLE_GD_1[[#This Row],[VALOR PPTO]])/DETALLE_GD_1[[#This Row],[VALOR PPTO]])</f>
        <v>3.2056354080723748E-4</v>
      </c>
      <c r="AA1994" s="2">
        <f>+DETALLE_GD_1[[#This Row],[VALOR PPTO]]*DETALLE_GD_1[[#This Row],[CANTIDAD RECIBIDA]]</f>
        <v>1054927.8285000001</v>
      </c>
      <c r="AB1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4" s="3">
        <f>+DETALLE_GD_1[[#This Row],[CANTIDAD SOLICITADA]]-DETALLE_GD_1[[#This Row],[DEVOLUCIÓN]]</f>
        <v>7</v>
      </c>
      <c r="AD1994" s="38">
        <f>+_xlfn.XLOOKUP(DETALLE_GD_1[[#This Row],[CODIGO]],PRODUCTOS[CODIGO],PRODUCTOS[DESC CORTA],"",0)</f>
        <v>0</v>
      </c>
    </row>
    <row r="1995" spans="1:30" x14ac:dyDescent="0.25">
      <c r="A1995" s="1">
        <v>46175</v>
      </c>
      <c r="B1995" s="1">
        <v>46175</v>
      </c>
      <c r="C1995" s="81" t="s">
        <v>169</v>
      </c>
      <c r="D1995" s="38">
        <v>6</v>
      </c>
      <c r="E1995" s="81" t="s">
        <v>169</v>
      </c>
      <c r="F1995">
        <v>407011</v>
      </c>
      <c r="G1995" s="81" t="s">
        <v>30</v>
      </c>
      <c r="H1995" s="81" t="s">
        <v>31</v>
      </c>
      <c r="I1995" s="3">
        <v>2000</v>
      </c>
      <c r="J1995" s="3"/>
      <c r="K1995" s="26">
        <v>2000</v>
      </c>
      <c r="L1995" s="2">
        <v>444.97949999999997</v>
      </c>
      <c r="M1995" s="2">
        <v>889959</v>
      </c>
      <c r="N1995" s="2">
        <v>889959</v>
      </c>
      <c r="O1995" s="2">
        <v>473.17520000000002</v>
      </c>
      <c r="P1995" s="2">
        <v>28.195699999999999</v>
      </c>
      <c r="Q1995" s="2">
        <v>56391.48</v>
      </c>
      <c r="R1995" s="4">
        <v>5.9588367303411625E-2</v>
      </c>
      <c r="T1995">
        <v>317390</v>
      </c>
      <c r="U1995" s="2">
        <v>3964953</v>
      </c>
      <c r="V1995">
        <v>6266</v>
      </c>
      <c r="W1995" s="2">
        <v>6579000000</v>
      </c>
      <c r="X1995" s="6">
        <v>946350.47999999986</v>
      </c>
      <c r="Y1995" s="38">
        <v>10010</v>
      </c>
      <c r="Z1995" s="86">
        <f>+((DETALLE_GD_1[[#This Row],[VALOR X UN (GD)]]-DETALLE_GD_1[[#This Row],[VALOR PPTO]])/DETALLE_GD_1[[#This Row],[VALOR PPTO]])</f>
        <v>-5.9588287805447206E-2</v>
      </c>
      <c r="AA1995" s="2">
        <f>+DETALLE_GD_1[[#This Row],[VALOR PPTO]]*DETALLE_GD_1[[#This Row],[CANTIDAD RECIBIDA]]</f>
        <v>946350.4</v>
      </c>
      <c r="AB19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95" s="3">
        <f>+DETALLE_GD_1[[#This Row],[CANTIDAD SOLICITADA]]-DETALLE_GD_1[[#This Row],[DEVOLUCIÓN]]</f>
        <v>2000</v>
      </c>
      <c r="AD1995" s="38" t="str">
        <f>+_xlfn.XLOOKUP(DETALLE_GD_1[[#This Row],[CODIGO]],PRODUCTOS[CODIGO],PRODUCTOS[DESC CORTA],"",0)</f>
        <v>TORNILLO SIMPSON 6"</v>
      </c>
    </row>
    <row r="1996" spans="1:30" x14ac:dyDescent="0.25">
      <c r="A1996" s="1">
        <v>46175</v>
      </c>
      <c r="B1996" s="1">
        <v>46175</v>
      </c>
      <c r="C1996" s="81" t="s">
        <v>169</v>
      </c>
      <c r="D1996" s="38">
        <v>6</v>
      </c>
      <c r="E1996" s="81" t="s">
        <v>169</v>
      </c>
      <c r="F1996">
        <v>407423</v>
      </c>
      <c r="G1996" s="81" t="s">
        <v>106</v>
      </c>
      <c r="H1996" s="81" t="s">
        <v>31</v>
      </c>
      <c r="I1996" s="3">
        <v>10000</v>
      </c>
      <c r="J1996" s="3"/>
      <c r="K1996" s="26">
        <v>10000</v>
      </c>
      <c r="L1996" s="2">
        <v>3.4662000000000002</v>
      </c>
      <c r="M1996" s="2">
        <v>34662</v>
      </c>
      <c r="N1996" s="2">
        <v>34662</v>
      </c>
      <c r="O1996" s="2">
        <v>106.6405</v>
      </c>
      <c r="P1996" s="2">
        <v>103.1743</v>
      </c>
      <c r="Q1996" s="2">
        <v>1031743.0198</v>
      </c>
      <c r="R1996" s="4">
        <v>0.96749640206563281</v>
      </c>
      <c r="T1996">
        <v>317390</v>
      </c>
      <c r="U1996" s="2"/>
      <c r="V1996">
        <v>6266</v>
      </c>
      <c r="W1996" s="2">
        <v>6579000000</v>
      </c>
      <c r="X1996" s="6">
        <v>1066405.0198378379</v>
      </c>
      <c r="Y1996" s="38">
        <v>10010</v>
      </c>
      <c r="Z1996" s="86">
        <f>+((DETALLE_GD_1[[#This Row],[VALOR X UN (GD)]]-DETALLE_GD_1[[#This Row],[VALOR PPTO]])/DETALLE_GD_1[[#This Row],[VALOR PPTO]])</f>
        <v>-0.96749640146098337</v>
      </c>
      <c r="AA1996" s="2">
        <f>+DETALLE_GD_1[[#This Row],[VALOR PPTO]]*DETALLE_GD_1[[#This Row],[CANTIDAD RECIBIDA]]</f>
        <v>1066405</v>
      </c>
      <c r="AB1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6" s="3">
        <f>+DETALLE_GD_1[[#This Row],[CANTIDAD SOLICITADA]]-DETALLE_GD_1[[#This Row],[DEVOLUCIÓN]]</f>
        <v>10000</v>
      </c>
      <c r="AD1996" s="38" t="str">
        <f>+_xlfn.XLOOKUP(DETALLE_GD_1[[#This Row],[CODIGO]],PRODUCTOS[CODIGO],PRODUCTOS[DESC CORTA],"",0)</f>
        <v>TORNILLO CRS 6X1 5/8</v>
      </c>
    </row>
    <row r="1997" spans="1:30" x14ac:dyDescent="0.25">
      <c r="A1997" s="1">
        <v>46175</v>
      </c>
      <c r="B1997" s="1">
        <v>46175</v>
      </c>
      <c r="C1997" s="81" t="s">
        <v>169</v>
      </c>
      <c r="D1997" s="38">
        <v>6</v>
      </c>
      <c r="E1997" s="81" t="s">
        <v>169</v>
      </c>
      <c r="F1997">
        <v>407185</v>
      </c>
      <c r="G1997" s="81" t="s">
        <v>43</v>
      </c>
      <c r="H1997" s="81" t="s">
        <v>31</v>
      </c>
      <c r="I1997" s="3">
        <v>5000</v>
      </c>
      <c r="J1997" s="3"/>
      <c r="K1997" s="26">
        <v>5000</v>
      </c>
      <c r="L1997" s="2">
        <v>6.2656000000000001</v>
      </c>
      <c r="M1997" s="2">
        <v>31328</v>
      </c>
      <c r="N1997" s="2">
        <v>31328</v>
      </c>
      <c r="O1997" s="2">
        <v>6.8783000000000003</v>
      </c>
      <c r="P1997" s="2">
        <v>0.61270000000000002</v>
      </c>
      <c r="Q1997" s="2">
        <v>3063.6</v>
      </c>
      <c r="R1997" s="4">
        <v>8.9079891601437602E-2</v>
      </c>
      <c r="T1997">
        <v>317390</v>
      </c>
      <c r="U1997" s="2"/>
      <c r="V1997">
        <v>6266</v>
      </c>
      <c r="W1997" s="2">
        <v>6579000000</v>
      </c>
      <c r="X1997" s="6">
        <v>34391.599999999999</v>
      </c>
      <c r="Y1997" s="38">
        <v>10010</v>
      </c>
      <c r="Z1997" s="86">
        <f>+((DETALLE_GD_1[[#This Row],[VALOR X UN (GD)]]-DETALLE_GD_1[[#This Row],[VALOR PPTO]])/DETALLE_GD_1[[#This Row],[VALOR PPTO]])</f>
        <v>-8.9077242923396804E-2</v>
      </c>
      <c r="AA1997" s="2">
        <f>+DETALLE_GD_1[[#This Row],[VALOR PPTO]]*DETALLE_GD_1[[#This Row],[CANTIDAD RECIBIDA]]</f>
        <v>34391.5</v>
      </c>
      <c r="AB1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7" s="3">
        <f>+DETALLE_GD_1[[#This Row],[CANTIDAD SOLICITADA]]-DETALLE_GD_1[[#This Row],[DEVOLUCIÓN]]</f>
        <v>5000</v>
      </c>
      <c r="AD1997" s="38">
        <f>+_xlfn.XLOOKUP(DETALLE_GD_1[[#This Row],[CODIGO]],PRODUCTOS[CODIGO],PRODUCTOS[DESC CORTA],"",0)</f>
        <v>0</v>
      </c>
    </row>
    <row r="1998" spans="1:30" x14ac:dyDescent="0.25">
      <c r="A1998" s="1">
        <v>46175</v>
      </c>
      <c r="B1998" s="1">
        <v>46175</v>
      </c>
      <c r="C1998" s="81" t="s">
        <v>169</v>
      </c>
      <c r="D1998" s="38">
        <v>6</v>
      </c>
      <c r="E1998" s="81" t="s">
        <v>169</v>
      </c>
      <c r="F1998">
        <v>701096</v>
      </c>
      <c r="G1998" s="81" t="s">
        <v>204</v>
      </c>
      <c r="H1998" s="81" t="s">
        <v>18</v>
      </c>
      <c r="I1998" s="3">
        <v>140</v>
      </c>
      <c r="J1998" s="3"/>
      <c r="K1998" s="26">
        <v>140</v>
      </c>
      <c r="L1998" s="2">
        <v>16104.7857</v>
      </c>
      <c r="M1998" s="2">
        <v>2254670</v>
      </c>
      <c r="N1998" s="2">
        <v>2254670</v>
      </c>
      <c r="O1998" s="2">
        <v>16019.885700000001</v>
      </c>
      <c r="P1998" s="2">
        <v>-84.9</v>
      </c>
      <c r="Q1998" s="2">
        <v>-11886.0041</v>
      </c>
      <c r="R1998" s="4">
        <v>-5.2996651134162463E-3</v>
      </c>
      <c r="T1998">
        <v>317390</v>
      </c>
      <c r="U1998" s="2"/>
      <c r="V1998">
        <v>6266</v>
      </c>
      <c r="W1998" s="2">
        <v>6579000000</v>
      </c>
      <c r="X1998" s="6">
        <v>2242783.9959000004</v>
      </c>
      <c r="Y1998" s="38">
        <v>10010</v>
      </c>
      <c r="Z1998" s="86">
        <f>+((DETALLE_GD_1[[#This Row],[VALOR X UN (GD)]]-DETALLE_GD_1[[#This Row],[VALOR PPTO]])/DETALLE_GD_1[[#This Row],[VALOR PPTO]])</f>
        <v>5.2996632803690748E-3</v>
      </c>
      <c r="AA1998" s="2">
        <f>+DETALLE_GD_1[[#This Row],[VALOR PPTO]]*DETALLE_GD_1[[#This Row],[CANTIDAD RECIBIDA]]</f>
        <v>2242783.9980000001</v>
      </c>
      <c r="AB19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98" s="3">
        <f>+DETALLE_GD_1[[#This Row],[CANTIDAD SOLICITADA]]-DETALLE_GD_1[[#This Row],[DEVOLUCIÓN]]</f>
        <v>140</v>
      </c>
      <c r="AD1998" s="38" t="str">
        <f>+_xlfn.XLOOKUP(DETALLE_GD_1[[#This Row],[CODIGO]],PRODUCTOS[CODIGO],PRODUCTOS[DESC CORTA],"",0)</f>
        <v>VOCANITA EMPAPELADA MURO</v>
      </c>
    </row>
    <row r="1999" spans="1:30" x14ac:dyDescent="0.25">
      <c r="A1999" s="1">
        <v>46175</v>
      </c>
      <c r="B1999" s="1">
        <v>46175</v>
      </c>
      <c r="C1999" s="81" t="s">
        <v>169</v>
      </c>
      <c r="D1999" s="38">
        <v>6</v>
      </c>
      <c r="E1999" s="81" t="s">
        <v>169</v>
      </c>
      <c r="F1999">
        <v>407170</v>
      </c>
      <c r="G1999" s="81" t="s">
        <v>107</v>
      </c>
      <c r="H1999" s="81" t="s">
        <v>31</v>
      </c>
      <c r="I1999" s="3">
        <v>1000</v>
      </c>
      <c r="J1999" s="3"/>
      <c r="K1999" s="26">
        <v>1000</v>
      </c>
      <c r="L1999" s="2">
        <v>4.88</v>
      </c>
      <c r="M1999" s="2">
        <v>4880</v>
      </c>
      <c r="N1999" s="2">
        <v>4880</v>
      </c>
      <c r="O1999" s="2">
        <v>4.8802000000000003</v>
      </c>
      <c r="P1999" s="2">
        <v>2.0000000000000001E-4</v>
      </c>
      <c r="Q1999" s="2">
        <v>0.216</v>
      </c>
      <c r="R1999" s="4">
        <v>4.4260336018094723E-5</v>
      </c>
      <c r="T1999">
        <v>317390</v>
      </c>
      <c r="U1999" s="2"/>
      <c r="V1999">
        <v>6266</v>
      </c>
      <c r="W1999" s="2">
        <v>6579000000</v>
      </c>
      <c r="X1999" s="6">
        <v>4880.2160000000003</v>
      </c>
      <c r="Y1999" s="38">
        <v>10010</v>
      </c>
      <c r="Z1999" s="86">
        <f>+((DETALLE_GD_1[[#This Row],[VALOR X UN (GD)]]-DETALLE_GD_1[[#This Row],[VALOR PPTO]])/DETALLE_GD_1[[#This Row],[VALOR PPTO]])</f>
        <v>-4.0981926970292619E-5</v>
      </c>
      <c r="AA1999" s="2">
        <f>+DETALLE_GD_1[[#This Row],[VALOR PPTO]]*DETALLE_GD_1[[#This Row],[CANTIDAD RECIBIDA]]</f>
        <v>4880.2000000000007</v>
      </c>
      <c r="AB19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9" s="3">
        <f>+DETALLE_GD_1[[#This Row],[CANTIDAD SOLICITADA]]-DETALLE_GD_1[[#This Row],[DEVOLUCIÓN]]</f>
        <v>1000</v>
      </c>
      <c r="AD1999" s="38" t="str">
        <f>+_xlfn.XLOOKUP(DETALLE_GD_1[[#This Row],[CODIGO]],PRODUCTOS[CODIGO],PRODUCTOS[DESC CORTA],"",0)</f>
        <v>TORNILLO CRS 6X2 1/4</v>
      </c>
    </row>
    <row r="2000" spans="1:30" x14ac:dyDescent="0.25">
      <c r="A2000" s="1">
        <v>46175</v>
      </c>
      <c r="B2000" s="1">
        <v>46175</v>
      </c>
      <c r="C2000" s="81" t="s">
        <v>169</v>
      </c>
      <c r="D2000" s="38">
        <v>6</v>
      </c>
      <c r="E2000" s="81" t="s">
        <v>169</v>
      </c>
      <c r="F2000">
        <v>4212234</v>
      </c>
      <c r="G2000" s="81" t="s">
        <v>54</v>
      </c>
      <c r="H2000" s="81" t="s">
        <v>31</v>
      </c>
      <c r="I2000" s="3">
        <v>6</v>
      </c>
      <c r="J2000" s="3"/>
      <c r="K2000" s="26">
        <v>6</v>
      </c>
      <c r="L2000" s="2">
        <v>124909</v>
      </c>
      <c r="M2000" s="2">
        <v>749454</v>
      </c>
      <c r="N2000" s="2">
        <v>749454</v>
      </c>
      <c r="O2000" s="2">
        <v>124909</v>
      </c>
      <c r="P2000" s="2">
        <v>0</v>
      </c>
      <c r="Q2000" s="2">
        <v>0</v>
      </c>
      <c r="R2000" s="4">
        <v>0</v>
      </c>
      <c r="T2000">
        <v>317390</v>
      </c>
      <c r="U2000" s="2"/>
      <c r="V2000">
        <v>6266</v>
      </c>
      <c r="W2000" s="2">
        <v>6579000000</v>
      </c>
      <c r="X2000" s="6">
        <v>749454</v>
      </c>
      <c r="Y2000" s="38">
        <v>10010</v>
      </c>
      <c r="Z2000" s="86">
        <f>+((DETALLE_GD_1[[#This Row],[VALOR X UN (GD)]]-DETALLE_GD_1[[#This Row],[VALOR PPTO]])/DETALLE_GD_1[[#This Row],[VALOR PPTO]])</f>
        <v>0</v>
      </c>
      <c r="AA2000" s="2">
        <f>+DETALLE_GD_1[[#This Row],[VALOR PPTO]]*DETALLE_GD_1[[#This Row],[CANTIDAD RECIBIDA]]</f>
        <v>749454</v>
      </c>
      <c r="AB2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0" s="3">
        <f>+DETALLE_GD_1[[#This Row],[CANTIDAD SOLICITADA]]-DETALLE_GD_1[[#This Row],[DEVOLUCIÓN]]</f>
        <v>6</v>
      </c>
      <c r="AD2000" s="38" t="str">
        <f>+_xlfn.XLOOKUP(DETALLE_GD_1[[#This Row],[CODIGO]],PRODUCTOS[CODIGO],PRODUCTOS[DESC CORTA],"",0)</f>
        <v>BARANDA BALCON</v>
      </c>
    </row>
    <row r="2001" spans="1:30" x14ac:dyDescent="0.25">
      <c r="A2001" s="1">
        <v>46175</v>
      </c>
      <c r="B2001" s="1">
        <v>46175</v>
      </c>
      <c r="C2001" s="81" t="s">
        <v>169</v>
      </c>
      <c r="D2001" s="38">
        <v>6</v>
      </c>
      <c r="E2001" s="81" t="s">
        <v>169</v>
      </c>
      <c r="F2001">
        <v>404745</v>
      </c>
      <c r="G2001" s="81" t="s">
        <v>444</v>
      </c>
      <c r="H2001" s="81" t="s">
        <v>31</v>
      </c>
      <c r="I2001" s="3">
        <v>4</v>
      </c>
      <c r="J2001" s="3"/>
      <c r="K2001" s="26">
        <v>4</v>
      </c>
      <c r="L2001" s="2">
        <v>8826</v>
      </c>
      <c r="M2001" s="2">
        <v>35304</v>
      </c>
      <c r="N2001" s="2">
        <v>35304</v>
      </c>
      <c r="O2001" s="2"/>
      <c r="P2001" s="2"/>
      <c r="Q2001" s="2">
        <v>-35304</v>
      </c>
      <c r="R2001" s="4"/>
      <c r="T2001">
        <v>317395</v>
      </c>
      <c r="U2001" s="2">
        <v>1057370</v>
      </c>
      <c r="V2001">
        <v>6266</v>
      </c>
      <c r="W2001" s="2">
        <v>6579000000</v>
      </c>
      <c r="X2001" s="6" t="s">
        <v>355</v>
      </c>
      <c r="Y2001" s="38">
        <v>10010</v>
      </c>
      <c r="Z2001" s="86" t="e">
        <f>+((DETALLE_GD_1[[#This Row],[VALOR X UN (GD)]]-DETALLE_GD_1[[#This Row],[VALOR PPTO]])/DETALLE_GD_1[[#This Row],[VALOR PPTO]])</f>
        <v>#DIV/0!</v>
      </c>
      <c r="AA2001" s="2">
        <f>+DETALLE_GD_1[[#This Row],[VALOR PPTO]]*DETALLE_GD_1[[#This Row],[CANTIDAD RECIBIDA]]</f>
        <v>0</v>
      </c>
      <c r="AB2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1" s="3">
        <f>+DETALLE_GD_1[[#This Row],[CANTIDAD SOLICITADA]]-DETALLE_GD_1[[#This Row],[DEVOLUCIÓN]]</f>
        <v>4</v>
      </c>
      <c r="AD2001" s="38" t="str">
        <f>+_xlfn.XLOOKUP(DETALLE_GD_1[[#This Row],[CODIGO]],PRODUCTOS[CODIGO],PRODUCTOS[DESC CORTA],"",0)</f>
        <v/>
      </c>
    </row>
    <row r="2002" spans="1:30" x14ac:dyDescent="0.25">
      <c r="A2002" s="1">
        <v>46175</v>
      </c>
      <c r="B2002" s="1">
        <v>46175</v>
      </c>
      <c r="C2002" s="81" t="s">
        <v>169</v>
      </c>
      <c r="D2002" s="38">
        <v>6</v>
      </c>
      <c r="E2002" s="81" t="s">
        <v>169</v>
      </c>
      <c r="F2002">
        <v>2304056</v>
      </c>
      <c r="G2002" s="81" t="s">
        <v>417</v>
      </c>
      <c r="H2002" s="81" t="s">
        <v>31</v>
      </c>
      <c r="I2002" s="3">
        <v>48</v>
      </c>
      <c r="J2002" s="3"/>
      <c r="K2002" s="26">
        <v>48</v>
      </c>
      <c r="L2002" s="2">
        <v>3163.125</v>
      </c>
      <c r="M2002" s="2">
        <v>151830</v>
      </c>
      <c r="N2002" s="2">
        <v>151830</v>
      </c>
      <c r="O2002" s="2">
        <v>2979</v>
      </c>
      <c r="P2002" s="2">
        <v>-184.125</v>
      </c>
      <c r="Q2002" s="2">
        <v>-8838</v>
      </c>
      <c r="R2002" s="4">
        <v>-6.1807653575025177E-2</v>
      </c>
      <c r="T2002">
        <v>317395</v>
      </c>
      <c r="U2002" s="2"/>
      <c r="V2002">
        <v>6266</v>
      </c>
      <c r="W2002" s="2">
        <v>6579000000</v>
      </c>
      <c r="X2002" s="6">
        <v>142992</v>
      </c>
      <c r="Y2002" s="38">
        <v>10010</v>
      </c>
      <c r="Z2002" s="86">
        <f>+((DETALLE_GD_1[[#This Row],[VALOR X UN (GD)]]-DETALLE_GD_1[[#This Row],[VALOR PPTO]])/DETALLE_GD_1[[#This Row],[VALOR PPTO]])</f>
        <v>6.1807653575025177E-2</v>
      </c>
      <c r="AA2002" s="2">
        <f>+DETALLE_GD_1[[#This Row],[VALOR PPTO]]*DETALLE_GD_1[[#This Row],[CANTIDAD RECIBIDA]]</f>
        <v>142992</v>
      </c>
      <c r="AB20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2" s="3">
        <f>+DETALLE_GD_1[[#This Row],[CANTIDAD SOLICITADA]]-DETALLE_GD_1[[#This Row],[DEVOLUCIÓN]]</f>
        <v>48</v>
      </c>
      <c r="AD2002" s="38" t="str">
        <f>+_xlfn.XLOOKUP(DETALLE_GD_1[[#This Row],[CODIGO]],PRODUCTOS[CODIGO],PRODUCTOS[DESC CORTA],"",0)</f>
        <v/>
      </c>
    </row>
    <row r="2003" spans="1:30" x14ac:dyDescent="0.25">
      <c r="A2003" s="1">
        <v>46175</v>
      </c>
      <c r="B2003" s="1">
        <v>46175</v>
      </c>
      <c r="C2003" s="81" t="s">
        <v>169</v>
      </c>
      <c r="D2003" s="38">
        <v>6</v>
      </c>
      <c r="E2003" s="81" t="s">
        <v>169</v>
      </c>
      <c r="F2003">
        <v>407423</v>
      </c>
      <c r="G2003" s="81" t="s">
        <v>106</v>
      </c>
      <c r="H2003" s="81" t="s">
        <v>31</v>
      </c>
      <c r="I2003" s="3">
        <v>10000</v>
      </c>
      <c r="J2003" s="3"/>
      <c r="K2003" s="26">
        <v>10000</v>
      </c>
      <c r="L2003" s="2">
        <v>3.4662000000000002</v>
      </c>
      <c r="M2003" s="2">
        <v>34662</v>
      </c>
      <c r="N2003" s="2">
        <v>34662</v>
      </c>
      <c r="O2003" s="2">
        <v>106.6405</v>
      </c>
      <c r="P2003" s="2">
        <v>103.1743</v>
      </c>
      <c r="Q2003" s="2">
        <v>1031743.0198</v>
      </c>
      <c r="R2003" s="4">
        <v>0.96749640206563281</v>
      </c>
      <c r="T2003">
        <v>317395</v>
      </c>
      <c r="U2003" s="2"/>
      <c r="V2003">
        <v>6266</v>
      </c>
      <c r="W2003" s="2">
        <v>6579000000</v>
      </c>
      <c r="X2003" s="6">
        <v>1066405.0198378379</v>
      </c>
      <c r="Y2003" s="38">
        <v>10010</v>
      </c>
      <c r="Z2003" s="86">
        <f>+((DETALLE_GD_1[[#This Row],[VALOR X UN (GD)]]-DETALLE_GD_1[[#This Row],[VALOR PPTO]])/DETALLE_GD_1[[#This Row],[VALOR PPTO]])</f>
        <v>-0.96749640146098337</v>
      </c>
      <c r="AA2003" s="2">
        <f>+DETALLE_GD_1[[#This Row],[VALOR PPTO]]*DETALLE_GD_1[[#This Row],[CANTIDAD RECIBIDA]]</f>
        <v>1066405</v>
      </c>
      <c r="AB2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3" s="3">
        <f>+DETALLE_GD_1[[#This Row],[CANTIDAD SOLICITADA]]-DETALLE_GD_1[[#This Row],[DEVOLUCIÓN]]</f>
        <v>10000</v>
      </c>
      <c r="AD2003" s="38" t="str">
        <f>+_xlfn.XLOOKUP(DETALLE_GD_1[[#This Row],[CODIGO]],PRODUCTOS[CODIGO],PRODUCTOS[DESC CORTA],"",0)</f>
        <v>TORNILLO CRS 6X1 5/8</v>
      </c>
    </row>
    <row r="2004" spans="1:30" x14ac:dyDescent="0.25">
      <c r="A2004" s="1">
        <v>46175</v>
      </c>
      <c r="B2004" s="1">
        <v>46175</v>
      </c>
      <c r="C2004" s="81" t="s">
        <v>169</v>
      </c>
      <c r="D2004" s="38">
        <v>6</v>
      </c>
      <c r="E2004" s="81" t="s">
        <v>169</v>
      </c>
      <c r="F2004">
        <v>407185</v>
      </c>
      <c r="G2004" s="81" t="s">
        <v>43</v>
      </c>
      <c r="H2004" s="81" t="s">
        <v>31</v>
      </c>
      <c r="I2004" s="3">
        <v>5000</v>
      </c>
      <c r="J2004" s="3"/>
      <c r="K2004" s="26">
        <v>5000</v>
      </c>
      <c r="L2004" s="2">
        <v>6.2656000000000001</v>
      </c>
      <c r="M2004" s="2">
        <v>31328</v>
      </c>
      <c r="N2004" s="2">
        <v>31328</v>
      </c>
      <c r="O2004" s="2">
        <v>6.8783000000000003</v>
      </c>
      <c r="P2004" s="2">
        <v>0.61270000000000002</v>
      </c>
      <c r="Q2004" s="2">
        <v>3063.6</v>
      </c>
      <c r="R2004" s="4">
        <v>8.9079891601437602E-2</v>
      </c>
      <c r="T2004">
        <v>317395</v>
      </c>
      <c r="U2004" s="2"/>
      <c r="V2004">
        <v>6266</v>
      </c>
      <c r="W2004" s="2">
        <v>6579000000</v>
      </c>
      <c r="X2004" s="6">
        <v>34391.599999999999</v>
      </c>
      <c r="Y2004" s="38">
        <v>10010</v>
      </c>
      <c r="Z2004" s="86">
        <f>+((DETALLE_GD_1[[#This Row],[VALOR X UN (GD)]]-DETALLE_GD_1[[#This Row],[VALOR PPTO]])/DETALLE_GD_1[[#This Row],[VALOR PPTO]])</f>
        <v>-8.9077242923396804E-2</v>
      </c>
      <c r="AA2004" s="2">
        <f>+DETALLE_GD_1[[#This Row],[VALOR PPTO]]*DETALLE_GD_1[[#This Row],[CANTIDAD RECIBIDA]]</f>
        <v>34391.5</v>
      </c>
      <c r="AB2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4" s="3">
        <f>+DETALLE_GD_1[[#This Row],[CANTIDAD SOLICITADA]]-DETALLE_GD_1[[#This Row],[DEVOLUCIÓN]]</f>
        <v>5000</v>
      </c>
      <c r="AD2004" s="38">
        <f>+_xlfn.XLOOKUP(DETALLE_GD_1[[#This Row],[CODIGO]],PRODUCTOS[CODIGO],PRODUCTOS[DESC CORTA],"",0)</f>
        <v>0</v>
      </c>
    </row>
    <row r="2005" spans="1:30" x14ac:dyDescent="0.25">
      <c r="A2005" s="1">
        <v>46175</v>
      </c>
      <c r="B2005" s="1">
        <v>46175</v>
      </c>
      <c r="C2005" s="81" t="s">
        <v>169</v>
      </c>
      <c r="D2005" s="38">
        <v>6</v>
      </c>
      <c r="E2005" s="81" t="s">
        <v>169</v>
      </c>
      <c r="F2005">
        <v>2505058</v>
      </c>
      <c r="G2005" s="81" t="s">
        <v>142</v>
      </c>
      <c r="H2005" s="81" t="s">
        <v>31</v>
      </c>
      <c r="I2005" s="3">
        <v>15</v>
      </c>
      <c r="J2005" s="3"/>
      <c r="K2005" s="26">
        <v>15</v>
      </c>
      <c r="L2005" s="2">
        <v>16469.666700000002</v>
      </c>
      <c r="M2005" s="2">
        <v>247045</v>
      </c>
      <c r="N2005" s="2">
        <v>247045</v>
      </c>
      <c r="O2005" s="2">
        <v>17870.144100000001</v>
      </c>
      <c r="P2005" s="2">
        <v>1400.4774</v>
      </c>
      <c r="Q2005" s="2">
        <v>21007.161</v>
      </c>
      <c r="R2005" s="4">
        <v>7.8369676036421171E-2</v>
      </c>
      <c r="T2005">
        <v>317395</v>
      </c>
      <c r="U2005" s="2"/>
      <c r="V2005">
        <v>6266</v>
      </c>
      <c r="W2005" s="2">
        <v>6579000000</v>
      </c>
      <c r="X2005" s="6">
        <v>268052.16102</v>
      </c>
      <c r="Y2005" s="38">
        <v>10010</v>
      </c>
      <c r="Z2005" s="86">
        <f>+((DETALLE_GD_1[[#This Row],[VALOR X UN (GD)]]-DETALLE_GD_1[[#This Row],[VALOR PPTO]])/DETALLE_GD_1[[#This Row],[VALOR PPTO]])</f>
        <v>-7.8369675821472515E-2</v>
      </c>
      <c r="AA2005" s="2">
        <f>+DETALLE_GD_1[[#This Row],[VALOR PPTO]]*DETALLE_GD_1[[#This Row],[CANTIDAD RECIBIDA]]</f>
        <v>268052.16150000005</v>
      </c>
      <c r="AB2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5" s="3">
        <f>+DETALLE_GD_1[[#This Row],[CANTIDAD SOLICITADA]]-DETALLE_GD_1[[#This Row],[DEVOLUCIÓN]]</f>
        <v>15</v>
      </c>
      <c r="AD2005" s="38" t="str">
        <f>+_xlfn.XLOOKUP(DETALLE_GD_1[[#This Row],[CODIGO]],PRODUCTOS[CODIGO],PRODUCTOS[DESC CORTA],"",0)</f>
        <v>VENTILACIÓN PASIVA</v>
      </c>
    </row>
    <row r="2006" spans="1:30" x14ac:dyDescent="0.25">
      <c r="A2006" s="1">
        <v>46175</v>
      </c>
      <c r="B2006" s="1">
        <v>46175</v>
      </c>
      <c r="C2006" s="81" t="s">
        <v>169</v>
      </c>
      <c r="D2006" s="38">
        <v>6</v>
      </c>
      <c r="E2006" s="81" t="s">
        <v>169</v>
      </c>
      <c r="F2006">
        <v>1805340</v>
      </c>
      <c r="G2006" s="81" t="s">
        <v>298</v>
      </c>
      <c r="H2006" s="81" t="s">
        <v>31</v>
      </c>
      <c r="I2006" s="3">
        <v>4</v>
      </c>
      <c r="J2006" s="3"/>
      <c r="K2006" s="26">
        <v>4</v>
      </c>
      <c r="L2006" s="2">
        <v>19400</v>
      </c>
      <c r="M2006" s="2">
        <v>77600</v>
      </c>
      <c r="N2006" s="2">
        <v>77600</v>
      </c>
      <c r="O2006" s="2">
        <v>19400</v>
      </c>
      <c r="P2006" s="2">
        <v>0</v>
      </c>
      <c r="Q2006" s="2">
        <v>0</v>
      </c>
      <c r="R2006" s="4">
        <v>0</v>
      </c>
      <c r="T2006">
        <v>317395</v>
      </c>
      <c r="U2006" s="2"/>
      <c r="V2006">
        <v>6266</v>
      </c>
      <c r="W2006" s="2">
        <v>6579000000</v>
      </c>
      <c r="X2006" s="6">
        <v>77600</v>
      </c>
      <c r="Y2006" s="38">
        <v>10010</v>
      </c>
      <c r="Z2006" s="86">
        <f>+((DETALLE_GD_1[[#This Row],[VALOR X UN (GD)]]-DETALLE_GD_1[[#This Row],[VALOR PPTO]])/DETALLE_GD_1[[#This Row],[VALOR PPTO]])</f>
        <v>0</v>
      </c>
      <c r="AA2006" s="2">
        <f>+DETALLE_GD_1[[#This Row],[VALOR PPTO]]*DETALLE_GD_1[[#This Row],[CANTIDAD RECIBIDA]]</f>
        <v>77600</v>
      </c>
      <c r="AB2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6" s="3">
        <f>+DETALLE_GD_1[[#This Row],[CANTIDAD SOLICITADA]]-DETALLE_GD_1[[#This Row],[DEVOLUCIÓN]]</f>
        <v>4</v>
      </c>
      <c r="AD2006" s="38" t="str">
        <f>+_xlfn.XLOOKUP(DETALLE_GD_1[[#This Row],[CODIGO]],PRODUCTOS[CODIGO],PRODUCTOS[DESC CORTA],"",0)</f>
        <v>EXTRT</v>
      </c>
    </row>
    <row r="2007" spans="1:30" x14ac:dyDescent="0.25">
      <c r="A2007" s="1">
        <v>46175</v>
      </c>
      <c r="B2007" s="1">
        <v>46175</v>
      </c>
      <c r="C2007" s="81" t="s">
        <v>169</v>
      </c>
      <c r="D2007" s="38">
        <v>6</v>
      </c>
      <c r="E2007" s="81" t="s">
        <v>169</v>
      </c>
      <c r="F2007">
        <v>1610023</v>
      </c>
      <c r="G2007" s="81" t="s">
        <v>351</v>
      </c>
      <c r="H2007" s="81" t="s">
        <v>28</v>
      </c>
      <c r="I2007" s="3">
        <v>3</v>
      </c>
      <c r="J2007" s="3"/>
      <c r="K2007" s="26">
        <v>3</v>
      </c>
      <c r="L2007" s="2">
        <v>2278</v>
      </c>
      <c r="M2007" s="2">
        <v>6834</v>
      </c>
      <c r="N2007" s="2">
        <v>6834</v>
      </c>
      <c r="O2007" s="2">
        <v>2109.0585000000001</v>
      </c>
      <c r="P2007" s="2">
        <v>-168.94149999999999</v>
      </c>
      <c r="Q2007" s="2">
        <v>-506.82440000000003</v>
      </c>
      <c r="R2007" s="4">
        <v>-8.0102782656660737E-2</v>
      </c>
      <c r="T2007">
        <v>317395</v>
      </c>
      <c r="U2007" s="2"/>
      <c r="V2007">
        <v>6266</v>
      </c>
      <c r="W2007" s="2">
        <v>6579000000</v>
      </c>
      <c r="X2007" s="6">
        <v>6327.1756260000002</v>
      </c>
      <c r="Y2007" s="38">
        <v>10010</v>
      </c>
      <c r="Z2007" s="86">
        <f>+((DETALLE_GD_1[[#This Row],[VALOR X UN (GD)]]-DETALLE_GD_1[[#This Row],[VALOR PPTO]])/DETALLE_GD_1[[#This Row],[VALOR PPTO]])</f>
        <v>8.0102804165934655E-2</v>
      </c>
      <c r="AA2007" s="2">
        <f>+DETALLE_GD_1[[#This Row],[VALOR PPTO]]*DETALLE_GD_1[[#This Row],[CANTIDAD RECIBIDA]]</f>
        <v>6327.1755000000003</v>
      </c>
      <c r="AB2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7" s="3">
        <f>+DETALLE_GD_1[[#This Row],[CANTIDAD SOLICITADA]]-DETALLE_GD_1[[#This Row],[DEVOLUCIÓN]]</f>
        <v>3</v>
      </c>
      <c r="AD2007" s="38" t="str">
        <f>+_xlfn.XLOOKUP(DETALLE_GD_1[[#This Row],[CODIGO]],PRODUCTOS[CODIGO],PRODUCTOS[DESC CORTA],"",0)</f>
        <v>TRAPOS DE ASEO</v>
      </c>
    </row>
    <row r="2008" spans="1:30" x14ac:dyDescent="0.25">
      <c r="A2008" s="1">
        <v>46175</v>
      </c>
      <c r="B2008" s="1">
        <v>46175</v>
      </c>
      <c r="C2008" s="81" t="s">
        <v>169</v>
      </c>
      <c r="D2008" s="38">
        <v>6</v>
      </c>
      <c r="E2008" s="81" t="s">
        <v>169</v>
      </c>
      <c r="F2008">
        <v>1802659</v>
      </c>
      <c r="G2008" s="81" t="s">
        <v>161</v>
      </c>
      <c r="H2008" s="81" t="s">
        <v>31</v>
      </c>
      <c r="I2008" s="3">
        <v>7</v>
      </c>
      <c r="J2008" s="3"/>
      <c r="K2008" s="26">
        <v>7</v>
      </c>
      <c r="L2008" s="2">
        <v>2446.7143000000001</v>
      </c>
      <c r="M2008" s="2">
        <v>17127</v>
      </c>
      <c r="N2008" s="2">
        <v>17127</v>
      </c>
      <c r="O2008" s="2">
        <v>2929.4632000000001</v>
      </c>
      <c r="P2008" s="2">
        <v>482.74889999999999</v>
      </c>
      <c r="Q2008" s="2">
        <v>3379.2420999999999</v>
      </c>
      <c r="R2008" s="4">
        <v>0.16479090066976504</v>
      </c>
      <c r="T2008">
        <v>317395</v>
      </c>
      <c r="U2008" s="2"/>
      <c r="V2008">
        <v>6266</v>
      </c>
      <c r="W2008" s="2">
        <v>6579000000</v>
      </c>
      <c r="X2008" s="6">
        <v>20506.242106000002</v>
      </c>
      <c r="Y2008" s="38">
        <v>10010</v>
      </c>
      <c r="Z2008" s="86">
        <f>+((DETALLE_GD_1[[#This Row],[VALOR X UN (GD)]]-DETALLE_GD_1[[#This Row],[VALOR PPTO]])/DETALLE_GD_1[[#This Row],[VALOR PPTO]])</f>
        <v>-0.16479090776767566</v>
      </c>
      <c r="AA2008" s="2">
        <f>+DETALLE_GD_1[[#This Row],[VALOR PPTO]]*DETALLE_GD_1[[#This Row],[CANTIDAD RECIBIDA]]</f>
        <v>20506.242400000003</v>
      </c>
      <c r="AB2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8" s="3">
        <f>+DETALLE_GD_1[[#This Row],[CANTIDAD SOLICITADA]]-DETALLE_GD_1[[#This Row],[DEVOLUCIÓN]]</f>
        <v>7</v>
      </c>
      <c r="AD2008" s="38">
        <f>+_xlfn.XLOOKUP(DETALLE_GD_1[[#This Row],[CODIGO]],PRODUCTOS[CODIGO],PRODUCTOS[DESC CORTA],"",0)</f>
        <v>0</v>
      </c>
    </row>
    <row r="2009" spans="1:30" x14ac:dyDescent="0.25">
      <c r="A2009" s="1">
        <v>46175</v>
      </c>
      <c r="B2009" s="1">
        <v>46175</v>
      </c>
      <c r="C2009" s="81" t="s">
        <v>169</v>
      </c>
      <c r="D2009" s="38">
        <v>6</v>
      </c>
      <c r="E2009" s="81" t="s">
        <v>169</v>
      </c>
      <c r="F2009">
        <v>705028</v>
      </c>
      <c r="G2009" s="81" t="s">
        <v>72</v>
      </c>
      <c r="H2009" s="81" t="s">
        <v>18</v>
      </c>
      <c r="I2009" s="3">
        <v>20</v>
      </c>
      <c r="J2009" s="3"/>
      <c r="K2009" s="26">
        <v>20</v>
      </c>
      <c r="L2009" s="2">
        <v>22782</v>
      </c>
      <c r="M2009" s="2">
        <v>455640</v>
      </c>
      <c r="N2009" s="2">
        <v>455640</v>
      </c>
      <c r="O2009" s="2">
        <v>22927.086200000002</v>
      </c>
      <c r="P2009" s="2">
        <v>145.08619999999999</v>
      </c>
      <c r="Q2009" s="2">
        <v>2901.7240999999999</v>
      </c>
      <c r="R2009" s="4">
        <v>6.3281572586272733E-3</v>
      </c>
      <c r="T2009">
        <v>317395</v>
      </c>
      <c r="U2009" s="2"/>
      <c r="V2009">
        <v>6266</v>
      </c>
      <c r="W2009" s="2">
        <v>6579000000</v>
      </c>
      <c r="X2009" s="6">
        <v>458541.72414000001</v>
      </c>
      <c r="Y2009" s="38">
        <v>10010</v>
      </c>
      <c r="Z2009" s="86">
        <f>+((DETALLE_GD_1[[#This Row],[VALOR X UN (GD)]]-DETALLE_GD_1[[#This Row],[VALOR PPTO]])/DETALLE_GD_1[[#This Row],[VALOR PPTO]])</f>
        <v>-6.3281569552436868E-3</v>
      </c>
      <c r="AA2009" s="2">
        <f>+DETALLE_GD_1[[#This Row],[VALOR PPTO]]*DETALLE_GD_1[[#This Row],[CANTIDAD RECIBIDA]]</f>
        <v>458541.72400000005</v>
      </c>
      <c r="AB20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09" s="3">
        <f>+DETALLE_GD_1[[#This Row],[CANTIDAD SOLICITADA]]-DETALLE_GD_1[[#This Row],[DEVOLUCIÓN]]</f>
        <v>20</v>
      </c>
      <c r="AD2009" s="38" t="str">
        <f>+_xlfn.XLOOKUP(DETALLE_GD_1[[#This Row],[CODIGO]],PRODUCTOS[CODIGO],PRODUCTOS[DESC CORTA],"",0)</f>
        <v>SIMPLISIMA</v>
      </c>
    </row>
    <row r="2010" spans="1:30" x14ac:dyDescent="0.25">
      <c r="A2010" s="1">
        <v>46176</v>
      </c>
      <c r="B2010" s="1">
        <v>46176</v>
      </c>
      <c r="C2010" s="81" t="s">
        <v>169</v>
      </c>
      <c r="D2010" s="38">
        <v>6</v>
      </c>
      <c r="E2010" s="81" t="s">
        <v>169</v>
      </c>
      <c r="F2010">
        <v>307096</v>
      </c>
      <c r="G2010" s="81" t="s">
        <v>249</v>
      </c>
      <c r="H2010" s="81" t="s">
        <v>137</v>
      </c>
      <c r="I2010" s="3">
        <v>100</v>
      </c>
      <c r="J2010" s="3"/>
      <c r="K2010" s="26">
        <v>100</v>
      </c>
      <c r="L2010" s="2">
        <v>1651.42</v>
      </c>
      <c r="M2010" s="2">
        <v>165142</v>
      </c>
      <c r="N2010" s="2">
        <v>165142</v>
      </c>
      <c r="O2010" s="2">
        <v>2095.3501000000001</v>
      </c>
      <c r="P2010" s="2">
        <v>443.93009999999998</v>
      </c>
      <c r="Q2010" s="2">
        <v>44393.012900000002</v>
      </c>
      <c r="R2010" s="4">
        <v>0.21186441485646276</v>
      </c>
      <c r="T2010">
        <v>317475</v>
      </c>
      <c r="U2010" s="2">
        <v>217042</v>
      </c>
      <c r="V2010">
        <v>6266</v>
      </c>
      <c r="W2010" s="2">
        <v>6579000000</v>
      </c>
      <c r="X2010" s="6">
        <v>209535.01289999983</v>
      </c>
      <c r="Y2010" s="38">
        <v>10010</v>
      </c>
      <c r="Z2010" s="86">
        <f>+((DETALLE_GD_1[[#This Row],[VALOR X UN (GD)]]-DETALLE_GD_1[[#This Row],[VALOR PPTO]])/DETALLE_GD_1[[#This Row],[VALOR PPTO]])</f>
        <v>-0.21186440394853348</v>
      </c>
      <c r="AA2010" s="2">
        <f>+DETALLE_GD_1[[#This Row],[VALOR PPTO]]*DETALLE_GD_1[[#This Row],[CANTIDAD RECIBIDA]]</f>
        <v>209535.01</v>
      </c>
      <c r="AB2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0" s="3">
        <f>+DETALLE_GD_1[[#This Row],[CANTIDAD SOLICITADA]]-DETALLE_GD_1[[#This Row],[DEVOLUCIÓN]]</f>
        <v>100</v>
      </c>
      <c r="AD2010" s="38" t="str">
        <f>+_xlfn.XLOOKUP(DETALLE_GD_1[[#This Row],[CODIGO]],PRODUCTOS[CODIGO],PRODUCTOS[DESC CORTA],"",0)</f>
        <v>CUBREJUNTA</v>
      </c>
    </row>
    <row r="2011" spans="1:30" x14ac:dyDescent="0.25">
      <c r="A2011" s="1">
        <v>46176</v>
      </c>
      <c r="B2011" s="1">
        <v>46176</v>
      </c>
      <c r="C2011" s="81" t="s">
        <v>169</v>
      </c>
      <c r="D2011" s="38">
        <v>6</v>
      </c>
      <c r="E2011" s="81" t="s">
        <v>169</v>
      </c>
      <c r="F2011">
        <v>408017</v>
      </c>
      <c r="G2011" s="81" t="s">
        <v>445</v>
      </c>
      <c r="H2011" s="81" t="s">
        <v>36</v>
      </c>
      <c r="I2011" s="3">
        <v>3</v>
      </c>
      <c r="J2011" s="3"/>
      <c r="K2011" s="26">
        <v>3</v>
      </c>
      <c r="L2011" s="2">
        <v>17300</v>
      </c>
      <c r="M2011" s="2">
        <v>51900</v>
      </c>
      <c r="N2011" s="2">
        <v>51900</v>
      </c>
      <c r="O2011" s="2"/>
      <c r="P2011" s="2"/>
      <c r="Q2011" s="2">
        <v>-51900</v>
      </c>
      <c r="R2011" s="4"/>
      <c r="T2011">
        <v>317475</v>
      </c>
      <c r="U2011" s="2"/>
      <c r="V2011">
        <v>6266</v>
      </c>
      <c r="W2011" s="2">
        <v>6579000000</v>
      </c>
      <c r="X2011" s="6" t="s">
        <v>355</v>
      </c>
      <c r="Y2011" s="38">
        <v>10010</v>
      </c>
      <c r="Z2011" s="86" t="e">
        <f>+((DETALLE_GD_1[[#This Row],[VALOR X UN (GD)]]-DETALLE_GD_1[[#This Row],[VALOR PPTO]])/DETALLE_GD_1[[#This Row],[VALOR PPTO]])</f>
        <v>#DIV/0!</v>
      </c>
      <c r="AA2011" s="2">
        <f>+DETALLE_GD_1[[#This Row],[VALOR PPTO]]*DETALLE_GD_1[[#This Row],[CANTIDAD RECIBIDA]]</f>
        <v>0</v>
      </c>
      <c r="AB2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11" s="3">
        <f>+DETALLE_GD_1[[#This Row],[CANTIDAD SOLICITADA]]-DETALLE_GD_1[[#This Row],[DEVOLUCIÓN]]</f>
        <v>3</v>
      </c>
      <c r="AD2011" s="38" t="str">
        <f>+_xlfn.XLOOKUP(DETALLE_GD_1[[#This Row],[CODIGO]],PRODUCTOS[CODIGO],PRODUCTOS[DESC CORTA],"",0)</f>
        <v/>
      </c>
    </row>
    <row r="2012" spans="1:30" x14ac:dyDescent="0.25">
      <c r="A2012" s="1">
        <v>46176</v>
      </c>
      <c r="B2012" s="1">
        <v>46176</v>
      </c>
      <c r="C2012" s="81" t="s">
        <v>169</v>
      </c>
      <c r="D2012" s="38">
        <v>6</v>
      </c>
      <c r="E2012" s="81" t="s">
        <v>169</v>
      </c>
      <c r="F2012">
        <v>302046</v>
      </c>
      <c r="G2012" s="81" t="s">
        <v>115</v>
      </c>
      <c r="H2012" s="81" t="s">
        <v>20</v>
      </c>
      <c r="I2012" s="3">
        <v>288</v>
      </c>
      <c r="J2012" s="3"/>
      <c r="K2012" s="26">
        <v>288</v>
      </c>
      <c r="L2012" s="2">
        <v>10358.829900000001</v>
      </c>
      <c r="M2012" s="2">
        <v>2983343</v>
      </c>
      <c r="N2012" s="2">
        <v>2983343</v>
      </c>
      <c r="O2012" s="2">
        <v>10156.5985</v>
      </c>
      <c r="P2012" s="2">
        <v>-202.23140000000001</v>
      </c>
      <c r="Q2012" s="2">
        <v>-58242.641499999998</v>
      </c>
      <c r="R2012" s="4">
        <v>-1.9911331019748745E-2</v>
      </c>
      <c r="T2012">
        <v>317511</v>
      </c>
      <c r="U2012" s="2">
        <v>2983343</v>
      </c>
      <c r="V2012">
        <v>6266</v>
      </c>
      <c r="W2012" s="2">
        <v>6579000000</v>
      </c>
      <c r="X2012" s="6">
        <v>2925100.3584960005</v>
      </c>
      <c r="Y2012" s="38">
        <v>10010</v>
      </c>
      <c r="Z2012" s="86">
        <f>+((DETALLE_GD_1[[#This Row],[VALOR X UN (GD)]]-DETALLE_GD_1[[#This Row],[VALOR PPTO]])/DETALLE_GD_1[[#This Row],[VALOR PPTO]])</f>
        <v>1.9911331534863821E-2</v>
      </c>
      <c r="AA2012" s="2">
        <f>+DETALLE_GD_1[[#This Row],[VALOR PPTO]]*DETALLE_GD_1[[#This Row],[CANTIDAD RECIBIDA]]</f>
        <v>2925100.3679999998</v>
      </c>
      <c r="AB2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2" s="3">
        <f>+DETALLE_GD_1[[#This Row],[CANTIDAD SOLICITADA]]-DETALLE_GD_1[[#This Row],[DEVOLUCIÓN]]</f>
        <v>288</v>
      </c>
      <c r="AD2012" s="38" t="str">
        <f>+_xlfn.XLOOKUP(DETALLE_GD_1[[#This Row],[CODIGO]],PRODUCTOS[CODIGO],PRODUCTOS[DESC CORTA],"",0)</f>
        <v>PINO 2X6X400</v>
      </c>
    </row>
    <row r="2013" spans="1:30" x14ac:dyDescent="0.25">
      <c r="A2013" s="1">
        <v>46176</v>
      </c>
      <c r="B2013" s="1">
        <v>46176</v>
      </c>
      <c r="C2013" s="81" t="s">
        <v>169</v>
      </c>
      <c r="D2013" s="38">
        <v>6</v>
      </c>
      <c r="E2013" s="81" t="s">
        <v>169</v>
      </c>
      <c r="F2013" t="s">
        <v>345</v>
      </c>
      <c r="G2013" s="81" t="s">
        <v>167</v>
      </c>
      <c r="H2013" s="81" t="s">
        <v>26</v>
      </c>
      <c r="I2013" s="3">
        <v>40</v>
      </c>
      <c r="J2013" s="3"/>
      <c r="K2013" s="26">
        <v>40</v>
      </c>
      <c r="L2013" s="2">
        <v>12991.95</v>
      </c>
      <c r="M2013" s="2">
        <v>519678</v>
      </c>
      <c r="N2013" s="2">
        <v>519678</v>
      </c>
      <c r="O2013" s="2">
        <v>11882.3879</v>
      </c>
      <c r="P2013" s="2">
        <v>-1109.5621000000001</v>
      </c>
      <c r="Q2013" s="2">
        <v>-44382.4833</v>
      </c>
      <c r="R2013" s="4">
        <v>-9.337871232200412E-2</v>
      </c>
      <c r="T2013">
        <v>317525</v>
      </c>
      <c r="U2013" s="2">
        <v>536092</v>
      </c>
      <c r="V2013">
        <v>6266</v>
      </c>
      <c r="W2013" s="2">
        <v>6579000000</v>
      </c>
      <c r="X2013" s="6">
        <v>475295.51668</v>
      </c>
      <c r="Y2013" s="38">
        <v>10010</v>
      </c>
      <c r="Z2013" s="86">
        <f>+((DETALLE_GD_1[[#This Row],[VALOR X UN (GD)]]-DETALLE_GD_1[[#This Row],[VALOR PPTO]])/DETALLE_GD_1[[#This Row],[VALOR PPTO]])</f>
        <v>9.3378713886288892E-2</v>
      </c>
      <c r="AA2013" s="2">
        <f>+DETALLE_GD_1[[#This Row],[VALOR PPTO]]*DETALLE_GD_1[[#This Row],[CANTIDAD RECIBIDA]]</f>
        <v>475295.516</v>
      </c>
      <c r="AB20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3" s="3">
        <f>+DETALLE_GD_1[[#This Row],[CANTIDAD SOLICITADA]]-DETALLE_GD_1[[#This Row],[DEVOLUCIÓN]]</f>
        <v>40</v>
      </c>
      <c r="AD2013" s="38" t="str">
        <f>+_xlfn.XLOOKUP(DETALLE_GD_1[[#This Row],[CODIGO]],PRODUCTOS[CODIGO],PRODUCTOS[DESC CORTA],"",0)</f>
        <v>PISO TARKET</v>
      </c>
    </row>
    <row r="2014" spans="1:30" x14ac:dyDescent="0.25">
      <c r="A2014" s="1">
        <v>46176</v>
      </c>
      <c r="B2014" s="1">
        <v>46176</v>
      </c>
      <c r="C2014" s="81" t="s">
        <v>169</v>
      </c>
      <c r="D2014" s="38">
        <v>6</v>
      </c>
      <c r="E2014" s="81" t="s">
        <v>169</v>
      </c>
      <c r="F2014" t="s">
        <v>562</v>
      </c>
      <c r="G2014" s="81" t="s">
        <v>708</v>
      </c>
      <c r="H2014" s="81" t="s">
        <v>47</v>
      </c>
      <c r="I2014" s="3">
        <v>50</v>
      </c>
      <c r="J2014" s="3"/>
      <c r="K2014" s="26">
        <v>50</v>
      </c>
      <c r="L2014" s="2">
        <v>328.28</v>
      </c>
      <c r="M2014" s="2">
        <v>16414</v>
      </c>
      <c r="N2014" s="2">
        <v>16414</v>
      </c>
      <c r="O2014" s="2"/>
      <c r="P2014" s="2"/>
      <c r="Q2014" s="2">
        <v>-16414</v>
      </c>
      <c r="R2014" s="4"/>
      <c r="T2014">
        <v>317525</v>
      </c>
      <c r="U2014" s="2"/>
      <c r="V2014">
        <v>6266</v>
      </c>
      <c r="W2014" s="2">
        <v>6579000000</v>
      </c>
      <c r="X2014" s="6" t="s">
        <v>355</v>
      </c>
      <c r="Y2014" s="38">
        <v>10010</v>
      </c>
      <c r="Z2014" s="86" t="e">
        <f>+((DETALLE_GD_1[[#This Row],[VALOR X UN (GD)]]-DETALLE_GD_1[[#This Row],[VALOR PPTO]])/DETALLE_GD_1[[#This Row],[VALOR PPTO]])</f>
        <v>#DIV/0!</v>
      </c>
      <c r="AA2014" s="2">
        <f>+DETALLE_GD_1[[#This Row],[VALOR PPTO]]*DETALLE_GD_1[[#This Row],[CANTIDAD RECIBIDA]]</f>
        <v>0</v>
      </c>
      <c r="AB2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14" s="3">
        <f>+DETALLE_GD_1[[#This Row],[CANTIDAD SOLICITADA]]-DETALLE_GD_1[[#This Row],[DEVOLUCIÓN]]</f>
        <v>50</v>
      </c>
      <c r="AD2014" s="38" t="str">
        <f>+_xlfn.XLOOKUP(DETALLE_GD_1[[#This Row],[CODIGO]],PRODUCTOS[CODIGO],PRODUCTOS[DESC CORTA],"",0)</f>
        <v/>
      </c>
    </row>
    <row r="2015" spans="1:30" x14ac:dyDescent="0.25">
      <c r="A2015" s="1">
        <v>46176</v>
      </c>
      <c r="B2015" s="1">
        <v>46176</v>
      </c>
      <c r="C2015" s="81" t="s">
        <v>169</v>
      </c>
      <c r="D2015" s="38">
        <v>6</v>
      </c>
      <c r="E2015" s="81" t="s">
        <v>169</v>
      </c>
      <c r="F2015">
        <v>304002</v>
      </c>
      <c r="G2015" s="81" t="s">
        <v>37</v>
      </c>
      <c r="H2015" s="81" t="s">
        <v>18</v>
      </c>
      <c r="I2015" s="3">
        <v>72</v>
      </c>
      <c r="J2015" s="3"/>
      <c r="K2015" s="26">
        <v>72</v>
      </c>
      <c r="L2015" s="2">
        <v>21648.833299999998</v>
      </c>
      <c r="M2015" s="2">
        <v>1558716</v>
      </c>
      <c r="N2015" s="2">
        <v>1558716</v>
      </c>
      <c r="O2015" s="2">
        <v>21246.5072</v>
      </c>
      <c r="P2015" s="2">
        <v>-402.32619999999997</v>
      </c>
      <c r="Q2015" s="2">
        <v>-28967.485000000001</v>
      </c>
      <c r="R2015" s="4">
        <v>-1.8936109236031368E-2</v>
      </c>
      <c r="T2015">
        <v>317478</v>
      </c>
      <c r="U2015" s="2">
        <v>6042643</v>
      </c>
      <c r="V2015">
        <v>6266</v>
      </c>
      <c r="W2015" s="2">
        <v>6579000000</v>
      </c>
      <c r="X2015" s="6">
        <v>1529748.5150160005</v>
      </c>
      <c r="Y2015" s="38">
        <v>10010</v>
      </c>
      <c r="Z2015" s="86">
        <f>+((DETALLE_GD_1[[#This Row],[VALOR X UN (GD)]]-DETALLE_GD_1[[#This Row],[VALOR PPTO]])/DETALLE_GD_1[[#This Row],[VALOR PPTO]])</f>
        <v>1.8936105413128724E-2</v>
      </c>
      <c r="AA2015" s="2">
        <f>+DETALLE_GD_1[[#This Row],[VALOR PPTO]]*DETALLE_GD_1[[#This Row],[CANTIDAD RECIBIDA]]</f>
        <v>1529748.5183999999</v>
      </c>
      <c r="AB20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5" s="3">
        <f>+DETALLE_GD_1[[#This Row],[CANTIDAD SOLICITADA]]-DETALLE_GD_1[[#This Row],[DEVOLUCIÓN]]</f>
        <v>72</v>
      </c>
      <c r="AD2015" s="38" t="str">
        <f>+_xlfn.XLOOKUP(DETALLE_GD_1[[#This Row],[CODIGO]],PRODUCTOS[CODIGO],PRODUCTOS[DESC CORTA],"",0)</f>
        <v>SMARTPANEL</v>
      </c>
    </row>
    <row r="2016" spans="1:30" x14ac:dyDescent="0.25">
      <c r="A2016" s="1">
        <v>46176</v>
      </c>
      <c r="B2016" s="1">
        <v>46176</v>
      </c>
      <c r="C2016" s="81" t="s">
        <v>169</v>
      </c>
      <c r="D2016" s="38">
        <v>6</v>
      </c>
      <c r="E2016" s="81" t="s">
        <v>169</v>
      </c>
      <c r="F2016">
        <v>304101</v>
      </c>
      <c r="G2016" s="81" t="s">
        <v>17</v>
      </c>
      <c r="H2016" s="81" t="s">
        <v>18</v>
      </c>
      <c r="I2016" s="3">
        <v>168</v>
      </c>
      <c r="J2016" s="3"/>
      <c r="K2016" s="26">
        <v>168</v>
      </c>
      <c r="L2016" s="2">
        <v>9610.2916999999998</v>
      </c>
      <c r="M2016" s="2">
        <v>1614529</v>
      </c>
      <c r="N2016" s="2">
        <v>1614529</v>
      </c>
      <c r="O2016" s="2">
        <v>9657.5879999999997</v>
      </c>
      <c r="P2016" s="2">
        <v>47.296300000000002</v>
      </c>
      <c r="Q2016" s="2">
        <v>7945.7755999999999</v>
      </c>
      <c r="R2016" s="4">
        <v>4.8973184172077418E-3</v>
      </c>
      <c r="T2016">
        <v>317478</v>
      </c>
      <c r="U2016" s="2"/>
      <c r="V2016">
        <v>6266</v>
      </c>
      <c r="W2016" s="2">
        <v>6579000000</v>
      </c>
      <c r="X2016" s="6">
        <v>1622474.7756000008</v>
      </c>
      <c r="Y2016" s="38">
        <v>10010</v>
      </c>
      <c r="Z2016" s="86">
        <f>+((DETALLE_GD_1[[#This Row],[VALOR X UN (GD)]]-DETALLE_GD_1[[#This Row],[VALOR PPTO]])/DETALLE_GD_1[[#This Row],[VALOR PPTO]])</f>
        <v>-4.8973201176111441E-3</v>
      </c>
      <c r="AA2016" s="2">
        <f>+DETALLE_GD_1[[#This Row],[VALOR PPTO]]*DETALLE_GD_1[[#This Row],[CANTIDAD RECIBIDA]]</f>
        <v>1622474.784</v>
      </c>
      <c r="AB20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6" s="3">
        <f>+DETALLE_GD_1[[#This Row],[CANTIDAD SOLICITADA]]-DETALLE_GD_1[[#This Row],[DEVOLUCIÓN]]</f>
        <v>168</v>
      </c>
      <c r="AD2016" s="38" t="str">
        <f>+_xlfn.XLOOKUP(DETALLE_GD_1[[#This Row],[CODIGO]],PRODUCTOS[CODIGO],PRODUCTOS[DESC CORTA],"",0)</f>
        <v>OSB 9.5</v>
      </c>
    </row>
    <row r="2017" spans="1:30" x14ac:dyDescent="0.25">
      <c r="A2017" s="1">
        <v>46176</v>
      </c>
      <c r="B2017" s="1">
        <v>46176</v>
      </c>
      <c r="C2017" s="81" t="s">
        <v>169</v>
      </c>
      <c r="D2017" s="38">
        <v>6</v>
      </c>
      <c r="E2017" s="81" t="s">
        <v>169</v>
      </c>
      <c r="F2017">
        <v>1901466</v>
      </c>
      <c r="G2017" s="81" t="s">
        <v>398</v>
      </c>
      <c r="H2017" s="81" t="s">
        <v>26</v>
      </c>
      <c r="I2017" s="3">
        <v>270</v>
      </c>
      <c r="J2017" s="3"/>
      <c r="K2017" s="26">
        <v>270</v>
      </c>
      <c r="L2017" s="2">
        <v>1970</v>
      </c>
      <c r="M2017" s="2">
        <v>531900</v>
      </c>
      <c r="N2017" s="2">
        <v>531900</v>
      </c>
      <c r="O2017" s="2">
        <v>2112.7957999999999</v>
      </c>
      <c r="P2017" s="2">
        <v>142.79580000000001</v>
      </c>
      <c r="Q2017" s="2">
        <v>38554.8603</v>
      </c>
      <c r="R2017" s="4">
        <v>6.7586172037690365E-2</v>
      </c>
      <c r="T2017">
        <v>317478</v>
      </c>
      <c r="U2017" s="2"/>
      <c r="V2017">
        <v>6266</v>
      </c>
      <c r="W2017" s="2">
        <v>6579000000</v>
      </c>
      <c r="X2017" s="6">
        <v>570454.86033000005</v>
      </c>
      <c r="Y2017" s="38">
        <v>10010</v>
      </c>
      <c r="Z2017" s="86">
        <f>+((DETALLE_GD_1[[#This Row],[VALOR X UN (GD)]]-DETALLE_GD_1[[#This Row],[VALOR PPTO]])/DETALLE_GD_1[[#This Row],[VALOR PPTO]])</f>
        <v>-6.758618130535847E-2</v>
      </c>
      <c r="AA2017" s="2">
        <f>+DETALLE_GD_1[[#This Row],[VALOR PPTO]]*DETALLE_GD_1[[#This Row],[CANTIDAD RECIBIDA]]</f>
        <v>570454.86599999992</v>
      </c>
      <c r="AB2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17" s="3">
        <f>+DETALLE_GD_1[[#This Row],[CANTIDAD SOLICITADA]]-DETALLE_GD_1[[#This Row],[DEVOLUCIÓN]]</f>
        <v>270</v>
      </c>
      <c r="AD2017" s="38" t="str">
        <f>+_xlfn.XLOOKUP(DETALLE_GD_1[[#This Row],[CODIGO]],PRODUCTOS[CODIGO],PRODUCTOS[DESC CORTA],"",0)</f>
        <v>AISLAN DENSIDAD 14 KG/M3 (13.5 M2 X BOLSA) SKU 4000147</v>
      </c>
    </row>
    <row r="2018" spans="1:30" x14ac:dyDescent="0.25">
      <c r="A2018" s="1">
        <v>46176</v>
      </c>
      <c r="B2018" s="1">
        <v>46176</v>
      </c>
      <c r="C2018" s="81" t="s">
        <v>169</v>
      </c>
      <c r="D2018" s="38">
        <v>6</v>
      </c>
      <c r="E2018" s="81" t="s">
        <v>169</v>
      </c>
      <c r="F2018">
        <v>1901086</v>
      </c>
      <c r="G2018" s="81" t="s">
        <v>279</v>
      </c>
      <c r="H2018" s="81" t="s">
        <v>26</v>
      </c>
      <c r="I2018" s="3">
        <v>162</v>
      </c>
      <c r="J2018" s="3"/>
      <c r="K2018" s="26">
        <v>162</v>
      </c>
      <c r="L2018" s="2">
        <v>3625.5061999999998</v>
      </c>
      <c r="M2018" s="2">
        <v>587332</v>
      </c>
      <c r="N2018" s="2">
        <v>587332</v>
      </c>
      <c r="O2018" s="2">
        <v>3711.587</v>
      </c>
      <c r="P2018" s="2">
        <v>86.0809</v>
      </c>
      <c r="Q2018" s="2">
        <v>13945.1006</v>
      </c>
      <c r="R2018" s="4">
        <v>2.3192469207808614E-2</v>
      </c>
      <c r="T2018">
        <v>317478</v>
      </c>
      <c r="U2018" s="2"/>
      <c r="V2018">
        <v>6266</v>
      </c>
      <c r="W2018" s="2">
        <v>6579000000</v>
      </c>
      <c r="X2018" s="6">
        <v>601277.10064200009</v>
      </c>
      <c r="Y2018" s="38">
        <v>10010</v>
      </c>
      <c r="Z2018" s="86">
        <f>+((DETALLE_GD_1[[#This Row],[VALOR X UN (GD)]]-DETALLE_GD_1[[#This Row],[VALOR PPTO]])/DETALLE_GD_1[[#This Row],[VALOR PPTO]])</f>
        <v>-2.3192451099758725E-2</v>
      </c>
      <c r="AA2018" s="2">
        <f>+DETALLE_GD_1[[#This Row],[VALOR PPTO]]*DETALLE_GD_1[[#This Row],[CANTIDAD RECIBIDA]]</f>
        <v>601277.09400000004</v>
      </c>
      <c r="AB20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8" s="3">
        <f>+DETALLE_GD_1[[#This Row],[CANTIDAD SOLICITADA]]-DETALLE_GD_1[[#This Row],[DEVOLUCIÓN]]</f>
        <v>162</v>
      </c>
      <c r="AD2018" s="38" t="str">
        <f>+_xlfn.XLOOKUP(DETALLE_GD_1[[#This Row],[CODIGO]],PRODUCTOS[CODIGO],PRODUCTOS[DESC CORTA],"",0)</f>
        <v>AISLAN GLASS 140MM</v>
      </c>
    </row>
    <row r="2019" spans="1:30" x14ac:dyDescent="0.25">
      <c r="A2019" s="1">
        <v>46176</v>
      </c>
      <c r="B2019" s="1">
        <v>46176</v>
      </c>
      <c r="C2019" s="81" t="s">
        <v>169</v>
      </c>
      <c r="D2019" s="38">
        <v>6</v>
      </c>
      <c r="E2019" s="81" t="s">
        <v>169</v>
      </c>
      <c r="F2019">
        <v>1901038</v>
      </c>
      <c r="G2019" s="81" t="s">
        <v>39</v>
      </c>
      <c r="H2019" s="81" t="s">
        <v>26</v>
      </c>
      <c r="I2019" s="3">
        <v>108</v>
      </c>
      <c r="J2019" s="3"/>
      <c r="K2019" s="26">
        <v>108</v>
      </c>
      <c r="L2019" s="2">
        <v>4857.0740999999998</v>
      </c>
      <c r="M2019" s="2">
        <v>524564</v>
      </c>
      <c r="N2019" s="2">
        <v>524564</v>
      </c>
      <c r="O2019" s="2">
        <v>4197.4179000000004</v>
      </c>
      <c r="P2019" s="2">
        <v>-659.65620000000001</v>
      </c>
      <c r="Q2019" s="2">
        <v>-71242.869500000001</v>
      </c>
      <c r="R2019" s="4">
        <v>-0.15715761897403954</v>
      </c>
      <c r="T2019">
        <v>317478</v>
      </c>
      <c r="U2019" s="2"/>
      <c r="V2019">
        <v>6266</v>
      </c>
      <c r="W2019" s="2">
        <v>6579000000</v>
      </c>
      <c r="X2019" s="6">
        <v>453321.13050000009</v>
      </c>
      <c r="Y2019" s="38">
        <v>10010</v>
      </c>
      <c r="Z2019" s="86">
        <f>+((DETALLE_GD_1[[#This Row],[VALOR X UN (GD)]]-DETALLE_GD_1[[#This Row],[VALOR PPTO]])/DETALLE_GD_1[[#This Row],[VALOR PPTO]])</f>
        <v>0.15715761825859639</v>
      </c>
      <c r="AA2019" s="2">
        <f>+DETALLE_GD_1[[#This Row],[VALOR PPTO]]*DETALLE_GD_1[[#This Row],[CANTIDAD RECIBIDA]]</f>
        <v>453321.13320000004</v>
      </c>
      <c r="AB20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9" s="3">
        <f>+DETALLE_GD_1[[#This Row],[CANTIDAD SOLICITADA]]-DETALLE_GD_1[[#This Row],[DEVOLUCIÓN]]</f>
        <v>108</v>
      </c>
      <c r="AD2019" s="38" t="str">
        <f>+_xlfn.XLOOKUP(DETALLE_GD_1[[#This Row],[CODIGO]],PRODUCTOS[CODIGO],PRODUCTOS[DESC CORTA],"",0)</f>
        <v>AISLAN ROCA 90MM</v>
      </c>
    </row>
    <row r="2020" spans="1:30" x14ac:dyDescent="0.25">
      <c r="A2020" s="1">
        <v>46176</v>
      </c>
      <c r="B2020" s="1">
        <v>46176</v>
      </c>
      <c r="C2020" s="81" t="s">
        <v>169</v>
      </c>
      <c r="D2020" s="38">
        <v>6</v>
      </c>
      <c r="E2020" s="81" t="s">
        <v>169</v>
      </c>
      <c r="F2020">
        <v>1901008</v>
      </c>
      <c r="G2020" s="81" t="s">
        <v>278</v>
      </c>
      <c r="H2020" s="81" t="s">
        <v>26</v>
      </c>
      <c r="I2020" s="3">
        <v>270</v>
      </c>
      <c r="J2020" s="3"/>
      <c r="K2020" s="26">
        <v>270</v>
      </c>
      <c r="L2020" s="2">
        <v>2057.0778</v>
      </c>
      <c r="M2020" s="2">
        <v>555411</v>
      </c>
      <c r="N2020" s="2">
        <v>555411</v>
      </c>
      <c r="O2020" s="2">
        <v>2112.7957999999999</v>
      </c>
      <c r="P2020" s="2">
        <v>55.718000000000004</v>
      </c>
      <c r="Q2020" s="2">
        <v>15043.8603</v>
      </c>
      <c r="R2020" s="4">
        <v>2.6371692794934575E-2</v>
      </c>
      <c r="T2020">
        <v>317478</v>
      </c>
      <c r="U2020" s="2"/>
      <c r="V2020">
        <v>6266</v>
      </c>
      <c r="W2020" s="2">
        <v>6579000000</v>
      </c>
      <c r="X2020" s="6">
        <v>570454.86033000005</v>
      </c>
      <c r="Y2020" s="38">
        <v>10010</v>
      </c>
      <c r="Z2020" s="86">
        <f>+((DETALLE_GD_1[[#This Row],[VALOR X UN (GD)]]-DETALLE_GD_1[[#This Row],[VALOR PPTO]])/DETALLE_GD_1[[#This Row],[VALOR PPTO]])</f>
        <v>-2.6371691954328879E-2</v>
      </c>
      <c r="AA2020" s="2">
        <f>+DETALLE_GD_1[[#This Row],[VALOR PPTO]]*DETALLE_GD_1[[#This Row],[CANTIDAD RECIBIDA]]</f>
        <v>570454.86599999992</v>
      </c>
      <c r="AB20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20" s="3">
        <f>+DETALLE_GD_1[[#This Row],[CANTIDAD SOLICITADA]]-DETALLE_GD_1[[#This Row],[DEVOLUCIÓN]]</f>
        <v>270</v>
      </c>
      <c r="AD2020" s="38" t="str">
        <f>+_xlfn.XLOOKUP(DETALLE_GD_1[[#This Row],[CODIGO]],PRODUCTOS[CODIGO],PRODUCTOS[DESC CORTA],"",0)</f>
        <v>AISLAN GLASS 90MM</v>
      </c>
    </row>
    <row r="2021" spans="1:30" x14ac:dyDescent="0.25">
      <c r="A2021" s="1">
        <v>46176</v>
      </c>
      <c r="B2021" s="1">
        <v>46176</v>
      </c>
      <c r="C2021" s="81" t="s">
        <v>169</v>
      </c>
      <c r="D2021" s="38">
        <v>6</v>
      </c>
      <c r="E2021" s="81" t="s">
        <v>169</v>
      </c>
      <c r="F2021">
        <v>307033</v>
      </c>
      <c r="G2021" s="81" t="s">
        <v>248</v>
      </c>
      <c r="H2021" s="81" t="s">
        <v>31</v>
      </c>
      <c r="I2021" s="3">
        <v>70</v>
      </c>
      <c r="J2021" s="3"/>
      <c r="K2021" s="26">
        <v>70</v>
      </c>
      <c r="L2021" s="2">
        <v>1889.6286</v>
      </c>
      <c r="M2021" s="2">
        <v>132274</v>
      </c>
      <c r="N2021" s="2">
        <v>132274</v>
      </c>
      <c r="O2021" s="2">
        <v>1889.0535</v>
      </c>
      <c r="P2021" s="2">
        <v>-0.57499999999999996</v>
      </c>
      <c r="Q2021" s="2">
        <v>-40.251899999999999</v>
      </c>
      <c r="R2021" s="4">
        <v>-3.0439975108058782E-4</v>
      </c>
      <c r="T2021">
        <v>317478</v>
      </c>
      <c r="U2021" s="2"/>
      <c r="V2021">
        <v>6266</v>
      </c>
      <c r="W2021" s="2">
        <v>6579000000</v>
      </c>
      <c r="X2021" s="6">
        <v>132233.74807999999</v>
      </c>
      <c r="Y2021" s="38">
        <v>10010</v>
      </c>
      <c r="Z2021" s="86">
        <f>+((DETALLE_GD_1[[#This Row],[VALOR X UN (GD)]]-DETALLE_GD_1[[#This Row],[VALOR PPTO]])/DETALLE_GD_1[[#This Row],[VALOR PPTO]])</f>
        <v>3.0443817499081966E-4</v>
      </c>
      <c r="AA2021" s="2">
        <f>+DETALLE_GD_1[[#This Row],[VALOR PPTO]]*DETALLE_GD_1[[#This Row],[CANTIDAD RECIBIDA]]</f>
        <v>132233.745</v>
      </c>
      <c r="AB2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1" s="3">
        <f>+DETALLE_GD_1[[#This Row],[CANTIDAD SOLICITADA]]-DETALLE_GD_1[[#This Row],[DEVOLUCIÓN]]</f>
        <v>70</v>
      </c>
      <c r="AD2021" s="38">
        <f>+_xlfn.XLOOKUP(DETALLE_GD_1[[#This Row],[CODIGO]],PRODUCTOS[CODIGO],PRODUCTOS[DESC CORTA],"",0)</f>
        <v>0</v>
      </c>
    </row>
    <row r="2022" spans="1:30" x14ac:dyDescent="0.25">
      <c r="A2022" s="1">
        <v>46176</v>
      </c>
      <c r="B2022" s="1">
        <v>46176</v>
      </c>
      <c r="C2022" s="81" t="s">
        <v>169</v>
      </c>
      <c r="D2022" s="38">
        <v>6</v>
      </c>
      <c r="E2022" s="81" t="s">
        <v>169</v>
      </c>
      <c r="F2022">
        <v>408042</v>
      </c>
      <c r="G2022" s="81" t="s">
        <v>144</v>
      </c>
      <c r="H2022" s="81" t="s">
        <v>36</v>
      </c>
      <c r="I2022" s="3">
        <v>10</v>
      </c>
      <c r="J2022" s="3"/>
      <c r="K2022" s="26">
        <v>10</v>
      </c>
      <c r="L2022" s="2">
        <v>35000</v>
      </c>
      <c r="M2022" s="2">
        <v>350000</v>
      </c>
      <c r="N2022" s="2">
        <v>350000</v>
      </c>
      <c r="O2022" s="2">
        <v>35000</v>
      </c>
      <c r="P2022" s="2">
        <v>0</v>
      </c>
      <c r="Q2022" s="2">
        <v>0</v>
      </c>
      <c r="R2022" s="4">
        <v>8.3153801304950006E-16</v>
      </c>
      <c r="T2022">
        <v>317478</v>
      </c>
      <c r="U2022" s="2"/>
      <c r="V2022">
        <v>6266</v>
      </c>
      <c r="W2022" s="2">
        <v>6579000000</v>
      </c>
      <c r="X2022" s="6">
        <v>350000.00000000029</v>
      </c>
      <c r="Y2022" s="38">
        <v>10010</v>
      </c>
      <c r="Z2022" s="86">
        <f>+((DETALLE_GD_1[[#This Row],[VALOR X UN (GD)]]-DETALLE_GD_1[[#This Row],[VALOR PPTO]])/DETALLE_GD_1[[#This Row],[VALOR PPTO]])</f>
        <v>0</v>
      </c>
      <c r="AA2022" s="2">
        <f>+DETALLE_GD_1[[#This Row],[VALOR PPTO]]*DETALLE_GD_1[[#This Row],[CANTIDAD RECIBIDA]]</f>
        <v>350000</v>
      </c>
      <c r="AB20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2" s="3">
        <f>+DETALLE_GD_1[[#This Row],[CANTIDAD SOLICITADA]]-DETALLE_GD_1[[#This Row],[DEVOLUCIÓN]]</f>
        <v>10</v>
      </c>
      <c r="AD2022" s="38" t="str">
        <f>+_xlfn.XLOOKUP(DETALLE_GD_1[[#This Row],[CODIGO]],PRODUCTOS[CODIGO],PRODUCTOS[DESC CORTA],"",0)</f>
        <v>CLAVO HELICOIDAL PROFIX</v>
      </c>
    </row>
    <row r="2023" spans="1:30" x14ac:dyDescent="0.25">
      <c r="A2023" s="1">
        <v>46176</v>
      </c>
      <c r="B2023" s="1">
        <v>46176</v>
      </c>
      <c r="C2023" s="81" t="s">
        <v>169</v>
      </c>
      <c r="D2023" s="38">
        <v>6</v>
      </c>
      <c r="E2023" s="81" t="s">
        <v>169</v>
      </c>
      <c r="F2023">
        <v>2304008</v>
      </c>
      <c r="G2023" s="81" t="s">
        <v>707</v>
      </c>
      <c r="H2023" s="81" t="s">
        <v>31</v>
      </c>
      <c r="I2023" s="3">
        <v>24</v>
      </c>
      <c r="J2023" s="3"/>
      <c r="K2023" s="26">
        <v>24</v>
      </c>
      <c r="L2023" s="2">
        <v>2550</v>
      </c>
      <c r="M2023" s="2">
        <v>61200</v>
      </c>
      <c r="N2023" s="2">
        <v>61200</v>
      </c>
      <c r="O2023" s="2"/>
      <c r="P2023" s="2"/>
      <c r="Q2023" s="2">
        <v>-61200</v>
      </c>
      <c r="R2023" s="4"/>
      <c r="T2023">
        <v>317478</v>
      </c>
      <c r="U2023" s="2"/>
      <c r="V2023">
        <v>6266</v>
      </c>
      <c r="W2023" s="2">
        <v>6579000000</v>
      </c>
      <c r="X2023" s="6" t="s">
        <v>355</v>
      </c>
      <c r="Y2023" s="38">
        <v>10010</v>
      </c>
      <c r="Z2023" s="86" t="e">
        <f>+((DETALLE_GD_1[[#This Row],[VALOR X UN (GD)]]-DETALLE_GD_1[[#This Row],[VALOR PPTO]])/DETALLE_GD_1[[#This Row],[VALOR PPTO]])</f>
        <v>#DIV/0!</v>
      </c>
      <c r="AA2023" s="2">
        <f>+DETALLE_GD_1[[#This Row],[VALOR PPTO]]*DETALLE_GD_1[[#This Row],[CANTIDAD RECIBIDA]]</f>
        <v>0</v>
      </c>
      <c r="AB2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3" s="3">
        <f>+DETALLE_GD_1[[#This Row],[CANTIDAD SOLICITADA]]-DETALLE_GD_1[[#This Row],[DEVOLUCIÓN]]</f>
        <v>24</v>
      </c>
      <c r="AD2023" s="38" t="str">
        <f>+_xlfn.XLOOKUP(DETALLE_GD_1[[#This Row],[CODIGO]],PRODUCTOS[CODIGO],PRODUCTOS[DESC CORTA],"",0)</f>
        <v/>
      </c>
    </row>
    <row r="2024" spans="1:30" x14ac:dyDescent="0.25">
      <c r="A2024" s="1">
        <v>46176</v>
      </c>
      <c r="B2024" s="1">
        <v>46176</v>
      </c>
      <c r="C2024" s="81" t="s">
        <v>169</v>
      </c>
      <c r="D2024" s="38">
        <v>6</v>
      </c>
      <c r="E2024" s="81" t="s">
        <v>169</v>
      </c>
      <c r="F2024">
        <v>408034</v>
      </c>
      <c r="G2024" s="81" t="s">
        <v>250</v>
      </c>
      <c r="H2024" s="81" t="s">
        <v>36</v>
      </c>
      <c r="I2024" s="3">
        <v>1</v>
      </c>
      <c r="J2024" s="3"/>
      <c r="K2024" s="26">
        <v>1</v>
      </c>
      <c r="L2024" s="2">
        <v>1867</v>
      </c>
      <c r="M2024" s="2">
        <v>1867</v>
      </c>
      <c r="N2024" s="2">
        <v>1867</v>
      </c>
      <c r="O2024" s="2">
        <v>1866.9503999999999</v>
      </c>
      <c r="P2024" s="2">
        <v>-4.9599999999999998E-2</v>
      </c>
      <c r="Q2024" s="2">
        <v>-4.9599999999999998E-2</v>
      </c>
      <c r="R2024" s="4">
        <v>-2.6591494447838636E-5</v>
      </c>
      <c r="T2024">
        <v>317478</v>
      </c>
      <c r="U2024" s="2"/>
      <c r="V2024">
        <v>6266</v>
      </c>
      <c r="W2024" s="2">
        <v>6579000000</v>
      </c>
      <c r="X2024" s="6">
        <v>1866.9503550000009</v>
      </c>
      <c r="Y2024" s="38">
        <v>10010</v>
      </c>
      <c r="Z2024" s="86">
        <f>+((DETALLE_GD_1[[#This Row],[VALOR X UN (GD)]]-DETALLE_GD_1[[#This Row],[VALOR PPTO]])/DETALLE_GD_1[[#This Row],[VALOR PPTO]])</f>
        <v>2.6567390328128124E-5</v>
      </c>
      <c r="AA2024" s="2">
        <f>+DETALLE_GD_1[[#This Row],[VALOR PPTO]]*DETALLE_GD_1[[#This Row],[CANTIDAD RECIBIDA]]</f>
        <v>1866.9503999999999</v>
      </c>
      <c r="AB2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4" s="3">
        <f>+DETALLE_GD_1[[#This Row],[CANTIDAD SOLICITADA]]-DETALLE_GD_1[[#This Row],[DEVOLUCIÓN]]</f>
        <v>1</v>
      </c>
      <c r="AD2024" s="38">
        <f>+_xlfn.XLOOKUP(DETALLE_GD_1[[#This Row],[CODIGO]],PRODUCTOS[CODIGO],PRODUCTOS[DESC CORTA],"",0)</f>
        <v>0</v>
      </c>
    </row>
    <row r="2025" spans="1:30" x14ac:dyDescent="0.25">
      <c r="A2025" s="1">
        <v>46176</v>
      </c>
      <c r="B2025" s="1">
        <v>46176</v>
      </c>
      <c r="C2025" s="81" t="s">
        <v>169</v>
      </c>
      <c r="D2025" s="38">
        <v>6</v>
      </c>
      <c r="E2025" s="81" t="s">
        <v>169</v>
      </c>
      <c r="F2025">
        <v>609008</v>
      </c>
      <c r="G2025" s="81" t="s">
        <v>57</v>
      </c>
      <c r="H2025" s="81" t="s">
        <v>58</v>
      </c>
      <c r="I2025" s="3">
        <v>4</v>
      </c>
      <c r="J2025" s="3"/>
      <c r="K2025" s="26">
        <v>4</v>
      </c>
      <c r="L2025" s="2">
        <v>2312.75</v>
      </c>
      <c r="M2025" s="2">
        <v>9251</v>
      </c>
      <c r="N2025" s="2">
        <v>9251</v>
      </c>
      <c r="O2025" s="2">
        <v>2130.7573000000002</v>
      </c>
      <c r="P2025" s="2">
        <v>-181.99270000000001</v>
      </c>
      <c r="Q2025" s="2">
        <v>-727.97080000000005</v>
      </c>
      <c r="R2025" s="4">
        <v>-8.5412209614805945E-2</v>
      </c>
      <c r="T2025">
        <v>317478</v>
      </c>
      <c r="U2025" s="2"/>
      <c r="V2025">
        <v>6266</v>
      </c>
      <c r="W2025" s="2">
        <v>6579000000</v>
      </c>
      <c r="X2025" s="6">
        <v>8523.0292399999998</v>
      </c>
      <c r="Y2025" s="38">
        <v>10010</v>
      </c>
      <c r="Z2025" s="86">
        <f>+((DETALLE_GD_1[[#This Row],[VALOR X UN (GD)]]-DETALLE_GD_1[[#This Row],[VALOR PPTO]])/DETALLE_GD_1[[#This Row],[VALOR PPTO]])</f>
        <v>8.541221470882665E-2</v>
      </c>
      <c r="AA2025" s="2">
        <f>+DETALLE_GD_1[[#This Row],[VALOR PPTO]]*DETALLE_GD_1[[#This Row],[CANTIDAD RECIBIDA]]</f>
        <v>8523.0292000000009</v>
      </c>
      <c r="AB2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5" s="3">
        <f>+DETALLE_GD_1[[#This Row],[CANTIDAD SOLICITADA]]-DETALLE_GD_1[[#This Row],[DEVOLUCIÓN]]</f>
        <v>4</v>
      </c>
      <c r="AD2025" s="38" t="str">
        <f>+_xlfn.XLOOKUP(DETALLE_GD_1[[#This Row],[CODIGO]],PRODUCTOS[CODIGO],PRODUCTOS[DESC CORTA],"",0)</f>
        <v>DUCO</v>
      </c>
    </row>
    <row r="2026" spans="1:30" x14ac:dyDescent="0.25">
      <c r="A2026" s="1">
        <v>46176</v>
      </c>
      <c r="B2026" s="1">
        <v>46176</v>
      </c>
      <c r="C2026" s="81" t="s">
        <v>169</v>
      </c>
      <c r="D2026" s="38">
        <v>6</v>
      </c>
      <c r="E2026" s="81" t="s">
        <v>169</v>
      </c>
      <c r="F2026">
        <v>307096</v>
      </c>
      <c r="G2026" s="81" t="s">
        <v>249</v>
      </c>
      <c r="H2026" s="81" t="s">
        <v>137</v>
      </c>
      <c r="I2026" s="3">
        <v>70</v>
      </c>
      <c r="J2026" s="3"/>
      <c r="K2026" s="26">
        <v>70</v>
      </c>
      <c r="L2026" s="2">
        <v>1651.4142999999999</v>
      </c>
      <c r="M2026" s="2">
        <v>115599</v>
      </c>
      <c r="N2026" s="2">
        <v>115599</v>
      </c>
      <c r="O2026" s="2">
        <v>2095.3501000000001</v>
      </c>
      <c r="P2026" s="2">
        <v>443.93579999999997</v>
      </c>
      <c r="Q2026" s="2">
        <v>31075.508999999998</v>
      </c>
      <c r="R2026" s="4">
        <v>0.21186714198336876</v>
      </c>
      <c r="T2026">
        <v>317478</v>
      </c>
      <c r="U2026" s="2"/>
      <c r="V2026">
        <v>6266</v>
      </c>
      <c r="W2026" s="2">
        <v>6579000000</v>
      </c>
      <c r="X2026" s="6">
        <v>146674.5090299999</v>
      </c>
      <c r="Y2026" s="38">
        <v>10010</v>
      </c>
      <c r="Z2026" s="86">
        <f>+((DETALLE_GD_1[[#This Row],[VALOR X UN (GD)]]-DETALLE_GD_1[[#This Row],[VALOR PPTO]])/DETALLE_GD_1[[#This Row],[VALOR PPTO]])</f>
        <v>-0.21186712425765994</v>
      </c>
      <c r="AA2026" s="2">
        <f>+DETALLE_GD_1[[#This Row],[VALOR PPTO]]*DETALLE_GD_1[[#This Row],[CANTIDAD RECIBIDA]]</f>
        <v>146674.50700000001</v>
      </c>
      <c r="AB20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26" s="3">
        <f>+DETALLE_GD_1[[#This Row],[CANTIDAD SOLICITADA]]-DETALLE_GD_1[[#This Row],[DEVOLUCIÓN]]</f>
        <v>70</v>
      </c>
      <c r="AD2026" s="38" t="str">
        <f>+_xlfn.XLOOKUP(DETALLE_GD_1[[#This Row],[CODIGO]],PRODUCTOS[CODIGO],PRODUCTOS[DESC CORTA],"",0)</f>
        <v>CUBREJUNTA</v>
      </c>
    </row>
    <row r="2027" spans="1:30" x14ac:dyDescent="0.25">
      <c r="A2027" s="1">
        <v>46177</v>
      </c>
      <c r="B2027" s="1">
        <v>46177</v>
      </c>
      <c r="C2027" s="81" t="s">
        <v>169</v>
      </c>
      <c r="D2027" s="38">
        <v>6</v>
      </c>
      <c r="E2027" s="81" t="s">
        <v>169</v>
      </c>
      <c r="F2027">
        <v>2505058</v>
      </c>
      <c r="G2027" s="81" t="s">
        <v>142</v>
      </c>
      <c r="H2027" s="81" t="s">
        <v>31</v>
      </c>
      <c r="I2027" s="3">
        <v>6</v>
      </c>
      <c r="J2027" s="3"/>
      <c r="K2027" s="26">
        <v>6</v>
      </c>
      <c r="L2027" s="2">
        <v>16469.666700000002</v>
      </c>
      <c r="M2027" s="2">
        <v>98818</v>
      </c>
      <c r="N2027" s="2">
        <v>98818</v>
      </c>
      <c r="O2027" s="2">
        <v>17870.144100000001</v>
      </c>
      <c r="P2027" s="2">
        <v>1400.4774</v>
      </c>
      <c r="Q2027" s="2">
        <v>8402.8644000000004</v>
      </c>
      <c r="R2027" s="4">
        <v>7.8369676036421171E-2</v>
      </c>
      <c r="T2027">
        <v>317596</v>
      </c>
      <c r="U2027" s="2">
        <v>98818</v>
      </c>
      <c r="V2027">
        <v>6266</v>
      </c>
      <c r="W2027" s="2">
        <v>6579000000</v>
      </c>
      <c r="X2027" s="6">
        <v>107220.86440799999</v>
      </c>
      <c r="Y2027" s="38">
        <v>10010</v>
      </c>
      <c r="Z2027" s="86">
        <f>+((DETALLE_GD_1[[#This Row],[VALOR X UN (GD)]]-DETALLE_GD_1[[#This Row],[VALOR PPTO]])/DETALLE_GD_1[[#This Row],[VALOR PPTO]])</f>
        <v>-7.8369675821472515E-2</v>
      </c>
      <c r="AA2027" s="2">
        <f>+DETALLE_GD_1[[#This Row],[VALOR PPTO]]*DETALLE_GD_1[[#This Row],[CANTIDAD RECIBIDA]]</f>
        <v>107220.8646</v>
      </c>
      <c r="AB2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7" s="3">
        <f>+DETALLE_GD_1[[#This Row],[CANTIDAD SOLICITADA]]-DETALLE_GD_1[[#This Row],[DEVOLUCIÓN]]</f>
        <v>6</v>
      </c>
      <c r="AD2027" s="38" t="str">
        <f>+_xlfn.XLOOKUP(DETALLE_GD_1[[#This Row],[CODIGO]],PRODUCTOS[CODIGO],PRODUCTOS[DESC CORTA],"",0)</f>
        <v>VENTILACIÓN PASIVA</v>
      </c>
    </row>
    <row r="2028" spans="1:30" x14ac:dyDescent="0.25">
      <c r="A2028" s="1">
        <v>46177</v>
      </c>
      <c r="B2028" s="1">
        <v>46177</v>
      </c>
      <c r="C2028" s="81" t="s">
        <v>169</v>
      </c>
      <c r="D2028" s="38">
        <v>6</v>
      </c>
      <c r="E2028" s="81" t="s">
        <v>169</v>
      </c>
      <c r="F2028">
        <v>704079</v>
      </c>
      <c r="G2028" s="81" t="s">
        <v>209</v>
      </c>
      <c r="H2028" s="81" t="s">
        <v>47</v>
      </c>
      <c r="I2028" s="3">
        <v>10</v>
      </c>
      <c r="J2028" s="3"/>
      <c r="K2028" s="26">
        <v>10</v>
      </c>
      <c r="L2028" s="2">
        <v>722.3</v>
      </c>
      <c r="M2028" s="2">
        <v>7223</v>
      </c>
      <c r="N2028" s="2">
        <v>7223</v>
      </c>
      <c r="O2028" s="2">
        <v>755.70489999999995</v>
      </c>
      <c r="P2028" s="2">
        <v>33.404899999999998</v>
      </c>
      <c r="Q2028" s="2">
        <v>334.04880000000003</v>
      </c>
      <c r="R2028" s="4">
        <v>4.4203607513547918E-2</v>
      </c>
      <c r="T2028">
        <v>317601</v>
      </c>
      <c r="U2028" s="2">
        <v>7977587</v>
      </c>
      <c r="V2028">
        <v>6266</v>
      </c>
      <c r="W2028" s="2">
        <v>6579000000</v>
      </c>
      <c r="X2028" s="6">
        <v>7557.04882</v>
      </c>
      <c r="Y2028" s="38">
        <v>10010</v>
      </c>
      <c r="Z2028" s="86">
        <f>+((DETALLE_GD_1[[#This Row],[VALOR X UN (GD)]]-DETALLE_GD_1[[#This Row],[VALOR PPTO]])/DETALLE_GD_1[[#This Row],[VALOR PPTO]])</f>
        <v>-4.4203630279491375E-2</v>
      </c>
      <c r="AA2028" s="2">
        <f>+DETALLE_GD_1[[#This Row],[VALOR PPTO]]*DETALLE_GD_1[[#This Row],[CANTIDAD RECIBIDA]]</f>
        <v>7557.0489999999991</v>
      </c>
      <c r="AB2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8" s="3">
        <f>+DETALLE_GD_1[[#This Row],[CANTIDAD SOLICITADA]]-DETALLE_GD_1[[#This Row],[DEVOLUCIÓN]]</f>
        <v>10</v>
      </c>
      <c r="AD2028" s="38">
        <f>+_xlfn.XLOOKUP(DETALLE_GD_1[[#This Row],[CODIGO]],PRODUCTOS[CODIGO],PRODUCTOS[DESC CORTA],"",0)</f>
        <v>0</v>
      </c>
    </row>
    <row r="2029" spans="1:30" x14ac:dyDescent="0.25">
      <c r="A2029" s="1">
        <v>46177</v>
      </c>
      <c r="B2029" s="1">
        <v>46177</v>
      </c>
      <c r="C2029" s="81" t="s">
        <v>169</v>
      </c>
      <c r="D2029" s="38">
        <v>6</v>
      </c>
      <c r="E2029" s="81" t="s">
        <v>169</v>
      </c>
      <c r="F2029">
        <v>409011</v>
      </c>
      <c r="G2029" s="81" t="s">
        <v>251</v>
      </c>
      <c r="H2029" s="81" t="s">
        <v>137</v>
      </c>
      <c r="I2029" s="3">
        <v>6</v>
      </c>
      <c r="J2029" s="3"/>
      <c r="K2029" s="26">
        <v>6</v>
      </c>
      <c r="L2029" s="2">
        <v>14904.1667</v>
      </c>
      <c r="M2029" s="2">
        <v>89425</v>
      </c>
      <c r="N2029" s="2">
        <v>89425</v>
      </c>
      <c r="O2029" s="2">
        <v>13713.2695</v>
      </c>
      <c r="P2029" s="2">
        <v>-1190.8972000000001</v>
      </c>
      <c r="Q2029" s="2">
        <v>-7145.3829999999998</v>
      </c>
      <c r="R2029" s="4">
        <v>-8.68426863717143E-2</v>
      </c>
      <c r="T2029">
        <v>317601</v>
      </c>
      <c r="U2029" s="2"/>
      <c r="V2029">
        <v>6266</v>
      </c>
      <c r="W2029" s="2">
        <v>6579000000</v>
      </c>
      <c r="X2029" s="6">
        <v>82279.617024000006</v>
      </c>
      <c r="Y2029" s="38">
        <v>10010</v>
      </c>
      <c r="Z2029" s="86">
        <f>+((DETALLE_GD_1[[#This Row],[VALOR X UN (GD)]]-DETALLE_GD_1[[#This Row],[VALOR PPTO]])/DETALLE_GD_1[[#This Row],[VALOR PPTO]])</f>
        <v>8.6842689119469241E-2</v>
      </c>
      <c r="AA2029" s="2">
        <f>+DETALLE_GD_1[[#This Row],[VALOR PPTO]]*DETALLE_GD_1[[#This Row],[CANTIDAD RECIBIDA]]</f>
        <v>82279.616999999998</v>
      </c>
      <c r="AB2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9" s="3">
        <f>+DETALLE_GD_1[[#This Row],[CANTIDAD SOLICITADA]]-DETALLE_GD_1[[#This Row],[DEVOLUCIÓN]]</f>
        <v>6</v>
      </c>
      <c r="AD2029" s="38">
        <f>+_xlfn.XLOOKUP(DETALLE_GD_1[[#This Row],[CODIGO]],PRODUCTOS[CODIGO],PRODUCTOS[DESC CORTA],"",0)</f>
        <v>0</v>
      </c>
    </row>
    <row r="2030" spans="1:30" x14ac:dyDescent="0.25">
      <c r="A2030" s="1">
        <v>46177</v>
      </c>
      <c r="B2030" s="1">
        <v>46177</v>
      </c>
      <c r="C2030" s="81" t="s">
        <v>169</v>
      </c>
      <c r="D2030" s="38">
        <v>6</v>
      </c>
      <c r="E2030" s="81" t="s">
        <v>169</v>
      </c>
      <c r="F2030">
        <v>302054</v>
      </c>
      <c r="G2030" s="81" t="s">
        <v>356</v>
      </c>
      <c r="H2030" s="81" t="s">
        <v>20</v>
      </c>
      <c r="I2030" s="3">
        <v>936</v>
      </c>
      <c r="J2030" s="3"/>
      <c r="K2030" s="26">
        <v>936</v>
      </c>
      <c r="L2030" s="2">
        <v>4463.3109000000004</v>
      </c>
      <c r="M2030" s="2">
        <v>4177659</v>
      </c>
      <c r="N2030" s="2">
        <v>4177659</v>
      </c>
      <c r="O2030" s="2">
        <v>5713</v>
      </c>
      <c r="P2030" s="2">
        <v>1249.6891000000001</v>
      </c>
      <c r="Q2030" s="2">
        <v>1169709</v>
      </c>
      <c r="R2030" s="4">
        <v>0.21874481053108744</v>
      </c>
      <c r="T2030">
        <v>317601</v>
      </c>
      <c r="U2030" s="2"/>
      <c r="V2030">
        <v>6266</v>
      </c>
      <c r="W2030" s="2">
        <v>6579000000</v>
      </c>
      <c r="X2030" s="6">
        <v>5347368</v>
      </c>
      <c r="Y2030" s="38">
        <v>10010</v>
      </c>
      <c r="Z2030" s="86">
        <f>+((DETALLE_GD_1[[#This Row],[VALOR X UN (GD)]]-DETALLE_GD_1[[#This Row],[VALOR PPTO]])/DETALLE_GD_1[[#This Row],[VALOR PPTO]])</f>
        <v>-0.21874481008226845</v>
      </c>
      <c r="AA2030" s="2">
        <f>+DETALLE_GD_1[[#This Row],[VALOR PPTO]]*DETALLE_GD_1[[#This Row],[CANTIDAD RECIBIDA]]</f>
        <v>5347368</v>
      </c>
      <c r="AB2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30" s="3">
        <f>+DETALLE_GD_1[[#This Row],[CANTIDAD SOLICITADA]]-DETALLE_GD_1[[#This Row],[DEVOLUCIÓN]]</f>
        <v>936</v>
      </c>
      <c r="AD2030" s="38">
        <f>+_xlfn.XLOOKUP(DETALLE_GD_1[[#This Row],[CODIGO]],PRODUCTOS[CODIGO],PRODUCTOS[DESC CORTA],"",0)</f>
        <v>0</v>
      </c>
    </row>
    <row r="2031" spans="1:30" x14ac:dyDescent="0.25">
      <c r="A2031" s="1">
        <v>46177</v>
      </c>
      <c r="B2031" s="1">
        <v>46177</v>
      </c>
      <c r="C2031" s="81" t="s">
        <v>169</v>
      </c>
      <c r="D2031" s="38">
        <v>6</v>
      </c>
      <c r="E2031" s="81" t="s">
        <v>169</v>
      </c>
      <c r="F2031">
        <v>302248</v>
      </c>
      <c r="G2031" s="81" t="s">
        <v>281</v>
      </c>
      <c r="H2031" s="81" t="s">
        <v>20</v>
      </c>
      <c r="I2031" s="3">
        <v>240</v>
      </c>
      <c r="J2031" s="3"/>
      <c r="K2031" s="26">
        <v>240</v>
      </c>
      <c r="L2031" s="2">
        <v>2396.9708000000001</v>
      </c>
      <c r="M2031" s="2">
        <v>575273</v>
      </c>
      <c r="N2031" s="2">
        <v>575273</v>
      </c>
      <c r="O2031" s="2">
        <v>2342.1750999999999</v>
      </c>
      <c r="P2031" s="2">
        <v>-54.795699999999997</v>
      </c>
      <c r="Q2031" s="2">
        <v>-13150.9671</v>
      </c>
      <c r="R2031" s="4">
        <v>-2.3395217320733228E-2</v>
      </c>
      <c r="T2031">
        <v>317601</v>
      </c>
      <c r="U2031" s="2"/>
      <c r="V2031">
        <v>6266</v>
      </c>
      <c r="W2031" s="2">
        <v>6579000000</v>
      </c>
      <c r="X2031" s="6">
        <v>562122.03288000007</v>
      </c>
      <c r="Y2031" s="38">
        <v>10010</v>
      </c>
      <c r="Z2031" s="86">
        <f>+((DETALLE_GD_1[[#This Row],[VALOR X UN (GD)]]-DETALLE_GD_1[[#This Row],[VALOR PPTO]])/DETALLE_GD_1[[#This Row],[VALOR PPTO]])</f>
        <v>2.3395219255810604E-2</v>
      </c>
      <c r="AA2031" s="2">
        <f>+DETALLE_GD_1[[#This Row],[VALOR PPTO]]*DETALLE_GD_1[[#This Row],[CANTIDAD RECIBIDA]]</f>
        <v>562122.02399999998</v>
      </c>
      <c r="AB20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1" s="3">
        <f>+DETALLE_GD_1[[#This Row],[CANTIDAD SOLICITADA]]-DETALLE_GD_1[[#This Row],[DEVOLUCIÓN]]</f>
        <v>240</v>
      </c>
      <c r="AD2031" s="38">
        <f>+_xlfn.XLOOKUP(DETALLE_GD_1[[#This Row],[CODIGO]],PRODUCTOS[CODIGO],PRODUCTOS[DESC CORTA],"",0)</f>
        <v>0</v>
      </c>
    </row>
    <row r="2032" spans="1:30" x14ac:dyDescent="0.25">
      <c r="A2032" s="1">
        <v>46177</v>
      </c>
      <c r="B2032" s="1">
        <v>46177</v>
      </c>
      <c r="C2032" s="81" t="s">
        <v>169</v>
      </c>
      <c r="D2032" s="38">
        <v>6</v>
      </c>
      <c r="E2032" s="81" t="s">
        <v>169</v>
      </c>
      <c r="F2032">
        <v>302028</v>
      </c>
      <c r="G2032" s="81" t="s">
        <v>246</v>
      </c>
      <c r="H2032" s="81" t="s">
        <v>20</v>
      </c>
      <c r="I2032" s="3">
        <v>240</v>
      </c>
      <c r="J2032" s="3"/>
      <c r="K2032" s="26">
        <v>240</v>
      </c>
      <c r="L2032" s="2">
        <v>4833.2291999999998</v>
      </c>
      <c r="M2032" s="2">
        <v>1159975</v>
      </c>
      <c r="N2032" s="2">
        <v>1159975</v>
      </c>
      <c r="O2032" s="2">
        <v>5123.8024999999998</v>
      </c>
      <c r="P2032" s="2">
        <v>290.57339999999999</v>
      </c>
      <c r="Q2032" s="2">
        <v>69737.606499999994</v>
      </c>
      <c r="R2032" s="4">
        <v>5.6710491632367029E-2</v>
      </c>
      <c r="T2032">
        <v>317601</v>
      </c>
      <c r="U2032" s="2"/>
      <c r="V2032">
        <v>6266</v>
      </c>
      <c r="W2032" s="2">
        <v>6579000000</v>
      </c>
      <c r="X2032" s="6">
        <v>1229712.6064800003</v>
      </c>
      <c r="Y2032" s="38">
        <v>10010</v>
      </c>
      <c r="Z2032" s="86">
        <f>+((DETALLE_GD_1[[#This Row],[VALOR X UN (GD)]]-DETALLE_GD_1[[#This Row],[VALOR PPTO]])/DETALLE_GD_1[[#This Row],[VALOR PPTO]])</f>
        <v>-5.6710480156095013E-2</v>
      </c>
      <c r="AA2032" s="2">
        <f>+DETALLE_GD_1[[#This Row],[VALOR PPTO]]*DETALLE_GD_1[[#This Row],[CANTIDAD RECIBIDA]]</f>
        <v>1229712.5999999999</v>
      </c>
      <c r="AB2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32" s="3">
        <f>+DETALLE_GD_1[[#This Row],[CANTIDAD SOLICITADA]]-DETALLE_GD_1[[#This Row],[DEVOLUCIÓN]]</f>
        <v>240</v>
      </c>
      <c r="AD2032" s="38" t="str">
        <f>+_xlfn.XLOOKUP(DETALLE_GD_1[[#This Row],[CODIGO]],PRODUCTOS[CODIGO],PRODUCTOS[DESC CORTA],"",0)</f>
        <v>PINO 2X4X320</v>
      </c>
    </row>
    <row r="2033" spans="1:30" x14ac:dyDescent="0.25">
      <c r="A2033" s="1">
        <v>46177</v>
      </c>
      <c r="B2033" s="1">
        <v>46177</v>
      </c>
      <c r="C2033" s="81" t="s">
        <v>169</v>
      </c>
      <c r="D2033" s="38">
        <v>6</v>
      </c>
      <c r="E2033" s="81" t="s">
        <v>169</v>
      </c>
      <c r="F2033">
        <v>302010</v>
      </c>
      <c r="G2033" s="81" t="s">
        <v>323</v>
      </c>
      <c r="H2033" s="81" t="s">
        <v>20</v>
      </c>
      <c r="I2033" s="3">
        <v>168</v>
      </c>
      <c r="J2033" s="3"/>
      <c r="K2033" s="26">
        <v>168</v>
      </c>
      <c r="L2033" s="2">
        <v>6754.3036000000002</v>
      </c>
      <c r="M2033" s="2">
        <v>1134723</v>
      </c>
      <c r="N2033" s="2">
        <v>1134723</v>
      </c>
      <c r="O2033" s="2">
        <v>6585.1337000000003</v>
      </c>
      <c r="P2033" s="2">
        <v>-169.16980000000001</v>
      </c>
      <c r="Q2033" s="2">
        <v>-28420.5308</v>
      </c>
      <c r="R2033" s="4">
        <v>-2.5689656881612791E-2</v>
      </c>
      <c r="T2033">
        <v>317601</v>
      </c>
      <c r="U2033" s="2"/>
      <c r="V2033">
        <v>6266</v>
      </c>
      <c r="W2033" s="2">
        <v>6579000000</v>
      </c>
      <c r="X2033" s="6">
        <v>1106302.4691599987</v>
      </c>
      <c r="Y2033" s="38">
        <v>10010</v>
      </c>
      <c r="Z2033" s="86">
        <f>+((DETALLE_GD_1[[#This Row],[VALOR X UN (GD)]]-DETALLE_GD_1[[#This Row],[VALOR PPTO]])/DETALLE_GD_1[[#This Row],[VALOR PPTO]])</f>
        <v>2.5689668229515197E-2</v>
      </c>
      <c r="AA2033" s="2">
        <f>+DETALLE_GD_1[[#This Row],[VALOR PPTO]]*DETALLE_GD_1[[#This Row],[CANTIDAD RECIBIDA]]</f>
        <v>1106302.4616</v>
      </c>
      <c r="AB2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33" s="3">
        <f>+DETALLE_GD_1[[#This Row],[CANTIDAD SOLICITADA]]-DETALLE_GD_1[[#This Row],[DEVOLUCIÓN]]</f>
        <v>168</v>
      </c>
      <c r="AD2033" s="38" t="str">
        <f>+_xlfn.XLOOKUP(DETALLE_GD_1[[#This Row],[CODIGO]],PRODUCTOS[CODIGO],PRODUCTOS[DESC CORTA],"",0)</f>
        <v>PINO 2X6X320</v>
      </c>
    </row>
    <row r="2034" spans="1:30" x14ac:dyDescent="0.25">
      <c r="A2034" s="1">
        <v>46177</v>
      </c>
      <c r="B2034" s="1">
        <v>46177</v>
      </c>
      <c r="C2034" s="81" t="s">
        <v>169</v>
      </c>
      <c r="D2034" s="38">
        <v>6</v>
      </c>
      <c r="E2034" s="81" t="s">
        <v>169</v>
      </c>
      <c r="F2034">
        <v>407185</v>
      </c>
      <c r="G2034" s="81" t="s">
        <v>43</v>
      </c>
      <c r="H2034" s="81" t="s">
        <v>31</v>
      </c>
      <c r="I2034" s="3">
        <v>5000</v>
      </c>
      <c r="J2034" s="3"/>
      <c r="K2034" s="26">
        <v>5000</v>
      </c>
      <c r="L2034" s="2">
        <v>6.2656000000000001</v>
      </c>
      <c r="M2034" s="2">
        <v>31328</v>
      </c>
      <c r="N2034" s="2">
        <v>31328</v>
      </c>
      <c r="O2034" s="2">
        <v>6.8783000000000003</v>
      </c>
      <c r="P2034" s="2">
        <v>0.61270000000000002</v>
      </c>
      <c r="Q2034" s="2">
        <v>3063.6</v>
      </c>
      <c r="R2034" s="4">
        <v>8.9079891601437602E-2</v>
      </c>
      <c r="T2034">
        <v>317601</v>
      </c>
      <c r="U2034" s="2"/>
      <c r="V2034">
        <v>6266</v>
      </c>
      <c r="W2034" s="2">
        <v>6579000000</v>
      </c>
      <c r="X2034" s="6">
        <v>34391.599999999999</v>
      </c>
      <c r="Y2034" s="38">
        <v>10010</v>
      </c>
      <c r="Z2034" s="86">
        <f>+((DETALLE_GD_1[[#This Row],[VALOR X UN (GD)]]-DETALLE_GD_1[[#This Row],[VALOR PPTO]])/DETALLE_GD_1[[#This Row],[VALOR PPTO]])</f>
        <v>-8.9077242923396804E-2</v>
      </c>
      <c r="AA2034" s="2">
        <f>+DETALLE_GD_1[[#This Row],[VALOR PPTO]]*DETALLE_GD_1[[#This Row],[CANTIDAD RECIBIDA]]</f>
        <v>34391.5</v>
      </c>
      <c r="AB2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4" s="3">
        <f>+DETALLE_GD_1[[#This Row],[CANTIDAD SOLICITADA]]-DETALLE_GD_1[[#This Row],[DEVOLUCIÓN]]</f>
        <v>5000</v>
      </c>
      <c r="AD2034" s="38">
        <f>+_xlfn.XLOOKUP(DETALLE_GD_1[[#This Row],[CODIGO]],PRODUCTOS[CODIGO],PRODUCTOS[DESC CORTA],"",0)</f>
        <v>0</v>
      </c>
    </row>
    <row r="2035" spans="1:30" x14ac:dyDescent="0.25">
      <c r="A2035" s="1">
        <v>46177</v>
      </c>
      <c r="B2035" s="1">
        <v>46177</v>
      </c>
      <c r="C2035" s="81" t="s">
        <v>169</v>
      </c>
      <c r="D2035" s="38">
        <v>6</v>
      </c>
      <c r="E2035" s="81" t="s">
        <v>169</v>
      </c>
      <c r="F2035">
        <v>407423</v>
      </c>
      <c r="G2035" s="81" t="s">
        <v>106</v>
      </c>
      <c r="H2035" s="81" t="s">
        <v>31</v>
      </c>
      <c r="I2035" s="3">
        <v>5000</v>
      </c>
      <c r="J2035" s="3"/>
      <c r="K2035" s="26">
        <v>5000</v>
      </c>
      <c r="L2035" s="2">
        <v>3.4662000000000002</v>
      </c>
      <c r="M2035" s="2">
        <v>17331</v>
      </c>
      <c r="N2035" s="2">
        <v>17331</v>
      </c>
      <c r="O2035" s="2">
        <v>106.6405</v>
      </c>
      <c r="P2035" s="2">
        <v>103.1743</v>
      </c>
      <c r="Q2035" s="2">
        <v>515871.5099</v>
      </c>
      <c r="R2035" s="4">
        <v>0.96749640206563281</v>
      </c>
      <c r="T2035">
        <v>317601</v>
      </c>
      <c r="U2035" s="2"/>
      <c r="V2035">
        <v>6266</v>
      </c>
      <c r="W2035" s="2">
        <v>6579000000</v>
      </c>
      <c r="X2035" s="6">
        <v>533202.50991891895</v>
      </c>
      <c r="Y2035" s="38">
        <v>10010</v>
      </c>
      <c r="Z2035" s="86">
        <f>+((DETALLE_GD_1[[#This Row],[VALOR X UN (GD)]]-DETALLE_GD_1[[#This Row],[VALOR PPTO]])/DETALLE_GD_1[[#This Row],[VALOR PPTO]])</f>
        <v>-0.96749640146098337</v>
      </c>
      <c r="AA2035" s="2">
        <f>+DETALLE_GD_1[[#This Row],[VALOR PPTO]]*DETALLE_GD_1[[#This Row],[CANTIDAD RECIBIDA]]</f>
        <v>533202.5</v>
      </c>
      <c r="AB2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5" s="3">
        <f>+DETALLE_GD_1[[#This Row],[CANTIDAD SOLICITADA]]-DETALLE_GD_1[[#This Row],[DEVOLUCIÓN]]</f>
        <v>5000</v>
      </c>
      <c r="AD2035" s="38" t="str">
        <f>+_xlfn.XLOOKUP(DETALLE_GD_1[[#This Row],[CODIGO]],PRODUCTOS[CODIGO],PRODUCTOS[DESC CORTA],"",0)</f>
        <v>TORNILLO CRS 6X1 5/8</v>
      </c>
    </row>
    <row r="2036" spans="1:30" x14ac:dyDescent="0.25">
      <c r="A2036" s="1">
        <v>46177</v>
      </c>
      <c r="B2036" s="1">
        <v>46177</v>
      </c>
      <c r="C2036" s="81" t="s">
        <v>169</v>
      </c>
      <c r="D2036" s="38">
        <v>6</v>
      </c>
      <c r="E2036" s="81" t="s">
        <v>169</v>
      </c>
      <c r="F2036">
        <v>1902013</v>
      </c>
      <c r="G2036" s="81" t="s">
        <v>338</v>
      </c>
      <c r="H2036" s="81" t="s">
        <v>47</v>
      </c>
      <c r="I2036" s="3">
        <v>20</v>
      </c>
      <c r="J2036" s="3"/>
      <c r="K2036" s="26">
        <v>20</v>
      </c>
      <c r="L2036" s="2">
        <v>39232.5</v>
      </c>
      <c r="M2036" s="2">
        <v>784650</v>
      </c>
      <c r="N2036" s="2">
        <v>784650</v>
      </c>
      <c r="O2036" s="2">
        <v>29779</v>
      </c>
      <c r="P2036" s="2">
        <v>-9453.5</v>
      </c>
      <c r="Q2036" s="2">
        <v>-189070</v>
      </c>
      <c r="R2036" s="4">
        <v>-0.3174552537022734</v>
      </c>
      <c r="T2036">
        <v>317601</v>
      </c>
      <c r="U2036" s="2"/>
      <c r="V2036">
        <v>6266</v>
      </c>
      <c r="W2036" s="2">
        <v>6579000000</v>
      </c>
      <c r="X2036" s="6">
        <v>595580</v>
      </c>
      <c r="Y2036" s="38">
        <v>10010</v>
      </c>
      <c r="Z2036" s="86">
        <f>+((DETALLE_GD_1[[#This Row],[VALOR X UN (GD)]]-DETALLE_GD_1[[#This Row],[VALOR PPTO]])/DETALLE_GD_1[[#This Row],[VALOR PPTO]])</f>
        <v>0.3174552537022734</v>
      </c>
      <c r="AA2036" s="2">
        <f>+DETALLE_GD_1[[#This Row],[VALOR PPTO]]*DETALLE_GD_1[[#This Row],[CANTIDAD RECIBIDA]]</f>
        <v>595580</v>
      </c>
      <c r="AB20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36" s="3">
        <f>+DETALLE_GD_1[[#This Row],[CANTIDAD SOLICITADA]]-DETALLE_GD_1[[#This Row],[DEVOLUCIÓN]]</f>
        <v>20</v>
      </c>
      <c r="AD2036" s="38">
        <f>+_xlfn.XLOOKUP(DETALLE_GD_1[[#This Row],[CODIGO]],PRODUCTOS[CODIGO],PRODUCTOS[DESC CORTA],"",0)</f>
        <v>0</v>
      </c>
    </row>
    <row r="2037" spans="1:30" x14ac:dyDescent="0.25">
      <c r="A2037" s="1">
        <v>46177</v>
      </c>
      <c r="B2037" s="1">
        <v>46177</v>
      </c>
      <c r="C2037" s="81" t="s">
        <v>169</v>
      </c>
      <c r="D2037" s="38">
        <v>6</v>
      </c>
      <c r="E2037" s="81" t="s">
        <v>169</v>
      </c>
      <c r="F2037">
        <v>1802166</v>
      </c>
      <c r="G2037" s="81" t="s">
        <v>283</v>
      </c>
      <c r="H2037" s="81" t="s">
        <v>31</v>
      </c>
      <c r="I2037" s="3">
        <v>3</v>
      </c>
      <c r="J2037" s="3"/>
      <c r="K2037" s="26">
        <v>3</v>
      </c>
      <c r="L2037" s="2">
        <v>13869</v>
      </c>
      <c r="M2037" s="2">
        <v>41607</v>
      </c>
      <c r="N2037" s="2">
        <v>41607</v>
      </c>
      <c r="O2037" s="2">
        <v>13869</v>
      </c>
      <c r="P2037" s="2">
        <v>0</v>
      </c>
      <c r="Q2037" s="2">
        <v>0</v>
      </c>
      <c r="R2037" s="4">
        <v>0</v>
      </c>
      <c r="T2037">
        <v>317637</v>
      </c>
      <c r="U2037" s="2">
        <v>560344</v>
      </c>
      <c r="V2037">
        <v>6266</v>
      </c>
      <c r="W2037" s="2">
        <v>6579000000</v>
      </c>
      <c r="X2037" s="6">
        <v>41607</v>
      </c>
      <c r="Y2037" s="38">
        <v>10010</v>
      </c>
      <c r="Z2037" s="86">
        <f>+((DETALLE_GD_1[[#This Row],[VALOR X UN (GD)]]-DETALLE_GD_1[[#This Row],[VALOR PPTO]])/DETALLE_GD_1[[#This Row],[VALOR PPTO]])</f>
        <v>0</v>
      </c>
      <c r="AA2037" s="2">
        <f>+DETALLE_GD_1[[#This Row],[VALOR PPTO]]*DETALLE_GD_1[[#This Row],[CANTIDAD RECIBIDA]]</f>
        <v>41607</v>
      </c>
      <c r="AB2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7" s="3">
        <f>+DETALLE_GD_1[[#This Row],[CANTIDAD SOLICITADA]]-DETALLE_GD_1[[#This Row],[DEVOLUCIÓN]]</f>
        <v>3</v>
      </c>
      <c r="AD2037" s="38" t="str">
        <f>+_xlfn.XLOOKUP(DETALLE_GD_1[[#This Row],[CODIGO]],PRODUCTOS[CODIGO],PRODUCTOS[DESC CORTA],"",0)</f>
        <v>NEW TS2024022)</v>
      </c>
    </row>
    <row r="2038" spans="1:30" x14ac:dyDescent="0.25">
      <c r="A2038" s="1">
        <v>46177</v>
      </c>
      <c r="B2038" s="1">
        <v>46177</v>
      </c>
      <c r="C2038" s="81" t="s">
        <v>169</v>
      </c>
      <c r="D2038" s="38">
        <v>6</v>
      </c>
      <c r="E2038" s="81" t="s">
        <v>169</v>
      </c>
      <c r="F2038">
        <v>1808146</v>
      </c>
      <c r="G2038" s="81" t="s">
        <v>274</v>
      </c>
      <c r="H2038" s="81" t="s">
        <v>31</v>
      </c>
      <c r="I2038" s="3">
        <v>4</v>
      </c>
      <c r="J2038" s="3"/>
      <c r="K2038" s="26">
        <v>4</v>
      </c>
      <c r="L2038" s="2">
        <v>3318</v>
      </c>
      <c r="M2038" s="2">
        <v>13272</v>
      </c>
      <c r="N2038" s="2">
        <v>13272</v>
      </c>
      <c r="O2038" s="2">
        <v>3404</v>
      </c>
      <c r="P2038" s="2">
        <v>86</v>
      </c>
      <c r="Q2038" s="2">
        <v>344</v>
      </c>
      <c r="R2038" s="4">
        <v>2.5264394829612225E-2</v>
      </c>
      <c r="T2038">
        <v>317637</v>
      </c>
      <c r="U2038" s="2"/>
      <c r="V2038">
        <v>6266</v>
      </c>
      <c r="W2038" s="2">
        <v>6579000000</v>
      </c>
      <c r="X2038" s="6">
        <v>13616</v>
      </c>
      <c r="Y2038" s="38">
        <v>10010</v>
      </c>
      <c r="Z2038" s="86">
        <f>+((DETALLE_GD_1[[#This Row],[VALOR X UN (GD)]]-DETALLE_GD_1[[#This Row],[VALOR PPTO]])/DETALLE_GD_1[[#This Row],[VALOR PPTO]])</f>
        <v>-2.5264394829612222E-2</v>
      </c>
      <c r="AA2038" s="2">
        <f>+DETALLE_GD_1[[#This Row],[VALOR PPTO]]*DETALLE_GD_1[[#This Row],[CANTIDAD RECIBIDA]]</f>
        <v>13616</v>
      </c>
      <c r="AB20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8" s="3">
        <f>+DETALLE_GD_1[[#This Row],[CANTIDAD SOLICITADA]]-DETALLE_GD_1[[#This Row],[DEVOLUCIÓN]]</f>
        <v>4</v>
      </c>
      <c r="AD2038" s="38" t="str">
        <f>+_xlfn.XLOOKUP(DETALLE_GD_1[[#This Row],[CODIGO]],PRODUCTOS[CODIGO],PRODUCTOS[DESC CORTA],"",0)</f>
        <v>NUEVA</v>
      </c>
    </row>
    <row r="2039" spans="1:30" x14ac:dyDescent="0.25">
      <c r="A2039" s="1">
        <v>46177</v>
      </c>
      <c r="B2039" s="1">
        <v>46177</v>
      </c>
      <c r="C2039" s="81" t="s">
        <v>169</v>
      </c>
      <c r="D2039" s="38">
        <v>6</v>
      </c>
      <c r="E2039" s="81" t="s">
        <v>169</v>
      </c>
      <c r="F2039">
        <v>1808148</v>
      </c>
      <c r="G2039" s="81" t="s">
        <v>276</v>
      </c>
      <c r="H2039" s="81" t="s">
        <v>31</v>
      </c>
      <c r="I2039" s="3">
        <v>4</v>
      </c>
      <c r="J2039" s="3"/>
      <c r="K2039" s="26">
        <v>4</v>
      </c>
      <c r="L2039" s="2">
        <v>1098.5</v>
      </c>
      <c r="M2039" s="2">
        <v>4394</v>
      </c>
      <c r="N2039" s="2">
        <v>4394</v>
      </c>
      <c r="O2039" s="2">
        <v>1089</v>
      </c>
      <c r="P2039" s="2">
        <v>-9.5</v>
      </c>
      <c r="Q2039" s="2">
        <v>-38</v>
      </c>
      <c r="R2039" s="4">
        <v>-8.7235996326905426E-3</v>
      </c>
      <c r="T2039">
        <v>317637</v>
      </c>
      <c r="U2039" s="2"/>
      <c r="V2039">
        <v>6266</v>
      </c>
      <c r="W2039" s="2">
        <v>6579000000</v>
      </c>
      <c r="X2039" s="6">
        <v>4356</v>
      </c>
      <c r="Y2039" s="38">
        <v>10010</v>
      </c>
      <c r="Z2039" s="86">
        <f>+((DETALLE_GD_1[[#This Row],[VALOR X UN (GD)]]-DETALLE_GD_1[[#This Row],[VALOR PPTO]])/DETALLE_GD_1[[#This Row],[VALOR PPTO]])</f>
        <v>8.7235996326905426E-3</v>
      </c>
      <c r="AA2039" s="2">
        <f>+DETALLE_GD_1[[#This Row],[VALOR PPTO]]*DETALLE_GD_1[[#This Row],[CANTIDAD RECIBIDA]]</f>
        <v>4356</v>
      </c>
      <c r="AB20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9" s="3">
        <f>+DETALLE_GD_1[[#This Row],[CANTIDAD SOLICITADA]]-DETALLE_GD_1[[#This Row],[DEVOLUCIÓN]]</f>
        <v>4</v>
      </c>
      <c r="AD2039" s="38" t="str">
        <f>+_xlfn.XLOOKUP(DETALLE_GD_1[[#This Row],[CODIGO]],PRODUCTOS[CODIGO],PRODUCTOS[DESC CORTA],"",0)</f>
        <v>SELLO INSTALACION WC</v>
      </c>
    </row>
    <row r="2040" spans="1:30" x14ac:dyDescent="0.25">
      <c r="A2040" s="1">
        <v>46177</v>
      </c>
      <c r="B2040" s="1">
        <v>46177</v>
      </c>
      <c r="C2040" s="81" t="s">
        <v>169</v>
      </c>
      <c r="D2040" s="38">
        <v>6</v>
      </c>
      <c r="E2040" s="81" t="s">
        <v>169</v>
      </c>
      <c r="F2040">
        <v>1808147</v>
      </c>
      <c r="G2040" s="81" t="s">
        <v>275</v>
      </c>
      <c r="H2040" s="81" t="s">
        <v>31</v>
      </c>
      <c r="I2040" s="3">
        <v>4</v>
      </c>
      <c r="J2040" s="3"/>
      <c r="K2040" s="26">
        <v>4</v>
      </c>
      <c r="L2040" s="2">
        <v>2216</v>
      </c>
      <c r="M2040" s="2">
        <v>8864</v>
      </c>
      <c r="N2040" s="2">
        <v>8864</v>
      </c>
      <c r="O2040" s="2">
        <v>2293</v>
      </c>
      <c r="P2040" s="2">
        <v>77</v>
      </c>
      <c r="Q2040" s="2">
        <v>308</v>
      </c>
      <c r="R2040" s="4">
        <v>3.3580462276493674E-2</v>
      </c>
      <c r="T2040">
        <v>317637</v>
      </c>
      <c r="U2040" s="2"/>
      <c r="V2040">
        <v>6266</v>
      </c>
      <c r="W2040" s="2">
        <v>6579000000</v>
      </c>
      <c r="X2040" s="6">
        <v>9172</v>
      </c>
      <c r="Y2040" s="38">
        <v>10010</v>
      </c>
      <c r="Z2040" s="86">
        <f>+((DETALLE_GD_1[[#This Row],[VALOR X UN (GD)]]-DETALLE_GD_1[[#This Row],[VALOR PPTO]])/DETALLE_GD_1[[#This Row],[VALOR PPTO]])</f>
        <v>-3.3580462276493674E-2</v>
      </c>
      <c r="AA2040" s="2">
        <f>+DETALLE_GD_1[[#This Row],[VALOR PPTO]]*DETALLE_GD_1[[#This Row],[CANTIDAD RECIBIDA]]</f>
        <v>9172</v>
      </c>
      <c r="AB20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0" s="3">
        <f>+DETALLE_GD_1[[#This Row],[CANTIDAD SOLICITADA]]-DETALLE_GD_1[[#This Row],[DEVOLUCIÓN]]</f>
        <v>4</v>
      </c>
      <c r="AD2040" s="38" t="str">
        <f>+_xlfn.XLOOKUP(DETALLE_GD_1[[#This Row],[CODIGO]],PRODUCTOS[CODIGO],PRODUCTOS[DESC CORTA],"",0)</f>
        <v>LLAVE ANGULAR 1/2X</v>
      </c>
    </row>
    <row r="2041" spans="1:30" x14ac:dyDescent="0.25">
      <c r="A2041" s="1">
        <v>46177</v>
      </c>
      <c r="B2041" s="1">
        <v>46177</v>
      </c>
      <c r="C2041" s="81" t="s">
        <v>169</v>
      </c>
      <c r="D2041" s="38">
        <v>6</v>
      </c>
      <c r="E2041" s="81" t="s">
        <v>169</v>
      </c>
      <c r="F2041">
        <v>1808145</v>
      </c>
      <c r="G2041" s="81" t="s">
        <v>273</v>
      </c>
      <c r="H2041" s="81" t="s">
        <v>31</v>
      </c>
      <c r="I2041" s="3">
        <v>4</v>
      </c>
      <c r="J2041" s="3"/>
      <c r="K2041" s="26">
        <v>4</v>
      </c>
      <c r="L2041" s="2">
        <v>16189.25</v>
      </c>
      <c r="M2041" s="2">
        <v>64757</v>
      </c>
      <c r="N2041" s="2">
        <v>64757</v>
      </c>
      <c r="O2041" s="2">
        <v>17145</v>
      </c>
      <c r="P2041" s="2">
        <v>955.75</v>
      </c>
      <c r="Q2041" s="2">
        <v>3823</v>
      </c>
      <c r="R2041" s="4">
        <v>5.5745115193934089E-2</v>
      </c>
      <c r="T2041">
        <v>317637</v>
      </c>
      <c r="U2041" s="2"/>
      <c r="V2041">
        <v>6266</v>
      </c>
      <c r="W2041" s="2">
        <v>6579000000</v>
      </c>
      <c r="X2041" s="6">
        <v>68580</v>
      </c>
      <c r="Y2041" s="38">
        <v>10010</v>
      </c>
      <c r="Z2041" s="86">
        <f>+((DETALLE_GD_1[[#This Row],[VALOR X UN (GD)]]-DETALLE_GD_1[[#This Row],[VALOR PPTO]])/DETALLE_GD_1[[#This Row],[VALOR PPTO]])</f>
        <v>-5.5745115193934089E-2</v>
      </c>
      <c r="AA2041" s="2">
        <f>+DETALLE_GD_1[[#This Row],[VALOR PPTO]]*DETALLE_GD_1[[#This Row],[CANTIDAD RECIBIDA]]</f>
        <v>68580</v>
      </c>
      <c r="AB2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1" s="3">
        <f>+DETALLE_GD_1[[#This Row],[CANTIDAD SOLICITADA]]-DETALLE_GD_1[[#This Row],[DEVOLUCIÓN]]</f>
        <v>4</v>
      </c>
      <c r="AD2041" s="38" t="str">
        <f>+_xlfn.XLOOKUP(DETALLE_GD_1[[#This Row],[CODIGO]],PRODUCTOS[CODIGO],PRODUCTOS[DESC CORTA],"",0)</f>
        <v>ESTANQUE WC AURA</v>
      </c>
    </row>
    <row r="2042" spans="1:30" x14ac:dyDescent="0.25">
      <c r="A2042" s="1">
        <v>46177</v>
      </c>
      <c r="B2042" s="1">
        <v>46177</v>
      </c>
      <c r="C2042" s="81" t="s">
        <v>169</v>
      </c>
      <c r="D2042" s="38">
        <v>6</v>
      </c>
      <c r="E2042" s="81" t="s">
        <v>169</v>
      </c>
      <c r="F2042">
        <v>1808144</v>
      </c>
      <c r="G2042" s="81" t="s">
        <v>272</v>
      </c>
      <c r="H2042" s="81" t="s">
        <v>31</v>
      </c>
      <c r="I2042" s="3">
        <v>4</v>
      </c>
      <c r="J2042" s="3"/>
      <c r="K2042" s="26">
        <v>4</v>
      </c>
      <c r="L2042" s="2">
        <v>23316.75</v>
      </c>
      <c r="M2042" s="2">
        <v>93267</v>
      </c>
      <c r="N2042" s="2">
        <v>93267</v>
      </c>
      <c r="O2042" s="2">
        <v>23228</v>
      </c>
      <c r="P2042" s="2">
        <v>-88.75</v>
      </c>
      <c r="Q2042" s="2">
        <v>-355</v>
      </c>
      <c r="R2042" s="4">
        <v>-3.820819700361632E-3</v>
      </c>
      <c r="T2042">
        <v>317637</v>
      </c>
      <c r="U2042" s="2"/>
      <c r="V2042">
        <v>6266</v>
      </c>
      <c r="W2042" s="2">
        <v>6579000000</v>
      </c>
      <c r="X2042" s="6">
        <v>92912</v>
      </c>
      <c r="Y2042" s="38">
        <v>10010</v>
      </c>
      <c r="Z2042" s="86">
        <f>+((DETALLE_GD_1[[#This Row],[VALOR X UN (GD)]]-DETALLE_GD_1[[#This Row],[VALOR PPTO]])/DETALLE_GD_1[[#This Row],[VALOR PPTO]])</f>
        <v>3.8208197003616324E-3</v>
      </c>
      <c r="AA2042" s="2">
        <f>+DETALLE_GD_1[[#This Row],[VALOR PPTO]]*DETALLE_GD_1[[#This Row],[CANTIDAD RECIBIDA]]</f>
        <v>92912</v>
      </c>
      <c r="AB2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2" s="3">
        <f>+DETALLE_GD_1[[#This Row],[CANTIDAD SOLICITADA]]-DETALLE_GD_1[[#This Row],[DEVOLUCIÓN]]</f>
        <v>4</v>
      </c>
      <c r="AD2042" s="38" t="str">
        <f>+_xlfn.XLOOKUP(DETALLE_GD_1[[#This Row],[CODIGO]],PRODUCTOS[CODIGO],PRODUCTOS[DESC CORTA],"",0)</f>
        <v>TAZA WC AURA</v>
      </c>
    </row>
    <row r="2043" spans="1:30" x14ac:dyDescent="0.25">
      <c r="A2043" s="1">
        <v>46177</v>
      </c>
      <c r="B2043" s="1">
        <v>46177</v>
      </c>
      <c r="C2043" s="81" t="s">
        <v>169</v>
      </c>
      <c r="D2043" s="38">
        <v>6</v>
      </c>
      <c r="E2043" s="81" t="s">
        <v>169</v>
      </c>
      <c r="F2043">
        <v>407795</v>
      </c>
      <c r="G2043" s="81" t="s">
        <v>325</v>
      </c>
      <c r="H2043" s="81" t="s">
        <v>31</v>
      </c>
      <c r="I2043" s="3">
        <v>3</v>
      </c>
      <c r="J2043" s="3"/>
      <c r="K2043" s="26">
        <v>3</v>
      </c>
      <c r="L2043" s="2">
        <v>1253.3333</v>
      </c>
      <c r="M2043" s="2">
        <v>3760</v>
      </c>
      <c r="N2043" s="2">
        <v>3760</v>
      </c>
      <c r="O2043" s="2">
        <v>1610.9336000000001</v>
      </c>
      <c r="P2043" s="2">
        <v>357.6003</v>
      </c>
      <c r="Q2043" s="2">
        <v>1072.8008</v>
      </c>
      <c r="R2043" s="4">
        <v>0.22198324899724872</v>
      </c>
      <c r="T2043">
        <v>317637</v>
      </c>
      <c r="U2043" s="2"/>
      <c r="V2043">
        <v>6266</v>
      </c>
      <c r="W2043" s="2">
        <v>6579000000</v>
      </c>
      <c r="X2043" s="6">
        <v>4832.8008300000001</v>
      </c>
      <c r="Y2043" s="38">
        <v>10010</v>
      </c>
      <c r="Z2043" s="86">
        <f>+((DETALLE_GD_1[[#This Row],[VALOR X UN (GD)]]-DETALLE_GD_1[[#This Row],[VALOR PPTO]])/DETALLE_GD_1[[#This Row],[VALOR PPTO]])</f>
        <v>-0.22198326485958209</v>
      </c>
      <c r="AA2043" s="2">
        <f>+DETALLE_GD_1[[#This Row],[VALOR PPTO]]*DETALLE_GD_1[[#This Row],[CANTIDAD RECIBIDA]]</f>
        <v>4832.8008</v>
      </c>
      <c r="AB2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3" s="3">
        <f>+DETALLE_GD_1[[#This Row],[CANTIDAD SOLICITADA]]-DETALLE_GD_1[[#This Row],[DEVOLUCIÓN]]</f>
        <v>3</v>
      </c>
      <c r="AD2043" s="38" t="str">
        <f>+_xlfn.XLOOKUP(DETALLE_GD_1[[#This Row],[CODIGO]],PRODUCTOS[CODIGO],PRODUCTOS[DESC CORTA],"",0)</f>
        <v>SET BALCON</v>
      </c>
    </row>
    <row r="2044" spans="1:30" x14ac:dyDescent="0.25">
      <c r="A2044" s="1">
        <v>46177</v>
      </c>
      <c r="B2044" s="1">
        <v>46177</v>
      </c>
      <c r="C2044" s="81" t="s">
        <v>169</v>
      </c>
      <c r="D2044" s="38">
        <v>6</v>
      </c>
      <c r="E2044" s="81" t="s">
        <v>169</v>
      </c>
      <c r="F2044">
        <v>2505426</v>
      </c>
      <c r="G2044" s="81" t="s">
        <v>711</v>
      </c>
      <c r="H2044" s="81" t="s">
        <v>31</v>
      </c>
      <c r="I2044" s="3">
        <v>4</v>
      </c>
      <c r="J2044" s="3"/>
      <c r="K2044" s="26">
        <v>4</v>
      </c>
      <c r="L2044" s="2">
        <v>1725.75</v>
      </c>
      <c r="M2044" s="2">
        <v>6903</v>
      </c>
      <c r="N2044" s="2">
        <v>6903</v>
      </c>
      <c r="O2044" s="2">
        <v>1684</v>
      </c>
      <c r="P2044" s="2">
        <v>-41.75</v>
      </c>
      <c r="Q2044" s="2">
        <v>-167</v>
      </c>
      <c r="R2044" s="4">
        <v>-2.4792161520190023E-2</v>
      </c>
      <c r="T2044">
        <v>317637</v>
      </c>
      <c r="U2044" s="2"/>
      <c r="V2044">
        <v>6266</v>
      </c>
      <c r="W2044" s="2">
        <v>6579000000</v>
      </c>
      <c r="X2044" s="6">
        <v>6736</v>
      </c>
      <c r="Y2044" s="38">
        <v>10010</v>
      </c>
      <c r="Z2044" s="86">
        <f>+((DETALLE_GD_1[[#This Row],[VALOR X UN (GD)]]-DETALLE_GD_1[[#This Row],[VALOR PPTO]])/DETALLE_GD_1[[#This Row],[VALOR PPTO]])</f>
        <v>2.4792161520190023E-2</v>
      </c>
      <c r="AA2044" s="2">
        <f>+DETALLE_GD_1[[#This Row],[VALOR PPTO]]*DETALLE_GD_1[[#This Row],[CANTIDAD RECIBIDA]]</f>
        <v>6736</v>
      </c>
      <c r="AB2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4" s="3">
        <f>+DETALLE_GD_1[[#This Row],[CANTIDAD SOLICITADA]]-DETALLE_GD_1[[#This Row],[DEVOLUCIÓN]]</f>
        <v>4</v>
      </c>
      <c r="AD2044" s="38" t="str">
        <f>+_xlfn.XLOOKUP(DETALLE_GD_1[[#This Row],[CODIGO]],PRODUCTOS[CODIGO],PRODUCTOS[DESC CORTA],"",0)</f>
        <v/>
      </c>
    </row>
    <row r="2045" spans="1:30" x14ac:dyDescent="0.25">
      <c r="A2045" s="1">
        <v>46177</v>
      </c>
      <c r="B2045" s="1">
        <v>46177</v>
      </c>
      <c r="C2045" s="81" t="s">
        <v>169</v>
      </c>
      <c r="D2045" s="38">
        <v>6</v>
      </c>
      <c r="E2045" s="81" t="s">
        <v>169</v>
      </c>
      <c r="F2045">
        <v>1802176</v>
      </c>
      <c r="G2045" s="81" t="s">
        <v>196</v>
      </c>
      <c r="H2045" s="81" t="s">
        <v>31</v>
      </c>
      <c r="I2045" s="3">
        <v>4</v>
      </c>
      <c r="J2045" s="3"/>
      <c r="K2045" s="26">
        <v>4</v>
      </c>
      <c r="L2045" s="2">
        <v>2199</v>
      </c>
      <c r="M2045" s="2">
        <v>8796</v>
      </c>
      <c r="N2045" s="2">
        <v>8796</v>
      </c>
      <c r="O2045" s="2">
        <v>2199</v>
      </c>
      <c r="P2045" s="2">
        <v>0</v>
      </c>
      <c r="Q2045" s="2">
        <v>0</v>
      </c>
      <c r="R2045" s="4">
        <v>0</v>
      </c>
      <c r="T2045">
        <v>317637</v>
      </c>
      <c r="U2045" s="2"/>
      <c r="V2045">
        <v>6266</v>
      </c>
      <c r="W2045" s="2">
        <v>6579000000</v>
      </c>
      <c r="X2045" s="6">
        <v>8796</v>
      </c>
      <c r="Y2045" s="38">
        <v>10010</v>
      </c>
      <c r="Z2045" s="86">
        <f>+((DETALLE_GD_1[[#This Row],[VALOR X UN (GD)]]-DETALLE_GD_1[[#This Row],[VALOR PPTO]])/DETALLE_GD_1[[#This Row],[VALOR PPTO]])</f>
        <v>0</v>
      </c>
      <c r="AA2045" s="2">
        <f>+DETALLE_GD_1[[#This Row],[VALOR PPTO]]*DETALLE_GD_1[[#This Row],[CANTIDAD RECIBIDA]]</f>
        <v>8796</v>
      </c>
      <c r="AB20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5" s="3">
        <f>+DETALLE_GD_1[[#This Row],[CANTIDAD SOLICITADA]]-DETALLE_GD_1[[#This Row],[DEVOLUCIÓN]]</f>
        <v>4</v>
      </c>
      <c r="AD2045" s="38">
        <f>+_xlfn.XLOOKUP(DETALLE_GD_1[[#This Row],[CODIGO]],PRODUCTOS[CODIGO],PRODUCTOS[DESC CORTA],"",0)</f>
        <v>0</v>
      </c>
    </row>
    <row r="2046" spans="1:30" x14ac:dyDescent="0.25">
      <c r="A2046" s="1">
        <v>46177</v>
      </c>
      <c r="B2046" s="1">
        <v>46177</v>
      </c>
      <c r="C2046" s="81" t="s">
        <v>169</v>
      </c>
      <c r="D2046" s="38">
        <v>6</v>
      </c>
      <c r="E2046" s="81" t="s">
        <v>169</v>
      </c>
      <c r="F2046">
        <v>1802165</v>
      </c>
      <c r="G2046" s="81" t="s">
        <v>261</v>
      </c>
      <c r="H2046" s="81" t="s">
        <v>31</v>
      </c>
      <c r="I2046" s="3">
        <v>4</v>
      </c>
      <c r="J2046" s="3"/>
      <c r="K2046" s="26">
        <v>4</v>
      </c>
      <c r="L2046" s="2">
        <v>9122</v>
      </c>
      <c r="M2046" s="2">
        <v>36488</v>
      </c>
      <c r="N2046" s="2">
        <v>36488</v>
      </c>
      <c r="O2046" s="2">
        <v>9122</v>
      </c>
      <c r="P2046" s="2">
        <v>0</v>
      </c>
      <c r="Q2046" s="2">
        <v>0</v>
      </c>
      <c r="R2046" s="4">
        <v>0</v>
      </c>
      <c r="T2046">
        <v>317637</v>
      </c>
      <c r="U2046" s="2"/>
      <c r="V2046">
        <v>6266</v>
      </c>
      <c r="W2046" s="2">
        <v>6579000000</v>
      </c>
      <c r="X2046" s="6">
        <v>36488</v>
      </c>
      <c r="Y2046" s="38">
        <v>10010</v>
      </c>
      <c r="Z2046" s="86">
        <f>+((DETALLE_GD_1[[#This Row],[VALOR X UN (GD)]]-DETALLE_GD_1[[#This Row],[VALOR PPTO]])/DETALLE_GD_1[[#This Row],[VALOR PPTO]])</f>
        <v>0</v>
      </c>
      <c r="AA2046" s="2">
        <f>+DETALLE_GD_1[[#This Row],[VALOR PPTO]]*DETALLE_GD_1[[#This Row],[CANTIDAD RECIBIDA]]</f>
        <v>36488</v>
      </c>
      <c r="AB2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6" s="3">
        <f>+DETALLE_GD_1[[#This Row],[CANTIDAD SOLICITADA]]-DETALLE_GD_1[[#This Row],[DEVOLUCIÓN]]</f>
        <v>4</v>
      </c>
      <c r="AD2046" s="38" t="str">
        <f>+_xlfn.XLOOKUP(DETALLE_GD_1[[#This Row],[CODIGO]],PRODUCTOS[CODIGO],PRODUCTOS[DESC CORTA],"",0)</f>
        <v>NEW TS2024019)</v>
      </c>
    </row>
    <row r="2047" spans="1:30" x14ac:dyDescent="0.25">
      <c r="A2047" s="1">
        <v>46177</v>
      </c>
      <c r="B2047" s="1">
        <v>46177</v>
      </c>
      <c r="C2047" s="81" t="s">
        <v>169</v>
      </c>
      <c r="D2047" s="38">
        <v>6</v>
      </c>
      <c r="E2047" s="81" t="s">
        <v>169</v>
      </c>
      <c r="F2047">
        <v>1701154</v>
      </c>
      <c r="G2047" s="81" t="s">
        <v>713</v>
      </c>
      <c r="H2047" s="81" t="s">
        <v>31</v>
      </c>
      <c r="I2047" s="3">
        <v>4</v>
      </c>
      <c r="J2047" s="3"/>
      <c r="K2047" s="26">
        <v>4</v>
      </c>
      <c r="L2047" s="2">
        <v>1229.75</v>
      </c>
      <c r="M2047" s="2">
        <v>4919</v>
      </c>
      <c r="N2047" s="2">
        <v>4919</v>
      </c>
      <c r="O2047" s="2">
        <v>1230</v>
      </c>
      <c r="P2047" s="2">
        <v>0.25</v>
      </c>
      <c r="Q2047" s="2">
        <v>1</v>
      </c>
      <c r="R2047" s="4">
        <v>2.032520325203252E-4</v>
      </c>
      <c r="T2047">
        <v>317637</v>
      </c>
      <c r="U2047" s="2"/>
      <c r="V2047">
        <v>6266</v>
      </c>
      <c r="W2047" s="2">
        <v>6579000000</v>
      </c>
      <c r="X2047" s="6">
        <v>4920</v>
      </c>
      <c r="Y2047" s="38">
        <v>10010</v>
      </c>
      <c r="Z2047" s="86">
        <f>+((DETALLE_GD_1[[#This Row],[VALOR X UN (GD)]]-DETALLE_GD_1[[#This Row],[VALOR PPTO]])/DETALLE_GD_1[[#This Row],[VALOR PPTO]])</f>
        <v>-2.032520325203252E-4</v>
      </c>
      <c r="AA2047" s="2">
        <f>+DETALLE_GD_1[[#This Row],[VALOR PPTO]]*DETALLE_GD_1[[#This Row],[CANTIDAD RECIBIDA]]</f>
        <v>4920</v>
      </c>
      <c r="AB2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7" s="3">
        <f>+DETALLE_GD_1[[#This Row],[CANTIDAD SOLICITADA]]-DETALLE_GD_1[[#This Row],[DEVOLUCIÓN]]</f>
        <v>4</v>
      </c>
      <c r="AD2047" s="38" t="str">
        <f>+_xlfn.XLOOKUP(DETALLE_GD_1[[#This Row],[CODIGO]],PRODUCTOS[CODIGO],PRODUCTOS[DESC CORTA],"",0)</f>
        <v/>
      </c>
    </row>
    <row r="2048" spans="1:30" x14ac:dyDescent="0.25">
      <c r="A2048" s="1">
        <v>46177</v>
      </c>
      <c r="B2048" s="1">
        <v>46177</v>
      </c>
      <c r="C2048" s="81" t="s">
        <v>169</v>
      </c>
      <c r="D2048" s="38">
        <v>6</v>
      </c>
      <c r="E2048" s="81" t="s">
        <v>169</v>
      </c>
      <c r="F2048">
        <v>1802175</v>
      </c>
      <c r="G2048" s="81" t="s">
        <v>269</v>
      </c>
      <c r="H2048" s="81" t="s">
        <v>31</v>
      </c>
      <c r="I2048" s="3">
        <v>4</v>
      </c>
      <c r="J2048" s="3"/>
      <c r="K2048" s="26">
        <v>4</v>
      </c>
      <c r="L2048" s="2">
        <v>1079</v>
      </c>
      <c r="M2048" s="2">
        <v>4316</v>
      </c>
      <c r="N2048" s="2">
        <v>4316</v>
      </c>
      <c r="O2048" s="2">
        <v>1079</v>
      </c>
      <c r="P2048" s="2">
        <v>0</v>
      </c>
      <c r="Q2048" s="2">
        <v>0</v>
      </c>
      <c r="R2048" s="4">
        <v>0</v>
      </c>
      <c r="T2048">
        <v>317637</v>
      </c>
      <c r="U2048" s="2"/>
      <c r="V2048">
        <v>6266</v>
      </c>
      <c r="W2048" s="2">
        <v>6579000000</v>
      </c>
      <c r="X2048" s="6">
        <v>4316</v>
      </c>
      <c r="Y2048" s="38">
        <v>10010</v>
      </c>
      <c r="Z2048" s="86">
        <f>+((DETALLE_GD_1[[#This Row],[VALOR X UN (GD)]]-DETALLE_GD_1[[#This Row],[VALOR PPTO]])/DETALLE_GD_1[[#This Row],[VALOR PPTO]])</f>
        <v>0</v>
      </c>
      <c r="AA2048" s="2">
        <f>+DETALLE_GD_1[[#This Row],[VALOR PPTO]]*DETALLE_GD_1[[#This Row],[CANTIDAD RECIBIDA]]</f>
        <v>4316</v>
      </c>
      <c r="AB2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8" s="3">
        <f>+DETALLE_GD_1[[#This Row],[CANTIDAD SOLICITADA]]-DETALLE_GD_1[[#This Row],[DEVOLUCIÓN]]</f>
        <v>4</v>
      </c>
      <c r="AD2048" s="38" t="str">
        <f>+_xlfn.XLOOKUP(DETALLE_GD_1[[#This Row],[CODIGO]],PRODUCTOS[CODIGO],PRODUCTOS[DESC CORTA],"",0)</f>
        <v>UÑETAS INSTLACION LAVAMANOS</v>
      </c>
    </row>
    <row r="2049" spans="1:30" x14ac:dyDescent="0.25">
      <c r="A2049" s="1">
        <v>46177</v>
      </c>
      <c r="B2049" s="1">
        <v>46177</v>
      </c>
      <c r="C2049" s="81" t="s">
        <v>169</v>
      </c>
      <c r="D2049" s="38">
        <v>6</v>
      </c>
      <c r="E2049" s="81" t="s">
        <v>169</v>
      </c>
      <c r="F2049">
        <v>1802174</v>
      </c>
      <c r="G2049" s="81" t="s">
        <v>268</v>
      </c>
      <c r="H2049" s="81" t="s">
        <v>31</v>
      </c>
      <c r="I2049" s="3">
        <v>4</v>
      </c>
      <c r="J2049" s="3"/>
      <c r="K2049" s="26">
        <v>4</v>
      </c>
      <c r="L2049" s="2">
        <v>7701.75</v>
      </c>
      <c r="M2049" s="2">
        <v>30807</v>
      </c>
      <c r="N2049" s="2">
        <v>30807</v>
      </c>
      <c r="O2049" s="2">
        <v>7709</v>
      </c>
      <c r="P2049" s="2">
        <v>7.25</v>
      </c>
      <c r="Q2049" s="2">
        <v>29</v>
      </c>
      <c r="R2049" s="4">
        <v>9.4045920352834353E-4</v>
      </c>
      <c r="T2049">
        <v>317637</v>
      </c>
      <c r="U2049" s="2"/>
      <c r="V2049">
        <v>6266</v>
      </c>
      <c r="W2049" s="2">
        <v>6579000000</v>
      </c>
      <c r="X2049" s="6">
        <v>30836</v>
      </c>
      <c r="Y2049" s="38">
        <v>10010</v>
      </c>
      <c r="Z2049" s="86">
        <f>+((DETALLE_GD_1[[#This Row],[VALOR X UN (GD)]]-DETALLE_GD_1[[#This Row],[VALOR PPTO]])/DETALLE_GD_1[[#This Row],[VALOR PPTO]])</f>
        <v>-9.4045920352834353E-4</v>
      </c>
      <c r="AA2049" s="2">
        <f>+DETALLE_GD_1[[#This Row],[VALOR PPTO]]*DETALLE_GD_1[[#This Row],[CANTIDAD RECIBIDA]]</f>
        <v>30836</v>
      </c>
      <c r="AB2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9" s="3">
        <f>+DETALLE_GD_1[[#This Row],[CANTIDAD SOLICITADA]]-DETALLE_GD_1[[#This Row],[DEVOLUCIÓN]]</f>
        <v>4</v>
      </c>
      <c r="AD2049" s="38" t="str">
        <f>+_xlfn.XLOOKUP(DETALLE_GD_1[[#This Row],[CODIGO]],PRODUCTOS[CODIGO],PRODUCTOS[DESC CORTA],"",0)</f>
        <v>PEDESTAL DS THEOS</v>
      </c>
    </row>
    <row r="2050" spans="1:30" x14ac:dyDescent="0.25">
      <c r="A2050" s="1">
        <v>46177</v>
      </c>
      <c r="B2050" s="1">
        <v>46177</v>
      </c>
      <c r="C2050" s="81" t="s">
        <v>169</v>
      </c>
      <c r="D2050" s="38">
        <v>6</v>
      </c>
      <c r="E2050" s="81" t="s">
        <v>169</v>
      </c>
      <c r="F2050">
        <v>1802173</v>
      </c>
      <c r="G2050" s="81" t="s">
        <v>267</v>
      </c>
      <c r="H2050" s="81" t="s">
        <v>31</v>
      </c>
      <c r="I2050" s="3">
        <v>4</v>
      </c>
      <c r="J2050" s="3"/>
      <c r="K2050" s="26">
        <v>4</v>
      </c>
      <c r="L2050" s="2">
        <v>11984.75</v>
      </c>
      <c r="M2050" s="2">
        <v>47939</v>
      </c>
      <c r="N2050" s="2">
        <v>47939</v>
      </c>
      <c r="O2050" s="2">
        <v>11996</v>
      </c>
      <c r="P2050" s="2">
        <v>11.25</v>
      </c>
      <c r="Q2050" s="2">
        <v>45</v>
      </c>
      <c r="R2050" s="4">
        <v>9.3781260420140039E-4</v>
      </c>
      <c r="T2050">
        <v>317637</v>
      </c>
      <c r="U2050" s="2"/>
      <c r="V2050">
        <v>6266</v>
      </c>
      <c r="W2050" s="2">
        <v>6579000000</v>
      </c>
      <c r="X2050" s="6">
        <v>47984</v>
      </c>
      <c r="Y2050" s="38">
        <v>10010</v>
      </c>
      <c r="Z2050" s="86">
        <f>+((DETALLE_GD_1[[#This Row],[VALOR X UN (GD)]]-DETALLE_GD_1[[#This Row],[VALOR PPTO]])/DETALLE_GD_1[[#This Row],[VALOR PPTO]])</f>
        <v>-9.378126042014005E-4</v>
      </c>
      <c r="AA2050" s="2">
        <f>+DETALLE_GD_1[[#This Row],[VALOR PPTO]]*DETALLE_GD_1[[#This Row],[CANTIDAD RECIBIDA]]</f>
        <v>47984</v>
      </c>
      <c r="AB2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0" s="3">
        <f>+DETALLE_GD_1[[#This Row],[CANTIDAD SOLICITADA]]-DETALLE_GD_1[[#This Row],[DEVOLUCIÓN]]</f>
        <v>4</v>
      </c>
      <c r="AD2050" s="38" t="str">
        <f>+_xlfn.XLOOKUP(DETALLE_GD_1[[#This Row],[CODIGO]],PRODUCTOS[CODIGO],PRODUCTOS[DESC CORTA],"",0)</f>
        <v>LAVAMANOS DS THEOS</v>
      </c>
    </row>
    <row r="2051" spans="1:30" x14ac:dyDescent="0.25">
      <c r="A2051" s="1">
        <v>46177</v>
      </c>
      <c r="B2051" s="1">
        <v>46177</v>
      </c>
      <c r="C2051" s="81" t="s">
        <v>169</v>
      </c>
      <c r="D2051" s="38">
        <v>6</v>
      </c>
      <c r="E2051" s="81" t="s">
        <v>169</v>
      </c>
      <c r="F2051">
        <v>5316484</v>
      </c>
      <c r="G2051" s="81" t="s">
        <v>96</v>
      </c>
      <c r="H2051" s="81" t="s">
        <v>31</v>
      </c>
      <c r="I2051" s="3">
        <v>8</v>
      </c>
      <c r="J2051" s="3"/>
      <c r="K2051" s="26">
        <v>8</v>
      </c>
      <c r="L2051" s="2">
        <v>4283.5</v>
      </c>
      <c r="M2051" s="2">
        <v>34268</v>
      </c>
      <c r="N2051" s="2">
        <v>34268</v>
      </c>
      <c r="O2051" s="2">
        <v>4372.7272999999996</v>
      </c>
      <c r="P2051" s="2">
        <v>89.2273</v>
      </c>
      <c r="Q2051" s="2">
        <v>713.81820000000005</v>
      </c>
      <c r="R2051" s="4">
        <v>2.0405405466502876E-2</v>
      </c>
      <c r="T2051">
        <v>317637</v>
      </c>
      <c r="U2051" s="2"/>
      <c r="V2051">
        <v>6266</v>
      </c>
      <c r="W2051" s="2">
        <v>6579000000</v>
      </c>
      <c r="X2051" s="6">
        <v>34981.818184000003</v>
      </c>
      <c r="Y2051" s="38">
        <v>10010</v>
      </c>
      <c r="Z2051" s="86">
        <f>+((DETALLE_GD_1[[#This Row],[VALOR X UN (GD)]]-DETALLE_GD_1[[#This Row],[VALOR PPTO]])/DETALLE_GD_1[[#This Row],[VALOR PPTO]])</f>
        <v>-2.0405411515142864E-2</v>
      </c>
      <c r="AA2051" s="2">
        <f>+DETALLE_GD_1[[#This Row],[VALOR PPTO]]*DETALLE_GD_1[[#This Row],[CANTIDAD RECIBIDA]]</f>
        <v>34981.818399999996</v>
      </c>
      <c r="AB2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1" s="3">
        <f>+DETALLE_GD_1[[#This Row],[CANTIDAD SOLICITADA]]-DETALLE_GD_1[[#This Row],[DEVOLUCIÓN]]</f>
        <v>8</v>
      </c>
      <c r="AD2051" s="38" t="str">
        <f>+_xlfn.XLOOKUP(DETALLE_GD_1[[#This Row],[CODIGO]],PRODUCTOS[CODIGO],PRODUCTOS[DESC CORTA],"",0)</f>
        <v>LLAVE DE BOLA AC</v>
      </c>
    </row>
    <row r="2052" spans="1:30" x14ac:dyDescent="0.25">
      <c r="A2052" s="1">
        <v>46177</v>
      </c>
      <c r="B2052" s="1">
        <v>46177</v>
      </c>
      <c r="C2052" s="81" t="s">
        <v>169</v>
      </c>
      <c r="D2052" s="38">
        <v>6</v>
      </c>
      <c r="E2052" s="81" t="s">
        <v>169</v>
      </c>
      <c r="F2052">
        <v>5316483</v>
      </c>
      <c r="G2052" s="81" t="s">
        <v>97</v>
      </c>
      <c r="H2052" s="81" t="s">
        <v>31</v>
      </c>
      <c r="I2052" s="3">
        <v>8</v>
      </c>
      <c r="J2052" s="3"/>
      <c r="K2052" s="26">
        <v>8</v>
      </c>
      <c r="L2052" s="2">
        <v>2984.125</v>
      </c>
      <c r="M2052" s="2">
        <v>23873</v>
      </c>
      <c r="N2052" s="2">
        <v>23873</v>
      </c>
      <c r="O2052" s="2">
        <v>3237.6071000000002</v>
      </c>
      <c r="P2052" s="2">
        <v>253.4821</v>
      </c>
      <c r="Q2052" s="2">
        <v>2027.8570999999999</v>
      </c>
      <c r="R2052" s="4">
        <v>7.8293051566818886E-2</v>
      </c>
      <c r="T2052">
        <v>317637</v>
      </c>
      <c r="U2052" s="2"/>
      <c r="V2052">
        <v>6266</v>
      </c>
      <c r="W2052" s="2">
        <v>6579000000</v>
      </c>
      <c r="X2052" s="6">
        <v>25900.857144000001</v>
      </c>
      <c r="Y2052" s="38">
        <v>10010</v>
      </c>
      <c r="Z2052" s="86">
        <f>+((DETALLE_GD_1[[#This Row],[VALOR X UN (GD)]]-DETALLE_GD_1[[#This Row],[VALOR PPTO]])/DETALLE_GD_1[[#This Row],[VALOR PPTO]])</f>
        <v>-7.8293039325247393E-2</v>
      </c>
      <c r="AA2052" s="2">
        <f>+DETALLE_GD_1[[#This Row],[VALOR PPTO]]*DETALLE_GD_1[[#This Row],[CANTIDAD RECIBIDA]]</f>
        <v>25900.856800000001</v>
      </c>
      <c r="AB2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2" s="3">
        <f>+DETALLE_GD_1[[#This Row],[CANTIDAD SOLICITADA]]-DETALLE_GD_1[[#This Row],[DEVOLUCIÓN]]</f>
        <v>8</v>
      </c>
      <c r="AD2052" s="38" t="str">
        <f>+_xlfn.XLOOKUP(DETALLE_GD_1[[#This Row],[CODIGO]],PRODUCTOS[CODIGO],PRODUCTOS[DESC CORTA],"",0)</f>
        <v>LLAVE DE BOLA AF</v>
      </c>
    </row>
    <row r="2053" spans="1:30" x14ac:dyDescent="0.25">
      <c r="A2053" s="1">
        <v>46177</v>
      </c>
      <c r="B2053" s="1">
        <v>46177</v>
      </c>
      <c r="C2053" s="81" t="s">
        <v>169</v>
      </c>
      <c r="D2053" s="38">
        <v>6</v>
      </c>
      <c r="E2053" s="81" t="s">
        <v>169</v>
      </c>
      <c r="F2053">
        <v>1802170</v>
      </c>
      <c r="G2053" s="81" t="s">
        <v>264</v>
      </c>
      <c r="H2053" s="81" t="s">
        <v>31</v>
      </c>
      <c r="I2053" s="3">
        <v>4</v>
      </c>
      <c r="J2053" s="3"/>
      <c r="K2053" s="26">
        <v>4</v>
      </c>
      <c r="L2053" s="2">
        <v>2043</v>
      </c>
      <c r="M2053" s="2">
        <v>8172</v>
      </c>
      <c r="N2053" s="2">
        <v>8172</v>
      </c>
      <c r="O2053" s="2">
        <v>2043</v>
      </c>
      <c r="P2053" s="2">
        <v>0</v>
      </c>
      <c r="Q2053" s="2">
        <v>0</v>
      </c>
      <c r="R2053" s="4">
        <v>0</v>
      </c>
      <c r="T2053">
        <v>317637</v>
      </c>
      <c r="U2053" s="2"/>
      <c r="V2053">
        <v>6266</v>
      </c>
      <c r="W2053" s="2">
        <v>6579000000</v>
      </c>
      <c r="X2053" s="6">
        <v>8172</v>
      </c>
      <c r="Y2053" s="38">
        <v>10010</v>
      </c>
      <c r="Z2053" s="86">
        <f>+((DETALLE_GD_1[[#This Row],[VALOR X UN (GD)]]-DETALLE_GD_1[[#This Row],[VALOR PPTO]])/DETALLE_GD_1[[#This Row],[VALOR PPTO]])</f>
        <v>0</v>
      </c>
      <c r="AA2053" s="2">
        <f>+DETALLE_GD_1[[#This Row],[VALOR PPTO]]*DETALLE_GD_1[[#This Row],[CANTIDAD RECIBIDA]]</f>
        <v>8172</v>
      </c>
      <c r="AB2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3" s="3">
        <f>+DETALLE_GD_1[[#This Row],[CANTIDAD SOLICITADA]]-DETALLE_GD_1[[#This Row],[DEVOLUCIÓN]]</f>
        <v>4</v>
      </c>
      <c r="AD2053" s="38">
        <f>+_xlfn.XLOOKUP(DETALLE_GD_1[[#This Row],[CODIGO]],PRODUCTOS[CODIGO],PRODUCTOS[DESC CORTA],"",0)</f>
        <v>0</v>
      </c>
    </row>
    <row r="2054" spans="1:30" x14ac:dyDescent="0.25">
      <c r="A2054" s="1">
        <v>46177</v>
      </c>
      <c r="B2054" s="1">
        <v>46177</v>
      </c>
      <c r="C2054" s="81" t="s">
        <v>169</v>
      </c>
      <c r="D2054" s="38">
        <v>6</v>
      </c>
      <c r="E2054" s="81" t="s">
        <v>169</v>
      </c>
      <c r="F2054">
        <v>1802169</v>
      </c>
      <c r="G2054" s="81" t="s">
        <v>263</v>
      </c>
      <c r="H2054" s="81" t="s">
        <v>31</v>
      </c>
      <c r="I2054" s="3">
        <v>4</v>
      </c>
      <c r="J2054" s="3"/>
      <c r="K2054" s="26">
        <v>4</v>
      </c>
      <c r="L2054" s="2">
        <v>10730</v>
      </c>
      <c r="M2054" s="2">
        <v>42920</v>
      </c>
      <c r="N2054" s="2">
        <v>42920</v>
      </c>
      <c r="O2054" s="2">
        <v>10741</v>
      </c>
      <c r="P2054" s="2">
        <v>11</v>
      </c>
      <c r="Q2054" s="2">
        <v>44</v>
      </c>
      <c r="R2054" s="4">
        <v>1.0241132110604227E-3</v>
      </c>
      <c r="T2054">
        <v>317637</v>
      </c>
      <c r="U2054" s="2"/>
      <c r="V2054">
        <v>6266</v>
      </c>
      <c r="W2054" s="2">
        <v>6579000000</v>
      </c>
      <c r="X2054" s="6">
        <v>42964</v>
      </c>
      <c r="Y2054" s="38">
        <v>10010</v>
      </c>
      <c r="Z2054" s="86">
        <f>+((DETALLE_GD_1[[#This Row],[VALOR X UN (GD)]]-DETALLE_GD_1[[#This Row],[VALOR PPTO]])/DETALLE_GD_1[[#This Row],[VALOR PPTO]])</f>
        <v>-1.0241132110604227E-3</v>
      </c>
      <c r="AA2054" s="2">
        <f>+DETALLE_GD_1[[#This Row],[VALOR PPTO]]*DETALLE_GD_1[[#This Row],[CANTIDAD RECIBIDA]]</f>
        <v>42964</v>
      </c>
      <c r="AB2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4" s="3">
        <f>+DETALLE_GD_1[[#This Row],[CANTIDAD SOLICITADA]]-DETALLE_GD_1[[#This Row],[DEVOLUCIÓN]]</f>
        <v>4</v>
      </c>
      <c r="AD2054" s="38" t="str">
        <f>+_xlfn.XLOOKUP(DETALLE_GD_1[[#This Row],[CODIGO]],PRODUCTOS[CODIGO],PRODUCTOS[DESC CORTA],"",0)</f>
        <v>LAVARROPA PLATICO DS</v>
      </c>
    </row>
    <row r="2055" spans="1:30" x14ac:dyDescent="0.25">
      <c r="A2055" s="1">
        <v>46177</v>
      </c>
      <c r="B2055" s="1">
        <v>46177</v>
      </c>
      <c r="C2055" s="81" t="s">
        <v>169</v>
      </c>
      <c r="D2055" s="38">
        <v>6</v>
      </c>
      <c r="E2055" s="81" t="s">
        <v>169</v>
      </c>
      <c r="F2055">
        <v>1802167</v>
      </c>
      <c r="G2055" s="81" t="s">
        <v>262</v>
      </c>
      <c r="H2055" s="81" t="s">
        <v>31</v>
      </c>
      <c r="I2055" s="3">
        <v>4</v>
      </c>
      <c r="J2055" s="3"/>
      <c r="K2055" s="26">
        <v>4</v>
      </c>
      <c r="L2055" s="2">
        <v>14972</v>
      </c>
      <c r="M2055" s="2">
        <v>59888</v>
      </c>
      <c r="N2055" s="2">
        <v>59888</v>
      </c>
      <c r="O2055" s="2">
        <v>14972</v>
      </c>
      <c r="P2055" s="2">
        <v>0</v>
      </c>
      <c r="Q2055" s="2">
        <v>0</v>
      </c>
      <c r="R2055" s="4">
        <v>0</v>
      </c>
      <c r="T2055">
        <v>317637</v>
      </c>
      <c r="U2055" s="2"/>
      <c r="V2055">
        <v>6266</v>
      </c>
      <c r="W2055" s="2">
        <v>6579000000</v>
      </c>
      <c r="X2055" s="6">
        <v>59888</v>
      </c>
      <c r="Y2055" s="38">
        <v>10010</v>
      </c>
      <c r="Z2055" s="86">
        <f>+((DETALLE_GD_1[[#This Row],[VALOR X UN (GD)]]-DETALLE_GD_1[[#This Row],[VALOR PPTO]])/DETALLE_GD_1[[#This Row],[VALOR PPTO]])</f>
        <v>0</v>
      </c>
      <c r="AA2055" s="2">
        <f>+DETALLE_GD_1[[#This Row],[VALOR PPTO]]*DETALLE_GD_1[[#This Row],[CANTIDAD RECIBIDA]]</f>
        <v>59888</v>
      </c>
      <c r="AB2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5" s="3">
        <f>+DETALLE_GD_1[[#This Row],[CANTIDAD SOLICITADA]]-DETALLE_GD_1[[#This Row],[DEVOLUCIÓN]]</f>
        <v>4</v>
      </c>
      <c r="AD2055" s="38" t="str">
        <f>+_xlfn.XLOOKUP(DETALLE_GD_1[[#This Row],[CODIGO]],PRODUCTOS[CODIGO],PRODUCTOS[DESC CORTA],"",0)</f>
        <v>NEW DUCHA SIMPLE, SOPORTE Y FLEXIBLE 1.5M 8LPM, ESTIU (TS2024020)</v>
      </c>
    </row>
    <row r="2056" spans="1:30" x14ac:dyDescent="0.25">
      <c r="A2056" s="1">
        <v>46177</v>
      </c>
      <c r="B2056" s="1">
        <v>46177</v>
      </c>
      <c r="C2056" s="81" t="s">
        <v>169</v>
      </c>
      <c r="D2056" s="38">
        <v>6</v>
      </c>
      <c r="E2056" s="81" t="s">
        <v>169</v>
      </c>
      <c r="F2056">
        <v>1801229</v>
      </c>
      <c r="G2056" s="81" t="s">
        <v>259</v>
      </c>
      <c r="H2056" s="81" t="s">
        <v>31</v>
      </c>
      <c r="I2056" s="3">
        <v>4</v>
      </c>
      <c r="J2056" s="3"/>
      <c r="K2056" s="26">
        <v>4</v>
      </c>
      <c r="L2056" s="2">
        <v>5283.5</v>
      </c>
      <c r="M2056" s="2">
        <v>21134</v>
      </c>
      <c r="N2056" s="2">
        <v>21134</v>
      </c>
      <c r="O2056" s="2">
        <v>4675.5185000000001</v>
      </c>
      <c r="P2056" s="2">
        <v>-607.98149999999998</v>
      </c>
      <c r="Q2056" s="2">
        <v>-2431.9259000000002</v>
      </c>
      <c r="R2056" s="4">
        <v>-0.13003509205007596</v>
      </c>
      <c r="T2056">
        <v>317637</v>
      </c>
      <c r="U2056" s="2"/>
      <c r="V2056">
        <v>6266</v>
      </c>
      <c r="W2056" s="2">
        <v>6579000000</v>
      </c>
      <c r="X2056" s="6">
        <v>18702.074076000001</v>
      </c>
      <c r="Y2056" s="38">
        <v>10010</v>
      </c>
      <c r="Z2056" s="86">
        <f>+((DETALLE_GD_1[[#This Row],[VALOR X UN (GD)]]-DETALLE_GD_1[[#This Row],[VALOR PPTO]])/DETALLE_GD_1[[#This Row],[VALOR PPTO]])</f>
        <v>0.13003509664222265</v>
      </c>
      <c r="AA2056" s="2">
        <f>+DETALLE_GD_1[[#This Row],[VALOR PPTO]]*DETALLE_GD_1[[#This Row],[CANTIDAD RECIBIDA]]</f>
        <v>18702.074000000001</v>
      </c>
      <c r="AB2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6" s="3">
        <f>+DETALLE_GD_1[[#This Row],[CANTIDAD SOLICITADA]]-DETALLE_GD_1[[#This Row],[DEVOLUCIÓN]]</f>
        <v>4</v>
      </c>
      <c r="AD2056" s="38" t="str">
        <f>+_xlfn.XLOOKUP(DETALLE_GD_1[[#This Row],[CODIGO]],PRODUCTOS[CODIGO],PRODUCTOS[DESC CORTA],"",0)</f>
        <v>KIT DESAGUE TINA</v>
      </c>
    </row>
    <row r="2057" spans="1:30" x14ac:dyDescent="0.25">
      <c r="A2057" s="1">
        <v>46178</v>
      </c>
      <c r="B2057" s="1">
        <v>46178</v>
      </c>
      <c r="C2057" s="81" t="s">
        <v>169</v>
      </c>
      <c r="D2057" s="38">
        <v>6</v>
      </c>
      <c r="E2057" s="81" t="s">
        <v>169</v>
      </c>
      <c r="F2057" t="s">
        <v>777</v>
      </c>
      <c r="G2057" s="81" t="s">
        <v>22</v>
      </c>
      <c r="H2057" s="81" t="s">
        <v>20</v>
      </c>
      <c r="I2057" s="3">
        <v>80</v>
      </c>
      <c r="J2057" s="3"/>
      <c r="K2057" s="26">
        <v>80</v>
      </c>
      <c r="L2057" s="2">
        <v>15359.7</v>
      </c>
      <c r="M2057" s="2">
        <v>1228776</v>
      </c>
      <c r="N2057" s="2">
        <v>1228776</v>
      </c>
      <c r="O2057" s="2">
        <v>15359.702799999999</v>
      </c>
      <c r="P2057" s="2">
        <v>2.8E-3</v>
      </c>
      <c r="Q2057" s="2">
        <v>0.2228</v>
      </c>
      <c r="R2057" s="4">
        <v>1.81318612826567E-7</v>
      </c>
      <c r="T2057">
        <v>317687</v>
      </c>
      <c r="U2057" s="2">
        <v>4435858</v>
      </c>
      <c r="V2057">
        <v>6266</v>
      </c>
      <c r="W2057" s="2">
        <v>6579000000</v>
      </c>
      <c r="X2057" s="6">
        <v>1228776.2228000003</v>
      </c>
      <c r="Y2057" s="38">
        <v>10010</v>
      </c>
      <c r="Z2057" s="86">
        <f>+((DETALLE_GD_1[[#This Row],[VALOR X UN (GD)]]-DETALLE_GD_1[[#This Row],[VALOR PPTO]])/DETALLE_GD_1[[#This Row],[VALOR PPTO]])</f>
        <v>-1.8229519378380471E-7</v>
      </c>
      <c r="AA2057" s="2">
        <f>+DETALLE_GD_1[[#This Row],[VALOR PPTO]]*DETALLE_GD_1[[#This Row],[CANTIDAD RECIBIDA]]</f>
        <v>1228776.2239999999</v>
      </c>
      <c r="AB20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57" s="3">
        <f>+DETALLE_GD_1[[#This Row],[CANTIDAD SOLICITADA]]-DETALLE_GD_1[[#This Row],[DEVOLUCIÓN]]</f>
        <v>80</v>
      </c>
      <c r="AD2057" s="38" t="str">
        <f>+_xlfn.XLOOKUP(DETALLE_GD_1[[#This Row],[CODIGO]],PRODUCTOS[CODIGO],PRODUCTOS[DESC CORTA],"",0)</f>
        <v>PINO 3X8X320</v>
      </c>
    </row>
    <row r="2058" spans="1:30" x14ac:dyDescent="0.25">
      <c r="A2058" s="1">
        <v>46178</v>
      </c>
      <c r="B2058" s="1">
        <v>46178</v>
      </c>
      <c r="C2058" s="81" t="s">
        <v>169</v>
      </c>
      <c r="D2058" s="38">
        <v>6</v>
      </c>
      <c r="E2058" s="81" t="s">
        <v>169</v>
      </c>
      <c r="F2058">
        <v>302048</v>
      </c>
      <c r="G2058" s="81" t="s">
        <v>126</v>
      </c>
      <c r="H2058" s="81" t="s">
        <v>20</v>
      </c>
      <c r="I2058" s="3">
        <v>216</v>
      </c>
      <c r="J2058" s="3"/>
      <c r="K2058" s="26">
        <v>216</v>
      </c>
      <c r="L2058" s="2">
        <v>14163.5324</v>
      </c>
      <c r="M2058" s="2">
        <v>3059323</v>
      </c>
      <c r="N2058" s="2">
        <v>3059323</v>
      </c>
      <c r="O2058" s="2">
        <v>13710.695</v>
      </c>
      <c r="P2058" s="2">
        <v>-452.8374</v>
      </c>
      <c r="Q2058" s="2">
        <v>-97812.888399999996</v>
      </c>
      <c r="R2058" s="4">
        <v>-3.3028044726799148E-2</v>
      </c>
      <c r="T2058">
        <v>317687</v>
      </c>
      <c r="U2058" s="2"/>
      <c r="V2058">
        <v>6266</v>
      </c>
      <c r="W2058" s="2">
        <v>6579000000</v>
      </c>
      <c r="X2058" s="6">
        <v>2961510.1115760002</v>
      </c>
      <c r="Y2058" s="38">
        <v>10010</v>
      </c>
      <c r="Z2058" s="86">
        <f>+((DETALLE_GD_1[[#This Row],[VALOR X UN (GD)]]-DETALLE_GD_1[[#This Row],[VALOR PPTO]])/DETALLE_GD_1[[#This Row],[VALOR PPTO]])</f>
        <v>3.3028041248091389E-2</v>
      </c>
      <c r="AA2058" s="2">
        <f>+DETALLE_GD_1[[#This Row],[VALOR PPTO]]*DETALLE_GD_1[[#This Row],[CANTIDAD RECIBIDA]]</f>
        <v>2961510.12</v>
      </c>
      <c r="AB20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58" s="3">
        <f>+DETALLE_GD_1[[#This Row],[CANTIDAD SOLICITADA]]-DETALLE_GD_1[[#This Row],[DEVOLUCIÓN]]</f>
        <v>216</v>
      </c>
      <c r="AD2058" s="38" t="str">
        <f>+_xlfn.XLOOKUP(DETALLE_GD_1[[#This Row],[CODIGO]],PRODUCTOS[CODIGO],PRODUCTOS[DESC CORTA],"",0)</f>
        <v>PINO 2X8X4</v>
      </c>
    </row>
    <row r="2059" spans="1:30" x14ac:dyDescent="0.25">
      <c r="A2059" s="1">
        <v>46178</v>
      </c>
      <c r="B2059" s="1">
        <v>46178</v>
      </c>
      <c r="C2059" s="81" t="s">
        <v>169</v>
      </c>
      <c r="D2059" s="38">
        <v>6</v>
      </c>
      <c r="E2059" s="81" t="s">
        <v>169</v>
      </c>
      <c r="F2059" t="s">
        <v>386</v>
      </c>
      <c r="G2059" s="81" t="s">
        <v>83</v>
      </c>
      <c r="H2059" s="81" t="s">
        <v>36</v>
      </c>
      <c r="I2059" s="3">
        <v>4</v>
      </c>
      <c r="J2059" s="3"/>
      <c r="K2059" s="26">
        <v>4</v>
      </c>
      <c r="L2059" s="2">
        <v>36939.75</v>
      </c>
      <c r="M2059" s="2">
        <v>147759</v>
      </c>
      <c r="N2059" s="2">
        <v>147759</v>
      </c>
      <c r="O2059" s="2">
        <v>36939.818200000002</v>
      </c>
      <c r="P2059" s="2">
        <v>6.8199999999999997E-2</v>
      </c>
      <c r="Q2059" s="2">
        <v>0.2727</v>
      </c>
      <c r="R2059" s="4">
        <v>1.8457589491162987E-6</v>
      </c>
      <c r="T2059">
        <v>317687</v>
      </c>
      <c r="U2059" s="2"/>
      <c r="V2059">
        <v>6266</v>
      </c>
      <c r="W2059" s="2">
        <v>6579000000</v>
      </c>
      <c r="X2059" s="6">
        <v>147759.27272799995</v>
      </c>
      <c r="Y2059" s="38">
        <v>10010</v>
      </c>
      <c r="Z2059" s="86">
        <f>+((DETALLE_GD_1[[#This Row],[VALOR X UN (GD)]]-DETALLE_GD_1[[#This Row],[VALOR PPTO]])/DETALLE_GD_1[[#This Row],[VALOR PPTO]])</f>
        <v>-1.8462462276418306E-6</v>
      </c>
      <c r="AA2059" s="2">
        <f>+DETALLE_GD_1[[#This Row],[VALOR PPTO]]*DETALLE_GD_1[[#This Row],[CANTIDAD RECIBIDA]]</f>
        <v>147759.27280000001</v>
      </c>
      <c r="AB20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59" s="3">
        <f>+DETALLE_GD_1[[#This Row],[CANTIDAD SOLICITADA]]-DETALLE_GD_1[[#This Row],[DEVOLUCIÓN]]</f>
        <v>4</v>
      </c>
      <c r="AD2059" s="38" t="str">
        <f>+_xlfn.XLOOKUP(DETALLE_GD_1[[#This Row],[CODIGO]],PRODUCTOS[CODIGO],PRODUCTOS[DESC CORTA],"",0)</f>
        <v>CLAVO R20</v>
      </c>
    </row>
    <row r="2060" spans="1:30" x14ac:dyDescent="0.25">
      <c r="A2060" s="1">
        <v>46178</v>
      </c>
      <c r="B2060" s="1">
        <v>46178</v>
      </c>
      <c r="C2060" s="81" t="s">
        <v>169</v>
      </c>
      <c r="D2060" s="38">
        <v>6</v>
      </c>
      <c r="E2060" s="81" t="s">
        <v>169</v>
      </c>
      <c r="F2060">
        <v>404184</v>
      </c>
      <c r="G2060" s="81" t="s">
        <v>66</v>
      </c>
      <c r="H2060" s="81" t="s">
        <v>31</v>
      </c>
      <c r="I2060" s="3">
        <v>3</v>
      </c>
      <c r="J2060" s="3"/>
      <c r="K2060" s="26">
        <v>3</v>
      </c>
      <c r="L2060" s="2">
        <v>1745</v>
      </c>
      <c r="M2060" s="2">
        <v>5235</v>
      </c>
      <c r="N2060" s="2">
        <v>5235</v>
      </c>
      <c r="O2060" s="2">
        <v>1754.8757000000001</v>
      </c>
      <c r="P2060" s="2">
        <v>9.8757000000000001</v>
      </c>
      <c r="Q2060" s="2">
        <v>29.627199999999998</v>
      </c>
      <c r="R2060" s="4">
        <v>5.6275956328671155E-3</v>
      </c>
      <c r="T2060">
        <v>317689</v>
      </c>
      <c r="U2060" s="2">
        <v>5235</v>
      </c>
      <c r="V2060">
        <v>6266</v>
      </c>
      <c r="W2060" s="2">
        <v>6579000000</v>
      </c>
      <c r="X2060" s="6">
        <v>5264.6271930000003</v>
      </c>
      <c r="Y2060" s="38">
        <v>10010</v>
      </c>
      <c r="Z2060" s="86">
        <f>+((DETALLE_GD_1[[#This Row],[VALOR X UN (GD)]]-DETALLE_GD_1[[#This Row],[VALOR PPTO]])/DETALLE_GD_1[[#This Row],[VALOR PPTO]])</f>
        <v>-5.6275780672101457E-3</v>
      </c>
      <c r="AA2060" s="2">
        <f>+DETALLE_GD_1[[#This Row],[VALOR PPTO]]*DETALLE_GD_1[[#This Row],[CANTIDAD RECIBIDA]]</f>
        <v>5264.6270999999997</v>
      </c>
      <c r="AB2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0" s="3">
        <f>+DETALLE_GD_1[[#This Row],[CANTIDAD SOLICITADA]]-DETALLE_GD_1[[#This Row],[DEVOLUCIÓN]]</f>
        <v>3</v>
      </c>
      <c r="AD2060" s="38" t="str">
        <f>+_xlfn.XLOOKUP(DETALLE_GD_1[[#This Row],[CODIGO]],PRODUCTOS[CODIGO],PRODUCTOS[DESC CORTA],"",0)</f>
        <v>ANGULO BLANCO</v>
      </c>
    </row>
    <row r="2061" spans="1:30" x14ac:dyDescent="0.25">
      <c r="A2061" s="1">
        <v>46178</v>
      </c>
      <c r="B2061" s="1">
        <v>46178</v>
      </c>
      <c r="C2061" s="81" t="s">
        <v>169</v>
      </c>
      <c r="D2061" s="38">
        <v>6</v>
      </c>
      <c r="E2061" s="81" t="s">
        <v>169</v>
      </c>
      <c r="F2061">
        <v>304101</v>
      </c>
      <c r="G2061" s="81" t="s">
        <v>17</v>
      </c>
      <c r="H2061" s="81" t="s">
        <v>18</v>
      </c>
      <c r="I2061" s="3">
        <v>168</v>
      </c>
      <c r="J2061" s="3"/>
      <c r="K2061" s="26">
        <v>168</v>
      </c>
      <c r="L2061" s="2">
        <v>9610.2916999999998</v>
      </c>
      <c r="M2061" s="2">
        <v>1614529</v>
      </c>
      <c r="N2061" s="2">
        <v>1614529</v>
      </c>
      <c r="O2061" s="2">
        <v>9657.5879999999997</v>
      </c>
      <c r="P2061" s="2">
        <v>47.296300000000002</v>
      </c>
      <c r="Q2061" s="2">
        <v>7945.7755999999999</v>
      </c>
      <c r="R2061" s="4">
        <v>4.8973184172077418E-3</v>
      </c>
      <c r="T2061">
        <v>317695</v>
      </c>
      <c r="U2061" s="2">
        <v>7893331</v>
      </c>
      <c r="V2061">
        <v>6266</v>
      </c>
      <c r="W2061" s="2">
        <v>6579000000</v>
      </c>
      <c r="X2061" s="6">
        <v>1622474.7756000008</v>
      </c>
      <c r="Y2061" s="38">
        <v>10010</v>
      </c>
      <c r="Z2061" s="86">
        <f>+((DETALLE_GD_1[[#This Row],[VALOR X UN (GD)]]-DETALLE_GD_1[[#This Row],[VALOR PPTO]])/DETALLE_GD_1[[#This Row],[VALOR PPTO]])</f>
        <v>-4.8973201176111441E-3</v>
      </c>
      <c r="AA2061" s="2">
        <f>+DETALLE_GD_1[[#This Row],[VALOR PPTO]]*DETALLE_GD_1[[#This Row],[CANTIDAD RECIBIDA]]</f>
        <v>1622474.784</v>
      </c>
      <c r="AB20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61" s="3">
        <f>+DETALLE_GD_1[[#This Row],[CANTIDAD SOLICITADA]]-DETALLE_GD_1[[#This Row],[DEVOLUCIÓN]]</f>
        <v>168</v>
      </c>
      <c r="AD2061" s="38" t="str">
        <f>+_xlfn.XLOOKUP(DETALLE_GD_1[[#This Row],[CODIGO]],PRODUCTOS[CODIGO],PRODUCTOS[DESC CORTA],"",0)</f>
        <v>OSB 9.5</v>
      </c>
    </row>
    <row r="2062" spans="1:30" x14ac:dyDescent="0.25">
      <c r="A2062" s="1">
        <v>46178</v>
      </c>
      <c r="B2062" s="1">
        <v>46178</v>
      </c>
      <c r="C2062" s="81" t="s">
        <v>169</v>
      </c>
      <c r="D2062" s="38">
        <v>6</v>
      </c>
      <c r="E2062" s="81" t="s">
        <v>169</v>
      </c>
      <c r="F2062">
        <v>304007</v>
      </c>
      <c r="G2062" s="81" t="s">
        <v>80</v>
      </c>
      <c r="H2062" s="81" t="s">
        <v>18</v>
      </c>
      <c r="I2062" s="3">
        <v>72</v>
      </c>
      <c r="J2062" s="3"/>
      <c r="K2062" s="26">
        <v>72</v>
      </c>
      <c r="L2062" s="2">
        <v>11200.1111</v>
      </c>
      <c r="M2062" s="2">
        <v>806408</v>
      </c>
      <c r="N2062" s="2">
        <v>806408</v>
      </c>
      <c r="O2062" s="2">
        <v>11444.352999999999</v>
      </c>
      <c r="P2062" s="2">
        <v>244.24189999999999</v>
      </c>
      <c r="Q2062" s="2">
        <v>17585.417600000001</v>
      </c>
      <c r="R2062" s="4">
        <v>2.1341696679521079E-2</v>
      </c>
      <c r="T2062">
        <v>317695</v>
      </c>
      <c r="U2062" s="2"/>
      <c r="V2062">
        <v>6266</v>
      </c>
      <c r="W2062" s="2">
        <v>6579000000</v>
      </c>
      <c r="X2062" s="6">
        <v>823993.41758399969</v>
      </c>
      <c r="Y2062" s="38">
        <v>10010</v>
      </c>
      <c r="Z2062" s="86">
        <f>+((DETALLE_GD_1[[#This Row],[VALOR X UN (GD)]]-DETALLE_GD_1[[#This Row],[VALOR PPTO]])/DETALLE_GD_1[[#This Row],[VALOR PPTO]])</f>
        <v>-2.1341695769083589E-2</v>
      </c>
      <c r="AA2062" s="2">
        <f>+DETALLE_GD_1[[#This Row],[VALOR PPTO]]*DETALLE_GD_1[[#This Row],[CANTIDAD RECIBIDA]]</f>
        <v>823993.41599999997</v>
      </c>
      <c r="AB20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62" s="3">
        <f>+DETALLE_GD_1[[#This Row],[CANTIDAD SOLICITADA]]-DETALLE_GD_1[[#This Row],[DEVOLUCIÓN]]</f>
        <v>72</v>
      </c>
      <c r="AD2062" s="38" t="str">
        <f>+_xlfn.XLOOKUP(DETALLE_GD_1[[#This Row],[CODIGO]],PRODUCTOS[CODIGO],PRODUCTOS[DESC CORTA],"",0)</f>
        <v>OSB 11MM</v>
      </c>
    </row>
    <row r="2063" spans="1:30" x14ac:dyDescent="0.25">
      <c r="A2063" s="1">
        <v>46178</v>
      </c>
      <c r="B2063" s="1">
        <v>46178</v>
      </c>
      <c r="C2063" s="81" t="s">
        <v>169</v>
      </c>
      <c r="D2063" s="38">
        <v>6</v>
      </c>
      <c r="E2063" s="81" t="s">
        <v>169</v>
      </c>
      <c r="F2063">
        <v>701084</v>
      </c>
      <c r="G2063" s="81" t="s">
        <v>38</v>
      </c>
      <c r="H2063" s="81" t="s">
        <v>18</v>
      </c>
      <c r="I2063" s="3">
        <v>20</v>
      </c>
      <c r="J2063" s="3"/>
      <c r="K2063" s="26">
        <v>20</v>
      </c>
      <c r="L2063" s="2">
        <v>39945.199999999997</v>
      </c>
      <c r="M2063" s="2">
        <v>798904</v>
      </c>
      <c r="N2063" s="2">
        <v>798904</v>
      </c>
      <c r="O2063" s="2">
        <v>38182.916700000002</v>
      </c>
      <c r="P2063" s="2">
        <v>-1762.2833000000001</v>
      </c>
      <c r="Q2063" s="2">
        <v>-35245.666700000002</v>
      </c>
      <c r="R2063" s="4">
        <v>-4.6153711838442975E-2</v>
      </c>
      <c r="T2063">
        <v>317695</v>
      </c>
      <c r="U2063" s="2"/>
      <c r="V2063">
        <v>6266</v>
      </c>
      <c r="W2063" s="2">
        <v>6579000000</v>
      </c>
      <c r="X2063" s="6">
        <v>763658.3333399999</v>
      </c>
      <c r="Y2063" s="38">
        <v>10010</v>
      </c>
      <c r="Z2063" s="86">
        <f>+((DETALLE_GD_1[[#This Row],[VALOR X UN (GD)]]-DETALLE_GD_1[[#This Row],[VALOR PPTO]])/DETALLE_GD_1[[#This Row],[VALOR PPTO]])</f>
        <v>4.6153710934293171E-2</v>
      </c>
      <c r="AA2063" s="2">
        <f>+DETALLE_GD_1[[#This Row],[VALOR PPTO]]*DETALLE_GD_1[[#This Row],[CANTIDAD RECIBIDA]]</f>
        <v>763658.33400000003</v>
      </c>
      <c r="AB2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3" s="3">
        <f>+DETALLE_GD_1[[#This Row],[CANTIDAD SOLICITADA]]-DETALLE_GD_1[[#This Row],[DEVOLUCIÓN]]</f>
        <v>20</v>
      </c>
      <c r="AD2063" s="38" t="str">
        <f>+_xlfn.XLOOKUP(DETALLE_GD_1[[#This Row],[CODIGO]],PRODUCTOS[CODIGO],PRODUCTOS[DESC CORTA],"",0)</f>
        <v>FIBROCEMENTO BALCON</v>
      </c>
    </row>
    <row r="2064" spans="1:30" x14ac:dyDescent="0.25">
      <c r="A2064" s="1">
        <v>46178</v>
      </c>
      <c r="B2064" s="1">
        <v>46178</v>
      </c>
      <c r="C2064" s="81" t="s">
        <v>169</v>
      </c>
      <c r="D2064" s="38">
        <v>6</v>
      </c>
      <c r="E2064" s="81" t="s">
        <v>169</v>
      </c>
      <c r="F2064">
        <v>407049</v>
      </c>
      <c r="G2064" s="81" t="s">
        <v>232</v>
      </c>
      <c r="H2064" s="81" t="s">
        <v>31</v>
      </c>
      <c r="I2064" s="3">
        <v>500</v>
      </c>
      <c r="J2064" s="3"/>
      <c r="K2064" s="26">
        <v>500</v>
      </c>
      <c r="L2064" s="2">
        <v>16.202000000000002</v>
      </c>
      <c r="M2064" s="2">
        <v>8101</v>
      </c>
      <c r="N2064" s="2">
        <v>8101</v>
      </c>
      <c r="O2064" s="2">
        <v>16.202200000000001</v>
      </c>
      <c r="P2064" s="2">
        <v>2.0000000000000001E-4</v>
      </c>
      <c r="Q2064" s="2">
        <v>8.1000000000000003E-2</v>
      </c>
      <c r="R2064" s="4">
        <v>9.9986656101544582E-6</v>
      </c>
      <c r="T2064">
        <v>317695</v>
      </c>
      <c r="U2064" s="2"/>
      <c r="V2064">
        <v>6266</v>
      </c>
      <c r="W2064" s="2">
        <v>6579000000</v>
      </c>
      <c r="X2064" s="6">
        <v>8101.081000000001</v>
      </c>
      <c r="Y2064" s="38">
        <v>10010</v>
      </c>
      <c r="Z2064" s="86">
        <f>+((DETALLE_GD_1[[#This Row],[VALOR X UN (GD)]]-DETALLE_GD_1[[#This Row],[VALOR PPTO]])/DETALLE_GD_1[[#This Row],[VALOR PPTO]])</f>
        <v>-1.2344002666275806E-5</v>
      </c>
      <c r="AA2064" s="2">
        <f>+DETALLE_GD_1[[#This Row],[VALOR PPTO]]*DETALLE_GD_1[[#This Row],[CANTIDAD RECIBIDA]]</f>
        <v>8101.1</v>
      </c>
      <c r="AB2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4" s="3">
        <f>+DETALLE_GD_1[[#This Row],[CANTIDAD SOLICITADA]]-DETALLE_GD_1[[#This Row],[DEVOLUCIÓN]]</f>
        <v>500</v>
      </c>
      <c r="AD2064" s="38">
        <f>+_xlfn.XLOOKUP(DETALLE_GD_1[[#This Row],[CODIGO]],PRODUCTOS[CODIGO],PRODUCTOS[DESC CORTA],"",0)</f>
        <v>0</v>
      </c>
    </row>
    <row r="2065" spans="1:30" x14ac:dyDescent="0.25">
      <c r="A2065" s="1">
        <v>46178</v>
      </c>
      <c r="B2065" s="1">
        <v>46178</v>
      </c>
      <c r="C2065" s="81" t="s">
        <v>169</v>
      </c>
      <c r="D2065" s="38">
        <v>6</v>
      </c>
      <c r="E2065" s="81" t="s">
        <v>169</v>
      </c>
      <c r="F2065">
        <v>412281</v>
      </c>
      <c r="G2065" s="81" t="s">
        <v>326</v>
      </c>
      <c r="H2065" s="81" t="s">
        <v>31</v>
      </c>
      <c r="I2065" s="3">
        <v>20</v>
      </c>
      <c r="J2065" s="3"/>
      <c r="K2065" s="26">
        <v>20</v>
      </c>
      <c r="L2065" s="2">
        <v>8951.4500000000007</v>
      </c>
      <c r="M2065" s="2">
        <v>179029</v>
      </c>
      <c r="N2065" s="2">
        <v>179029</v>
      </c>
      <c r="O2065" s="2">
        <v>0</v>
      </c>
      <c r="P2065" s="2">
        <v>-8951.4500000000007</v>
      </c>
      <c r="Q2065" s="2">
        <v>-179029</v>
      </c>
      <c r="R2065" s="4"/>
      <c r="T2065">
        <v>317695</v>
      </c>
      <c r="U2065" s="2"/>
      <c r="V2065">
        <v>6266</v>
      </c>
      <c r="W2065" s="2">
        <v>6579000000</v>
      </c>
      <c r="X2065" s="6">
        <v>0</v>
      </c>
      <c r="Y2065" s="38">
        <v>10010</v>
      </c>
      <c r="Z2065" s="86" t="e">
        <f>+((DETALLE_GD_1[[#This Row],[VALOR X UN (GD)]]-DETALLE_GD_1[[#This Row],[VALOR PPTO]])/DETALLE_GD_1[[#This Row],[VALOR PPTO]])</f>
        <v>#DIV/0!</v>
      </c>
      <c r="AA2065" s="2">
        <f>+DETALLE_GD_1[[#This Row],[VALOR PPTO]]*DETALLE_GD_1[[#This Row],[CANTIDAD RECIBIDA]]</f>
        <v>0</v>
      </c>
      <c r="AB2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5" s="3">
        <f>+DETALLE_GD_1[[#This Row],[CANTIDAD SOLICITADA]]-DETALLE_GD_1[[#This Row],[DEVOLUCIÓN]]</f>
        <v>20</v>
      </c>
      <c r="AD2065" s="38" t="str">
        <f>+_xlfn.XLOOKUP(DETALLE_GD_1[[#This Row],[CODIGO]],PRODUCTOS[CODIGO],PRODUCTOS[DESC CORTA],"",0)</f>
        <v>HOLDOWN TENSIONADOR</v>
      </c>
    </row>
    <row r="2066" spans="1:30" x14ac:dyDescent="0.25">
      <c r="A2066" s="1">
        <v>46178</v>
      </c>
      <c r="B2066" s="1">
        <v>46178</v>
      </c>
      <c r="C2066" s="81" t="s">
        <v>169</v>
      </c>
      <c r="D2066" s="38">
        <v>6</v>
      </c>
      <c r="E2066" s="81" t="s">
        <v>169</v>
      </c>
      <c r="F2066">
        <v>412280</v>
      </c>
      <c r="G2066" s="81" t="s">
        <v>40</v>
      </c>
      <c r="H2066" s="81" t="s">
        <v>31</v>
      </c>
      <c r="I2066" s="3">
        <v>44</v>
      </c>
      <c r="J2066" s="3"/>
      <c r="K2066" s="26">
        <v>44</v>
      </c>
      <c r="L2066" s="2">
        <v>38154.568200000002</v>
      </c>
      <c r="M2066" s="2">
        <v>1678801</v>
      </c>
      <c r="N2066" s="2">
        <v>1678801</v>
      </c>
      <c r="O2066" s="2">
        <v>40002.920100000003</v>
      </c>
      <c r="P2066" s="2">
        <v>1848.3518999999999</v>
      </c>
      <c r="Q2066" s="2">
        <v>81327.484100000001</v>
      </c>
      <c r="R2066" s="4">
        <v>4.6205424676116449E-2</v>
      </c>
      <c r="T2066">
        <v>317695</v>
      </c>
      <c r="U2066" s="2"/>
      <c r="V2066">
        <v>6266</v>
      </c>
      <c r="W2066" s="2">
        <v>6579000000</v>
      </c>
      <c r="X2066" s="6">
        <v>1760128.4840919999</v>
      </c>
      <c r="Y2066" s="38">
        <v>10010</v>
      </c>
      <c r="Z2066" s="86">
        <f>+((DETALLE_GD_1[[#This Row],[VALOR X UN (GD)]]-DETALLE_GD_1[[#This Row],[VALOR PPTO]])/DETALLE_GD_1[[#This Row],[VALOR PPTO]])</f>
        <v>-4.6205424388506111E-2</v>
      </c>
      <c r="AA2066" s="2">
        <f>+DETALLE_GD_1[[#This Row],[VALOR PPTO]]*DETALLE_GD_1[[#This Row],[CANTIDAD RECIBIDA]]</f>
        <v>1760128.4844000002</v>
      </c>
      <c r="AB20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66" s="3">
        <f>+DETALLE_GD_1[[#This Row],[CANTIDAD SOLICITADA]]-DETALLE_GD_1[[#This Row],[DEVOLUCIÓN]]</f>
        <v>44</v>
      </c>
      <c r="AD2066" s="38" t="str">
        <f>+_xlfn.XLOOKUP(DETALLE_GD_1[[#This Row],[CODIGO]],PRODUCTOS[CODIGO],PRODUCTOS[DESC CORTA],"",0)</f>
        <v>PB2</v>
      </c>
    </row>
    <row r="2067" spans="1:30" x14ac:dyDescent="0.25">
      <c r="A2067" s="1">
        <v>46178</v>
      </c>
      <c r="B2067" s="1">
        <v>46178</v>
      </c>
      <c r="C2067" s="81" t="s">
        <v>169</v>
      </c>
      <c r="D2067" s="38">
        <v>6</v>
      </c>
      <c r="E2067" s="81" t="s">
        <v>169</v>
      </c>
      <c r="F2067">
        <v>304049</v>
      </c>
      <c r="G2067" s="81" t="s">
        <v>318</v>
      </c>
      <c r="H2067" s="81" t="s">
        <v>18</v>
      </c>
      <c r="I2067" s="3">
        <v>130</v>
      </c>
      <c r="J2067" s="3"/>
      <c r="K2067" s="26">
        <v>130</v>
      </c>
      <c r="L2067" s="2">
        <v>14981.223099999999</v>
      </c>
      <c r="M2067" s="2">
        <v>1947559</v>
      </c>
      <c r="N2067" s="2">
        <v>1947559</v>
      </c>
      <c r="O2067" s="2">
        <v>14982</v>
      </c>
      <c r="P2067" s="2">
        <v>0.77690000000000003</v>
      </c>
      <c r="Q2067" s="2">
        <v>101</v>
      </c>
      <c r="R2067" s="4">
        <v>5.1857100314738323E-5</v>
      </c>
      <c r="T2067">
        <v>317695</v>
      </c>
      <c r="U2067" s="2"/>
      <c r="V2067">
        <v>6266</v>
      </c>
      <c r="W2067" s="2">
        <v>6579000000</v>
      </c>
      <c r="X2067" s="6">
        <v>1947659.9999999993</v>
      </c>
      <c r="Y2067" s="38">
        <v>10010</v>
      </c>
      <c r="Z2067" s="86">
        <f>+((DETALLE_GD_1[[#This Row],[VALOR X UN (GD)]]-DETALLE_GD_1[[#This Row],[VALOR PPTO]])/DETALLE_GD_1[[#This Row],[VALOR PPTO]])</f>
        <v>-5.1855560005389863E-5</v>
      </c>
      <c r="AA2067" s="2">
        <f>+DETALLE_GD_1[[#This Row],[VALOR PPTO]]*DETALLE_GD_1[[#This Row],[CANTIDAD RECIBIDA]]</f>
        <v>1947660</v>
      </c>
      <c r="AB20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67" s="3">
        <f>+DETALLE_GD_1[[#This Row],[CANTIDAD SOLICITADA]]-DETALLE_GD_1[[#This Row],[DEVOLUCIÓN]]</f>
        <v>130</v>
      </c>
      <c r="AD2067" s="38" t="str">
        <f>+_xlfn.XLOOKUP(DETALLE_GD_1[[#This Row],[CODIGO]],PRODUCTOS[CODIGO],PRODUCTOS[DESC CORTA],"",0)</f>
        <v>TERCIADO FENOLICO</v>
      </c>
    </row>
    <row r="2068" spans="1:30" x14ac:dyDescent="0.25">
      <c r="A2068" s="1">
        <v>46178</v>
      </c>
      <c r="B2068" s="1">
        <v>46178</v>
      </c>
      <c r="C2068" s="81" t="s">
        <v>169</v>
      </c>
      <c r="D2068" s="38">
        <v>6</v>
      </c>
      <c r="E2068" s="81" t="s">
        <v>169</v>
      </c>
      <c r="F2068" t="s">
        <v>231</v>
      </c>
      <c r="G2068" s="81" t="s">
        <v>180</v>
      </c>
      <c r="H2068" s="81" t="s">
        <v>36</v>
      </c>
      <c r="I2068" s="3">
        <v>6</v>
      </c>
      <c r="J2068" s="3"/>
      <c r="K2068" s="26">
        <v>6</v>
      </c>
      <c r="L2068" s="2">
        <v>51255.333299999998</v>
      </c>
      <c r="M2068" s="2">
        <v>307532</v>
      </c>
      <c r="N2068" s="2">
        <v>307532</v>
      </c>
      <c r="O2068" s="2">
        <v>55858.301899999999</v>
      </c>
      <c r="P2068" s="2">
        <v>4602.9686000000002</v>
      </c>
      <c r="Q2068" s="2">
        <v>27617.811300000001</v>
      </c>
      <c r="R2068" s="4">
        <v>8.2404376756356715E-2</v>
      </c>
      <c r="T2068">
        <v>317695</v>
      </c>
      <c r="U2068" s="2"/>
      <c r="V2068">
        <v>6266</v>
      </c>
      <c r="W2068" s="2">
        <v>6579000000</v>
      </c>
      <c r="X2068" s="6">
        <v>335149.81132199999</v>
      </c>
      <c r="Y2068" s="38">
        <v>10010</v>
      </c>
      <c r="Z2068" s="86">
        <f>+((DETALLE_GD_1[[#This Row],[VALOR X UN (GD)]]-DETALLE_GD_1[[#This Row],[VALOR PPTO]])/DETALLE_GD_1[[#This Row],[VALOR PPTO]])</f>
        <v>-8.240437756665854E-2</v>
      </c>
      <c r="AA2068" s="2">
        <f>+DETALLE_GD_1[[#This Row],[VALOR PPTO]]*DETALLE_GD_1[[#This Row],[CANTIDAD RECIBIDA]]</f>
        <v>335149.81140000001</v>
      </c>
      <c r="AB2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8" s="3">
        <f>+DETALLE_GD_1[[#This Row],[CANTIDAD SOLICITADA]]-DETALLE_GD_1[[#This Row],[DEVOLUCIÓN]]</f>
        <v>6</v>
      </c>
      <c r="AD2068" s="38">
        <f>+_xlfn.XLOOKUP(DETALLE_GD_1[[#This Row],[CODIGO]],PRODUCTOS[CODIGO],PRODUCTOS[DESC CORTA],"",0)</f>
        <v>0</v>
      </c>
    </row>
    <row r="2069" spans="1:30" x14ac:dyDescent="0.25">
      <c r="A2069" s="1">
        <v>46178</v>
      </c>
      <c r="B2069" s="1">
        <v>46178</v>
      </c>
      <c r="C2069" s="81" t="s">
        <v>169</v>
      </c>
      <c r="D2069" s="38">
        <v>6</v>
      </c>
      <c r="E2069" s="81" t="s">
        <v>169</v>
      </c>
      <c r="F2069">
        <v>2302098</v>
      </c>
      <c r="G2069" s="81" t="s">
        <v>24</v>
      </c>
      <c r="H2069" s="81" t="s">
        <v>25</v>
      </c>
      <c r="I2069" s="3">
        <v>6</v>
      </c>
      <c r="J2069" s="3"/>
      <c r="K2069" s="26">
        <v>6</v>
      </c>
      <c r="L2069" s="2">
        <v>21213</v>
      </c>
      <c r="M2069" s="2">
        <v>127278</v>
      </c>
      <c r="N2069" s="2">
        <v>127278</v>
      </c>
      <c r="O2069" s="2">
        <v>21213</v>
      </c>
      <c r="P2069" s="2">
        <v>0</v>
      </c>
      <c r="Q2069" s="2">
        <v>0</v>
      </c>
      <c r="R2069" s="4">
        <v>-1.7149761029050001E-16</v>
      </c>
      <c r="T2069">
        <v>317695</v>
      </c>
      <c r="U2069" s="2"/>
      <c r="V2069">
        <v>6266</v>
      </c>
      <c r="W2069" s="2">
        <v>6579000000</v>
      </c>
      <c r="X2069" s="6">
        <v>127277.99999999996</v>
      </c>
      <c r="Y2069" s="38">
        <v>10010</v>
      </c>
      <c r="Z2069" s="86">
        <f>+((DETALLE_GD_1[[#This Row],[VALOR X UN (GD)]]-DETALLE_GD_1[[#This Row],[VALOR PPTO]])/DETALLE_GD_1[[#This Row],[VALOR PPTO]])</f>
        <v>0</v>
      </c>
      <c r="AA2069" s="2">
        <f>+DETALLE_GD_1[[#This Row],[VALOR PPTO]]*DETALLE_GD_1[[#This Row],[CANTIDAD RECIBIDA]]</f>
        <v>127278</v>
      </c>
      <c r="AB2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9" s="3">
        <f>+DETALLE_GD_1[[#This Row],[CANTIDAD SOLICITADA]]-DETALLE_GD_1[[#This Row],[DEVOLUCIÓN]]</f>
        <v>6</v>
      </c>
      <c r="AD2069" s="38" t="str">
        <f>+_xlfn.XLOOKUP(DETALLE_GD_1[[#This Row],[CODIGO]],PRODUCTOS[CODIGO],PRODUCTOS[DESC CORTA],"",0)</f>
        <v>COLA FRIA</v>
      </c>
    </row>
    <row r="2070" spans="1:30" x14ac:dyDescent="0.25">
      <c r="A2070" s="1">
        <v>46178</v>
      </c>
      <c r="B2070" s="1">
        <v>46178</v>
      </c>
      <c r="C2070" s="81" t="s">
        <v>169</v>
      </c>
      <c r="D2070" s="38">
        <v>6</v>
      </c>
      <c r="E2070" s="81" t="s">
        <v>169</v>
      </c>
      <c r="F2070">
        <v>1103088</v>
      </c>
      <c r="G2070" s="81" t="s">
        <v>1601</v>
      </c>
      <c r="H2070" s="81" t="s">
        <v>31</v>
      </c>
      <c r="I2070" s="3">
        <v>32</v>
      </c>
      <c r="J2070" s="3"/>
      <c r="K2070" s="26">
        <v>32</v>
      </c>
      <c r="L2070" s="2">
        <v>3134</v>
      </c>
      <c r="M2070" s="2">
        <v>100288</v>
      </c>
      <c r="N2070" s="2">
        <v>100288</v>
      </c>
      <c r="O2070" s="2">
        <v>3134</v>
      </c>
      <c r="P2070" s="2">
        <v>0</v>
      </c>
      <c r="Q2070" s="2">
        <v>0</v>
      </c>
      <c r="R2070" s="4">
        <v>0</v>
      </c>
      <c r="T2070">
        <v>317695</v>
      </c>
      <c r="U2070" s="2"/>
      <c r="V2070">
        <v>6266</v>
      </c>
      <c r="W2070" s="2">
        <v>6579000000</v>
      </c>
      <c r="X2070" s="6">
        <v>100288</v>
      </c>
      <c r="Y2070" s="38">
        <v>10010</v>
      </c>
      <c r="Z2070" s="86">
        <f>+((DETALLE_GD_1[[#This Row],[VALOR X UN (GD)]]-DETALLE_GD_1[[#This Row],[VALOR PPTO]])/DETALLE_GD_1[[#This Row],[VALOR PPTO]])</f>
        <v>0</v>
      </c>
      <c r="AA2070" s="2">
        <f>+DETALLE_GD_1[[#This Row],[VALOR PPTO]]*DETALLE_GD_1[[#This Row],[CANTIDAD RECIBIDA]]</f>
        <v>100288</v>
      </c>
      <c r="AB2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0" s="3">
        <f>+DETALLE_GD_1[[#This Row],[CANTIDAD SOLICITADA]]-DETALLE_GD_1[[#This Row],[DEVOLUCIÓN]]</f>
        <v>32</v>
      </c>
      <c r="AD2070" s="38" t="str">
        <f>+_xlfn.XLOOKUP(DETALLE_GD_1[[#This Row],[CODIGO]],PRODUCTOS[CODIGO],PRODUCTOS[DESC CORTA],"",0)</f>
        <v>E</v>
      </c>
    </row>
    <row r="2071" spans="1:30" x14ac:dyDescent="0.25">
      <c r="A2071" s="1">
        <v>46178</v>
      </c>
      <c r="B2071" s="1">
        <v>46178</v>
      </c>
      <c r="C2071" s="81" t="s">
        <v>169</v>
      </c>
      <c r="D2071" s="38">
        <v>6</v>
      </c>
      <c r="E2071" s="81" t="s">
        <v>169</v>
      </c>
      <c r="F2071">
        <v>1103087</v>
      </c>
      <c r="G2071" s="81" t="s">
        <v>561</v>
      </c>
      <c r="H2071" s="81" t="s">
        <v>31</v>
      </c>
      <c r="I2071" s="3">
        <v>16</v>
      </c>
      <c r="J2071" s="3"/>
      <c r="K2071" s="26">
        <v>16</v>
      </c>
      <c r="L2071" s="2">
        <v>9840.75</v>
      </c>
      <c r="M2071" s="2">
        <v>157452</v>
      </c>
      <c r="N2071" s="2">
        <v>157452</v>
      </c>
      <c r="O2071" s="2">
        <v>9841</v>
      </c>
      <c r="P2071" s="2">
        <v>0.25</v>
      </c>
      <c r="Q2071" s="2">
        <v>4</v>
      </c>
      <c r="R2071" s="4">
        <v>2.540392236561325E-5</v>
      </c>
      <c r="T2071">
        <v>317695</v>
      </c>
      <c r="U2071" s="2"/>
      <c r="V2071">
        <v>6266</v>
      </c>
      <c r="W2071" s="2">
        <v>6579000000</v>
      </c>
      <c r="X2071" s="6">
        <v>157456</v>
      </c>
      <c r="Y2071" s="38">
        <v>10010</v>
      </c>
      <c r="Z2071" s="86">
        <f>+((DETALLE_GD_1[[#This Row],[VALOR X UN (GD)]]-DETALLE_GD_1[[#This Row],[VALOR PPTO]])/DETALLE_GD_1[[#This Row],[VALOR PPTO]])</f>
        <v>-2.540392236561325E-5</v>
      </c>
      <c r="AA2071" s="2">
        <f>+DETALLE_GD_1[[#This Row],[VALOR PPTO]]*DETALLE_GD_1[[#This Row],[CANTIDAD RECIBIDA]]</f>
        <v>157456</v>
      </c>
      <c r="AB2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1" s="3">
        <f>+DETALLE_GD_1[[#This Row],[CANTIDAD SOLICITADA]]-DETALLE_GD_1[[#This Row],[DEVOLUCIÓN]]</f>
        <v>16</v>
      </c>
      <c r="AD2071" s="38" t="str">
        <f>+_xlfn.XLOOKUP(DETALLE_GD_1[[#This Row],[CODIGO]],PRODUCTOS[CODIGO],PRODUCTOS[DESC CORTA],"",0)</f>
        <v>E</v>
      </c>
    </row>
    <row r="2072" spans="1:30" x14ac:dyDescent="0.25">
      <c r="A2072" s="1">
        <v>46178</v>
      </c>
      <c r="B2072" s="1">
        <v>46178</v>
      </c>
      <c r="C2072" s="81" t="s">
        <v>169</v>
      </c>
      <c r="D2072" s="38">
        <v>6</v>
      </c>
      <c r="E2072" s="81" t="s">
        <v>169</v>
      </c>
      <c r="F2072">
        <v>1103086</v>
      </c>
      <c r="G2072" s="81" t="s">
        <v>560</v>
      </c>
      <c r="H2072" s="81" t="s">
        <v>31</v>
      </c>
      <c r="I2072" s="3">
        <v>16</v>
      </c>
      <c r="J2072" s="3"/>
      <c r="K2072" s="26">
        <v>16</v>
      </c>
      <c r="L2072" s="2">
        <v>10465.625</v>
      </c>
      <c r="M2072" s="2">
        <v>167450</v>
      </c>
      <c r="N2072" s="2">
        <v>167450</v>
      </c>
      <c r="O2072" s="2">
        <v>10466</v>
      </c>
      <c r="P2072" s="2">
        <v>0.375</v>
      </c>
      <c r="Q2072" s="2">
        <v>6</v>
      </c>
      <c r="R2072" s="4">
        <v>3.5830307662908463E-5</v>
      </c>
      <c r="T2072">
        <v>317695</v>
      </c>
      <c r="U2072" s="2"/>
      <c r="V2072">
        <v>6266</v>
      </c>
      <c r="W2072" s="2">
        <v>6579000000</v>
      </c>
      <c r="X2072" s="6">
        <v>167456</v>
      </c>
      <c r="Y2072" s="38">
        <v>10010</v>
      </c>
      <c r="Z2072" s="86">
        <f>+((DETALLE_GD_1[[#This Row],[VALOR X UN (GD)]]-DETALLE_GD_1[[#This Row],[VALOR PPTO]])/DETALLE_GD_1[[#This Row],[VALOR PPTO]])</f>
        <v>-3.5830307662908463E-5</v>
      </c>
      <c r="AA2072" s="2">
        <f>+DETALLE_GD_1[[#This Row],[VALOR PPTO]]*DETALLE_GD_1[[#This Row],[CANTIDAD RECIBIDA]]</f>
        <v>167456</v>
      </c>
      <c r="AB2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2" s="3">
        <f>+DETALLE_GD_1[[#This Row],[CANTIDAD SOLICITADA]]-DETALLE_GD_1[[#This Row],[DEVOLUCIÓN]]</f>
        <v>16</v>
      </c>
      <c r="AD2072" s="38" t="str">
        <f>+_xlfn.XLOOKUP(DETALLE_GD_1[[#This Row],[CODIGO]],PRODUCTOS[CODIGO],PRODUCTOS[DESC CORTA],"",0)</f>
        <v>E</v>
      </c>
    </row>
    <row r="2073" spans="1:30" x14ac:dyDescent="0.25">
      <c r="A2073" s="1">
        <v>46178</v>
      </c>
      <c r="B2073" s="1">
        <v>46178</v>
      </c>
      <c r="C2073" s="81" t="s">
        <v>169</v>
      </c>
      <c r="D2073" s="38">
        <v>6</v>
      </c>
      <c r="E2073" s="81" t="s">
        <v>169</v>
      </c>
      <c r="F2073">
        <v>705028</v>
      </c>
      <c r="G2073" s="81" t="s">
        <v>72</v>
      </c>
      <c r="H2073" s="81" t="s">
        <v>18</v>
      </c>
      <c r="I2073" s="3">
        <v>20</v>
      </c>
      <c r="J2073" s="3"/>
      <c r="K2073" s="26">
        <v>20</v>
      </c>
      <c r="L2073" s="2">
        <v>22782</v>
      </c>
      <c r="M2073" s="2">
        <v>455640</v>
      </c>
      <c r="N2073" s="2">
        <v>455640</v>
      </c>
      <c r="O2073" s="2">
        <v>22927.086200000002</v>
      </c>
      <c r="P2073" s="2">
        <v>145.08619999999999</v>
      </c>
      <c r="Q2073" s="2">
        <v>2901.7240999999999</v>
      </c>
      <c r="R2073" s="4">
        <v>6.3281572586272733E-3</v>
      </c>
      <c r="T2073">
        <v>317693</v>
      </c>
      <c r="U2073" s="2">
        <v>2692796</v>
      </c>
      <c r="V2073">
        <v>6266</v>
      </c>
      <c r="W2073" s="2">
        <v>6579000000</v>
      </c>
      <c r="X2073" s="6">
        <v>458541.72414000001</v>
      </c>
      <c r="Y2073" s="38">
        <v>10010</v>
      </c>
      <c r="Z2073" s="86">
        <f>+((DETALLE_GD_1[[#This Row],[VALOR X UN (GD)]]-DETALLE_GD_1[[#This Row],[VALOR PPTO]])/DETALLE_GD_1[[#This Row],[VALOR PPTO]])</f>
        <v>-6.3281569552436868E-3</v>
      </c>
      <c r="AA2073" s="2">
        <f>+DETALLE_GD_1[[#This Row],[VALOR PPTO]]*DETALLE_GD_1[[#This Row],[CANTIDAD RECIBIDA]]</f>
        <v>458541.72400000005</v>
      </c>
      <c r="AB20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73" s="3">
        <f>+DETALLE_GD_1[[#This Row],[CANTIDAD SOLICITADA]]-DETALLE_GD_1[[#This Row],[DEVOLUCIÓN]]</f>
        <v>20</v>
      </c>
      <c r="AD2073" s="38" t="str">
        <f>+_xlfn.XLOOKUP(DETALLE_GD_1[[#This Row],[CODIGO]],PRODUCTOS[CODIGO],PRODUCTOS[DESC CORTA],"",0)</f>
        <v>SIMPLISIMA</v>
      </c>
    </row>
    <row r="2074" spans="1:30" x14ac:dyDescent="0.25">
      <c r="A2074" s="1">
        <v>46178</v>
      </c>
      <c r="B2074" s="1">
        <v>46178</v>
      </c>
      <c r="C2074" s="81" t="s">
        <v>169</v>
      </c>
      <c r="D2074" s="38">
        <v>6</v>
      </c>
      <c r="E2074" s="81" t="s">
        <v>169</v>
      </c>
      <c r="F2074">
        <v>907031</v>
      </c>
      <c r="G2074" s="81" t="s">
        <v>256</v>
      </c>
      <c r="H2074" s="81" t="s">
        <v>47</v>
      </c>
      <c r="I2074" s="3">
        <v>10</v>
      </c>
      <c r="J2074" s="3"/>
      <c r="K2074" s="26">
        <v>10</v>
      </c>
      <c r="L2074" s="2">
        <v>152881.5</v>
      </c>
      <c r="M2074" s="2">
        <v>1528815</v>
      </c>
      <c r="N2074" s="2">
        <v>1528815</v>
      </c>
      <c r="O2074" s="2">
        <v>156269.1667</v>
      </c>
      <c r="P2074" s="2">
        <v>3387.6667000000002</v>
      </c>
      <c r="Q2074" s="2">
        <v>33876.666700000002</v>
      </c>
      <c r="R2074" s="4">
        <v>2.1678407450773384E-2</v>
      </c>
      <c r="T2074">
        <v>317693</v>
      </c>
      <c r="U2074" s="2"/>
      <c r="V2074">
        <v>6266</v>
      </c>
      <c r="W2074" s="2">
        <v>6579000000</v>
      </c>
      <c r="X2074" s="6">
        <v>1562691.6666700004</v>
      </c>
      <c r="Y2074" s="38">
        <v>10010</v>
      </c>
      <c r="Z2074" s="86">
        <f>+((DETALLE_GD_1[[#This Row],[VALOR X UN (GD)]]-DETALLE_GD_1[[#This Row],[VALOR PPTO]])/DETALLE_GD_1[[#This Row],[VALOR PPTO]])</f>
        <v>-2.1678407657369312E-2</v>
      </c>
      <c r="AA2074" s="2">
        <f>+DETALLE_GD_1[[#This Row],[VALOR PPTO]]*DETALLE_GD_1[[#This Row],[CANTIDAD RECIBIDA]]</f>
        <v>1562691.6669999999</v>
      </c>
      <c r="AB20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74" s="3">
        <f>+DETALLE_GD_1[[#This Row],[CANTIDAD SOLICITADA]]-DETALLE_GD_1[[#This Row],[DEVOLUCIÓN]]</f>
        <v>10</v>
      </c>
      <c r="AD2074" s="38" t="str">
        <f>+_xlfn.XLOOKUP(DETALLE_GD_1[[#This Row],[CODIGO]],PRODUCTOS[CODIGO],PRODUCTOS[DESC CORTA],"",0)</f>
        <v>MEMBRANA PVC</v>
      </c>
    </row>
    <row r="2075" spans="1:30" x14ac:dyDescent="0.25">
      <c r="A2075" s="1">
        <v>46178</v>
      </c>
      <c r="B2075" s="1">
        <v>46178</v>
      </c>
      <c r="C2075" s="81" t="s">
        <v>169</v>
      </c>
      <c r="D2075" s="38">
        <v>6</v>
      </c>
      <c r="E2075" s="81" t="s">
        <v>169</v>
      </c>
      <c r="F2075">
        <v>1801735</v>
      </c>
      <c r="G2075" s="81" t="s">
        <v>73</v>
      </c>
      <c r="H2075" s="81" t="s">
        <v>31</v>
      </c>
      <c r="I2075" s="3">
        <v>4</v>
      </c>
      <c r="J2075" s="3"/>
      <c r="K2075" s="26">
        <v>4</v>
      </c>
      <c r="L2075" s="2">
        <v>3781</v>
      </c>
      <c r="M2075" s="2">
        <v>15124</v>
      </c>
      <c r="N2075" s="2">
        <v>15124</v>
      </c>
      <c r="O2075" s="2">
        <v>3495</v>
      </c>
      <c r="P2075" s="2">
        <v>-286</v>
      </c>
      <c r="Q2075" s="2">
        <v>-1144</v>
      </c>
      <c r="R2075" s="4">
        <v>-8.1831187410586551E-2</v>
      </c>
      <c r="T2075">
        <v>317693</v>
      </c>
      <c r="U2075" s="2"/>
      <c r="V2075">
        <v>6266</v>
      </c>
      <c r="W2075" s="2">
        <v>6579000000</v>
      </c>
      <c r="X2075" s="6">
        <v>13980</v>
      </c>
      <c r="Y2075" s="38">
        <v>10010</v>
      </c>
      <c r="Z2075" s="86">
        <f>+((DETALLE_GD_1[[#This Row],[VALOR X UN (GD)]]-DETALLE_GD_1[[#This Row],[VALOR PPTO]])/DETALLE_GD_1[[#This Row],[VALOR PPTO]])</f>
        <v>8.1831187410586551E-2</v>
      </c>
      <c r="AA2075" s="2">
        <f>+DETALLE_GD_1[[#This Row],[VALOR PPTO]]*DETALLE_GD_1[[#This Row],[CANTIDAD RECIBIDA]]</f>
        <v>13980</v>
      </c>
      <c r="AB2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5" s="3">
        <f>+DETALLE_GD_1[[#This Row],[CANTIDAD SOLICITADA]]-DETALLE_GD_1[[#This Row],[DEVOLUCIÓN]]</f>
        <v>4</v>
      </c>
      <c r="AD2075" s="38" t="str">
        <f>+_xlfn.XLOOKUP(DETALLE_GD_1[[#This Row],[CODIGO]],PRODUCTOS[CODIGO],PRODUCTOS[DESC CORTA],"",0)</f>
        <v>BURLETE PVC</v>
      </c>
    </row>
    <row r="2076" spans="1:30" x14ac:dyDescent="0.25">
      <c r="A2076" s="1">
        <v>46178</v>
      </c>
      <c r="B2076" s="1">
        <v>46178</v>
      </c>
      <c r="C2076" s="81" t="s">
        <v>169</v>
      </c>
      <c r="D2076" s="38">
        <v>6</v>
      </c>
      <c r="E2076" s="81" t="s">
        <v>169</v>
      </c>
      <c r="F2076">
        <v>2304056</v>
      </c>
      <c r="G2076" s="81" t="s">
        <v>417</v>
      </c>
      <c r="H2076" s="81" t="s">
        <v>31</v>
      </c>
      <c r="I2076" s="3">
        <v>12</v>
      </c>
      <c r="J2076" s="3"/>
      <c r="K2076" s="26">
        <v>12</v>
      </c>
      <c r="L2076" s="2">
        <v>3163.0832999999998</v>
      </c>
      <c r="M2076" s="2">
        <v>37957</v>
      </c>
      <c r="N2076" s="2">
        <v>37957</v>
      </c>
      <c r="O2076" s="2">
        <v>2979</v>
      </c>
      <c r="P2076" s="2">
        <v>-184.08330000000001</v>
      </c>
      <c r="Q2076" s="2">
        <v>-2209</v>
      </c>
      <c r="R2076" s="4">
        <v>-6.1793666778561088E-2</v>
      </c>
      <c r="T2076">
        <v>317693</v>
      </c>
      <c r="U2076" s="2"/>
      <c r="V2076">
        <v>6266</v>
      </c>
      <c r="W2076" s="2">
        <v>6579000000</v>
      </c>
      <c r="X2076" s="6">
        <v>35748</v>
      </c>
      <c r="Y2076" s="38">
        <v>10010</v>
      </c>
      <c r="Z2076" s="86">
        <f>+((DETALLE_GD_1[[#This Row],[VALOR X UN (GD)]]-DETALLE_GD_1[[#This Row],[VALOR PPTO]])/DETALLE_GD_1[[#This Row],[VALOR PPTO]])</f>
        <v>6.1793655589123794E-2</v>
      </c>
      <c r="AA2076" s="2">
        <f>+DETALLE_GD_1[[#This Row],[VALOR PPTO]]*DETALLE_GD_1[[#This Row],[CANTIDAD RECIBIDA]]</f>
        <v>35748</v>
      </c>
      <c r="AB2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6" s="3">
        <f>+DETALLE_GD_1[[#This Row],[CANTIDAD SOLICITADA]]-DETALLE_GD_1[[#This Row],[DEVOLUCIÓN]]</f>
        <v>12</v>
      </c>
      <c r="AD2076" s="38" t="str">
        <f>+_xlfn.XLOOKUP(DETALLE_GD_1[[#This Row],[CODIGO]],PRODUCTOS[CODIGO],PRODUCTOS[DESC CORTA],"",0)</f>
        <v/>
      </c>
    </row>
    <row r="2077" spans="1:30" x14ac:dyDescent="0.25">
      <c r="A2077" s="1">
        <v>46178</v>
      </c>
      <c r="B2077" s="1">
        <v>46178</v>
      </c>
      <c r="C2077" s="81" t="s">
        <v>169</v>
      </c>
      <c r="D2077" s="38">
        <v>6</v>
      </c>
      <c r="E2077" s="81" t="s">
        <v>169</v>
      </c>
      <c r="F2077">
        <v>2304053</v>
      </c>
      <c r="G2077" s="81" t="s">
        <v>213</v>
      </c>
      <c r="H2077" s="81" t="s">
        <v>31</v>
      </c>
      <c r="I2077" s="3">
        <v>24</v>
      </c>
      <c r="J2077" s="3"/>
      <c r="K2077" s="26">
        <v>24</v>
      </c>
      <c r="L2077" s="2">
        <v>1046.5</v>
      </c>
      <c r="M2077" s="2">
        <v>25116</v>
      </c>
      <c r="N2077" s="2">
        <v>25116</v>
      </c>
      <c r="O2077" s="2">
        <v>862</v>
      </c>
      <c r="P2077" s="2">
        <v>-184.5</v>
      </c>
      <c r="Q2077" s="2">
        <v>-4428</v>
      </c>
      <c r="R2077" s="4">
        <v>-0.21403712296983743</v>
      </c>
      <c r="T2077">
        <v>317693</v>
      </c>
      <c r="U2077" s="2"/>
      <c r="V2077">
        <v>6266</v>
      </c>
      <c r="W2077" s="2">
        <v>6579000000</v>
      </c>
      <c r="X2077" s="6">
        <v>20688.000000000004</v>
      </c>
      <c r="Y2077" s="38">
        <v>10010</v>
      </c>
      <c r="Z2077" s="86">
        <f>+((DETALLE_GD_1[[#This Row],[VALOR X UN (GD)]]-DETALLE_GD_1[[#This Row],[VALOR PPTO]])/DETALLE_GD_1[[#This Row],[VALOR PPTO]])</f>
        <v>0.2140371229698376</v>
      </c>
      <c r="AA2077" s="2">
        <f>+DETALLE_GD_1[[#This Row],[VALOR PPTO]]*DETALLE_GD_1[[#This Row],[CANTIDAD RECIBIDA]]</f>
        <v>20688</v>
      </c>
      <c r="AB2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7" s="3">
        <f>+DETALLE_GD_1[[#This Row],[CANTIDAD SOLICITADA]]-DETALLE_GD_1[[#This Row],[DEVOLUCIÓN]]</f>
        <v>24</v>
      </c>
      <c r="AD2077" s="38">
        <f>+_xlfn.XLOOKUP(DETALLE_GD_1[[#This Row],[CODIGO]],PRODUCTOS[CODIGO],PRODUCTOS[DESC CORTA],"",0)</f>
        <v>0</v>
      </c>
    </row>
    <row r="2078" spans="1:30" x14ac:dyDescent="0.25">
      <c r="A2078" s="1">
        <v>46178</v>
      </c>
      <c r="B2078" s="1">
        <v>46178</v>
      </c>
      <c r="C2078" s="81" t="s">
        <v>169</v>
      </c>
      <c r="D2078" s="38">
        <v>6</v>
      </c>
      <c r="E2078" s="81" t="s">
        <v>169</v>
      </c>
      <c r="F2078">
        <v>2508994</v>
      </c>
      <c r="G2078" s="81" t="s">
        <v>488</v>
      </c>
      <c r="H2078" s="81" t="s">
        <v>31</v>
      </c>
      <c r="I2078" s="3">
        <v>3</v>
      </c>
      <c r="J2078" s="3"/>
      <c r="K2078" s="26">
        <v>3</v>
      </c>
      <c r="L2078" s="2">
        <v>1691.3333</v>
      </c>
      <c r="M2078" s="2">
        <v>5074</v>
      </c>
      <c r="N2078" s="2">
        <v>5074</v>
      </c>
      <c r="O2078" s="2">
        <v>1598</v>
      </c>
      <c r="P2078" s="2">
        <v>-93.333299999999994</v>
      </c>
      <c r="Q2078" s="2">
        <v>-280</v>
      </c>
      <c r="R2078" s="4">
        <v>-5.8406341259908179E-2</v>
      </c>
      <c r="T2078">
        <v>317693</v>
      </c>
      <c r="U2078" s="2"/>
      <c r="V2078">
        <v>6266</v>
      </c>
      <c r="W2078" s="2">
        <v>6579000000</v>
      </c>
      <c r="X2078" s="6">
        <v>4794</v>
      </c>
      <c r="Y2078" s="38">
        <v>10010</v>
      </c>
      <c r="Z2078" s="86">
        <f>+((DETALLE_GD_1[[#This Row],[VALOR X UN (GD)]]-DETALLE_GD_1[[#This Row],[VALOR PPTO]])/DETALLE_GD_1[[#This Row],[VALOR PPTO]])</f>
        <v>5.840632040050063E-2</v>
      </c>
      <c r="AA2078" s="2">
        <f>+DETALLE_GD_1[[#This Row],[VALOR PPTO]]*DETALLE_GD_1[[#This Row],[CANTIDAD RECIBIDA]]</f>
        <v>4794</v>
      </c>
      <c r="AB2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8" s="3">
        <f>+DETALLE_GD_1[[#This Row],[CANTIDAD SOLICITADA]]-DETALLE_GD_1[[#This Row],[DEVOLUCIÓN]]</f>
        <v>3</v>
      </c>
      <c r="AD2078" s="38" t="str">
        <f>+_xlfn.XLOOKUP(DETALLE_GD_1[[#This Row],[CODIGO]],PRODUCTOS[CODIGO],PRODUCTOS[DESC CORTA],"",0)</f>
        <v>CUADRADILLO EXPANSION 8X</v>
      </c>
    </row>
    <row r="2079" spans="1:30" x14ac:dyDescent="0.25">
      <c r="A2079" s="1">
        <v>46178</v>
      </c>
      <c r="B2079" s="1">
        <v>46178</v>
      </c>
      <c r="C2079" s="81" t="s">
        <v>169</v>
      </c>
      <c r="D2079" s="38">
        <v>6</v>
      </c>
      <c r="E2079" s="81" t="s">
        <v>169</v>
      </c>
      <c r="F2079">
        <v>2508993</v>
      </c>
      <c r="G2079" s="81" t="s">
        <v>487</v>
      </c>
      <c r="H2079" s="81" t="s">
        <v>31</v>
      </c>
      <c r="I2079" s="3">
        <v>5</v>
      </c>
      <c r="J2079" s="3"/>
      <c r="K2079" s="26">
        <v>5</v>
      </c>
      <c r="L2079" s="2">
        <v>1461.6</v>
      </c>
      <c r="M2079" s="2">
        <v>7308</v>
      </c>
      <c r="N2079" s="2">
        <v>7308</v>
      </c>
      <c r="O2079" s="2">
        <v>1410</v>
      </c>
      <c r="P2079" s="2">
        <v>-51.6</v>
      </c>
      <c r="Q2079" s="2">
        <v>-258</v>
      </c>
      <c r="R2079" s="4">
        <v>-3.6595744680851E-2</v>
      </c>
      <c r="T2079">
        <v>317693</v>
      </c>
      <c r="U2079" s="2"/>
      <c r="V2079">
        <v>6266</v>
      </c>
      <c r="W2079" s="2">
        <v>6579000000</v>
      </c>
      <c r="X2079" s="6">
        <v>7050</v>
      </c>
      <c r="Y2079" s="38">
        <v>10010</v>
      </c>
      <c r="Z2079" s="86">
        <f>+((DETALLE_GD_1[[#This Row],[VALOR X UN (GD)]]-DETALLE_GD_1[[#This Row],[VALOR PPTO]])/DETALLE_GD_1[[#This Row],[VALOR PPTO]])</f>
        <v>3.6595744680851E-2</v>
      </c>
      <c r="AA2079" s="2">
        <f>+DETALLE_GD_1[[#This Row],[VALOR PPTO]]*DETALLE_GD_1[[#This Row],[CANTIDAD RECIBIDA]]</f>
        <v>7050</v>
      </c>
      <c r="AB2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9" s="3">
        <f>+DETALLE_GD_1[[#This Row],[CANTIDAD SOLICITADA]]-DETALLE_GD_1[[#This Row],[DEVOLUCIÓN]]</f>
        <v>5</v>
      </c>
      <c r="AD2079" s="38" t="str">
        <f>+_xlfn.XLOOKUP(DETALLE_GD_1[[#This Row],[CODIGO]],PRODUCTOS[CODIGO],PRODUCTOS[DESC CORTA],"",0)</f>
        <v>BOCALLAVE B1 800 ACCESO</v>
      </c>
    </row>
    <row r="2080" spans="1:30" x14ac:dyDescent="0.25">
      <c r="A2080" s="1">
        <v>46178</v>
      </c>
      <c r="B2080" s="1">
        <v>46178</v>
      </c>
      <c r="C2080" s="81" t="s">
        <v>169</v>
      </c>
      <c r="D2080" s="38">
        <v>6</v>
      </c>
      <c r="E2080" s="81" t="s">
        <v>169</v>
      </c>
      <c r="F2080">
        <v>2508992</v>
      </c>
      <c r="G2080" s="81" t="s">
        <v>486</v>
      </c>
      <c r="H2080" s="81" t="s">
        <v>31</v>
      </c>
      <c r="I2080" s="3">
        <v>3</v>
      </c>
      <c r="J2080" s="3"/>
      <c r="K2080" s="26">
        <v>3</v>
      </c>
      <c r="L2080" s="2">
        <v>5068.6666999999998</v>
      </c>
      <c r="M2080" s="2">
        <v>15206</v>
      </c>
      <c r="N2080" s="2">
        <v>15206</v>
      </c>
      <c r="O2080" s="2">
        <v>5084</v>
      </c>
      <c r="P2080" s="2">
        <v>15.333299999999999</v>
      </c>
      <c r="Q2080" s="2">
        <v>46</v>
      </c>
      <c r="R2080" s="4">
        <v>3.0159979019144436E-3</v>
      </c>
      <c r="T2080">
        <v>317693</v>
      </c>
      <c r="U2080" s="2"/>
      <c r="V2080">
        <v>6266</v>
      </c>
      <c r="W2080" s="2">
        <v>6579000000</v>
      </c>
      <c r="X2080" s="6">
        <v>15252</v>
      </c>
      <c r="Y2080" s="38">
        <v>10010</v>
      </c>
      <c r="Z2080" s="86">
        <f>+((DETALLE_GD_1[[#This Row],[VALOR X UN (GD)]]-DETALLE_GD_1[[#This Row],[VALOR PPTO]])/DETALLE_GD_1[[#This Row],[VALOR PPTO]])</f>
        <v>-3.0159913453973713E-3</v>
      </c>
      <c r="AA2080" s="2">
        <f>+DETALLE_GD_1[[#This Row],[VALOR PPTO]]*DETALLE_GD_1[[#This Row],[CANTIDAD RECIBIDA]]</f>
        <v>15252</v>
      </c>
      <c r="AB2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0" s="3">
        <f>+DETALLE_GD_1[[#This Row],[CANTIDAD SOLICITADA]]-DETALLE_GD_1[[#This Row],[DEVOLUCIÓN]]</f>
        <v>3</v>
      </c>
      <c r="AD2080" s="38" t="str">
        <f>+_xlfn.XLOOKUP(DETALLE_GD_1[[#This Row],[CODIGO]],PRODUCTOS[CODIGO],PRODUCTOS[DESC CORTA],"",0)</f>
        <v>MANILLA JUEGO</v>
      </c>
    </row>
    <row r="2081" spans="1:30" x14ac:dyDescent="0.25">
      <c r="A2081" s="1">
        <v>46178</v>
      </c>
      <c r="B2081" s="1">
        <v>46178</v>
      </c>
      <c r="C2081" s="81" t="s">
        <v>169</v>
      </c>
      <c r="D2081" s="38">
        <v>6</v>
      </c>
      <c r="E2081" s="81" t="s">
        <v>169</v>
      </c>
      <c r="F2081">
        <v>2508991</v>
      </c>
      <c r="G2081" s="81" t="s">
        <v>485</v>
      </c>
      <c r="H2081" s="81" t="s">
        <v>31</v>
      </c>
      <c r="I2081" s="3">
        <v>5</v>
      </c>
      <c r="J2081" s="3"/>
      <c r="K2081" s="26">
        <v>5</v>
      </c>
      <c r="L2081" s="2">
        <v>4785.3999999999996</v>
      </c>
      <c r="M2081" s="2">
        <v>23927</v>
      </c>
      <c r="N2081" s="2">
        <v>23927</v>
      </c>
      <c r="O2081" s="2">
        <v>4798</v>
      </c>
      <c r="P2081" s="2">
        <v>12.6</v>
      </c>
      <c r="Q2081" s="2">
        <v>63</v>
      </c>
      <c r="R2081" s="4">
        <v>2.6260942059192086E-3</v>
      </c>
      <c r="T2081">
        <v>317693</v>
      </c>
      <c r="U2081" s="2"/>
      <c r="V2081">
        <v>6266</v>
      </c>
      <c r="W2081" s="2">
        <v>6579000000</v>
      </c>
      <c r="X2081" s="6">
        <v>23990</v>
      </c>
      <c r="Y2081" s="38">
        <v>10010</v>
      </c>
      <c r="Z2081" s="86">
        <f>+((DETALLE_GD_1[[#This Row],[VALOR X UN (GD)]]-DETALLE_GD_1[[#This Row],[VALOR PPTO]])/DETALLE_GD_1[[#This Row],[VALOR PPTO]])</f>
        <v>-2.6260942059192086E-3</v>
      </c>
      <c r="AA2081" s="2">
        <f>+DETALLE_GD_1[[#This Row],[VALOR PPTO]]*DETALLE_GD_1[[#This Row],[CANTIDAD RECIBIDA]]</f>
        <v>23990</v>
      </c>
      <c r="AB2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1" s="3">
        <f>+DETALLE_GD_1[[#This Row],[CANTIDAD SOLICITADA]]-DETALLE_GD_1[[#This Row],[DEVOLUCIÓN]]</f>
        <v>5</v>
      </c>
      <c r="AD2081" s="38" t="str">
        <f>+_xlfn.XLOOKUP(DETALLE_GD_1[[#This Row],[CODIGO]],PRODUCTOS[CODIGO],PRODUCTOS[DESC CORTA],"",0)</f>
        <v>CILINDRO 03 LLAVE/LLAVE</v>
      </c>
    </row>
    <row r="2082" spans="1:30" x14ac:dyDescent="0.25">
      <c r="A2082" s="1">
        <v>46178</v>
      </c>
      <c r="B2082" s="1">
        <v>46178</v>
      </c>
      <c r="C2082" s="81" t="s">
        <v>169</v>
      </c>
      <c r="D2082" s="38">
        <v>6</v>
      </c>
      <c r="E2082" s="81" t="s">
        <v>169</v>
      </c>
      <c r="F2082">
        <v>2508990</v>
      </c>
      <c r="G2082" s="81" t="s">
        <v>484</v>
      </c>
      <c r="H2082" s="81" t="s">
        <v>31</v>
      </c>
      <c r="I2082" s="3">
        <v>5</v>
      </c>
      <c r="J2082" s="3"/>
      <c r="K2082" s="26">
        <v>5</v>
      </c>
      <c r="L2082" s="2">
        <v>6688.8</v>
      </c>
      <c r="M2082" s="2">
        <v>33444</v>
      </c>
      <c r="N2082" s="2">
        <v>33444</v>
      </c>
      <c r="O2082" s="2">
        <v>6738</v>
      </c>
      <c r="P2082" s="2">
        <v>49.2</v>
      </c>
      <c r="Q2082" s="2">
        <v>246</v>
      </c>
      <c r="R2082" s="4">
        <v>7.3018699910952526E-3</v>
      </c>
      <c r="T2082">
        <v>317693</v>
      </c>
      <c r="U2082" s="2"/>
      <c r="V2082">
        <v>6266</v>
      </c>
      <c r="W2082" s="2">
        <v>6579000000</v>
      </c>
      <c r="X2082" s="6">
        <v>33690</v>
      </c>
      <c r="Y2082" s="38">
        <v>10010</v>
      </c>
      <c r="Z2082" s="86">
        <f>+((DETALLE_GD_1[[#This Row],[VALOR X UN (GD)]]-DETALLE_GD_1[[#This Row],[VALOR PPTO]])/DETALLE_GD_1[[#This Row],[VALOR PPTO]])</f>
        <v>-7.3018699910952535E-3</v>
      </c>
      <c r="AA2082" s="2">
        <f>+DETALLE_GD_1[[#This Row],[VALOR PPTO]]*DETALLE_GD_1[[#This Row],[CANTIDAD RECIBIDA]]</f>
        <v>33690</v>
      </c>
      <c r="AB2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2" s="3">
        <f>+DETALLE_GD_1[[#This Row],[CANTIDAD SOLICITADA]]-DETALLE_GD_1[[#This Row],[DEVOLUCIÓN]]</f>
        <v>5</v>
      </c>
      <c r="AD2082" s="38" t="str">
        <f>+_xlfn.XLOOKUP(DETALLE_GD_1[[#This Row],[CODIGO]],PRODUCTOS[CODIGO],PRODUCTOS[DESC CORTA],"",0)</f>
        <v>CERRADURA DE EMB</v>
      </c>
    </row>
    <row r="2083" spans="1:30" x14ac:dyDescent="0.25">
      <c r="A2083" s="1">
        <v>46178</v>
      </c>
      <c r="B2083" s="1">
        <v>46178</v>
      </c>
      <c r="C2083" s="81" t="s">
        <v>169</v>
      </c>
      <c r="D2083" s="38">
        <v>6</v>
      </c>
      <c r="E2083" s="81" t="s">
        <v>169</v>
      </c>
      <c r="F2083">
        <v>1405025</v>
      </c>
      <c r="G2083" s="81" t="s">
        <v>189</v>
      </c>
      <c r="H2083" s="81" t="s">
        <v>31</v>
      </c>
      <c r="I2083" s="3">
        <v>3</v>
      </c>
      <c r="J2083" s="3"/>
      <c r="K2083" s="26">
        <v>3</v>
      </c>
      <c r="L2083" s="2">
        <v>6988</v>
      </c>
      <c r="M2083" s="2">
        <v>20964</v>
      </c>
      <c r="N2083" s="2">
        <v>20964</v>
      </c>
      <c r="O2083" s="2">
        <v>6758.5333000000001</v>
      </c>
      <c r="P2083" s="2">
        <v>-229.4667</v>
      </c>
      <c r="Q2083" s="2">
        <v>-688.4</v>
      </c>
      <c r="R2083" s="4">
        <v>-3.3952139568444395E-2</v>
      </c>
      <c r="T2083">
        <v>317693</v>
      </c>
      <c r="U2083" s="2"/>
      <c r="V2083">
        <v>6266</v>
      </c>
      <c r="W2083" s="2">
        <v>6579000000</v>
      </c>
      <c r="X2083" s="6">
        <v>20275.599998999998</v>
      </c>
      <c r="Y2083" s="38">
        <v>10010</v>
      </c>
      <c r="Z2083" s="86">
        <f>+((DETALLE_GD_1[[#This Row],[VALOR X UN (GD)]]-DETALLE_GD_1[[#This Row],[VALOR PPTO]])/DETALLE_GD_1[[#This Row],[VALOR PPTO]])</f>
        <v>3.3952144616939288E-2</v>
      </c>
      <c r="AA2083" s="2">
        <f>+DETALLE_GD_1[[#This Row],[VALOR PPTO]]*DETALLE_GD_1[[#This Row],[CANTIDAD RECIBIDA]]</f>
        <v>20275.599900000001</v>
      </c>
      <c r="AB2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3" s="3">
        <f>+DETALLE_GD_1[[#This Row],[CANTIDAD SOLICITADA]]-DETALLE_GD_1[[#This Row],[DEVOLUCIÓN]]</f>
        <v>3</v>
      </c>
      <c r="AD2083" s="38">
        <f>+_xlfn.XLOOKUP(DETALLE_GD_1[[#This Row],[CODIGO]],PRODUCTOS[CODIGO],PRODUCTOS[DESC CORTA],"",0)</f>
        <v>0</v>
      </c>
    </row>
    <row r="2084" spans="1:30" x14ac:dyDescent="0.25">
      <c r="A2084" s="1">
        <v>46178</v>
      </c>
      <c r="B2084" s="1">
        <v>46178</v>
      </c>
      <c r="C2084" s="81" t="s">
        <v>169</v>
      </c>
      <c r="D2084" s="38">
        <v>6</v>
      </c>
      <c r="E2084" s="81" t="s">
        <v>169</v>
      </c>
      <c r="F2084">
        <v>2508988</v>
      </c>
      <c r="G2084" s="81" t="s">
        <v>469</v>
      </c>
      <c r="H2084" s="81" t="s">
        <v>90</v>
      </c>
      <c r="I2084" s="3">
        <v>1</v>
      </c>
      <c r="J2084" s="3"/>
      <c r="K2084" s="26">
        <v>1</v>
      </c>
      <c r="L2084" s="2">
        <v>142676</v>
      </c>
      <c r="M2084" s="2">
        <v>142676</v>
      </c>
      <c r="N2084" s="2">
        <v>142676</v>
      </c>
      <c r="O2084" s="2"/>
      <c r="P2084" s="2"/>
      <c r="Q2084" s="2">
        <v>-142676</v>
      </c>
      <c r="R2084" s="4"/>
      <c r="T2084">
        <v>317693</v>
      </c>
      <c r="U2084" s="2"/>
      <c r="V2084">
        <v>6266</v>
      </c>
      <c r="W2084" s="2">
        <v>6579000000</v>
      </c>
      <c r="X2084" s="6" t="s">
        <v>355</v>
      </c>
      <c r="Y2084" s="38">
        <v>10010</v>
      </c>
      <c r="Z2084" s="86" t="e">
        <f>+((DETALLE_GD_1[[#This Row],[VALOR X UN (GD)]]-DETALLE_GD_1[[#This Row],[VALOR PPTO]])/DETALLE_GD_1[[#This Row],[VALOR PPTO]])</f>
        <v>#DIV/0!</v>
      </c>
      <c r="AA2084" s="2">
        <f>+DETALLE_GD_1[[#This Row],[VALOR PPTO]]*DETALLE_GD_1[[#This Row],[CANTIDAD RECIBIDA]]</f>
        <v>0</v>
      </c>
      <c r="AB2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4" s="3">
        <f>+DETALLE_GD_1[[#This Row],[CANTIDAD SOLICITADA]]-DETALLE_GD_1[[#This Row],[DEVOLUCIÓN]]</f>
        <v>1</v>
      </c>
      <c r="AD2084" s="38" t="str">
        <f>+_xlfn.XLOOKUP(DETALLE_GD_1[[#This Row],[CODIGO]],PRODUCTOS[CODIGO],PRODUCTOS[DESC CORTA],"",0)</f>
        <v/>
      </c>
    </row>
    <row r="2085" spans="1:30" x14ac:dyDescent="0.25">
      <c r="A2085" s="1">
        <v>46178</v>
      </c>
      <c r="B2085" s="1">
        <v>46178</v>
      </c>
      <c r="C2085" s="81" t="s">
        <v>169</v>
      </c>
      <c r="D2085" s="38">
        <v>6</v>
      </c>
      <c r="E2085" s="81" t="s">
        <v>169</v>
      </c>
      <c r="F2085">
        <v>2508987</v>
      </c>
      <c r="G2085" s="81" t="s">
        <v>305</v>
      </c>
      <c r="H2085" s="81" t="s">
        <v>31</v>
      </c>
      <c r="I2085" s="3">
        <v>1</v>
      </c>
      <c r="J2085" s="3"/>
      <c r="K2085" s="26">
        <v>1</v>
      </c>
      <c r="L2085" s="2">
        <v>142532</v>
      </c>
      <c r="M2085" s="2">
        <v>142532</v>
      </c>
      <c r="N2085" s="2">
        <v>142532</v>
      </c>
      <c r="O2085" s="2">
        <v>145847</v>
      </c>
      <c r="P2085" s="2">
        <v>3315</v>
      </c>
      <c r="Q2085" s="2">
        <v>3315</v>
      </c>
      <c r="R2085" s="4">
        <v>2.2729298511453784E-2</v>
      </c>
      <c r="T2085">
        <v>317693</v>
      </c>
      <c r="U2085" s="2"/>
      <c r="V2085">
        <v>6266</v>
      </c>
      <c r="W2085" s="2">
        <v>6579000000</v>
      </c>
      <c r="X2085" s="6">
        <v>145847</v>
      </c>
      <c r="Y2085" s="38">
        <v>10010</v>
      </c>
      <c r="Z2085" s="86">
        <f>+((DETALLE_GD_1[[#This Row],[VALOR X UN (GD)]]-DETALLE_GD_1[[#This Row],[VALOR PPTO]])/DETALLE_GD_1[[#This Row],[VALOR PPTO]])</f>
        <v>-2.2729298511453784E-2</v>
      </c>
      <c r="AA2085" s="2">
        <f>+DETALLE_GD_1[[#This Row],[VALOR PPTO]]*DETALLE_GD_1[[#This Row],[CANTIDAD RECIBIDA]]</f>
        <v>145847</v>
      </c>
      <c r="AB2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5" s="3">
        <f>+DETALLE_GD_1[[#This Row],[CANTIDAD SOLICITADA]]-DETALLE_GD_1[[#This Row],[DEVOLUCIÓN]]</f>
        <v>1</v>
      </c>
      <c r="AD2085" s="38" t="str">
        <f>+_xlfn.XLOOKUP(DETALLE_GD_1[[#This Row],[CODIGO]],PRODUCTOS[CODIGO],PRODUCTOS[DESC CORTA],"",0)</f>
        <v>KIT PREC</v>
      </c>
    </row>
    <row r="2086" spans="1:30" x14ac:dyDescent="0.25">
      <c r="A2086" s="1">
        <v>46178</v>
      </c>
      <c r="B2086" s="1">
        <v>46178</v>
      </c>
      <c r="C2086" s="81" t="s">
        <v>169</v>
      </c>
      <c r="D2086" s="38">
        <v>6</v>
      </c>
      <c r="E2086" s="81" t="s">
        <v>169</v>
      </c>
      <c r="F2086">
        <v>2302119</v>
      </c>
      <c r="G2086" s="81" t="s">
        <v>74</v>
      </c>
      <c r="H2086" s="81" t="s">
        <v>31</v>
      </c>
      <c r="I2086" s="3">
        <v>24</v>
      </c>
      <c r="J2086" s="3"/>
      <c r="K2086" s="26">
        <v>24</v>
      </c>
      <c r="L2086" s="2">
        <v>3679.875</v>
      </c>
      <c r="M2086" s="2">
        <v>88317</v>
      </c>
      <c r="N2086" s="2">
        <v>88317</v>
      </c>
      <c r="O2086" s="2">
        <v>3671</v>
      </c>
      <c r="P2086" s="2">
        <v>-8.875</v>
      </c>
      <c r="Q2086" s="2">
        <v>-213</v>
      </c>
      <c r="R2086" s="4">
        <v>-2.4175973849087443E-3</v>
      </c>
      <c r="T2086">
        <v>317693</v>
      </c>
      <c r="U2086" s="2"/>
      <c r="V2086">
        <v>6266</v>
      </c>
      <c r="W2086" s="2">
        <v>6579000000</v>
      </c>
      <c r="X2086" s="6">
        <v>88104</v>
      </c>
      <c r="Y2086" s="38">
        <v>10010</v>
      </c>
      <c r="Z2086" s="86">
        <f>+((DETALLE_GD_1[[#This Row],[VALOR X UN (GD)]]-DETALLE_GD_1[[#This Row],[VALOR PPTO]])/DETALLE_GD_1[[#This Row],[VALOR PPTO]])</f>
        <v>2.4175973849087443E-3</v>
      </c>
      <c r="AA2086" s="2">
        <f>+DETALLE_GD_1[[#This Row],[VALOR PPTO]]*DETALLE_GD_1[[#This Row],[CANTIDAD RECIBIDA]]</f>
        <v>88104</v>
      </c>
      <c r="AB2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6" s="3">
        <f>+DETALLE_GD_1[[#This Row],[CANTIDAD SOLICITADA]]-DETALLE_GD_1[[#This Row],[DEVOLUCIÓN]]</f>
        <v>24</v>
      </c>
      <c r="AD2086" s="38" t="str">
        <f>+_xlfn.XLOOKUP(DETALLE_GD_1[[#This Row],[CODIGO]],PRODUCTOS[CODIGO],PRODUCTOS[DESC CORTA],"",0)</f>
        <v>SELLO</v>
      </c>
    </row>
    <row r="2087" spans="1:30" x14ac:dyDescent="0.25">
      <c r="A2087" s="1">
        <v>46178</v>
      </c>
      <c r="B2087" s="1">
        <v>46178</v>
      </c>
      <c r="C2087" s="81" t="s">
        <v>169</v>
      </c>
      <c r="D2087" s="38">
        <v>6</v>
      </c>
      <c r="E2087" s="81" t="s">
        <v>169</v>
      </c>
      <c r="F2087">
        <v>404252</v>
      </c>
      <c r="G2087" s="81" t="s">
        <v>181</v>
      </c>
      <c r="H2087" s="81" t="s">
        <v>31</v>
      </c>
      <c r="I2087" s="3">
        <v>30</v>
      </c>
      <c r="J2087" s="3"/>
      <c r="K2087" s="26">
        <v>30</v>
      </c>
      <c r="L2087" s="2">
        <v>2167.1999999999998</v>
      </c>
      <c r="M2087" s="2">
        <v>65016</v>
      </c>
      <c r="N2087" s="2">
        <v>65016</v>
      </c>
      <c r="O2087" s="2">
        <v>1110.0438999999999</v>
      </c>
      <c r="P2087" s="2">
        <v>-1057.1560999999999</v>
      </c>
      <c r="Q2087" s="2">
        <v>-31714.683700000001</v>
      </c>
      <c r="R2087" s="4">
        <v>-0.95235525987443037</v>
      </c>
      <c r="T2087">
        <v>317693</v>
      </c>
      <c r="U2087" s="2"/>
      <c r="V2087">
        <v>6266</v>
      </c>
      <c r="W2087" s="2">
        <v>6579000000</v>
      </c>
      <c r="X2087" s="6">
        <v>33301.316279999999</v>
      </c>
      <c r="Y2087" s="38">
        <v>10010</v>
      </c>
      <c r="Z2087" s="86">
        <f>+((DETALLE_GD_1[[#This Row],[VALOR X UN (GD)]]-DETALLE_GD_1[[#This Row],[VALOR PPTO]])/DETALLE_GD_1[[#This Row],[VALOR PPTO]])</f>
        <v>0.95235521766301312</v>
      </c>
      <c r="AA2087" s="2">
        <f>+DETALLE_GD_1[[#This Row],[VALOR PPTO]]*DETALLE_GD_1[[#This Row],[CANTIDAD RECIBIDA]]</f>
        <v>33301.316999999995</v>
      </c>
      <c r="AB2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7" s="3">
        <f>+DETALLE_GD_1[[#This Row],[CANTIDAD SOLICITADA]]-DETALLE_GD_1[[#This Row],[DEVOLUCIÓN]]</f>
        <v>30</v>
      </c>
      <c r="AD2087" s="38">
        <f>+_xlfn.XLOOKUP(DETALLE_GD_1[[#This Row],[CODIGO]],PRODUCTOS[CODIGO],PRODUCTOS[DESC CORTA],"",0)</f>
        <v>0</v>
      </c>
    </row>
    <row r="2088" spans="1:30" x14ac:dyDescent="0.25">
      <c r="A2088" s="1">
        <v>46178</v>
      </c>
      <c r="B2088" s="1">
        <v>46178</v>
      </c>
      <c r="C2088" s="81" t="s">
        <v>169</v>
      </c>
      <c r="D2088" s="38">
        <v>6</v>
      </c>
      <c r="E2088" s="81" t="s">
        <v>169</v>
      </c>
      <c r="F2088">
        <v>1802162</v>
      </c>
      <c r="G2088" s="81" t="s">
        <v>260</v>
      </c>
      <c r="H2088" s="81" t="s">
        <v>31</v>
      </c>
      <c r="I2088" s="3">
        <v>2</v>
      </c>
      <c r="J2088" s="3"/>
      <c r="K2088" s="26">
        <v>2</v>
      </c>
      <c r="L2088" s="2">
        <v>42840</v>
      </c>
      <c r="M2088" s="2">
        <v>85680</v>
      </c>
      <c r="N2088" s="2">
        <v>85680</v>
      </c>
      <c r="O2088" s="2">
        <v>42840</v>
      </c>
      <c r="P2088" s="2">
        <v>0</v>
      </c>
      <c r="Q2088" s="2">
        <v>0</v>
      </c>
      <c r="R2088" s="4">
        <v>0</v>
      </c>
      <c r="T2088">
        <v>317693</v>
      </c>
      <c r="U2088" s="2"/>
      <c r="V2088">
        <v>6266</v>
      </c>
      <c r="W2088" s="2">
        <v>6579000000</v>
      </c>
      <c r="X2088" s="6">
        <v>85680</v>
      </c>
      <c r="Y2088" s="38">
        <v>10010</v>
      </c>
      <c r="Z2088" s="86">
        <f>+((DETALLE_GD_1[[#This Row],[VALOR X UN (GD)]]-DETALLE_GD_1[[#This Row],[VALOR PPTO]])/DETALLE_GD_1[[#This Row],[VALOR PPTO]])</f>
        <v>0</v>
      </c>
      <c r="AA2088" s="2">
        <f>+DETALLE_GD_1[[#This Row],[VALOR PPTO]]*DETALLE_GD_1[[#This Row],[CANTIDAD RECIBIDA]]</f>
        <v>85680</v>
      </c>
      <c r="AB2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8" s="3">
        <f>+DETALLE_GD_1[[#This Row],[CANTIDAD SOLICITADA]]-DETALLE_GD_1[[#This Row],[DEVOLUCIÓN]]</f>
        <v>2</v>
      </c>
      <c r="AD2088" s="38" t="str">
        <f>+_xlfn.XLOOKUP(DETALLE_GD_1[[#This Row],[CODIGO]],PRODUCTOS[CODIGO],PRODUCTOS[DESC CORTA],"",0)</f>
        <v>TINA DE ACERO</v>
      </c>
    </row>
    <row r="2089" spans="1:30" x14ac:dyDescent="0.25">
      <c r="A2089" s="1">
        <v>46178</v>
      </c>
      <c r="B2089" s="1">
        <v>46178</v>
      </c>
      <c r="C2089" s="81" t="s">
        <v>169</v>
      </c>
      <c r="D2089" s="38">
        <v>6</v>
      </c>
      <c r="E2089" s="81" t="s">
        <v>169</v>
      </c>
      <c r="F2089">
        <v>1902014</v>
      </c>
      <c r="G2089" s="81" t="s">
        <v>316</v>
      </c>
      <c r="H2089" s="81" t="s">
        <v>18</v>
      </c>
      <c r="I2089" s="3">
        <v>160</v>
      </c>
      <c r="J2089" s="3"/>
      <c r="K2089" s="26">
        <v>160</v>
      </c>
      <c r="L2089" s="2">
        <v>29846.625</v>
      </c>
      <c r="M2089" s="2">
        <v>4775460</v>
      </c>
      <c r="N2089" s="2">
        <v>4775460</v>
      </c>
      <c r="O2089" s="2">
        <v>29779</v>
      </c>
      <c r="P2089" s="2">
        <v>-67.625</v>
      </c>
      <c r="Q2089" s="2">
        <v>-10820</v>
      </c>
      <c r="R2089" s="4">
        <v>-2.2708955975686341E-3</v>
      </c>
      <c r="T2089">
        <v>317725</v>
      </c>
      <c r="U2089" s="2">
        <v>4775460</v>
      </c>
      <c r="W2089" s="2">
        <v>6579000000</v>
      </c>
      <c r="X2089" s="6">
        <v>4764640.0000000009</v>
      </c>
      <c r="Y2089" s="38">
        <v>10010</v>
      </c>
      <c r="Z2089" s="86">
        <f>+((DETALLE_GD_1[[#This Row],[VALOR X UN (GD)]]-DETALLE_GD_1[[#This Row],[VALOR PPTO]])/DETALLE_GD_1[[#This Row],[VALOR PPTO]])</f>
        <v>2.2708955975687564E-3</v>
      </c>
      <c r="AA2089" s="2">
        <f>+DETALLE_GD_1[[#This Row],[VALOR PPTO]]*DETALLE_GD_1[[#This Row],[CANTIDAD RECIBIDA]]</f>
        <v>4764640</v>
      </c>
      <c r="AB20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89" s="3">
        <f>+DETALLE_GD_1[[#This Row],[CANTIDAD SOLICITADA]]-DETALLE_GD_1[[#This Row],[DEVOLUCIÓN]]</f>
        <v>160</v>
      </c>
      <c r="AD2089" s="38" t="str">
        <f>+_xlfn.XLOOKUP(DETALLE_GD_1[[#This Row],[CODIGO]],PRODUCTOS[CODIGO],PRODUCTOS[DESC CORTA],"",0)</f>
        <v>VOLCOGLASS</v>
      </c>
    </row>
    <row r="2090" spans="1:30" x14ac:dyDescent="0.25">
      <c r="A2090" s="1">
        <v>46178</v>
      </c>
      <c r="B2090" s="1">
        <v>46178</v>
      </c>
      <c r="C2090" s="81" t="s">
        <v>169</v>
      </c>
      <c r="D2090" s="38">
        <v>6</v>
      </c>
      <c r="E2090" s="81" t="s">
        <v>169</v>
      </c>
      <c r="F2090">
        <v>404184</v>
      </c>
      <c r="G2090" s="81" t="s">
        <v>66</v>
      </c>
      <c r="H2090" s="81" t="s">
        <v>31</v>
      </c>
      <c r="I2090" s="3">
        <v>5</v>
      </c>
      <c r="J2090" s="3"/>
      <c r="K2090" s="26">
        <v>5</v>
      </c>
      <c r="L2090" s="2">
        <v>1745.2</v>
      </c>
      <c r="M2090" s="2">
        <v>8726</v>
      </c>
      <c r="N2090" s="2">
        <v>8726</v>
      </c>
      <c r="O2090" s="2">
        <v>1754.8757000000001</v>
      </c>
      <c r="P2090" s="2">
        <v>9.6757000000000009</v>
      </c>
      <c r="Q2090" s="2">
        <v>48.378700000000002</v>
      </c>
      <c r="R2090" s="4">
        <v>5.5136274489854696E-3</v>
      </c>
      <c r="T2090">
        <v>317713</v>
      </c>
      <c r="U2090" s="2">
        <v>8726</v>
      </c>
      <c r="W2090" s="2">
        <v>6579000000</v>
      </c>
      <c r="X2090" s="6">
        <v>8774.3786550000004</v>
      </c>
      <c r="Y2090" s="38">
        <v>10010</v>
      </c>
      <c r="Z2090" s="86">
        <f>+((DETALLE_GD_1[[#This Row],[VALOR X UN (GD)]]-DETALLE_GD_1[[#This Row],[VALOR PPTO]])/DETALLE_GD_1[[#This Row],[VALOR PPTO]])</f>
        <v>-5.5136098813152439E-3</v>
      </c>
      <c r="AA2090" s="2">
        <f>+DETALLE_GD_1[[#This Row],[VALOR PPTO]]*DETALLE_GD_1[[#This Row],[CANTIDAD RECIBIDA]]</f>
        <v>8774.3785000000007</v>
      </c>
      <c r="AB20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0" s="3">
        <f>+DETALLE_GD_1[[#This Row],[CANTIDAD SOLICITADA]]-DETALLE_GD_1[[#This Row],[DEVOLUCIÓN]]</f>
        <v>5</v>
      </c>
      <c r="AD2090" s="38" t="str">
        <f>+_xlfn.XLOOKUP(DETALLE_GD_1[[#This Row],[CODIGO]],PRODUCTOS[CODIGO],PRODUCTOS[DESC CORTA],"",0)</f>
        <v>ANGULO BLANCO</v>
      </c>
    </row>
    <row r="2091" spans="1:30" x14ac:dyDescent="0.25">
      <c r="A2091" s="1">
        <v>46181</v>
      </c>
      <c r="B2091" s="1">
        <v>46181</v>
      </c>
      <c r="C2091" s="81" t="s">
        <v>169</v>
      </c>
      <c r="D2091" s="38">
        <v>6</v>
      </c>
      <c r="E2091" s="81" t="s">
        <v>169</v>
      </c>
      <c r="F2091">
        <v>2304002</v>
      </c>
      <c r="G2091" s="81" t="s">
        <v>212</v>
      </c>
      <c r="H2091" s="81" t="s">
        <v>31</v>
      </c>
      <c r="I2091" s="3">
        <v>48</v>
      </c>
      <c r="J2091" s="3"/>
      <c r="K2091" s="26">
        <v>48</v>
      </c>
      <c r="L2091" s="2">
        <v>1409.5</v>
      </c>
      <c r="M2091" s="2">
        <v>67656</v>
      </c>
      <c r="N2091" s="2">
        <v>67656</v>
      </c>
      <c r="O2091" s="2">
        <v>1376.4717000000001</v>
      </c>
      <c r="P2091" s="2">
        <v>-33.028300000000002</v>
      </c>
      <c r="Q2091" s="2">
        <v>-1585.3571999999999</v>
      </c>
      <c r="R2091" s="4">
        <v>-2.399488156866781E-2</v>
      </c>
      <c r="T2091">
        <v>317816</v>
      </c>
      <c r="U2091" s="2">
        <v>67656</v>
      </c>
      <c r="W2091" s="2">
        <v>6579000000</v>
      </c>
      <c r="X2091" s="6">
        <v>66070.642752</v>
      </c>
      <c r="Y2091" s="38">
        <v>10010</v>
      </c>
      <c r="Z2091" s="86">
        <f>+((DETALLE_GD_1[[#This Row],[VALOR X UN (GD)]]-DETALLE_GD_1[[#This Row],[VALOR PPTO]])/DETALLE_GD_1[[#This Row],[VALOR PPTO]])</f>
        <v>2.3994899422923075E-2</v>
      </c>
      <c r="AA2091" s="2">
        <f>+DETALLE_GD_1[[#This Row],[VALOR PPTO]]*DETALLE_GD_1[[#This Row],[CANTIDAD RECIBIDA]]</f>
        <v>66070.641600000003</v>
      </c>
      <c r="AB20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1" s="3">
        <f>+DETALLE_GD_1[[#This Row],[CANTIDAD SOLICITADA]]-DETALLE_GD_1[[#This Row],[DEVOLUCIÓN]]</f>
        <v>48</v>
      </c>
      <c r="AD2091" s="38">
        <f>+_xlfn.XLOOKUP(DETALLE_GD_1[[#This Row],[CODIGO]],PRODUCTOS[CODIGO],PRODUCTOS[DESC CORTA],"",0)</f>
        <v>0</v>
      </c>
    </row>
    <row r="2092" spans="1:30" x14ac:dyDescent="0.25">
      <c r="A2092" s="1">
        <v>46181</v>
      </c>
      <c r="B2092" s="1">
        <v>46181</v>
      </c>
      <c r="C2092" s="81" t="s">
        <v>169</v>
      </c>
      <c r="D2092" s="38">
        <v>6</v>
      </c>
      <c r="E2092" s="81" t="s">
        <v>169</v>
      </c>
      <c r="F2092">
        <v>608012</v>
      </c>
      <c r="G2092" s="81" t="s">
        <v>2005</v>
      </c>
      <c r="H2092" s="81" t="s">
        <v>31</v>
      </c>
      <c r="I2092" s="3">
        <v>1</v>
      </c>
      <c r="J2092" s="3"/>
      <c r="K2092" s="26">
        <v>1</v>
      </c>
      <c r="L2092" s="2">
        <v>6544</v>
      </c>
      <c r="M2092" s="2">
        <v>6544</v>
      </c>
      <c r="N2092" s="2">
        <v>6544</v>
      </c>
      <c r="O2092" s="2"/>
      <c r="P2092" s="2"/>
      <c r="Q2092" s="2">
        <v>-6544</v>
      </c>
      <c r="R2092" s="4"/>
      <c r="T2092">
        <v>317801</v>
      </c>
      <c r="U2092" s="2">
        <v>6544</v>
      </c>
      <c r="W2092" s="2">
        <v>6579000000</v>
      </c>
      <c r="X2092" s="6" t="s">
        <v>355</v>
      </c>
      <c r="Y2092" s="38">
        <v>10010</v>
      </c>
      <c r="Z2092" s="86" t="e">
        <f>+((DETALLE_GD_1[[#This Row],[VALOR X UN (GD)]]-DETALLE_GD_1[[#This Row],[VALOR PPTO]])/DETALLE_GD_1[[#This Row],[VALOR PPTO]])</f>
        <v>#DIV/0!</v>
      </c>
      <c r="AA2092" s="2">
        <f>+DETALLE_GD_1[[#This Row],[VALOR PPTO]]*DETALLE_GD_1[[#This Row],[CANTIDAD RECIBIDA]]</f>
        <v>0</v>
      </c>
      <c r="AB20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2" s="3">
        <f>+DETALLE_GD_1[[#This Row],[CANTIDAD SOLICITADA]]-DETALLE_GD_1[[#This Row],[DEVOLUCIÓN]]</f>
        <v>1</v>
      </c>
      <c r="AD2092" s="38" t="str">
        <f>+_xlfn.XLOOKUP(DETALLE_GD_1[[#This Row],[CODIGO]],PRODUCTOS[CODIGO],PRODUCTOS[DESC CORTA],"",0)</f>
        <v/>
      </c>
    </row>
    <row r="2093" spans="1:30" x14ac:dyDescent="0.25">
      <c r="A2093" s="1">
        <v>46181</v>
      </c>
      <c r="B2093" s="1">
        <v>46181</v>
      </c>
      <c r="C2093" s="81" t="s">
        <v>169</v>
      </c>
      <c r="D2093" s="38">
        <v>6</v>
      </c>
      <c r="E2093" s="81" t="s">
        <v>169</v>
      </c>
      <c r="F2093">
        <v>302046</v>
      </c>
      <c r="G2093" s="81" t="s">
        <v>115</v>
      </c>
      <c r="H2093" s="81" t="s">
        <v>20</v>
      </c>
      <c r="I2093" s="3">
        <v>168</v>
      </c>
      <c r="J2093" s="3"/>
      <c r="K2093" s="26">
        <v>168</v>
      </c>
      <c r="L2093" s="2">
        <v>10534.7976</v>
      </c>
      <c r="M2093" s="2">
        <v>1769846</v>
      </c>
      <c r="N2093" s="2">
        <v>1769846</v>
      </c>
      <c r="O2093" s="2">
        <v>10156.5985</v>
      </c>
      <c r="P2093" s="2">
        <v>-378.19920000000002</v>
      </c>
      <c r="Q2093" s="2">
        <v>-63537.457499999997</v>
      </c>
      <c r="R2093" s="4">
        <v>-3.7236792738871267E-2</v>
      </c>
      <c r="T2093">
        <v>317829</v>
      </c>
      <c r="U2093" s="2">
        <v>4759492</v>
      </c>
      <c r="W2093" s="2">
        <v>6579000000</v>
      </c>
      <c r="X2093" s="6">
        <v>1706308.5424560003</v>
      </c>
      <c r="Y2093" s="38">
        <v>10010</v>
      </c>
      <c r="Z2093" s="86">
        <f>+((DETALLE_GD_1[[#This Row],[VALOR X UN (GD)]]-DETALLE_GD_1[[#This Row],[VALOR PPTO]])/DETALLE_GD_1[[#This Row],[VALOR PPTO]])</f>
        <v>3.7236787493371899E-2</v>
      </c>
      <c r="AA2093" s="2">
        <f>+DETALLE_GD_1[[#This Row],[VALOR PPTO]]*DETALLE_GD_1[[#This Row],[CANTIDAD RECIBIDA]]</f>
        <v>1706308.548</v>
      </c>
      <c r="AB20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93" s="3">
        <f>+DETALLE_GD_1[[#This Row],[CANTIDAD SOLICITADA]]-DETALLE_GD_1[[#This Row],[DEVOLUCIÓN]]</f>
        <v>168</v>
      </c>
      <c r="AD2093" s="38" t="str">
        <f>+_xlfn.XLOOKUP(DETALLE_GD_1[[#This Row],[CODIGO]],PRODUCTOS[CODIGO],PRODUCTOS[DESC CORTA],"",0)</f>
        <v>PINO 2X6X400</v>
      </c>
    </row>
    <row r="2094" spans="1:30" x14ac:dyDescent="0.25">
      <c r="A2094" s="1">
        <v>46181</v>
      </c>
      <c r="B2094" s="1">
        <v>46181</v>
      </c>
      <c r="C2094" s="81" t="s">
        <v>169</v>
      </c>
      <c r="D2094" s="38">
        <v>6</v>
      </c>
      <c r="E2094" s="81" t="s">
        <v>169</v>
      </c>
      <c r="F2094">
        <v>5314002</v>
      </c>
      <c r="G2094" s="81" t="s">
        <v>342</v>
      </c>
      <c r="H2094" s="81" t="s">
        <v>31</v>
      </c>
      <c r="I2094" s="3">
        <v>10</v>
      </c>
      <c r="J2094" s="3"/>
      <c r="K2094" s="26">
        <v>10</v>
      </c>
      <c r="L2094" s="2">
        <v>311.89999999999998</v>
      </c>
      <c r="M2094" s="2">
        <v>3119</v>
      </c>
      <c r="N2094" s="2">
        <v>3119</v>
      </c>
      <c r="O2094" s="2">
        <v>311.91989999999998</v>
      </c>
      <c r="P2094" s="2">
        <v>1.9900000000000001E-2</v>
      </c>
      <c r="Q2094" s="2">
        <v>0.19869999999999999</v>
      </c>
      <c r="R2094" s="4">
        <v>6.3689434901321451E-5</v>
      </c>
      <c r="T2094">
        <v>317829</v>
      </c>
      <c r="U2094" s="2"/>
      <c r="W2094" s="2">
        <v>6579000000</v>
      </c>
      <c r="X2094" s="6">
        <v>3119.19866</v>
      </c>
      <c r="Y2094" s="38">
        <v>10010</v>
      </c>
      <c r="Z2094" s="86">
        <f>+((DETALLE_GD_1[[#This Row],[VALOR X UN (GD)]]-DETALLE_GD_1[[#This Row],[VALOR PPTO]])/DETALLE_GD_1[[#This Row],[VALOR PPTO]])</f>
        <v>-6.3798430302160631E-5</v>
      </c>
      <c r="AA2094" s="2">
        <f>+DETALLE_GD_1[[#This Row],[VALOR PPTO]]*DETALLE_GD_1[[#This Row],[CANTIDAD RECIBIDA]]</f>
        <v>3119.1989999999996</v>
      </c>
      <c r="AB2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4" s="3">
        <f>+DETALLE_GD_1[[#This Row],[CANTIDAD SOLICITADA]]-DETALLE_GD_1[[#This Row],[DEVOLUCIÓN]]</f>
        <v>10</v>
      </c>
      <c r="AD2094" s="38" t="str">
        <f>+_xlfn.XLOOKUP(DETALLE_GD_1[[#This Row],[CODIGO]],PRODUCTOS[CODIGO],PRODUCTOS[DESC CORTA],"",0)</f>
        <v>CINTA EMBALAJE TRANSPARENTE</v>
      </c>
    </row>
    <row r="2095" spans="1:30" x14ac:dyDescent="0.25">
      <c r="A2095" s="1">
        <v>46181</v>
      </c>
      <c r="B2095" s="1">
        <v>46181</v>
      </c>
      <c r="C2095" s="81" t="s">
        <v>169</v>
      </c>
      <c r="D2095" s="38">
        <v>6</v>
      </c>
      <c r="E2095" s="81" t="s">
        <v>169</v>
      </c>
      <c r="F2095">
        <v>1901086</v>
      </c>
      <c r="G2095" s="81" t="s">
        <v>279</v>
      </c>
      <c r="H2095" s="81" t="s">
        <v>26</v>
      </c>
      <c r="I2095" s="3">
        <v>162</v>
      </c>
      <c r="J2095" s="3"/>
      <c r="K2095" s="26">
        <v>162</v>
      </c>
      <c r="L2095" s="2">
        <v>3654.8642</v>
      </c>
      <c r="M2095" s="2">
        <v>592088</v>
      </c>
      <c r="N2095" s="2">
        <v>592088</v>
      </c>
      <c r="O2095" s="2">
        <v>3711.587</v>
      </c>
      <c r="P2095" s="2">
        <v>56.722799999999999</v>
      </c>
      <c r="Q2095" s="2">
        <v>9189.1005999999998</v>
      </c>
      <c r="R2095" s="4">
        <v>1.5282638624003113E-2</v>
      </c>
      <c r="T2095">
        <v>317829</v>
      </c>
      <c r="U2095" s="2"/>
      <c r="W2095" s="2">
        <v>6579000000</v>
      </c>
      <c r="X2095" s="6">
        <v>601277.10064200009</v>
      </c>
      <c r="Y2095" s="38">
        <v>10010</v>
      </c>
      <c r="Z2095" s="86">
        <f>+((DETALLE_GD_1[[#This Row],[VALOR X UN (GD)]]-DETALLE_GD_1[[#This Row],[VALOR PPTO]])/DETALLE_GD_1[[#This Row],[VALOR PPTO]])</f>
        <v>-1.5282627081084185E-2</v>
      </c>
      <c r="AA2095" s="2">
        <f>+DETALLE_GD_1[[#This Row],[VALOR PPTO]]*DETALLE_GD_1[[#This Row],[CANTIDAD RECIBIDA]]</f>
        <v>601277.09400000004</v>
      </c>
      <c r="AB20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95" s="3">
        <f>+DETALLE_GD_1[[#This Row],[CANTIDAD SOLICITADA]]-DETALLE_GD_1[[#This Row],[DEVOLUCIÓN]]</f>
        <v>162</v>
      </c>
      <c r="AD2095" s="38" t="str">
        <f>+_xlfn.XLOOKUP(DETALLE_GD_1[[#This Row],[CODIGO]],PRODUCTOS[CODIGO],PRODUCTOS[DESC CORTA],"",0)</f>
        <v>AISLAN GLASS 140MM</v>
      </c>
    </row>
    <row r="2096" spans="1:30" x14ac:dyDescent="0.25">
      <c r="A2096" s="1">
        <v>46181</v>
      </c>
      <c r="B2096" s="1">
        <v>46181</v>
      </c>
      <c r="C2096" s="81" t="s">
        <v>169</v>
      </c>
      <c r="D2096" s="38">
        <v>6</v>
      </c>
      <c r="E2096" s="81" t="s">
        <v>169</v>
      </c>
      <c r="F2096">
        <v>1901038</v>
      </c>
      <c r="G2096" s="81" t="s">
        <v>39</v>
      </c>
      <c r="H2096" s="81" t="s">
        <v>26</v>
      </c>
      <c r="I2096" s="3">
        <v>108</v>
      </c>
      <c r="J2096" s="3"/>
      <c r="K2096" s="26">
        <v>108</v>
      </c>
      <c r="L2096" s="2">
        <v>4857.0740999999998</v>
      </c>
      <c r="M2096" s="2">
        <v>524564</v>
      </c>
      <c r="N2096" s="2">
        <v>524564</v>
      </c>
      <c r="O2096" s="2">
        <v>4197.4179000000004</v>
      </c>
      <c r="P2096" s="2">
        <v>-659.65620000000001</v>
      </c>
      <c r="Q2096" s="2">
        <v>-71242.869500000001</v>
      </c>
      <c r="R2096" s="4">
        <v>-0.15715761897403954</v>
      </c>
      <c r="T2096">
        <v>317829</v>
      </c>
      <c r="U2096" s="2"/>
      <c r="W2096" s="2">
        <v>6579000000</v>
      </c>
      <c r="X2096" s="6">
        <v>453321.13050000009</v>
      </c>
      <c r="Y2096" s="38">
        <v>10010</v>
      </c>
      <c r="Z2096" s="86">
        <f>+((DETALLE_GD_1[[#This Row],[VALOR X UN (GD)]]-DETALLE_GD_1[[#This Row],[VALOR PPTO]])/DETALLE_GD_1[[#This Row],[VALOR PPTO]])</f>
        <v>0.15715761825859639</v>
      </c>
      <c r="AA2096" s="2">
        <f>+DETALLE_GD_1[[#This Row],[VALOR PPTO]]*DETALLE_GD_1[[#This Row],[CANTIDAD RECIBIDA]]</f>
        <v>453321.13320000004</v>
      </c>
      <c r="AB20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96" s="3">
        <f>+DETALLE_GD_1[[#This Row],[CANTIDAD SOLICITADA]]-DETALLE_GD_1[[#This Row],[DEVOLUCIÓN]]</f>
        <v>108</v>
      </c>
      <c r="AD2096" s="38" t="str">
        <f>+_xlfn.XLOOKUP(DETALLE_GD_1[[#This Row],[CODIGO]],PRODUCTOS[CODIGO],PRODUCTOS[DESC CORTA],"",0)</f>
        <v>AISLAN ROCA 90MM</v>
      </c>
    </row>
    <row r="2097" spans="1:30" x14ac:dyDescent="0.25">
      <c r="A2097" s="1">
        <v>46181</v>
      </c>
      <c r="B2097" s="1">
        <v>46181</v>
      </c>
      <c r="C2097" s="81" t="s">
        <v>169</v>
      </c>
      <c r="D2097" s="38">
        <v>6</v>
      </c>
      <c r="E2097" s="81" t="s">
        <v>169</v>
      </c>
      <c r="F2097">
        <v>617055</v>
      </c>
      <c r="G2097" s="81" t="s">
        <v>182</v>
      </c>
      <c r="H2097" s="81" t="s">
        <v>31</v>
      </c>
      <c r="I2097" s="3">
        <v>10</v>
      </c>
      <c r="J2097" s="3"/>
      <c r="K2097" s="26">
        <v>10</v>
      </c>
      <c r="L2097" s="2">
        <v>694.8</v>
      </c>
      <c r="M2097" s="2">
        <v>6948</v>
      </c>
      <c r="N2097" s="2">
        <v>6948</v>
      </c>
      <c r="O2097" s="2">
        <v>920.35379999999998</v>
      </c>
      <c r="P2097" s="2">
        <v>225.5538</v>
      </c>
      <c r="Q2097" s="2">
        <v>2255.5378000000001</v>
      </c>
      <c r="R2097" s="4">
        <v>0.24507291180455321</v>
      </c>
      <c r="T2097">
        <v>317829</v>
      </c>
      <c r="U2097" s="2"/>
      <c r="W2097" s="2">
        <v>6579000000</v>
      </c>
      <c r="X2097" s="6">
        <v>9203.5378099999998</v>
      </c>
      <c r="Y2097" s="38">
        <v>10010</v>
      </c>
      <c r="Z2097" s="86">
        <f>+((DETALLE_GD_1[[#This Row],[VALOR X UN (GD)]]-DETALLE_GD_1[[#This Row],[VALOR PPTO]])/DETALLE_GD_1[[#This Row],[VALOR PPTO]])</f>
        <v>-0.24507292738944528</v>
      </c>
      <c r="AA2097" s="2">
        <f>+DETALLE_GD_1[[#This Row],[VALOR PPTO]]*DETALLE_GD_1[[#This Row],[CANTIDAD RECIBIDA]]</f>
        <v>9203.5380000000005</v>
      </c>
      <c r="AB2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7" s="3">
        <f>+DETALLE_GD_1[[#This Row],[CANTIDAD SOLICITADA]]-DETALLE_GD_1[[#This Row],[DEVOLUCIÓN]]</f>
        <v>10</v>
      </c>
      <c r="AD2097" s="38">
        <f>+_xlfn.XLOOKUP(DETALLE_GD_1[[#This Row],[CODIGO]],PRODUCTOS[CODIGO],PRODUCTOS[DESC CORTA],"",0)</f>
        <v>0</v>
      </c>
    </row>
    <row r="2098" spans="1:30" x14ac:dyDescent="0.25">
      <c r="A2098" s="1">
        <v>46181</v>
      </c>
      <c r="B2098" s="1">
        <v>46181</v>
      </c>
      <c r="C2098" s="81" t="s">
        <v>169</v>
      </c>
      <c r="D2098" s="38">
        <v>6</v>
      </c>
      <c r="E2098" s="81" t="s">
        <v>169</v>
      </c>
      <c r="F2098">
        <v>617057</v>
      </c>
      <c r="G2098" s="81" t="s">
        <v>134</v>
      </c>
      <c r="H2098" s="81" t="s">
        <v>31</v>
      </c>
      <c r="I2098" s="3">
        <v>10</v>
      </c>
      <c r="J2098" s="3"/>
      <c r="K2098" s="26">
        <v>10</v>
      </c>
      <c r="L2098" s="2">
        <v>1698.4</v>
      </c>
      <c r="M2098" s="2">
        <v>16984</v>
      </c>
      <c r="N2098" s="2">
        <v>16984</v>
      </c>
      <c r="O2098" s="2">
        <v>2042.1197</v>
      </c>
      <c r="P2098" s="2">
        <v>343.71969999999999</v>
      </c>
      <c r="Q2098" s="2">
        <v>3437.1970999999999</v>
      </c>
      <c r="R2098" s="4">
        <v>0.1683151604629782</v>
      </c>
      <c r="T2098">
        <v>317829</v>
      </c>
      <c r="U2098" s="2"/>
      <c r="W2098" s="2">
        <v>6579000000</v>
      </c>
      <c r="X2098" s="6">
        <v>20421.197059999999</v>
      </c>
      <c r="Y2098" s="38">
        <v>10010</v>
      </c>
      <c r="Z2098" s="86">
        <f>+((DETALLE_GD_1[[#This Row],[VALOR X UN (GD)]]-DETALLE_GD_1[[#This Row],[VALOR PPTO]])/DETALLE_GD_1[[#This Row],[VALOR PPTO]])</f>
        <v>-0.16831515801938537</v>
      </c>
      <c r="AA2098" s="2">
        <f>+DETALLE_GD_1[[#This Row],[VALOR PPTO]]*DETALLE_GD_1[[#This Row],[CANTIDAD RECIBIDA]]</f>
        <v>20421.197</v>
      </c>
      <c r="AB2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8" s="3">
        <f>+DETALLE_GD_1[[#This Row],[CANTIDAD SOLICITADA]]-DETALLE_GD_1[[#This Row],[DEVOLUCIÓN]]</f>
        <v>10</v>
      </c>
      <c r="AD2098" s="38" t="str">
        <f>+_xlfn.XLOOKUP(DETALLE_GD_1[[#This Row],[CODIGO]],PRODUCTOS[CODIGO],PRODUCTOS[DESC CORTA],"",0)</f>
        <v>BROCHA 5/8 X4</v>
      </c>
    </row>
    <row r="2099" spans="1:30" x14ac:dyDescent="0.25">
      <c r="A2099" s="1">
        <v>46181</v>
      </c>
      <c r="B2099" s="1">
        <v>46181</v>
      </c>
      <c r="C2099" s="81" t="s">
        <v>169</v>
      </c>
      <c r="D2099" s="38">
        <v>6</v>
      </c>
      <c r="E2099" s="81" t="s">
        <v>169</v>
      </c>
      <c r="F2099">
        <v>1610023</v>
      </c>
      <c r="G2099" s="81" t="s">
        <v>351</v>
      </c>
      <c r="H2099" s="81" t="s">
        <v>28</v>
      </c>
      <c r="I2099" s="3">
        <v>5</v>
      </c>
      <c r="J2099" s="3"/>
      <c r="K2099" s="26">
        <v>5</v>
      </c>
      <c r="L2099" s="2">
        <v>2278.1999999999998</v>
      </c>
      <c r="M2099" s="2">
        <v>11391</v>
      </c>
      <c r="N2099" s="2">
        <v>11391</v>
      </c>
      <c r="O2099" s="2">
        <v>2109.0585000000001</v>
      </c>
      <c r="P2099" s="2">
        <v>-169.14150000000001</v>
      </c>
      <c r="Q2099" s="2">
        <v>-845.70730000000003</v>
      </c>
      <c r="R2099" s="4">
        <v>-8.0197611698158158E-2</v>
      </c>
      <c r="T2099">
        <v>317829</v>
      </c>
      <c r="U2099" s="2"/>
      <c r="W2099" s="2">
        <v>6579000000</v>
      </c>
      <c r="X2099" s="6">
        <v>10545.292710000002</v>
      </c>
      <c r="Y2099" s="38">
        <v>10010</v>
      </c>
      <c r="Z2099" s="86">
        <f>+((DETALLE_GD_1[[#This Row],[VALOR X UN (GD)]]-DETALLE_GD_1[[#This Row],[VALOR PPTO]])/DETALLE_GD_1[[#This Row],[VALOR PPTO]])</f>
        <v>8.0197633209320524E-2</v>
      </c>
      <c r="AA2099" s="2">
        <f>+DETALLE_GD_1[[#This Row],[VALOR PPTO]]*DETALLE_GD_1[[#This Row],[CANTIDAD RECIBIDA]]</f>
        <v>10545.2925</v>
      </c>
      <c r="AB2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9" s="3">
        <f>+DETALLE_GD_1[[#This Row],[CANTIDAD SOLICITADA]]-DETALLE_GD_1[[#This Row],[DEVOLUCIÓN]]</f>
        <v>5</v>
      </c>
      <c r="AD2099" s="38" t="str">
        <f>+_xlfn.XLOOKUP(DETALLE_GD_1[[#This Row],[CODIGO]],PRODUCTOS[CODIGO],PRODUCTOS[DESC CORTA],"",0)</f>
        <v>TRAPOS DE ASEO</v>
      </c>
    </row>
    <row r="2100" spans="1:30" x14ac:dyDescent="0.25">
      <c r="A2100" s="1">
        <v>46181</v>
      </c>
      <c r="B2100" s="1">
        <v>46181</v>
      </c>
      <c r="C2100" s="81" t="s">
        <v>169</v>
      </c>
      <c r="D2100" s="38">
        <v>6</v>
      </c>
      <c r="E2100" s="81" t="s">
        <v>169</v>
      </c>
      <c r="F2100">
        <v>304101</v>
      </c>
      <c r="G2100" s="81" t="s">
        <v>17</v>
      </c>
      <c r="H2100" s="81" t="s">
        <v>18</v>
      </c>
      <c r="I2100" s="3">
        <v>168</v>
      </c>
      <c r="J2100" s="3"/>
      <c r="K2100" s="26">
        <v>168</v>
      </c>
      <c r="L2100" s="2">
        <v>9610.2916999999998</v>
      </c>
      <c r="M2100" s="2">
        <v>1614529</v>
      </c>
      <c r="N2100" s="2">
        <v>1614529</v>
      </c>
      <c r="O2100" s="2">
        <v>9657.5879999999997</v>
      </c>
      <c r="P2100" s="2">
        <v>47.296300000000002</v>
      </c>
      <c r="Q2100" s="2">
        <v>7945.7755999999999</v>
      </c>
      <c r="R2100" s="4">
        <v>4.8973184172077418E-3</v>
      </c>
      <c r="T2100">
        <v>317829</v>
      </c>
      <c r="U2100" s="2"/>
      <c r="W2100" s="2">
        <v>6579000000</v>
      </c>
      <c r="X2100" s="6">
        <v>1622474.7756000008</v>
      </c>
      <c r="Y2100" s="38">
        <v>10010</v>
      </c>
      <c r="Z2100" s="86">
        <f>+((DETALLE_GD_1[[#This Row],[VALOR X UN (GD)]]-DETALLE_GD_1[[#This Row],[VALOR PPTO]])/DETALLE_GD_1[[#This Row],[VALOR PPTO]])</f>
        <v>-4.8973201176111441E-3</v>
      </c>
      <c r="AA2100" s="2">
        <f>+DETALLE_GD_1[[#This Row],[VALOR PPTO]]*DETALLE_GD_1[[#This Row],[CANTIDAD RECIBIDA]]</f>
        <v>1622474.784</v>
      </c>
      <c r="AB2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00" s="3">
        <f>+DETALLE_GD_1[[#This Row],[CANTIDAD SOLICITADA]]-DETALLE_GD_1[[#This Row],[DEVOLUCIÓN]]</f>
        <v>168</v>
      </c>
      <c r="AD2100" s="38" t="str">
        <f>+_xlfn.XLOOKUP(DETALLE_GD_1[[#This Row],[CODIGO]],PRODUCTOS[CODIGO],PRODUCTOS[DESC CORTA],"",0)</f>
        <v>OSB 9.5</v>
      </c>
    </row>
    <row r="2101" spans="1:30" x14ac:dyDescent="0.25">
      <c r="A2101" s="1">
        <v>46181</v>
      </c>
      <c r="B2101" s="1">
        <v>46181</v>
      </c>
      <c r="C2101" s="81" t="s">
        <v>169</v>
      </c>
      <c r="D2101" s="38">
        <v>6</v>
      </c>
      <c r="E2101" s="81" t="s">
        <v>169</v>
      </c>
      <c r="F2101">
        <v>106022</v>
      </c>
      <c r="G2101" s="81" t="s">
        <v>245</v>
      </c>
      <c r="H2101" s="81" t="s">
        <v>31</v>
      </c>
      <c r="I2101" s="3">
        <v>12</v>
      </c>
      <c r="J2101" s="3"/>
      <c r="K2101" s="26">
        <v>12</v>
      </c>
      <c r="L2101" s="2">
        <v>3800.0832999999998</v>
      </c>
      <c r="M2101" s="2">
        <v>45601</v>
      </c>
      <c r="N2101" s="2">
        <v>45601</v>
      </c>
      <c r="O2101" s="2">
        <v>3800.6911</v>
      </c>
      <c r="P2101" s="2">
        <v>0.60780000000000001</v>
      </c>
      <c r="Q2101" s="2">
        <v>7.2931999999999997</v>
      </c>
      <c r="R2101" s="4">
        <v>1.5990925093254776E-4</v>
      </c>
      <c r="T2101">
        <v>317829</v>
      </c>
      <c r="U2101" s="2"/>
      <c r="W2101" s="2">
        <v>6579000000</v>
      </c>
      <c r="X2101" s="6">
        <v>45608.293188000011</v>
      </c>
      <c r="Y2101" s="38">
        <v>10010</v>
      </c>
      <c r="Z2101" s="86">
        <f>+((DETALLE_GD_1[[#This Row],[VALOR X UN (GD)]]-DETALLE_GD_1[[#This Row],[VALOR PPTO]])/DETALLE_GD_1[[#This Row],[VALOR PPTO]])</f>
        <v>-1.599182843352423E-4</v>
      </c>
      <c r="AA2101" s="2">
        <f>+DETALLE_GD_1[[#This Row],[VALOR PPTO]]*DETALLE_GD_1[[#This Row],[CANTIDAD RECIBIDA]]</f>
        <v>45608.2932</v>
      </c>
      <c r="AB2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1" s="3">
        <f>+DETALLE_GD_1[[#This Row],[CANTIDAD SOLICITADA]]-DETALLE_GD_1[[#This Row],[DEVOLUCIÓN]]</f>
        <v>12</v>
      </c>
      <c r="AD2101" s="38">
        <f>+_xlfn.XLOOKUP(DETALLE_GD_1[[#This Row],[CODIGO]],PRODUCTOS[CODIGO],PRODUCTOS[DESC CORTA],"",0)</f>
        <v>0</v>
      </c>
    </row>
    <row r="2102" spans="1:30" x14ac:dyDescent="0.25">
      <c r="A2102" s="1">
        <v>46181</v>
      </c>
      <c r="B2102" s="1">
        <v>46181</v>
      </c>
      <c r="C2102" s="81" t="s">
        <v>169</v>
      </c>
      <c r="D2102" s="38">
        <v>6</v>
      </c>
      <c r="E2102" s="81" t="s">
        <v>169</v>
      </c>
      <c r="F2102">
        <v>412630</v>
      </c>
      <c r="G2102" s="81" t="s">
        <v>284</v>
      </c>
      <c r="H2102" s="81" t="s">
        <v>31</v>
      </c>
      <c r="I2102" s="3">
        <v>1</v>
      </c>
      <c r="J2102" s="3"/>
      <c r="K2102" s="26">
        <v>1</v>
      </c>
      <c r="L2102" s="2">
        <v>150300</v>
      </c>
      <c r="M2102" s="2">
        <v>150300</v>
      </c>
      <c r="N2102" s="2">
        <v>150300</v>
      </c>
      <c r="O2102" s="2">
        <v>148200</v>
      </c>
      <c r="P2102" s="2">
        <v>-2100</v>
      </c>
      <c r="Q2102" s="2">
        <v>-2100</v>
      </c>
      <c r="R2102" s="4">
        <v>-1.417004048582996E-2</v>
      </c>
      <c r="T2102">
        <v>317829</v>
      </c>
      <c r="U2102" s="2"/>
      <c r="W2102" s="2">
        <v>6579000000</v>
      </c>
      <c r="X2102" s="6">
        <v>148200</v>
      </c>
      <c r="Y2102" s="38">
        <v>10010</v>
      </c>
      <c r="Z2102" s="86">
        <f>+((DETALLE_GD_1[[#This Row],[VALOR X UN (GD)]]-DETALLE_GD_1[[#This Row],[VALOR PPTO]])/DETALLE_GD_1[[#This Row],[VALOR PPTO]])</f>
        <v>1.417004048582996E-2</v>
      </c>
      <c r="AA2102" s="2">
        <f>+DETALLE_GD_1[[#This Row],[VALOR PPTO]]*DETALLE_GD_1[[#This Row],[CANTIDAD RECIBIDA]]</f>
        <v>148200</v>
      </c>
      <c r="AB2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2" s="3">
        <f>+DETALLE_GD_1[[#This Row],[CANTIDAD SOLICITADA]]-DETALLE_GD_1[[#This Row],[DEVOLUCIÓN]]</f>
        <v>1</v>
      </c>
      <c r="AD2102" s="38">
        <f>+_xlfn.XLOOKUP(DETALLE_GD_1[[#This Row],[CODIGO]],PRODUCTOS[CODIGO],PRODUCTOS[DESC CORTA],"",0)</f>
        <v>0</v>
      </c>
    </row>
    <row r="2103" spans="1:30" x14ac:dyDescent="0.25">
      <c r="A2103" s="1">
        <v>46181</v>
      </c>
      <c r="B2103" s="1">
        <v>46181</v>
      </c>
      <c r="C2103" s="81" t="s">
        <v>169</v>
      </c>
      <c r="D2103" s="38">
        <v>6</v>
      </c>
      <c r="E2103" s="81" t="s">
        <v>169</v>
      </c>
      <c r="F2103">
        <v>609008</v>
      </c>
      <c r="G2103" s="81" t="s">
        <v>57</v>
      </c>
      <c r="H2103" s="81" t="s">
        <v>58</v>
      </c>
      <c r="I2103" s="3">
        <v>10</v>
      </c>
      <c r="J2103" s="3"/>
      <c r="K2103" s="26">
        <v>10</v>
      </c>
      <c r="L2103" s="2">
        <v>2412.1999999999998</v>
      </c>
      <c r="M2103" s="2">
        <v>24122</v>
      </c>
      <c r="N2103" s="2">
        <v>24122</v>
      </c>
      <c r="O2103" s="2">
        <v>2130.7573000000002</v>
      </c>
      <c r="P2103" s="2">
        <v>-281.4427</v>
      </c>
      <c r="Q2103" s="2">
        <v>-2814.4268999999999</v>
      </c>
      <c r="R2103" s="4">
        <v>-0.13208575593247637</v>
      </c>
      <c r="T2103">
        <v>317829</v>
      </c>
      <c r="U2103" s="2"/>
      <c r="W2103" s="2">
        <v>6579000000</v>
      </c>
      <c r="X2103" s="6">
        <v>21307.573100000001</v>
      </c>
      <c r="Y2103" s="38">
        <v>10010</v>
      </c>
      <c r="Z2103" s="86">
        <f>+((DETALLE_GD_1[[#This Row],[VALOR X UN (GD)]]-DETALLE_GD_1[[#This Row],[VALOR PPTO]])/DETALLE_GD_1[[#This Row],[VALOR PPTO]])</f>
        <v>0.1320857612455438</v>
      </c>
      <c r="AA2103" s="2">
        <f>+DETALLE_GD_1[[#This Row],[VALOR PPTO]]*DETALLE_GD_1[[#This Row],[CANTIDAD RECIBIDA]]</f>
        <v>21307.573000000004</v>
      </c>
      <c r="AB2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3" s="3">
        <f>+DETALLE_GD_1[[#This Row],[CANTIDAD SOLICITADA]]-DETALLE_GD_1[[#This Row],[DEVOLUCIÓN]]</f>
        <v>10</v>
      </c>
      <c r="AD2103" s="38" t="str">
        <f>+_xlfn.XLOOKUP(DETALLE_GD_1[[#This Row],[CODIGO]],PRODUCTOS[CODIGO],PRODUCTOS[DESC CORTA],"",0)</f>
        <v>DUCO</v>
      </c>
    </row>
    <row r="2104" spans="1:30" x14ac:dyDescent="0.25">
      <c r="A2104" s="1">
        <v>46181</v>
      </c>
      <c r="B2104" s="1">
        <v>46181</v>
      </c>
      <c r="C2104" s="81" t="s">
        <v>169</v>
      </c>
      <c r="D2104" s="38">
        <v>6</v>
      </c>
      <c r="E2104" s="81" t="s">
        <v>169</v>
      </c>
      <c r="F2104">
        <v>2302119</v>
      </c>
      <c r="G2104" s="81" t="s">
        <v>74</v>
      </c>
      <c r="H2104" s="81" t="s">
        <v>31</v>
      </c>
      <c r="I2104" s="3">
        <v>48</v>
      </c>
      <c r="J2104" s="3"/>
      <c r="K2104" s="26">
        <v>48</v>
      </c>
      <c r="L2104" s="2">
        <v>3679.875</v>
      </c>
      <c r="M2104" s="2">
        <v>176634</v>
      </c>
      <c r="N2104" s="2">
        <v>176634</v>
      </c>
      <c r="O2104" s="2">
        <v>3671</v>
      </c>
      <c r="P2104" s="2">
        <v>-8.875</v>
      </c>
      <c r="Q2104" s="2">
        <v>-426</v>
      </c>
      <c r="R2104" s="4">
        <v>-2.4175973849087443E-3</v>
      </c>
      <c r="T2104">
        <v>317802</v>
      </c>
      <c r="U2104" s="2">
        <v>748164</v>
      </c>
      <c r="W2104" s="2">
        <v>6579000000</v>
      </c>
      <c r="X2104" s="6">
        <v>176208</v>
      </c>
      <c r="Y2104" s="38">
        <v>10010</v>
      </c>
      <c r="Z2104" s="86">
        <f>+((DETALLE_GD_1[[#This Row],[VALOR X UN (GD)]]-DETALLE_GD_1[[#This Row],[VALOR PPTO]])/DETALLE_GD_1[[#This Row],[VALOR PPTO]])</f>
        <v>2.4175973849087443E-3</v>
      </c>
      <c r="AA2104" s="2">
        <f>+DETALLE_GD_1[[#This Row],[VALOR PPTO]]*DETALLE_GD_1[[#This Row],[CANTIDAD RECIBIDA]]</f>
        <v>176208</v>
      </c>
      <c r="AB2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4" s="3">
        <f>+DETALLE_GD_1[[#This Row],[CANTIDAD SOLICITADA]]-DETALLE_GD_1[[#This Row],[DEVOLUCIÓN]]</f>
        <v>48</v>
      </c>
      <c r="AD2104" s="38" t="str">
        <f>+_xlfn.XLOOKUP(DETALLE_GD_1[[#This Row],[CODIGO]],PRODUCTOS[CODIGO],PRODUCTOS[DESC CORTA],"",0)</f>
        <v>SELLO</v>
      </c>
    </row>
    <row r="2105" spans="1:30" x14ac:dyDescent="0.25">
      <c r="A2105" s="1">
        <v>46181</v>
      </c>
      <c r="B2105" s="1">
        <v>46181</v>
      </c>
      <c r="C2105" s="81" t="s">
        <v>169</v>
      </c>
      <c r="D2105" s="38">
        <v>6</v>
      </c>
      <c r="E2105" s="81" t="s">
        <v>169</v>
      </c>
      <c r="F2105">
        <v>1808156</v>
      </c>
      <c r="G2105" s="81" t="s">
        <v>277</v>
      </c>
      <c r="H2105" s="81" t="s">
        <v>31</v>
      </c>
      <c r="I2105" s="3">
        <v>4</v>
      </c>
      <c r="J2105" s="3"/>
      <c r="K2105" s="26">
        <v>4</v>
      </c>
      <c r="L2105" s="2">
        <v>1931.5</v>
      </c>
      <c r="M2105" s="2">
        <v>7726</v>
      </c>
      <c r="N2105" s="2">
        <v>7726</v>
      </c>
      <c r="O2105" s="2">
        <v>1916</v>
      </c>
      <c r="P2105" s="2">
        <v>-15.5</v>
      </c>
      <c r="Q2105" s="2">
        <v>-62</v>
      </c>
      <c r="R2105" s="4">
        <v>-8.0897703549060538E-3</v>
      </c>
      <c r="T2105">
        <v>317802</v>
      </c>
      <c r="U2105" s="2"/>
      <c r="W2105" s="2">
        <v>6579000000</v>
      </c>
      <c r="X2105" s="6">
        <v>7664</v>
      </c>
      <c r="Y2105" s="38">
        <v>10010</v>
      </c>
      <c r="Z2105" s="86">
        <f>+((DETALLE_GD_1[[#This Row],[VALOR X UN (GD)]]-DETALLE_GD_1[[#This Row],[VALOR PPTO]])/DETALLE_GD_1[[#This Row],[VALOR PPTO]])</f>
        <v>8.0897703549060538E-3</v>
      </c>
      <c r="AA2105" s="2">
        <f>+DETALLE_GD_1[[#This Row],[VALOR PPTO]]*DETALLE_GD_1[[#This Row],[CANTIDAD RECIBIDA]]</f>
        <v>7664</v>
      </c>
      <c r="AB2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5" s="3">
        <f>+DETALLE_GD_1[[#This Row],[CANTIDAD SOLICITADA]]-DETALLE_GD_1[[#This Row],[DEVOLUCIÓN]]</f>
        <v>4</v>
      </c>
      <c r="AD2105" s="38" t="str">
        <f>+_xlfn.XLOOKUP(DETALLE_GD_1[[#This Row],[CODIGO]],PRODUCTOS[CODIGO],PRODUCTOS[DESC CORTA],"",0)</f>
        <v>PERCHA SIMPLE YORK</v>
      </c>
    </row>
    <row r="2106" spans="1:30" x14ac:dyDescent="0.25">
      <c r="A2106" s="1">
        <v>46181</v>
      </c>
      <c r="B2106" s="1">
        <v>46181</v>
      </c>
      <c r="C2106" s="81" t="s">
        <v>169</v>
      </c>
      <c r="D2106" s="38">
        <v>6</v>
      </c>
      <c r="E2106" s="81" t="s">
        <v>169</v>
      </c>
      <c r="F2106">
        <v>1808006</v>
      </c>
      <c r="G2106" s="81" t="s">
        <v>194</v>
      </c>
      <c r="H2106" s="81" t="s">
        <v>31</v>
      </c>
      <c r="I2106" s="3">
        <v>4</v>
      </c>
      <c r="J2106" s="3"/>
      <c r="K2106" s="26">
        <v>4</v>
      </c>
      <c r="L2106" s="2">
        <v>2906.75</v>
      </c>
      <c r="M2106" s="2">
        <v>11627</v>
      </c>
      <c r="N2106" s="2">
        <v>11627</v>
      </c>
      <c r="O2106" s="2">
        <v>2906.6711</v>
      </c>
      <c r="P2106" s="2">
        <v>-7.8899999999999998E-2</v>
      </c>
      <c r="Q2106" s="2">
        <v>-0.31559999999999999</v>
      </c>
      <c r="R2106" s="4">
        <v>-2.7145830193360785E-5</v>
      </c>
      <c r="T2106">
        <v>317802</v>
      </c>
      <c r="U2106" s="2"/>
      <c r="W2106" s="2">
        <v>6579000000</v>
      </c>
      <c r="X2106" s="6">
        <v>11626.684384</v>
      </c>
      <c r="Y2106" s="38">
        <v>10010</v>
      </c>
      <c r="Z2106" s="86">
        <f>+((DETALLE_GD_1[[#This Row],[VALOR X UN (GD)]]-DETALLE_GD_1[[#This Row],[VALOR PPTO]])/DETALLE_GD_1[[#This Row],[VALOR PPTO]])</f>
        <v>2.7144454011317615E-5</v>
      </c>
      <c r="AA2106" s="2">
        <f>+DETALLE_GD_1[[#This Row],[VALOR PPTO]]*DETALLE_GD_1[[#This Row],[CANTIDAD RECIBIDA]]</f>
        <v>11626.6844</v>
      </c>
      <c r="AB2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6" s="3">
        <f>+DETALLE_GD_1[[#This Row],[CANTIDAD SOLICITADA]]-DETALLE_GD_1[[#This Row],[DEVOLUCIÓN]]</f>
        <v>4</v>
      </c>
      <c r="AD2106" s="38">
        <f>+_xlfn.XLOOKUP(DETALLE_GD_1[[#This Row],[CODIGO]],PRODUCTOS[CODIGO],PRODUCTOS[DESC CORTA],"",0)</f>
        <v>0</v>
      </c>
    </row>
    <row r="2107" spans="1:30" x14ac:dyDescent="0.25">
      <c r="A2107" s="1">
        <v>46181</v>
      </c>
      <c r="B2107" s="1">
        <v>46181</v>
      </c>
      <c r="C2107" s="81" t="s">
        <v>169</v>
      </c>
      <c r="D2107" s="38">
        <v>6</v>
      </c>
      <c r="E2107" s="81" t="s">
        <v>169</v>
      </c>
      <c r="F2107">
        <v>1808003</v>
      </c>
      <c r="G2107" s="81" t="s">
        <v>195</v>
      </c>
      <c r="H2107" s="81" t="s">
        <v>31</v>
      </c>
      <c r="I2107" s="3">
        <v>8</v>
      </c>
      <c r="J2107" s="3"/>
      <c r="K2107" s="26">
        <v>8</v>
      </c>
      <c r="L2107" s="2">
        <v>167.75</v>
      </c>
      <c r="M2107" s="2">
        <v>1342</v>
      </c>
      <c r="N2107" s="2">
        <v>1342</v>
      </c>
      <c r="O2107" s="2">
        <v>167.7449</v>
      </c>
      <c r="P2107" s="2">
        <v>-5.1000000000000004E-3</v>
      </c>
      <c r="Q2107" s="2">
        <v>-4.1099999999999998E-2</v>
      </c>
      <c r="R2107" s="4">
        <v>-3.065369669917391E-5</v>
      </c>
      <c r="T2107">
        <v>317802</v>
      </c>
      <c r="U2107" s="2"/>
      <c r="W2107" s="2">
        <v>6579000000</v>
      </c>
      <c r="X2107" s="6">
        <v>1341.9588640000002</v>
      </c>
      <c r="Y2107" s="38">
        <v>10010</v>
      </c>
      <c r="Z2107" s="86">
        <f>+((DETALLE_GD_1[[#This Row],[VALOR X UN (GD)]]-DETALLE_GD_1[[#This Row],[VALOR PPTO]])/DETALLE_GD_1[[#This Row],[VALOR PPTO]])</f>
        <v>3.0403308833823098E-5</v>
      </c>
      <c r="AA2107" s="2">
        <f>+DETALLE_GD_1[[#This Row],[VALOR PPTO]]*DETALLE_GD_1[[#This Row],[CANTIDAD RECIBIDA]]</f>
        <v>1341.9592</v>
      </c>
      <c r="AB2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7" s="3">
        <f>+DETALLE_GD_1[[#This Row],[CANTIDAD SOLICITADA]]-DETALLE_GD_1[[#This Row],[DEVOLUCIÓN]]</f>
        <v>8</v>
      </c>
      <c r="AD2107" s="38">
        <f>+_xlfn.XLOOKUP(DETALLE_GD_1[[#This Row],[CODIGO]],PRODUCTOS[CODIGO],PRODUCTOS[DESC CORTA],"",0)</f>
        <v>0</v>
      </c>
    </row>
    <row r="2108" spans="1:30" x14ac:dyDescent="0.25">
      <c r="A2108" s="1">
        <v>46181</v>
      </c>
      <c r="B2108" s="1">
        <v>46181</v>
      </c>
      <c r="C2108" s="81" t="s">
        <v>169</v>
      </c>
      <c r="D2108" s="38">
        <v>6</v>
      </c>
      <c r="E2108" s="81" t="s">
        <v>169</v>
      </c>
      <c r="F2108">
        <v>1802172</v>
      </c>
      <c r="G2108" s="81" t="s">
        <v>266</v>
      </c>
      <c r="H2108" s="81" t="s">
        <v>31</v>
      </c>
      <c r="I2108" s="3">
        <v>4</v>
      </c>
      <c r="J2108" s="3"/>
      <c r="K2108" s="26">
        <v>4</v>
      </c>
      <c r="L2108" s="2">
        <v>3032.5</v>
      </c>
      <c r="M2108" s="2">
        <v>12130</v>
      </c>
      <c r="N2108" s="2">
        <v>12130</v>
      </c>
      <c r="O2108" s="2">
        <v>3035</v>
      </c>
      <c r="P2108" s="2">
        <v>2.5</v>
      </c>
      <c r="Q2108" s="2">
        <v>10</v>
      </c>
      <c r="R2108" s="4">
        <v>8.2372322899505756E-4</v>
      </c>
      <c r="T2108">
        <v>317802</v>
      </c>
      <c r="U2108" s="2"/>
      <c r="W2108" s="2">
        <v>6579000000</v>
      </c>
      <c r="X2108" s="6">
        <v>12140</v>
      </c>
      <c r="Y2108" s="38">
        <v>10010</v>
      </c>
      <c r="Z2108" s="86">
        <f>+((DETALLE_GD_1[[#This Row],[VALOR X UN (GD)]]-DETALLE_GD_1[[#This Row],[VALOR PPTO]])/DETALLE_GD_1[[#This Row],[VALOR PPTO]])</f>
        <v>-8.2372322899505767E-4</v>
      </c>
      <c r="AA2108" s="2">
        <f>+DETALLE_GD_1[[#This Row],[VALOR PPTO]]*DETALLE_GD_1[[#This Row],[CANTIDAD RECIBIDA]]</f>
        <v>12140</v>
      </c>
      <c r="AB2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8" s="3">
        <f>+DETALLE_GD_1[[#This Row],[CANTIDAD SOLICITADA]]-DETALLE_GD_1[[#This Row],[DEVOLUCIÓN]]</f>
        <v>4</v>
      </c>
      <c r="AD2108" s="38" t="str">
        <f>+_xlfn.XLOOKUP(DETALLE_GD_1[[#This Row],[CODIGO]],PRODUCTOS[CODIGO],PRODUCTOS[DESC CORTA],"",0)</f>
        <v>ARGOLLA TOALLA BENTON</v>
      </c>
    </row>
    <row r="2109" spans="1:30" x14ac:dyDescent="0.25">
      <c r="A2109" s="1">
        <v>46181</v>
      </c>
      <c r="B2109" s="1">
        <v>46181</v>
      </c>
      <c r="C2109" s="81" t="s">
        <v>169</v>
      </c>
      <c r="D2109" s="38">
        <v>6</v>
      </c>
      <c r="E2109" s="81" t="s">
        <v>169</v>
      </c>
      <c r="F2109">
        <v>1802171</v>
      </c>
      <c r="G2109" s="81" t="s">
        <v>265</v>
      </c>
      <c r="H2109" s="81" t="s">
        <v>31</v>
      </c>
      <c r="I2109" s="3">
        <v>4</v>
      </c>
      <c r="J2109" s="3"/>
      <c r="K2109" s="26">
        <v>4</v>
      </c>
      <c r="L2109" s="2">
        <v>3148.5</v>
      </c>
      <c r="M2109" s="2">
        <v>12594</v>
      </c>
      <c r="N2109" s="2">
        <v>12594</v>
      </c>
      <c r="O2109" s="2">
        <v>3632</v>
      </c>
      <c r="P2109" s="2">
        <v>483.5</v>
      </c>
      <c r="Q2109" s="2">
        <v>1934</v>
      </c>
      <c r="R2109" s="4">
        <v>0.13312224669603523</v>
      </c>
      <c r="T2109">
        <v>317802</v>
      </c>
      <c r="U2109" s="2"/>
      <c r="W2109" s="2">
        <v>6579000000</v>
      </c>
      <c r="X2109" s="6">
        <v>14528</v>
      </c>
      <c r="Y2109" s="38">
        <v>10010</v>
      </c>
      <c r="Z2109" s="86">
        <f>+((DETALLE_GD_1[[#This Row],[VALOR X UN (GD)]]-DETALLE_GD_1[[#This Row],[VALOR PPTO]])/DETALLE_GD_1[[#This Row],[VALOR PPTO]])</f>
        <v>-0.13312224669603523</v>
      </c>
      <c r="AA2109" s="2">
        <f>+DETALLE_GD_1[[#This Row],[VALOR PPTO]]*DETALLE_GD_1[[#This Row],[CANTIDAD RECIBIDA]]</f>
        <v>14528</v>
      </c>
      <c r="AB2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9" s="3">
        <f>+DETALLE_GD_1[[#This Row],[CANTIDAD SOLICITADA]]-DETALLE_GD_1[[#This Row],[DEVOLUCIÓN]]</f>
        <v>4</v>
      </c>
      <c r="AD2109" s="38" t="str">
        <f>+_xlfn.XLOOKUP(DETALLE_GD_1[[#This Row],[CODIGO]],PRODUCTOS[CODIGO],PRODUCTOS[DESC CORTA],"",0)</f>
        <v>PORTA ROLLO BENTON</v>
      </c>
    </row>
    <row r="2110" spans="1:30" x14ac:dyDescent="0.25">
      <c r="A2110" s="1">
        <v>46181</v>
      </c>
      <c r="B2110" s="1">
        <v>46181</v>
      </c>
      <c r="C2110" s="81" t="s">
        <v>169</v>
      </c>
      <c r="D2110" s="38">
        <v>6</v>
      </c>
      <c r="E2110" s="81" t="s">
        <v>169</v>
      </c>
      <c r="F2110">
        <v>1206002</v>
      </c>
      <c r="G2110" s="81" t="s">
        <v>192</v>
      </c>
      <c r="H2110" s="81" t="s">
        <v>31</v>
      </c>
      <c r="I2110" s="3">
        <v>4</v>
      </c>
      <c r="J2110" s="3"/>
      <c r="K2110" s="26">
        <v>4</v>
      </c>
      <c r="L2110" s="2">
        <v>20331.75</v>
      </c>
      <c r="M2110" s="2">
        <v>81327</v>
      </c>
      <c r="N2110" s="2">
        <v>81327</v>
      </c>
      <c r="O2110" s="2">
        <v>15783.483899999999</v>
      </c>
      <c r="P2110" s="2">
        <v>-4548.2660999999998</v>
      </c>
      <c r="Q2110" s="2">
        <v>-18193.0645</v>
      </c>
      <c r="R2110" s="4">
        <v>-0.28816617206780443</v>
      </c>
      <c r="T2110">
        <v>317802</v>
      </c>
      <c r="U2110" s="2"/>
      <c r="W2110" s="2">
        <v>6579000000</v>
      </c>
      <c r="X2110" s="6">
        <v>63133.935483999994</v>
      </c>
      <c r="Y2110" s="38">
        <v>10010</v>
      </c>
      <c r="Z2110" s="86">
        <f>+((DETALLE_GD_1[[#This Row],[VALOR X UN (GD)]]-DETALLE_GD_1[[#This Row],[VALOR PPTO]])/DETALLE_GD_1[[#This Row],[VALOR PPTO]])</f>
        <v>0.28816616970097464</v>
      </c>
      <c r="AA2110" s="2">
        <f>+DETALLE_GD_1[[#This Row],[VALOR PPTO]]*DETALLE_GD_1[[#This Row],[CANTIDAD RECIBIDA]]</f>
        <v>63133.935599999997</v>
      </c>
      <c r="AB2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0" s="3">
        <f>+DETALLE_GD_1[[#This Row],[CANTIDAD SOLICITADA]]-DETALLE_GD_1[[#This Row],[DEVOLUCIÓN]]</f>
        <v>4</v>
      </c>
      <c r="AD2110" s="38">
        <f>+_xlfn.XLOOKUP(DETALLE_GD_1[[#This Row],[CODIGO]],PRODUCTOS[CODIGO],PRODUCTOS[DESC CORTA],"",0)</f>
        <v>0</v>
      </c>
    </row>
    <row r="2111" spans="1:30" x14ac:dyDescent="0.25">
      <c r="A2111" s="1">
        <v>46181</v>
      </c>
      <c r="B2111" s="1">
        <v>46181</v>
      </c>
      <c r="C2111" s="81" t="s">
        <v>169</v>
      </c>
      <c r="D2111" s="38">
        <v>6</v>
      </c>
      <c r="E2111" s="81" t="s">
        <v>169</v>
      </c>
      <c r="F2111">
        <v>617057</v>
      </c>
      <c r="G2111" s="81" t="s">
        <v>134</v>
      </c>
      <c r="H2111" s="81" t="s">
        <v>31</v>
      </c>
      <c r="I2111" s="3">
        <v>5</v>
      </c>
      <c r="J2111" s="3"/>
      <c r="K2111" s="26">
        <v>5</v>
      </c>
      <c r="L2111" s="2">
        <v>1698.4</v>
      </c>
      <c r="M2111" s="2">
        <v>8492</v>
      </c>
      <c r="N2111" s="2">
        <v>8492</v>
      </c>
      <c r="O2111" s="2">
        <v>2042.1197</v>
      </c>
      <c r="P2111" s="2">
        <v>343.71969999999999</v>
      </c>
      <c r="Q2111" s="2">
        <v>1718.5985000000001</v>
      </c>
      <c r="R2111" s="4">
        <v>0.1683151604629782</v>
      </c>
      <c r="T2111">
        <v>317802</v>
      </c>
      <c r="U2111" s="2"/>
      <c r="W2111" s="2">
        <v>6579000000</v>
      </c>
      <c r="X2111" s="6">
        <v>10210.598529999999</v>
      </c>
      <c r="Y2111" s="38">
        <v>10010</v>
      </c>
      <c r="Z2111" s="86">
        <f>+((DETALLE_GD_1[[#This Row],[VALOR X UN (GD)]]-DETALLE_GD_1[[#This Row],[VALOR PPTO]])/DETALLE_GD_1[[#This Row],[VALOR PPTO]])</f>
        <v>-0.16831515801938537</v>
      </c>
      <c r="AA2111" s="2">
        <f>+DETALLE_GD_1[[#This Row],[VALOR PPTO]]*DETALLE_GD_1[[#This Row],[CANTIDAD RECIBIDA]]</f>
        <v>10210.5985</v>
      </c>
      <c r="AB2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1" s="3">
        <f>+DETALLE_GD_1[[#This Row],[CANTIDAD SOLICITADA]]-DETALLE_GD_1[[#This Row],[DEVOLUCIÓN]]</f>
        <v>5</v>
      </c>
      <c r="AD2111" s="38" t="str">
        <f>+_xlfn.XLOOKUP(DETALLE_GD_1[[#This Row],[CODIGO]],PRODUCTOS[CODIGO],PRODUCTOS[DESC CORTA],"",0)</f>
        <v>BROCHA 5/8 X4</v>
      </c>
    </row>
    <row r="2112" spans="1:30" x14ac:dyDescent="0.25">
      <c r="A2112" s="1">
        <v>46181</v>
      </c>
      <c r="B2112" s="1">
        <v>46181</v>
      </c>
      <c r="C2112" s="81" t="s">
        <v>169</v>
      </c>
      <c r="D2112" s="38">
        <v>6</v>
      </c>
      <c r="E2112" s="81" t="s">
        <v>169</v>
      </c>
      <c r="F2112">
        <v>617055</v>
      </c>
      <c r="G2112" s="81" t="s">
        <v>182</v>
      </c>
      <c r="H2112" s="81" t="s">
        <v>31</v>
      </c>
      <c r="I2112" s="3">
        <v>5</v>
      </c>
      <c r="J2112" s="3"/>
      <c r="K2112" s="26">
        <v>5</v>
      </c>
      <c r="L2112" s="2">
        <v>694.8</v>
      </c>
      <c r="M2112" s="2">
        <v>3474</v>
      </c>
      <c r="N2112" s="2">
        <v>3474</v>
      </c>
      <c r="O2112" s="2">
        <v>920.35379999999998</v>
      </c>
      <c r="P2112" s="2">
        <v>225.5538</v>
      </c>
      <c r="Q2112" s="2">
        <v>1127.7689</v>
      </c>
      <c r="R2112" s="4">
        <v>0.24507291180455321</v>
      </c>
      <c r="T2112">
        <v>317802</v>
      </c>
      <c r="U2112" s="2"/>
      <c r="W2112" s="2">
        <v>6579000000</v>
      </c>
      <c r="X2112" s="6">
        <v>4601.7689049999999</v>
      </c>
      <c r="Y2112" s="38">
        <v>10010</v>
      </c>
      <c r="Z2112" s="86">
        <f>+((DETALLE_GD_1[[#This Row],[VALOR X UN (GD)]]-DETALLE_GD_1[[#This Row],[VALOR PPTO]])/DETALLE_GD_1[[#This Row],[VALOR PPTO]])</f>
        <v>-0.24507292738944528</v>
      </c>
      <c r="AA2112" s="2">
        <f>+DETALLE_GD_1[[#This Row],[VALOR PPTO]]*DETALLE_GD_1[[#This Row],[CANTIDAD RECIBIDA]]</f>
        <v>4601.7690000000002</v>
      </c>
      <c r="AB2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2" s="3">
        <f>+DETALLE_GD_1[[#This Row],[CANTIDAD SOLICITADA]]-DETALLE_GD_1[[#This Row],[DEVOLUCIÓN]]</f>
        <v>5</v>
      </c>
      <c r="AD2112" s="38">
        <f>+_xlfn.XLOOKUP(DETALLE_GD_1[[#This Row],[CODIGO]],PRODUCTOS[CODIGO],PRODUCTOS[DESC CORTA],"",0)</f>
        <v>0</v>
      </c>
    </row>
    <row r="2113" spans="1:30" x14ac:dyDescent="0.25">
      <c r="A2113" s="1">
        <v>46181</v>
      </c>
      <c r="B2113" s="1">
        <v>46181</v>
      </c>
      <c r="C2113" s="81" t="s">
        <v>169</v>
      </c>
      <c r="D2113" s="38">
        <v>6</v>
      </c>
      <c r="E2113" s="81" t="s">
        <v>169</v>
      </c>
      <c r="F2113">
        <v>617016</v>
      </c>
      <c r="G2113" s="81" t="s">
        <v>133</v>
      </c>
      <c r="H2113" s="81" t="s">
        <v>31</v>
      </c>
      <c r="I2113" s="3">
        <v>10</v>
      </c>
      <c r="J2113" s="3"/>
      <c r="K2113" s="26">
        <v>10</v>
      </c>
      <c r="L2113" s="2">
        <v>2864.3</v>
      </c>
      <c r="M2113" s="2">
        <v>28643</v>
      </c>
      <c r="N2113" s="2">
        <v>28643</v>
      </c>
      <c r="O2113" s="2">
        <v>2857.5133000000001</v>
      </c>
      <c r="P2113" s="2">
        <v>-6.7866999999999997</v>
      </c>
      <c r="Q2113" s="2">
        <v>-67.8673</v>
      </c>
      <c r="R2113" s="4">
        <v>-2.3750461849998991E-3</v>
      </c>
      <c r="T2113">
        <v>317802</v>
      </c>
      <c r="U2113" s="2"/>
      <c r="W2113" s="2">
        <v>6579000000</v>
      </c>
      <c r="X2113" s="6">
        <v>28575.132740000001</v>
      </c>
      <c r="Y2113" s="38">
        <v>10010</v>
      </c>
      <c r="Z2113" s="86">
        <f>+((DETALLE_GD_1[[#This Row],[VALOR X UN (GD)]]-DETALLE_GD_1[[#This Row],[VALOR PPTO]])/DETALLE_GD_1[[#This Row],[VALOR PPTO]])</f>
        <v>2.3750370645694318E-3</v>
      </c>
      <c r="AA2113" s="2">
        <f>+DETALLE_GD_1[[#This Row],[VALOR PPTO]]*DETALLE_GD_1[[#This Row],[CANTIDAD RECIBIDA]]</f>
        <v>28575.133000000002</v>
      </c>
      <c r="AB2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3" s="3">
        <f>+DETALLE_GD_1[[#This Row],[CANTIDAD SOLICITADA]]-DETALLE_GD_1[[#This Row],[DEVOLUCIÓN]]</f>
        <v>10</v>
      </c>
      <c r="AD2113" s="38" t="str">
        <f>+_xlfn.XLOOKUP(DETALLE_GD_1[[#This Row],[CODIGO]],PRODUCTOS[CODIGO],PRODUCTOS[DESC CORTA],"",0)</f>
        <v>RODILLO CHIPORRO</v>
      </c>
    </row>
    <row r="2114" spans="1:30" x14ac:dyDescent="0.25">
      <c r="A2114" s="1">
        <v>46181</v>
      </c>
      <c r="B2114" s="1">
        <v>46181</v>
      </c>
      <c r="C2114" s="81" t="s">
        <v>169</v>
      </c>
      <c r="D2114" s="38">
        <v>6</v>
      </c>
      <c r="E2114" s="81" t="s">
        <v>169</v>
      </c>
      <c r="F2114">
        <v>307030</v>
      </c>
      <c r="G2114" s="81" t="s">
        <v>64</v>
      </c>
      <c r="H2114" s="81" t="s">
        <v>31</v>
      </c>
      <c r="I2114" s="3">
        <v>50</v>
      </c>
      <c r="J2114" s="3"/>
      <c r="K2114" s="26">
        <v>50</v>
      </c>
      <c r="L2114" s="2">
        <v>2730</v>
      </c>
      <c r="M2114" s="2">
        <v>136500</v>
      </c>
      <c r="N2114" s="2">
        <v>136500</v>
      </c>
      <c r="O2114" s="2">
        <v>2729.9989</v>
      </c>
      <c r="P2114" s="2">
        <v>-1.1000000000000001E-3</v>
      </c>
      <c r="Q2114" s="2">
        <v>-5.7200000000000001E-2</v>
      </c>
      <c r="R2114" s="4">
        <v>-4.190477945900508E-7</v>
      </c>
      <c r="T2114">
        <v>317802</v>
      </c>
      <c r="U2114" s="2"/>
      <c r="W2114" s="2">
        <v>6579000000</v>
      </c>
      <c r="X2114" s="6">
        <v>136499.94280000002</v>
      </c>
      <c r="Y2114" s="38">
        <v>10010</v>
      </c>
      <c r="Z2114" s="86">
        <f>+((DETALLE_GD_1[[#This Row],[VALOR X UN (GD)]]-DETALLE_GD_1[[#This Row],[VALOR PPTO]])/DETALLE_GD_1[[#This Row],[VALOR PPTO]])</f>
        <v>4.0293056526552117E-7</v>
      </c>
      <c r="AA2114" s="2">
        <f>+DETALLE_GD_1[[#This Row],[VALOR PPTO]]*DETALLE_GD_1[[#This Row],[CANTIDAD RECIBIDA]]</f>
        <v>136499.94500000001</v>
      </c>
      <c r="AB2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4" s="3">
        <f>+DETALLE_GD_1[[#This Row],[CANTIDAD SOLICITADA]]-DETALLE_GD_1[[#This Row],[DEVOLUCIÓN]]</f>
        <v>50</v>
      </c>
      <c r="AD2114" s="38" t="str">
        <f>+_xlfn.XLOOKUP(DETALLE_GD_1[[#This Row],[CODIGO]],PRODUCTOS[CODIGO],PRODUCTOS[DESC CORTA],"",0)</f>
        <v>GUARDAPOLVO BLANCO</v>
      </c>
    </row>
    <row r="2115" spans="1:30" x14ac:dyDescent="0.25">
      <c r="A2115" s="1">
        <v>46181</v>
      </c>
      <c r="B2115" s="1">
        <v>46181</v>
      </c>
      <c r="C2115" s="81" t="s">
        <v>169</v>
      </c>
      <c r="D2115" s="38">
        <v>6</v>
      </c>
      <c r="E2115" s="81" t="s">
        <v>169</v>
      </c>
      <c r="F2115">
        <v>307096</v>
      </c>
      <c r="G2115" s="81" t="s">
        <v>249</v>
      </c>
      <c r="H2115" s="81" t="s">
        <v>137</v>
      </c>
      <c r="I2115" s="3">
        <v>30</v>
      </c>
      <c r="J2115" s="3"/>
      <c r="K2115" s="26">
        <v>30</v>
      </c>
      <c r="L2115" s="2">
        <v>1651.4</v>
      </c>
      <c r="M2115" s="2">
        <v>49542</v>
      </c>
      <c r="N2115" s="2">
        <v>49542</v>
      </c>
      <c r="O2115" s="2">
        <v>2095.3501000000001</v>
      </c>
      <c r="P2115" s="2">
        <v>443.95010000000002</v>
      </c>
      <c r="Q2115" s="2">
        <v>13318.5039</v>
      </c>
      <c r="R2115" s="4">
        <v>0.21187395980063375</v>
      </c>
      <c r="T2115">
        <v>317802</v>
      </c>
      <c r="U2115" s="2"/>
      <c r="W2115" s="2">
        <v>6579000000</v>
      </c>
      <c r="X2115" s="6">
        <v>62860.503869999957</v>
      </c>
      <c r="Y2115" s="38">
        <v>10010</v>
      </c>
      <c r="Z2115" s="86">
        <f>+((DETALLE_GD_1[[#This Row],[VALOR X UN (GD)]]-DETALLE_GD_1[[#This Row],[VALOR PPTO]])/DETALLE_GD_1[[#This Row],[VALOR PPTO]])</f>
        <v>-0.21187394889283656</v>
      </c>
      <c r="AA2115" s="2">
        <f>+DETALLE_GD_1[[#This Row],[VALOR PPTO]]*DETALLE_GD_1[[#This Row],[CANTIDAD RECIBIDA]]</f>
        <v>62860.503000000004</v>
      </c>
      <c r="AB21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15" s="3">
        <f>+DETALLE_GD_1[[#This Row],[CANTIDAD SOLICITADA]]-DETALLE_GD_1[[#This Row],[DEVOLUCIÓN]]</f>
        <v>30</v>
      </c>
      <c r="AD2115" s="38" t="str">
        <f>+_xlfn.XLOOKUP(DETALLE_GD_1[[#This Row],[CODIGO]],PRODUCTOS[CODIGO],PRODUCTOS[DESC CORTA],"",0)</f>
        <v>CUBREJUNTA</v>
      </c>
    </row>
    <row r="2116" spans="1:30" x14ac:dyDescent="0.25">
      <c r="A2116" s="1">
        <v>46181</v>
      </c>
      <c r="B2116" s="1">
        <v>46181</v>
      </c>
      <c r="C2116" s="81" t="s">
        <v>169</v>
      </c>
      <c r="D2116" s="38">
        <v>6</v>
      </c>
      <c r="E2116" s="81" t="s">
        <v>169</v>
      </c>
      <c r="F2116">
        <v>307032</v>
      </c>
      <c r="G2116" s="81" t="s">
        <v>186</v>
      </c>
      <c r="H2116" s="81" t="s">
        <v>137</v>
      </c>
      <c r="I2116" s="3">
        <v>100</v>
      </c>
      <c r="J2116" s="3"/>
      <c r="K2116" s="26">
        <v>100</v>
      </c>
      <c r="L2116" s="2">
        <v>2181.33</v>
      </c>
      <c r="M2116" s="2">
        <v>218133</v>
      </c>
      <c r="N2116" s="2">
        <v>218133</v>
      </c>
      <c r="O2116" s="2">
        <v>2378.375</v>
      </c>
      <c r="P2116" s="2">
        <v>197.04499999999999</v>
      </c>
      <c r="Q2116" s="2">
        <v>19704.504099999998</v>
      </c>
      <c r="R2116" s="4">
        <v>8.2848599402199949E-2</v>
      </c>
      <c r="T2116">
        <v>317802</v>
      </c>
      <c r="U2116" s="2"/>
      <c r="W2116" s="2">
        <v>6579000000</v>
      </c>
      <c r="X2116" s="6">
        <v>237837.50409999999</v>
      </c>
      <c r="Y2116" s="38">
        <v>10010</v>
      </c>
      <c r="Z2116" s="86">
        <f>+((DETALLE_GD_1[[#This Row],[VALOR X UN (GD)]]-DETALLE_GD_1[[#This Row],[VALOR PPTO]])/DETALLE_GD_1[[#This Row],[VALOR PPTO]])</f>
        <v>-8.2848583591738093E-2</v>
      </c>
      <c r="AA2116" s="2">
        <f>+DETALLE_GD_1[[#This Row],[VALOR PPTO]]*DETALLE_GD_1[[#This Row],[CANTIDAD RECIBIDA]]</f>
        <v>237837.5</v>
      </c>
      <c r="AB2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6" s="3">
        <f>+DETALLE_GD_1[[#This Row],[CANTIDAD SOLICITADA]]-DETALLE_GD_1[[#This Row],[DEVOLUCIÓN]]</f>
        <v>100</v>
      </c>
      <c r="AD2116" s="38">
        <f>+_xlfn.XLOOKUP(DETALLE_GD_1[[#This Row],[CODIGO]],PRODUCTOS[CODIGO],PRODUCTOS[DESC CORTA],"",0)</f>
        <v>0</v>
      </c>
    </row>
    <row r="2117" spans="1:30" x14ac:dyDescent="0.25">
      <c r="A2117" s="1">
        <v>46181</v>
      </c>
      <c r="B2117" s="1">
        <v>46181</v>
      </c>
      <c r="C2117" s="81" t="s">
        <v>169</v>
      </c>
      <c r="D2117" s="38">
        <v>6</v>
      </c>
      <c r="E2117" s="81" t="s">
        <v>169</v>
      </c>
      <c r="F2117">
        <v>407185</v>
      </c>
      <c r="G2117" s="81" t="s">
        <v>43</v>
      </c>
      <c r="H2117" s="81" t="s">
        <v>31</v>
      </c>
      <c r="I2117" s="3">
        <v>5000</v>
      </c>
      <c r="J2117" s="3"/>
      <c r="K2117" s="26">
        <v>5000</v>
      </c>
      <c r="L2117" s="2">
        <v>6.2656000000000001</v>
      </c>
      <c r="M2117" s="2">
        <v>31328</v>
      </c>
      <c r="N2117" s="2">
        <v>31328</v>
      </c>
      <c r="O2117" s="2">
        <v>6.8783000000000003</v>
      </c>
      <c r="P2117" s="2">
        <v>0.61270000000000002</v>
      </c>
      <c r="Q2117" s="2">
        <v>3063.6</v>
      </c>
      <c r="R2117" s="4">
        <v>8.9079891601437602E-2</v>
      </c>
      <c r="T2117">
        <v>317832</v>
      </c>
      <c r="U2117" s="2">
        <v>48659</v>
      </c>
      <c r="W2117" s="2">
        <v>6579000000</v>
      </c>
      <c r="X2117" s="6">
        <v>34391.599999999999</v>
      </c>
      <c r="Y2117" s="38">
        <v>10010</v>
      </c>
      <c r="Z2117" s="86">
        <f>+((DETALLE_GD_1[[#This Row],[VALOR X UN (GD)]]-DETALLE_GD_1[[#This Row],[VALOR PPTO]])/DETALLE_GD_1[[#This Row],[VALOR PPTO]])</f>
        <v>-8.9077242923396804E-2</v>
      </c>
      <c r="AA2117" s="2">
        <f>+DETALLE_GD_1[[#This Row],[VALOR PPTO]]*DETALLE_GD_1[[#This Row],[CANTIDAD RECIBIDA]]</f>
        <v>34391.5</v>
      </c>
      <c r="AB2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7" s="3">
        <f>+DETALLE_GD_1[[#This Row],[CANTIDAD SOLICITADA]]-DETALLE_GD_1[[#This Row],[DEVOLUCIÓN]]</f>
        <v>5000</v>
      </c>
      <c r="AD2117" s="38">
        <f>+_xlfn.XLOOKUP(DETALLE_GD_1[[#This Row],[CODIGO]],PRODUCTOS[CODIGO],PRODUCTOS[DESC CORTA],"",0)</f>
        <v>0</v>
      </c>
    </row>
    <row r="2118" spans="1:30" x14ac:dyDescent="0.25">
      <c r="A2118" s="1">
        <v>46181</v>
      </c>
      <c r="B2118" s="1">
        <v>46181</v>
      </c>
      <c r="C2118" s="81" t="s">
        <v>169</v>
      </c>
      <c r="D2118" s="38">
        <v>6</v>
      </c>
      <c r="E2118" s="81" t="s">
        <v>169</v>
      </c>
      <c r="F2118">
        <v>407423</v>
      </c>
      <c r="G2118" s="81" t="s">
        <v>106</v>
      </c>
      <c r="H2118" s="81" t="s">
        <v>31</v>
      </c>
      <c r="I2118" s="3">
        <v>5000</v>
      </c>
      <c r="J2118" s="3"/>
      <c r="K2118" s="26">
        <v>5000</v>
      </c>
      <c r="L2118" s="2">
        <v>3.4662000000000002</v>
      </c>
      <c r="M2118" s="2">
        <v>17331</v>
      </c>
      <c r="N2118" s="2">
        <v>17331</v>
      </c>
      <c r="O2118" s="2">
        <v>106.6405</v>
      </c>
      <c r="P2118" s="2">
        <v>103.1743</v>
      </c>
      <c r="Q2118" s="2">
        <v>515871.5099</v>
      </c>
      <c r="R2118" s="4">
        <v>0.96749640206563281</v>
      </c>
      <c r="T2118">
        <v>317832</v>
      </c>
      <c r="U2118" s="2"/>
      <c r="W2118" s="2">
        <v>6579000000</v>
      </c>
      <c r="X2118" s="6">
        <v>533202.50991891895</v>
      </c>
      <c r="Y2118" s="38">
        <v>10010</v>
      </c>
      <c r="Z2118" s="86">
        <f>+((DETALLE_GD_1[[#This Row],[VALOR X UN (GD)]]-DETALLE_GD_1[[#This Row],[VALOR PPTO]])/DETALLE_GD_1[[#This Row],[VALOR PPTO]])</f>
        <v>-0.96749640146098337</v>
      </c>
      <c r="AA2118" s="2">
        <f>+DETALLE_GD_1[[#This Row],[VALOR PPTO]]*DETALLE_GD_1[[#This Row],[CANTIDAD RECIBIDA]]</f>
        <v>533202.5</v>
      </c>
      <c r="AB2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8" s="3">
        <f>+DETALLE_GD_1[[#This Row],[CANTIDAD SOLICITADA]]-DETALLE_GD_1[[#This Row],[DEVOLUCIÓN]]</f>
        <v>5000</v>
      </c>
      <c r="AD2118" s="38" t="str">
        <f>+_xlfn.XLOOKUP(DETALLE_GD_1[[#This Row],[CODIGO]],PRODUCTOS[CODIGO],PRODUCTOS[DESC CORTA],"",0)</f>
        <v>TORNILLO CRS 6X1 5/8</v>
      </c>
    </row>
    <row r="2119" spans="1:30" x14ac:dyDescent="0.25">
      <c r="A2119" s="1">
        <v>46181</v>
      </c>
      <c r="B2119" s="1">
        <v>46181</v>
      </c>
      <c r="C2119" s="81" t="s">
        <v>169</v>
      </c>
      <c r="D2119" s="38">
        <v>6</v>
      </c>
      <c r="E2119" s="81" t="s">
        <v>169</v>
      </c>
      <c r="F2119">
        <v>602254</v>
      </c>
      <c r="G2119" s="81" t="s">
        <v>214</v>
      </c>
      <c r="H2119" s="81" t="s">
        <v>25</v>
      </c>
      <c r="I2119" s="3">
        <v>2</v>
      </c>
      <c r="J2119" s="3"/>
      <c r="K2119" s="26">
        <v>2</v>
      </c>
      <c r="L2119" s="2">
        <v>46060</v>
      </c>
      <c r="M2119" s="2">
        <v>92120</v>
      </c>
      <c r="N2119" s="2">
        <v>92120</v>
      </c>
      <c r="O2119" s="2">
        <v>46060</v>
      </c>
      <c r="P2119" s="2">
        <v>0</v>
      </c>
      <c r="Q2119" s="2">
        <v>0</v>
      </c>
      <c r="R2119" s="4">
        <v>0</v>
      </c>
      <c r="T2119">
        <v>317814</v>
      </c>
      <c r="U2119" s="2">
        <v>1289782</v>
      </c>
      <c r="W2119" s="2">
        <v>6579000000</v>
      </c>
      <c r="X2119" s="6">
        <v>92120</v>
      </c>
      <c r="Y2119" s="38">
        <v>10010</v>
      </c>
      <c r="Z2119" s="86">
        <f>+((DETALLE_GD_1[[#This Row],[VALOR X UN (GD)]]-DETALLE_GD_1[[#This Row],[VALOR PPTO]])/DETALLE_GD_1[[#This Row],[VALOR PPTO]])</f>
        <v>0</v>
      </c>
      <c r="AA2119" s="2">
        <f>+DETALLE_GD_1[[#This Row],[VALOR PPTO]]*DETALLE_GD_1[[#This Row],[CANTIDAD RECIBIDA]]</f>
        <v>92120</v>
      </c>
      <c r="AB2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9" s="3">
        <f>+DETALLE_GD_1[[#This Row],[CANTIDAD SOLICITADA]]-DETALLE_GD_1[[#This Row],[DEVOLUCIÓN]]</f>
        <v>2</v>
      </c>
      <c r="AD2119" s="38">
        <f>+_xlfn.XLOOKUP(DETALLE_GD_1[[#This Row],[CODIGO]],PRODUCTOS[CODIGO],PRODUCTOS[DESC CORTA],"",0)</f>
        <v>0</v>
      </c>
    </row>
    <row r="2120" spans="1:30" x14ac:dyDescent="0.25">
      <c r="A2120" s="1">
        <v>46181</v>
      </c>
      <c r="B2120" s="1">
        <v>46181</v>
      </c>
      <c r="C2120" s="81" t="s">
        <v>169</v>
      </c>
      <c r="D2120" s="38">
        <v>6</v>
      </c>
      <c r="E2120" s="81" t="s">
        <v>169</v>
      </c>
      <c r="F2120">
        <v>704079</v>
      </c>
      <c r="G2120" s="81" t="s">
        <v>209</v>
      </c>
      <c r="H2120" s="81" t="s">
        <v>47</v>
      </c>
      <c r="I2120" s="3">
        <v>10</v>
      </c>
      <c r="J2120" s="3"/>
      <c r="K2120" s="26">
        <v>10</v>
      </c>
      <c r="L2120" s="2">
        <v>722.3</v>
      </c>
      <c r="M2120" s="2">
        <v>7223</v>
      </c>
      <c r="N2120" s="2">
        <v>7223</v>
      </c>
      <c r="O2120" s="2">
        <v>755.70489999999995</v>
      </c>
      <c r="P2120" s="2">
        <v>33.404899999999998</v>
      </c>
      <c r="Q2120" s="2">
        <v>334.04880000000003</v>
      </c>
      <c r="R2120" s="4">
        <v>4.4203607513547918E-2</v>
      </c>
      <c r="T2120">
        <v>317814</v>
      </c>
      <c r="U2120" s="2"/>
      <c r="W2120" s="2">
        <v>6579000000</v>
      </c>
      <c r="X2120" s="6">
        <v>7557.04882</v>
      </c>
      <c r="Y2120" s="38">
        <v>10010</v>
      </c>
      <c r="Z2120" s="86">
        <f>+((DETALLE_GD_1[[#This Row],[VALOR X UN (GD)]]-DETALLE_GD_1[[#This Row],[VALOR PPTO]])/DETALLE_GD_1[[#This Row],[VALOR PPTO]])</f>
        <v>-4.4203630279491375E-2</v>
      </c>
      <c r="AA2120" s="2">
        <f>+DETALLE_GD_1[[#This Row],[VALOR PPTO]]*DETALLE_GD_1[[#This Row],[CANTIDAD RECIBIDA]]</f>
        <v>7557.0489999999991</v>
      </c>
      <c r="AB2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0" s="3">
        <f>+DETALLE_GD_1[[#This Row],[CANTIDAD SOLICITADA]]-DETALLE_GD_1[[#This Row],[DEVOLUCIÓN]]</f>
        <v>10</v>
      </c>
      <c r="AD2120" s="38">
        <f>+_xlfn.XLOOKUP(DETALLE_GD_1[[#This Row],[CODIGO]],PRODUCTOS[CODIGO],PRODUCTOS[DESC CORTA],"",0)</f>
        <v>0</v>
      </c>
    </row>
    <row r="2121" spans="1:30" x14ac:dyDescent="0.25">
      <c r="A2121" s="1">
        <v>46181</v>
      </c>
      <c r="B2121" s="1">
        <v>46181</v>
      </c>
      <c r="C2121" s="81" t="s">
        <v>169</v>
      </c>
      <c r="D2121" s="38">
        <v>6</v>
      </c>
      <c r="E2121" s="81" t="s">
        <v>169</v>
      </c>
      <c r="F2121">
        <v>2304053</v>
      </c>
      <c r="G2121" s="81" t="s">
        <v>213</v>
      </c>
      <c r="H2121" s="81" t="s">
        <v>31</v>
      </c>
      <c r="I2121" s="3">
        <v>60</v>
      </c>
      <c r="J2121" s="3"/>
      <c r="K2121" s="26">
        <v>60</v>
      </c>
      <c r="L2121" s="2">
        <v>1046.5</v>
      </c>
      <c r="M2121" s="2">
        <v>62790</v>
      </c>
      <c r="N2121" s="2">
        <v>62790</v>
      </c>
      <c r="O2121" s="2">
        <v>862</v>
      </c>
      <c r="P2121" s="2">
        <v>-184.5</v>
      </c>
      <c r="Q2121" s="2">
        <v>-11070</v>
      </c>
      <c r="R2121" s="4">
        <v>-0.21403712296983743</v>
      </c>
      <c r="T2121">
        <v>317814</v>
      </c>
      <c r="U2121" s="2"/>
      <c r="W2121" s="2">
        <v>6579000000</v>
      </c>
      <c r="X2121" s="6">
        <v>51720.000000000007</v>
      </c>
      <c r="Y2121" s="38">
        <v>10010</v>
      </c>
      <c r="Z2121" s="86">
        <f>+((DETALLE_GD_1[[#This Row],[VALOR X UN (GD)]]-DETALLE_GD_1[[#This Row],[VALOR PPTO]])/DETALLE_GD_1[[#This Row],[VALOR PPTO]])</f>
        <v>0.2140371229698376</v>
      </c>
      <c r="AA2121" s="2">
        <f>+DETALLE_GD_1[[#This Row],[VALOR PPTO]]*DETALLE_GD_1[[#This Row],[CANTIDAD RECIBIDA]]</f>
        <v>51720</v>
      </c>
      <c r="AB2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1" s="3">
        <f>+DETALLE_GD_1[[#This Row],[CANTIDAD SOLICITADA]]-DETALLE_GD_1[[#This Row],[DEVOLUCIÓN]]</f>
        <v>60</v>
      </c>
      <c r="AD2121" s="38">
        <f>+_xlfn.XLOOKUP(DETALLE_GD_1[[#This Row],[CODIGO]],PRODUCTOS[CODIGO],PRODUCTOS[DESC CORTA],"",0)</f>
        <v>0</v>
      </c>
    </row>
    <row r="2122" spans="1:30" x14ac:dyDescent="0.25">
      <c r="A2122" s="1">
        <v>46181</v>
      </c>
      <c r="B2122" s="1">
        <v>46181</v>
      </c>
      <c r="C2122" s="81" t="s">
        <v>169</v>
      </c>
      <c r="D2122" s="38">
        <v>6</v>
      </c>
      <c r="E2122" s="81" t="s">
        <v>169</v>
      </c>
      <c r="F2122">
        <v>106022</v>
      </c>
      <c r="G2122" s="81" t="s">
        <v>245</v>
      </c>
      <c r="H2122" s="81" t="s">
        <v>31</v>
      </c>
      <c r="I2122" s="3">
        <v>5</v>
      </c>
      <c r="J2122" s="3"/>
      <c r="K2122" s="26">
        <v>5</v>
      </c>
      <c r="L2122" s="2">
        <v>3800</v>
      </c>
      <c r="M2122" s="2">
        <v>19000</v>
      </c>
      <c r="N2122" s="2">
        <v>19000</v>
      </c>
      <c r="O2122" s="2">
        <v>3800.6911</v>
      </c>
      <c r="P2122" s="2">
        <v>0.69110000000000005</v>
      </c>
      <c r="Q2122" s="2">
        <v>3.4554999999999998</v>
      </c>
      <c r="R2122" s="4">
        <v>1.8183508788241479E-4</v>
      </c>
      <c r="T2122">
        <v>317814</v>
      </c>
      <c r="U2122" s="2"/>
      <c r="W2122" s="2">
        <v>6579000000</v>
      </c>
      <c r="X2122" s="6">
        <v>19003.455494999998</v>
      </c>
      <c r="Y2122" s="38">
        <v>10010</v>
      </c>
      <c r="Z2122" s="86">
        <f>+((DETALLE_GD_1[[#This Row],[VALOR X UN (GD)]]-DETALLE_GD_1[[#This Row],[VALOR PPTO]])/DETALLE_GD_1[[#This Row],[VALOR PPTO]])</f>
        <v>-1.8183535094446528E-4</v>
      </c>
      <c r="AA2122" s="2">
        <f>+DETALLE_GD_1[[#This Row],[VALOR PPTO]]*DETALLE_GD_1[[#This Row],[CANTIDAD RECIBIDA]]</f>
        <v>19003.4555</v>
      </c>
      <c r="AB2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2" s="3">
        <f>+DETALLE_GD_1[[#This Row],[CANTIDAD SOLICITADA]]-DETALLE_GD_1[[#This Row],[DEVOLUCIÓN]]</f>
        <v>5</v>
      </c>
      <c r="AD2122" s="38">
        <f>+_xlfn.XLOOKUP(DETALLE_GD_1[[#This Row],[CODIGO]],PRODUCTOS[CODIGO],PRODUCTOS[DESC CORTA],"",0)</f>
        <v>0</v>
      </c>
    </row>
    <row r="2123" spans="1:30" x14ac:dyDescent="0.25">
      <c r="A2123" s="1">
        <v>46181</v>
      </c>
      <c r="B2123" s="1">
        <v>46181</v>
      </c>
      <c r="C2123" s="81" t="s">
        <v>169</v>
      </c>
      <c r="D2123" s="38">
        <v>6</v>
      </c>
      <c r="E2123" s="81" t="s">
        <v>169</v>
      </c>
      <c r="F2123">
        <v>2302119</v>
      </c>
      <c r="G2123" s="81" t="s">
        <v>74</v>
      </c>
      <c r="H2123" s="81" t="s">
        <v>31</v>
      </c>
      <c r="I2123" s="3">
        <v>60</v>
      </c>
      <c r="J2123" s="3"/>
      <c r="K2123" s="26">
        <v>60</v>
      </c>
      <c r="L2123" s="2">
        <v>3679.8833</v>
      </c>
      <c r="M2123" s="2">
        <v>220793</v>
      </c>
      <c r="N2123" s="2">
        <v>220793</v>
      </c>
      <c r="O2123" s="2">
        <v>3671</v>
      </c>
      <c r="P2123" s="2">
        <v>-8.8833000000000002</v>
      </c>
      <c r="Q2123" s="2">
        <v>-533</v>
      </c>
      <c r="R2123" s="4">
        <v>-2.4198674294015833E-3</v>
      </c>
      <c r="T2123">
        <v>317814</v>
      </c>
      <c r="U2123" s="2"/>
      <c r="W2123" s="2">
        <v>6579000000</v>
      </c>
      <c r="X2123" s="6">
        <v>220260</v>
      </c>
      <c r="Y2123" s="38">
        <v>10010</v>
      </c>
      <c r="Z2123" s="86">
        <f>+((DETALLE_GD_1[[#This Row],[VALOR X UN (GD)]]-DETALLE_GD_1[[#This Row],[VALOR PPTO]])/DETALLE_GD_1[[#This Row],[VALOR PPTO]])</f>
        <v>2.4198583492236348E-3</v>
      </c>
      <c r="AA2123" s="2">
        <f>+DETALLE_GD_1[[#This Row],[VALOR PPTO]]*DETALLE_GD_1[[#This Row],[CANTIDAD RECIBIDA]]</f>
        <v>220260</v>
      </c>
      <c r="AB2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3" s="3">
        <f>+DETALLE_GD_1[[#This Row],[CANTIDAD SOLICITADA]]-DETALLE_GD_1[[#This Row],[DEVOLUCIÓN]]</f>
        <v>60</v>
      </c>
      <c r="AD2123" s="38" t="str">
        <f>+_xlfn.XLOOKUP(DETALLE_GD_1[[#This Row],[CODIGO]],PRODUCTOS[CODIGO],PRODUCTOS[DESC CORTA],"",0)</f>
        <v>SELLO</v>
      </c>
    </row>
    <row r="2124" spans="1:30" x14ac:dyDescent="0.25">
      <c r="A2124" s="1">
        <v>46181</v>
      </c>
      <c r="B2124" s="1">
        <v>46181</v>
      </c>
      <c r="C2124" s="81" t="s">
        <v>169</v>
      </c>
      <c r="D2124" s="38">
        <v>6</v>
      </c>
      <c r="E2124" s="81" t="s">
        <v>169</v>
      </c>
      <c r="F2124">
        <v>1610023</v>
      </c>
      <c r="G2124" s="81" t="s">
        <v>351</v>
      </c>
      <c r="H2124" s="81" t="s">
        <v>28</v>
      </c>
      <c r="I2124" s="3">
        <v>5</v>
      </c>
      <c r="J2124" s="3"/>
      <c r="K2124" s="26">
        <v>5</v>
      </c>
      <c r="L2124" s="2">
        <v>2278.1999999999998</v>
      </c>
      <c r="M2124" s="2">
        <v>11391</v>
      </c>
      <c r="N2124" s="2">
        <v>11391</v>
      </c>
      <c r="O2124" s="2">
        <v>2109.0585000000001</v>
      </c>
      <c r="P2124" s="2">
        <v>-169.14150000000001</v>
      </c>
      <c r="Q2124" s="2">
        <v>-845.70730000000003</v>
      </c>
      <c r="R2124" s="4">
        <v>-8.0197611698158158E-2</v>
      </c>
      <c r="T2124">
        <v>317814</v>
      </c>
      <c r="U2124" s="2"/>
      <c r="W2124" s="2">
        <v>6579000000</v>
      </c>
      <c r="X2124" s="6">
        <v>10545.292710000002</v>
      </c>
      <c r="Y2124" s="38">
        <v>10010</v>
      </c>
      <c r="Z2124" s="86">
        <f>+((DETALLE_GD_1[[#This Row],[VALOR X UN (GD)]]-DETALLE_GD_1[[#This Row],[VALOR PPTO]])/DETALLE_GD_1[[#This Row],[VALOR PPTO]])</f>
        <v>8.0197633209320524E-2</v>
      </c>
      <c r="AA2124" s="2">
        <f>+DETALLE_GD_1[[#This Row],[VALOR PPTO]]*DETALLE_GD_1[[#This Row],[CANTIDAD RECIBIDA]]</f>
        <v>10545.2925</v>
      </c>
      <c r="AB2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4" s="3">
        <f>+DETALLE_GD_1[[#This Row],[CANTIDAD SOLICITADA]]-DETALLE_GD_1[[#This Row],[DEVOLUCIÓN]]</f>
        <v>5</v>
      </c>
      <c r="AD2124" s="38" t="str">
        <f>+_xlfn.XLOOKUP(DETALLE_GD_1[[#This Row],[CODIGO]],PRODUCTOS[CODIGO],PRODUCTOS[DESC CORTA],"",0)</f>
        <v>TRAPOS DE ASEO</v>
      </c>
    </row>
    <row r="2125" spans="1:30" x14ac:dyDescent="0.25">
      <c r="A2125" s="1">
        <v>46181</v>
      </c>
      <c r="B2125" s="1">
        <v>46181</v>
      </c>
      <c r="C2125" s="81" t="s">
        <v>169</v>
      </c>
      <c r="D2125" s="38">
        <v>6</v>
      </c>
      <c r="E2125" s="81" t="s">
        <v>169</v>
      </c>
      <c r="F2125">
        <v>307032</v>
      </c>
      <c r="G2125" s="81" t="s">
        <v>186</v>
      </c>
      <c r="H2125" s="81" t="s">
        <v>137</v>
      </c>
      <c r="I2125" s="3">
        <v>20</v>
      </c>
      <c r="J2125" s="3"/>
      <c r="K2125" s="26">
        <v>20</v>
      </c>
      <c r="L2125" s="2">
        <v>2181.35</v>
      </c>
      <c r="M2125" s="2">
        <v>43627</v>
      </c>
      <c r="N2125" s="2">
        <v>43627</v>
      </c>
      <c r="O2125" s="2">
        <v>2378.375</v>
      </c>
      <c r="P2125" s="2">
        <v>197.02500000000001</v>
      </c>
      <c r="Q2125" s="2">
        <v>3940.5007999999998</v>
      </c>
      <c r="R2125" s="4">
        <v>8.2840190299491079E-2</v>
      </c>
      <c r="T2125">
        <v>317814</v>
      </c>
      <c r="U2125" s="2"/>
      <c r="W2125" s="2">
        <v>6579000000</v>
      </c>
      <c r="X2125" s="6">
        <v>47567.500819999994</v>
      </c>
      <c r="Y2125" s="38">
        <v>10010</v>
      </c>
      <c r="Z2125" s="86">
        <f>+((DETALLE_GD_1[[#This Row],[VALOR X UN (GD)]]-DETALLE_GD_1[[#This Row],[VALOR PPTO]])/DETALLE_GD_1[[#This Row],[VALOR PPTO]])</f>
        <v>-8.2840174488884255E-2</v>
      </c>
      <c r="AA2125" s="2">
        <f>+DETALLE_GD_1[[#This Row],[VALOR PPTO]]*DETALLE_GD_1[[#This Row],[CANTIDAD RECIBIDA]]</f>
        <v>47567.5</v>
      </c>
      <c r="AB2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5" s="3">
        <f>+DETALLE_GD_1[[#This Row],[CANTIDAD SOLICITADA]]-DETALLE_GD_1[[#This Row],[DEVOLUCIÓN]]</f>
        <v>20</v>
      </c>
      <c r="AD2125" s="38">
        <f>+_xlfn.XLOOKUP(DETALLE_GD_1[[#This Row],[CODIGO]],PRODUCTOS[CODIGO],PRODUCTOS[DESC CORTA],"",0)</f>
        <v>0</v>
      </c>
    </row>
    <row r="2126" spans="1:30" x14ac:dyDescent="0.25">
      <c r="A2126" s="1">
        <v>46181</v>
      </c>
      <c r="B2126" s="1">
        <v>46181</v>
      </c>
      <c r="C2126" s="81" t="s">
        <v>169</v>
      </c>
      <c r="D2126" s="38">
        <v>6</v>
      </c>
      <c r="E2126" s="81" t="s">
        <v>169</v>
      </c>
      <c r="F2126">
        <v>307096</v>
      </c>
      <c r="G2126" s="81" t="s">
        <v>249</v>
      </c>
      <c r="H2126" s="81" t="s">
        <v>137</v>
      </c>
      <c r="I2126" s="3">
        <v>100</v>
      </c>
      <c r="J2126" s="3"/>
      <c r="K2126" s="26">
        <v>100</v>
      </c>
      <c r="L2126" s="2">
        <v>1651.42</v>
      </c>
      <c r="M2126" s="2">
        <v>165142</v>
      </c>
      <c r="N2126" s="2">
        <v>165142</v>
      </c>
      <c r="O2126" s="2">
        <v>2095.3501000000001</v>
      </c>
      <c r="P2126" s="2">
        <v>443.93009999999998</v>
      </c>
      <c r="Q2126" s="2">
        <v>44393.012900000002</v>
      </c>
      <c r="R2126" s="4">
        <v>0.21186441485646276</v>
      </c>
      <c r="T2126">
        <v>317814</v>
      </c>
      <c r="U2126" s="2"/>
      <c r="W2126" s="2">
        <v>6579000000</v>
      </c>
      <c r="X2126" s="6">
        <v>209535.01289999983</v>
      </c>
      <c r="Y2126" s="38">
        <v>10010</v>
      </c>
      <c r="Z2126" s="86">
        <f>+((DETALLE_GD_1[[#This Row],[VALOR X UN (GD)]]-DETALLE_GD_1[[#This Row],[VALOR PPTO]])/DETALLE_GD_1[[#This Row],[VALOR PPTO]])</f>
        <v>-0.21186440394853348</v>
      </c>
      <c r="AA2126" s="2">
        <f>+DETALLE_GD_1[[#This Row],[VALOR PPTO]]*DETALLE_GD_1[[#This Row],[CANTIDAD RECIBIDA]]</f>
        <v>209535.01</v>
      </c>
      <c r="AB21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26" s="3">
        <f>+DETALLE_GD_1[[#This Row],[CANTIDAD SOLICITADA]]-DETALLE_GD_1[[#This Row],[DEVOLUCIÓN]]</f>
        <v>100</v>
      </c>
      <c r="AD2126" s="38" t="str">
        <f>+_xlfn.XLOOKUP(DETALLE_GD_1[[#This Row],[CODIGO]],PRODUCTOS[CODIGO],PRODUCTOS[DESC CORTA],"",0)</f>
        <v>CUBREJUNTA</v>
      </c>
    </row>
    <row r="2127" spans="1:30" x14ac:dyDescent="0.25">
      <c r="A2127" s="1">
        <v>46181</v>
      </c>
      <c r="B2127" s="1">
        <v>46181</v>
      </c>
      <c r="C2127" s="81" t="s">
        <v>169</v>
      </c>
      <c r="D2127" s="38">
        <v>6</v>
      </c>
      <c r="E2127" s="81" t="s">
        <v>169</v>
      </c>
      <c r="F2127">
        <v>307031</v>
      </c>
      <c r="G2127" s="81" t="s">
        <v>65</v>
      </c>
      <c r="H2127" s="81" t="s">
        <v>31</v>
      </c>
      <c r="I2127" s="3">
        <v>100</v>
      </c>
      <c r="J2127" s="3"/>
      <c r="K2127" s="26">
        <v>100</v>
      </c>
      <c r="L2127" s="2">
        <v>2700</v>
      </c>
      <c r="M2127" s="2">
        <v>270000</v>
      </c>
      <c r="N2127" s="2">
        <v>270000</v>
      </c>
      <c r="O2127" s="2">
        <v>2699.9985999999999</v>
      </c>
      <c r="P2127" s="2">
        <v>-1.4E-3</v>
      </c>
      <c r="Q2127" s="2">
        <v>-0.13950000000000001</v>
      </c>
      <c r="R2127" s="4">
        <v>-5.1666693335944687E-7</v>
      </c>
      <c r="T2127">
        <v>317814</v>
      </c>
      <c r="U2127" s="2"/>
      <c r="W2127" s="2">
        <v>6579000000</v>
      </c>
      <c r="X2127" s="6">
        <v>269999.86050000007</v>
      </c>
      <c r="Y2127" s="38">
        <v>10010</v>
      </c>
      <c r="Z2127" s="86">
        <f>+((DETALLE_GD_1[[#This Row],[VALOR X UN (GD)]]-DETALLE_GD_1[[#This Row],[VALOR PPTO]])/DETALLE_GD_1[[#This Row],[VALOR PPTO]])</f>
        <v>5.1851878741837811E-7</v>
      </c>
      <c r="AA2127" s="2">
        <f>+DETALLE_GD_1[[#This Row],[VALOR PPTO]]*DETALLE_GD_1[[#This Row],[CANTIDAD RECIBIDA]]</f>
        <v>269999.86</v>
      </c>
      <c r="AB2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7" s="3">
        <f>+DETALLE_GD_1[[#This Row],[CANTIDAD SOLICITADA]]-DETALLE_GD_1[[#This Row],[DEVOLUCIÓN]]</f>
        <v>100</v>
      </c>
      <c r="AD2127" s="38" t="str">
        <f>+_xlfn.XLOOKUP(DETALLE_GD_1[[#This Row],[CODIGO]],PRODUCTOS[CODIGO],PRODUCTOS[DESC CORTA],"",0)</f>
        <v>CORNIZA BLANCA</v>
      </c>
    </row>
    <row r="2128" spans="1:30" x14ac:dyDescent="0.25">
      <c r="A2128" s="1">
        <v>46181</v>
      </c>
      <c r="B2128" s="1">
        <v>46181</v>
      </c>
      <c r="C2128" s="81" t="s">
        <v>169</v>
      </c>
      <c r="D2128" s="38">
        <v>6</v>
      </c>
      <c r="E2128" s="81" t="s">
        <v>169</v>
      </c>
      <c r="F2128">
        <v>704022</v>
      </c>
      <c r="G2128" s="81" t="s">
        <v>330</v>
      </c>
      <c r="H2128" s="81" t="s">
        <v>31</v>
      </c>
      <c r="I2128" s="3">
        <v>94</v>
      </c>
      <c r="J2128" s="3"/>
      <c r="K2128" s="26">
        <v>94</v>
      </c>
      <c r="L2128" s="2">
        <v>258.38299999999998</v>
      </c>
      <c r="M2128" s="2">
        <v>24288</v>
      </c>
      <c r="N2128" s="2">
        <v>24288</v>
      </c>
      <c r="O2128" s="2">
        <v>306</v>
      </c>
      <c r="P2128" s="2">
        <v>47.616999999999997</v>
      </c>
      <c r="Q2128" s="2">
        <v>4476</v>
      </c>
      <c r="R2128" s="4">
        <v>0.15561118064246984</v>
      </c>
      <c r="T2128">
        <v>317814</v>
      </c>
      <c r="U2128" s="2"/>
      <c r="W2128" s="2">
        <v>6579000000</v>
      </c>
      <c r="X2128" s="6">
        <v>28764.000000000004</v>
      </c>
      <c r="Y2128" s="38">
        <v>10010</v>
      </c>
      <c r="Z2128" s="86">
        <f>+((DETALLE_GD_1[[#This Row],[VALOR X UN (GD)]]-DETALLE_GD_1[[#This Row],[VALOR PPTO]])/DETALLE_GD_1[[#This Row],[VALOR PPTO]])</f>
        <v>-0.15561111111111117</v>
      </c>
      <c r="AA2128" s="2">
        <f>+DETALLE_GD_1[[#This Row],[VALOR PPTO]]*DETALLE_GD_1[[#This Row],[CANTIDAD RECIBIDA]]</f>
        <v>28764</v>
      </c>
      <c r="AB2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8" s="3">
        <f>+DETALLE_GD_1[[#This Row],[CANTIDAD SOLICITADA]]-DETALLE_GD_1[[#This Row],[DEVOLUCIÓN]]</f>
        <v>94</v>
      </c>
      <c r="AD2128" s="38" t="str">
        <f>+_xlfn.XLOOKUP(DETALLE_GD_1[[#This Row],[CODIGO]],PRODUCTOS[CODIGO],PRODUCTOS[DESC CORTA],"",0)</f>
        <v>ESQUINERO CORNIZA INTERIOR</v>
      </c>
    </row>
    <row r="2129" spans="1:30" x14ac:dyDescent="0.25">
      <c r="A2129" s="1">
        <v>46181</v>
      </c>
      <c r="B2129" s="1">
        <v>46181</v>
      </c>
      <c r="C2129" s="81" t="s">
        <v>169</v>
      </c>
      <c r="D2129" s="38">
        <v>6</v>
      </c>
      <c r="E2129" s="81" t="s">
        <v>169</v>
      </c>
      <c r="F2129">
        <v>704024</v>
      </c>
      <c r="G2129" s="81" t="s">
        <v>332</v>
      </c>
      <c r="H2129" s="81" t="s">
        <v>31</v>
      </c>
      <c r="I2129" s="3">
        <v>200</v>
      </c>
      <c r="J2129" s="3"/>
      <c r="K2129" s="26">
        <v>200</v>
      </c>
      <c r="L2129" s="2">
        <v>317.93</v>
      </c>
      <c r="M2129" s="2">
        <v>63586</v>
      </c>
      <c r="N2129" s="2">
        <v>63586</v>
      </c>
      <c r="O2129" s="2">
        <v>363</v>
      </c>
      <c r="P2129" s="2">
        <v>45.07</v>
      </c>
      <c r="Q2129" s="2">
        <v>9014</v>
      </c>
      <c r="R2129" s="4">
        <v>0.12415977961432503</v>
      </c>
      <c r="T2129">
        <v>317814</v>
      </c>
      <c r="U2129" s="2"/>
      <c r="W2129" s="2">
        <v>6579000000</v>
      </c>
      <c r="X2129" s="6">
        <v>72600</v>
      </c>
      <c r="Y2129" s="38">
        <v>10010</v>
      </c>
      <c r="Z2129" s="86">
        <f>+((DETALLE_GD_1[[#This Row],[VALOR X UN (GD)]]-DETALLE_GD_1[[#This Row],[VALOR PPTO]])/DETALLE_GD_1[[#This Row],[VALOR PPTO]])</f>
        <v>-0.12415977961432505</v>
      </c>
      <c r="AA2129" s="2">
        <f>+DETALLE_GD_1[[#This Row],[VALOR PPTO]]*DETALLE_GD_1[[#This Row],[CANTIDAD RECIBIDA]]</f>
        <v>72600</v>
      </c>
      <c r="AB2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9" s="3">
        <f>+DETALLE_GD_1[[#This Row],[CANTIDAD SOLICITADA]]-DETALLE_GD_1[[#This Row],[DEVOLUCIÓN]]</f>
        <v>200</v>
      </c>
      <c r="AD2129" s="38" t="str">
        <f>+_xlfn.XLOOKUP(DETALLE_GD_1[[#This Row],[CODIGO]],PRODUCTOS[CODIGO],PRODUCTOS[DESC CORTA],"",0)</f>
        <v>ESQUINERO CORNIZA EXTERIOR</v>
      </c>
    </row>
    <row r="2130" spans="1:30" x14ac:dyDescent="0.25">
      <c r="A2130" s="1">
        <v>46181</v>
      </c>
      <c r="B2130" s="1">
        <v>46181</v>
      </c>
      <c r="C2130" s="81" t="s">
        <v>169</v>
      </c>
      <c r="D2130" s="38">
        <v>6</v>
      </c>
      <c r="E2130" s="81" t="s">
        <v>169</v>
      </c>
      <c r="F2130">
        <v>2508991</v>
      </c>
      <c r="G2130" s="81" t="s">
        <v>485</v>
      </c>
      <c r="H2130" s="81" t="s">
        <v>31</v>
      </c>
      <c r="I2130" s="3">
        <v>5</v>
      </c>
      <c r="J2130" s="3"/>
      <c r="K2130" s="26">
        <v>5</v>
      </c>
      <c r="L2130" s="2">
        <v>4785.3999999999996</v>
      </c>
      <c r="M2130" s="2">
        <v>23927</v>
      </c>
      <c r="N2130" s="2">
        <v>23927</v>
      </c>
      <c r="O2130" s="2">
        <v>4798</v>
      </c>
      <c r="P2130" s="2">
        <v>12.6</v>
      </c>
      <c r="Q2130" s="2">
        <v>63</v>
      </c>
      <c r="R2130" s="4">
        <v>2.6260942059192086E-3</v>
      </c>
      <c r="T2130">
        <v>317814</v>
      </c>
      <c r="U2130" s="2"/>
      <c r="W2130" s="2">
        <v>6579000000</v>
      </c>
      <c r="X2130" s="6">
        <v>23990</v>
      </c>
      <c r="Y2130" s="38">
        <v>10010</v>
      </c>
      <c r="Z2130" s="86">
        <f>+((DETALLE_GD_1[[#This Row],[VALOR X UN (GD)]]-DETALLE_GD_1[[#This Row],[VALOR PPTO]])/DETALLE_GD_1[[#This Row],[VALOR PPTO]])</f>
        <v>-2.6260942059192086E-3</v>
      </c>
      <c r="AA2130" s="2">
        <f>+DETALLE_GD_1[[#This Row],[VALOR PPTO]]*DETALLE_GD_1[[#This Row],[CANTIDAD RECIBIDA]]</f>
        <v>23990</v>
      </c>
      <c r="AB2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0" s="3">
        <f>+DETALLE_GD_1[[#This Row],[CANTIDAD SOLICITADA]]-DETALLE_GD_1[[#This Row],[DEVOLUCIÓN]]</f>
        <v>5</v>
      </c>
      <c r="AD2130" s="38" t="str">
        <f>+_xlfn.XLOOKUP(DETALLE_GD_1[[#This Row],[CODIGO]],PRODUCTOS[CODIGO],PRODUCTOS[DESC CORTA],"",0)</f>
        <v>CILINDRO 03 LLAVE/LLAVE</v>
      </c>
    </row>
    <row r="2131" spans="1:30" x14ac:dyDescent="0.25">
      <c r="A2131" s="1">
        <v>46181</v>
      </c>
      <c r="B2131" s="1">
        <v>46181</v>
      </c>
      <c r="C2131" s="81" t="s">
        <v>169</v>
      </c>
      <c r="D2131" s="38">
        <v>6</v>
      </c>
      <c r="E2131" s="81" t="s">
        <v>169</v>
      </c>
      <c r="F2131">
        <v>404252</v>
      </c>
      <c r="G2131" s="81" t="s">
        <v>181</v>
      </c>
      <c r="H2131" s="81" t="s">
        <v>31</v>
      </c>
      <c r="I2131" s="3">
        <v>4</v>
      </c>
      <c r="J2131" s="3"/>
      <c r="K2131" s="26">
        <v>4</v>
      </c>
      <c r="L2131" s="2">
        <v>2167.25</v>
      </c>
      <c r="M2131" s="2">
        <v>8669</v>
      </c>
      <c r="N2131" s="2">
        <v>8669</v>
      </c>
      <c r="O2131" s="2">
        <v>1110.0438999999999</v>
      </c>
      <c r="P2131" s="2">
        <v>-1057.2061000000001</v>
      </c>
      <c r="Q2131" s="2">
        <v>-4228.8244999999997</v>
      </c>
      <c r="R2131" s="4">
        <v>-0.95240030313900859</v>
      </c>
      <c r="T2131">
        <v>317814</v>
      </c>
      <c r="U2131" s="2"/>
      <c r="W2131" s="2">
        <v>6579000000</v>
      </c>
      <c r="X2131" s="6">
        <v>4440.1755039999998</v>
      </c>
      <c r="Y2131" s="38">
        <v>10010</v>
      </c>
      <c r="Z2131" s="86">
        <f>+((DETALLE_GD_1[[#This Row],[VALOR X UN (GD)]]-DETALLE_GD_1[[#This Row],[VALOR PPTO]])/DETALLE_GD_1[[#This Row],[VALOR PPTO]])</f>
        <v>0.95240026092661756</v>
      </c>
      <c r="AA2131" s="2">
        <f>+DETALLE_GD_1[[#This Row],[VALOR PPTO]]*DETALLE_GD_1[[#This Row],[CANTIDAD RECIBIDA]]</f>
        <v>4440.1755999999996</v>
      </c>
      <c r="AB2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1" s="3">
        <f>+DETALLE_GD_1[[#This Row],[CANTIDAD SOLICITADA]]-DETALLE_GD_1[[#This Row],[DEVOLUCIÓN]]</f>
        <v>4</v>
      </c>
      <c r="AD2131" s="38">
        <f>+_xlfn.XLOOKUP(DETALLE_GD_1[[#This Row],[CODIGO]],PRODUCTOS[CODIGO],PRODUCTOS[DESC CORTA],"",0)</f>
        <v>0</v>
      </c>
    </row>
    <row r="2132" spans="1:30" x14ac:dyDescent="0.25">
      <c r="A2132" s="1">
        <v>46181</v>
      </c>
      <c r="B2132" s="1">
        <v>46181</v>
      </c>
      <c r="C2132" s="81" t="s">
        <v>169</v>
      </c>
      <c r="D2132" s="38">
        <v>6</v>
      </c>
      <c r="E2132" s="81" t="s">
        <v>169</v>
      </c>
      <c r="F2132">
        <v>1103074</v>
      </c>
      <c r="G2132" s="81" t="s">
        <v>310</v>
      </c>
      <c r="H2132" s="81" t="s">
        <v>31</v>
      </c>
      <c r="I2132" s="3">
        <v>50</v>
      </c>
      <c r="J2132" s="3"/>
      <c r="K2132" s="26">
        <v>50</v>
      </c>
      <c r="L2132" s="2">
        <v>1499.36</v>
      </c>
      <c r="M2132" s="2">
        <v>74968</v>
      </c>
      <c r="N2132" s="2">
        <v>74968</v>
      </c>
      <c r="O2132" s="2">
        <v>2427</v>
      </c>
      <c r="P2132" s="2">
        <v>927.64</v>
      </c>
      <c r="Q2132" s="2">
        <v>46382</v>
      </c>
      <c r="R2132" s="4">
        <v>0.38221672847136384</v>
      </c>
      <c r="T2132">
        <v>317814</v>
      </c>
      <c r="U2132" s="2"/>
      <c r="W2132" s="2">
        <v>6579000000</v>
      </c>
      <c r="X2132" s="6">
        <v>121350</v>
      </c>
      <c r="Y2132" s="38">
        <v>10010</v>
      </c>
      <c r="Z2132" s="86">
        <f>+((DETALLE_GD_1[[#This Row],[VALOR X UN (GD)]]-DETALLE_GD_1[[#This Row],[VALOR PPTO]])/DETALLE_GD_1[[#This Row],[VALOR PPTO]])</f>
        <v>-0.38221672847136384</v>
      </c>
      <c r="AA2132" s="2">
        <f>+DETALLE_GD_1[[#This Row],[VALOR PPTO]]*DETALLE_GD_1[[#This Row],[CANTIDAD RECIBIDA]]</f>
        <v>121350</v>
      </c>
      <c r="AB2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2" s="3">
        <f>+DETALLE_GD_1[[#This Row],[CANTIDAD SOLICITADA]]-DETALLE_GD_1[[#This Row],[DEVOLUCIÓN]]</f>
        <v>50</v>
      </c>
      <c r="AD2132" s="38" t="str">
        <f>+_xlfn.XLOOKUP(DETALLE_GD_1[[#This Row],[CODIGO]],PRODUCTOS[CODIGO],PRODUCTOS[DESC CORTA],"",0)</f>
        <v>PERFIL ESQUINERO ENCUENTRO</v>
      </c>
    </row>
    <row r="2133" spans="1:30" x14ac:dyDescent="0.25">
      <c r="A2133" s="1">
        <v>46181</v>
      </c>
      <c r="B2133" s="1">
        <v>46181</v>
      </c>
      <c r="C2133" s="81" t="s">
        <v>169</v>
      </c>
      <c r="D2133" s="38">
        <v>6</v>
      </c>
      <c r="E2133" s="81" t="s">
        <v>169</v>
      </c>
      <c r="F2133">
        <v>1103076</v>
      </c>
      <c r="G2133" s="81" t="s">
        <v>311</v>
      </c>
      <c r="H2133" s="81" t="s">
        <v>31</v>
      </c>
      <c r="I2133" s="3">
        <v>60</v>
      </c>
      <c r="J2133" s="3"/>
      <c r="K2133" s="26">
        <v>60</v>
      </c>
      <c r="L2133" s="2">
        <v>2033.0333000000001</v>
      </c>
      <c r="M2133" s="2">
        <v>121982</v>
      </c>
      <c r="N2133" s="2">
        <v>121982</v>
      </c>
      <c r="O2133" s="2">
        <v>3191</v>
      </c>
      <c r="P2133" s="2">
        <v>1157.9666999999999</v>
      </c>
      <c r="Q2133" s="2">
        <v>69478</v>
      </c>
      <c r="R2133" s="4">
        <v>0.36288519795257496</v>
      </c>
      <c r="T2133">
        <v>317814</v>
      </c>
      <c r="U2133" s="2"/>
      <c r="W2133" s="2">
        <v>6579000000</v>
      </c>
      <c r="X2133" s="6">
        <v>191460</v>
      </c>
      <c r="Y2133" s="38">
        <v>10010</v>
      </c>
      <c r="Z2133" s="86">
        <f>+((DETALLE_GD_1[[#This Row],[VALOR X UN (GD)]]-DETALLE_GD_1[[#This Row],[VALOR PPTO]])/DETALLE_GD_1[[#This Row],[VALOR PPTO]])</f>
        <v>-0.3628852083986211</v>
      </c>
      <c r="AA2133" s="2">
        <f>+DETALLE_GD_1[[#This Row],[VALOR PPTO]]*DETALLE_GD_1[[#This Row],[CANTIDAD RECIBIDA]]</f>
        <v>191460</v>
      </c>
      <c r="AB2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3" s="3">
        <f>+DETALLE_GD_1[[#This Row],[CANTIDAD SOLICITADA]]-DETALLE_GD_1[[#This Row],[DEVOLUCIÓN]]</f>
        <v>60</v>
      </c>
      <c r="AD2133" s="38" t="str">
        <f>+_xlfn.XLOOKUP(DETALLE_GD_1[[#This Row],[CODIGO]],PRODUCTOS[CODIGO],PRODUCTOS[DESC CORTA],"",0)</f>
        <v>PERFIL ESQUINERO INTERIOR</v>
      </c>
    </row>
    <row r="2134" spans="1:30" x14ac:dyDescent="0.25">
      <c r="A2134" s="1">
        <v>46181</v>
      </c>
      <c r="B2134" s="1">
        <v>46181</v>
      </c>
      <c r="C2134" s="81" t="s">
        <v>169</v>
      </c>
      <c r="D2134" s="38">
        <v>6</v>
      </c>
      <c r="E2134" s="81" t="s">
        <v>169</v>
      </c>
      <c r="F2134">
        <v>404184</v>
      </c>
      <c r="G2134" s="81" t="s">
        <v>66</v>
      </c>
      <c r="H2134" s="81" t="s">
        <v>31</v>
      </c>
      <c r="I2134" s="3">
        <v>46</v>
      </c>
      <c r="J2134" s="3"/>
      <c r="K2134" s="26">
        <v>46</v>
      </c>
      <c r="L2134" s="2">
        <v>1745.1304</v>
      </c>
      <c r="M2134" s="2">
        <v>80276</v>
      </c>
      <c r="N2134" s="2">
        <v>80276</v>
      </c>
      <c r="O2134" s="2">
        <v>1754.8757000000001</v>
      </c>
      <c r="P2134" s="2">
        <v>9.7453000000000003</v>
      </c>
      <c r="Q2134" s="2">
        <v>448.28359999999998</v>
      </c>
      <c r="R2134" s="4">
        <v>5.5532685564225522E-3</v>
      </c>
      <c r="T2134">
        <v>317814</v>
      </c>
      <c r="U2134" s="2"/>
      <c r="W2134" s="2">
        <v>6579000000</v>
      </c>
      <c r="X2134" s="6">
        <v>80724.283626000004</v>
      </c>
      <c r="Y2134" s="38">
        <v>10010</v>
      </c>
      <c r="Z2134" s="86">
        <f>+((DETALLE_GD_1[[#This Row],[VALOR X UN (GD)]]-DETALLE_GD_1[[#This Row],[VALOR PPTO]])/DETALLE_GD_1[[#This Row],[VALOR PPTO]])</f>
        <v>-5.5532708100066814E-3</v>
      </c>
      <c r="AA2134" s="2">
        <f>+DETALLE_GD_1[[#This Row],[VALOR PPTO]]*DETALLE_GD_1[[#This Row],[CANTIDAD RECIBIDA]]</f>
        <v>80724.282200000001</v>
      </c>
      <c r="AB2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4" s="3">
        <f>+DETALLE_GD_1[[#This Row],[CANTIDAD SOLICITADA]]-DETALLE_GD_1[[#This Row],[DEVOLUCIÓN]]</f>
        <v>46</v>
      </c>
      <c r="AD2134" s="38" t="str">
        <f>+_xlfn.XLOOKUP(DETALLE_GD_1[[#This Row],[CODIGO]],PRODUCTOS[CODIGO],PRODUCTOS[DESC CORTA],"",0)</f>
        <v>ANGULO BLANCO</v>
      </c>
    </row>
    <row r="2135" spans="1:30" x14ac:dyDescent="0.25">
      <c r="A2135" s="1">
        <v>46182</v>
      </c>
      <c r="B2135" s="1">
        <v>46182</v>
      </c>
      <c r="C2135" s="81" t="s">
        <v>169</v>
      </c>
      <c r="D2135" s="38">
        <v>6</v>
      </c>
      <c r="E2135" s="81" t="s">
        <v>169</v>
      </c>
      <c r="F2135">
        <v>404792</v>
      </c>
      <c r="G2135" s="81" t="s">
        <v>2006</v>
      </c>
      <c r="H2135" s="81" t="s">
        <v>36</v>
      </c>
      <c r="I2135" s="3">
        <v>10</v>
      </c>
      <c r="J2135" s="3"/>
      <c r="K2135" s="26">
        <v>10</v>
      </c>
      <c r="L2135" s="2">
        <v>18351.8</v>
      </c>
      <c r="M2135" s="2">
        <v>183518</v>
      </c>
      <c r="N2135" s="2">
        <v>183518</v>
      </c>
      <c r="O2135" s="2"/>
      <c r="P2135" s="2"/>
      <c r="Q2135" s="2">
        <v>-183518</v>
      </c>
      <c r="R2135" s="4"/>
      <c r="T2135">
        <v>317845</v>
      </c>
      <c r="U2135" s="2">
        <v>183518</v>
      </c>
      <c r="W2135" s="2">
        <v>6579000000</v>
      </c>
      <c r="X2135" s="6" t="s">
        <v>355</v>
      </c>
      <c r="Y2135" s="38">
        <v>10010</v>
      </c>
      <c r="Z2135" s="86" t="e">
        <f>+((DETALLE_GD_1[[#This Row],[VALOR X UN (GD)]]-DETALLE_GD_1[[#This Row],[VALOR PPTO]])/DETALLE_GD_1[[#This Row],[VALOR PPTO]])</f>
        <v>#DIV/0!</v>
      </c>
      <c r="AA2135" s="2">
        <f>+DETALLE_GD_1[[#This Row],[VALOR PPTO]]*DETALLE_GD_1[[#This Row],[CANTIDAD RECIBIDA]]</f>
        <v>0</v>
      </c>
      <c r="AB2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5" s="3">
        <f>+DETALLE_GD_1[[#This Row],[CANTIDAD SOLICITADA]]-DETALLE_GD_1[[#This Row],[DEVOLUCIÓN]]</f>
        <v>10</v>
      </c>
      <c r="AD2135" s="38" t="str">
        <f>+_xlfn.XLOOKUP(DETALLE_GD_1[[#This Row],[CODIGO]],PRODUCTOS[CODIGO],PRODUCTOS[DESC CORTA],"",0)</f>
        <v/>
      </c>
    </row>
    <row r="2136" spans="1:30" x14ac:dyDescent="0.25">
      <c r="A2136" s="1">
        <v>46182</v>
      </c>
      <c r="B2136" s="1">
        <v>46182</v>
      </c>
      <c r="C2136" s="81" t="s">
        <v>169</v>
      </c>
      <c r="D2136" s="38">
        <v>6</v>
      </c>
      <c r="E2136" s="81" t="s">
        <v>169</v>
      </c>
      <c r="F2136">
        <v>2505058</v>
      </c>
      <c r="G2136" s="81" t="s">
        <v>142</v>
      </c>
      <c r="H2136" s="81" t="s">
        <v>31</v>
      </c>
      <c r="I2136" s="3">
        <v>21</v>
      </c>
      <c r="J2136" s="3"/>
      <c r="K2136" s="26">
        <v>21</v>
      </c>
      <c r="L2136" s="2">
        <v>16469.666700000002</v>
      </c>
      <c r="M2136" s="2">
        <v>345863</v>
      </c>
      <c r="N2136" s="2">
        <v>345863</v>
      </c>
      <c r="O2136" s="2">
        <v>17870.144100000001</v>
      </c>
      <c r="P2136" s="2">
        <v>1400.4774</v>
      </c>
      <c r="Q2136" s="2">
        <v>29410.025399999999</v>
      </c>
      <c r="R2136" s="4">
        <v>7.8369676036421171E-2</v>
      </c>
      <c r="T2136">
        <v>317859</v>
      </c>
      <c r="U2136" s="2">
        <v>1591191</v>
      </c>
      <c r="W2136" s="2">
        <v>6579000000</v>
      </c>
      <c r="X2136" s="6">
        <v>375273.02542800002</v>
      </c>
      <c r="Y2136" s="38">
        <v>10010</v>
      </c>
      <c r="Z2136" s="86">
        <f>+((DETALLE_GD_1[[#This Row],[VALOR X UN (GD)]]-DETALLE_GD_1[[#This Row],[VALOR PPTO]])/DETALLE_GD_1[[#This Row],[VALOR PPTO]])</f>
        <v>-7.8369675821472515E-2</v>
      </c>
      <c r="AA2136" s="2">
        <f>+DETALLE_GD_1[[#This Row],[VALOR PPTO]]*DETALLE_GD_1[[#This Row],[CANTIDAD RECIBIDA]]</f>
        <v>375273.02610000002</v>
      </c>
      <c r="AB2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6" s="3">
        <f>+DETALLE_GD_1[[#This Row],[CANTIDAD SOLICITADA]]-DETALLE_GD_1[[#This Row],[DEVOLUCIÓN]]</f>
        <v>21</v>
      </c>
      <c r="AD2136" s="38" t="str">
        <f>+_xlfn.XLOOKUP(DETALLE_GD_1[[#This Row],[CODIGO]],PRODUCTOS[CODIGO],PRODUCTOS[DESC CORTA],"",0)</f>
        <v>VENTILACIÓN PASIVA</v>
      </c>
    </row>
    <row r="2137" spans="1:30" x14ac:dyDescent="0.25">
      <c r="A2137" s="1">
        <v>46182</v>
      </c>
      <c r="B2137" s="1">
        <v>46182</v>
      </c>
      <c r="C2137" s="81" t="s">
        <v>169</v>
      </c>
      <c r="D2137" s="38">
        <v>6</v>
      </c>
      <c r="E2137" s="81" t="s">
        <v>169</v>
      </c>
      <c r="F2137">
        <v>705028</v>
      </c>
      <c r="G2137" s="81" t="s">
        <v>72</v>
      </c>
      <c r="H2137" s="81" t="s">
        <v>18</v>
      </c>
      <c r="I2137" s="3">
        <v>40</v>
      </c>
      <c r="J2137" s="3"/>
      <c r="K2137" s="26">
        <v>40</v>
      </c>
      <c r="L2137" s="2">
        <v>22782</v>
      </c>
      <c r="M2137" s="2">
        <v>911280</v>
      </c>
      <c r="N2137" s="2">
        <v>911280</v>
      </c>
      <c r="O2137" s="2">
        <v>22927.086200000002</v>
      </c>
      <c r="P2137" s="2">
        <v>145.08619999999999</v>
      </c>
      <c r="Q2137" s="2">
        <v>5803.4483</v>
      </c>
      <c r="R2137" s="4">
        <v>6.3281572586272733E-3</v>
      </c>
      <c r="T2137">
        <v>317859</v>
      </c>
      <c r="U2137" s="2"/>
      <c r="W2137" s="2">
        <v>6579000000</v>
      </c>
      <c r="X2137" s="6">
        <v>917083.44828000001</v>
      </c>
      <c r="Y2137" s="38">
        <v>10010</v>
      </c>
      <c r="Z2137" s="86">
        <f>+((DETALLE_GD_1[[#This Row],[VALOR X UN (GD)]]-DETALLE_GD_1[[#This Row],[VALOR PPTO]])/DETALLE_GD_1[[#This Row],[VALOR PPTO]])</f>
        <v>-6.3281569552436868E-3</v>
      </c>
      <c r="AA2137" s="2">
        <f>+DETALLE_GD_1[[#This Row],[VALOR PPTO]]*DETALLE_GD_1[[#This Row],[CANTIDAD RECIBIDA]]</f>
        <v>917083.44800000009</v>
      </c>
      <c r="AB21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37" s="3">
        <f>+DETALLE_GD_1[[#This Row],[CANTIDAD SOLICITADA]]-DETALLE_GD_1[[#This Row],[DEVOLUCIÓN]]</f>
        <v>40</v>
      </c>
      <c r="AD2137" s="38" t="str">
        <f>+_xlfn.XLOOKUP(DETALLE_GD_1[[#This Row],[CODIGO]],PRODUCTOS[CODIGO],PRODUCTOS[DESC CORTA],"",0)</f>
        <v>SIMPLISIMA</v>
      </c>
    </row>
    <row r="2138" spans="1:30" x14ac:dyDescent="0.25">
      <c r="A2138" s="1">
        <v>46182</v>
      </c>
      <c r="B2138" s="1">
        <v>46182</v>
      </c>
      <c r="C2138" s="81" t="s">
        <v>169</v>
      </c>
      <c r="D2138" s="38">
        <v>6</v>
      </c>
      <c r="E2138" s="81" t="s">
        <v>169</v>
      </c>
      <c r="F2138">
        <v>1801735</v>
      </c>
      <c r="G2138" s="81" t="s">
        <v>73</v>
      </c>
      <c r="H2138" s="81" t="s">
        <v>31</v>
      </c>
      <c r="I2138" s="3">
        <v>15</v>
      </c>
      <c r="J2138" s="3"/>
      <c r="K2138" s="26">
        <v>15</v>
      </c>
      <c r="L2138" s="2">
        <v>3781.0666999999999</v>
      </c>
      <c r="M2138" s="2">
        <v>56716</v>
      </c>
      <c r="N2138" s="2">
        <v>56716</v>
      </c>
      <c r="O2138" s="2">
        <v>3495</v>
      </c>
      <c r="P2138" s="2">
        <v>-286.06670000000003</v>
      </c>
      <c r="Q2138" s="2">
        <v>-4291</v>
      </c>
      <c r="R2138" s="4">
        <v>-8.1850262279446806E-2</v>
      </c>
      <c r="T2138">
        <v>317859</v>
      </c>
      <c r="U2138" s="2"/>
      <c r="W2138" s="2">
        <v>6579000000</v>
      </c>
      <c r="X2138" s="6">
        <v>52425</v>
      </c>
      <c r="Y2138" s="38">
        <v>10010</v>
      </c>
      <c r="Z2138" s="86">
        <f>+((DETALLE_GD_1[[#This Row],[VALOR X UN (GD)]]-DETALLE_GD_1[[#This Row],[VALOR PPTO]])/DETALLE_GD_1[[#This Row],[VALOR PPTO]])</f>
        <v>8.1850271816881218E-2</v>
      </c>
      <c r="AA2138" s="2">
        <f>+DETALLE_GD_1[[#This Row],[VALOR PPTO]]*DETALLE_GD_1[[#This Row],[CANTIDAD RECIBIDA]]</f>
        <v>52425</v>
      </c>
      <c r="AB2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8" s="3">
        <f>+DETALLE_GD_1[[#This Row],[CANTIDAD SOLICITADA]]-DETALLE_GD_1[[#This Row],[DEVOLUCIÓN]]</f>
        <v>15</v>
      </c>
      <c r="AD2138" s="38" t="str">
        <f>+_xlfn.XLOOKUP(DETALLE_GD_1[[#This Row],[CODIGO]],PRODUCTOS[CODIGO],PRODUCTOS[DESC CORTA],"",0)</f>
        <v>BURLETE PVC</v>
      </c>
    </row>
    <row r="2139" spans="1:30" x14ac:dyDescent="0.25">
      <c r="A2139" s="1">
        <v>46182</v>
      </c>
      <c r="B2139" s="1">
        <v>46182</v>
      </c>
      <c r="C2139" s="81" t="s">
        <v>169</v>
      </c>
      <c r="D2139" s="38">
        <v>6</v>
      </c>
      <c r="E2139" s="81" t="s">
        <v>169</v>
      </c>
      <c r="F2139">
        <v>1103074</v>
      </c>
      <c r="G2139" s="81" t="s">
        <v>310</v>
      </c>
      <c r="H2139" s="81" t="s">
        <v>31</v>
      </c>
      <c r="I2139" s="3">
        <v>30</v>
      </c>
      <c r="J2139" s="3"/>
      <c r="K2139" s="26">
        <v>30</v>
      </c>
      <c r="L2139" s="2">
        <v>1499.3667</v>
      </c>
      <c r="M2139" s="2">
        <v>44981</v>
      </c>
      <c r="N2139" s="2">
        <v>44981</v>
      </c>
      <c r="O2139" s="2">
        <v>2427</v>
      </c>
      <c r="P2139" s="2">
        <v>927.63329999999996</v>
      </c>
      <c r="Q2139" s="2">
        <v>27829</v>
      </c>
      <c r="R2139" s="4">
        <v>0.38221398159593462</v>
      </c>
      <c r="T2139">
        <v>317859</v>
      </c>
      <c r="U2139" s="2"/>
      <c r="W2139" s="2">
        <v>6579000000</v>
      </c>
      <c r="X2139" s="6">
        <v>72810</v>
      </c>
      <c r="Y2139" s="38">
        <v>10010</v>
      </c>
      <c r="Z2139" s="86">
        <f>+((DETALLE_GD_1[[#This Row],[VALOR X UN (GD)]]-DETALLE_GD_1[[#This Row],[VALOR PPTO]])/DETALLE_GD_1[[#This Row],[VALOR PPTO]])</f>
        <v>-0.38221396786155748</v>
      </c>
      <c r="AA2139" s="2">
        <f>+DETALLE_GD_1[[#This Row],[VALOR PPTO]]*DETALLE_GD_1[[#This Row],[CANTIDAD RECIBIDA]]</f>
        <v>72810</v>
      </c>
      <c r="AB2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9" s="3">
        <f>+DETALLE_GD_1[[#This Row],[CANTIDAD SOLICITADA]]-DETALLE_GD_1[[#This Row],[DEVOLUCIÓN]]</f>
        <v>30</v>
      </c>
      <c r="AD2139" s="38" t="str">
        <f>+_xlfn.XLOOKUP(DETALLE_GD_1[[#This Row],[CODIGO]],PRODUCTOS[CODIGO],PRODUCTOS[DESC CORTA],"",0)</f>
        <v>PERFIL ESQUINERO ENCUENTRO</v>
      </c>
    </row>
    <row r="2140" spans="1:30" x14ac:dyDescent="0.25">
      <c r="A2140" s="1">
        <v>46182</v>
      </c>
      <c r="B2140" s="1">
        <v>46182</v>
      </c>
      <c r="C2140" s="81" t="s">
        <v>169</v>
      </c>
      <c r="D2140" s="38">
        <v>6</v>
      </c>
      <c r="E2140" s="81" t="s">
        <v>169</v>
      </c>
      <c r="F2140">
        <v>1103076</v>
      </c>
      <c r="G2140" s="81" t="s">
        <v>311</v>
      </c>
      <c r="H2140" s="81" t="s">
        <v>31</v>
      </c>
      <c r="I2140" s="3">
        <v>30</v>
      </c>
      <c r="J2140" s="3"/>
      <c r="K2140" s="26">
        <v>30</v>
      </c>
      <c r="L2140" s="2">
        <v>2033.0333000000001</v>
      </c>
      <c r="M2140" s="2">
        <v>60991</v>
      </c>
      <c r="N2140" s="2">
        <v>60991</v>
      </c>
      <c r="O2140" s="2">
        <v>3191</v>
      </c>
      <c r="P2140" s="2">
        <v>1157.9666999999999</v>
      </c>
      <c r="Q2140" s="2">
        <v>34739</v>
      </c>
      <c r="R2140" s="4">
        <v>0.36288519795257496</v>
      </c>
      <c r="T2140">
        <v>317859</v>
      </c>
      <c r="U2140" s="2"/>
      <c r="W2140" s="2">
        <v>6579000000</v>
      </c>
      <c r="X2140" s="6">
        <v>95730</v>
      </c>
      <c r="Y2140" s="38">
        <v>10010</v>
      </c>
      <c r="Z2140" s="86">
        <f>+((DETALLE_GD_1[[#This Row],[VALOR X UN (GD)]]-DETALLE_GD_1[[#This Row],[VALOR PPTO]])/DETALLE_GD_1[[#This Row],[VALOR PPTO]])</f>
        <v>-0.3628852083986211</v>
      </c>
      <c r="AA2140" s="2">
        <f>+DETALLE_GD_1[[#This Row],[VALOR PPTO]]*DETALLE_GD_1[[#This Row],[CANTIDAD RECIBIDA]]</f>
        <v>95730</v>
      </c>
      <c r="AB2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0" s="3">
        <f>+DETALLE_GD_1[[#This Row],[CANTIDAD SOLICITADA]]-DETALLE_GD_1[[#This Row],[DEVOLUCIÓN]]</f>
        <v>30</v>
      </c>
      <c r="AD2140" s="38" t="str">
        <f>+_xlfn.XLOOKUP(DETALLE_GD_1[[#This Row],[CODIGO]],PRODUCTOS[CODIGO],PRODUCTOS[DESC CORTA],"",0)</f>
        <v>PERFIL ESQUINERO INTERIOR</v>
      </c>
    </row>
    <row r="2141" spans="1:30" x14ac:dyDescent="0.25">
      <c r="A2141" s="1">
        <v>46182</v>
      </c>
      <c r="B2141" s="1">
        <v>46182</v>
      </c>
      <c r="C2141" s="81" t="s">
        <v>169</v>
      </c>
      <c r="D2141" s="38">
        <v>6</v>
      </c>
      <c r="E2141" s="81" t="s">
        <v>169</v>
      </c>
      <c r="F2141">
        <v>1802162</v>
      </c>
      <c r="G2141" s="81" t="s">
        <v>260</v>
      </c>
      <c r="H2141" s="81" t="s">
        <v>31</v>
      </c>
      <c r="I2141" s="3">
        <v>4</v>
      </c>
      <c r="J2141" s="3"/>
      <c r="K2141" s="26">
        <v>4</v>
      </c>
      <c r="L2141" s="2">
        <v>42840</v>
      </c>
      <c r="M2141" s="2">
        <v>171360</v>
      </c>
      <c r="N2141" s="2">
        <v>171360</v>
      </c>
      <c r="O2141" s="2">
        <v>42840</v>
      </c>
      <c r="P2141" s="2">
        <v>0</v>
      </c>
      <c r="Q2141" s="2">
        <v>0</v>
      </c>
      <c r="R2141" s="4">
        <v>0</v>
      </c>
      <c r="T2141">
        <v>317859</v>
      </c>
      <c r="U2141" s="2"/>
      <c r="W2141" s="2">
        <v>6579000000</v>
      </c>
      <c r="X2141" s="6">
        <v>171360</v>
      </c>
      <c r="Y2141" s="38">
        <v>10010</v>
      </c>
      <c r="Z2141" s="86">
        <f>+((DETALLE_GD_1[[#This Row],[VALOR X UN (GD)]]-DETALLE_GD_1[[#This Row],[VALOR PPTO]])/DETALLE_GD_1[[#This Row],[VALOR PPTO]])</f>
        <v>0</v>
      </c>
      <c r="AA2141" s="2">
        <f>+DETALLE_GD_1[[#This Row],[VALOR PPTO]]*DETALLE_GD_1[[#This Row],[CANTIDAD RECIBIDA]]</f>
        <v>171360</v>
      </c>
      <c r="AB2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1" s="3">
        <f>+DETALLE_GD_1[[#This Row],[CANTIDAD SOLICITADA]]-DETALLE_GD_1[[#This Row],[DEVOLUCIÓN]]</f>
        <v>4</v>
      </c>
      <c r="AD2141" s="38" t="str">
        <f>+_xlfn.XLOOKUP(DETALLE_GD_1[[#This Row],[CODIGO]],PRODUCTOS[CODIGO],PRODUCTOS[DESC CORTA],"",0)</f>
        <v>TINA DE ACERO</v>
      </c>
    </row>
    <row r="2142" spans="1:30" x14ac:dyDescent="0.25">
      <c r="A2142" s="1">
        <v>46182</v>
      </c>
      <c r="B2142" s="1">
        <v>46182</v>
      </c>
      <c r="C2142" s="81" t="s">
        <v>169</v>
      </c>
      <c r="D2142" s="38">
        <v>6</v>
      </c>
      <c r="E2142" s="81" t="s">
        <v>169</v>
      </c>
      <c r="F2142">
        <v>704021</v>
      </c>
      <c r="G2142" s="81" t="s">
        <v>329</v>
      </c>
      <c r="H2142" s="81" t="s">
        <v>31</v>
      </c>
      <c r="I2142" s="3">
        <v>200</v>
      </c>
      <c r="J2142" s="3"/>
      <c r="K2142" s="26">
        <v>200</v>
      </c>
      <c r="L2142" s="2">
        <v>487</v>
      </c>
      <c r="M2142" s="2">
        <v>97400</v>
      </c>
      <c r="N2142" s="2">
        <v>97400</v>
      </c>
      <c r="O2142" s="2">
        <v>487</v>
      </c>
      <c r="P2142" s="2">
        <v>0</v>
      </c>
      <c r="Q2142" s="2">
        <v>0</v>
      </c>
      <c r="R2142" s="4">
        <v>0</v>
      </c>
      <c r="T2142">
        <v>317919</v>
      </c>
      <c r="U2142" s="2">
        <v>97400</v>
      </c>
      <c r="W2142" s="2">
        <v>6579000000</v>
      </c>
      <c r="X2142" s="6">
        <v>97400</v>
      </c>
      <c r="Y2142" s="38">
        <v>10010</v>
      </c>
      <c r="Z2142" s="86">
        <f>+((DETALLE_GD_1[[#This Row],[VALOR X UN (GD)]]-DETALLE_GD_1[[#This Row],[VALOR PPTO]])/DETALLE_GD_1[[#This Row],[VALOR PPTO]])</f>
        <v>0</v>
      </c>
      <c r="AA2142" s="2">
        <f>+DETALLE_GD_1[[#This Row],[VALOR PPTO]]*DETALLE_GD_1[[#This Row],[CANTIDAD RECIBIDA]]</f>
        <v>97400</v>
      </c>
      <c r="AB21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2" s="3">
        <f>+DETALLE_GD_1[[#This Row],[CANTIDAD SOLICITADA]]-DETALLE_GD_1[[#This Row],[DEVOLUCIÓN]]</f>
        <v>200</v>
      </c>
      <c r="AD2142" s="38" t="str">
        <f>+_xlfn.XLOOKUP(DETALLE_GD_1[[#This Row],[CODIGO]],PRODUCTOS[CODIGO],PRODUCTOS[DESC CORTA],"",0)</f>
        <v>ESQUINERO PILASTRA PVC</v>
      </c>
    </row>
    <row r="2143" spans="1:30" x14ac:dyDescent="0.25">
      <c r="A2143" s="1">
        <v>46182</v>
      </c>
      <c r="B2143" s="1">
        <v>46182</v>
      </c>
      <c r="C2143" s="81" t="s">
        <v>169</v>
      </c>
      <c r="D2143" s="38">
        <v>6</v>
      </c>
      <c r="E2143" s="81" t="s">
        <v>169</v>
      </c>
      <c r="F2143">
        <v>408034</v>
      </c>
      <c r="G2143" s="81" t="s">
        <v>250</v>
      </c>
      <c r="H2143" s="81" t="s">
        <v>36</v>
      </c>
      <c r="I2143" s="3">
        <v>2</v>
      </c>
      <c r="J2143" s="3"/>
      <c r="K2143" s="26">
        <v>2</v>
      </c>
      <c r="L2143" s="2">
        <v>1867</v>
      </c>
      <c r="M2143" s="2">
        <v>3734</v>
      </c>
      <c r="N2143" s="2">
        <v>3734</v>
      </c>
      <c r="O2143" s="2">
        <v>1866.9503999999999</v>
      </c>
      <c r="P2143" s="2">
        <v>-4.9599999999999998E-2</v>
      </c>
      <c r="Q2143" s="2">
        <v>-9.9299999999999999E-2</v>
      </c>
      <c r="R2143" s="4">
        <v>-2.6591494447838636E-5</v>
      </c>
      <c r="T2143">
        <v>317911</v>
      </c>
      <c r="U2143" s="2">
        <v>4364102</v>
      </c>
      <c r="W2143" s="2">
        <v>6579000000</v>
      </c>
      <c r="X2143" s="6">
        <v>3733.9007100000017</v>
      </c>
      <c r="Y2143" s="38">
        <v>10010</v>
      </c>
      <c r="Z2143" s="86">
        <f>+((DETALLE_GD_1[[#This Row],[VALOR X UN (GD)]]-DETALLE_GD_1[[#This Row],[VALOR PPTO]])/DETALLE_GD_1[[#This Row],[VALOR PPTO]])</f>
        <v>2.6567390328128124E-5</v>
      </c>
      <c r="AA2143" s="2">
        <f>+DETALLE_GD_1[[#This Row],[VALOR PPTO]]*DETALLE_GD_1[[#This Row],[CANTIDAD RECIBIDA]]</f>
        <v>3733.9007999999999</v>
      </c>
      <c r="AB21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3" s="3">
        <f>+DETALLE_GD_1[[#This Row],[CANTIDAD SOLICITADA]]-DETALLE_GD_1[[#This Row],[DEVOLUCIÓN]]</f>
        <v>2</v>
      </c>
      <c r="AD2143" s="38">
        <f>+_xlfn.XLOOKUP(DETALLE_GD_1[[#This Row],[CODIGO]],PRODUCTOS[CODIGO],PRODUCTOS[DESC CORTA],"",0)</f>
        <v>0</v>
      </c>
    </row>
    <row r="2144" spans="1:30" x14ac:dyDescent="0.25">
      <c r="A2144" s="1">
        <v>46182</v>
      </c>
      <c r="B2144" s="1">
        <v>46182</v>
      </c>
      <c r="C2144" s="81" t="s">
        <v>169</v>
      </c>
      <c r="D2144" s="38">
        <v>6</v>
      </c>
      <c r="E2144" s="81" t="s">
        <v>169</v>
      </c>
      <c r="F2144">
        <v>704021</v>
      </c>
      <c r="G2144" s="81" t="s">
        <v>329</v>
      </c>
      <c r="H2144" s="81" t="s">
        <v>31</v>
      </c>
      <c r="I2144" s="3">
        <v>200</v>
      </c>
      <c r="J2144" s="3"/>
      <c r="K2144" s="26">
        <v>200</v>
      </c>
      <c r="L2144" s="2">
        <v>487</v>
      </c>
      <c r="M2144" s="2">
        <v>97400</v>
      </c>
      <c r="N2144" s="2">
        <v>97400</v>
      </c>
      <c r="O2144" s="2">
        <v>487</v>
      </c>
      <c r="P2144" s="2">
        <v>0</v>
      </c>
      <c r="Q2144" s="2">
        <v>0</v>
      </c>
      <c r="R2144" s="4">
        <v>0</v>
      </c>
      <c r="T2144">
        <v>317911</v>
      </c>
      <c r="U2144" s="2"/>
      <c r="W2144" s="2">
        <v>6579000000</v>
      </c>
      <c r="X2144" s="6">
        <v>97400</v>
      </c>
      <c r="Y2144" s="38">
        <v>10010</v>
      </c>
      <c r="Z2144" s="86">
        <f>+((DETALLE_GD_1[[#This Row],[VALOR X UN (GD)]]-DETALLE_GD_1[[#This Row],[VALOR PPTO]])/DETALLE_GD_1[[#This Row],[VALOR PPTO]])</f>
        <v>0</v>
      </c>
      <c r="AA2144" s="2">
        <f>+DETALLE_GD_1[[#This Row],[VALOR PPTO]]*DETALLE_GD_1[[#This Row],[CANTIDAD RECIBIDA]]</f>
        <v>97400</v>
      </c>
      <c r="AB21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4" s="3">
        <f>+DETALLE_GD_1[[#This Row],[CANTIDAD SOLICITADA]]-DETALLE_GD_1[[#This Row],[DEVOLUCIÓN]]</f>
        <v>200</v>
      </c>
      <c r="AD2144" s="38" t="str">
        <f>+_xlfn.XLOOKUP(DETALLE_GD_1[[#This Row],[CODIGO]],PRODUCTOS[CODIGO],PRODUCTOS[DESC CORTA],"",0)</f>
        <v>ESQUINERO PILASTRA PVC</v>
      </c>
    </row>
    <row r="2145" spans="1:30" x14ac:dyDescent="0.25">
      <c r="A2145" s="1">
        <v>46182</v>
      </c>
      <c r="B2145" s="1">
        <v>46182</v>
      </c>
      <c r="C2145" s="81" t="s">
        <v>169</v>
      </c>
      <c r="D2145" s="38">
        <v>6</v>
      </c>
      <c r="E2145" s="81" t="s">
        <v>169</v>
      </c>
      <c r="F2145">
        <v>704025</v>
      </c>
      <c r="G2145" s="81" t="s">
        <v>333</v>
      </c>
      <c r="H2145" s="81" t="s">
        <v>31</v>
      </c>
      <c r="I2145" s="3">
        <v>100</v>
      </c>
      <c r="J2145" s="3"/>
      <c r="K2145" s="26">
        <v>100</v>
      </c>
      <c r="L2145" s="2">
        <v>579.9</v>
      </c>
      <c r="M2145" s="2">
        <v>57990</v>
      </c>
      <c r="N2145" s="2">
        <v>57990</v>
      </c>
      <c r="O2145" s="2">
        <v>580</v>
      </c>
      <c r="P2145" s="2">
        <v>0.1</v>
      </c>
      <c r="Q2145" s="2">
        <v>10</v>
      </c>
      <c r="R2145" s="4">
        <v>1.7241379310348748E-4</v>
      </c>
      <c r="T2145">
        <v>317911</v>
      </c>
      <c r="U2145" s="2"/>
      <c r="W2145" s="2">
        <v>6579000000</v>
      </c>
      <c r="X2145" s="6">
        <v>58000</v>
      </c>
      <c r="Y2145" s="38">
        <v>10010</v>
      </c>
      <c r="Z2145" s="86">
        <f>+((DETALLE_GD_1[[#This Row],[VALOR X UN (GD)]]-DETALLE_GD_1[[#This Row],[VALOR PPTO]])/DETALLE_GD_1[[#This Row],[VALOR PPTO]])</f>
        <v>-1.7241379310348748E-4</v>
      </c>
      <c r="AA2145" s="2">
        <f>+DETALLE_GD_1[[#This Row],[VALOR PPTO]]*DETALLE_GD_1[[#This Row],[CANTIDAD RECIBIDA]]</f>
        <v>58000</v>
      </c>
      <c r="AB2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5" s="3">
        <f>+DETALLE_GD_1[[#This Row],[CANTIDAD SOLICITADA]]-DETALLE_GD_1[[#This Row],[DEVOLUCIÓN]]</f>
        <v>100</v>
      </c>
      <c r="AD2145" s="38" t="str">
        <f>+_xlfn.XLOOKUP(DETALLE_GD_1[[#This Row],[CODIGO]],PRODUCTOS[CODIGO],PRODUCTOS[DESC CORTA],"",0)</f>
        <v>ESQUINERO GUARDAPOLVO EXTERIOR</v>
      </c>
    </row>
    <row r="2146" spans="1:30" x14ac:dyDescent="0.25">
      <c r="A2146" s="1">
        <v>46182</v>
      </c>
      <c r="B2146" s="1">
        <v>46182</v>
      </c>
      <c r="C2146" s="81" t="s">
        <v>169</v>
      </c>
      <c r="D2146" s="38">
        <v>6</v>
      </c>
      <c r="E2146" s="81" t="s">
        <v>169</v>
      </c>
      <c r="F2146">
        <v>704023</v>
      </c>
      <c r="G2146" s="81" t="s">
        <v>331</v>
      </c>
      <c r="H2146" s="81" t="s">
        <v>31</v>
      </c>
      <c r="I2146" s="3">
        <v>100</v>
      </c>
      <c r="J2146" s="3"/>
      <c r="K2146" s="26">
        <v>100</v>
      </c>
      <c r="L2146" s="2">
        <v>324</v>
      </c>
      <c r="M2146" s="2">
        <v>32400</v>
      </c>
      <c r="N2146" s="2">
        <v>32400</v>
      </c>
      <c r="O2146" s="2">
        <v>324</v>
      </c>
      <c r="P2146" s="2">
        <v>0</v>
      </c>
      <c r="Q2146" s="2">
        <v>0</v>
      </c>
      <c r="R2146" s="4">
        <v>0</v>
      </c>
      <c r="T2146">
        <v>317911</v>
      </c>
      <c r="U2146" s="2"/>
      <c r="W2146" s="2">
        <v>6579000000</v>
      </c>
      <c r="X2146" s="6">
        <v>32400</v>
      </c>
      <c r="Y2146" s="38">
        <v>10010</v>
      </c>
      <c r="Z2146" s="86">
        <f>+((DETALLE_GD_1[[#This Row],[VALOR X UN (GD)]]-DETALLE_GD_1[[#This Row],[VALOR PPTO]])/DETALLE_GD_1[[#This Row],[VALOR PPTO]])</f>
        <v>0</v>
      </c>
      <c r="AA2146" s="2">
        <f>+DETALLE_GD_1[[#This Row],[VALOR PPTO]]*DETALLE_GD_1[[#This Row],[CANTIDAD RECIBIDA]]</f>
        <v>32400</v>
      </c>
      <c r="AB2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6" s="3">
        <f>+DETALLE_GD_1[[#This Row],[CANTIDAD SOLICITADA]]-DETALLE_GD_1[[#This Row],[DEVOLUCIÓN]]</f>
        <v>100</v>
      </c>
      <c r="AD2146" s="38" t="str">
        <f>+_xlfn.XLOOKUP(DETALLE_GD_1[[#This Row],[CODIGO]],PRODUCTOS[CODIGO],PRODUCTOS[DESC CORTA],"",0)</f>
        <v>ESQUINERO GUARDAPOLVO INTERIOR</v>
      </c>
    </row>
    <row r="2147" spans="1:30" x14ac:dyDescent="0.25">
      <c r="A2147" s="1">
        <v>46182</v>
      </c>
      <c r="B2147" s="1">
        <v>46182</v>
      </c>
      <c r="C2147" s="81" t="s">
        <v>169</v>
      </c>
      <c r="D2147" s="38">
        <v>6</v>
      </c>
      <c r="E2147" s="81" t="s">
        <v>169</v>
      </c>
      <c r="F2147">
        <v>704024</v>
      </c>
      <c r="G2147" s="81" t="s">
        <v>332</v>
      </c>
      <c r="H2147" s="81" t="s">
        <v>31</v>
      </c>
      <c r="I2147" s="3">
        <v>100</v>
      </c>
      <c r="J2147" s="3"/>
      <c r="K2147" s="26">
        <v>100</v>
      </c>
      <c r="L2147" s="2">
        <v>317.93</v>
      </c>
      <c r="M2147" s="2">
        <v>31793</v>
      </c>
      <c r="N2147" s="2">
        <v>31793</v>
      </c>
      <c r="O2147" s="2">
        <v>363</v>
      </c>
      <c r="P2147" s="2">
        <v>45.07</v>
      </c>
      <c r="Q2147" s="2">
        <v>4507</v>
      </c>
      <c r="R2147" s="4">
        <v>0.12415977961432503</v>
      </c>
      <c r="T2147">
        <v>317911</v>
      </c>
      <c r="U2147" s="2"/>
      <c r="W2147" s="2">
        <v>6579000000</v>
      </c>
      <c r="X2147" s="6">
        <v>36300</v>
      </c>
      <c r="Y2147" s="38">
        <v>10010</v>
      </c>
      <c r="Z2147" s="86">
        <f>+((DETALLE_GD_1[[#This Row],[VALOR X UN (GD)]]-DETALLE_GD_1[[#This Row],[VALOR PPTO]])/DETALLE_GD_1[[#This Row],[VALOR PPTO]])</f>
        <v>-0.12415977961432505</v>
      </c>
      <c r="AA2147" s="2">
        <f>+DETALLE_GD_1[[#This Row],[VALOR PPTO]]*DETALLE_GD_1[[#This Row],[CANTIDAD RECIBIDA]]</f>
        <v>36300</v>
      </c>
      <c r="AB2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7" s="3">
        <f>+DETALLE_GD_1[[#This Row],[CANTIDAD SOLICITADA]]-DETALLE_GD_1[[#This Row],[DEVOLUCIÓN]]</f>
        <v>100</v>
      </c>
      <c r="AD2147" s="38" t="str">
        <f>+_xlfn.XLOOKUP(DETALLE_GD_1[[#This Row],[CODIGO]],PRODUCTOS[CODIGO],PRODUCTOS[DESC CORTA],"",0)</f>
        <v>ESQUINERO CORNIZA EXTERIOR</v>
      </c>
    </row>
    <row r="2148" spans="1:30" x14ac:dyDescent="0.25">
      <c r="A2148" s="1">
        <v>46182</v>
      </c>
      <c r="B2148" s="1">
        <v>46182</v>
      </c>
      <c r="C2148" s="81" t="s">
        <v>169</v>
      </c>
      <c r="D2148" s="38">
        <v>6</v>
      </c>
      <c r="E2148" s="81" t="s">
        <v>169</v>
      </c>
      <c r="F2148">
        <v>2304053</v>
      </c>
      <c r="G2148" s="81" t="s">
        <v>213</v>
      </c>
      <c r="H2148" s="81" t="s">
        <v>31</v>
      </c>
      <c r="I2148" s="3">
        <v>24</v>
      </c>
      <c r="J2148" s="3"/>
      <c r="K2148" s="26">
        <v>24</v>
      </c>
      <c r="L2148" s="2">
        <v>1046.5</v>
      </c>
      <c r="M2148" s="2">
        <v>25116</v>
      </c>
      <c r="N2148" s="2">
        <v>25116</v>
      </c>
      <c r="O2148" s="2">
        <v>862</v>
      </c>
      <c r="P2148" s="2">
        <v>-184.5</v>
      </c>
      <c r="Q2148" s="2">
        <v>-4428</v>
      </c>
      <c r="R2148" s="4">
        <v>-0.21403712296983743</v>
      </c>
      <c r="T2148">
        <v>317911</v>
      </c>
      <c r="U2148" s="2"/>
      <c r="W2148" s="2">
        <v>6579000000</v>
      </c>
      <c r="X2148" s="6">
        <v>20688.000000000004</v>
      </c>
      <c r="Y2148" s="38">
        <v>10010</v>
      </c>
      <c r="Z2148" s="86">
        <f>+((DETALLE_GD_1[[#This Row],[VALOR X UN (GD)]]-DETALLE_GD_1[[#This Row],[VALOR PPTO]])/DETALLE_GD_1[[#This Row],[VALOR PPTO]])</f>
        <v>0.2140371229698376</v>
      </c>
      <c r="AA2148" s="2">
        <f>+DETALLE_GD_1[[#This Row],[VALOR PPTO]]*DETALLE_GD_1[[#This Row],[CANTIDAD RECIBIDA]]</f>
        <v>20688</v>
      </c>
      <c r="AB2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8" s="3">
        <f>+DETALLE_GD_1[[#This Row],[CANTIDAD SOLICITADA]]-DETALLE_GD_1[[#This Row],[DEVOLUCIÓN]]</f>
        <v>24</v>
      </c>
      <c r="AD2148" s="38">
        <f>+_xlfn.XLOOKUP(DETALLE_GD_1[[#This Row],[CODIGO]],PRODUCTOS[CODIGO],PRODUCTOS[DESC CORTA],"",0)</f>
        <v>0</v>
      </c>
    </row>
    <row r="2149" spans="1:30" x14ac:dyDescent="0.25">
      <c r="A2149" s="1">
        <v>46182</v>
      </c>
      <c r="B2149" s="1">
        <v>46182</v>
      </c>
      <c r="C2149" s="81" t="s">
        <v>169</v>
      </c>
      <c r="D2149" s="38">
        <v>6</v>
      </c>
      <c r="E2149" s="81" t="s">
        <v>169</v>
      </c>
      <c r="F2149">
        <v>1801230</v>
      </c>
      <c r="G2149" s="81" t="s">
        <v>51</v>
      </c>
      <c r="H2149" s="81" t="s">
        <v>31</v>
      </c>
      <c r="I2149" s="3">
        <v>60</v>
      </c>
      <c r="J2149" s="3"/>
      <c r="K2149" s="26">
        <v>60</v>
      </c>
      <c r="L2149" s="2">
        <v>3554.4832999999999</v>
      </c>
      <c r="M2149" s="2">
        <v>213269</v>
      </c>
      <c r="N2149" s="2">
        <v>213269</v>
      </c>
      <c r="O2149" s="2">
        <v>9309.8462</v>
      </c>
      <c r="P2149" s="2">
        <v>5755.3627999999999</v>
      </c>
      <c r="Q2149" s="2">
        <v>345321.76919999998</v>
      </c>
      <c r="R2149" s="4">
        <v>0.61820171090516463</v>
      </c>
      <c r="T2149">
        <v>317911</v>
      </c>
      <c r="U2149" s="2"/>
      <c r="W2149" s="2">
        <v>6579000000</v>
      </c>
      <c r="X2149" s="6">
        <v>558590.76924000005</v>
      </c>
      <c r="Y2149" s="38">
        <v>10010</v>
      </c>
      <c r="Z2149" s="86">
        <f>+((DETALLE_GD_1[[#This Row],[VALOR X UN (GD)]]-DETALLE_GD_1[[#This Row],[VALOR PPTO]])/DETALLE_GD_1[[#This Row],[VALOR PPTO]])</f>
        <v>-0.61820171637207066</v>
      </c>
      <c r="AA2149" s="2">
        <f>+DETALLE_GD_1[[#This Row],[VALOR PPTO]]*DETALLE_GD_1[[#This Row],[CANTIDAD RECIBIDA]]</f>
        <v>558590.772</v>
      </c>
      <c r="AB2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9" s="3">
        <f>+DETALLE_GD_1[[#This Row],[CANTIDAD SOLICITADA]]-DETALLE_GD_1[[#This Row],[DEVOLUCIÓN]]</f>
        <v>60</v>
      </c>
      <c r="AD2149" s="38" t="str">
        <f>+_xlfn.XLOOKUP(DETALLE_GD_1[[#This Row],[CODIGO]],PRODUCTOS[CODIGO],PRODUCTOS[DESC CORTA],"",0)</f>
        <v>SOPORTE TINA</v>
      </c>
    </row>
    <row r="2150" spans="1:30" x14ac:dyDescent="0.25">
      <c r="A2150" s="1">
        <v>46182</v>
      </c>
      <c r="B2150" s="1">
        <v>46182</v>
      </c>
      <c r="C2150" s="81" t="s">
        <v>169</v>
      </c>
      <c r="D2150" s="38">
        <v>6</v>
      </c>
      <c r="E2150" s="81" t="s">
        <v>169</v>
      </c>
      <c r="F2150">
        <v>407011</v>
      </c>
      <c r="G2150" s="81" t="s">
        <v>30</v>
      </c>
      <c r="H2150" s="81" t="s">
        <v>31</v>
      </c>
      <c r="I2150" s="3">
        <v>3000</v>
      </c>
      <c r="J2150" s="3"/>
      <c r="K2150" s="26">
        <v>3000</v>
      </c>
      <c r="L2150" s="2">
        <v>444.97930000000002</v>
      </c>
      <c r="M2150" s="2">
        <v>1334938</v>
      </c>
      <c r="N2150" s="2">
        <v>1334938</v>
      </c>
      <c r="O2150" s="2">
        <v>473.17520000000002</v>
      </c>
      <c r="P2150" s="2">
        <v>28.195900000000002</v>
      </c>
      <c r="Q2150" s="2">
        <v>84587.72</v>
      </c>
      <c r="R2150" s="4">
        <v>5.9588719533732563E-2</v>
      </c>
      <c r="T2150">
        <v>317911</v>
      </c>
      <c r="U2150" s="2"/>
      <c r="W2150" s="2">
        <v>6579000000</v>
      </c>
      <c r="X2150" s="6">
        <v>1419525.7199999995</v>
      </c>
      <c r="Y2150" s="38">
        <v>10010</v>
      </c>
      <c r="Z2150" s="86">
        <f>+((DETALLE_GD_1[[#This Row],[VALOR X UN (GD)]]-DETALLE_GD_1[[#This Row],[VALOR PPTO]])/DETALLE_GD_1[[#This Row],[VALOR PPTO]])</f>
        <v>-5.9588710481868014E-2</v>
      </c>
      <c r="AA2150" s="2">
        <f>+DETALLE_GD_1[[#This Row],[VALOR PPTO]]*DETALLE_GD_1[[#This Row],[CANTIDAD RECIBIDA]]</f>
        <v>1419525.6</v>
      </c>
      <c r="AB21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50" s="3">
        <f>+DETALLE_GD_1[[#This Row],[CANTIDAD SOLICITADA]]-DETALLE_GD_1[[#This Row],[DEVOLUCIÓN]]</f>
        <v>3000</v>
      </c>
      <c r="AD2150" s="38" t="str">
        <f>+_xlfn.XLOOKUP(DETALLE_GD_1[[#This Row],[CODIGO]],PRODUCTOS[CODIGO],PRODUCTOS[DESC CORTA],"",0)</f>
        <v>TORNILLO SIMPSON 6"</v>
      </c>
    </row>
    <row r="2151" spans="1:30" x14ac:dyDescent="0.25">
      <c r="A2151" s="1">
        <v>46182</v>
      </c>
      <c r="B2151" s="1">
        <v>46182</v>
      </c>
      <c r="C2151" s="81" t="s">
        <v>169</v>
      </c>
      <c r="D2151" s="38">
        <v>6</v>
      </c>
      <c r="E2151" s="81" t="s">
        <v>169</v>
      </c>
      <c r="F2151">
        <v>701096</v>
      </c>
      <c r="G2151" s="81" t="s">
        <v>204</v>
      </c>
      <c r="H2151" s="81" t="s">
        <v>18</v>
      </c>
      <c r="I2151" s="3">
        <v>140</v>
      </c>
      <c r="J2151" s="3"/>
      <c r="K2151" s="26">
        <v>140</v>
      </c>
      <c r="L2151" s="2">
        <v>16021.6857</v>
      </c>
      <c r="M2151" s="2">
        <v>2243036</v>
      </c>
      <c r="N2151" s="2">
        <v>2243036</v>
      </c>
      <c r="O2151" s="2">
        <v>16019.885700000001</v>
      </c>
      <c r="P2151" s="2">
        <v>-1.8</v>
      </c>
      <c r="Q2151" s="2">
        <v>-252.00409999999999</v>
      </c>
      <c r="R2151" s="4">
        <v>-1.1236218042404084E-4</v>
      </c>
      <c r="T2151">
        <v>317911</v>
      </c>
      <c r="U2151" s="2"/>
      <c r="W2151" s="2">
        <v>6579000000</v>
      </c>
      <c r="X2151" s="6">
        <v>2242783.9959000004</v>
      </c>
      <c r="Y2151" s="38">
        <v>10010</v>
      </c>
      <c r="Z2151" s="86">
        <f>+((DETALLE_GD_1[[#This Row],[VALOR X UN (GD)]]-DETALLE_GD_1[[#This Row],[VALOR PPTO]])/DETALLE_GD_1[[#This Row],[VALOR PPTO]])</f>
        <v>1.1236035223392839E-4</v>
      </c>
      <c r="AA2151" s="2">
        <f>+DETALLE_GD_1[[#This Row],[VALOR PPTO]]*DETALLE_GD_1[[#This Row],[CANTIDAD RECIBIDA]]</f>
        <v>2242783.9980000001</v>
      </c>
      <c r="AB21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51" s="3">
        <f>+DETALLE_GD_1[[#This Row],[CANTIDAD SOLICITADA]]-DETALLE_GD_1[[#This Row],[DEVOLUCIÓN]]</f>
        <v>140</v>
      </c>
      <c r="AD2151" s="38" t="str">
        <f>+_xlfn.XLOOKUP(DETALLE_GD_1[[#This Row],[CODIGO]],PRODUCTOS[CODIGO],PRODUCTOS[DESC CORTA],"",0)</f>
        <v>VOCANITA EMPAPELADA MURO</v>
      </c>
    </row>
    <row r="2152" spans="1:30" x14ac:dyDescent="0.25">
      <c r="A2152" s="1">
        <v>46182</v>
      </c>
      <c r="B2152" s="1">
        <v>46182</v>
      </c>
      <c r="C2152" s="81" t="s">
        <v>169</v>
      </c>
      <c r="D2152" s="38">
        <v>6</v>
      </c>
      <c r="E2152" s="81" t="s">
        <v>169</v>
      </c>
      <c r="F2152">
        <v>412301</v>
      </c>
      <c r="G2152" s="81" t="s">
        <v>327</v>
      </c>
      <c r="H2152" s="81" t="s">
        <v>31</v>
      </c>
      <c r="I2152" s="3">
        <v>500</v>
      </c>
      <c r="J2152" s="3"/>
      <c r="K2152" s="26">
        <v>500</v>
      </c>
      <c r="L2152" s="2">
        <v>388.76</v>
      </c>
      <c r="M2152" s="2">
        <v>194380</v>
      </c>
      <c r="N2152" s="2">
        <v>194380</v>
      </c>
      <c r="O2152" s="2">
        <v>388.75979999999998</v>
      </c>
      <c r="P2152" s="2">
        <v>-2.0000000000000001E-4</v>
      </c>
      <c r="Q2152" s="2">
        <v>-0.115</v>
      </c>
      <c r="R2152" s="4">
        <v>-5.9162500273045235E-7</v>
      </c>
      <c r="T2152">
        <v>317911</v>
      </c>
      <c r="U2152" s="2"/>
      <c r="W2152" s="2">
        <v>6579000000</v>
      </c>
      <c r="X2152" s="6">
        <v>194379.88500000001</v>
      </c>
      <c r="Y2152" s="38">
        <v>10010</v>
      </c>
      <c r="Z2152" s="86">
        <f>+((DETALLE_GD_1[[#This Row],[VALOR X UN (GD)]]-DETALLE_GD_1[[#This Row],[VALOR PPTO]])/DETALLE_GD_1[[#This Row],[VALOR PPTO]])</f>
        <v>5.1445648445811355E-7</v>
      </c>
      <c r="AA2152" s="2">
        <f>+DETALLE_GD_1[[#This Row],[VALOR PPTO]]*DETALLE_GD_1[[#This Row],[CANTIDAD RECIBIDA]]</f>
        <v>194379.9</v>
      </c>
      <c r="AB2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52" s="3">
        <f>+DETALLE_GD_1[[#This Row],[CANTIDAD SOLICITADA]]-DETALLE_GD_1[[#This Row],[DEVOLUCIÓN]]</f>
        <v>500</v>
      </c>
      <c r="AD2152" s="38">
        <f>+_xlfn.XLOOKUP(DETALLE_GD_1[[#This Row],[CODIGO]],PRODUCTOS[CODIGO],PRODUCTOS[DESC CORTA],"",0)</f>
        <v>0</v>
      </c>
    </row>
    <row r="2153" spans="1:30" x14ac:dyDescent="0.25">
      <c r="A2153" s="1">
        <v>46182</v>
      </c>
      <c r="B2153" s="1">
        <v>46182</v>
      </c>
      <c r="C2153" s="81" t="s">
        <v>169</v>
      </c>
      <c r="D2153" s="38">
        <v>6</v>
      </c>
      <c r="E2153" s="81" t="s">
        <v>169</v>
      </c>
      <c r="F2153">
        <v>412302</v>
      </c>
      <c r="G2153" s="81" t="s">
        <v>165</v>
      </c>
      <c r="H2153" s="81" t="s">
        <v>31</v>
      </c>
      <c r="I2153" s="3">
        <v>20</v>
      </c>
      <c r="J2153" s="3"/>
      <c r="K2153" s="26">
        <v>20</v>
      </c>
      <c r="L2153" s="2">
        <v>4742.45</v>
      </c>
      <c r="M2153" s="2">
        <v>94849</v>
      </c>
      <c r="N2153" s="2">
        <v>94849</v>
      </c>
      <c r="O2153" s="2">
        <v>4742.4587000000001</v>
      </c>
      <c r="P2153" s="2">
        <v>8.6999999999999994E-3</v>
      </c>
      <c r="Q2153" s="2">
        <v>0.17330000000000001</v>
      </c>
      <c r="R2153" s="4">
        <v>1.8275330600913992E-6</v>
      </c>
      <c r="T2153">
        <v>317911</v>
      </c>
      <c r="U2153" s="2"/>
      <c r="W2153" s="2">
        <v>6579000000</v>
      </c>
      <c r="X2153" s="6">
        <v>94849.173339999994</v>
      </c>
      <c r="Y2153" s="38">
        <v>10010</v>
      </c>
      <c r="Z2153" s="86">
        <f>+((DETALLE_GD_1[[#This Row],[VALOR X UN (GD)]]-DETALLE_GD_1[[#This Row],[VALOR PPTO]])/DETALLE_GD_1[[#This Row],[VALOR PPTO]])</f>
        <v>-1.8344914633241259E-6</v>
      </c>
      <c r="AA2153" s="2">
        <f>+DETALLE_GD_1[[#This Row],[VALOR PPTO]]*DETALLE_GD_1[[#This Row],[CANTIDAD RECIBIDA]]</f>
        <v>94849.173999999999</v>
      </c>
      <c r="AB2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53" s="3">
        <f>+DETALLE_GD_1[[#This Row],[CANTIDAD SOLICITADA]]-DETALLE_GD_1[[#This Row],[DEVOLUCIÓN]]</f>
        <v>20</v>
      </c>
      <c r="AD2153" s="38">
        <f>+_xlfn.XLOOKUP(DETALLE_GD_1[[#This Row],[CODIGO]],PRODUCTOS[CODIGO],PRODUCTOS[DESC CORTA],"",0)</f>
        <v>0</v>
      </c>
    </row>
    <row r="2154" spans="1:30" x14ac:dyDescent="0.25">
      <c r="A2154" s="1">
        <v>46182</v>
      </c>
      <c r="B2154" s="1">
        <v>46182</v>
      </c>
      <c r="C2154" s="81" t="s">
        <v>169</v>
      </c>
      <c r="D2154" s="38">
        <v>6</v>
      </c>
      <c r="E2154" s="81" t="s">
        <v>169</v>
      </c>
      <c r="F2154">
        <v>1405006</v>
      </c>
      <c r="G2154" s="81" t="s">
        <v>199</v>
      </c>
      <c r="H2154" s="81" t="s">
        <v>31</v>
      </c>
      <c r="I2154" s="3">
        <v>1000</v>
      </c>
      <c r="J2154" s="3"/>
      <c r="K2154" s="26">
        <v>1000</v>
      </c>
      <c r="L2154" s="2">
        <v>35.197000000000003</v>
      </c>
      <c r="M2154" s="2">
        <v>35197</v>
      </c>
      <c r="N2154" s="2">
        <v>35197</v>
      </c>
      <c r="O2154" s="2">
        <v>35.197499999999998</v>
      </c>
      <c r="P2154" s="2">
        <v>5.0000000000000001E-4</v>
      </c>
      <c r="Q2154" s="2">
        <v>0.46</v>
      </c>
      <c r="R2154" s="4">
        <v>1.3069124874462578E-5</v>
      </c>
      <c r="T2154">
        <v>317911</v>
      </c>
      <c r="U2154" s="2"/>
      <c r="W2154" s="2">
        <v>6579000000</v>
      </c>
      <c r="X2154" s="6">
        <v>35197.460000000006</v>
      </c>
      <c r="Y2154" s="38">
        <v>10010</v>
      </c>
      <c r="Z2154" s="86">
        <f>+((DETALLE_GD_1[[#This Row],[VALOR X UN (GD)]]-DETALLE_GD_1[[#This Row],[VALOR PPTO]])/DETALLE_GD_1[[#This Row],[VALOR PPTO]])</f>
        <v>-1.4205554371625315E-5</v>
      </c>
      <c r="AA2154" s="2">
        <f>+DETALLE_GD_1[[#This Row],[VALOR PPTO]]*DETALLE_GD_1[[#This Row],[CANTIDAD RECIBIDA]]</f>
        <v>35197.5</v>
      </c>
      <c r="AB2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54" s="3">
        <f>+DETALLE_GD_1[[#This Row],[CANTIDAD SOLICITADA]]-DETALLE_GD_1[[#This Row],[DEVOLUCIÓN]]</f>
        <v>1000</v>
      </c>
      <c r="AD2154" s="38">
        <f>+_xlfn.XLOOKUP(DETALLE_GD_1[[#This Row],[CODIGO]],PRODUCTOS[CODIGO],PRODUCTOS[DESC CORTA],"",0)</f>
        <v>0</v>
      </c>
    </row>
    <row r="2155" spans="1:30" x14ac:dyDescent="0.25">
      <c r="A2155" s="1">
        <v>46183</v>
      </c>
      <c r="B2155" s="1">
        <v>46183</v>
      </c>
      <c r="C2155" s="81" t="s">
        <v>169</v>
      </c>
      <c r="D2155" s="38">
        <v>6</v>
      </c>
      <c r="E2155" s="81" t="s">
        <v>169</v>
      </c>
      <c r="F2155" t="s">
        <v>94</v>
      </c>
      <c r="G2155" s="81" t="s">
        <v>95</v>
      </c>
      <c r="H2155" s="81" t="s">
        <v>31</v>
      </c>
      <c r="I2155" s="3">
        <v>10</v>
      </c>
      <c r="J2155" s="3"/>
      <c r="K2155" s="26">
        <v>10</v>
      </c>
      <c r="L2155" s="2">
        <v>3021.3</v>
      </c>
      <c r="M2155" s="2">
        <v>30213</v>
      </c>
      <c r="N2155" s="2">
        <v>30213</v>
      </c>
      <c r="O2155" s="2">
        <v>3021.2829000000002</v>
      </c>
      <c r="P2155" s="2">
        <v>-1.7100000000000001E-2</v>
      </c>
      <c r="Q2155" s="2">
        <v>-0.17130000000000001</v>
      </c>
      <c r="R2155" s="4">
        <v>-5.6701079449996769E-6</v>
      </c>
      <c r="T2155">
        <v>318000</v>
      </c>
      <c r="U2155" s="2">
        <v>763858</v>
      </c>
      <c r="W2155" s="2">
        <v>6579000000</v>
      </c>
      <c r="X2155" s="6">
        <v>30212.828690000009</v>
      </c>
      <c r="Y2155" s="38">
        <v>10010</v>
      </c>
      <c r="Z2155" s="86">
        <f>+((DETALLE_GD_1[[#This Row],[VALOR X UN (GD)]]-DETALLE_GD_1[[#This Row],[VALOR PPTO]])/DETALLE_GD_1[[#This Row],[VALOR PPTO]])</f>
        <v>5.6598473449896557E-6</v>
      </c>
      <c r="AA2155" s="2">
        <f>+DETALLE_GD_1[[#This Row],[VALOR PPTO]]*DETALLE_GD_1[[#This Row],[CANTIDAD RECIBIDA]]</f>
        <v>30212.829000000002</v>
      </c>
      <c r="AB2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55" s="3">
        <f>+DETALLE_GD_1[[#This Row],[CANTIDAD SOLICITADA]]-DETALLE_GD_1[[#This Row],[DEVOLUCIÓN]]</f>
        <v>10</v>
      </c>
      <c r="AD2155" s="38" t="str">
        <f>+_xlfn.XLOOKUP(DETALLE_GD_1[[#This Row],[CODIGO]],PRODUCTOS[CODIGO],PRODUCTOS[DESC CORTA],"",0)</f>
        <v>TOPE DE PUERTA</v>
      </c>
    </row>
    <row r="2156" spans="1:30" x14ac:dyDescent="0.25">
      <c r="A2156" s="1">
        <v>46183</v>
      </c>
      <c r="B2156" s="1">
        <v>46183</v>
      </c>
      <c r="C2156" s="81" t="s">
        <v>169</v>
      </c>
      <c r="D2156" s="38">
        <v>6</v>
      </c>
      <c r="E2156" s="81" t="s">
        <v>169</v>
      </c>
      <c r="F2156">
        <v>2508987</v>
      </c>
      <c r="G2156" s="81" t="s">
        <v>305</v>
      </c>
      <c r="H2156" s="81" t="s">
        <v>31</v>
      </c>
      <c r="I2156" s="3">
        <v>2</v>
      </c>
      <c r="J2156" s="3"/>
      <c r="K2156" s="26">
        <v>2</v>
      </c>
      <c r="L2156" s="2">
        <v>142531.5</v>
      </c>
      <c r="M2156" s="2">
        <v>285063</v>
      </c>
      <c r="N2156" s="2">
        <v>285063</v>
      </c>
      <c r="O2156" s="2">
        <v>145847</v>
      </c>
      <c r="P2156" s="2">
        <v>3315.5</v>
      </c>
      <c r="Q2156" s="2">
        <v>6631</v>
      </c>
      <c r="R2156" s="4">
        <v>2.2732726761606346E-2</v>
      </c>
      <c r="T2156">
        <v>318000</v>
      </c>
      <c r="U2156" s="2"/>
      <c r="W2156" s="2">
        <v>6579000000</v>
      </c>
      <c r="X2156" s="6">
        <v>291694</v>
      </c>
      <c r="Y2156" s="38">
        <v>10010</v>
      </c>
      <c r="Z2156" s="86">
        <f>+((DETALLE_GD_1[[#This Row],[VALOR X UN (GD)]]-DETALLE_GD_1[[#This Row],[VALOR PPTO]])/DETALLE_GD_1[[#This Row],[VALOR PPTO]])</f>
        <v>-2.2732726761606342E-2</v>
      </c>
      <c r="AA2156" s="2">
        <f>+DETALLE_GD_1[[#This Row],[VALOR PPTO]]*DETALLE_GD_1[[#This Row],[CANTIDAD RECIBIDA]]</f>
        <v>291694</v>
      </c>
      <c r="AB2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56" s="3">
        <f>+DETALLE_GD_1[[#This Row],[CANTIDAD SOLICITADA]]-DETALLE_GD_1[[#This Row],[DEVOLUCIÓN]]</f>
        <v>2</v>
      </c>
      <c r="AD2156" s="38" t="str">
        <f>+_xlfn.XLOOKUP(DETALLE_GD_1[[#This Row],[CODIGO]],PRODUCTOS[CODIGO],PRODUCTOS[DESC CORTA],"",0)</f>
        <v>KIT PREC</v>
      </c>
    </row>
    <row r="2157" spans="1:30" x14ac:dyDescent="0.25">
      <c r="A2157" s="1">
        <v>46183</v>
      </c>
      <c r="B2157" s="1">
        <v>46183</v>
      </c>
      <c r="C2157" s="81" t="s">
        <v>169</v>
      </c>
      <c r="D2157" s="38">
        <v>6</v>
      </c>
      <c r="E2157" s="81" t="s">
        <v>169</v>
      </c>
      <c r="F2157">
        <v>2508988</v>
      </c>
      <c r="G2157" s="81" t="s">
        <v>469</v>
      </c>
      <c r="H2157" s="81" t="s">
        <v>90</v>
      </c>
      <c r="I2157" s="3">
        <v>2</v>
      </c>
      <c r="J2157" s="3"/>
      <c r="K2157" s="26">
        <v>2</v>
      </c>
      <c r="L2157" s="2">
        <v>142675.5</v>
      </c>
      <c r="M2157" s="2">
        <v>285351</v>
      </c>
      <c r="N2157" s="2">
        <v>285351</v>
      </c>
      <c r="O2157" s="2"/>
      <c r="P2157" s="2"/>
      <c r="Q2157" s="2">
        <v>-285351</v>
      </c>
      <c r="R2157" s="4"/>
      <c r="T2157">
        <v>318000</v>
      </c>
      <c r="U2157" s="2"/>
      <c r="W2157" s="2">
        <v>6579000000</v>
      </c>
      <c r="X2157" s="6" t="s">
        <v>355</v>
      </c>
      <c r="Y2157" s="38">
        <v>10010</v>
      </c>
      <c r="Z2157" s="86" t="e">
        <f>+((DETALLE_GD_1[[#This Row],[VALOR X UN (GD)]]-DETALLE_GD_1[[#This Row],[VALOR PPTO]])/DETALLE_GD_1[[#This Row],[VALOR PPTO]])</f>
        <v>#DIV/0!</v>
      </c>
      <c r="AA2157" s="2">
        <f>+DETALLE_GD_1[[#This Row],[VALOR PPTO]]*DETALLE_GD_1[[#This Row],[CANTIDAD RECIBIDA]]</f>
        <v>0</v>
      </c>
      <c r="AB2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57" s="3">
        <f>+DETALLE_GD_1[[#This Row],[CANTIDAD SOLICITADA]]-DETALLE_GD_1[[#This Row],[DEVOLUCIÓN]]</f>
        <v>2</v>
      </c>
      <c r="AD2157" s="38" t="str">
        <f>+_xlfn.XLOOKUP(DETALLE_GD_1[[#This Row],[CODIGO]],PRODUCTOS[CODIGO],PRODUCTOS[DESC CORTA],"",0)</f>
        <v/>
      </c>
    </row>
    <row r="2158" spans="1:30" x14ac:dyDescent="0.25">
      <c r="A2158" s="1">
        <v>46183</v>
      </c>
      <c r="B2158" s="1">
        <v>46183</v>
      </c>
      <c r="C2158" s="81" t="s">
        <v>169</v>
      </c>
      <c r="D2158" s="38">
        <v>6</v>
      </c>
      <c r="E2158" s="81" t="s">
        <v>169</v>
      </c>
      <c r="F2158">
        <v>2508990</v>
      </c>
      <c r="G2158" s="81" t="s">
        <v>484</v>
      </c>
      <c r="H2158" s="81" t="s">
        <v>31</v>
      </c>
      <c r="I2158" s="3">
        <v>4</v>
      </c>
      <c r="J2158" s="3"/>
      <c r="K2158" s="26">
        <v>4</v>
      </c>
      <c r="L2158" s="2">
        <v>6688.75</v>
      </c>
      <c r="M2158" s="2">
        <v>26755</v>
      </c>
      <c r="N2158" s="2">
        <v>26755</v>
      </c>
      <c r="O2158" s="2">
        <v>6738</v>
      </c>
      <c r="P2158" s="2">
        <v>49.25</v>
      </c>
      <c r="Q2158" s="2">
        <v>197</v>
      </c>
      <c r="R2158" s="4">
        <v>7.309290590679726E-3</v>
      </c>
      <c r="T2158">
        <v>318000</v>
      </c>
      <c r="U2158" s="2"/>
      <c r="W2158" s="2">
        <v>6579000000</v>
      </c>
      <c r="X2158" s="6">
        <v>26952</v>
      </c>
      <c r="Y2158" s="38">
        <v>10010</v>
      </c>
      <c r="Z2158" s="86">
        <f>+((DETALLE_GD_1[[#This Row],[VALOR X UN (GD)]]-DETALLE_GD_1[[#This Row],[VALOR PPTO]])/DETALLE_GD_1[[#This Row],[VALOR PPTO]])</f>
        <v>-7.3092905906797269E-3</v>
      </c>
      <c r="AA2158" s="2">
        <f>+DETALLE_GD_1[[#This Row],[VALOR PPTO]]*DETALLE_GD_1[[#This Row],[CANTIDAD RECIBIDA]]</f>
        <v>26952</v>
      </c>
      <c r="AB2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58" s="3">
        <f>+DETALLE_GD_1[[#This Row],[CANTIDAD SOLICITADA]]-DETALLE_GD_1[[#This Row],[DEVOLUCIÓN]]</f>
        <v>4</v>
      </c>
      <c r="AD2158" s="38" t="str">
        <f>+_xlfn.XLOOKUP(DETALLE_GD_1[[#This Row],[CODIGO]],PRODUCTOS[CODIGO],PRODUCTOS[DESC CORTA],"",0)</f>
        <v>CERRADURA DE EMB</v>
      </c>
    </row>
    <row r="2159" spans="1:30" x14ac:dyDescent="0.25">
      <c r="A2159" s="1">
        <v>46183</v>
      </c>
      <c r="B2159" s="1">
        <v>46183</v>
      </c>
      <c r="C2159" s="81" t="s">
        <v>169</v>
      </c>
      <c r="D2159" s="38">
        <v>6</v>
      </c>
      <c r="E2159" s="81" t="s">
        <v>169</v>
      </c>
      <c r="F2159">
        <v>2508991</v>
      </c>
      <c r="G2159" s="81" t="s">
        <v>485</v>
      </c>
      <c r="H2159" s="81" t="s">
        <v>31</v>
      </c>
      <c r="I2159" s="3">
        <v>4</v>
      </c>
      <c r="J2159" s="3"/>
      <c r="K2159" s="26">
        <v>4</v>
      </c>
      <c r="L2159" s="2">
        <v>4785.5</v>
      </c>
      <c r="M2159" s="2">
        <v>19142</v>
      </c>
      <c r="N2159" s="2">
        <v>19142</v>
      </c>
      <c r="O2159" s="2">
        <v>4798</v>
      </c>
      <c r="P2159" s="2">
        <v>12.5</v>
      </c>
      <c r="Q2159" s="2">
        <v>50</v>
      </c>
      <c r="R2159" s="4">
        <v>2.6052521884118384E-3</v>
      </c>
      <c r="T2159">
        <v>318000</v>
      </c>
      <c r="U2159" s="2"/>
      <c r="W2159" s="2">
        <v>6579000000</v>
      </c>
      <c r="X2159" s="6">
        <v>19192</v>
      </c>
      <c r="Y2159" s="38">
        <v>10010</v>
      </c>
      <c r="Z2159" s="86">
        <f>+((DETALLE_GD_1[[#This Row],[VALOR X UN (GD)]]-DETALLE_GD_1[[#This Row],[VALOR PPTO]])/DETALLE_GD_1[[#This Row],[VALOR PPTO]])</f>
        <v>-2.6052521884118384E-3</v>
      </c>
      <c r="AA2159" s="2">
        <f>+DETALLE_GD_1[[#This Row],[VALOR PPTO]]*DETALLE_GD_1[[#This Row],[CANTIDAD RECIBIDA]]</f>
        <v>19192</v>
      </c>
      <c r="AB2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59" s="3">
        <f>+DETALLE_GD_1[[#This Row],[CANTIDAD SOLICITADA]]-DETALLE_GD_1[[#This Row],[DEVOLUCIÓN]]</f>
        <v>4</v>
      </c>
      <c r="AD2159" s="38" t="str">
        <f>+_xlfn.XLOOKUP(DETALLE_GD_1[[#This Row],[CODIGO]],PRODUCTOS[CODIGO],PRODUCTOS[DESC CORTA],"",0)</f>
        <v>CILINDRO 03 LLAVE/LLAVE</v>
      </c>
    </row>
    <row r="2160" spans="1:30" x14ac:dyDescent="0.25">
      <c r="A2160" s="1">
        <v>46183</v>
      </c>
      <c r="B2160" s="1">
        <v>46183</v>
      </c>
      <c r="C2160" s="81" t="s">
        <v>169</v>
      </c>
      <c r="D2160" s="38">
        <v>6</v>
      </c>
      <c r="E2160" s="81" t="s">
        <v>169</v>
      </c>
      <c r="F2160">
        <v>2508992</v>
      </c>
      <c r="G2160" s="81" t="s">
        <v>486</v>
      </c>
      <c r="H2160" s="81" t="s">
        <v>31</v>
      </c>
      <c r="I2160" s="3">
        <v>4</v>
      </c>
      <c r="J2160" s="3"/>
      <c r="K2160" s="26">
        <v>4</v>
      </c>
      <c r="L2160" s="2">
        <v>5068.75</v>
      </c>
      <c r="M2160" s="2">
        <v>20275</v>
      </c>
      <c r="N2160" s="2">
        <v>20275</v>
      </c>
      <c r="O2160" s="2">
        <v>5084</v>
      </c>
      <c r="P2160" s="2">
        <v>15.25</v>
      </c>
      <c r="Q2160" s="2">
        <v>61</v>
      </c>
      <c r="R2160" s="4">
        <v>2.9996066089693157E-3</v>
      </c>
      <c r="T2160">
        <v>318000</v>
      </c>
      <c r="U2160" s="2"/>
      <c r="W2160" s="2">
        <v>6579000000</v>
      </c>
      <c r="X2160" s="6">
        <v>20336</v>
      </c>
      <c r="Y2160" s="38">
        <v>10010</v>
      </c>
      <c r="Z2160" s="86">
        <f>+((DETALLE_GD_1[[#This Row],[VALOR X UN (GD)]]-DETALLE_GD_1[[#This Row],[VALOR PPTO]])/DETALLE_GD_1[[#This Row],[VALOR PPTO]])</f>
        <v>-2.9996066089693157E-3</v>
      </c>
      <c r="AA2160" s="2">
        <f>+DETALLE_GD_1[[#This Row],[VALOR PPTO]]*DETALLE_GD_1[[#This Row],[CANTIDAD RECIBIDA]]</f>
        <v>20336</v>
      </c>
      <c r="AB2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60" s="3">
        <f>+DETALLE_GD_1[[#This Row],[CANTIDAD SOLICITADA]]-DETALLE_GD_1[[#This Row],[DEVOLUCIÓN]]</f>
        <v>4</v>
      </c>
      <c r="AD2160" s="38" t="str">
        <f>+_xlfn.XLOOKUP(DETALLE_GD_1[[#This Row],[CODIGO]],PRODUCTOS[CODIGO],PRODUCTOS[DESC CORTA],"",0)</f>
        <v>MANILLA JUEGO</v>
      </c>
    </row>
    <row r="2161" spans="1:30" x14ac:dyDescent="0.25">
      <c r="A2161" s="1">
        <v>46183</v>
      </c>
      <c r="B2161" s="1">
        <v>46183</v>
      </c>
      <c r="C2161" s="81" t="s">
        <v>169</v>
      </c>
      <c r="D2161" s="38">
        <v>6</v>
      </c>
      <c r="E2161" s="81" t="s">
        <v>169</v>
      </c>
      <c r="F2161">
        <v>2508993</v>
      </c>
      <c r="G2161" s="81" t="s">
        <v>487</v>
      </c>
      <c r="H2161" s="81" t="s">
        <v>31</v>
      </c>
      <c r="I2161" s="3">
        <v>4</v>
      </c>
      <c r="J2161" s="3"/>
      <c r="K2161" s="26">
        <v>4</v>
      </c>
      <c r="L2161" s="2">
        <v>1461.75</v>
      </c>
      <c r="M2161" s="2">
        <v>5847</v>
      </c>
      <c r="N2161" s="2">
        <v>5847</v>
      </c>
      <c r="O2161" s="2">
        <v>1410</v>
      </c>
      <c r="P2161" s="2">
        <v>-51.75</v>
      </c>
      <c r="Q2161" s="2">
        <v>-207</v>
      </c>
      <c r="R2161" s="4">
        <v>-3.6702127659574466E-2</v>
      </c>
      <c r="T2161">
        <v>318000</v>
      </c>
      <c r="U2161" s="2"/>
      <c r="W2161" s="2">
        <v>6579000000</v>
      </c>
      <c r="X2161" s="6">
        <v>5640</v>
      </c>
      <c r="Y2161" s="38">
        <v>10010</v>
      </c>
      <c r="Z2161" s="86">
        <f>+((DETALLE_GD_1[[#This Row],[VALOR X UN (GD)]]-DETALLE_GD_1[[#This Row],[VALOR PPTO]])/DETALLE_GD_1[[#This Row],[VALOR PPTO]])</f>
        <v>3.6702127659574466E-2</v>
      </c>
      <c r="AA2161" s="2">
        <f>+DETALLE_GD_1[[#This Row],[VALOR PPTO]]*DETALLE_GD_1[[#This Row],[CANTIDAD RECIBIDA]]</f>
        <v>5640</v>
      </c>
      <c r="AB2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61" s="3">
        <f>+DETALLE_GD_1[[#This Row],[CANTIDAD SOLICITADA]]-DETALLE_GD_1[[#This Row],[DEVOLUCIÓN]]</f>
        <v>4</v>
      </c>
      <c r="AD2161" s="38" t="str">
        <f>+_xlfn.XLOOKUP(DETALLE_GD_1[[#This Row],[CODIGO]],PRODUCTOS[CODIGO],PRODUCTOS[DESC CORTA],"",0)</f>
        <v>BOCALLAVE B1 800 ACCESO</v>
      </c>
    </row>
    <row r="2162" spans="1:30" x14ac:dyDescent="0.25">
      <c r="A2162" s="1">
        <v>46183</v>
      </c>
      <c r="B2162" s="1">
        <v>46183</v>
      </c>
      <c r="C2162" s="81" t="s">
        <v>169</v>
      </c>
      <c r="D2162" s="38">
        <v>6</v>
      </c>
      <c r="E2162" s="81" t="s">
        <v>169</v>
      </c>
      <c r="F2162">
        <v>307096</v>
      </c>
      <c r="G2162" s="81" t="s">
        <v>249</v>
      </c>
      <c r="H2162" s="81" t="s">
        <v>137</v>
      </c>
      <c r="I2162" s="3">
        <v>50</v>
      </c>
      <c r="J2162" s="3"/>
      <c r="K2162" s="26">
        <v>50</v>
      </c>
      <c r="L2162" s="2">
        <v>1824.24</v>
      </c>
      <c r="M2162" s="2">
        <v>91212</v>
      </c>
      <c r="N2162" s="2">
        <v>91212</v>
      </c>
      <c r="O2162" s="2">
        <v>2095.3501000000001</v>
      </c>
      <c r="P2162" s="2">
        <v>271.11009999999999</v>
      </c>
      <c r="Q2162" s="2">
        <v>13555.5064</v>
      </c>
      <c r="R2162" s="4">
        <v>0.12938655227486268</v>
      </c>
      <c r="T2162">
        <v>318000</v>
      </c>
      <c r="U2162" s="2"/>
      <c r="W2162" s="2">
        <v>6579000000</v>
      </c>
      <c r="X2162" s="6">
        <v>104767.50644999991</v>
      </c>
      <c r="Y2162" s="38">
        <v>10010</v>
      </c>
      <c r="Z2162" s="86">
        <f>+((DETALLE_GD_1[[#This Row],[VALOR X UN (GD)]]-DETALLE_GD_1[[#This Row],[VALOR PPTO]])/DETALLE_GD_1[[#This Row],[VALOR PPTO]])</f>
        <v>-0.12938654022542587</v>
      </c>
      <c r="AA2162" s="2">
        <f>+DETALLE_GD_1[[#This Row],[VALOR PPTO]]*DETALLE_GD_1[[#This Row],[CANTIDAD RECIBIDA]]</f>
        <v>104767.505</v>
      </c>
      <c r="AB21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62" s="3">
        <f>+DETALLE_GD_1[[#This Row],[CANTIDAD SOLICITADA]]-DETALLE_GD_1[[#This Row],[DEVOLUCIÓN]]</f>
        <v>50</v>
      </c>
      <c r="AD2162" s="38" t="str">
        <f>+_xlfn.XLOOKUP(DETALLE_GD_1[[#This Row],[CODIGO]],PRODUCTOS[CODIGO],PRODUCTOS[DESC CORTA],"",0)</f>
        <v>CUBREJUNTA</v>
      </c>
    </row>
    <row r="2163" spans="1:30" x14ac:dyDescent="0.25">
      <c r="A2163" s="1">
        <v>46183</v>
      </c>
      <c r="B2163" s="1">
        <v>46183</v>
      </c>
      <c r="C2163" s="81" t="s">
        <v>169</v>
      </c>
      <c r="D2163" s="38">
        <v>6</v>
      </c>
      <c r="E2163" s="81" t="s">
        <v>169</v>
      </c>
      <c r="F2163">
        <v>1802103</v>
      </c>
      <c r="G2163" s="81" t="s">
        <v>2009</v>
      </c>
      <c r="H2163" s="81" t="s">
        <v>31</v>
      </c>
      <c r="I2163" s="3">
        <v>5</v>
      </c>
      <c r="J2163" s="3"/>
      <c r="K2163" s="26">
        <v>5</v>
      </c>
      <c r="L2163" s="2">
        <v>734</v>
      </c>
      <c r="M2163" s="2">
        <v>3670</v>
      </c>
      <c r="N2163" s="2">
        <v>3670</v>
      </c>
      <c r="O2163" s="2"/>
      <c r="P2163" s="2"/>
      <c r="Q2163" s="2">
        <v>-3670</v>
      </c>
      <c r="R2163" s="4"/>
      <c r="T2163">
        <v>318024</v>
      </c>
      <c r="U2163" s="2">
        <v>1352722</v>
      </c>
      <c r="W2163" s="2">
        <v>6579000000</v>
      </c>
      <c r="X2163" s="6" t="s">
        <v>355</v>
      </c>
      <c r="Y2163" s="38">
        <v>10010</v>
      </c>
      <c r="Z2163" s="86" t="e">
        <f>+((DETALLE_GD_1[[#This Row],[VALOR X UN (GD)]]-DETALLE_GD_1[[#This Row],[VALOR PPTO]])/DETALLE_GD_1[[#This Row],[VALOR PPTO]])</f>
        <v>#DIV/0!</v>
      </c>
      <c r="AA2163" s="2">
        <f>+DETALLE_GD_1[[#This Row],[VALOR PPTO]]*DETALLE_GD_1[[#This Row],[CANTIDAD RECIBIDA]]</f>
        <v>0</v>
      </c>
      <c r="AB2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63" s="3">
        <f>+DETALLE_GD_1[[#This Row],[CANTIDAD SOLICITADA]]-DETALLE_GD_1[[#This Row],[DEVOLUCIÓN]]</f>
        <v>5</v>
      </c>
      <c r="AD2163" s="38" t="str">
        <f>+_xlfn.XLOOKUP(DETALLE_GD_1[[#This Row],[CODIGO]],PRODUCTOS[CODIGO],PRODUCTOS[DESC CORTA],"",0)</f>
        <v/>
      </c>
    </row>
    <row r="2164" spans="1:30" x14ac:dyDescent="0.25">
      <c r="A2164" s="1">
        <v>46183</v>
      </c>
      <c r="B2164" s="1">
        <v>46183</v>
      </c>
      <c r="C2164" s="81" t="s">
        <v>169</v>
      </c>
      <c r="D2164" s="38">
        <v>6</v>
      </c>
      <c r="E2164" s="81" t="s">
        <v>169</v>
      </c>
      <c r="F2164" t="s">
        <v>82</v>
      </c>
      <c r="G2164" s="81" t="s">
        <v>83</v>
      </c>
      <c r="H2164" s="81" t="s">
        <v>36</v>
      </c>
      <c r="I2164" s="3">
        <v>3</v>
      </c>
      <c r="J2164" s="3"/>
      <c r="K2164" s="26">
        <v>3</v>
      </c>
      <c r="L2164" s="2">
        <v>36939.666700000002</v>
      </c>
      <c r="M2164" s="2">
        <v>110819</v>
      </c>
      <c r="N2164" s="2">
        <v>110819</v>
      </c>
      <c r="O2164" s="2">
        <v>36939.818200000002</v>
      </c>
      <c r="P2164" s="2">
        <v>0.1515</v>
      </c>
      <c r="Q2164" s="2">
        <v>0.45450000000000002</v>
      </c>
      <c r="R2164" s="4">
        <v>4.1016805382584259E-6</v>
      </c>
      <c r="T2164">
        <v>318024</v>
      </c>
      <c r="U2164" s="2"/>
      <c r="W2164" s="2">
        <v>6579000000</v>
      </c>
      <c r="X2164" s="6">
        <v>110819.45454599996</v>
      </c>
      <c r="Y2164" s="38">
        <v>10010</v>
      </c>
      <c r="Z2164" s="86">
        <f>+((DETALLE_GD_1[[#This Row],[VALOR X UN (GD)]]-DETALLE_GD_1[[#This Row],[VALOR PPTO]])/DETALLE_GD_1[[#This Row],[VALOR PPTO]])</f>
        <v>-4.1012654469409861E-6</v>
      </c>
      <c r="AA2164" s="2">
        <f>+DETALLE_GD_1[[#This Row],[VALOR PPTO]]*DETALLE_GD_1[[#This Row],[CANTIDAD RECIBIDA]]</f>
        <v>110819.4546</v>
      </c>
      <c r="AB21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64" s="3">
        <f>+DETALLE_GD_1[[#This Row],[CANTIDAD SOLICITADA]]-DETALLE_GD_1[[#This Row],[DEVOLUCIÓN]]</f>
        <v>3</v>
      </c>
      <c r="AD2164" s="38" t="str">
        <f>+_xlfn.XLOOKUP(DETALLE_GD_1[[#This Row],[CODIGO]],PRODUCTOS[CODIGO],PRODUCTOS[DESC CORTA],"",0)</f>
        <v>CLAVO R20</v>
      </c>
    </row>
    <row r="2165" spans="1:30" x14ac:dyDescent="0.25">
      <c r="A2165" s="1">
        <v>46183</v>
      </c>
      <c r="B2165" s="1">
        <v>46183</v>
      </c>
      <c r="C2165" s="81" t="s">
        <v>169</v>
      </c>
      <c r="D2165" s="38">
        <v>6</v>
      </c>
      <c r="E2165" s="81" t="s">
        <v>169</v>
      </c>
      <c r="F2165">
        <v>1902013</v>
      </c>
      <c r="G2165" s="81" t="s">
        <v>338</v>
      </c>
      <c r="H2165" s="81" t="s">
        <v>47</v>
      </c>
      <c r="I2165" s="3">
        <v>15</v>
      </c>
      <c r="J2165" s="3"/>
      <c r="K2165" s="26">
        <v>15</v>
      </c>
      <c r="L2165" s="2">
        <v>39232.533300000003</v>
      </c>
      <c r="M2165" s="2">
        <v>588488</v>
      </c>
      <c r="N2165" s="2">
        <v>588488</v>
      </c>
      <c r="O2165" s="2">
        <v>29779</v>
      </c>
      <c r="P2165" s="2">
        <v>-9453.5332999999991</v>
      </c>
      <c r="Q2165" s="2">
        <v>-141803</v>
      </c>
      <c r="R2165" s="4">
        <v>-0.31745637305931473</v>
      </c>
      <c r="T2165">
        <v>318024</v>
      </c>
      <c r="U2165" s="2"/>
      <c r="W2165" s="2">
        <v>6579000000</v>
      </c>
      <c r="X2165" s="6">
        <v>446685</v>
      </c>
      <c r="Y2165" s="38">
        <v>10010</v>
      </c>
      <c r="Z2165" s="86">
        <f>+((DETALLE_GD_1[[#This Row],[VALOR X UN (GD)]]-DETALLE_GD_1[[#This Row],[VALOR PPTO]])/DETALLE_GD_1[[#This Row],[VALOR PPTO]])</f>
        <v>0.31745637193995779</v>
      </c>
      <c r="AA2165" s="2">
        <f>+DETALLE_GD_1[[#This Row],[VALOR PPTO]]*DETALLE_GD_1[[#This Row],[CANTIDAD RECIBIDA]]</f>
        <v>446685</v>
      </c>
      <c r="AB2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65" s="3">
        <f>+DETALLE_GD_1[[#This Row],[CANTIDAD SOLICITADA]]-DETALLE_GD_1[[#This Row],[DEVOLUCIÓN]]</f>
        <v>15</v>
      </c>
      <c r="AD2165" s="38">
        <f>+_xlfn.XLOOKUP(DETALLE_GD_1[[#This Row],[CODIGO]],PRODUCTOS[CODIGO],PRODUCTOS[DESC CORTA],"",0)</f>
        <v>0</v>
      </c>
    </row>
    <row r="2166" spans="1:30" x14ac:dyDescent="0.25">
      <c r="A2166" s="1">
        <v>46183</v>
      </c>
      <c r="B2166" s="1">
        <v>46183</v>
      </c>
      <c r="C2166" s="81" t="s">
        <v>169</v>
      </c>
      <c r="D2166" s="38">
        <v>6</v>
      </c>
      <c r="E2166" s="81" t="s">
        <v>169</v>
      </c>
      <c r="F2166">
        <v>404745</v>
      </c>
      <c r="G2166" s="81" t="s">
        <v>444</v>
      </c>
      <c r="H2166" s="81" t="s">
        <v>31</v>
      </c>
      <c r="I2166" s="3">
        <v>10</v>
      </c>
      <c r="J2166" s="3"/>
      <c r="K2166" s="26">
        <v>10</v>
      </c>
      <c r="L2166" s="2">
        <v>8826</v>
      </c>
      <c r="M2166" s="2">
        <v>88260</v>
      </c>
      <c r="N2166" s="2">
        <v>88260</v>
      </c>
      <c r="O2166" s="2"/>
      <c r="P2166" s="2"/>
      <c r="Q2166" s="2">
        <v>-88260</v>
      </c>
      <c r="R2166" s="4"/>
      <c r="T2166">
        <v>318024</v>
      </c>
      <c r="U2166" s="2"/>
      <c r="W2166" s="2">
        <v>6579000000</v>
      </c>
      <c r="X2166" s="6" t="s">
        <v>355</v>
      </c>
      <c r="Y2166" s="38">
        <v>10010</v>
      </c>
      <c r="Z2166" s="86" t="e">
        <f>+((DETALLE_GD_1[[#This Row],[VALOR X UN (GD)]]-DETALLE_GD_1[[#This Row],[VALOR PPTO]])/DETALLE_GD_1[[#This Row],[VALOR PPTO]])</f>
        <v>#DIV/0!</v>
      </c>
      <c r="AA2166" s="2">
        <f>+DETALLE_GD_1[[#This Row],[VALOR PPTO]]*DETALLE_GD_1[[#This Row],[CANTIDAD RECIBIDA]]</f>
        <v>0</v>
      </c>
      <c r="AB2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66" s="3">
        <f>+DETALLE_GD_1[[#This Row],[CANTIDAD SOLICITADA]]-DETALLE_GD_1[[#This Row],[DEVOLUCIÓN]]</f>
        <v>10</v>
      </c>
      <c r="AD2166" s="38" t="str">
        <f>+_xlfn.XLOOKUP(DETALLE_GD_1[[#This Row],[CODIGO]],PRODUCTOS[CODIGO],PRODUCTOS[DESC CORTA],"",0)</f>
        <v/>
      </c>
    </row>
    <row r="2167" spans="1:30" x14ac:dyDescent="0.25">
      <c r="A2167" s="1">
        <v>46183</v>
      </c>
      <c r="B2167" s="1">
        <v>46183</v>
      </c>
      <c r="C2167" s="81" t="s">
        <v>169</v>
      </c>
      <c r="D2167" s="38">
        <v>6</v>
      </c>
      <c r="E2167" s="81" t="s">
        <v>169</v>
      </c>
      <c r="F2167">
        <v>407427</v>
      </c>
      <c r="G2167" s="81" t="s">
        <v>172</v>
      </c>
      <c r="H2167" s="81" t="s">
        <v>36</v>
      </c>
      <c r="I2167" s="3">
        <v>2</v>
      </c>
      <c r="J2167" s="3"/>
      <c r="K2167" s="26">
        <v>2</v>
      </c>
      <c r="L2167" s="2">
        <v>22557.5</v>
      </c>
      <c r="M2167" s="2">
        <v>45115</v>
      </c>
      <c r="N2167" s="2">
        <v>45115</v>
      </c>
      <c r="O2167" s="2">
        <v>22557.5455</v>
      </c>
      <c r="P2167" s="2">
        <v>4.5499999999999999E-2</v>
      </c>
      <c r="Q2167" s="2">
        <v>9.0899999999999995E-2</v>
      </c>
      <c r="R2167" s="4">
        <v>2.0150685317323429E-6</v>
      </c>
      <c r="T2167">
        <v>318024</v>
      </c>
      <c r="U2167" s="2"/>
      <c r="W2167" s="2">
        <v>6579000000</v>
      </c>
      <c r="X2167" s="6">
        <v>45115.090909999999</v>
      </c>
      <c r="Y2167" s="38">
        <v>10010</v>
      </c>
      <c r="Z2167" s="86">
        <f>+((DETALLE_GD_1[[#This Row],[VALOR X UN (GD)]]-DETALLE_GD_1[[#This Row],[VALOR PPTO]])/DETALLE_GD_1[[#This Row],[VALOR PPTO]])</f>
        <v>-2.0170634256362076E-6</v>
      </c>
      <c r="AA2167" s="2">
        <f>+DETALLE_GD_1[[#This Row],[VALOR PPTO]]*DETALLE_GD_1[[#This Row],[CANTIDAD RECIBIDA]]</f>
        <v>45115.091</v>
      </c>
      <c r="AB2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67" s="3">
        <f>+DETALLE_GD_1[[#This Row],[CANTIDAD SOLICITADA]]-DETALLE_GD_1[[#This Row],[DEVOLUCIÓN]]</f>
        <v>2</v>
      </c>
      <c r="AD2167" s="38">
        <f>+_xlfn.XLOOKUP(DETALLE_GD_1[[#This Row],[CODIGO]],PRODUCTOS[CODIGO],PRODUCTOS[DESC CORTA],"",0)</f>
        <v>0</v>
      </c>
    </row>
    <row r="2168" spans="1:30" x14ac:dyDescent="0.25">
      <c r="A2168" s="1">
        <v>46183</v>
      </c>
      <c r="B2168" s="1">
        <v>46183</v>
      </c>
      <c r="C2168" s="81" t="s">
        <v>169</v>
      </c>
      <c r="D2168" s="38">
        <v>6</v>
      </c>
      <c r="E2168" s="81" t="s">
        <v>169</v>
      </c>
      <c r="F2168">
        <v>2302118</v>
      </c>
      <c r="G2168" s="81" t="s">
        <v>228</v>
      </c>
      <c r="H2168" s="81" t="s">
        <v>25</v>
      </c>
      <c r="I2168" s="3">
        <v>5</v>
      </c>
      <c r="J2168" s="3"/>
      <c r="K2168" s="26">
        <v>5</v>
      </c>
      <c r="L2168" s="2">
        <v>80875.8</v>
      </c>
      <c r="M2168" s="2">
        <v>404379</v>
      </c>
      <c r="N2168" s="2">
        <v>404379</v>
      </c>
      <c r="O2168" s="2">
        <v>101250</v>
      </c>
      <c r="P2168" s="2">
        <v>20374.2</v>
      </c>
      <c r="Q2168" s="2">
        <v>101871</v>
      </c>
      <c r="R2168" s="4">
        <v>0.20122666666666664</v>
      </c>
      <c r="T2168">
        <v>318024</v>
      </c>
      <c r="U2168" s="2"/>
      <c r="W2168" s="2">
        <v>6579000000</v>
      </c>
      <c r="X2168" s="6">
        <v>506250</v>
      </c>
      <c r="Y2168" s="38">
        <v>10010</v>
      </c>
      <c r="Z2168" s="86">
        <f>+((DETALLE_GD_1[[#This Row],[VALOR X UN (GD)]]-DETALLE_GD_1[[#This Row],[VALOR PPTO]])/DETALLE_GD_1[[#This Row],[VALOR PPTO]])</f>
        <v>-0.20122666666666664</v>
      </c>
      <c r="AA2168" s="2">
        <f>+DETALLE_GD_1[[#This Row],[VALOR PPTO]]*DETALLE_GD_1[[#This Row],[CANTIDAD RECIBIDA]]</f>
        <v>506250</v>
      </c>
      <c r="AB2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68" s="3">
        <f>+DETALLE_GD_1[[#This Row],[CANTIDAD SOLICITADA]]-DETALLE_GD_1[[#This Row],[DEVOLUCIÓN]]</f>
        <v>5</v>
      </c>
      <c r="AD2168" s="38">
        <f>+_xlfn.XLOOKUP(DETALLE_GD_1[[#This Row],[CODIGO]],PRODUCTOS[CODIGO],PRODUCTOS[DESC CORTA],"",0)</f>
        <v>0</v>
      </c>
    </row>
    <row r="2169" spans="1:30" x14ac:dyDescent="0.25">
      <c r="A2169" s="1">
        <v>46183</v>
      </c>
      <c r="B2169" s="1">
        <v>46183</v>
      </c>
      <c r="C2169" s="81" t="s">
        <v>169</v>
      </c>
      <c r="D2169" s="38">
        <v>6</v>
      </c>
      <c r="E2169" s="81" t="s">
        <v>169</v>
      </c>
      <c r="F2169">
        <v>407423</v>
      </c>
      <c r="G2169" s="81" t="s">
        <v>106</v>
      </c>
      <c r="H2169" s="81" t="s">
        <v>31</v>
      </c>
      <c r="I2169" s="3">
        <v>5000</v>
      </c>
      <c r="J2169" s="3"/>
      <c r="K2169" s="26">
        <v>5000</v>
      </c>
      <c r="L2169" s="2">
        <v>3.4662000000000002</v>
      </c>
      <c r="M2169" s="2">
        <v>17331</v>
      </c>
      <c r="N2169" s="2">
        <v>17331</v>
      </c>
      <c r="O2169" s="2">
        <v>106.6405</v>
      </c>
      <c r="P2169" s="2">
        <v>103.1743</v>
      </c>
      <c r="Q2169" s="2">
        <v>515871.5099</v>
      </c>
      <c r="R2169" s="4">
        <v>0.96749640206563281</v>
      </c>
      <c r="T2169">
        <v>318024</v>
      </c>
      <c r="U2169" s="2"/>
      <c r="W2169" s="2">
        <v>6579000000</v>
      </c>
      <c r="X2169" s="6">
        <v>533202.50991891895</v>
      </c>
      <c r="Y2169" s="38">
        <v>10010</v>
      </c>
      <c r="Z2169" s="86">
        <f>+((DETALLE_GD_1[[#This Row],[VALOR X UN (GD)]]-DETALLE_GD_1[[#This Row],[VALOR PPTO]])/DETALLE_GD_1[[#This Row],[VALOR PPTO]])</f>
        <v>-0.96749640146098337</v>
      </c>
      <c r="AA2169" s="2">
        <f>+DETALLE_GD_1[[#This Row],[VALOR PPTO]]*DETALLE_GD_1[[#This Row],[CANTIDAD RECIBIDA]]</f>
        <v>533202.5</v>
      </c>
      <c r="AB2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69" s="3">
        <f>+DETALLE_GD_1[[#This Row],[CANTIDAD SOLICITADA]]-DETALLE_GD_1[[#This Row],[DEVOLUCIÓN]]</f>
        <v>5000</v>
      </c>
      <c r="AD2169" s="38" t="str">
        <f>+_xlfn.XLOOKUP(DETALLE_GD_1[[#This Row],[CODIGO]],PRODUCTOS[CODIGO],PRODUCTOS[DESC CORTA],"",0)</f>
        <v>TORNILLO CRS 6X1 5/8</v>
      </c>
    </row>
    <row r="2170" spans="1:30" x14ac:dyDescent="0.25">
      <c r="A2170" s="1">
        <v>46183</v>
      </c>
      <c r="B2170" s="1">
        <v>46183</v>
      </c>
      <c r="C2170" s="81" t="s">
        <v>169</v>
      </c>
      <c r="D2170" s="38">
        <v>6</v>
      </c>
      <c r="E2170" s="81" t="s">
        <v>169</v>
      </c>
      <c r="F2170" t="s">
        <v>452</v>
      </c>
      <c r="G2170" s="81" t="s">
        <v>453</v>
      </c>
      <c r="H2170" s="81" t="s">
        <v>31</v>
      </c>
      <c r="I2170" s="3">
        <v>3</v>
      </c>
      <c r="J2170" s="3"/>
      <c r="K2170" s="26">
        <v>3</v>
      </c>
      <c r="L2170" s="2">
        <v>31553.333299999998</v>
      </c>
      <c r="M2170" s="2">
        <v>94660</v>
      </c>
      <c r="N2170" s="2">
        <v>94660</v>
      </c>
      <c r="O2170" s="2"/>
      <c r="P2170" s="2"/>
      <c r="Q2170" s="2">
        <v>-94660</v>
      </c>
      <c r="R2170" s="4"/>
      <c r="T2170">
        <v>318024</v>
      </c>
      <c r="U2170" s="2"/>
      <c r="W2170" s="2">
        <v>6579000000</v>
      </c>
      <c r="X2170" s="6" t="s">
        <v>355</v>
      </c>
      <c r="Y2170" s="38">
        <v>10010</v>
      </c>
      <c r="Z2170" s="86" t="e">
        <f>+((DETALLE_GD_1[[#This Row],[VALOR X UN (GD)]]-DETALLE_GD_1[[#This Row],[VALOR PPTO]])/DETALLE_GD_1[[#This Row],[VALOR PPTO]])</f>
        <v>#DIV/0!</v>
      </c>
      <c r="AA2170" s="2">
        <f>+DETALLE_GD_1[[#This Row],[VALOR PPTO]]*DETALLE_GD_1[[#This Row],[CANTIDAD RECIBIDA]]</f>
        <v>0</v>
      </c>
      <c r="AB21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70" s="3">
        <f>+DETALLE_GD_1[[#This Row],[CANTIDAD SOLICITADA]]-DETALLE_GD_1[[#This Row],[DEVOLUCIÓN]]</f>
        <v>3</v>
      </c>
      <c r="AD2170" s="38" t="str">
        <f>+_xlfn.XLOOKUP(DETALLE_GD_1[[#This Row],[CODIGO]],PRODUCTOS[CODIGO],PRODUCTOS[DESC CORTA],"",0)</f>
        <v/>
      </c>
    </row>
    <row r="2171" spans="1:30" x14ac:dyDescent="0.25">
      <c r="A2171" s="1">
        <v>46184</v>
      </c>
      <c r="B2171" s="1">
        <v>46184</v>
      </c>
      <c r="C2171" s="81" t="s">
        <v>169</v>
      </c>
      <c r="D2171" s="38">
        <v>6</v>
      </c>
      <c r="E2171" s="81" t="s">
        <v>169</v>
      </c>
      <c r="F2171">
        <v>1803044</v>
      </c>
      <c r="G2171" s="81" t="s">
        <v>336</v>
      </c>
      <c r="H2171" s="81" t="s">
        <v>90</v>
      </c>
      <c r="I2171" s="3">
        <v>9</v>
      </c>
      <c r="J2171" s="3"/>
      <c r="K2171" s="26">
        <v>9</v>
      </c>
      <c r="L2171" s="2">
        <v>51875.888899999998</v>
      </c>
      <c r="M2171" s="2">
        <v>466883</v>
      </c>
      <c r="N2171" s="2">
        <v>466883</v>
      </c>
      <c r="O2171" s="2">
        <v>52920</v>
      </c>
      <c r="P2171" s="2">
        <v>1044.1111000000001</v>
      </c>
      <c r="Q2171" s="2">
        <v>9397</v>
      </c>
      <c r="R2171" s="4">
        <v>1.9729990761736763E-2</v>
      </c>
      <c r="T2171">
        <v>318097</v>
      </c>
      <c r="U2171" s="2">
        <v>1200862</v>
      </c>
      <c r="W2171" s="2">
        <v>6579000000</v>
      </c>
      <c r="X2171" s="6">
        <v>476280</v>
      </c>
      <c r="Y2171" s="38">
        <v>10010</v>
      </c>
      <c r="Z2171" s="86">
        <f>+((DETALLE_GD_1[[#This Row],[VALOR X UN (GD)]]-DETALLE_GD_1[[#This Row],[VALOR PPTO]])/DETALLE_GD_1[[#This Row],[VALOR PPTO]])</f>
        <v>-1.9729990551776301E-2</v>
      </c>
      <c r="AA2171" s="2">
        <f>+DETALLE_GD_1[[#This Row],[VALOR PPTO]]*DETALLE_GD_1[[#This Row],[CANTIDAD RECIBIDA]]</f>
        <v>476280</v>
      </c>
      <c r="AB2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71" s="3">
        <f>+DETALLE_GD_1[[#This Row],[CANTIDAD SOLICITADA]]-DETALLE_GD_1[[#This Row],[DEVOLUCIÓN]]</f>
        <v>9</v>
      </c>
      <c r="AD2171" s="38" t="str">
        <f>+_xlfn.XLOOKUP(DETALLE_GD_1[[#This Row],[CODIGO]],PRODUCTOS[CODIGO],PRODUCTOS[DESC CORTA],"",0)</f>
        <v/>
      </c>
    </row>
    <row r="2172" spans="1:30" x14ac:dyDescent="0.25">
      <c r="A2172" s="1">
        <v>46184</v>
      </c>
      <c r="B2172" s="1">
        <v>46184</v>
      </c>
      <c r="C2172" s="81" t="s">
        <v>169</v>
      </c>
      <c r="D2172" s="38">
        <v>6</v>
      </c>
      <c r="E2172" s="81" t="s">
        <v>169</v>
      </c>
      <c r="F2172">
        <v>1803045</v>
      </c>
      <c r="G2172" s="81" t="s">
        <v>337</v>
      </c>
      <c r="H2172" s="81" t="s">
        <v>90</v>
      </c>
      <c r="I2172" s="3">
        <v>9</v>
      </c>
      <c r="J2172" s="3"/>
      <c r="K2172" s="26">
        <v>9</v>
      </c>
      <c r="L2172" s="2">
        <v>51881.5556</v>
      </c>
      <c r="M2172" s="2">
        <v>466934</v>
      </c>
      <c r="N2172" s="2">
        <v>466934</v>
      </c>
      <c r="O2172" s="2">
        <v>51873</v>
      </c>
      <c r="P2172" s="2">
        <v>-8.5556000000000001</v>
      </c>
      <c r="Q2172" s="2">
        <v>-77</v>
      </c>
      <c r="R2172" s="4">
        <v>-1.6493273100769233E-4</v>
      </c>
      <c r="T2172">
        <v>318097</v>
      </c>
      <c r="U2172" s="2"/>
      <c r="W2172" s="2">
        <v>6579000000</v>
      </c>
      <c r="X2172" s="6">
        <v>466856.99999999994</v>
      </c>
      <c r="Y2172" s="38">
        <v>10010</v>
      </c>
      <c r="Z2172" s="86">
        <f>+((DETALLE_GD_1[[#This Row],[VALOR X UN (GD)]]-DETALLE_GD_1[[#This Row],[VALOR PPTO]])/DETALLE_GD_1[[#This Row],[VALOR PPTO]])</f>
        <v>1.6493358780096941E-4</v>
      </c>
      <c r="AA2172" s="2">
        <f>+DETALLE_GD_1[[#This Row],[VALOR PPTO]]*DETALLE_GD_1[[#This Row],[CANTIDAD RECIBIDA]]</f>
        <v>466857</v>
      </c>
      <c r="AB21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72" s="3">
        <f>+DETALLE_GD_1[[#This Row],[CANTIDAD SOLICITADA]]-DETALLE_GD_1[[#This Row],[DEVOLUCIÓN]]</f>
        <v>9</v>
      </c>
      <c r="AD2172" s="38" t="str">
        <f>+_xlfn.XLOOKUP(DETALLE_GD_1[[#This Row],[CODIGO]],PRODUCTOS[CODIGO],PRODUCTOS[DESC CORTA],"",0)</f>
        <v>PUERTA INTERIOR</v>
      </c>
    </row>
    <row r="2173" spans="1:30" x14ac:dyDescent="0.25">
      <c r="A2173" s="1">
        <v>46184</v>
      </c>
      <c r="B2173" s="1">
        <v>46184</v>
      </c>
      <c r="C2173" s="81" t="s">
        <v>169</v>
      </c>
      <c r="D2173" s="38">
        <v>6</v>
      </c>
      <c r="E2173" s="81" t="s">
        <v>169</v>
      </c>
      <c r="F2173">
        <v>2304053</v>
      </c>
      <c r="G2173" s="81" t="s">
        <v>213</v>
      </c>
      <c r="H2173" s="81" t="s">
        <v>31</v>
      </c>
      <c r="I2173" s="3">
        <v>36</v>
      </c>
      <c r="J2173" s="3"/>
      <c r="K2173" s="26">
        <v>36</v>
      </c>
      <c r="L2173" s="2">
        <v>1046.5</v>
      </c>
      <c r="M2173" s="2">
        <v>37674</v>
      </c>
      <c r="N2173" s="2">
        <v>37674</v>
      </c>
      <c r="O2173" s="2">
        <v>862</v>
      </c>
      <c r="P2173" s="2">
        <v>-184.5</v>
      </c>
      <c r="Q2173" s="2">
        <v>-6642</v>
      </c>
      <c r="R2173" s="4">
        <v>-0.21403712296983743</v>
      </c>
      <c r="T2173">
        <v>318097</v>
      </c>
      <c r="U2173" s="2"/>
      <c r="W2173" s="2">
        <v>6579000000</v>
      </c>
      <c r="X2173" s="6">
        <v>31032.000000000004</v>
      </c>
      <c r="Y2173" s="38">
        <v>10010</v>
      </c>
      <c r="Z2173" s="86">
        <f>+((DETALLE_GD_1[[#This Row],[VALOR X UN (GD)]]-DETALLE_GD_1[[#This Row],[VALOR PPTO]])/DETALLE_GD_1[[#This Row],[VALOR PPTO]])</f>
        <v>0.2140371229698376</v>
      </c>
      <c r="AA2173" s="2">
        <f>+DETALLE_GD_1[[#This Row],[VALOR PPTO]]*DETALLE_GD_1[[#This Row],[CANTIDAD RECIBIDA]]</f>
        <v>31032</v>
      </c>
      <c r="AB2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73" s="3">
        <f>+DETALLE_GD_1[[#This Row],[CANTIDAD SOLICITADA]]-DETALLE_GD_1[[#This Row],[DEVOLUCIÓN]]</f>
        <v>36</v>
      </c>
      <c r="AD2173" s="38">
        <f>+_xlfn.XLOOKUP(DETALLE_GD_1[[#This Row],[CODIGO]],PRODUCTOS[CODIGO],PRODUCTOS[DESC CORTA],"",0)</f>
        <v>0</v>
      </c>
    </row>
    <row r="2174" spans="1:30" x14ac:dyDescent="0.25">
      <c r="A2174" s="1">
        <v>46184</v>
      </c>
      <c r="B2174" s="1">
        <v>46184</v>
      </c>
      <c r="C2174" s="81" t="s">
        <v>169</v>
      </c>
      <c r="D2174" s="38">
        <v>6</v>
      </c>
      <c r="E2174" s="81" t="s">
        <v>169</v>
      </c>
      <c r="F2174">
        <v>2302119</v>
      </c>
      <c r="G2174" s="81" t="s">
        <v>74</v>
      </c>
      <c r="H2174" s="81" t="s">
        <v>31</v>
      </c>
      <c r="I2174" s="3">
        <v>36</v>
      </c>
      <c r="J2174" s="3"/>
      <c r="K2174" s="26">
        <v>36</v>
      </c>
      <c r="L2174" s="2">
        <v>3679.8888999999999</v>
      </c>
      <c r="M2174" s="2">
        <v>132476</v>
      </c>
      <c r="N2174" s="2">
        <v>132476</v>
      </c>
      <c r="O2174" s="2">
        <v>3671</v>
      </c>
      <c r="P2174" s="2">
        <v>-8.8888999999999996</v>
      </c>
      <c r="Q2174" s="2">
        <v>-320</v>
      </c>
      <c r="R2174" s="4">
        <v>-2.4213807923968091E-3</v>
      </c>
      <c r="T2174">
        <v>318097</v>
      </c>
      <c r="U2174" s="2"/>
      <c r="W2174" s="2">
        <v>6579000000</v>
      </c>
      <c r="X2174" s="6">
        <v>132156</v>
      </c>
      <c r="Y2174" s="38">
        <v>10010</v>
      </c>
      <c r="Z2174" s="86">
        <f>+((DETALLE_GD_1[[#This Row],[VALOR X UN (GD)]]-DETALLE_GD_1[[#This Row],[VALOR PPTO]])/DETALLE_GD_1[[#This Row],[VALOR PPTO]])</f>
        <v>2.4213838191228334E-3</v>
      </c>
      <c r="AA2174" s="2">
        <f>+DETALLE_GD_1[[#This Row],[VALOR PPTO]]*DETALLE_GD_1[[#This Row],[CANTIDAD RECIBIDA]]</f>
        <v>132156</v>
      </c>
      <c r="AB2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74" s="3">
        <f>+DETALLE_GD_1[[#This Row],[CANTIDAD SOLICITADA]]-DETALLE_GD_1[[#This Row],[DEVOLUCIÓN]]</f>
        <v>36</v>
      </c>
      <c r="AD2174" s="38" t="str">
        <f>+_xlfn.XLOOKUP(DETALLE_GD_1[[#This Row],[CODIGO]],PRODUCTOS[CODIGO],PRODUCTOS[DESC CORTA],"",0)</f>
        <v>SELLO</v>
      </c>
    </row>
    <row r="2175" spans="1:30" x14ac:dyDescent="0.25">
      <c r="A2175" s="1">
        <v>46184</v>
      </c>
      <c r="B2175" s="1">
        <v>46184</v>
      </c>
      <c r="C2175" s="81" t="s">
        <v>169</v>
      </c>
      <c r="D2175" s="38">
        <v>6</v>
      </c>
      <c r="E2175" s="81" t="s">
        <v>169</v>
      </c>
      <c r="F2175">
        <v>2304002</v>
      </c>
      <c r="G2175" s="81" t="s">
        <v>212</v>
      </c>
      <c r="H2175" s="81" t="s">
        <v>31</v>
      </c>
      <c r="I2175" s="3">
        <v>24</v>
      </c>
      <c r="J2175" s="3"/>
      <c r="K2175" s="26">
        <v>24</v>
      </c>
      <c r="L2175" s="2">
        <v>1409.5</v>
      </c>
      <c r="M2175" s="2">
        <v>33828</v>
      </c>
      <c r="N2175" s="2">
        <v>33828</v>
      </c>
      <c r="O2175" s="2">
        <v>1376.4717000000001</v>
      </c>
      <c r="P2175" s="2">
        <v>-33.028300000000002</v>
      </c>
      <c r="Q2175" s="2">
        <v>-792.67859999999996</v>
      </c>
      <c r="R2175" s="4">
        <v>-2.399488156866781E-2</v>
      </c>
      <c r="T2175">
        <v>318097</v>
      </c>
      <c r="U2175" s="2"/>
      <c r="W2175" s="2">
        <v>6579000000</v>
      </c>
      <c r="X2175" s="6">
        <v>33035.321376</v>
      </c>
      <c r="Y2175" s="38">
        <v>10010</v>
      </c>
      <c r="Z2175" s="86">
        <f>+((DETALLE_GD_1[[#This Row],[VALOR X UN (GD)]]-DETALLE_GD_1[[#This Row],[VALOR PPTO]])/DETALLE_GD_1[[#This Row],[VALOR PPTO]])</f>
        <v>2.3994899422923075E-2</v>
      </c>
      <c r="AA2175" s="2">
        <f>+DETALLE_GD_1[[#This Row],[VALOR PPTO]]*DETALLE_GD_1[[#This Row],[CANTIDAD RECIBIDA]]</f>
        <v>33035.320800000001</v>
      </c>
      <c r="AB2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75" s="3">
        <f>+DETALLE_GD_1[[#This Row],[CANTIDAD SOLICITADA]]-DETALLE_GD_1[[#This Row],[DEVOLUCIÓN]]</f>
        <v>24</v>
      </c>
      <c r="AD2175" s="38">
        <f>+_xlfn.XLOOKUP(DETALLE_GD_1[[#This Row],[CODIGO]],PRODUCTOS[CODIGO],PRODUCTOS[DESC CORTA],"",0)</f>
        <v>0</v>
      </c>
    </row>
    <row r="2176" spans="1:30" x14ac:dyDescent="0.25">
      <c r="A2176" s="1">
        <v>46184</v>
      </c>
      <c r="B2176" s="1">
        <v>46184</v>
      </c>
      <c r="C2176" s="81" t="s">
        <v>169</v>
      </c>
      <c r="D2176" s="38">
        <v>6</v>
      </c>
      <c r="E2176" s="81" t="s">
        <v>169</v>
      </c>
      <c r="F2176">
        <v>2304008</v>
      </c>
      <c r="G2176" s="81" t="s">
        <v>707</v>
      </c>
      <c r="H2176" s="81" t="s">
        <v>31</v>
      </c>
      <c r="I2176" s="3">
        <v>24</v>
      </c>
      <c r="J2176" s="3"/>
      <c r="K2176" s="26">
        <v>24</v>
      </c>
      <c r="L2176" s="2">
        <v>2550</v>
      </c>
      <c r="M2176" s="2">
        <v>61200</v>
      </c>
      <c r="N2176" s="2">
        <v>61200</v>
      </c>
      <c r="O2176" s="2"/>
      <c r="P2176" s="2"/>
      <c r="Q2176" s="2">
        <v>-61200</v>
      </c>
      <c r="R2176" s="4"/>
      <c r="T2176">
        <v>318097</v>
      </c>
      <c r="U2176" s="2"/>
      <c r="W2176" s="2">
        <v>6579000000</v>
      </c>
      <c r="X2176" s="6" t="s">
        <v>355</v>
      </c>
      <c r="Y2176" s="38">
        <v>10010</v>
      </c>
      <c r="Z2176" s="86" t="e">
        <f>+((DETALLE_GD_1[[#This Row],[VALOR X UN (GD)]]-DETALLE_GD_1[[#This Row],[VALOR PPTO]])/DETALLE_GD_1[[#This Row],[VALOR PPTO]])</f>
        <v>#DIV/0!</v>
      </c>
      <c r="AA2176" s="2">
        <f>+DETALLE_GD_1[[#This Row],[VALOR PPTO]]*DETALLE_GD_1[[#This Row],[CANTIDAD RECIBIDA]]</f>
        <v>0</v>
      </c>
      <c r="AB2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76" s="3">
        <f>+DETALLE_GD_1[[#This Row],[CANTIDAD SOLICITADA]]-DETALLE_GD_1[[#This Row],[DEVOLUCIÓN]]</f>
        <v>24</v>
      </c>
      <c r="AD2176" s="38" t="str">
        <f>+_xlfn.XLOOKUP(DETALLE_GD_1[[#This Row],[CODIGO]],PRODUCTOS[CODIGO],PRODUCTOS[DESC CORTA],"",0)</f>
        <v/>
      </c>
    </row>
    <row r="2177" spans="1:30" x14ac:dyDescent="0.25">
      <c r="A2177" s="1">
        <v>46184</v>
      </c>
      <c r="B2177" s="1">
        <v>46184</v>
      </c>
      <c r="C2177" s="81" t="s">
        <v>169</v>
      </c>
      <c r="D2177" s="38">
        <v>6</v>
      </c>
      <c r="E2177" s="81" t="s">
        <v>169</v>
      </c>
      <c r="F2177">
        <v>408034</v>
      </c>
      <c r="G2177" s="81" t="s">
        <v>250</v>
      </c>
      <c r="H2177" s="81" t="s">
        <v>36</v>
      </c>
      <c r="I2177" s="3">
        <v>1</v>
      </c>
      <c r="J2177" s="3"/>
      <c r="K2177" s="26">
        <v>1</v>
      </c>
      <c r="L2177" s="2">
        <v>1867</v>
      </c>
      <c r="M2177" s="2">
        <v>1867</v>
      </c>
      <c r="N2177" s="2">
        <v>1867</v>
      </c>
      <c r="O2177" s="2">
        <v>1866.9503999999999</v>
      </c>
      <c r="P2177" s="2">
        <v>-4.9599999999999998E-2</v>
      </c>
      <c r="Q2177" s="2">
        <v>-4.9599999999999998E-2</v>
      </c>
      <c r="R2177" s="4">
        <v>-2.6591494447838636E-5</v>
      </c>
      <c r="T2177">
        <v>318097</v>
      </c>
      <c r="U2177" s="2"/>
      <c r="W2177" s="2">
        <v>6579000000</v>
      </c>
      <c r="X2177" s="6">
        <v>1866.9503550000009</v>
      </c>
      <c r="Y2177" s="38">
        <v>10010</v>
      </c>
      <c r="Z2177" s="86">
        <f>+((DETALLE_GD_1[[#This Row],[VALOR X UN (GD)]]-DETALLE_GD_1[[#This Row],[VALOR PPTO]])/DETALLE_GD_1[[#This Row],[VALOR PPTO]])</f>
        <v>2.6567390328128124E-5</v>
      </c>
      <c r="AA2177" s="2">
        <f>+DETALLE_GD_1[[#This Row],[VALOR PPTO]]*DETALLE_GD_1[[#This Row],[CANTIDAD RECIBIDA]]</f>
        <v>1866.9503999999999</v>
      </c>
      <c r="AB2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77" s="3">
        <f>+DETALLE_GD_1[[#This Row],[CANTIDAD SOLICITADA]]-DETALLE_GD_1[[#This Row],[DEVOLUCIÓN]]</f>
        <v>1</v>
      </c>
      <c r="AD2177" s="38">
        <f>+_xlfn.XLOOKUP(DETALLE_GD_1[[#This Row],[CODIGO]],PRODUCTOS[CODIGO],PRODUCTOS[DESC CORTA],"",0)</f>
        <v>0</v>
      </c>
    </row>
    <row r="2178" spans="1:30" x14ac:dyDescent="0.25">
      <c r="A2178" s="1">
        <v>46184</v>
      </c>
      <c r="B2178" s="1">
        <v>46184</v>
      </c>
      <c r="C2178" s="81" t="s">
        <v>169</v>
      </c>
      <c r="D2178" s="38">
        <v>6</v>
      </c>
      <c r="E2178" s="81" t="s">
        <v>169</v>
      </c>
      <c r="F2178">
        <v>1103107</v>
      </c>
      <c r="G2178" s="81" t="s">
        <v>559</v>
      </c>
      <c r="H2178" s="81" t="s">
        <v>140</v>
      </c>
      <c r="I2178" s="3">
        <v>90</v>
      </c>
      <c r="J2178" s="3"/>
      <c r="K2178" s="26">
        <v>90</v>
      </c>
      <c r="L2178" s="2">
        <v>1200</v>
      </c>
      <c r="M2178" s="2">
        <v>108000</v>
      </c>
      <c r="N2178" s="2">
        <v>108000</v>
      </c>
      <c r="O2178" s="2">
        <v>5092</v>
      </c>
      <c r="P2178" s="2">
        <v>3892</v>
      </c>
      <c r="Q2178" s="2">
        <v>350280</v>
      </c>
      <c r="R2178" s="4">
        <v>0.76433621366849946</v>
      </c>
      <c r="T2178">
        <v>318142</v>
      </c>
      <c r="U2178" s="2">
        <v>108000</v>
      </c>
      <c r="W2178" s="2">
        <v>6579000000</v>
      </c>
      <c r="X2178" s="6">
        <v>458280</v>
      </c>
      <c r="Y2178" s="38">
        <v>10010</v>
      </c>
      <c r="Z2178" s="86">
        <f>+((DETALLE_GD_1[[#This Row],[VALOR X UN (GD)]]-DETALLE_GD_1[[#This Row],[VALOR PPTO]])/DETALLE_GD_1[[#This Row],[VALOR PPTO]])</f>
        <v>-0.76433621366849958</v>
      </c>
      <c r="AA2178" s="2">
        <f>+DETALLE_GD_1[[#This Row],[VALOR PPTO]]*DETALLE_GD_1[[#This Row],[CANTIDAD RECIBIDA]]</f>
        <v>458280</v>
      </c>
      <c r="AB2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78" s="3">
        <f>+DETALLE_GD_1[[#This Row],[CANTIDAD SOLICITADA]]-DETALLE_GD_1[[#This Row],[DEVOLUCIÓN]]</f>
        <v>90</v>
      </c>
      <c r="AD2178" s="38" t="str">
        <f>+_xlfn.XLOOKUP(DETALLE_GD_1[[#This Row],[CODIGO]],PRODUCTOS[CODIGO],PRODUCTOS[DESC CORTA],"",0)</f>
        <v/>
      </c>
    </row>
    <row r="2179" spans="1:30" x14ac:dyDescent="0.25">
      <c r="A2179" s="1">
        <v>46184</v>
      </c>
      <c r="B2179" s="1">
        <v>46184</v>
      </c>
      <c r="C2179" s="81" t="s">
        <v>169</v>
      </c>
      <c r="D2179" s="38">
        <v>6</v>
      </c>
      <c r="E2179" s="81" t="s">
        <v>169</v>
      </c>
      <c r="F2179">
        <v>704079</v>
      </c>
      <c r="G2179" s="81" t="s">
        <v>209</v>
      </c>
      <c r="H2179" s="81" t="s">
        <v>47</v>
      </c>
      <c r="I2179" s="3">
        <v>10</v>
      </c>
      <c r="J2179" s="3"/>
      <c r="K2179" s="26">
        <v>10</v>
      </c>
      <c r="L2179" s="2">
        <v>722.3</v>
      </c>
      <c r="M2179" s="2">
        <v>7223</v>
      </c>
      <c r="N2179" s="2">
        <v>7223</v>
      </c>
      <c r="O2179" s="2">
        <v>755.70489999999995</v>
      </c>
      <c r="P2179" s="2">
        <v>33.404899999999998</v>
      </c>
      <c r="Q2179" s="2">
        <v>334.04880000000003</v>
      </c>
      <c r="R2179" s="4">
        <v>4.4203607513547918E-2</v>
      </c>
      <c r="T2179">
        <v>318188</v>
      </c>
      <c r="U2179" s="2">
        <v>19102272</v>
      </c>
      <c r="W2179" s="2">
        <v>6579000000</v>
      </c>
      <c r="X2179" s="6">
        <v>7557.04882</v>
      </c>
      <c r="Y2179" s="38">
        <v>10010</v>
      </c>
      <c r="Z2179" s="86">
        <f>+((DETALLE_GD_1[[#This Row],[VALOR X UN (GD)]]-DETALLE_GD_1[[#This Row],[VALOR PPTO]])/DETALLE_GD_1[[#This Row],[VALOR PPTO]])</f>
        <v>-4.4203630279491375E-2</v>
      </c>
      <c r="AA2179" s="2">
        <f>+DETALLE_GD_1[[#This Row],[VALOR PPTO]]*DETALLE_GD_1[[#This Row],[CANTIDAD RECIBIDA]]</f>
        <v>7557.0489999999991</v>
      </c>
      <c r="AB2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79" s="3">
        <f>+DETALLE_GD_1[[#This Row],[CANTIDAD SOLICITADA]]-DETALLE_GD_1[[#This Row],[DEVOLUCIÓN]]</f>
        <v>10</v>
      </c>
      <c r="AD2179" s="38">
        <f>+_xlfn.XLOOKUP(DETALLE_GD_1[[#This Row],[CODIGO]],PRODUCTOS[CODIGO],PRODUCTOS[DESC CORTA],"",0)</f>
        <v>0</v>
      </c>
    </row>
    <row r="2180" spans="1:30" x14ac:dyDescent="0.25">
      <c r="A2180" s="1">
        <v>46184</v>
      </c>
      <c r="B2180" s="1">
        <v>46184</v>
      </c>
      <c r="C2180" s="81" t="s">
        <v>169</v>
      </c>
      <c r="D2180" s="38">
        <v>6</v>
      </c>
      <c r="E2180" s="81" t="s">
        <v>169</v>
      </c>
      <c r="F2180">
        <v>5314002</v>
      </c>
      <c r="G2180" s="81" t="s">
        <v>342</v>
      </c>
      <c r="H2180" s="81" t="s">
        <v>31</v>
      </c>
      <c r="I2180" s="3">
        <v>5</v>
      </c>
      <c r="J2180" s="3"/>
      <c r="K2180" s="26">
        <v>5</v>
      </c>
      <c r="L2180" s="2">
        <v>312</v>
      </c>
      <c r="M2180" s="2">
        <v>1560</v>
      </c>
      <c r="N2180" s="2">
        <v>1560</v>
      </c>
      <c r="O2180" s="2">
        <v>311.91989999999998</v>
      </c>
      <c r="P2180" s="2">
        <v>-8.0100000000000005E-2</v>
      </c>
      <c r="Q2180" s="2">
        <v>-0.4007</v>
      </c>
      <c r="R2180" s="4">
        <v>-2.569057271907998E-4</v>
      </c>
      <c r="T2180">
        <v>318188</v>
      </c>
      <c r="U2180" s="2"/>
      <c r="W2180" s="2">
        <v>6579000000</v>
      </c>
      <c r="X2180" s="6">
        <v>1559.59933</v>
      </c>
      <c r="Y2180" s="38">
        <v>10010</v>
      </c>
      <c r="Z2180" s="86">
        <f>+((DETALLE_GD_1[[#This Row],[VALOR X UN (GD)]]-DETALLE_GD_1[[#This Row],[VALOR PPTO]])/DETALLE_GD_1[[#This Row],[VALOR PPTO]])</f>
        <v>2.5679669684433674E-4</v>
      </c>
      <c r="AA2180" s="2">
        <f>+DETALLE_GD_1[[#This Row],[VALOR PPTO]]*DETALLE_GD_1[[#This Row],[CANTIDAD RECIBIDA]]</f>
        <v>1559.5994999999998</v>
      </c>
      <c r="AB2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80" s="3">
        <f>+DETALLE_GD_1[[#This Row],[CANTIDAD SOLICITADA]]-DETALLE_GD_1[[#This Row],[DEVOLUCIÓN]]</f>
        <v>5</v>
      </c>
      <c r="AD2180" s="38" t="str">
        <f>+_xlfn.XLOOKUP(DETALLE_GD_1[[#This Row],[CODIGO]],PRODUCTOS[CODIGO],PRODUCTOS[DESC CORTA],"",0)</f>
        <v>CINTA EMBALAJE TRANSPARENTE</v>
      </c>
    </row>
    <row r="2181" spans="1:30" x14ac:dyDescent="0.25">
      <c r="A2181" s="1">
        <v>46184</v>
      </c>
      <c r="B2181" s="1">
        <v>46184</v>
      </c>
      <c r="C2181" s="81" t="s">
        <v>169</v>
      </c>
      <c r="D2181" s="38">
        <v>6</v>
      </c>
      <c r="E2181" s="81" t="s">
        <v>169</v>
      </c>
      <c r="F2181">
        <v>302054</v>
      </c>
      <c r="G2181" s="81" t="s">
        <v>356</v>
      </c>
      <c r="H2181" s="81" t="s">
        <v>20</v>
      </c>
      <c r="I2181" s="3">
        <v>1248</v>
      </c>
      <c r="J2181" s="3"/>
      <c r="K2181" s="26">
        <v>1248</v>
      </c>
      <c r="L2181" s="2">
        <v>4551.5111999999999</v>
      </c>
      <c r="M2181" s="2">
        <v>5680286</v>
      </c>
      <c r="N2181" s="2">
        <v>5680286</v>
      </c>
      <c r="O2181" s="2">
        <v>5713</v>
      </c>
      <c r="P2181" s="2">
        <v>1161.4888000000001</v>
      </c>
      <c r="Q2181" s="2">
        <v>1449538</v>
      </c>
      <c r="R2181" s="4">
        <v>0.20330628077214813</v>
      </c>
      <c r="T2181">
        <v>318188</v>
      </c>
      <c r="U2181" s="2"/>
      <c r="W2181" s="2">
        <v>6579000000</v>
      </c>
      <c r="X2181" s="6">
        <v>7129824</v>
      </c>
      <c r="Y2181" s="38">
        <v>10010</v>
      </c>
      <c r="Z2181" s="86">
        <f>+((DETALLE_GD_1[[#This Row],[VALOR X UN (GD)]]-DETALLE_GD_1[[#This Row],[VALOR PPTO]])/DETALLE_GD_1[[#This Row],[VALOR PPTO]])</f>
        <v>-0.20330628391388064</v>
      </c>
      <c r="AA2181" s="2">
        <f>+DETALLE_GD_1[[#This Row],[VALOR PPTO]]*DETALLE_GD_1[[#This Row],[CANTIDAD RECIBIDA]]</f>
        <v>7129824</v>
      </c>
      <c r="AB2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81" s="3">
        <f>+DETALLE_GD_1[[#This Row],[CANTIDAD SOLICITADA]]-DETALLE_GD_1[[#This Row],[DEVOLUCIÓN]]</f>
        <v>1248</v>
      </c>
      <c r="AD2181" s="38">
        <f>+_xlfn.XLOOKUP(DETALLE_GD_1[[#This Row],[CODIGO]],PRODUCTOS[CODIGO],PRODUCTOS[DESC CORTA],"",0)</f>
        <v>0</v>
      </c>
    </row>
    <row r="2182" spans="1:30" x14ac:dyDescent="0.25">
      <c r="A2182" s="1">
        <v>46184</v>
      </c>
      <c r="B2182" s="1">
        <v>46184</v>
      </c>
      <c r="C2182" s="81" t="s">
        <v>169</v>
      </c>
      <c r="D2182" s="38">
        <v>6</v>
      </c>
      <c r="E2182" s="81" t="s">
        <v>169</v>
      </c>
      <c r="F2182">
        <v>412281</v>
      </c>
      <c r="G2182" s="81" t="s">
        <v>326</v>
      </c>
      <c r="H2182" s="81" t="s">
        <v>31</v>
      </c>
      <c r="I2182" s="3">
        <v>20</v>
      </c>
      <c r="J2182" s="3"/>
      <c r="K2182" s="26">
        <v>20</v>
      </c>
      <c r="L2182" s="2">
        <v>8951.4500000000007</v>
      </c>
      <c r="M2182" s="2">
        <v>179029</v>
      </c>
      <c r="N2182" s="2">
        <v>179029</v>
      </c>
      <c r="O2182" s="2">
        <v>0</v>
      </c>
      <c r="P2182" s="2">
        <v>-8951.4500000000007</v>
      </c>
      <c r="Q2182" s="2">
        <v>-179029</v>
      </c>
      <c r="R2182" s="4"/>
      <c r="T2182">
        <v>318188</v>
      </c>
      <c r="U2182" s="2"/>
      <c r="W2182" s="2">
        <v>6579000000</v>
      </c>
      <c r="X2182" s="6">
        <v>0</v>
      </c>
      <c r="Y2182" s="38">
        <v>10010</v>
      </c>
      <c r="Z2182" s="86" t="e">
        <f>+((DETALLE_GD_1[[#This Row],[VALOR X UN (GD)]]-DETALLE_GD_1[[#This Row],[VALOR PPTO]])/DETALLE_GD_1[[#This Row],[VALOR PPTO]])</f>
        <v>#DIV/0!</v>
      </c>
      <c r="AA2182" s="2">
        <f>+DETALLE_GD_1[[#This Row],[VALOR PPTO]]*DETALLE_GD_1[[#This Row],[CANTIDAD RECIBIDA]]</f>
        <v>0</v>
      </c>
      <c r="AB2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82" s="3">
        <f>+DETALLE_GD_1[[#This Row],[CANTIDAD SOLICITADA]]-DETALLE_GD_1[[#This Row],[DEVOLUCIÓN]]</f>
        <v>20</v>
      </c>
      <c r="AD2182" s="38" t="str">
        <f>+_xlfn.XLOOKUP(DETALLE_GD_1[[#This Row],[CODIGO]],PRODUCTOS[CODIGO],PRODUCTOS[DESC CORTA],"",0)</f>
        <v>HOLDOWN TENSIONADOR</v>
      </c>
    </row>
    <row r="2183" spans="1:30" x14ac:dyDescent="0.25">
      <c r="A2183" s="1">
        <v>46184</v>
      </c>
      <c r="B2183" s="1">
        <v>46184</v>
      </c>
      <c r="C2183" s="81" t="s">
        <v>169</v>
      </c>
      <c r="D2183" s="38">
        <v>6</v>
      </c>
      <c r="E2183" s="81" t="s">
        <v>169</v>
      </c>
      <c r="F2183">
        <v>701043</v>
      </c>
      <c r="G2183" s="81" t="s">
        <v>197</v>
      </c>
      <c r="H2183" s="81" t="s">
        <v>18</v>
      </c>
      <c r="I2183" s="3">
        <v>120</v>
      </c>
      <c r="J2183" s="3"/>
      <c r="K2183" s="26">
        <v>120</v>
      </c>
      <c r="L2183" s="2">
        <v>22513.15</v>
      </c>
      <c r="M2183" s="2">
        <v>2701578</v>
      </c>
      <c r="N2183" s="2">
        <v>2701578</v>
      </c>
      <c r="O2183" s="2">
        <v>22146.362799999999</v>
      </c>
      <c r="P2183" s="2">
        <v>-366.78719999999998</v>
      </c>
      <c r="Q2183" s="2">
        <v>-44014.467400000001</v>
      </c>
      <c r="R2183" s="4">
        <v>-1.6561962421374945E-2</v>
      </c>
      <c r="T2183">
        <v>318188</v>
      </c>
      <c r="U2183" s="2"/>
      <c r="W2183" s="2">
        <v>6579000000</v>
      </c>
      <c r="X2183" s="6">
        <v>2657563.5326399999</v>
      </c>
      <c r="Y2183" s="38">
        <v>10010</v>
      </c>
      <c r="Z2183" s="86">
        <f>+((DETALLE_GD_1[[#This Row],[VALOR X UN (GD)]]-DETALLE_GD_1[[#This Row],[VALOR PPTO]])/DETALLE_GD_1[[#This Row],[VALOR PPTO]])</f>
        <v>1.6561961136119494E-2</v>
      </c>
      <c r="AA2183" s="2">
        <f>+DETALLE_GD_1[[#This Row],[VALOR PPTO]]*DETALLE_GD_1[[#This Row],[CANTIDAD RECIBIDA]]</f>
        <v>2657563.5359999998</v>
      </c>
      <c r="AB21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83" s="3">
        <f>+DETALLE_GD_1[[#This Row],[CANTIDAD SOLICITADA]]-DETALLE_GD_1[[#This Row],[DEVOLUCIÓN]]</f>
        <v>120</v>
      </c>
      <c r="AD2183" s="38" t="str">
        <f>+_xlfn.XLOOKUP(DETALLE_GD_1[[#This Row],[CODIGO]],PRODUCTOS[CODIGO],PRODUCTOS[DESC CORTA],"",0)</f>
        <v>VOLCANITA EMPAPELADA CIELO</v>
      </c>
    </row>
    <row r="2184" spans="1:30" x14ac:dyDescent="0.25">
      <c r="A2184" s="1">
        <v>46184</v>
      </c>
      <c r="B2184" s="1">
        <v>46184</v>
      </c>
      <c r="C2184" s="81" t="s">
        <v>169</v>
      </c>
      <c r="D2184" s="38">
        <v>6</v>
      </c>
      <c r="E2184" s="81" t="s">
        <v>169</v>
      </c>
      <c r="F2184">
        <v>707023</v>
      </c>
      <c r="G2184" s="81" t="s">
        <v>797</v>
      </c>
      <c r="H2184" s="81" t="s">
        <v>31</v>
      </c>
      <c r="I2184" s="3">
        <v>48</v>
      </c>
      <c r="J2184" s="3"/>
      <c r="K2184" s="26">
        <v>48</v>
      </c>
      <c r="L2184" s="2">
        <v>16734.4375</v>
      </c>
      <c r="M2184" s="2">
        <v>803253</v>
      </c>
      <c r="N2184" s="2">
        <v>803253</v>
      </c>
      <c r="O2184" s="2"/>
      <c r="P2184" s="2"/>
      <c r="Q2184" s="2">
        <v>-803253</v>
      </c>
      <c r="R2184" s="4"/>
      <c r="T2184">
        <v>318188</v>
      </c>
      <c r="U2184" s="2"/>
      <c r="W2184" s="2">
        <v>6579000000</v>
      </c>
      <c r="X2184" s="6" t="s">
        <v>355</v>
      </c>
      <c r="Y2184" s="38">
        <v>10010</v>
      </c>
      <c r="Z2184" s="86" t="e">
        <f>+((DETALLE_GD_1[[#This Row],[VALOR X UN (GD)]]-DETALLE_GD_1[[#This Row],[VALOR PPTO]])/DETALLE_GD_1[[#This Row],[VALOR PPTO]])</f>
        <v>#DIV/0!</v>
      </c>
      <c r="AA2184" s="2">
        <f>+DETALLE_GD_1[[#This Row],[VALOR PPTO]]*DETALLE_GD_1[[#This Row],[CANTIDAD RECIBIDA]]</f>
        <v>0</v>
      </c>
      <c r="AB2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84" s="3">
        <f>+DETALLE_GD_1[[#This Row],[CANTIDAD SOLICITADA]]-DETALLE_GD_1[[#This Row],[DEVOLUCIÓN]]</f>
        <v>48</v>
      </c>
      <c r="AD2184" s="38" t="str">
        <f>+_xlfn.XLOOKUP(DETALLE_GD_1[[#This Row],[CODIGO]],PRODUCTOS[CODIGO],PRODUCTOS[DESC CORTA],"",0)</f>
        <v/>
      </c>
    </row>
    <row r="2185" spans="1:30" x14ac:dyDescent="0.25">
      <c r="A2185" s="1">
        <v>46184</v>
      </c>
      <c r="B2185" s="1">
        <v>46184</v>
      </c>
      <c r="C2185" s="81" t="s">
        <v>169</v>
      </c>
      <c r="D2185" s="38">
        <v>6</v>
      </c>
      <c r="E2185" s="81" t="s">
        <v>169</v>
      </c>
      <c r="F2185">
        <v>701096</v>
      </c>
      <c r="G2185" s="81" t="s">
        <v>204</v>
      </c>
      <c r="H2185" s="81" t="s">
        <v>18</v>
      </c>
      <c r="I2185" s="3">
        <v>140</v>
      </c>
      <c r="J2185" s="3"/>
      <c r="K2185" s="26">
        <v>140</v>
      </c>
      <c r="L2185" s="2">
        <v>16021.35</v>
      </c>
      <c r="M2185" s="2">
        <v>2242989</v>
      </c>
      <c r="N2185" s="2">
        <v>2242989</v>
      </c>
      <c r="O2185" s="2">
        <v>16019.885700000001</v>
      </c>
      <c r="P2185" s="2">
        <v>-1.4642999999999999</v>
      </c>
      <c r="Q2185" s="2">
        <v>-205.00409999999999</v>
      </c>
      <c r="R2185" s="4">
        <v>-9.1406082964033388E-5</v>
      </c>
      <c r="T2185">
        <v>318188</v>
      </c>
      <c r="U2185" s="2"/>
      <c r="W2185" s="2">
        <v>6579000000</v>
      </c>
      <c r="X2185" s="6">
        <v>2242783.9959000004</v>
      </c>
      <c r="Y2185" s="38">
        <v>10010</v>
      </c>
      <c r="Z2185" s="86">
        <f>+((DETALLE_GD_1[[#This Row],[VALOR X UN (GD)]]-DETALLE_GD_1[[#This Row],[VALOR PPTO]])/DETALLE_GD_1[[#This Row],[VALOR PPTO]])</f>
        <v>9.1405146542315158E-5</v>
      </c>
      <c r="AA2185" s="2">
        <f>+DETALLE_GD_1[[#This Row],[VALOR PPTO]]*DETALLE_GD_1[[#This Row],[CANTIDAD RECIBIDA]]</f>
        <v>2242783.9980000001</v>
      </c>
      <c r="AB21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85" s="3">
        <f>+DETALLE_GD_1[[#This Row],[CANTIDAD SOLICITADA]]-DETALLE_GD_1[[#This Row],[DEVOLUCIÓN]]</f>
        <v>140</v>
      </c>
      <c r="AD2185" s="38" t="str">
        <f>+_xlfn.XLOOKUP(DETALLE_GD_1[[#This Row],[CODIGO]],PRODUCTOS[CODIGO],PRODUCTOS[DESC CORTA],"",0)</f>
        <v>VOCANITA EMPAPELADA MURO</v>
      </c>
    </row>
    <row r="2186" spans="1:30" x14ac:dyDescent="0.25">
      <c r="A2186" s="1">
        <v>46184</v>
      </c>
      <c r="B2186" s="1">
        <v>46184</v>
      </c>
      <c r="C2186" s="81" t="s">
        <v>169</v>
      </c>
      <c r="D2186" s="38">
        <v>6</v>
      </c>
      <c r="E2186" s="81" t="s">
        <v>169</v>
      </c>
      <c r="F2186" t="s">
        <v>21</v>
      </c>
      <c r="G2186" s="81" t="s">
        <v>22</v>
      </c>
      <c r="H2186" s="81" t="s">
        <v>20</v>
      </c>
      <c r="I2186" s="3">
        <v>80</v>
      </c>
      <c r="J2186" s="3"/>
      <c r="K2186" s="26">
        <v>80</v>
      </c>
      <c r="L2186" s="2">
        <v>15359.7</v>
      </c>
      <c r="M2186" s="2">
        <v>1228776</v>
      </c>
      <c r="N2186" s="2">
        <v>1228776</v>
      </c>
      <c r="O2186" s="2">
        <v>15359.702799999999</v>
      </c>
      <c r="P2186" s="2">
        <v>2.8E-3</v>
      </c>
      <c r="Q2186" s="2">
        <v>0.2228</v>
      </c>
      <c r="R2186" s="4">
        <v>1.81318612826567E-7</v>
      </c>
      <c r="T2186">
        <v>318188</v>
      </c>
      <c r="U2186" s="2"/>
      <c r="W2186" s="2">
        <v>6579000000</v>
      </c>
      <c r="X2186" s="6">
        <v>1228776.2228000003</v>
      </c>
      <c r="Y2186" s="38">
        <v>10010</v>
      </c>
      <c r="Z2186" s="86">
        <f>+((DETALLE_GD_1[[#This Row],[VALOR X UN (GD)]]-DETALLE_GD_1[[#This Row],[VALOR PPTO]])/DETALLE_GD_1[[#This Row],[VALOR PPTO]])</f>
        <v>-1.8229519378380471E-7</v>
      </c>
      <c r="AA2186" s="2">
        <f>+DETALLE_GD_1[[#This Row],[VALOR PPTO]]*DETALLE_GD_1[[#This Row],[CANTIDAD RECIBIDA]]</f>
        <v>1228776.2239999999</v>
      </c>
      <c r="AB21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86" s="3">
        <f>+DETALLE_GD_1[[#This Row],[CANTIDAD SOLICITADA]]-DETALLE_GD_1[[#This Row],[DEVOLUCIÓN]]</f>
        <v>80</v>
      </c>
      <c r="AD2186" s="38" t="str">
        <f>+_xlfn.XLOOKUP(DETALLE_GD_1[[#This Row],[CODIGO]],PRODUCTOS[CODIGO],PRODUCTOS[DESC CORTA],"",0)</f>
        <v>PINO 3X8X320</v>
      </c>
    </row>
    <row r="2187" spans="1:30" x14ac:dyDescent="0.25">
      <c r="A2187" s="1">
        <v>46184</v>
      </c>
      <c r="B2187" s="1">
        <v>46184</v>
      </c>
      <c r="C2187" s="81" t="s">
        <v>169</v>
      </c>
      <c r="D2187" s="38">
        <v>6</v>
      </c>
      <c r="E2187" s="81" t="s">
        <v>169</v>
      </c>
      <c r="F2187">
        <v>302046</v>
      </c>
      <c r="G2187" s="81" t="s">
        <v>115</v>
      </c>
      <c r="H2187" s="81" t="s">
        <v>20</v>
      </c>
      <c r="I2187" s="3">
        <v>336</v>
      </c>
      <c r="J2187" s="3"/>
      <c r="K2187" s="26">
        <v>336</v>
      </c>
      <c r="L2187" s="2">
        <v>10234.663699999999</v>
      </c>
      <c r="M2187" s="2">
        <v>3438847</v>
      </c>
      <c r="N2187" s="2">
        <v>3438847</v>
      </c>
      <c r="O2187" s="2">
        <v>10156.5985</v>
      </c>
      <c r="P2187" s="2">
        <v>-78.065200000000004</v>
      </c>
      <c r="Q2187" s="2">
        <v>-26229.915099999998</v>
      </c>
      <c r="R2187" s="4">
        <v>-7.686158287130521E-3</v>
      </c>
      <c r="T2187">
        <v>318188</v>
      </c>
      <c r="U2187" s="2"/>
      <c r="W2187" s="2">
        <v>6579000000</v>
      </c>
      <c r="X2187" s="6">
        <v>3412617.0849120007</v>
      </c>
      <c r="Y2187" s="38">
        <v>10010</v>
      </c>
      <c r="Z2187" s="86">
        <f>+((DETALLE_GD_1[[#This Row],[VALOR X UN (GD)]]-DETALLE_GD_1[[#This Row],[VALOR PPTO]])/DETALLE_GD_1[[#This Row],[VALOR PPTO]])</f>
        <v>7.6861559507347948E-3</v>
      </c>
      <c r="AA2187" s="2">
        <f>+DETALLE_GD_1[[#This Row],[VALOR PPTO]]*DETALLE_GD_1[[#This Row],[CANTIDAD RECIBIDA]]</f>
        <v>3412617.0959999999</v>
      </c>
      <c r="AB21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87" s="3">
        <f>+DETALLE_GD_1[[#This Row],[CANTIDAD SOLICITADA]]-DETALLE_GD_1[[#This Row],[DEVOLUCIÓN]]</f>
        <v>336</v>
      </c>
      <c r="AD2187" s="38" t="str">
        <f>+_xlfn.XLOOKUP(DETALLE_GD_1[[#This Row],[CODIGO]],PRODUCTOS[CODIGO],PRODUCTOS[DESC CORTA],"",0)</f>
        <v>PINO 2X6X400</v>
      </c>
    </row>
    <row r="2188" spans="1:30" x14ac:dyDescent="0.25">
      <c r="A2188" s="1">
        <v>46184</v>
      </c>
      <c r="B2188" s="1">
        <v>46184</v>
      </c>
      <c r="C2188" s="81" t="s">
        <v>169</v>
      </c>
      <c r="D2188" s="38">
        <v>6</v>
      </c>
      <c r="E2188" s="81" t="s">
        <v>169</v>
      </c>
      <c r="F2188">
        <v>1902013</v>
      </c>
      <c r="G2188" s="81" t="s">
        <v>338</v>
      </c>
      <c r="H2188" s="81" t="s">
        <v>47</v>
      </c>
      <c r="I2188" s="3">
        <v>20</v>
      </c>
      <c r="J2188" s="3"/>
      <c r="K2188" s="26">
        <v>20</v>
      </c>
      <c r="L2188" s="2">
        <v>39232.5</v>
      </c>
      <c r="M2188" s="2">
        <v>784650</v>
      </c>
      <c r="N2188" s="2">
        <v>784650</v>
      </c>
      <c r="O2188" s="2">
        <v>29779</v>
      </c>
      <c r="P2188" s="2">
        <v>-9453.5</v>
      </c>
      <c r="Q2188" s="2">
        <v>-189070</v>
      </c>
      <c r="R2188" s="4">
        <v>-0.3174552537022734</v>
      </c>
      <c r="T2188">
        <v>318188</v>
      </c>
      <c r="U2188" s="2"/>
      <c r="W2188" s="2">
        <v>6579000000</v>
      </c>
      <c r="X2188" s="6">
        <v>595580</v>
      </c>
      <c r="Y2188" s="38">
        <v>10010</v>
      </c>
      <c r="Z2188" s="86">
        <f>+((DETALLE_GD_1[[#This Row],[VALOR X UN (GD)]]-DETALLE_GD_1[[#This Row],[VALOR PPTO]])/DETALLE_GD_1[[#This Row],[VALOR PPTO]])</f>
        <v>0.3174552537022734</v>
      </c>
      <c r="AA2188" s="2">
        <f>+DETALLE_GD_1[[#This Row],[VALOR PPTO]]*DETALLE_GD_1[[#This Row],[CANTIDAD RECIBIDA]]</f>
        <v>595580</v>
      </c>
      <c r="AB21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88" s="3">
        <f>+DETALLE_GD_1[[#This Row],[CANTIDAD SOLICITADA]]-DETALLE_GD_1[[#This Row],[DEVOLUCIÓN]]</f>
        <v>20</v>
      </c>
      <c r="AD2188" s="38">
        <f>+_xlfn.XLOOKUP(DETALLE_GD_1[[#This Row],[CODIGO]],PRODUCTOS[CODIGO],PRODUCTOS[DESC CORTA],"",0)</f>
        <v>0</v>
      </c>
    </row>
    <row r="2189" spans="1:30" x14ac:dyDescent="0.25">
      <c r="A2189" s="1">
        <v>46184</v>
      </c>
      <c r="B2189" s="1">
        <v>46184</v>
      </c>
      <c r="C2189" s="81" t="s">
        <v>169</v>
      </c>
      <c r="D2189" s="38">
        <v>6</v>
      </c>
      <c r="E2189" s="81" t="s">
        <v>169</v>
      </c>
      <c r="F2189">
        <v>304049</v>
      </c>
      <c r="G2189" s="81" t="s">
        <v>318</v>
      </c>
      <c r="H2189" s="81" t="s">
        <v>18</v>
      </c>
      <c r="I2189" s="3">
        <v>130</v>
      </c>
      <c r="J2189" s="3"/>
      <c r="K2189" s="26">
        <v>130</v>
      </c>
      <c r="L2189" s="2">
        <v>15646.776900000001</v>
      </c>
      <c r="M2189" s="2">
        <v>2034081</v>
      </c>
      <c r="N2189" s="2">
        <v>2034081</v>
      </c>
      <c r="O2189" s="2">
        <v>14982</v>
      </c>
      <c r="P2189" s="2">
        <v>-664.77689999999996</v>
      </c>
      <c r="Q2189" s="2">
        <v>-86421</v>
      </c>
      <c r="R2189" s="4">
        <v>-4.4371707587567102E-2</v>
      </c>
      <c r="T2189">
        <v>318188</v>
      </c>
      <c r="U2189" s="2"/>
      <c r="W2189" s="2">
        <v>6579000000</v>
      </c>
      <c r="X2189" s="6">
        <v>1947659.9999999993</v>
      </c>
      <c r="Y2189" s="38">
        <v>10010</v>
      </c>
      <c r="Z2189" s="86">
        <f>+((DETALLE_GD_1[[#This Row],[VALOR X UN (GD)]]-DETALLE_GD_1[[#This Row],[VALOR PPTO]])/DETALLE_GD_1[[#This Row],[VALOR PPTO]])</f>
        <v>4.4371706047256758E-2</v>
      </c>
      <c r="AA2189" s="2">
        <f>+DETALLE_GD_1[[#This Row],[VALOR PPTO]]*DETALLE_GD_1[[#This Row],[CANTIDAD RECIBIDA]]</f>
        <v>1947660</v>
      </c>
      <c r="AB21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89" s="3">
        <f>+DETALLE_GD_1[[#This Row],[CANTIDAD SOLICITADA]]-DETALLE_GD_1[[#This Row],[DEVOLUCIÓN]]</f>
        <v>130</v>
      </c>
      <c r="AD2189" s="38" t="str">
        <f>+_xlfn.XLOOKUP(DETALLE_GD_1[[#This Row],[CODIGO]],PRODUCTOS[CODIGO],PRODUCTOS[DESC CORTA],"",0)</f>
        <v>TERCIADO FENOLICO</v>
      </c>
    </row>
    <row r="2190" spans="1:30" x14ac:dyDescent="0.25">
      <c r="A2190" s="1">
        <v>46185</v>
      </c>
      <c r="B2190" s="1">
        <v>46185</v>
      </c>
      <c r="C2190" s="81" t="s">
        <v>169</v>
      </c>
      <c r="D2190" s="38">
        <v>6</v>
      </c>
      <c r="E2190" s="81" t="s">
        <v>169</v>
      </c>
      <c r="F2190" t="s">
        <v>345</v>
      </c>
      <c r="G2190" s="81" t="s">
        <v>167</v>
      </c>
      <c r="H2190" s="81" t="s">
        <v>26</v>
      </c>
      <c r="I2190" s="3">
        <v>40</v>
      </c>
      <c r="J2190" s="3"/>
      <c r="K2190" s="26">
        <v>40</v>
      </c>
      <c r="L2190" s="2">
        <v>12991.975</v>
      </c>
      <c r="M2190" s="2">
        <v>519679</v>
      </c>
      <c r="N2190" s="2">
        <v>519679</v>
      </c>
      <c r="O2190" s="2">
        <v>11882.3879</v>
      </c>
      <c r="P2190" s="2">
        <v>-1109.5871</v>
      </c>
      <c r="Q2190" s="2">
        <v>-44383.4833</v>
      </c>
      <c r="R2190" s="4">
        <v>-9.3380816276207118E-2</v>
      </c>
      <c r="T2190">
        <v>318253</v>
      </c>
      <c r="U2190" s="2">
        <v>519679</v>
      </c>
      <c r="W2190" s="2">
        <v>6579000000</v>
      </c>
      <c r="X2190" s="6">
        <v>475295.51668</v>
      </c>
      <c r="Y2190" s="38">
        <v>10010</v>
      </c>
      <c r="Z2190" s="86">
        <f>+((DETALLE_GD_1[[#This Row],[VALOR X UN (GD)]]-DETALLE_GD_1[[#This Row],[VALOR PPTO]])/DETALLE_GD_1[[#This Row],[VALOR PPTO]])</f>
        <v>9.3380817840494901E-2</v>
      </c>
      <c r="AA2190" s="2">
        <f>+DETALLE_GD_1[[#This Row],[VALOR PPTO]]*DETALLE_GD_1[[#This Row],[CANTIDAD RECIBIDA]]</f>
        <v>475295.516</v>
      </c>
      <c r="AB21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90" s="3">
        <f>+DETALLE_GD_1[[#This Row],[CANTIDAD SOLICITADA]]-DETALLE_GD_1[[#This Row],[DEVOLUCIÓN]]</f>
        <v>40</v>
      </c>
      <c r="AD2190" s="38" t="str">
        <f>+_xlfn.XLOOKUP(DETALLE_GD_1[[#This Row],[CODIGO]],PRODUCTOS[CODIGO],PRODUCTOS[DESC CORTA],"",0)</f>
        <v>PISO TARKET</v>
      </c>
    </row>
    <row r="2191" spans="1:30" x14ac:dyDescent="0.25">
      <c r="A2191" s="1">
        <v>46185</v>
      </c>
      <c r="B2191" s="1">
        <v>46185</v>
      </c>
      <c r="C2191" s="81" t="s">
        <v>169</v>
      </c>
      <c r="D2191" s="38">
        <v>6</v>
      </c>
      <c r="E2191" s="81" t="s">
        <v>169</v>
      </c>
      <c r="F2191">
        <v>408034</v>
      </c>
      <c r="G2191" s="81" t="s">
        <v>250</v>
      </c>
      <c r="H2191" s="81" t="s">
        <v>36</v>
      </c>
      <c r="I2191" s="3">
        <v>2</v>
      </c>
      <c r="J2191" s="3"/>
      <c r="K2191" s="26">
        <v>2</v>
      </c>
      <c r="L2191" s="2">
        <v>1867</v>
      </c>
      <c r="M2191" s="2">
        <v>3734</v>
      </c>
      <c r="N2191" s="2">
        <v>3734</v>
      </c>
      <c r="O2191" s="2">
        <v>1866.9503999999999</v>
      </c>
      <c r="P2191" s="2">
        <v>-4.9599999999999998E-2</v>
      </c>
      <c r="Q2191" s="2">
        <v>-9.9299999999999999E-2</v>
      </c>
      <c r="R2191" s="4">
        <v>-2.6591494447838636E-5</v>
      </c>
      <c r="T2191">
        <v>318246</v>
      </c>
      <c r="U2191" s="2">
        <v>84930</v>
      </c>
      <c r="W2191" s="2">
        <v>6579000000</v>
      </c>
      <c r="X2191" s="6">
        <v>3733.9007100000017</v>
      </c>
      <c r="Y2191" s="38">
        <v>10010</v>
      </c>
      <c r="Z2191" s="86">
        <f>+((DETALLE_GD_1[[#This Row],[VALOR X UN (GD)]]-DETALLE_GD_1[[#This Row],[VALOR PPTO]])/DETALLE_GD_1[[#This Row],[VALOR PPTO]])</f>
        <v>2.6567390328128124E-5</v>
      </c>
      <c r="AA2191" s="2">
        <f>+DETALLE_GD_1[[#This Row],[VALOR PPTO]]*DETALLE_GD_1[[#This Row],[CANTIDAD RECIBIDA]]</f>
        <v>3733.9007999999999</v>
      </c>
      <c r="AB2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91" s="3">
        <f>+DETALLE_GD_1[[#This Row],[CANTIDAD SOLICITADA]]-DETALLE_GD_1[[#This Row],[DEVOLUCIÓN]]</f>
        <v>2</v>
      </c>
      <c r="AD2191" s="38">
        <f>+_xlfn.XLOOKUP(DETALLE_GD_1[[#This Row],[CODIGO]],PRODUCTOS[CODIGO],PRODUCTOS[DESC CORTA],"",0)</f>
        <v>0</v>
      </c>
    </row>
    <row r="2192" spans="1:30" x14ac:dyDescent="0.25">
      <c r="A2192" s="1">
        <v>46185</v>
      </c>
      <c r="B2192" s="1">
        <v>46185</v>
      </c>
      <c r="C2192" s="81" t="s">
        <v>169</v>
      </c>
      <c r="D2192" s="38">
        <v>6</v>
      </c>
      <c r="E2192" s="81" t="s">
        <v>169</v>
      </c>
      <c r="F2192">
        <v>2508992</v>
      </c>
      <c r="G2192" s="81" t="s">
        <v>486</v>
      </c>
      <c r="H2192" s="81" t="s">
        <v>31</v>
      </c>
      <c r="I2192" s="3">
        <v>3</v>
      </c>
      <c r="J2192" s="3"/>
      <c r="K2192" s="26">
        <v>3</v>
      </c>
      <c r="L2192" s="2">
        <v>5068.6666999999998</v>
      </c>
      <c r="M2192" s="2">
        <v>15206</v>
      </c>
      <c r="N2192" s="2">
        <v>15206</v>
      </c>
      <c r="O2192" s="2">
        <v>5084</v>
      </c>
      <c r="P2192" s="2">
        <v>15.333299999999999</v>
      </c>
      <c r="Q2192" s="2">
        <v>46</v>
      </c>
      <c r="R2192" s="4">
        <v>3.0159979019144436E-3</v>
      </c>
      <c r="T2192">
        <v>318246</v>
      </c>
      <c r="U2192" s="2"/>
      <c r="W2192" s="2">
        <v>6579000000</v>
      </c>
      <c r="X2192" s="6">
        <v>15252</v>
      </c>
      <c r="Y2192" s="38">
        <v>10010</v>
      </c>
      <c r="Z2192" s="86">
        <f>+((DETALLE_GD_1[[#This Row],[VALOR X UN (GD)]]-DETALLE_GD_1[[#This Row],[VALOR PPTO]])/DETALLE_GD_1[[#This Row],[VALOR PPTO]])</f>
        <v>-3.0159913453973713E-3</v>
      </c>
      <c r="AA2192" s="2">
        <f>+DETALLE_GD_1[[#This Row],[VALOR PPTO]]*DETALLE_GD_1[[#This Row],[CANTIDAD RECIBIDA]]</f>
        <v>15252</v>
      </c>
      <c r="AB2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92" s="3">
        <f>+DETALLE_GD_1[[#This Row],[CANTIDAD SOLICITADA]]-DETALLE_GD_1[[#This Row],[DEVOLUCIÓN]]</f>
        <v>3</v>
      </c>
      <c r="AD2192" s="38" t="str">
        <f>+_xlfn.XLOOKUP(DETALLE_GD_1[[#This Row],[CODIGO]],PRODUCTOS[CODIGO],PRODUCTOS[DESC CORTA],"",0)</f>
        <v>MANILLA JUEGO</v>
      </c>
    </row>
    <row r="2193" spans="1:30" x14ac:dyDescent="0.25">
      <c r="A2193" s="1">
        <v>46185</v>
      </c>
      <c r="B2193" s="1">
        <v>46185</v>
      </c>
      <c r="C2193" s="81" t="s">
        <v>169</v>
      </c>
      <c r="D2193" s="38">
        <v>6</v>
      </c>
      <c r="E2193" s="81" t="s">
        <v>169</v>
      </c>
      <c r="F2193">
        <v>407423</v>
      </c>
      <c r="G2193" s="81" t="s">
        <v>106</v>
      </c>
      <c r="H2193" s="81" t="s">
        <v>31</v>
      </c>
      <c r="I2193" s="3">
        <v>10000</v>
      </c>
      <c r="J2193" s="3"/>
      <c r="K2193" s="26">
        <v>10000</v>
      </c>
      <c r="L2193" s="2">
        <v>3.4662000000000002</v>
      </c>
      <c r="M2193" s="2">
        <v>34662</v>
      </c>
      <c r="N2193" s="2">
        <v>34662</v>
      </c>
      <c r="O2193" s="2">
        <v>106.6405</v>
      </c>
      <c r="P2193" s="2">
        <v>103.1743</v>
      </c>
      <c r="Q2193" s="2">
        <v>1031743.0198</v>
      </c>
      <c r="R2193" s="4">
        <v>0.96749640206563281</v>
      </c>
      <c r="T2193">
        <v>318246</v>
      </c>
      <c r="U2193" s="2"/>
      <c r="W2193" s="2">
        <v>6579000000</v>
      </c>
      <c r="X2193" s="6">
        <v>1066405.0198378379</v>
      </c>
      <c r="Y2193" s="38">
        <v>10010</v>
      </c>
      <c r="Z2193" s="86">
        <f>+((DETALLE_GD_1[[#This Row],[VALOR X UN (GD)]]-DETALLE_GD_1[[#This Row],[VALOR PPTO]])/DETALLE_GD_1[[#This Row],[VALOR PPTO]])</f>
        <v>-0.96749640146098337</v>
      </c>
      <c r="AA2193" s="2">
        <f>+DETALLE_GD_1[[#This Row],[VALOR PPTO]]*DETALLE_GD_1[[#This Row],[CANTIDAD RECIBIDA]]</f>
        <v>1066405</v>
      </c>
      <c r="AB2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93" s="3">
        <f>+DETALLE_GD_1[[#This Row],[CANTIDAD SOLICITADA]]-DETALLE_GD_1[[#This Row],[DEVOLUCIÓN]]</f>
        <v>10000</v>
      </c>
      <c r="AD2193" s="38" t="str">
        <f>+_xlfn.XLOOKUP(DETALLE_GD_1[[#This Row],[CODIGO]],PRODUCTOS[CODIGO],PRODUCTOS[DESC CORTA],"",0)</f>
        <v>TORNILLO CRS 6X1 5/8</v>
      </c>
    </row>
    <row r="2194" spans="1:30" x14ac:dyDescent="0.25">
      <c r="A2194" s="1">
        <v>46185</v>
      </c>
      <c r="B2194" s="1">
        <v>46185</v>
      </c>
      <c r="C2194" s="81" t="s">
        <v>169</v>
      </c>
      <c r="D2194" s="38">
        <v>6</v>
      </c>
      <c r="E2194" s="81" t="s">
        <v>169</v>
      </c>
      <c r="F2194">
        <v>407185</v>
      </c>
      <c r="G2194" s="81" t="s">
        <v>43</v>
      </c>
      <c r="H2194" s="81" t="s">
        <v>31</v>
      </c>
      <c r="I2194" s="3">
        <v>5000</v>
      </c>
      <c r="J2194" s="3"/>
      <c r="K2194" s="26">
        <v>5000</v>
      </c>
      <c r="L2194" s="2">
        <v>6.2656000000000001</v>
      </c>
      <c r="M2194" s="2">
        <v>31328</v>
      </c>
      <c r="N2194" s="2">
        <v>31328</v>
      </c>
      <c r="O2194" s="2">
        <v>6.8783000000000003</v>
      </c>
      <c r="P2194" s="2">
        <v>0.61270000000000002</v>
      </c>
      <c r="Q2194" s="2">
        <v>3063.6</v>
      </c>
      <c r="R2194" s="4">
        <v>8.9079891601437602E-2</v>
      </c>
      <c r="T2194">
        <v>318246</v>
      </c>
      <c r="U2194" s="2"/>
      <c r="W2194" s="2">
        <v>6579000000</v>
      </c>
      <c r="X2194" s="6">
        <v>34391.599999999999</v>
      </c>
      <c r="Y2194" s="38">
        <v>10010</v>
      </c>
      <c r="Z2194" s="86">
        <f>+((DETALLE_GD_1[[#This Row],[VALOR X UN (GD)]]-DETALLE_GD_1[[#This Row],[VALOR PPTO]])/DETALLE_GD_1[[#This Row],[VALOR PPTO]])</f>
        <v>-8.9077242923396804E-2</v>
      </c>
      <c r="AA2194" s="2">
        <f>+DETALLE_GD_1[[#This Row],[VALOR PPTO]]*DETALLE_GD_1[[#This Row],[CANTIDAD RECIBIDA]]</f>
        <v>34391.5</v>
      </c>
      <c r="AB2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94" s="3">
        <f>+DETALLE_GD_1[[#This Row],[CANTIDAD SOLICITADA]]-DETALLE_GD_1[[#This Row],[DEVOLUCIÓN]]</f>
        <v>5000</v>
      </c>
      <c r="AD2194" s="38">
        <f>+_xlfn.XLOOKUP(DETALLE_GD_1[[#This Row],[CODIGO]],PRODUCTOS[CODIGO],PRODUCTOS[DESC CORTA],"",0)</f>
        <v>0</v>
      </c>
    </row>
    <row r="2195" spans="1:30" x14ac:dyDescent="0.25">
      <c r="A2195" s="1">
        <v>46185</v>
      </c>
      <c r="B2195" s="1">
        <v>46185</v>
      </c>
      <c r="C2195" s="81" t="s">
        <v>169</v>
      </c>
      <c r="D2195" s="38">
        <v>6</v>
      </c>
      <c r="E2195" s="81" t="s">
        <v>169</v>
      </c>
      <c r="F2195">
        <v>302048</v>
      </c>
      <c r="G2195" s="81" t="s">
        <v>126</v>
      </c>
      <c r="H2195" s="81" t="s">
        <v>20</v>
      </c>
      <c r="I2195" s="3">
        <v>108</v>
      </c>
      <c r="J2195" s="3"/>
      <c r="K2195" s="26">
        <v>108</v>
      </c>
      <c r="L2195" s="2">
        <v>14163.537</v>
      </c>
      <c r="M2195" s="2">
        <v>1529662</v>
      </c>
      <c r="N2195" s="2">
        <v>1529662</v>
      </c>
      <c r="O2195" s="2">
        <v>13710.695</v>
      </c>
      <c r="P2195" s="2">
        <v>-452.84210000000002</v>
      </c>
      <c r="Q2195" s="2">
        <v>-48906.944199999998</v>
      </c>
      <c r="R2195" s="4">
        <v>-3.3028382392369181E-2</v>
      </c>
      <c r="T2195">
        <v>318251</v>
      </c>
      <c r="U2195" s="2">
        <v>1529662</v>
      </c>
      <c r="W2195" s="2">
        <v>6579000000</v>
      </c>
      <c r="X2195" s="6">
        <v>1480755.0557880001</v>
      </c>
      <c r="Y2195" s="38">
        <v>10010</v>
      </c>
      <c r="Z2195" s="86">
        <f>+((DETALLE_GD_1[[#This Row],[VALOR X UN (GD)]]-DETALLE_GD_1[[#This Row],[VALOR PPTO]])/DETALLE_GD_1[[#This Row],[VALOR PPTO]])</f>
        <v>3.3028376752600841E-2</v>
      </c>
      <c r="AA2195" s="2">
        <f>+DETALLE_GD_1[[#This Row],[VALOR PPTO]]*DETALLE_GD_1[[#This Row],[CANTIDAD RECIBIDA]]</f>
        <v>1480755.06</v>
      </c>
      <c r="AB2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95" s="3">
        <f>+DETALLE_GD_1[[#This Row],[CANTIDAD SOLICITADA]]-DETALLE_GD_1[[#This Row],[DEVOLUCIÓN]]</f>
        <v>108</v>
      </c>
      <c r="AD2195" s="38" t="str">
        <f>+_xlfn.XLOOKUP(DETALLE_GD_1[[#This Row],[CODIGO]],PRODUCTOS[CODIGO],PRODUCTOS[DESC CORTA],"",0)</f>
        <v>PINO 2X8X4</v>
      </c>
    </row>
    <row r="2196" spans="1:30" x14ac:dyDescent="0.25">
      <c r="A2196" s="1">
        <v>46185</v>
      </c>
      <c r="B2196" s="1">
        <v>46185</v>
      </c>
      <c r="C2196" s="81" t="s">
        <v>169</v>
      </c>
      <c r="D2196" s="38">
        <v>6</v>
      </c>
      <c r="E2196" s="81" t="s">
        <v>169</v>
      </c>
      <c r="F2196">
        <v>302048</v>
      </c>
      <c r="G2196" s="81" t="s">
        <v>126</v>
      </c>
      <c r="H2196" s="81" t="s">
        <v>20</v>
      </c>
      <c r="I2196" s="3">
        <v>108</v>
      </c>
      <c r="J2196" s="3"/>
      <c r="K2196" s="26">
        <v>108</v>
      </c>
      <c r="L2196" s="2">
        <v>14163.537</v>
      </c>
      <c r="M2196" s="2">
        <v>1529662</v>
      </c>
      <c r="N2196" s="2">
        <v>1529662</v>
      </c>
      <c r="O2196" s="2">
        <v>13710.695</v>
      </c>
      <c r="P2196" s="2">
        <v>-452.84210000000002</v>
      </c>
      <c r="Q2196" s="2">
        <v>-48906.944199999998</v>
      </c>
      <c r="R2196" s="4">
        <v>-3.3028382392369181E-2</v>
      </c>
      <c r="T2196">
        <v>318249</v>
      </c>
      <c r="U2196" s="2">
        <v>1837194</v>
      </c>
      <c r="W2196" s="2">
        <v>6579000000</v>
      </c>
      <c r="X2196" s="6">
        <v>1480755.0557880001</v>
      </c>
      <c r="Y2196" s="38">
        <v>10010</v>
      </c>
      <c r="Z2196" s="86">
        <f>+((DETALLE_GD_1[[#This Row],[VALOR X UN (GD)]]-DETALLE_GD_1[[#This Row],[VALOR PPTO]])/DETALLE_GD_1[[#This Row],[VALOR PPTO]])</f>
        <v>3.3028376752600841E-2</v>
      </c>
      <c r="AA2196" s="2">
        <f>+DETALLE_GD_1[[#This Row],[VALOR PPTO]]*DETALLE_GD_1[[#This Row],[CANTIDAD RECIBIDA]]</f>
        <v>1480755.06</v>
      </c>
      <c r="AB21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96" s="3">
        <f>+DETALLE_GD_1[[#This Row],[CANTIDAD SOLICITADA]]-DETALLE_GD_1[[#This Row],[DEVOLUCIÓN]]</f>
        <v>108</v>
      </c>
      <c r="AD2196" s="38" t="str">
        <f>+_xlfn.XLOOKUP(DETALLE_GD_1[[#This Row],[CODIGO]],PRODUCTOS[CODIGO],PRODUCTOS[DESC CORTA],"",0)</f>
        <v>PINO 2X8X4</v>
      </c>
    </row>
    <row r="2197" spans="1:30" x14ac:dyDescent="0.25">
      <c r="A2197" s="1">
        <v>46185</v>
      </c>
      <c r="B2197" s="1">
        <v>46185</v>
      </c>
      <c r="C2197" s="81" t="s">
        <v>169</v>
      </c>
      <c r="D2197" s="38">
        <v>6</v>
      </c>
      <c r="E2197" s="81" t="s">
        <v>169</v>
      </c>
      <c r="F2197" t="s">
        <v>231</v>
      </c>
      <c r="G2197" s="81" t="s">
        <v>180</v>
      </c>
      <c r="H2197" s="81" t="s">
        <v>36</v>
      </c>
      <c r="I2197" s="3">
        <v>6</v>
      </c>
      <c r="J2197" s="3"/>
      <c r="K2197" s="26">
        <v>6</v>
      </c>
      <c r="L2197" s="2">
        <v>51255.333299999998</v>
      </c>
      <c r="M2197" s="2">
        <v>307532</v>
      </c>
      <c r="N2197" s="2">
        <v>307532</v>
      </c>
      <c r="O2197" s="2">
        <v>55858.301899999999</v>
      </c>
      <c r="P2197" s="2">
        <v>4602.9686000000002</v>
      </c>
      <c r="Q2197" s="2">
        <v>27617.811300000001</v>
      </c>
      <c r="R2197" s="4">
        <v>8.2404376756356715E-2</v>
      </c>
      <c r="T2197">
        <v>318249</v>
      </c>
      <c r="U2197" s="2"/>
      <c r="W2197" s="2">
        <v>6579000000</v>
      </c>
      <c r="X2197" s="6">
        <v>335149.81132199999</v>
      </c>
      <c r="Y2197" s="38">
        <v>10010</v>
      </c>
      <c r="Z2197" s="86">
        <f>+((DETALLE_GD_1[[#This Row],[VALOR X UN (GD)]]-DETALLE_GD_1[[#This Row],[VALOR PPTO]])/DETALLE_GD_1[[#This Row],[VALOR PPTO]])</f>
        <v>-8.240437756665854E-2</v>
      </c>
      <c r="AA2197" s="2">
        <f>+DETALLE_GD_1[[#This Row],[VALOR PPTO]]*DETALLE_GD_1[[#This Row],[CANTIDAD RECIBIDA]]</f>
        <v>335149.81140000001</v>
      </c>
      <c r="AB2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97" s="3">
        <f>+DETALLE_GD_1[[#This Row],[CANTIDAD SOLICITADA]]-DETALLE_GD_1[[#This Row],[DEVOLUCIÓN]]</f>
        <v>6</v>
      </c>
      <c r="AD2197" s="38">
        <f>+_xlfn.XLOOKUP(DETALLE_GD_1[[#This Row],[CODIGO]],PRODUCTOS[CODIGO],PRODUCTOS[DESC CORTA],"",0)</f>
        <v>0</v>
      </c>
    </row>
    <row r="2198" spans="1:30" x14ac:dyDescent="0.25">
      <c r="A2198" s="1">
        <v>46185</v>
      </c>
      <c r="B2198" s="1">
        <v>46185</v>
      </c>
      <c r="C2198" s="81" t="s">
        <v>169</v>
      </c>
      <c r="D2198" s="38">
        <v>6</v>
      </c>
      <c r="E2198" s="81" t="s">
        <v>169</v>
      </c>
      <c r="F2198" t="s">
        <v>728</v>
      </c>
      <c r="G2198" s="81" t="s">
        <v>708</v>
      </c>
      <c r="H2198" s="81" t="s">
        <v>47</v>
      </c>
      <c r="I2198" s="3">
        <v>50</v>
      </c>
      <c r="J2198" s="3"/>
      <c r="K2198" s="26">
        <v>50</v>
      </c>
      <c r="L2198" s="2">
        <v>328.26</v>
      </c>
      <c r="M2198" s="2">
        <v>16413</v>
      </c>
      <c r="N2198" s="2">
        <v>16413</v>
      </c>
      <c r="O2198" s="2"/>
      <c r="P2198" s="2"/>
      <c r="Q2198" s="2">
        <v>-16413</v>
      </c>
      <c r="R2198" s="4"/>
      <c r="T2198">
        <v>318281</v>
      </c>
      <c r="U2198" s="2">
        <v>3787528</v>
      </c>
      <c r="W2198" s="2"/>
      <c r="X2198" s="6" t="s">
        <v>355</v>
      </c>
      <c r="Z2198" s="86" t="e">
        <f>+((DETALLE_GD_1[[#This Row],[VALOR X UN (GD)]]-DETALLE_GD_1[[#This Row],[VALOR PPTO]])/DETALLE_GD_1[[#This Row],[VALOR PPTO]])</f>
        <v>#DIV/0!</v>
      </c>
      <c r="AA2198" s="2">
        <f>+DETALLE_GD_1[[#This Row],[VALOR PPTO]]*DETALLE_GD_1[[#This Row],[CANTIDAD RECIBIDA]]</f>
        <v>0</v>
      </c>
      <c r="AB2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98" s="3">
        <f>+DETALLE_GD_1[[#This Row],[CANTIDAD SOLICITADA]]-DETALLE_GD_1[[#This Row],[DEVOLUCIÓN]]</f>
        <v>50</v>
      </c>
      <c r="AD2198" s="38" t="str">
        <f>+_xlfn.XLOOKUP(DETALLE_GD_1[[#This Row],[CODIGO]],PRODUCTOS[CODIGO],PRODUCTOS[DESC CORTA],"",0)</f>
        <v/>
      </c>
    </row>
    <row r="2199" spans="1:30" x14ac:dyDescent="0.25">
      <c r="A2199" s="1">
        <v>46185</v>
      </c>
      <c r="B2199" s="1">
        <v>46185</v>
      </c>
      <c r="C2199" s="81" t="s">
        <v>169</v>
      </c>
      <c r="D2199" s="38">
        <v>6</v>
      </c>
      <c r="E2199" s="81" t="s">
        <v>169</v>
      </c>
      <c r="F2199">
        <v>617016</v>
      </c>
      <c r="G2199" s="81" t="s">
        <v>133</v>
      </c>
      <c r="H2199" s="81" t="s">
        <v>31</v>
      </c>
      <c r="I2199" s="3">
        <v>10</v>
      </c>
      <c r="J2199" s="3"/>
      <c r="K2199" s="26">
        <v>10</v>
      </c>
      <c r="L2199" s="2">
        <v>2864.2</v>
      </c>
      <c r="M2199" s="2">
        <v>28642</v>
      </c>
      <c r="N2199" s="2">
        <v>28642</v>
      </c>
      <c r="O2199" s="2">
        <v>2857.5133000000001</v>
      </c>
      <c r="P2199" s="2">
        <v>-6.6867000000000001</v>
      </c>
      <c r="Q2199" s="2">
        <v>-66.8673</v>
      </c>
      <c r="R2199" s="4">
        <v>-2.3400507220180662E-3</v>
      </c>
      <c r="T2199">
        <v>318281</v>
      </c>
      <c r="U2199" s="2"/>
      <c r="W2199" s="2"/>
      <c r="X2199" s="6">
        <v>28575.132740000001</v>
      </c>
      <c r="Z2199" s="86">
        <f>+((DETALLE_GD_1[[#This Row],[VALOR X UN (GD)]]-DETALLE_GD_1[[#This Row],[VALOR PPTO]])/DETALLE_GD_1[[#This Row],[VALOR PPTO]])</f>
        <v>2.3400416019060161E-3</v>
      </c>
      <c r="AA2199" s="2">
        <f>+DETALLE_GD_1[[#This Row],[VALOR PPTO]]*DETALLE_GD_1[[#This Row],[CANTIDAD RECIBIDA]]</f>
        <v>28575.133000000002</v>
      </c>
      <c r="AB2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99" s="3">
        <f>+DETALLE_GD_1[[#This Row],[CANTIDAD SOLICITADA]]-DETALLE_GD_1[[#This Row],[DEVOLUCIÓN]]</f>
        <v>10</v>
      </c>
      <c r="AD2199" s="38" t="str">
        <f>+_xlfn.XLOOKUP(DETALLE_GD_1[[#This Row],[CODIGO]],PRODUCTOS[CODIGO],PRODUCTOS[DESC CORTA],"",0)</f>
        <v>RODILLO CHIPORRO</v>
      </c>
    </row>
    <row r="2200" spans="1:30" x14ac:dyDescent="0.25">
      <c r="A2200" s="1">
        <v>46185</v>
      </c>
      <c r="B2200" s="1">
        <v>46185</v>
      </c>
      <c r="C2200" s="81" t="s">
        <v>169</v>
      </c>
      <c r="D2200" s="38">
        <v>6</v>
      </c>
      <c r="E2200" s="81" t="s">
        <v>169</v>
      </c>
      <c r="F2200">
        <v>617057</v>
      </c>
      <c r="G2200" s="81" t="s">
        <v>134</v>
      </c>
      <c r="H2200" s="81" t="s">
        <v>31</v>
      </c>
      <c r="I2200" s="3">
        <v>10</v>
      </c>
      <c r="J2200" s="3"/>
      <c r="K2200" s="26">
        <v>10</v>
      </c>
      <c r="L2200" s="2">
        <v>1698.4</v>
      </c>
      <c r="M2200" s="2">
        <v>16984</v>
      </c>
      <c r="N2200" s="2">
        <v>16984</v>
      </c>
      <c r="O2200" s="2">
        <v>2042.1197</v>
      </c>
      <c r="P2200" s="2">
        <v>343.71969999999999</v>
      </c>
      <c r="Q2200" s="2">
        <v>3437.1970999999999</v>
      </c>
      <c r="R2200" s="4">
        <v>0.1683151604629782</v>
      </c>
      <c r="T2200">
        <v>318281</v>
      </c>
      <c r="U2200" s="2"/>
      <c r="W2200" s="2"/>
      <c r="X2200" s="6">
        <v>20421.197059999999</v>
      </c>
      <c r="Z2200" s="86">
        <f>+((DETALLE_GD_1[[#This Row],[VALOR X UN (GD)]]-DETALLE_GD_1[[#This Row],[VALOR PPTO]])/DETALLE_GD_1[[#This Row],[VALOR PPTO]])</f>
        <v>-0.16831515801938537</v>
      </c>
      <c r="AA2200" s="2">
        <f>+DETALLE_GD_1[[#This Row],[VALOR PPTO]]*DETALLE_GD_1[[#This Row],[CANTIDAD RECIBIDA]]</f>
        <v>20421.197</v>
      </c>
      <c r="AB2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00" s="3">
        <f>+DETALLE_GD_1[[#This Row],[CANTIDAD SOLICITADA]]-DETALLE_GD_1[[#This Row],[DEVOLUCIÓN]]</f>
        <v>10</v>
      </c>
      <c r="AD2200" s="38" t="str">
        <f>+_xlfn.XLOOKUP(DETALLE_GD_1[[#This Row],[CODIGO]],PRODUCTOS[CODIGO],PRODUCTOS[DESC CORTA],"",0)</f>
        <v>BROCHA 5/8 X4</v>
      </c>
    </row>
    <row r="2201" spans="1:30" x14ac:dyDescent="0.25">
      <c r="A2201" s="1">
        <v>46185</v>
      </c>
      <c r="B2201" s="1">
        <v>46185</v>
      </c>
      <c r="C2201" s="81" t="s">
        <v>169</v>
      </c>
      <c r="D2201" s="38">
        <v>6</v>
      </c>
      <c r="E2201" s="81" t="s">
        <v>169</v>
      </c>
      <c r="F2201">
        <v>617055</v>
      </c>
      <c r="G2201" s="81" t="s">
        <v>182</v>
      </c>
      <c r="H2201" s="81" t="s">
        <v>31</v>
      </c>
      <c r="I2201" s="3">
        <v>10</v>
      </c>
      <c r="J2201" s="3"/>
      <c r="K2201" s="26">
        <v>10</v>
      </c>
      <c r="L2201" s="2">
        <v>694.8</v>
      </c>
      <c r="M2201" s="2">
        <v>6948</v>
      </c>
      <c r="N2201" s="2">
        <v>6948</v>
      </c>
      <c r="O2201" s="2">
        <v>920.35379999999998</v>
      </c>
      <c r="P2201" s="2">
        <v>225.5538</v>
      </c>
      <c r="Q2201" s="2">
        <v>2255.5378000000001</v>
      </c>
      <c r="R2201" s="4">
        <v>0.24507291180455321</v>
      </c>
      <c r="T2201">
        <v>318281</v>
      </c>
      <c r="U2201" s="2"/>
      <c r="W2201" s="2"/>
      <c r="X2201" s="6">
        <v>9203.5378099999998</v>
      </c>
      <c r="Z2201" s="86">
        <f>+((DETALLE_GD_1[[#This Row],[VALOR X UN (GD)]]-DETALLE_GD_1[[#This Row],[VALOR PPTO]])/DETALLE_GD_1[[#This Row],[VALOR PPTO]])</f>
        <v>-0.24507292738944528</v>
      </c>
      <c r="AA2201" s="2">
        <f>+DETALLE_GD_1[[#This Row],[VALOR PPTO]]*DETALLE_GD_1[[#This Row],[CANTIDAD RECIBIDA]]</f>
        <v>9203.5380000000005</v>
      </c>
      <c r="AB2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01" s="3">
        <f>+DETALLE_GD_1[[#This Row],[CANTIDAD SOLICITADA]]-DETALLE_GD_1[[#This Row],[DEVOLUCIÓN]]</f>
        <v>10</v>
      </c>
      <c r="AD2201" s="38">
        <f>+_xlfn.XLOOKUP(DETALLE_GD_1[[#This Row],[CODIGO]],PRODUCTOS[CODIGO],PRODUCTOS[DESC CORTA],"",0)</f>
        <v>0</v>
      </c>
    </row>
    <row r="2202" spans="1:30" x14ac:dyDescent="0.25">
      <c r="A2202" s="1">
        <v>46185</v>
      </c>
      <c r="B2202" s="1">
        <v>46185</v>
      </c>
      <c r="C2202" s="81" t="s">
        <v>169</v>
      </c>
      <c r="D2202" s="38">
        <v>6</v>
      </c>
      <c r="E2202" s="81" t="s">
        <v>169</v>
      </c>
      <c r="F2202">
        <v>307096</v>
      </c>
      <c r="G2202" s="81" t="s">
        <v>249</v>
      </c>
      <c r="H2202" s="81" t="s">
        <v>137</v>
      </c>
      <c r="I2202" s="3">
        <v>50</v>
      </c>
      <c r="J2202" s="3"/>
      <c r="K2202" s="26">
        <v>50</v>
      </c>
      <c r="L2202" s="2">
        <v>1824.24</v>
      </c>
      <c r="M2202" s="2">
        <v>91212</v>
      </c>
      <c r="N2202" s="2">
        <v>91212</v>
      </c>
      <c r="O2202" s="2">
        <v>2095.3501000000001</v>
      </c>
      <c r="P2202" s="2">
        <v>271.11009999999999</v>
      </c>
      <c r="Q2202" s="2">
        <v>13555.5064</v>
      </c>
      <c r="R2202" s="4">
        <v>0.12938655227486268</v>
      </c>
      <c r="T2202">
        <v>318281</v>
      </c>
      <c r="U2202" s="2"/>
      <c r="W2202" s="2"/>
      <c r="X2202" s="6">
        <v>104767.50644999991</v>
      </c>
      <c r="Z2202" s="86">
        <f>+((DETALLE_GD_1[[#This Row],[VALOR X UN (GD)]]-DETALLE_GD_1[[#This Row],[VALOR PPTO]])/DETALLE_GD_1[[#This Row],[VALOR PPTO]])</f>
        <v>-0.12938654022542587</v>
      </c>
      <c r="AA2202" s="2">
        <f>+DETALLE_GD_1[[#This Row],[VALOR PPTO]]*DETALLE_GD_1[[#This Row],[CANTIDAD RECIBIDA]]</f>
        <v>104767.505</v>
      </c>
      <c r="AB2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02" s="3">
        <f>+DETALLE_GD_1[[#This Row],[CANTIDAD SOLICITADA]]-DETALLE_GD_1[[#This Row],[DEVOLUCIÓN]]</f>
        <v>50</v>
      </c>
      <c r="AD2202" s="38" t="str">
        <f>+_xlfn.XLOOKUP(DETALLE_GD_1[[#This Row],[CODIGO]],PRODUCTOS[CODIGO],PRODUCTOS[DESC CORTA],"",0)</f>
        <v>CUBREJUNTA</v>
      </c>
    </row>
    <row r="2203" spans="1:30" x14ac:dyDescent="0.25">
      <c r="A2203" s="1">
        <v>46185</v>
      </c>
      <c r="B2203" s="1">
        <v>46185</v>
      </c>
      <c r="C2203" s="81" t="s">
        <v>169</v>
      </c>
      <c r="D2203" s="38">
        <v>6</v>
      </c>
      <c r="E2203" s="81" t="s">
        <v>169</v>
      </c>
      <c r="F2203">
        <v>307033</v>
      </c>
      <c r="G2203" s="81" t="s">
        <v>248</v>
      </c>
      <c r="H2203" s="81" t="s">
        <v>31</v>
      </c>
      <c r="I2203" s="3">
        <v>50</v>
      </c>
      <c r="J2203" s="3"/>
      <c r="K2203" s="26">
        <v>50</v>
      </c>
      <c r="L2203" s="2">
        <v>1889.62</v>
      </c>
      <c r="M2203" s="2">
        <v>94481</v>
      </c>
      <c r="N2203" s="2">
        <v>94481</v>
      </c>
      <c r="O2203" s="2">
        <v>1889.0535</v>
      </c>
      <c r="P2203" s="2">
        <v>-0.5665</v>
      </c>
      <c r="Q2203" s="2">
        <v>-28.322800000000001</v>
      </c>
      <c r="R2203" s="4">
        <v>-2.9986233148297494E-4</v>
      </c>
      <c r="T2203">
        <v>318281</v>
      </c>
      <c r="U2203" s="2"/>
      <c r="W2203" s="2"/>
      <c r="X2203" s="6">
        <v>94452.677199999991</v>
      </c>
      <c r="Z2203" s="86">
        <f>+((DETALLE_GD_1[[#This Row],[VALOR X UN (GD)]]-DETALLE_GD_1[[#This Row],[VALOR PPTO]])/DETALLE_GD_1[[#This Row],[VALOR PPTO]])</f>
        <v>2.9988563055514597E-4</v>
      </c>
      <c r="AA2203" s="2">
        <f>+DETALLE_GD_1[[#This Row],[VALOR PPTO]]*DETALLE_GD_1[[#This Row],[CANTIDAD RECIBIDA]]</f>
        <v>94452.675000000003</v>
      </c>
      <c r="AB2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03" s="3">
        <f>+DETALLE_GD_1[[#This Row],[CANTIDAD SOLICITADA]]-DETALLE_GD_1[[#This Row],[DEVOLUCIÓN]]</f>
        <v>50</v>
      </c>
      <c r="AD2203" s="38">
        <f>+_xlfn.XLOOKUP(DETALLE_GD_1[[#This Row],[CODIGO]],PRODUCTOS[CODIGO],PRODUCTOS[DESC CORTA],"",0)</f>
        <v>0</v>
      </c>
    </row>
    <row r="2204" spans="1:30" x14ac:dyDescent="0.25">
      <c r="A2204" s="1">
        <v>46185</v>
      </c>
      <c r="B2204" s="1">
        <v>46185</v>
      </c>
      <c r="C2204" s="81" t="s">
        <v>169</v>
      </c>
      <c r="D2204" s="38">
        <v>6</v>
      </c>
      <c r="E2204" s="81" t="s">
        <v>169</v>
      </c>
      <c r="F2204">
        <v>705028</v>
      </c>
      <c r="G2204" s="81" t="s">
        <v>72</v>
      </c>
      <c r="H2204" s="81" t="s">
        <v>18</v>
      </c>
      <c r="I2204" s="3">
        <v>40</v>
      </c>
      <c r="J2204" s="3"/>
      <c r="K2204" s="26">
        <v>40</v>
      </c>
      <c r="L2204" s="2">
        <v>22782</v>
      </c>
      <c r="M2204" s="2">
        <v>911280</v>
      </c>
      <c r="N2204" s="2">
        <v>911280</v>
      </c>
      <c r="O2204" s="2">
        <v>22927.086200000002</v>
      </c>
      <c r="P2204" s="2">
        <v>145.08619999999999</v>
      </c>
      <c r="Q2204" s="2">
        <v>5803.4483</v>
      </c>
      <c r="R2204" s="4">
        <v>6.3281572586272733E-3</v>
      </c>
      <c r="T2204">
        <v>318281</v>
      </c>
      <c r="U2204" s="2"/>
      <c r="W2204" s="2"/>
      <c r="X2204" s="6">
        <v>917083.44828000001</v>
      </c>
      <c r="Z2204" s="86">
        <f>+((DETALLE_GD_1[[#This Row],[VALOR X UN (GD)]]-DETALLE_GD_1[[#This Row],[VALOR PPTO]])/DETALLE_GD_1[[#This Row],[VALOR PPTO]])</f>
        <v>-6.3281569552436868E-3</v>
      </c>
      <c r="AA2204" s="2">
        <f>+DETALLE_GD_1[[#This Row],[VALOR PPTO]]*DETALLE_GD_1[[#This Row],[CANTIDAD RECIBIDA]]</f>
        <v>917083.44800000009</v>
      </c>
      <c r="AB2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04" s="3">
        <f>+DETALLE_GD_1[[#This Row],[CANTIDAD SOLICITADA]]-DETALLE_GD_1[[#This Row],[DEVOLUCIÓN]]</f>
        <v>40</v>
      </c>
      <c r="AD2204" s="38" t="str">
        <f>+_xlfn.XLOOKUP(DETALLE_GD_1[[#This Row],[CODIGO]],PRODUCTOS[CODIGO],PRODUCTOS[DESC CORTA],"",0)</f>
        <v>SIMPLISIMA</v>
      </c>
    </row>
    <row r="2205" spans="1:30" x14ac:dyDescent="0.25">
      <c r="A2205" s="1">
        <v>46185</v>
      </c>
      <c r="B2205" s="1">
        <v>46185</v>
      </c>
      <c r="C2205" s="81" t="s">
        <v>169</v>
      </c>
      <c r="D2205" s="38">
        <v>6</v>
      </c>
      <c r="E2205" s="81" t="s">
        <v>169</v>
      </c>
      <c r="F2205">
        <v>601047</v>
      </c>
      <c r="G2205" s="81" t="s">
        <v>129</v>
      </c>
      <c r="H2205" s="81" t="s">
        <v>25</v>
      </c>
      <c r="I2205" s="3">
        <v>2</v>
      </c>
      <c r="J2205" s="3"/>
      <c r="K2205" s="26">
        <v>2</v>
      </c>
      <c r="L2205" s="2">
        <v>48169.5</v>
      </c>
      <c r="M2205" s="2">
        <v>96339</v>
      </c>
      <c r="N2205" s="2">
        <v>96339</v>
      </c>
      <c r="O2205" s="2">
        <v>50286.86</v>
      </c>
      <c r="P2205" s="2">
        <v>2117.36</v>
      </c>
      <c r="Q2205" s="2">
        <v>4234.72</v>
      </c>
      <c r="R2205" s="4">
        <v>4.2105631570553435E-2</v>
      </c>
      <c r="T2205">
        <v>318281</v>
      </c>
      <c r="U2205" s="2"/>
      <c r="W2205" s="2"/>
      <c r="X2205" s="6">
        <v>100573.72</v>
      </c>
      <c r="Z2205" s="86">
        <f>+((DETALLE_GD_1[[#This Row],[VALOR X UN (GD)]]-DETALLE_GD_1[[#This Row],[VALOR PPTO]])/DETALLE_GD_1[[#This Row],[VALOR PPTO]])</f>
        <v>-4.2105631570553435E-2</v>
      </c>
      <c r="AA2205" s="2">
        <f>+DETALLE_GD_1[[#This Row],[VALOR PPTO]]*DETALLE_GD_1[[#This Row],[CANTIDAD RECIBIDA]]</f>
        <v>100573.72</v>
      </c>
      <c r="AB2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05" s="3">
        <f>+DETALLE_GD_1[[#This Row],[CANTIDAD SOLICITADA]]-DETALLE_GD_1[[#This Row],[DEVOLUCIÓN]]</f>
        <v>2</v>
      </c>
      <c r="AD2205" s="38" t="str">
        <f>+_xlfn.XLOOKUP(DETALLE_GD_1[[#This Row],[CODIGO]],PRODUCTOS[CODIGO],PRODUCTOS[DESC CORTA],"",0)</f>
        <v>ESMALTE AL AGUA</v>
      </c>
    </row>
    <row r="2206" spans="1:30" x14ac:dyDescent="0.25">
      <c r="A2206" s="1">
        <v>46185</v>
      </c>
      <c r="B2206" s="1">
        <v>46185</v>
      </c>
      <c r="C2206" s="81" t="s">
        <v>169</v>
      </c>
      <c r="D2206" s="38">
        <v>6</v>
      </c>
      <c r="E2206" s="81" t="s">
        <v>169</v>
      </c>
      <c r="F2206">
        <v>602255</v>
      </c>
      <c r="G2206" s="81" t="s">
        <v>203</v>
      </c>
      <c r="H2206" s="81" t="s">
        <v>25</v>
      </c>
      <c r="I2206" s="3">
        <v>4</v>
      </c>
      <c r="J2206" s="3"/>
      <c r="K2206" s="26">
        <v>4</v>
      </c>
      <c r="L2206" s="2">
        <v>47890</v>
      </c>
      <c r="M2206" s="2">
        <v>191560</v>
      </c>
      <c r="N2206" s="2">
        <v>191560</v>
      </c>
      <c r="O2206" s="2">
        <v>47889.5</v>
      </c>
      <c r="P2206" s="2">
        <v>-0.5</v>
      </c>
      <c r="Q2206" s="2">
        <v>-2</v>
      </c>
      <c r="R2206" s="4">
        <v>-1.0440702032804683E-5</v>
      </c>
      <c r="T2206">
        <v>318281</v>
      </c>
      <c r="U2206" s="2"/>
      <c r="W2206" s="2"/>
      <c r="X2206" s="6">
        <v>191558</v>
      </c>
      <c r="Z2206" s="86">
        <f>+((DETALLE_GD_1[[#This Row],[VALOR X UN (GD)]]-DETALLE_GD_1[[#This Row],[VALOR PPTO]])/DETALLE_GD_1[[#This Row],[VALOR PPTO]])</f>
        <v>1.0440702032804685E-5</v>
      </c>
      <c r="AA2206" s="2">
        <f>+DETALLE_GD_1[[#This Row],[VALOR PPTO]]*DETALLE_GD_1[[#This Row],[CANTIDAD RECIBIDA]]</f>
        <v>191558</v>
      </c>
      <c r="AB2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06" s="3">
        <f>+DETALLE_GD_1[[#This Row],[CANTIDAD SOLICITADA]]-DETALLE_GD_1[[#This Row],[DEVOLUCIÓN]]</f>
        <v>4</v>
      </c>
      <c r="AD2206" s="38">
        <f>+_xlfn.XLOOKUP(DETALLE_GD_1[[#This Row],[CODIGO]],PRODUCTOS[CODIGO],PRODUCTOS[DESC CORTA],"",0)</f>
        <v>0</v>
      </c>
    </row>
    <row r="2207" spans="1:30" x14ac:dyDescent="0.25">
      <c r="A2207" s="1">
        <v>46185</v>
      </c>
      <c r="B2207" s="1">
        <v>46185</v>
      </c>
      <c r="C2207" s="81" t="s">
        <v>169</v>
      </c>
      <c r="D2207" s="38">
        <v>6</v>
      </c>
      <c r="E2207" s="81" t="s">
        <v>169</v>
      </c>
      <c r="F2207">
        <v>602254</v>
      </c>
      <c r="G2207" s="81" t="s">
        <v>214</v>
      </c>
      <c r="H2207" s="81" t="s">
        <v>25</v>
      </c>
      <c r="I2207" s="3">
        <v>4</v>
      </c>
      <c r="J2207" s="3"/>
      <c r="K2207" s="26">
        <v>4</v>
      </c>
      <c r="L2207" s="2">
        <v>46060</v>
      </c>
      <c r="M2207" s="2">
        <v>184240</v>
      </c>
      <c r="N2207" s="2">
        <v>184240</v>
      </c>
      <c r="O2207" s="2">
        <v>46060</v>
      </c>
      <c r="P2207" s="2">
        <v>0</v>
      </c>
      <c r="Q2207" s="2">
        <v>0</v>
      </c>
      <c r="R2207" s="4">
        <v>0</v>
      </c>
      <c r="T2207">
        <v>318281</v>
      </c>
      <c r="U2207" s="2"/>
      <c r="W2207" s="2"/>
      <c r="X2207" s="6">
        <v>184240</v>
      </c>
      <c r="Z2207" s="86">
        <f>+((DETALLE_GD_1[[#This Row],[VALOR X UN (GD)]]-DETALLE_GD_1[[#This Row],[VALOR PPTO]])/DETALLE_GD_1[[#This Row],[VALOR PPTO]])</f>
        <v>0</v>
      </c>
      <c r="AA2207" s="2">
        <f>+DETALLE_GD_1[[#This Row],[VALOR PPTO]]*DETALLE_GD_1[[#This Row],[CANTIDAD RECIBIDA]]</f>
        <v>184240</v>
      </c>
      <c r="AB2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07" s="3">
        <f>+DETALLE_GD_1[[#This Row],[CANTIDAD SOLICITADA]]-DETALLE_GD_1[[#This Row],[DEVOLUCIÓN]]</f>
        <v>4</v>
      </c>
      <c r="AD2207" s="38">
        <f>+_xlfn.XLOOKUP(DETALLE_GD_1[[#This Row],[CODIGO]],PRODUCTOS[CODIGO],PRODUCTOS[DESC CORTA],"",0)</f>
        <v>0</v>
      </c>
    </row>
    <row r="2208" spans="1:30" x14ac:dyDescent="0.25">
      <c r="A2208" s="1">
        <v>46185</v>
      </c>
      <c r="B2208" s="1">
        <v>46185</v>
      </c>
      <c r="C2208" s="81" t="s">
        <v>169</v>
      </c>
      <c r="D2208" s="38">
        <v>6</v>
      </c>
      <c r="E2208" s="81" t="s">
        <v>169</v>
      </c>
      <c r="F2208">
        <v>2302017</v>
      </c>
      <c r="G2208" s="81" t="s">
        <v>156</v>
      </c>
      <c r="H2208" s="81" t="s">
        <v>25</v>
      </c>
      <c r="I2208" s="3">
        <v>5</v>
      </c>
      <c r="J2208" s="3"/>
      <c r="K2208" s="26">
        <v>5</v>
      </c>
      <c r="L2208" s="2">
        <v>85334</v>
      </c>
      <c r="M2208" s="2">
        <v>426670</v>
      </c>
      <c r="N2208" s="2">
        <v>426670</v>
      </c>
      <c r="O2208" s="2">
        <v>81197.881599999993</v>
      </c>
      <c r="P2208" s="2">
        <v>-4136.1184000000003</v>
      </c>
      <c r="Q2208" s="2">
        <v>-20680.592100000002</v>
      </c>
      <c r="R2208" s="4">
        <v>-5.093874791518866E-2</v>
      </c>
      <c r="T2208">
        <v>318281</v>
      </c>
      <c r="U2208" s="2"/>
      <c r="W2208" s="2"/>
      <c r="X2208" s="6">
        <v>405989.40789499989</v>
      </c>
      <c r="Z2208" s="86">
        <f>+((DETALLE_GD_1[[#This Row],[VALOR X UN (GD)]]-DETALLE_GD_1[[#This Row],[VALOR PPTO]])/DETALLE_GD_1[[#This Row],[VALOR PPTO]])</f>
        <v>5.0938747643386878E-2</v>
      </c>
      <c r="AA2208" s="2">
        <f>+DETALLE_GD_1[[#This Row],[VALOR PPTO]]*DETALLE_GD_1[[#This Row],[CANTIDAD RECIBIDA]]</f>
        <v>405989.40799999994</v>
      </c>
      <c r="AB2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08" s="3">
        <f>+DETALLE_GD_1[[#This Row],[CANTIDAD SOLICITADA]]-DETALLE_GD_1[[#This Row],[DEVOLUCIÓN]]</f>
        <v>5</v>
      </c>
      <c r="AD2208" s="38">
        <f>+_xlfn.XLOOKUP(DETALLE_GD_1[[#This Row],[CODIGO]],PRODUCTOS[CODIGO],PRODUCTOS[DESC CORTA],"",0)</f>
        <v>0</v>
      </c>
    </row>
    <row r="2209" spans="1:30" x14ac:dyDescent="0.25">
      <c r="A2209" s="1">
        <v>46185</v>
      </c>
      <c r="B2209" s="1">
        <v>46185</v>
      </c>
      <c r="C2209" s="81" t="s">
        <v>169</v>
      </c>
      <c r="D2209" s="38">
        <v>6</v>
      </c>
      <c r="E2209" s="81" t="s">
        <v>169</v>
      </c>
      <c r="F2209">
        <v>907031</v>
      </c>
      <c r="G2209" s="81" t="s">
        <v>256</v>
      </c>
      <c r="H2209" s="81" t="s">
        <v>47</v>
      </c>
      <c r="I2209" s="3">
        <v>10</v>
      </c>
      <c r="J2209" s="3"/>
      <c r="K2209" s="26">
        <v>10</v>
      </c>
      <c r="L2209" s="2">
        <v>152881.5</v>
      </c>
      <c r="M2209" s="2">
        <v>1528815</v>
      </c>
      <c r="N2209" s="2">
        <v>1528815</v>
      </c>
      <c r="O2209" s="2">
        <v>156269.1667</v>
      </c>
      <c r="P2209" s="2">
        <v>3387.6667000000002</v>
      </c>
      <c r="Q2209" s="2">
        <v>33876.666700000002</v>
      </c>
      <c r="R2209" s="4">
        <v>2.1678407450773384E-2</v>
      </c>
      <c r="T2209">
        <v>318281</v>
      </c>
      <c r="U2209" s="2"/>
      <c r="W2209" s="2"/>
      <c r="X2209" s="6">
        <v>1562691.6666700004</v>
      </c>
      <c r="Z2209" s="86">
        <f>+((DETALLE_GD_1[[#This Row],[VALOR X UN (GD)]]-DETALLE_GD_1[[#This Row],[VALOR PPTO]])/DETALLE_GD_1[[#This Row],[VALOR PPTO]])</f>
        <v>-2.1678407657369312E-2</v>
      </c>
      <c r="AA2209" s="2">
        <f>+DETALLE_GD_1[[#This Row],[VALOR PPTO]]*DETALLE_GD_1[[#This Row],[CANTIDAD RECIBIDA]]</f>
        <v>1562691.6669999999</v>
      </c>
      <c r="AB22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09" s="3">
        <f>+DETALLE_GD_1[[#This Row],[CANTIDAD SOLICITADA]]-DETALLE_GD_1[[#This Row],[DEVOLUCIÓN]]</f>
        <v>10</v>
      </c>
      <c r="AD2209" s="38" t="str">
        <f>+_xlfn.XLOOKUP(DETALLE_GD_1[[#This Row],[CODIGO]],PRODUCTOS[CODIGO],PRODUCTOS[DESC CORTA],"",0)</f>
        <v>MEMBRANA PVC</v>
      </c>
    </row>
    <row r="2210" spans="1:30" x14ac:dyDescent="0.25">
      <c r="A2210" s="1">
        <v>46185</v>
      </c>
      <c r="B2210" s="1">
        <v>46185</v>
      </c>
      <c r="C2210" s="81" t="s">
        <v>169</v>
      </c>
      <c r="D2210" s="38">
        <v>6</v>
      </c>
      <c r="E2210" s="81" t="s">
        <v>169</v>
      </c>
      <c r="F2210">
        <v>707023</v>
      </c>
      <c r="G2210" s="81" t="s">
        <v>797</v>
      </c>
      <c r="H2210" s="81" t="s">
        <v>31</v>
      </c>
      <c r="I2210" s="3">
        <v>10</v>
      </c>
      <c r="J2210" s="3"/>
      <c r="K2210" s="26">
        <v>10</v>
      </c>
      <c r="L2210" s="2">
        <v>16734.400000000001</v>
      </c>
      <c r="M2210" s="2">
        <v>167344</v>
      </c>
      <c r="N2210" s="2">
        <v>167344</v>
      </c>
      <c r="O2210" s="2"/>
      <c r="P2210" s="2"/>
      <c r="Q2210" s="2">
        <v>-167344</v>
      </c>
      <c r="R2210" s="4"/>
      <c r="T2210">
        <v>318281</v>
      </c>
      <c r="U2210" s="2"/>
      <c r="W2210" s="2"/>
      <c r="X2210" s="6" t="s">
        <v>355</v>
      </c>
      <c r="Z2210" s="86" t="e">
        <f>+((DETALLE_GD_1[[#This Row],[VALOR X UN (GD)]]-DETALLE_GD_1[[#This Row],[VALOR PPTO]])/DETALLE_GD_1[[#This Row],[VALOR PPTO]])</f>
        <v>#DIV/0!</v>
      </c>
      <c r="AA2210" s="2">
        <f>+DETALLE_GD_1[[#This Row],[VALOR PPTO]]*DETALLE_GD_1[[#This Row],[CANTIDAD RECIBIDA]]</f>
        <v>0</v>
      </c>
      <c r="AB2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10" s="3">
        <f>+DETALLE_GD_1[[#This Row],[CANTIDAD SOLICITADA]]-DETALLE_GD_1[[#This Row],[DEVOLUCIÓN]]</f>
        <v>10</v>
      </c>
      <c r="AD2210" s="38" t="str">
        <f>+_xlfn.XLOOKUP(DETALLE_GD_1[[#This Row],[CODIGO]],PRODUCTOS[CODIGO],PRODUCTOS[DESC CORTA],"",0)</f>
        <v/>
      </c>
    </row>
    <row r="2211" spans="1:30" x14ac:dyDescent="0.25">
      <c r="A2211" s="1">
        <v>46185</v>
      </c>
      <c r="B2211" s="1">
        <v>46185</v>
      </c>
      <c r="C2211" s="81" t="s">
        <v>169</v>
      </c>
      <c r="D2211" s="38">
        <v>6</v>
      </c>
      <c r="E2211" s="81" t="s">
        <v>169</v>
      </c>
      <c r="F2211">
        <v>106022</v>
      </c>
      <c r="G2211" s="81" t="s">
        <v>245</v>
      </c>
      <c r="H2211" s="81" t="s">
        <v>31</v>
      </c>
      <c r="I2211" s="3">
        <v>7</v>
      </c>
      <c r="J2211" s="3"/>
      <c r="K2211" s="26">
        <v>7</v>
      </c>
      <c r="L2211" s="2">
        <v>3800</v>
      </c>
      <c r="M2211" s="2">
        <v>26600</v>
      </c>
      <c r="N2211" s="2">
        <v>26600</v>
      </c>
      <c r="O2211" s="2">
        <v>3800.6911</v>
      </c>
      <c r="P2211" s="2">
        <v>0.69110000000000005</v>
      </c>
      <c r="Q2211" s="2">
        <v>4.8376999999999999</v>
      </c>
      <c r="R2211" s="4">
        <v>1.8183508788241479E-4</v>
      </c>
      <c r="T2211">
        <v>318281</v>
      </c>
      <c r="U2211" s="2"/>
      <c r="W2211" s="2"/>
      <c r="X2211" s="6">
        <v>26604.837693000005</v>
      </c>
      <c r="Z2211" s="86">
        <f>+((DETALLE_GD_1[[#This Row],[VALOR X UN (GD)]]-DETALLE_GD_1[[#This Row],[VALOR PPTO]])/DETALLE_GD_1[[#This Row],[VALOR PPTO]])</f>
        <v>-1.8183535094446528E-4</v>
      </c>
      <c r="AA2211" s="2">
        <f>+DETALLE_GD_1[[#This Row],[VALOR PPTO]]*DETALLE_GD_1[[#This Row],[CANTIDAD RECIBIDA]]</f>
        <v>26604.8377</v>
      </c>
      <c r="AB2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11" s="3">
        <f>+DETALLE_GD_1[[#This Row],[CANTIDAD SOLICITADA]]-DETALLE_GD_1[[#This Row],[DEVOLUCIÓN]]</f>
        <v>7</v>
      </c>
      <c r="AD2211" s="38">
        <f>+_xlfn.XLOOKUP(DETALLE_GD_1[[#This Row],[CODIGO]],PRODUCTOS[CODIGO],PRODUCTOS[DESC CORTA],"",0)</f>
        <v>0</v>
      </c>
    </row>
    <row r="2212" spans="1:30" x14ac:dyDescent="0.25">
      <c r="A2212" s="1">
        <v>46185</v>
      </c>
      <c r="B2212" s="1">
        <v>46185</v>
      </c>
      <c r="C2212" s="81" t="s">
        <v>169</v>
      </c>
      <c r="D2212" s="38">
        <v>6</v>
      </c>
      <c r="E2212" s="81" t="s">
        <v>169</v>
      </c>
      <c r="F2212">
        <v>1610023</v>
      </c>
      <c r="G2212" s="81" t="s">
        <v>351</v>
      </c>
      <c r="H2212" s="81" t="s">
        <v>28</v>
      </c>
      <c r="I2212" s="3"/>
      <c r="J2212" s="3"/>
      <c r="K2212" s="26">
        <v>0</v>
      </c>
      <c r="L2212" s="2"/>
      <c r="M2212" s="2"/>
      <c r="N2212" s="2"/>
      <c r="O2212" s="2">
        <v>2109.0585000000001</v>
      </c>
      <c r="P2212" s="2"/>
      <c r="Q2212" s="2"/>
      <c r="R2212" s="4"/>
      <c r="U2212" s="2"/>
      <c r="W2212" s="2"/>
      <c r="X2212" s="6">
        <v>0</v>
      </c>
      <c r="Z2212" s="86">
        <f>+((DETALLE_GD_1[[#This Row],[VALOR X UN (GD)]]-DETALLE_GD_1[[#This Row],[VALOR PPTO]])/DETALLE_GD_1[[#This Row],[VALOR PPTO]])</f>
        <v>-1</v>
      </c>
      <c r="AA2212" s="2">
        <f>+DETALLE_GD_1[[#This Row],[VALOR PPTO]]*DETALLE_GD_1[[#This Row],[CANTIDAD RECIBIDA]]</f>
        <v>0</v>
      </c>
      <c r="AB2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12" s="3">
        <f>+DETALLE_GD_1[[#This Row],[CANTIDAD SOLICITADA]]-DETALLE_GD_1[[#This Row],[DEVOLUCIÓN]]</f>
        <v>0</v>
      </c>
      <c r="AD2212" s="38" t="str">
        <f>+_xlfn.XLOOKUP(DETALLE_GD_1[[#This Row],[CODIGO]],PRODUCTOS[CODIGO],PRODUCTOS[DESC CORTA],"",0)</f>
        <v>TRAPOS DE ASEO</v>
      </c>
    </row>
    <row r="2213" spans="1:30" x14ac:dyDescent="0.25">
      <c r="A2213" s="1">
        <v>46185</v>
      </c>
      <c r="B2213" s="1">
        <v>46185</v>
      </c>
      <c r="C2213" s="81" t="s">
        <v>169</v>
      </c>
      <c r="D2213" s="38">
        <v>6</v>
      </c>
      <c r="E2213" s="81" t="s">
        <v>169</v>
      </c>
      <c r="F2213">
        <v>609008</v>
      </c>
      <c r="G2213" s="81" t="s">
        <v>57</v>
      </c>
      <c r="H2213" s="81" t="s">
        <v>58</v>
      </c>
      <c r="I2213" s="3"/>
      <c r="J2213" s="3"/>
      <c r="K2213" s="26">
        <v>0</v>
      </c>
      <c r="L2213" s="2"/>
      <c r="M2213" s="2"/>
      <c r="N2213" s="2"/>
      <c r="O2213" s="2">
        <v>2130.7573000000002</v>
      </c>
      <c r="P2213" s="2"/>
      <c r="Q2213" s="2"/>
      <c r="R2213" s="4"/>
      <c r="U2213" s="2"/>
      <c r="W2213" s="2"/>
      <c r="X2213" s="6">
        <v>0</v>
      </c>
      <c r="Z2213" s="86">
        <f>+((DETALLE_GD_1[[#This Row],[VALOR X UN (GD)]]-DETALLE_GD_1[[#This Row],[VALOR PPTO]])/DETALLE_GD_1[[#This Row],[VALOR PPTO]])</f>
        <v>-1</v>
      </c>
      <c r="AA2213" s="2">
        <f>+DETALLE_GD_1[[#This Row],[VALOR PPTO]]*DETALLE_GD_1[[#This Row],[CANTIDAD RECIBIDA]]</f>
        <v>0</v>
      </c>
      <c r="AB2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13" s="3">
        <f>+DETALLE_GD_1[[#This Row],[CANTIDAD SOLICITADA]]-DETALLE_GD_1[[#This Row],[DEVOLUCIÓN]]</f>
        <v>0</v>
      </c>
      <c r="AD2213" s="38" t="str">
        <f>+_xlfn.XLOOKUP(DETALLE_GD_1[[#This Row],[CODIGO]],PRODUCTOS[CODIGO],PRODUCTOS[DESC CORTA],"",0)</f>
        <v>DUCO</v>
      </c>
    </row>
    <row r="2214" spans="1:30" x14ac:dyDescent="0.25">
      <c r="A2214" s="1">
        <v>46185</v>
      </c>
      <c r="B2214" s="1">
        <v>46185</v>
      </c>
      <c r="C2214" s="81" t="s">
        <v>169</v>
      </c>
      <c r="D2214" s="38">
        <v>6</v>
      </c>
      <c r="E2214" s="81" t="s">
        <v>169</v>
      </c>
      <c r="F2214">
        <v>2508994</v>
      </c>
      <c r="G2214" s="81" t="s">
        <v>488</v>
      </c>
      <c r="H2214" s="81" t="s">
        <v>31</v>
      </c>
      <c r="I2214" s="3"/>
      <c r="J2214" s="3"/>
      <c r="K2214" s="26">
        <v>0</v>
      </c>
      <c r="L2214" s="2"/>
      <c r="M2214" s="2"/>
      <c r="N2214" s="2"/>
      <c r="O2214" s="2">
        <v>1598</v>
      </c>
      <c r="P2214" s="2"/>
      <c r="Q2214" s="2"/>
      <c r="R2214" s="4"/>
      <c r="U2214" s="2"/>
      <c r="W2214" s="2"/>
      <c r="X2214" s="6">
        <v>0</v>
      </c>
      <c r="Z2214" s="86">
        <f>+((DETALLE_GD_1[[#This Row],[VALOR X UN (GD)]]-DETALLE_GD_1[[#This Row],[VALOR PPTO]])/DETALLE_GD_1[[#This Row],[VALOR PPTO]])</f>
        <v>-1</v>
      </c>
      <c r="AA2214" s="2">
        <f>+DETALLE_GD_1[[#This Row],[VALOR PPTO]]*DETALLE_GD_1[[#This Row],[CANTIDAD RECIBIDA]]</f>
        <v>0</v>
      </c>
      <c r="AB2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14" s="3">
        <f>+DETALLE_GD_1[[#This Row],[CANTIDAD SOLICITADA]]-DETALLE_GD_1[[#This Row],[DEVOLUCIÓN]]</f>
        <v>0</v>
      </c>
      <c r="AD2214" s="38" t="str">
        <f>+_xlfn.XLOOKUP(DETALLE_GD_1[[#This Row],[CODIGO]],PRODUCTOS[CODIGO],PRODUCTOS[DESC CORTA],"",0)</f>
        <v>CUADRADILLO EXPANSION 8X</v>
      </c>
    </row>
    <row r="2215" spans="1:30" x14ac:dyDescent="0.25">
      <c r="A2215" s="1">
        <v>46185</v>
      </c>
      <c r="B2215" s="1">
        <v>46185</v>
      </c>
      <c r="C2215" s="81" t="s">
        <v>169</v>
      </c>
      <c r="D2215" s="38">
        <v>6</v>
      </c>
      <c r="E2215" s="81" t="s">
        <v>169</v>
      </c>
      <c r="F2215">
        <v>2508993</v>
      </c>
      <c r="G2215" s="81" t="s">
        <v>487</v>
      </c>
      <c r="H2215" s="81" t="s">
        <v>31</v>
      </c>
      <c r="I2215" s="3"/>
      <c r="J2215" s="3"/>
      <c r="K2215" s="26">
        <v>0</v>
      </c>
      <c r="L2215" s="2"/>
      <c r="M2215" s="2"/>
      <c r="N2215" s="2"/>
      <c r="O2215" s="2">
        <v>1410</v>
      </c>
      <c r="P2215" s="2"/>
      <c r="Q2215" s="2"/>
      <c r="R2215" s="4"/>
      <c r="U2215" s="2"/>
      <c r="W2215" s="2"/>
      <c r="X2215" s="6">
        <v>0</v>
      </c>
      <c r="Z2215" s="86">
        <f>+((DETALLE_GD_1[[#This Row],[VALOR X UN (GD)]]-DETALLE_GD_1[[#This Row],[VALOR PPTO]])/DETALLE_GD_1[[#This Row],[VALOR PPTO]])</f>
        <v>-1</v>
      </c>
      <c r="AA2215" s="2">
        <f>+DETALLE_GD_1[[#This Row],[VALOR PPTO]]*DETALLE_GD_1[[#This Row],[CANTIDAD RECIBIDA]]</f>
        <v>0</v>
      </c>
      <c r="AB2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15" s="3">
        <f>+DETALLE_GD_1[[#This Row],[CANTIDAD SOLICITADA]]-DETALLE_GD_1[[#This Row],[DEVOLUCIÓN]]</f>
        <v>0</v>
      </c>
      <c r="AD2215" s="38" t="str">
        <f>+_xlfn.XLOOKUP(DETALLE_GD_1[[#This Row],[CODIGO]],PRODUCTOS[CODIGO],PRODUCTOS[DESC CORTA],"",0)</f>
        <v>BOCALLAVE B1 800 ACCESO</v>
      </c>
    </row>
    <row r="2216" spans="1:30" x14ac:dyDescent="0.25">
      <c r="A2216" s="1">
        <v>46185</v>
      </c>
      <c r="B2216" s="1">
        <v>46185</v>
      </c>
      <c r="C2216" s="81" t="s">
        <v>169</v>
      </c>
      <c r="D2216" s="38">
        <v>6</v>
      </c>
      <c r="E2216" s="81" t="s">
        <v>169</v>
      </c>
      <c r="F2216">
        <v>2508992</v>
      </c>
      <c r="G2216" s="81" t="s">
        <v>486</v>
      </c>
      <c r="H2216" s="81" t="s">
        <v>31</v>
      </c>
      <c r="I2216" s="3"/>
      <c r="J2216" s="3"/>
      <c r="K2216" s="26">
        <v>0</v>
      </c>
      <c r="L2216" s="2"/>
      <c r="M2216" s="2"/>
      <c r="N2216" s="2"/>
      <c r="O2216" s="2">
        <v>5084</v>
      </c>
      <c r="P2216" s="2"/>
      <c r="Q2216" s="2"/>
      <c r="R2216" s="4"/>
      <c r="U2216" s="2"/>
      <c r="W2216" s="2"/>
      <c r="X2216" s="6">
        <v>0</v>
      </c>
      <c r="Z2216" s="86">
        <f>+((DETALLE_GD_1[[#This Row],[VALOR X UN (GD)]]-DETALLE_GD_1[[#This Row],[VALOR PPTO]])/DETALLE_GD_1[[#This Row],[VALOR PPTO]])</f>
        <v>-1</v>
      </c>
      <c r="AA2216" s="2">
        <f>+DETALLE_GD_1[[#This Row],[VALOR PPTO]]*DETALLE_GD_1[[#This Row],[CANTIDAD RECIBIDA]]</f>
        <v>0</v>
      </c>
      <c r="AB2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16" s="3">
        <f>+DETALLE_GD_1[[#This Row],[CANTIDAD SOLICITADA]]-DETALLE_GD_1[[#This Row],[DEVOLUCIÓN]]</f>
        <v>0</v>
      </c>
      <c r="AD2216" s="38" t="str">
        <f>+_xlfn.XLOOKUP(DETALLE_GD_1[[#This Row],[CODIGO]],PRODUCTOS[CODIGO],PRODUCTOS[DESC CORTA],"",0)</f>
        <v>MANILLA JUEGO</v>
      </c>
    </row>
    <row r="2217" spans="1:30" x14ac:dyDescent="0.25">
      <c r="A2217" s="1">
        <v>46185</v>
      </c>
      <c r="B2217" s="1">
        <v>46185</v>
      </c>
      <c r="C2217" s="81" t="s">
        <v>169</v>
      </c>
      <c r="D2217" s="38">
        <v>6</v>
      </c>
      <c r="E2217" s="81" t="s">
        <v>169</v>
      </c>
      <c r="F2217">
        <v>2508991</v>
      </c>
      <c r="G2217" s="81" t="s">
        <v>485</v>
      </c>
      <c r="H2217" s="81" t="s">
        <v>31</v>
      </c>
      <c r="I2217" s="3"/>
      <c r="J2217" s="3"/>
      <c r="K2217" s="26">
        <v>0</v>
      </c>
      <c r="L2217" s="2"/>
      <c r="M2217" s="2"/>
      <c r="N2217" s="2"/>
      <c r="O2217" s="2">
        <v>4798</v>
      </c>
      <c r="P2217" s="2"/>
      <c r="Q2217" s="2"/>
      <c r="R2217" s="4"/>
      <c r="U2217" s="2"/>
      <c r="W2217" s="2"/>
      <c r="X2217" s="6">
        <v>0</v>
      </c>
      <c r="Z2217" s="86">
        <f>+((DETALLE_GD_1[[#This Row],[VALOR X UN (GD)]]-DETALLE_GD_1[[#This Row],[VALOR PPTO]])/DETALLE_GD_1[[#This Row],[VALOR PPTO]])</f>
        <v>-1</v>
      </c>
      <c r="AA2217" s="2">
        <f>+DETALLE_GD_1[[#This Row],[VALOR PPTO]]*DETALLE_GD_1[[#This Row],[CANTIDAD RECIBIDA]]</f>
        <v>0</v>
      </c>
      <c r="AB2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17" s="3">
        <f>+DETALLE_GD_1[[#This Row],[CANTIDAD SOLICITADA]]-DETALLE_GD_1[[#This Row],[DEVOLUCIÓN]]</f>
        <v>0</v>
      </c>
      <c r="AD2217" s="38" t="str">
        <f>+_xlfn.XLOOKUP(DETALLE_GD_1[[#This Row],[CODIGO]],PRODUCTOS[CODIGO],PRODUCTOS[DESC CORTA],"",0)</f>
        <v>CILINDRO 03 LLAVE/LLAVE</v>
      </c>
    </row>
    <row r="2218" spans="1:30" x14ac:dyDescent="0.25">
      <c r="A2218" s="1">
        <v>46185</v>
      </c>
      <c r="B2218" s="1">
        <v>46185</v>
      </c>
      <c r="C2218" s="81" t="s">
        <v>169</v>
      </c>
      <c r="D2218" s="38">
        <v>6</v>
      </c>
      <c r="E2218" s="81" t="s">
        <v>169</v>
      </c>
      <c r="F2218">
        <v>2508990</v>
      </c>
      <c r="G2218" s="81" t="s">
        <v>484</v>
      </c>
      <c r="H2218" s="81" t="s">
        <v>31</v>
      </c>
      <c r="I2218" s="3"/>
      <c r="J2218" s="3"/>
      <c r="K2218" s="26">
        <v>0</v>
      </c>
      <c r="L2218" s="2"/>
      <c r="M2218" s="2"/>
      <c r="N2218" s="2"/>
      <c r="O2218" s="2">
        <v>6738</v>
      </c>
      <c r="P2218" s="2"/>
      <c r="Q2218" s="2"/>
      <c r="R2218" s="4"/>
      <c r="U2218" s="2"/>
      <c r="W2218" s="2"/>
      <c r="X2218" s="6">
        <v>0</v>
      </c>
      <c r="Z2218" s="86">
        <f>+((DETALLE_GD_1[[#This Row],[VALOR X UN (GD)]]-DETALLE_GD_1[[#This Row],[VALOR PPTO]])/DETALLE_GD_1[[#This Row],[VALOR PPTO]])</f>
        <v>-1</v>
      </c>
      <c r="AA2218" s="2">
        <f>+DETALLE_GD_1[[#This Row],[VALOR PPTO]]*DETALLE_GD_1[[#This Row],[CANTIDAD RECIBIDA]]</f>
        <v>0</v>
      </c>
      <c r="AB2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18" s="3">
        <f>+DETALLE_GD_1[[#This Row],[CANTIDAD SOLICITADA]]-DETALLE_GD_1[[#This Row],[DEVOLUCIÓN]]</f>
        <v>0</v>
      </c>
      <c r="AD2218" s="38" t="str">
        <f>+_xlfn.XLOOKUP(DETALLE_GD_1[[#This Row],[CODIGO]],PRODUCTOS[CODIGO],PRODUCTOS[DESC CORTA],"",0)</f>
        <v>CERRADURA DE EMB</v>
      </c>
    </row>
    <row r="2219" spans="1:30" x14ac:dyDescent="0.25">
      <c r="A2219" s="1">
        <v>46185</v>
      </c>
      <c r="B2219" s="1">
        <v>46185</v>
      </c>
      <c r="C2219" s="81" t="s">
        <v>169</v>
      </c>
      <c r="D2219" s="38">
        <v>6</v>
      </c>
      <c r="E2219" s="81" t="s">
        <v>169</v>
      </c>
      <c r="F2219">
        <v>1405025</v>
      </c>
      <c r="G2219" s="81" t="s">
        <v>189</v>
      </c>
      <c r="H2219" s="81" t="s">
        <v>31</v>
      </c>
      <c r="I2219" s="3"/>
      <c r="J2219" s="3"/>
      <c r="K2219" s="26">
        <v>0</v>
      </c>
      <c r="L2219" s="2"/>
      <c r="M2219" s="2"/>
      <c r="N2219" s="2"/>
      <c r="O2219" s="2">
        <v>6758.5333000000001</v>
      </c>
      <c r="P2219" s="2"/>
      <c r="Q2219" s="2"/>
      <c r="R2219" s="4"/>
      <c r="U2219" s="2"/>
      <c r="W2219" s="2"/>
      <c r="X2219" s="6">
        <v>0</v>
      </c>
      <c r="Z2219" s="86">
        <f>+((DETALLE_GD_1[[#This Row],[VALOR X UN (GD)]]-DETALLE_GD_1[[#This Row],[VALOR PPTO]])/DETALLE_GD_1[[#This Row],[VALOR PPTO]])</f>
        <v>-1</v>
      </c>
      <c r="AA2219" s="2">
        <f>+DETALLE_GD_1[[#This Row],[VALOR PPTO]]*DETALLE_GD_1[[#This Row],[CANTIDAD RECIBIDA]]</f>
        <v>0</v>
      </c>
      <c r="AB2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19" s="3">
        <f>+DETALLE_GD_1[[#This Row],[CANTIDAD SOLICITADA]]-DETALLE_GD_1[[#This Row],[DEVOLUCIÓN]]</f>
        <v>0</v>
      </c>
      <c r="AD2219" s="38">
        <f>+_xlfn.XLOOKUP(DETALLE_GD_1[[#This Row],[CODIGO]],PRODUCTOS[CODIGO],PRODUCTOS[DESC CORTA],"",0)</f>
        <v>0</v>
      </c>
    </row>
    <row r="2220" spans="1:30" x14ac:dyDescent="0.25">
      <c r="A2220" s="1">
        <v>46185</v>
      </c>
      <c r="B2220" s="1">
        <v>46185</v>
      </c>
      <c r="C2220" s="81" t="s">
        <v>169</v>
      </c>
      <c r="D2220" s="38">
        <v>6</v>
      </c>
      <c r="E2220" s="81" t="s">
        <v>169</v>
      </c>
      <c r="F2220">
        <v>1802517</v>
      </c>
      <c r="G2220" s="81" t="s">
        <v>141</v>
      </c>
      <c r="H2220" s="81" t="s">
        <v>31</v>
      </c>
      <c r="I2220" s="3"/>
      <c r="J2220" s="3"/>
      <c r="K2220" s="26">
        <v>0</v>
      </c>
      <c r="L2220" s="2"/>
      <c r="M2220" s="2"/>
      <c r="N2220" s="2"/>
      <c r="O2220" s="2">
        <v>2312</v>
      </c>
      <c r="P2220" s="2"/>
      <c r="Q2220" s="2"/>
      <c r="R2220" s="4"/>
      <c r="U2220" s="2"/>
      <c r="W2220" s="2"/>
      <c r="X2220" s="6">
        <v>0</v>
      </c>
      <c r="Z2220" s="86">
        <f>+((DETALLE_GD_1[[#This Row],[VALOR X UN (GD)]]-DETALLE_GD_1[[#This Row],[VALOR PPTO]])/DETALLE_GD_1[[#This Row],[VALOR PPTO]])</f>
        <v>-1</v>
      </c>
      <c r="AA2220" s="2">
        <f>+DETALLE_GD_1[[#This Row],[VALOR PPTO]]*DETALLE_GD_1[[#This Row],[CANTIDAD RECIBIDA]]</f>
        <v>0</v>
      </c>
      <c r="AB2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20" s="3">
        <f>+DETALLE_GD_1[[#This Row],[CANTIDAD SOLICITADA]]-DETALLE_GD_1[[#This Row],[DEVOLUCIÓN]]</f>
        <v>0</v>
      </c>
      <c r="AD2220" s="38" t="str">
        <f>+_xlfn.XLOOKUP(DETALLE_GD_1[[#This Row],[CODIGO]],PRODUCTOS[CODIGO],PRODUCTOS[DESC CORTA],"",0)</f>
        <v>CELOSIA ALUMINIO 25X25</v>
      </c>
    </row>
    <row r="2221" spans="1:30" x14ac:dyDescent="0.25">
      <c r="A2221" s="1">
        <v>46185</v>
      </c>
      <c r="B2221" s="1">
        <v>46185</v>
      </c>
      <c r="C2221" s="81" t="s">
        <v>169</v>
      </c>
      <c r="D2221" s="38">
        <v>6</v>
      </c>
      <c r="E2221" s="81" t="s">
        <v>169</v>
      </c>
      <c r="F2221">
        <v>412016</v>
      </c>
      <c r="G2221" s="81" t="s">
        <v>722</v>
      </c>
      <c r="H2221" s="81" t="s">
        <v>31</v>
      </c>
      <c r="I2221" s="3"/>
      <c r="J2221" s="3"/>
      <c r="K2221" s="26">
        <v>0</v>
      </c>
      <c r="L2221" s="2"/>
      <c r="M2221" s="2"/>
      <c r="N2221" s="2"/>
      <c r="O2221" s="2"/>
      <c r="P2221" s="2"/>
      <c r="Q2221" s="2"/>
      <c r="R2221" s="4"/>
      <c r="U2221" s="2"/>
      <c r="W2221" s="2"/>
      <c r="X2221" s="6" t="s">
        <v>355</v>
      </c>
      <c r="Z2221" s="86" t="e">
        <f>+((DETALLE_GD_1[[#This Row],[VALOR X UN (GD)]]-DETALLE_GD_1[[#This Row],[VALOR PPTO]])/DETALLE_GD_1[[#This Row],[VALOR PPTO]])</f>
        <v>#DIV/0!</v>
      </c>
      <c r="AA2221" s="2">
        <f>+DETALLE_GD_1[[#This Row],[VALOR PPTO]]*DETALLE_GD_1[[#This Row],[CANTIDAD RECIBIDA]]</f>
        <v>0</v>
      </c>
      <c r="AB2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21" s="3">
        <f>+DETALLE_GD_1[[#This Row],[CANTIDAD SOLICITADA]]-DETALLE_GD_1[[#This Row],[DEVOLUCIÓN]]</f>
        <v>0</v>
      </c>
      <c r="AD2221" s="38" t="str">
        <f>+_xlfn.XLOOKUP(DETALLE_GD_1[[#This Row],[CODIGO]],PRODUCTOS[CODIGO],PRODUCTOS[DESC CORTA],"",0)</f>
        <v/>
      </c>
    </row>
    <row r="2222" spans="1:30" x14ac:dyDescent="0.25">
      <c r="A2222" s="1"/>
      <c r="B2222" s="1"/>
      <c r="H2222" s="3"/>
      <c r="I2222" s="3"/>
      <c r="J2222" s="2"/>
      <c r="K2222" s="2"/>
      <c r="L2222" s="2"/>
      <c r="M2222" s="2"/>
      <c r="N2222" s="2"/>
      <c r="O2222" s="2"/>
      <c r="S2222" s="2"/>
      <c r="U2222" s="2"/>
      <c r="V2222" s="2"/>
      <c r="W2222" s="2"/>
      <c r="Z2222" s="2"/>
      <c r="AA2222" s="4"/>
      <c r="AB2222" s="2"/>
      <c r="AC2222" s="2"/>
      <c r="AD2222" s="3"/>
    </row>
    <row r="2223" spans="1:30" x14ac:dyDescent="0.25">
      <c r="A2223" s="1"/>
      <c r="B2223" s="1"/>
      <c r="H2223" s="3"/>
      <c r="I2223" s="3"/>
      <c r="J2223" s="2"/>
      <c r="K2223" s="2"/>
      <c r="L2223" s="2"/>
      <c r="M2223" s="2"/>
      <c r="N2223" s="2"/>
      <c r="O2223" s="2"/>
      <c r="S2223" s="2"/>
      <c r="U2223" s="2"/>
      <c r="V2223" s="2"/>
      <c r="W2223" s="2"/>
      <c r="Z2223" s="2"/>
      <c r="AA2223" s="4"/>
      <c r="AB2223" s="2"/>
      <c r="AC2223" s="2"/>
      <c r="AD2223" s="3"/>
    </row>
    <row r="2224" spans="1:30" x14ac:dyDescent="0.25">
      <c r="A2224" s="1"/>
      <c r="B2224" s="1"/>
      <c r="H2224" s="3"/>
      <c r="I2224" s="3"/>
      <c r="J2224" s="2"/>
      <c r="K2224" s="2"/>
      <c r="L2224" s="2"/>
      <c r="M2224" s="2"/>
      <c r="N2224" s="2"/>
      <c r="O2224" s="2"/>
      <c r="S2224" s="2"/>
      <c r="U2224" s="2"/>
      <c r="V2224" s="2"/>
      <c r="W2224" s="2"/>
      <c r="Z2224" s="2"/>
      <c r="AA2224" s="4"/>
      <c r="AB2224" s="2"/>
      <c r="AC2224" s="2"/>
      <c r="AD2224" s="3"/>
    </row>
    <row r="2225" spans="1:30" x14ac:dyDescent="0.25">
      <c r="A2225" s="1"/>
      <c r="B2225" s="1"/>
      <c r="H2225" s="3"/>
      <c r="I2225" s="3"/>
      <c r="J2225" s="2"/>
      <c r="K2225" s="2"/>
      <c r="L2225" s="2"/>
      <c r="M2225" s="2"/>
      <c r="N2225" s="2"/>
      <c r="O2225" s="2"/>
      <c r="S2225" s="2"/>
      <c r="U2225" s="2"/>
      <c r="V2225" s="2"/>
      <c r="W2225" s="2"/>
      <c r="Z2225" s="2"/>
      <c r="AA2225" s="4"/>
      <c r="AB2225" s="2"/>
      <c r="AC2225" s="2"/>
      <c r="AD2225" s="3"/>
    </row>
    <row r="2226" spans="1:30" x14ac:dyDescent="0.25">
      <c r="A2226" s="1"/>
      <c r="B2226" s="1"/>
      <c r="H2226" s="3"/>
      <c r="I2226" s="3"/>
      <c r="J2226" s="2"/>
      <c r="K2226" s="2"/>
      <c r="L2226" s="2"/>
      <c r="M2226" s="2"/>
      <c r="N2226" s="2"/>
      <c r="O2226" s="2"/>
      <c r="S2226" s="2"/>
      <c r="U2226" s="2"/>
      <c r="V2226" s="2"/>
      <c r="W2226" s="2"/>
      <c r="Z2226" s="2"/>
      <c r="AA2226" s="4"/>
      <c r="AB2226" s="2"/>
      <c r="AC2226" s="2"/>
      <c r="AD2226" s="3"/>
    </row>
    <row r="2227" spans="1:30" x14ac:dyDescent="0.25">
      <c r="A2227" s="1"/>
      <c r="B2227" s="1"/>
      <c r="H2227" s="3"/>
      <c r="I2227" s="3"/>
      <c r="J2227" s="2"/>
      <c r="K2227" s="2"/>
      <c r="L2227" s="2"/>
      <c r="M2227" s="2"/>
      <c r="N2227" s="2"/>
      <c r="O2227" s="2"/>
      <c r="S2227" s="2"/>
      <c r="U2227" s="2"/>
      <c r="V2227" s="2"/>
      <c r="W2227" s="2"/>
      <c r="Z2227" s="2"/>
      <c r="AA2227" s="4"/>
      <c r="AB2227" s="2"/>
      <c r="AC2227" s="2"/>
      <c r="AD2227" s="3"/>
    </row>
    <row r="2228" spans="1:30" x14ac:dyDescent="0.25">
      <c r="A2228" s="1"/>
      <c r="B2228" s="1"/>
      <c r="H2228" s="3"/>
      <c r="I2228" s="3"/>
      <c r="J2228" s="2"/>
      <c r="K2228" s="2"/>
      <c r="L2228" s="2"/>
      <c r="M2228" s="2"/>
      <c r="N2228" s="2"/>
      <c r="O2228" s="2"/>
      <c r="S2228" s="2"/>
      <c r="U2228" s="2"/>
      <c r="V2228" s="2"/>
      <c r="W2228" s="2"/>
      <c r="Z2228" s="2"/>
      <c r="AA2228" s="4"/>
      <c r="AB2228" s="2"/>
      <c r="AC2228" s="2"/>
      <c r="AD2228" s="3"/>
    </row>
    <row r="2229" spans="1:30" x14ac:dyDescent="0.25">
      <c r="A2229" s="1"/>
      <c r="B2229" s="1"/>
      <c r="H2229" s="3"/>
      <c r="I2229" s="3"/>
      <c r="J2229" s="2"/>
      <c r="K2229" s="2"/>
      <c r="L2229" s="2"/>
      <c r="M2229" s="2"/>
      <c r="N2229" s="2"/>
      <c r="O2229" s="2"/>
      <c r="S2229" s="2"/>
      <c r="U2229" s="2"/>
      <c r="V2229" s="2"/>
      <c r="W2229" s="2"/>
      <c r="Z2229" s="2"/>
      <c r="AA2229" s="4"/>
      <c r="AB2229" s="2"/>
      <c r="AC2229" s="2"/>
      <c r="AD2229" s="3"/>
    </row>
    <row r="2230" spans="1:30" x14ac:dyDescent="0.25">
      <c r="A2230" s="1"/>
      <c r="B2230" s="1"/>
      <c r="H2230" s="3"/>
      <c r="I2230" s="3"/>
      <c r="J2230" s="2"/>
      <c r="K2230" s="2"/>
      <c r="L2230" s="2"/>
      <c r="M2230" s="2"/>
      <c r="N2230" s="2"/>
      <c r="O2230" s="2"/>
      <c r="S2230" s="2"/>
      <c r="U2230" s="2"/>
      <c r="V2230" s="2"/>
      <c r="W2230" s="2"/>
      <c r="Z2230" s="2"/>
      <c r="AA2230" s="4"/>
      <c r="AB2230" s="2"/>
      <c r="AC2230" s="2"/>
      <c r="AD2230" s="3"/>
    </row>
    <row r="2231" spans="1:30" x14ac:dyDescent="0.25">
      <c r="A2231" s="1"/>
      <c r="B2231" s="1"/>
      <c r="H2231" s="3"/>
      <c r="I2231" s="3"/>
      <c r="J2231" s="2"/>
      <c r="K2231" s="2"/>
      <c r="L2231" s="2"/>
      <c r="M2231" s="2"/>
      <c r="N2231" s="2"/>
      <c r="O2231" s="2"/>
      <c r="S2231" s="2"/>
      <c r="U2231" s="2"/>
      <c r="V2231" s="2"/>
      <c r="W2231" s="2"/>
      <c r="Z2231" s="2"/>
      <c r="AA2231" s="4"/>
      <c r="AB2231" s="2"/>
      <c r="AC2231" s="2"/>
      <c r="AD2231" s="3"/>
    </row>
    <row r="2232" spans="1:30" x14ac:dyDescent="0.25">
      <c r="A2232" s="1"/>
      <c r="B2232" s="1"/>
      <c r="H2232" s="3"/>
      <c r="I2232" s="3"/>
      <c r="J2232" s="2"/>
      <c r="K2232" s="2"/>
      <c r="L2232" s="2"/>
      <c r="M2232" s="2"/>
      <c r="N2232" s="2"/>
      <c r="O2232" s="2"/>
      <c r="S2232" s="2"/>
      <c r="U2232" s="2"/>
      <c r="V2232" s="2"/>
      <c r="W2232" s="2"/>
      <c r="Z2232" s="2"/>
      <c r="AA2232" s="4"/>
      <c r="AB2232" s="2"/>
      <c r="AC2232" s="2"/>
      <c r="AD2232" s="3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0D5FB-96FD-46A1-A831-10946B8B2BB2}">
  <dimension ref="A1:J168"/>
  <sheetViews>
    <sheetView topLeftCell="A21" workbookViewId="0">
      <selection activeCell="D60" sqref="D60"/>
    </sheetView>
  </sheetViews>
  <sheetFormatPr baseColWidth="10" defaultRowHeight="15" x14ac:dyDescent="0.25"/>
  <cols>
    <col min="2" max="2" width="48.7109375" customWidth="1"/>
    <col min="3" max="3" width="64.5703125" bestFit="1" customWidth="1"/>
    <col min="4" max="4" width="12.85546875" bestFit="1" customWidth="1"/>
    <col min="6" max="6" width="15.42578125" style="2" bestFit="1" customWidth="1"/>
    <col min="7" max="7" width="20.85546875" style="2" bestFit="1" customWidth="1"/>
    <col min="9" max="10" width="12.5703125" style="2" bestFit="1" customWidth="1"/>
  </cols>
  <sheetData>
    <row r="1" spans="1:10" x14ac:dyDescent="0.25">
      <c r="A1" t="s">
        <v>2</v>
      </c>
      <c r="B1" t="s">
        <v>3</v>
      </c>
      <c r="C1" t="s">
        <v>524</v>
      </c>
      <c r="D1" t="s">
        <v>719</v>
      </c>
      <c r="E1" t="s">
        <v>738</v>
      </c>
      <c r="F1" s="2" t="s">
        <v>739</v>
      </c>
      <c r="G1" s="2" t="s">
        <v>740</v>
      </c>
      <c r="H1" t="s">
        <v>742</v>
      </c>
      <c r="I1" s="2" t="s">
        <v>743</v>
      </c>
      <c r="J1" s="2" t="s">
        <v>744</v>
      </c>
    </row>
    <row r="2" spans="1:10" x14ac:dyDescent="0.25">
      <c r="A2">
        <v>304101</v>
      </c>
      <c r="B2" t="s">
        <v>17</v>
      </c>
      <c r="C2" t="str">
        <f>+_xlfn.XLOOKUP(Tabla2[[#This Row],[CODIGO]],PRODUCTOS[CODIGO],PRODUCTOS[DESC CORTA],"",0)</f>
        <v>OSB 9.5</v>
      </c>
      <c r="D2" s="26">
        <f>+_xlfn.XLOOKUP(Tabla2[[#This Row],[CODIGO]],PRODUCTOS[CODIGO],PRODUCTOS[CANT X MODULO],"",0)</f>
        <v>47.643749999999976</v>
      </c>
      <c r="E2" s="26">
        <f>+_xlfn.XLOOKUP(Tabla2[[#This Row],[CODIGO]],Tabla4[CODIGO],Tabla4[CUBICACION PROM / MODULO (PRESUPUESTO)],"",0)</f>
        <v>45.375</v>
      </c>
      <c r="F2" s="2">
        <f>+_xlfn.XLOOKUP(Tabla2[[#This Row],[CODIGO]],PRODUCTOS[CODIGO],PRODUCTOS[PPTO_ACTUALIZADO],"",0)</f>
        <v>9657.5879500000046</v>
      </c>
      <c r="G2" s="2">
        <f>+_xlfn.XLOOKUP(Tabla2[[#This Row],[CODIGO]],PRODUCTOS[CODIGO],PRODUCTOS[PRECIO COMPRA UNITARIO],"",0)</f>
        <v>9652.5142678608627</v>
      </c>
      <c r="H2" s="5">
        <f>+IFERROR(Tabla2[[#This Row],[PRECIO PROMEDIO]]-Tabla2[[#This Row],[PRECIO PPTO]],"")</f>
        <v>-5.0736821391419653</v>
      </c>
      <c r="I2" s="2">
        <f>+IFERROR(Tabla2[[#This Row],[CUB. PPTO]]*Tabla2[[#This Row],[PRECIO PPTO]],"")</f>
        <v>460123.70589281246</v>
      </c>
      <c r="J2" s="2">
        <f>+IFERROR(Tabla2[[#This Row],[CUB. GP]]*Tabla2[[#This Row],[PRECIO PROMEDIO]],"")</f>
        <v>437982.83490418666</v>
      </c>
    </row>
    <row r="3" spans="1:10" x14ac:dyDescent="0.25">
      <c r="A3">
        <v>701040</v>
      </c>
      <c r="B3" t="s">
        <v>19</v>
      </c>
      <c r="C3" t="str">
        <f>+_xlfn.XLOOKUP(Tabla2[[#This Row],[CODIGO]],PRODUCTOS[CODIGO],PRODUCTOS[DESC CORTA],"",0)</f>
        <v>VOLCANITA RF</v>
      </c>
      <c r="D3" s="26">
        <f>+_xlfn.XLOOKUP(Tabla2[[#This Row],[CODIGO]],PRODUCTOS[CODIGO],PRODUCTOS[CANT X MODULO],"",0)</f>
        <v>4.2840000000000007</v>
      </c>
      <c r="E3" s="26">
        <f>+_xlfn.XLOOKUP(Tabla2[[#This Row],[CODIGO]],Tabla4[CODIGO],Tabla4[CUBICACION PROM / MODULO (PRESUPUESTO)],"",0)</f>
        <v>5.5</v>
      </c>
      <c r="F3" s="2">
        <f>+_xlfn.XLOOKUP(Tabla2[[#This Row],[CODIGO]],PRODUCTOS[CODIGO],PRODUCTOS[PPTO_ACTUALIZADO],"",0)</f>
        <v>7835.7259539999986</v>
      </c>
      <c r="G3" s="2">
        <f>+_xlfn.XLOOKUP(Tabla2[[#This Row],[CODIGO]],PRODUCTOS[CODIGO],PRODUCTOS[PRECIO COMPRA UNITARIO],"",0)</f>
        <v>7583.0947867298582</v>
      </c>
      <c r="H3" s="5">
        <f>+IFERROR(Tabla2[[#This Row],[PRECIO PROMEDIO]]-Tabla2[[#This Row],[PRECIO PPTO]],"")</f>
        <v>-252.63116727014039</v>
      </c>
      <c r="I3" s="2">
        <f>+IFERROR(Tabla2[[#This Row],[CUB. PPTO]]*Tabla2[[#This Row],[PRECIO PPTO]],"")</f>
        <v>33568.249986935996</v>
      </c>
      <c r="J3" s="2">
        <f>+IFERROR(Tabla2[[#This Row],[CUB. GP]]*Tabla2[[#This Row],[PRECIO PROMEDIO]],"")</f>
        <v>41707.021327014219</v>
      </c>
    </row>
    <row r="4" spans="1:10" x14ac:dyDescent="0.25">
      <c r="A4">
        <v>302044</v>
      </c>
      <c r="B4" t="s">
        <v>247</v>
      </c>
      <c r="C4" t="str">
        <f>+_xlfn.XLOOKUP(Tabla2[[#This Row],[CODIGO]],PRODUCTOS[CODIGO],PRODUCTOS[DESC CORTA],"",0)</f>
        <v>PINO 2X8X4</v>
      </c>
      <c r="D4" s="26">
        <f>+_xlfn.XLOOKUP(Tabla2[[#This Row],[CODIGO]],PRODUCTOS[CODIGO],PRODUCTOS[CANT X MODULO],"",0)</f>
        <v>35.174999999999997</v>
      </c>
      <c r="E4" s="26">
        <f>+_xlfn.XLOOKUP(Tabla2[[#This Row],[CODIGO]],Tabla4[CODIGO],Tabla4[CUBICACION PROM / MODULO (PRESUPUESTO)],"",0)</f>
        <v>35.174999999999997</v>
      </c>
      <c r="F4" s="2">
        <f>+_xlfn.XLOOKUP(Tabla2[[#This Row],[CODIGO]],PRODUCTOS[CODIGO],PRODUCTOS[PPTO_ACTUALIZADO],"",0)</f>
        <v>13725.962534</v>
      </c>
      <c r="G4" s="2">
        <f>+_xlfn.XLOOKUP(Tabla2[[#This Row],[CODIGO]],PRODUCTOS[CODIGO],PRODUCTOS[PRECIO COMPRA UNITARIO],"",0)</f>
        <v>13784.651394422312</v>
      </c>
      <c r="H4" s="5">
        <f>+IFERROR(Tabla2[[#This Row],[PRECIO PROMEDIO]]-Tabla2[[#This Row],[PRECIO PPTO]],"")</f>
        <v>58.688860422311336</v>
      </c>
      <c r="I4" s="2">
        <f>+IFERROR(Tabla2[[#This Row],[CUB. PPTO]]*Tabla2[[#This Row],[PRECIO PPTO]],"")</f>
        <v>482810.73213344999</v>
      </c>
      <c r="J4" s="2">
        <f>+IFERROR(Tabla2[[#This Row],[CUB. GP]]*Tabla2[[#This Row],[PRECIO PROMEDIO]],"")</f>
        <v>484875.11279880477</v>
      </c>
    </row>
    <row r="5" spans="1:10" x14ac:dyDescent="0.25">
      <c r="A5" t="s">
        <v>21</v>
      </c>
      <c r="B5" t="s">
        <v>22</v>
      </c>
      <c r="C5" t="str">
        <f>+_xlfn.XLOOKUP(Tabla2[[#This Row],[CODIGO]],PRODUCTOS[CODIGO],PRODUCTOS[DESC CORTA],"",0)</f>
        <v>PINO 3X8X320</v>
      </c>
      <c r="D5" s="26">
        <f>+_xlfn.XLOOKUP(Tabla2[[#This Row],[CODIGO]],PRODUCTOS[CODIGO],PRODUCTOS[CANT X MODULO],"",0)</f>
        <v>6.3000000000000007</v>
      </c>
      <c r="E5" s="26">
        <f>+_xlfn.XLOOKUP(Tabla2[[#This Row],[CODIGO]],Tabla4[CODIGO],Tabla4[CUBICACION PROM / MODULO (PRESUPUESTO)],"",0)</f>
        <v>6</v>
      </c>
      <c r="F5" s="2">
        <f>+_xlfn.XLOOKUP(Tabla2[[#This Row],[CODIGO]],PRODUCTOS[CODIGO],PRODUCTOS[PPTO_ACTUALIZADO],"",0)</f>
        <v>15359.702785000003</v>
      </c>
      <c r="G5" s="2">
        <f>+_xlfn.XLOOKUP(Tabla2[[#This Row],[CODIGO]],PRODUCTOS[CODIGO],PRODUCTOS[PRECIO COMPRA UNITARIO],"",0)</f>
        <v>15451.816831683169</v>
      </c>
      <c r="H5" s="5">
        <f>+IFERROR(Tabla2[[#This Row],[PRECIO PROMEDIO]]-Tabla2[[#This Row],[PRECIO PPTO]],"")</f>
        <v>92.114046683165725</v>
      </c>
      <c r="I5" s="2">
        <f>+IFERROR(Tabla2[[#This Row],[CUB. PPTO]]*Tabla2[[#This Row],[PRECIO PPTO]],"")</f>
        <v>96766.127545500029</v>
      </c>
      <c r="J5" s="2">
        <f>+IFERROR(Tabla2[[#This Row],[CUB. GP]]*Tabla2[[#This Row],[PRECIO PROMEDIO]],"")</f>
        <v>92710.900990099006</v>
      </c>
    </row>
    <row r="6" spans="1:10" x14ac:dyDescent="0.25">
      <c r="A6">
        <v>2302098</v>
      </c>
      <c r="B6" t="s">
        <v>24</v>
      </c>
      <c r="C6" t="str">
        <f>+_xlfn.XLOOKUP(Tabla2[[#This Row],[CODIGO]],PRODUCTOS[CODIGO],PRODUCTOS[DESC CORTA],"",0)</f>
        <v>COLA FRIA</v>
      </c>
      <c r="D6" s="26">
        <f>+_xlfn.XLOOKUP(Tabla2[[#This Row],[CODIGO]],PRODUCTOS[CODIGO],PRODUCTOS[CANT X MODULO],"",0)</f>
        <v>0.52500000000000002</v>
      </c>
      <c r="E6" s="26">
        <f>+_xlfn.XLOOKUP(Tabla2[[#This Row],[CODIGO]],Tabla4[CODIGO],Tabla4[CUBICACION PROM / MODULO (PRESUPUESTO)],"",0)</f>
        <v>0.5</v>
      </c>
      <c r="F6" s="2">
        <f>+_xlfn.XLOOKUP(Tabla2[[#This Row],[CODIGO]],PRODUCTOS[CODIGO],PRODUCTOS[PPTO_ACTUALIZADO],"",0)</f>
        <v>21212.999999999996</v>
      </c>
      <c r="G6" s="2">
        <f>+_xlfn.XLOOKUP(Tabla2[[#This Row],[CODIGO]],PRODUCTOS[CODIGO],PRODUCTOS[PRECIO COMPRA UNITARIO],"",0)</f>
        <v>21213</v>
      </c>
      <c r="H6" s="5">
        <f>+IFERROR(Tabla2[[#This Row],[PRECIO PROMEDIO]]-Tabla2[[#This Row],[PRECIO PPTO]],"")</f>
        <v>3.637978807091713E-12</v>
      </c>
      <c r="I6" s="2">
        <f>+IFERROR(Tabla2[[#This Row],[CUB. PPTO]]*Tabla2[[#This Row],[PRECIO PPTO]],"")</f>
        <v>11136.824999999999</v>
      </c>
      <c r="J6" s="2">
        <f>+IFERROR(Tabla2[[#This Row],[CUB. GP]]*Tabla2[[#This Row],[PRECIO PROMEDIO]],"")</f>
        <v>10606.5</v>
      </c>
    </row>
    <row r="7" spans="1:10" x14ac:dyDescent="0.25">
      <c r="A7">
        <v>1901008</v>
      </c>
      <c r="B7" t="s">
        <v>278</v>
      </c>
      <c r="C7" t="str">
        <f>+_xlfn.XLOOKUP(Tabla2[[#This Row],[CODIGO]],PRODUCTOS[CODIGO],PRODUCTOS[DESC CORTA],"",0)</f>
        <v>AISLAN GLASS 90MM</v>
      </c>
      <c r="D7" s="26">
        <f>+_xlfn.XLOOKUP(Tabla2[[#This Row],[CODIGO]],PRODUCTOS[CODIGO],PRODUCTOS[CANT X MODULO],"",0)</f>
        <v>62.430325650000007</v>
      </c>
      <c r="E7" s="26">
        <f>+_xlfn.XLOOKUP(Tabla2[[#This Row],[CODIGO]],Tabla4[CODIGO],Tabla4[CUBICACION PROM / MODULO (PRESUPUESTO)],"",0)</f>
        <v>59.457453000000001</v>
      </c>
      <c r="F7" s="2">
        <f>+_xlfn.XLOOKUP(Tabla2[[#This Row],[CODIGO]],PRODUCTOS[CODIGO],PRODUCTOS[PPTO_ACTUALIZADO],"",0)</f>
        <v>2112.795779</v>
      </c>
      <c r="G7" s="2">
        <f>+_xlfn.XLOOKUP(Tabla2[[#This Row],[CODIGO]],PRODUCTOS[CODIGO],PRODUCTOS[PRECIO COMPRA UNITARIO],"",0)</f>
        <v>2059.785564685033</v>
      </c>
      <c r="H7" s="5">
        <f>+IFERROR(Tabla2[[#This Row],[PRECIO PROMEDIO]]-Tabla2[[#This Row],[PRECIO PPTO]],"")</f>
        <v>-53.010214314967016</v>
      </c>
      <c r="I7" s="2">
        <f>+IFERROR(Tabla2[[#This Row],[CUB. PPTO]]*Tabla2[[#This Row],[PRECIO PPTO]],"")</f>
        <v>131902.52851491544</v>
      </c>
      <c r="J7" s="2">
        <f>+IFERROR(Tabla2[[#This Row],[CUB. GP]]*Tabla2[[#This Row],[PRECIO PROMEDIO]],"")</f>
        <v>122469.60340233881</v>
      </c>
    </row>
    <row r="8" spans="1:10" x14ac:dyDescent="0.25">
      <c r="A8">
        <v>1901505</v>
      </c>
      <c r="B8" t="s">
        <v>27</v>
      </c>
      <c r="C8" t="str">
        <f>+_xlfn.XLOOKUP(Tabla2[[#This Row],[CODIGO]],PRODUCTOS[CODIGO],PRODUCTOS[DESC CORTA],"",0)</f>
        <v>POLIETILENO</v>
      </c>
      <c r="D8" s="26">
        <f>+_xlfn.XLOOKUP(Tabla2[[#This Row],[CODIGO]],PRODUCTOS[CODIGO],PRODUCTOS[CANT X MODULO],"",0)</f>
        <v>1.2368067885117493</v>
      </c>
      <c r="E8" s="26">
        <f>+_xlfn.XLOOKUP(Tabla2[[#This Row],[CODIGO]],Tabla4[CODIGO],Tabla4[CUBICACION PROM / MODULO (PRESUPUESTO)],"",0)</f>
        <v>4.7</v>
      </c>
      <c r="F8" s="2">
        <f>+_xlfn.XLOOKUP(Tabla2[[#This Row],[CODIGO]],PRODUCTOS[CODIGO],PRODUCTOS[PPTO_ACTUALIZADO],"",0)</f>
        <v>1895</v>
      </c>
      <c r="G8" s="2">
        <f>+_xlfn.XLOOKUP(Tabla2[[#This Row],[CODIGO]],PRODUCTOS[CODIGO],PRODUCTOS[PRECIO COMPRA UNITARIO],"",0)</f>
        <v>1895</v>
      </c>
      <c r="H8" s="5">
        <f>+IFERROR(Tabla2[[#This Row],[PRECIO PROMEDIO]]-Tabla2[[#This Row],[PRECIO PPTO]],"")</f>
        <v>0</v>
      </c>
      <c r="I8" s="2">
        <f>+IFERROR(Tabla2[[#This Row],[CUB. PPTO]]*Tabla2[[#This Row],[PRECIO PPTO]],"")</f>
        <v>2343.7488642297649</v>
      </c>
      <c r="J8" s="2">
        <f>+IFERROR(Tabla2[[#This Row],[CUB. GP]]*Tabla2[[#This Row],[PRECIO PROMEDIO]],"")</f>
        <v>8906.5</v>
      </c>
    </row>
    <row r="9" spans="1:10" x14ac:dyDescent="0.25">
      <c r="A9">
        <v>407011</v>
      </c>
      <c r="B9" t="s">
        <v>30</v>
      </c>
      <c r="C9" t="str">
        <f>+_xlfn.XLOOKUP(Tabla2[[#This Row],[CODIGO]],PRODUCTOS[CODIGO],PRODUCTOS[DESC CORTA],"",0)</f>
        <v>TORNILLO SIMPSON 6"</v>
      </c>
      <c r="D9" s="26">
        <f>+_xlfn.XLOOKUP(Tabla2[[#This Row],[CODIGO]],PRODUCTOS[CODIGO],PRODUCTOS[CANT X MODULO],"",0)</f>
        <v>588</v>
      </c>
      <c r="E9" s="26">
        <f>+_xlfn.XLOOKUP(Tabla2[[#This Row],[CODIGO]],Tabla4[CODIGO],Tabla4[CUBICACION PROM / MODULO (PRESUPUESTO)],"",0)</f>
        <v>580</v>
      </c>
      <c r="F9" s="2">
        <f>+_xlfn.XLOOKUP(Tabla2[[#This Row],[CODIGO]],PRODUCTOS[CODIGO],PRODUCTOS[PPTO_ACTUALIZADO],"",0)</f>
        <v>473.17523999999992</v>
      </c>
      <c r="G9" s="2">
        <f>+_xlfn.XLOOKUP(Tabla2[[#This Row],[CODIGO]],PRODUCTOS[CODIGO],PRODUCTOS[PRECIO COMPRA UNITARIO],"",0)</f>
        <v>467.28299395999858</v>
      </c>
      <c r="H9" s="5">
        <f>+IFERROR(Tabla2[[#This Row],[PRECIO PROMEDIO]]-Tabla2[[#This Row],[PRECIO PPTO]],"")</f>
        <v>-5.8922460400013392</v>
      </c>
      <c r="I9" s="2">
        <f>+IFERROR(Tabla2[[#This Row],[CUB. PPTO]]*Tabla2[[#This Row],[PRECIO PPTO]],"")</f>
        <v>278227.04111999995</v>
      </c>
      <c r="J9" s="2">
        <f>+IFERROR(Tabla2[[#This Row],[CUB. GP]]*Tabla2[[#This Row],[PRECIO PROMEDIO]],"")</f>
        <v>271024.13649679918</v>
      </c>
    </row>
    <row r="10" spans="1:10" x14ac:dyDescent="0.25">
      <c r="A10">
        <v>304002</v>
      </c>
      <c r="B10" t="s">
        <v>37</v>
      </c>
      <c r="C10" t="str">
        <f>+_xlfn.XLOOKUP(Tabla2[[#This Row],[CODIGO]],PRODUCTOS[CODIGO],PRODUCTOS[DESC CORTA],"",0)</f>
        <v>SMARTPANEL</v>
      </c>
      <c r="D10" s="26">
        <f>+_xlfn.XLOOKUP(Tabla2[[#This Row],[CODIGO]],PRODUCTOS[CODIGO],PRODUCTOS[CANT X MODULO],"",0)</f>
        <v>23.296874999999996</v>
      </c>
      <c r="E10" s="26">
        <f>+_xlfn.XLOOKUP(Tabla2[[#This Row],[CODIGO]],Tabla4[CODIGO],Tabla4[CUBICACION PROM / MODULO (PRESUPUESTO)],"",0)</f>
        <v>22</v>
      </c>
      <c r="F10" s="2">
        <f>+_xlfn.XLOOKUP(Tabla2[[#This Row],[CODIGO]],PRODUCTOS[CODIGO],PRODUCTOS[PPTO_ACTUALIZADO],"",0)</f>
        <v>21246.507152999999</v>
      </c>
      <c r="G10" s="2">
        <f>+_xlfn.XLOOKUP(Tabla2[[#This Row],[CODIGO]],PRODUCTOS[CODIGO],PRODUCTOS[PRECIO COMPRA UNITARIO],"",0)</f>
        <v>21579.067512460355</v>
      </c>
      <c r="H10" s="5">
        <f>+IFERROR(Tabla2[[#This Row],[PRECIO PROMEDIO]]-Tabla2[[#This Row],[PRECIO PPTO]],"")</f>
        <v>332.56035946035627</v>
      </c>
      <c r="I10" s="2">
        <f>+IFERROR(Tabla2[[#This Row],[CUB. PPTO]]*Tabla2[[#This Row],[PRECIO PPTO]],"")</f>
        <v>494977.22133004677</v>
      </c>
      <c r="J10" s="2">
        <f>+IFERROR(Tabla2[[#This Row],[CUB. GP]]*Tabla2[[#This Row],[PRECIO PROMEDIO]],"")</f>
        <v>474739.4852741278</v>
      </c>
    </row>
    <row r="11" spans="1:10" x14ac:dyDescent="0.25">
      <c r="A11">
        <v>701084</v>
      </c>
      <c r="B11" t="s">
        <v>38</v>
      </c>
      <c r="C11" t="str">
        <f>+_xlfn.XLOOKUP(Tabla2[[#This Row],[CODIGO]],PRODUCTOS[CODIGO],PRODUCTOS[DESC CORTA],"",0)</f>
        <v>FIBROCEMENTO BALCON</v>
      </c>
      <c r="D11" s="26">
        <f>+_xlfn.XLOOKUP(Tabla2[[#This Row],[CODIGO]],PRODUCTOS[CODIGO],PRODUCTOS[CANT X MODULO],"",0)</f>
        <v>0.69825000000000004</v>
      </c>
      <c r="E11" s="26">
        <f>+_xlfn.XLOOKUP(Tabla2[[#This Row],[CODIGO]],Tabla4[CODIGO],Tabla4[CUBICACION PROM / MODULO (PRESUPUESTO)],"",0)</f>
        <v>1.33</v>
      </c>
      <c r="F11" s="2">
        <f>+_xlfn.XLOOKUP(Tabla2[[#This Row],[CODIGO]],PRODUCTOS[CODIGO],PRODUCTOS[PPTO_ACTUALIZADO],"",0)</f>
        <v>38182.916666999998</v>
      </c>
      <c r="G11" s="2">
        <f>+_xlfn.XLOOKUP(Tabla2[[#This Row],[CODIGO]],PRODUCTOS[CODIGO],PRODUCTOS[PRECIO COMPRA UNITARIO],"",0)</f>
        <v>39170.619565217392</v>
      </c>
      <c r="H11" s="5">
        <f>+IFERROR(Tabla2[[#This Row],[PRECIO PROMEDIO]]-Tabla2[[#This Row],[PRECIO PPTO]],"")</f>
        <v>987.70289821739425</v>
      </c>
      <c r="I11" s="2">
        <f>+IFERROR(Tabla2[[#This Row],[CUB. PPTO]]*Tabla2[[#This Row],[PRECIO PPTO]],"")</f>
        <v>26661.22156273275</v>
      </c>
      <c r="J11" s="2">
        <f>+IFERROR(Tabla2[[#This Row],[CUB. GP]]*Tabla2[[#This Row],[PRECIO PROMEDIO]],"")</f>
        <v>52096.924021739134</v>
      </c>
    </row>
    <row r="12" spans="1:10" x14ac:dyDescent="0.25">
      <c r="A12">
        <v>1901038</v>
      </c>
      <c r="B12" t="s">
        <v>39</v>
      </c>
      <c r="C12" t="str">
        <f>+_xlfn.XLOOKUP(Tabla2[[#This Row],[CODIGO]],PRODUCTOS[CODIGO],PRODUCTOS[DESC CORTA],"",0)</f>
        <v>AISLAN ROCA 90MM</v>
      </c>
      <c r="D12" s="26">
        <f>+_xlfn.XLOOKUP(Tabla2[[#This Row],[CODIGO]],PRODUCTOS[CODIGO],PRODUCTOS[CANT X MODULO],"",0)</f>
        <v>40.010249999999999</v>
      </c>
      <c r="E12" s="26">
        <f>+_xlfn.XLOOKUP(Tabla2[[#This Row],[CODIGO]],Tabla4[CODIGO],Tabla4[CUBICACION PROM / MODULO (PRESUPUESTO)],"",0)</f>
        <v>16.199999999999996</v>
      </c>
      <c r="F12" s="2">
        <f>+_xlfn.XLOOKUP(Tabla2[[#This Row],[CODIGO]],PRODUCTOS[CODIGO],PRODUCTOS[PPTO_ACTUALIZADO],"",0)</f>
        <v>4197.417875000001</v>
      </c>
      <c r="G12" s="2">
        <f>+_xlfn.XLOOKUP(Tabla2[[#This Row],[CODIGO]],PRODUCTOS[CODIGO],PRODUCTOS[PRECIO COMPRA UNITARIO],"",0)</f>
        <v>4583.1864057672501</v>
      </c>
      <c r="H12" s="5">
        <f>+IFERROR(Tabla2[[#This Row],[PRECIO PROMEDIO]]-Tabla2[[#This Row],[PRECIO PPTO]],"")</f>
        <v>385.7685307672491</v>
      </c>
      <c r="I12" s="2">
        <f>+IFERROR(Tabla2[[#This Row],[CUB. PPTO]]*Tabla2[[#This Row],[PRECIO PPTO]],"")</f>
        <v>167939.7385332188</v>
      </c>
      <c r="J12" s="2">
        <f>+IFERROR(Tabla2[[#This Row],[CUB. GP]]*Tabla2[[#This Row],[PRECIO PROMEDIO]],"")</f>
        <v>74247.619773429426</v>
      </c>
    </row>
    <row r="13" spans="1:10" x14ac:dyDescent="0.25">
      <c r="A13">
        <v>412280</v>
      </c>
      <c r="B13" t="s">
        <v>40</v>
      </c>
      <c r="C13" t="str">
        <f>+_xlfn.XLOOKUP(Tabla2[[#This Row],[CODIGO]],PRODUCTOS[CODIGO],PRODUCTOS[DESC CORTA],"",0)</f>
        <v>PB2</v>
      </c>
      <c r="D13" s="26">
        <f>+_xlfn.XLOOKUP(Tabla2[[#This Row],[CODIGO]],PRODUCTOS[CODIGO],PRODUCTOS[CANT X MODULO],"",0)</f>
        <v>7.875</v>
      </c>
      <c r="E13" s="26">
        <f>+_xlfn.XLOOKUP(Tabla2[[#This Row],[CODIGO]],Tabla4[CODIGO],Tabla4[CUBICACION PROM / MODULO (PRESUPUESTO)],"",0)</f>
        <v>8.5</v>
      </c>
      <c r="F13" s="2">
        <f>+_xlfn.XLOOKUP(Tabla2[[#This Row],[CODIGO]],PRODUCTOS[CODIGO],PRODUCTOS[PPTO_ACTUALIZADO],"",0)</f>
        <v>40002.920093000001</v>
      </c>
      <c r="G13" s="2">
        <f>+_xlfn.XLOOKUP(Tabla2[[#This Row],[CODIGO]],PRODUCTOS[CODIGO],PRODUCTOS[PRECIO COMPRA UNITARIO],"",0)</f>
        <v>39215.45739348371</v>
      </c>
      <c r="H13" s="5">
        <f>+IFERROR(Tabla2[[#This Row],[PRECIO PROMEDIO]]-Tabla2[[#This Row],[PRECIO PPTO]],"")</f>
        <v>-787.46269951629074</v>
      </c>
      <c r="I13" s="2">
        <f>+IFERROR(Tabla2[[#This Row],[CUB. PPTO]]*Tabla2[[#This Row],[PRECIO PPTO]],"")</f>
        <v>315022.99573237501</v>
      </c>
      <c r="J13" s="2">
        <f>+IFERROR(Tabla2[[#This Row],[CUB. GP]]*Tabla2[[#This Row],[PRECIO PROMEDIO]],"")</f>
        <v>333331.38784461154</v>
      </c>
    </row>
    <row r="14" spans="1:10" x14ac:dyDescent="0.25">
      <c r="A14">
        <v>412260</v>
      </c>
      <c r="B14" t="s">
        <v>41</v>
      </c>
      <c r="C14" t="str">
        <f>+_xlfn.XLOOKUP(Tabla2[[#This Row],[CODIGO]],PRODUCTOS[CODIGO],PRODUCTOS[DESC CORTA],"",0)</f>
        <v>PB1</v>
      </c>
      <c r="D14" s="26">
        <f>+_xlfn.XLOOKUP(Tabla2[[#This Row],[CODIGO]],PRODUCTOS[CODIGO],PRODUCTOS[CANT X MODULO],"",0)</f>
        <v>5.7750000000000004</v>
      </c>
      <c r="E14" s="26">
        <f>+_xlfn.XLOOKUP(Tabla2[[#This Row],[CODIGO]],Tabla4[CODIGO],Tabla4[CUBICACION PROM / MODULO (PRESUPUESTO)],"",0)</f>
        <v>10</v>
      </c>
      <c r="F14" s="2">
        <f>+_xlfn.XLOOKUP(Tabla2[[#This Row],[CODIGO]],PRODUCTOS[CODIGO],PRODUCTOS[PPTO_ACTUALIZADO],"",0)</f>
        <v>87567.442477999983</v>
      </c>
      <c r="G14" s="2">
        <f>+_xlfn.XLOOKUP(Tabla2[[#This Row],[CODIGO]],PRODUCTOS[CODIGO],PRODUCTOS[PRECIO COMPRA UNITARIO],"",0)</f>
        <v>86902.215447154478</v>
      </c>
      <c r="H14" s="5">
        <f>+IFERROR(Tabla2[[#This Row],[PRECIO PROMEDIO]]-Tabla2[[#This Row],[PRECIO PPTO]],"")</f>
        <v>-665.22703084550449</v>
      </c>
      <c r="I14" s="2">
        <f>+IFERROR(Tabla2[[#This Row],[CUB. PPTO]]*Tabla2[[#This Row],[PRECIO PPTO]],"")</f>
        <v>505701.98031044996</v>
      </c>
      <c r="J14" s="2">
        <f>+IFERROR(Tabla2[[#This Row],[CUB. GP]]*Tabla2[[#This Row],[PRECIO PROMEDIO]],"")</f>
        <v>869022.15447154478</v>
      </c>
    </row>
    <row r="15" spans="1:10" x14ac:dyDescent="0.25">
      <c r="A15">
        <v>407185</v>
      </c>
      <c r="B15" t="s">
        <v>43</v>
      </c>
      <c r="C15">
        <f>+_xlfn.XLOOKUP(Tabla2[[#This Row],[CODIGO]],PRODUCTOS[CODIGO],PRODUCTOS[DESC CORTA],"",0)</f>
        <v>0</v>
      </c>
      <c r="D15" s="26">
        <f>+_xlfn.XLOOKUP(Tabla2[[#This Row],[CODIGO]],PRODUCTOS[CODIGO],PRODUCTOS[CANT X MODULO],"",0)</f>
        <v>966</v>
      </c>
      <c r="E15" s="26">
        <f>+_xlfn.XLOOKUP(Tabla2[[#This Row],[CODIGO]],Tabla4[CODIGO],Tabla4[CUBICACION PROM / MODULO (PRESUPUESTO)],"",0)</f>
        <v>920</v>
      </c>
      <c r="F15" s="2">
        <f>+_xlfn.XLOOKUP(Tabla2[[#This Row],[CODIGO]],PRODUCTOS[CODIGO],PRODUCTOS[PPTO_ACTUALIZADO],"",0)</f>
        <v>6.8783200000000004</v>
      </c>
      <c r="G15" s="2">
        <f>+_xlfn.XLOOKUP(Tabla2[[#This Row],[CODIGO]],PRODUCTOS[CODIGO],PRODUCTOS[PRECIO COMPRA UNITARIO],"",0)</f>
        <v>6.5064453038182872</v>
      </c>
      <c r="H15" s="5">
        <f>+IFERROR(Tabla2[[#This Row],[PRECIO PROMEDIO]]-Tabla2[[#This Row],[PRECIO PPTO]],"")</f>
        <v>-0.3718746961817132</v>
      </c>
      <c r="I15" s="2">
        <f>+IFERROR(Tabla2[[#This Row],[CUB. PPTO]]*Tabla2[[#This Row],[PRECIO PPTO]],"")</f>
        <v>6644.45712</v>
      </c>
      <c r="J15" s="2">
        <f>+IFERROR(Tabla2[[#This Row],[CUB. GP]]*Tabla2[[#This Row],[PRECIO PROMEDIO]],"")</f>
        <v>5985.9296795128239</v>
      </c>
    </row>
    <row r="16" spans="1:10" x14ac:dyDescent="0.25">
      <c r="A16">
        <v>1703006</v>
      </c>
      <c r="B16" t="s">
        <v>48</v>
      </c>
      <c r="C16" t="str">
        <f>+_xlfn.XLOOKUP(Tabla2[[#This Row],[CODIGO]],PRODUCTOS[CODIGO],PRODUCTOS[DESC CORTA],"",0)</f>
        <v>SIFON LAVAPLATO</v>
      </c>
      <c r="D16" s="26">
        <f>+_xlfn.XLOOKUP(Tabla2[[#This Row],[CODIGO]],PRODUCTOS[CODIGO],PRODUCTOS[CANT X MODULO],"",0)</f>
        <v>0.52500000000000002</v>
      </c>
      <c r="E16" s="26">
        <f>+_xlfn.XLOOKUP(Tabla2[[#This Row],[CODIGO]],Tabla4[CODIGO],Tabla4[CUBICACION PROM / MODULO (PRESUPUESTO)],"",0)</f>
        <v>1</v>
      </c>
      <c r="F16" s="2">
        <f>+_xlfn.XLOOKUP(Tabla2[[#This Row],[CODIGO]],PRODUCTOS[CODIGO],PRODUCTOS[PPTO_ACTUALIZADO],"",0)</f>
        <v>1662</v>
      </c>
      <c r="G16" s="2">
        <f>+_xlfn.XLOOKUP(Tabla2[[#This Row],[CODIGO]],PRODUCTOS[CODIGO],PRODUCTOS[PRECIO COMPRA UNITARIO],"",0)</f>
        <v>1662.2727272727273</v>
      </c>
      <c r="H16" s="5">
        <f>+IFERROR(Tabla2[[#This Row],[PRECIO PROMEDIO]]-Tabla2[[#This Row],[PRECIO PPTO]],"")</f>
        <v>0.27272727272725206</v>
      </c>
      <c r="I16" s="2">
        <f>+IFERROR(Tabla2[[#This Row],[CUB. PPTO]]*Tabla2[[#This Row],[PRECIO PPTO]],"")</f>
        <v>872.55000000000007</v>
      </c>
      <c r="J16" s="2">
        <f>+IFERROR(Tabla2[[#This Row],[CUB. GP]]*Tabla2[[#This Row],[PRECIO PROMEDIO]],"")</f>
        <v>1662.2727272727273</v>
      </c>
    </row>
    <row r="17" spans="1:10" x14ac:dyDescent="0.25">
      <c r="A17">
        <v>1801229</v>
      </c>
      <c r="B17" t="s">
        <v>259</v>
      </c>
      <c r="C17" t="str">
        <f>+_xlfn.XLOOKUP(Tabla2[[#This Row],[CODIGO]],PRODUCTOS[CODIGO],PRODUCTOS[DESC CORTA],"",0)</f>
        <v>KIT DESAGUE TINA</v>
      </c>
      <c r="D17" s="26">
        <f>+_xlfn.XLOOKUP(Tabla2[[#This Row],[CODIGO]],PRODUCTOS[CODIGO],PRODUCTOS[CANT X MODULO],"",0)</f>
        <v>0.52500000000000002</v>
      </c>
      <c r="E17" s="26">
        <f>+_xlfn.XLOOKUP(Tabla2[[#This Row],[CODIGO]],Tabla4[CODIGO],Tabla4[CUBICACION PROM / MODULO (PRESUPUESTO)],"",0)</f>
        <v>1</v>
      </c>
      <c r="F17" s="2">
        <f>+_xlfn.XLOOKUP(Tabla2[[#This Row],[CODIGO]],PRODUCTOS[CODIGO],PRODUCTOS[PPTO_ACTUALIZADO],"",0)</f>
        <v>4675.5185190000002</v>
      </c>
      <c r="G17" s="2">
        <f>+_xlfn.XLOOKUP(Tabla2[[#This Row],[CODIGO]],PRODUCTOS[CODIGO],PRODUCTOS[PRECIO COMPRA UNITARIO],"",0)</f>
        <v>5082.46875</v>
      </c>
      <c r="H17" s="5">
        <f>+IFERROR(Tabla2[[#This Row],[PRECIO PROMEDIO]]-Tabla2[[#This Row],[PRECIO PPTO]],"")</f>
        <v>406.9502309999998</v>
      </c>
      <c r="I17" s="2">
        <f>+IFERROR(Tabla2[[#This Row],[CUB. PPTO]]*Tabla2[[#This Row],[PRECIO PPTO]],"")</f>
        <v>2454.647222475</v>
      </c>
      <c r="J17" s="2">
        <f>+IFERROR(Tabla2[[#This Row],[CUB. GP]]*Tabla2[[#This Row],[PRECIO PROMEDIO]],"")</f>
        <v>5082.46875</v>
      </c>
    </row>
    <row r="18" spans="1:10" x14ac:dyDescent="0.25">
      <c r="A18">
        <v>1801230</v>
      </c>
      <c r="B18" t="s">
        <v>51</v>
      </c>
      <c r="C18" t="str">
        <f>+_xlfn.XLOOKUP(Tabla2[[#This Row],[CODIGO]],PRODUCTOS[CODIGO],PRODUCTOS[DESC CORTA],"",0)</f>
        <v>SOPORTE TINA</v>
      </c>
      <c r="D18" s="26">
        <f>+_xlfn.XLOOKUP(Tabla2[[#This Row],[CODIGO]],PRODUCTOS[CODIGO],PRODUCTOS[CANT X MODULO],"",0)</f>
        <v>0.52500000000000002</v>
      </c>
      <c r="E18" s="26">
        <f>+_xlfn.XLOOKUP(Tabla2[[#This Row],[CODIGO]],Tabla4[CODIGO],Tabla4[CUBICACION PROM / MODULO (PRESUPUESTO)],"",0)</f>
        <v>1</v>
      </c>
      <c r="F18" s="2">
        <f>+_xlfn.XLOOKUP(Tabla2[[#This Row],[CODIGO]],PRODUCTOS[CODIGO],PRODUCTOS[PPTO_ACTUALIZADO],"",0)</f>
        <v>9309.8461540000008</v>
      </c>
      <c r="G18" s="2">
        <f>+_xlfn.XLOOKUP(Tabla2[[#This Row],[CODIGO]],PRODUCTOS[CODIGO],PRODUCTOS[PRECIO COMPRA UNITARIO],"",0)</f>
        <v>3711.9497206703909</v>
      </c>
      <c r="H18" s="5">
        <f>+IFERROR(Tabla2[[#This Row],[PRECIO PROMEDIO]]-Tabla2[[#This Row],[PRECIO PPTO]],"")</f>
        <v>-5597.8964333296099</v>
      </c>
      <c r="I18" s="2">
        <f>+IFERROR(Tabla2[[#This Row],[CUB. PPTO]]*Tabla2[[#This Row],[PRECIO PPTO]],"")</f>
        <v>4887.6692308500005</v>
      </c>
      <c r="J18" s="2">
        <f>+IFERROR(Tabla2[[#This Row],[CUB. GP]]*Tabla2[[#This Row],[PRECIO PROMEDIO]],"")</f>
        <v>3711.9497206703909</v>
      </c>
    </row>
    <row r="19" spans="1:10" x14ac:dyDescent="0.25">
      <c r="A19">
        <v>4212234</v>
      </c>
      <c r="B19" t="s">
        <v>54</v>
      </c>
      <c r="C19" t="str">
        <f>+_xlfn.XLOOKUP(Tabla2[[#This Row],[CODIGO]],PRODUCTOS[CODIGO],PRODUCTOS[DESC CORTA],"",0)</f>
        <v>BARANDA BALCON</v>
      </c>
      <c r="D19" s="26">
        <f>+_xlfn.XLOOKUP(Tabla2[[#This Row],[CODIGO]],PRODUCTOS[CODIGO],PRODUCTOS[CANT X MODULO],"",0)</f>
        <v>0.52500000000000002</v>
      </c>
      <c r="E19" s="26">
        <f>+_xlfn.XLOOKUP(Tabla2[[#This Row],[CODIGO]],Tabla4[CODIGO],Tabla4[CUBICACION PROM / MODULO (PRESUPUESTO)],"",0)</f>
        <v>1</v>
      </c>
      <c r="F19" s="2">
        <f>+_xlfn.XLOOKUP(Tabla2[[#This Row],[CODIGO]],PRODUCTOS[CODIGO],PRODUCTOS[PPTO_ACTUALIZADO],"",0)</f>
        <v>124909</v>
      </c>
      <c r="G19" s="2">
        <f>+_xlfn.XLOOKUP(Tabla2[[#This Row],[CODIGO]],PRODUCTOS[CODIGO],PRODUCTOS[PRECIO COMPRA UNITARIO],"",0)</f>
        <v>127380.59375</v>
      </c>
      <c r="H19" s="5">
        <f>+IFERROR(Tabla2[[#This Row],[PRECIO PROMEDIO]]-Tabla2[[#This Row],[PRECIO PPTO]],"")</f>
        <v>2471.59375</v>
      </c>
      <c r="I19" s="2">
        <f>+IFERROR(Tabla2[[#This Row],[CUB. PPTO]]*Tabla2[[#This Row],[PRECIO PPTO]],"")</f>
        <v>65577.225000000006</v>
      </c>
      <c r="J19" s="2">
        <f>+IFERROR(Tabla2[[#This Row],[CUB. GP]]*Tabla2[[#This Row],[PRECIO PROMEDIO]],"")</f>
        <v>127380.59375</v>
      </c>
    </row>
    <row r="20" spans="1:10" x14ac:dyDescent="0.25">
      <c r="A20">
        <v>5316507</v>
      </c>
      <c r="B20" t="s">
        <v>55</v>
      </c>
      <c r="C20" t="str">
        <f>+_xlfn.XLOOKUP(Tabla2[[#This Row],[CODIGO]],PRODUCTOS[CODIGO],PRODUCTOS[DESC CORTA],"",0)</f>
        <v>MUEBLE LAVAPLATOS</v>
      </c>
      <c r="D20" s="26">
        <f>+_xlfn.XLOOKUP(Tabla2[[#This Row],[CODIGO]],PRODUCTOS[CODIGO],PRODUCTOS[CANT X MODULO],"",0)</f>
        <v>0.52500000000000002</v>
      </c>
      <c r="E20" s="26">
        <f>+_xlfn.XLOOKUP(Tabla2[[#This Row],[CODIGO]],Tabla4[CODIGO],Tabla4[CUBICACION PROM / MODULO (PRESUPUESTO)],"",0)</f>
        <v>1</v>
      </c>
      <c r="F20" s="2">
        <f>+_xlfn.XLOOKUP(Tabla2[[#This Row],[CODIGO]],PRODUCTOS[CODIGO],PRODUCTOS[PPTO_ACTUALIZADO],"",0)</f>
        <v>41419.666666999998</v>
      </c>
      <c r="G20" s="2">
        <f>+_xlfn.XLOOKUP(Tabla2[[#This Row],[CODIGO]],PRODUCTOS[CODIGO],PRODUCTOS[PRECIO COMPRA UNITARIO],"",0)</f>
        <v>41414.896551724138</v>
      </c>
      <c r="H20" s="5">
        <f>+IFERROR(Tabla2[[#This Row],[PRECIO PROMEDIO]]-Tabla2[[#This Row],[PRECIO PPTO]],"")</f>
        <v>-4.7701152758600074</v>
      </c>
      <c r="I20" s="2">
        <f>+IFERROR(Tabla2[[#This Row],[CUB. PPTO]]*Tabla2[[#This Row],[PRECIO PPTO]],"")</f>
        <v>21745.325000174998</v>
      </c>
      <c r="J20" s="2">
        <f>+IFERROR(Tabla2[[#This Row],[CUB. GP]]*Tabla2[[#This Row],[PRECIO PROMEDIO]],"")</f>
        <v>41414.896551724138</v>
      </c>
    </row>
    <row r="21" spans="1:10" x14ac:dyDescent="0.25">
      <c r="A21">
        <v>5316509</v>
      </c>
      <c r="B21" t="s">
        <v>56</v>
      </c>
      <c r="C21" t="str">
        <f>+_xlfn.XLOOKUP(Tabla2[[#This Row],[CODIGO]],PRODUCTOS[CODIGO],PRODUCTOS[DESC CORTA],"",0)</f>
        <v>LAVAPLATOS</v>
      </c>
      <c r="D21" s="26">
        <f>+_xlfn.XLOOKUP(Tabla2[[#This Row],[CODIGO]],PRODUCTOS[CODIGO],PRODUCTOS[CANT X MODULO],"",0)</f>
        <v>0.52500000000000002</v>
      </c>
      <c r="E21" s="26">
        <f>+_xlfn.XLOOKUP(Tabla2[[#This Row],[CODIGO]],Tabla4[CODIGO],Tabla4[CUBICACION PROM / MODULO (PRESUPUESTO)],"",0)</f>
        <v>1</v>
      </c>
      <c r="F21" s="2">
        <f>+_xlfn.XLOOKUP(Tabla2[[#This Row],[CODIGO]],PRODUCTOS[CODIGO],PRODUCTOS[PPTO_ACTUALIZADO],"",0)</f>
        <v>15433.333333</v>
      </c>
      <c r="G21" s="2">
        <f>+_xlfn.XLOOKUP(Tabla2[[#This Row],[CODIGO]],PRODUCTOS[CODIGO],PRODUCTOS[PRECIO COMPRA UNITARIO],"",0)</f>
        <v>14615.5625</v>
      </c>
      <c r="H21" s="5">
        <f>+IFERROR(Tabla2[[#This Row],[PRECIO PROMEDIO]]-Tabla2[[#This Row],[PRECIO PPTO]],"")</f>
        <v>-817.77083300000049</v>
      </c>
      <c r="I21" s="2">
        <f>+IFERROR(Tabla2[[#This Row],[CUB. PPTO]]*Tabla2[[#This Row],[PRECIO PPTO]],"")</f>
        <v>8102.4999998250005</v>
      </c>
      <c r="J21" s="2">
        <f>+IFERROR(Tabla2[[#This Row],[CUB. GP]]*Tabla2[[#This Row],[PRECIO PROMEDIO]],"")</f>
        <v>14615.5625</v>
      </c>
    </row>
    <row r="22" spans="1:10" x14ac:dyDescent="0.25">
      <c r="A22">
        <v>609008</v>
      </c>
      <c r="B22" t="s">
        <v>57</v>
      </c>
      <c r="C22" t="str">
        <f>+_xlfn.XLOOKUP(Tabla2[[#This Row],[CODIGO]],PRODUCTOS[CODIGO],PRODUCTOS[DESC CORTA],"",0)</f>
        <v>DUCO</v>
      </c>
      <c r="D22" s="26" t="str">
        <f>+_xlfn.XLOOKUP(Tabla2[[#This Row],[CODIGO]],PRODUCTOS[CODIGO],PRODUCTOS[CANT X MODULO],"",0)</f>
        <v/>
      </c>
      <c r="E22" s="26">
        <f>+_xlfn.XLOOKUP(Tabla2[[#This Row],[CODIGO]],Tabla4[CODIGO],Tabla4[CUBICACION PROM / MODULO (PRESUPUESTO)],"",0)</f>
        <v>1</v>
      </c>
      <c r="F22" s="2" t="str">
        <f>+_xlfn.XLOOKUP(Tabla2[[#This Row],[CODIGO]],PRODUCTOS[CODIGO],PRODUCTOS[PPTO_ACTUALIZADO],"",0)</f>
        <v/>
      </c>
      <c r="G22" s="2">
        <f>+_xlfn.XLOOKUP(Tabla2[[#This Row],[CODIGO]],PRODUCTOS[CODIGO],PRODUCTOS[PRECIO COMPRA UNITARIO],"",0)</f>
        <v>2171.7029702970299</v>
      </c>
      <c r="H22" s="5" t="str">
        <f>+IFERROR(Tabla2[[#This Row],[PRECIO PROMEDIO]]-Tabla2[[#This Row],[PRECIO PPTO]],"")</f>
        <v/>
      </c>
      <c r="I22" s="2" t="str">
        <f>+IFERROR(Tabla2[[#This Row],[CUB. PPTO]]*Tabla2[[#This Row],[PRECIO PPTO]],"")</f>
        <v/>
      </c>
      <c r="J22" s="2">
        <f>+IFERROR(Tabla2[[#This Row],[CUB. GP]]*Tabla2[[#This Row],[PRECIO PROMEDIO]],"")</f>
        <v>2171.7029702970299</v>
      </c>
    </row>
    <row r="23" spans="1:10" x14ac:dyDescent="0.25">
      <c r="A23">
        <v>1610023</v>
      </c>
      <c r="B23" t="s">
        <v>351</v>
      </c>
      <c r="C23" t="str">
        <f>+_xlfn.XLOOKUP(Tabla2[[#This Row],[CODIGO]],PRODUCTOS[CODIGO],PRODUCTOS[DESC CORTA],"",0)</f>
        <v>TRAPOS DE ASEO</v>
      </c>
      <c r="D23" s="26" t="str">
        <f>+_xlfn.XLOOKUP(Tabla2[[#This Row],[CODIGO]],PRODUCTOS[CODIGO],PRODUCTOS[CANT X MODULO],"",0)</f>
        <v/>
      </c>
      <c r="E23" s="26">
        <f>+_xlfn.XLOOKUP(Tabla2[[#This Row],[CODIGO]],Tabla4[CODIGO],Tabla4[CUBICACION PROM / MODULO (PRESUPUESTO)],"",0)</f>
        <v>0.5</v>
      </c>
      <c r="F23" s="2" t="str">
        <f>+_xlfn.XLOOKUP(Tabla2[[#This Row],[CODIGO]],PRODUCTOS[CODIGO],PRODUCTOS[PPTO_ACTUALIZADO],"",0)</f>
        <v/>
      </c>
      <c r="G23" s="2">
        <f>+_xlfn.XLOOKUP(Tabla2[[#This Row],[CODIGO]],PRODUCTOS[CODIGO],PRODUCTOS[PRECIO COMPRA UNITARIO],"",0)</f>
        <v>2250.5754716981132</v>
      </c>
      <c r="H23" s="5" t="str">
        <f>+IFERROR(Tabla2[[#This Row],[PRECIO PROMEDIO]]-Tabla2[[#This Row],[PRECIO PPTO]],"")</f>
        <v/>
      </c>
      <c r="I23" s="2" t="str">
        <f>+IFERROR(Tabla2[[#This Row],[CUB. PPTO]]*Tabla2[[#This Row],[PRECIO PPTO]],"")</f>
        <v/>
      </c>
      <c r="J23" s="2">
        <f>+IFERROR(Tabla2[[#This Row],[CUB. GP]]*Tabla2[[#This Row],[PRECIO PROMEDIO]],"")</f>
        <v>1125.2877358490566</v>
      </c>
    </row>
    <row r="24" spans="1:10" x14ac:dyDescent="0.25">
      <c r="A24">
        <v>307030</v>
      </c>
      <c r="B24" t="s">
        <v>64</v>
      </c>
      <c r="C24" t="str">
        <f>+_xlfn.XLOOKUP(Tabla2[[#This Row],[CODIGO]],PRODUCTOS[CODIGO],PRODUCTOS[DESC CORTA],"",0)</f>
        <v>GUARDAPOLVO BLANCO</v>
      </c>
      <c r="D24" s="26">
        <f>+_xlfn.XLOOKUP(Tabla2[[#This Row],[CODIGO]],PRODUCTOS[CODIGO],PRODUCTOS[CANT X MODULO],"",0)</f>
        <v>7.35</v>
      </c>
      <c r="E24" s="26">
        <f>+_xlfn.XLOOKUP(Tabla2[[#This Row],[CODIGO]],Tabla4[CODIGO],Tabla4[CUBICACION PROM / MODULO (PRESUPUESTO)],"",0)</f>
        <v>7</v>
      </c>
      <c r="F24" s="2">
        <f>+_xlfn.XLOOKUP(Tabla2[[#This Row],[CODIGO]],PRODUCTOS[CODIGO],PRODUCTOS[PPTO_ACTUALIZADO],"",0)</f>
        <v>2729.9988560000002</v>
      </c>
      <c r="G24" s="2">
        <f>+_xlfn.XLOOKUP(Tabla2[[#This Row],[CODIGO]],PRODUCTOS[CODIGO],PRODUCTOS[PRECIO COMPRA UNITARIO],"",0)</f>
        <v>2730</v>
      </c>
      <c r="H24" s="5">
        <f>+IFERROR(Tabla2[[#This Row],[PRECIO PROMEDIO]]-Tabla2[[#This Row],[PRECIO PPTO]],"")</f>
        <v>1.1439999998401618E-3</v>
      </c>
      <c r="I24" s="2">
        <f>+IFERROR(Tabla2[[#This Row],[CUB. PPTO]]*Tabla2[[#This Row],[PRECIO PPTO]],"")</f>
        <v>20065.491591599999</v>
      </c>
      <c r="J24" s="2">
        <f>+IFERROR(Tabla2[[#This Row],[CUB. GP]]*Tabla2[[#This Row],[PRECIO PROMEDIO]],"")</f>
        <v>19110</v>
      </c>
    </row>
    <row r="25" spans="1:10" x14ac:dyDescent="0.25">
      <c r="A25">
        <v>307031</v>
      </c>
      <c r="B25" t="s">
        <v>65</v>
      </c>
      <c r="C25" t="str">
        <f>+_xlfn.XLOOKUP(Tabla2[[#This Row],[CODIGO]],PRODUCTOS[CODIGO],PRODUCTOS[DESC CORTA],"",0)</f>
        <v>CORNIZA BLANCA</v>
      </c>
      <c r="D25" s="26">
        <f>+_xlfn.XLOOKUP(Tabla2[[#This Row],[CODIGO]],PRODUCTOS[CODIGO],PRODUCTOS[CANT X MODULO],"",0)</f>
        <v>15.865500000000001</v>
      </c>
      <c r="E25" s="26">
        <f>+_xlfn.XLOOKUP(Tabla2[[#This Row],[CODIGO]],Tabla4[CODIGO],Tabla4[CUBICACION PROM / MODULO (PRESUPUESTO)],"",0)</f>
        <v>15.11</v>
      </c>
      <c r="F25" s="2">
        <f>+_xlfn.XLOOKUP(Tabla2[[#This Row],[CODIGO]],PRODUCTOS[CODIGO],PRODUCTOS[PPTO_ACTUALIZADO],"",0)</f>
        <v>2699.9986050000007</v>
      </c>
      <c r="G25" s="2">
        <f>+_xlfn.XLOOKUP(Tabla2[[#This Row],[CODIGO]],PRODUCTOS[CODIGO],PRODUCTOS[PRECIO COMPRA UNITARIO],"",0)</f>
        <v>2700</v>
      </c>
      <c r="H25" s="5">
        <f>+IFERROR(Tabla2[[#This Row],[PRECIO PROMEDIO]]-Tabla2[[#This Row],[PRECIO PPTO]],"")</f>
        <v>1.3949999993201345E-3</v>
      </c>
      <c r="I25" s="2">
        <f>+IFERROR(Tabla2[[#This Row],[CUB. PPTO]]*Tabla2[[#This Row],[PRECIO PPTO]],"")</f>
        <v>42836.827867627515</v>
      </c>
      <c r="J25" s="2">
        <f>+IFERROR(Tabla2[[#This Row],[CUB. GP]]*Tabla2[[#This Row],[PRECIO PROMEDIO]],"")</f>
        <v>40797</v>
      </c>
    </row>
    <row r="26" spans="1:10" x14ac:dyDescent="0.25">
      <c r="A26">
        <v>601121</v>
      </c>
      <c r="B26" t="s">
        <v>67</v>
      </c>
      <c r="C26" t="str">
        <f>+_xlfn.XLOOKUP(Tabla2[[#This Row],[CODIGO]],PRODUCTOS[CODIGO],PRODUCTOS[DESC CORTA],"",0)</f>
        <v>PINTURA BALCON</v>
      </c>
      <c r="D26" s="26">
        <f>+_xlfn.XLOOKUP(Tabla2[[#This Row],[CODIGO]],PRODUCTOS[CODIGO],PRODUCTOS[CANT X MODULO],"",0)</f>
        <v>0.55125000000000002</v>
      </c>
      <c r="E26" s="26">
        <f>+_xlfn.XLOOKUP(Tabla2[[#This Row],[CODIGO]],Tabla4[CODIGO],Tabla4[CUBICACION PROM / MODULO (PRESUPUESTO)],"",0)</f>
        <v>1.05</v>
      </c>
      <c r="F26" s="2">
        <f>+_xlfn.XLOOKUP(Tabla2[[#This Row],[CODIGO]],PRODUCTOS[CODIGO],PRODUCTOS[PPTO_ACTUALIZADO],"",0)</f>
        <v>35000</v>
      </c>
      <c r="G26" s="2">
        <f>+_xlfn.XLOOKUP(Tabla2[[#This Row],[CODIGO]],PRODUCTOS[CODIGO],PRODUCTOS[PRECIO COMPRA UNITARIO],"",0)</f>
        <v>35000</v>
      </c>
      <c r="H26" s="5">
        <f>+IFERROR(Tabla2[[#This Row],[PRECIO PROMEDIO]]-Tabla2[[#This Row],[PRECIO PPTO]],"")</f>
        <v>0</v>
      </c>
      <c r="I26" s="2">
        <f>+IFERROR(Tabla2[[#This Row],[CUB. PPTO]]*Tabla2[[#This Row],[PRECIO PPTO]],"")</f>
        <v>19293.75</v>
      </c>
      <c r="J26" s="2">
        <f>+IFERROR(Tabla2[[#This Row],[CUB. GP]]*Tabla2[[#This Row],[PRECIO PROMEDIO]],"")</f>
        <v>36750</v>
      </c>
    </row>
    <row r="27" spans="1:10" x14ac:dyDescent="0.25">
      <c r="A27">
        <v>705028</v>
      </c>
      <c r="B27" t="s">
        <v>72</v>
      </c>
      <c r="C27" t="str">
        <f>+_xlfn.XLOOKUP(Tabla2[[#This Row],[CODIGO]],PRODUCTOS[CODIGO],PRODUCTOS[DESC CORTA],"",0)</f>
        <v>SIMPLISIMA</v>
      </c>
      <c r="D27" s="26">
        <f>+_xlfn.XLOOKUP(Tabla2[[#This Row],[CODIGO]],PRODUCTOS[CODIGO],PRODUCTOS[CANT X MODULO],"",0)</f>
        <v>3.6749999999999998</v>
      </c>
      <c r="E27" s="26">
        <f>+_xlfn.XLOOKUP(Tabla2[[#This Row],[CODIGO]],Tabla4[CODIGO],Tabla4[CUBICACION PROM / MODULO (PRESUPUESTO)],"",0)</f>
        <v>6.375</v>
      </c>
      <c r="F27" s="2">
        <f>+_xlfn.XLOOKUP(Tabla2[[#This Row],[CODIGO]],PRODUCTOS[CODIGO],PRODUCTOS[PPTO_ACTUALIZADO],"",0)</f>
        <v>22927.086207</v>
      </c>
      <c r="G27" s="2">
        <f>+_xlfn.XLOOKUP(Tabla2[[#This Row],[CODIGO]],PRODUCTOS[CODIGO],PRODUCTOS[PRECIO COMPRA UNITARIO],"",0)</f>
        <v>22787.611246943765</v>
      </c>
      <c r="H27" s="5">
        <f>+IFERROR(Tabla2[[#This Row],[PRECIO PROMEDIO]]-Tabla2[[#This Row],[PRECIO PPTO]],"")</f>
        <v>-139.47496005623543</v>
      </c>
      <c r="I27" s="2">
        <f>+IFERROR(Tabla2[[#This Row],[CUB. PPTO]]*Tabla2[[#This Row],[PRECIO PPTO]],"")</f>
        <v>84257.041810725001</v>
      </c>
      <c r="J27" s="2">
        <f>+IFERROR(Tabla2[[#This Row],[CUB. GP]]*Tabla2[[#This Row],[PRECIO PROMEDIO]],"")</f>
        <v>145271.02169926651</v>
      </c>
    </row>
    <row r="28" spans="1:10" x14ac:dyDescent="0.25">
      <c r="A28">
        <v>1801735</v>
      </c>
      <c r="B28" t="s">
        <v>73</v>
      </c>
      <c r="C28" t="str">
        <f>+_xlfn.XLOOKUP(Tabla2[[#This Row],[CODIGO]],PRODUCTOS[CODIGO],PRODUCTOS[DESC CORTA],"",0)</f>
        <v>BURLETE PVC</v>
      </c>
      <c r="D28" s="26">
        <f>+_xlfn.XLOOKUP(Tabla2[[#This Row],[CODIGO]],PRODUCTOS[CODIGO],PRODUCTOS[CANT X MODULO],"",0)</f>
        <v>0.52500000000000002</v>
      </c>
      <c r="E28" s="26">
        <f>+_xlfn.XLOOKUP(Tabla2[[#This Row],[CODIGO]],Tabla4[CODIGO],Tabla4[CUBICACION PROM / MODULO (PRESUPUESTO)],"",0)</f>
        <v>1</v>
      </c>
      <c r="F28" s="2">
        <f>+_xlfn.XLOOKUP(Tabla2[[#This Row],[CODIGO]],PRODUCTOS[CODIGO],PRODUCTOS[PPTO_ACTUALIZADO],"",0)</f>
        <v>3495</v>
      </c>
      <c r="G28" s="2">
        <f>+_xlfn.XLOOKUP(Tabla2[[#This Row],[CODIGO]],PRODUCTOS[CODIGO],PRODUCTOS[PRECIO COMPRA UNITARIO],"",0)</f>
        <v>3824.3625000000002</v>
      </c>
      <c r="H28" s="5">
        <f>+IFERROR(Tabla2[[#This Row],[PRECIO PROMEDIO]]-Tabla2[[#This Row],[PRECIO PPTO]],"")</f>
        <v>329.36250000000018</v>
      </c>
      <c r="I28" s="2">
        <f>+IFERROR(Tabla2[[#This Row],[CUB. PPTO]]*Tabla2[[#This Row],[PRECIO PPTO]],"")</f>
        <v>1834.875</v>
      </c>
      <c r="J28" s="2">
        <f>+IFERROR(Tabla2[[#This Row],[CUB. GP]]*Tabla2[[#This Row],[PRECIO PROMEDIO]],"")</f>
        <v>3824.3625000000002</v>
      </c>
    </row>
    <row r="29" spans="1:10" x14ac:dyDescent="0.25">
      <c r="A29">
        <v>2302119</v>
      </c>
      <c r="B29" t="s">
        <v>74</v>
      </c>
      <c r="C29" t="str">
        <f>+_xlfn.XLOOKUP(Tabla2[[#This Row],[CODIGO]],PRODUCTOS[CODIGO],PRODUCTOS[DESC CORTA],"",0)</f>
        <v>SELLO</v>
      </c>
      <c r="D29" s="26">
        <f>+_xlfn.XLOOKUP(Tabla2[[#This Row],[CODIGO]],PRODUCTOS[CODIGO],PRODUCTOS[CANT X MODULO],"",0)</f>
        <v>1.5750000000000002</v>
      </c>
      <c r="E29" s="26">
        <f>+_xlfn.XLOOKUP(Tabla2[[#This Row],[CODIGO]],Tabla4[CODIGO],Tabla4[CUBICACION PROM / MODULO (PRESUPUESTO)],"",0)</f>
        <v>3</v>
      </c>
      <c r="F29" s="2">
        <f>+_xlfn.XLOOKUP(Tabla2[[#This Row],[CODIGO]],PRODUCTOS[CODIGO],PRODUCTOS[PPTO_ACTUALIZADO],"",0)</f>
        <v>3671</v>
      </c>
      <c r="G29" s="2">
        <f>+_xlfn.XLOOKUP(Tabla2[[#This Row],[CODIGO]],PRODUCTOS[CODIGO],PRODUCTOS[PRECIO COMPRA UNITARIO],"",0)</f>
        <v>3684.244995233556</v>
      </c>
      <c r="H29" s="5">
        <f>+IFERROR(Tabla2[[#This Row],[PRECIO PROMEDIO]]-Tabla2[[#This Row],[PRECIO PPTO]],"")</f>
        <v>13.244995233555983</v>
      </c>
      <c r="I29" s="2">
        <f>+IFERROR(Tabla2[[#This Row],[CUB. PPTO]]*Tabla2[[#This Row],[PRECIO PPTO]],"")</f>
        <v>5781.8250000000007</v>
      </c>
      <c r="J29" s="2">
        <f>+IFERROR(Tabla2[[#This Row],[CUB. GP]]*Tabla2[[#This Row],[PRECIO PROMEDIO]],"")</f>
        <v>11052.734985700668</v>
      </c>
    </row>
    <row r="30" spans="1:10" x14ac:dyDescent="0.25">
      <c r="A30">
        <v>701015</v>
      </c>
      <c r="B30" t="s">
        <v>254</v>
      </c>
      <c r="C30" t="str">
        <f>+_xlfn.XLOOKUP(Tabla2[[#This Row],[CODIGO]],PRODUCTOS[CODIGO],PRODUCTOS[DESC CORTA],"",0)</f>
        <v>VOLCANITA RH</v>
      </c>
      <c r="D30" s="26">
        <f>+_xlfn.XLOOKUP(Tabla2[[#This Row],[CODIGO]],PRODUCTOS[CODIGO],PRODUCTOS[CANT X MODULO],"",0)</f>
        <v>4.7250000000000005</v>
      </c>
      <c r="E30" s="26">
        <f>+_xlfn.XLOOKUP(Tabla2[[#This Row],[CODIGO]],Tabla4[CODIGO],Tabla4[CUBICACION PROM / MODULO (PRESUPUESTO)],"",0)</f>
        <v>9</v>
      </c>
      <c r="F30" s="2">
        <f>+_xlfn.XLOOKUP(Tabla2[[#This Row],[CODIGO]],PRODUCTOS[CODIGO],PRODUCTOS[PPTO_ACTUALIZADO],"",0)</f>
        <v>9151.2974680000007</v>
      </c>
      <c r="G30" s="2">
        <f>+_xlfn.XLOOKUP(Tabla2[[#This Row],[CODIGO]],PRODUCTOS[CODIGO],PRODUCTOS[PRECIO COMPRA UNITARIO],"",0)</f>
        <v>9238.7976190476184</v>
      </c>
      <c r="H30" s="5">
        <f>+IFERROR(Tabla2[[#This Row],[PRECIO PROMEDIO]]-Tabla2[[#This Row],[PRECIO PPTO]],"")</f>
        <v>87.500151047617692</v>
      </c>
      <c r="I30" s="2">
        <f>+IFERROR(Tabla2[[#This Row],[CUB. PPTO]]*Tabla2[[#This Row],[PRECIO PPTO]],"")</f>
        <v>43239.880536300006</v>
      </c>
      <c r="J30" s="2">
        <f>+IFERROR(Tabla2[[#This Row],[CUB. GP]]*Tabla2[[#This Row],[PRECIO PROMEDIO]],"")</f>
        <v>83149.178571428565</v>
      </c>
    </row>
    <row r="31" spans="1:10" x14ac:dyDescent="0.25">
      <c r="A31">
        <v>304007</v>
      </c>
      <c r="B31" t="s">
        <v>80</v>
      </c>
      <c r="C31" t="str">
        <f>+_xlfn.XLOOKUP(Tabla2[[#This Row],[CODIGO]],PRODUCTOS[CODIGO],PRODUCTOS[DESC CORTA],"",0)</f>
        <v>OSB 11MM</v>
      </c>
      <c r="D31" s="26">
        <f>+_xlfn.XLOOKUP(Tabla2[[#This Row],[CODIGO]],PRODUCTOS[CODIGO],PRODUCTOS[CANT X MODULO],"",0)</f>
        <v>8.6625000000000014</v>
      </c>
      <c r="E31" s="26">
        <f>+_xlfn.XLOOKUP(Tabla2[[#This Row],[CODIGO]],Tabla4[CODIGO],Tabla4[CUBICACION PROM / MODULO (PRESUPUESTO)],"",0)</f>
        <v>8.25</v>
      </c>
      <c r="F31" s="2">
        <f>+_xlfn.XLOOKUP(Tabla2[[#This Row],[CODIGO]],PRODUCTOS[CODIGO],PRODUCTOS[PPTO_ACTUALIZADO],"",0)</f>
        <v>11444.353021999996</v>
      </c>
      <c r="G31" s="2">
        <f>+_xlfn.XLOOKUP(Tabla2[[#This Row],[CODIGO]],PRODUCTOS[CODIGO],PRODUCTOS[PRECIO COMPRA UNITARIO],"",0)</f>
        <v>11557.16697761194</v>
      </c>
      <c r="H31" s="5">
        <f>+IFERROR(Tabla2[[#This Row],[PRECIO PROMEDIO]]-Tabla2[[#This Row],[PRECIO PPTO]],"")</f>
        <v>112.81395561194404</v>
      </c>
      <c r="I31" s="2">
        <f>+IFERROR(Tabla2[[#This Row],[CUB. PPTO]]*Tabla2[[#This Row],[PRECIO PPTO]],"")</f>
        <v>99136.708053074981</v>
      </c>
      <c r="J31" s="2">
        <f>+IFERROR(Tabla2[[#This Row],[CUB. GP]]*Tabla2[[#This Row],[PRECIO PROMEDIO]],"")</f>
        <v>95346.627565298506</v>
      </c>
    </row>
    <row r="32" spans="1:10" x14ac:dyDescent="0.25">
      <c r="A32" t="s">
        <v>82</v>
      </c>
      <c r="B32" t="s">
        <v>83</v>
      </c>
      <c r="C32" t="str">
        <f>+_xlfn.XLOOKUP(Tabla2[[#This Row],[CODIGO]],PRODUCTOS[CODIGO],PRODUCTOS[DESC CORTA],"",0)</f>
        <v>CLAVO R20</v>
      </c>
      <c r="D32" s="26">
        <f>+_xlfn.XLOOKUP(Tabla2[[#This Row],[CODIGO]],PRODUCTOS[CODIGO],PRODUCTOS[CANT X MODULO],"",0)</f>
        <v>3.4539749999999994</v>
      </c>
      <c r="E32" s="26">
        <f>+_xlfn.XLOOKUP(Tabla2[[#This Row],[CODIGO]],Tabla4[CODIGO],Tabla4[CUBICACION PROM / MODULO (PRESUPUESTO)],"",0)</f>
        <v>3.2895000000000012</v>
      </c>
      <c r="F32" s="2">
        <f>+_xlfn.XLOOKUP(Tabla2[[#This Row],[CODIGO]],PRODUCTOS[CODIGO],PRODUCTOS[PPTO_ACTUALIZADO],"",0)</f>
        <v>36939.818181999981</v>
      </c>
      <c r="G32" s="2">
        <f>+_xlfn.XLOOKUP(Tabla2[[#This Row],[CODIGO]],PRODUCTOS[CODIGO],PRODUCTOS[PRECIO COMPRA UNITARIO],"",0)</f>
        <v>36758.588235294119</v>
      </c>
      <c r="H32" s="5">
        <f>+IFERROR(Tabla2[[#This Row],[PRECIO PROMEDIO]]-Tabla2[[#This Row],[PRECIO PPTO]],"")</f>
        <v>-181.22994670586195</v>
      </c>
      <c r="I32" s="2">
        <f>+IFERROR(Tabla2[[#This Row],[CUB. PPTO]]*Tabla2[[#This Row],[PRECIO PPTO]],"")</f>
        <v>127589.20850517336</v>
      </c>
      <c r="J32" s="2">
        <f>+IFERROR(Tabla2[[#This Row],[CUB. GP]]*Tabla2[[#This Row],[PRECIO PROMEDIO]],"")</f>
        <v>120917.37600000005</v>
      </c>
    </row>
    <row r="33" spans="1:10" x14ac:dyDescent="0.25">
      <c r="A33" t="s">
        <v>94</v>
      </c>
      <c r="B33" t="s">
        <v>95</v>
      </c>
      <c r="C33" t="str">
        <f>+_xlfn.XLOOKUP(Tabla2[[#This Row],[CODIGO]],PRODUCTOS[CODIGO],PRODUCTOS[DESC CORTA],"",0)</f>
        <v>TOPE DE PUERTA</v>
      </c>
      <c r="D33" s="26">
        <f>+_xlfn.XLOOKUP(Tabla2[[#This Row],[CODIGO]],PRODUCTOS[CODIGO],PRODUCTOS[CANT X MODULO],"",0)</f>
        <v>3.1500000000000004</v>
      </c>
      <c r="E33" s="26">
        <f>+_xlfn.XLOOKUP(Tabla2[[#This Row],[CODIGO]],Tabla4[CODIGO],Tabla4[CUBICACION PROM / MODULO (PRESUPUESTO)],"",0)</f>
        <v>3</v>
      </c>
      <c r="F33" s="2">
        <f>+_xlfn.XLOOKUP(Tabla2[[#This Row],[CODIGO]],PRODUCTOS[CODIGO],PRODUCTOS[PPTO_ACTUALIZADO],"",0)</f>
        <v>3021.2828690000006</v>
      </c>
      <c r="G33" s="2">
        <f>+_xlfn.XLOOKUP(Tabla2[[#This Row],[CODIGO]],PRODUCTOS[CODIGO],PRODUCTOS[PRECIO COMPRA UNITARIO],"",0)</f>
        <v>3021.2846153846153</v>
      </c>
      <c r="H33" s="5">
        <f>+IFERROR(Tabla2[[#This Row],[PRECIO PROMEDIO]]-Tabla2[[#This Row],[PRECIO PPTO]],"")</f>
        <v>1.7463846147620643E-3</v>
      </c>
      <c r="I33" s="2">
        <f>+IFERROR(Tabla2[[#This Row],[CUB. PPTO]]*Tabla2[[#This Row],[PRECIO PPTO]],"")</f>
        <v>9517.0410373500035</v>
      </c>
      <c r="J33" s="2">
        <f>+IFERROR(Tabla2[[#This Row],[CUB. GP]]*Tabla2[[#This Row],[PRECIO PROMEDIO]],"")</f>
        <v>9063.8538461538465</v>
      </c>
    </row>
    <row r="34" spans="1:10" x14ac:dyDescent="0.25">
      <c r="A34">
        <v>5316484</v>
      </c>
      <c r="B34" t="s">
        <v>96</v>
      </c>
      <c r="C34" t="str">
        <f>+_xlfn.XLOOKUP(Tabla2[[#This Row],[CODIGO]],PRODUCTOS[CODIGO],PRODUCTOS[DESC CORTA],"",0)</f>
        <v>LLAVE DE BOLA AC</v>
      </c>
      <c r="D34" s="26">
        <f>+_xlfn.XLOOKUP(Tabla2[[#This Row],[CODIGO]],PRODUCTOS[CODIGO],PRODUCTOS[CANT X MODULO],"",0)</f>
        <v>0.52500000000000002</v>
      </c>
      <c r="E34" s="26">
        <f>+_xlfn.XLOOKUP(Tabla2[[#This Row],[CODIGO]],Tabla4[CODIGO],Tabla4[CUBICACION PROM / MODULO (PRESUPUESTO)],"",0)</f>
        <v>1</v>
      </c>
      <c r="F34" s="2">
        <f>+_xlfn.XLOOKUP(Tabla2[[#This Row],[CODIGO]],PRODUCTOS[CODIGO],PRODUCTOS[PPTO_ACTUALIZADO],"",0)</f>
        <v>4372.7272730000004</v>
      </c>
      <c r="G34" s="2">
        <f>+_xlfn.XLOOKUP(Tabla2[[#This Row],[CODIGO]],PRODUCTOS[CODIGO],PRODUCTOS[PRECIO COMPRA UNITARIO],"",0)</f>
        <v>4336.0806451612907</v>
      </c>
      <c r="H34" s="5">
        <f>+IFERROR(Tabla2[[#This Row],[PRECIO PROMEDIO]]-Tabla2[[#This Row],[PRECIO PPTO]],"")</f>
        <v>-36.646627838709719</v>
      </c>
      <c r="I34" s="2">
        <f>+IFERROR(Tabla2[[#This Row],[CUB. PPTO]]*Tabla2[[#This Row],[PRECIO PPTO]],"")</f>
        <v>2295.6818183250002</v>
      </c>
      <c r="J34" s="2">
        <f>+IFERROR(Tabla2[[#This Row],[CUB. GP]]*Tabla2[[#This Row],[PRECIO PROMEDIO]],"")</f>
        <v>4336.0806451612907</v>
      </c>
    </row>
    <row r="35" spans="1:10" x14ac:dyDescent="0.25">
      <c r="A35">
        <v>5316483</v>
      </c>
      <c r="B35" t="s">
        <v>97</v>
      </c>
      <c r="C35" t="str">
        <f>+_xlfn.XLOOKUP(Tabla2[[#This Row],[CODIGO]],PRODUCTOS[CODIGO],PRODUCTOS[DESC CORTA],"",0)</f>
        <v>LLAVE DE BOLA AF</v>
      </c>
      <c r="D35" s="26">
        <f>+_xlfn.XLOOKUP(Tabla2[[#This Row],[CODIGO]],PRODUCTOS[CODIGO],PRODUCTOS[CANT X MODULO],"",0)</f>
        <v>0.52500000000000002</v>
      </c>
      <c r="E35" s="26">
        <f>+_xlfn.XLOOKUP(Tabla2[[#This Row],[CODIGO]],Tabla4[CODIGO],Tabla4[CUBICACION PROM / MODULO (PRESUPUESTO)],"",0)</f>
        <v>1</v>
      </c>
      <c r="F35" s="2">
        <f>+_xlfn.XLOOKUP(Tabla2[[#This Row],[CODIGO]],PRODUCTOS[CODIGO],PRODUCTOS[PPTO_ACTUALIZADO],"",0)</f>
        <v>3237.6071430000002</v>
      </c>
      <c r="G35" s="2">
        <f>+_xlfn.XLOOKUP(Tabla2[[#This Row],[CODIGO]],PRODUCTOS[CODIGO],PRODUCTOS[PRECIO COMPRA UNITARIO],"",0)</f>
        <v>3052.4098360655739</v>
      </c>
      <c r="H35" s="5">
        <f>+IFERROR(Tabla2[[#This Row],[PRECIO PROMEDIO]]-Tabla2[[#This Row],[PRECIO PPTO]],"")</f>
        <v>-185.19730693442625</v>
      </c>
      <c r="I35" s="2">
        <f>+IFERROR(Tabla2[[#This Row],[CUB. PPTO]]*Tabla2[[#This Row],[PRECIO PPTO]],"")</f>
        <v>1699.7437500750002</v>
      </c>
      <c r="J35" s="2">
        <f>+IFERROR(Tabla2[[#This Row],[CUB. GP]]*Tabla2[[#This Row],[PRECIO PROMEDIO]],"")</f>
        <v>3052.4098360655739</v>
      </c>
    </row>
    <row r="36" spans="1:10" x14ac:dyDescent="0.25">
      <c r="A36">
        <v>407423</v>
      </c>
      <c r="B36" t="s">
        <v>106</v>
      </c>
      <c r="C36" t="str">
        <f>+_xlfn.XLOOKUP(Tabla2[[#This Row],[CODIGO]],PRODUCTOS[CODIGO],PRODUCTOS[DESC CORTA],"",0)</f>
        <v>TORNILLO CRS 6X1 5/8</v>
      </c>
      <c r="D36" s="26">
        <f>+_xlfn.XLOOKUP(Tabla2[[#This Row],[CODIGO]],PRODUCTOS[CODIGO],PRODUCTOS[CANT X MODULO],"",0)</f>
        <v>24.28125</v>
      </c>
      <c r="E36" s="26">
        <f>+_xlfn.XLOOKUP(Tabla2[[#This Row],[CODIGO]],Tabla4[CODIGO],Tabla4[CUBICACION PROM / MODULO (PRESUPUESTO)],"",0)</f>
        <v>751</v>
      </c>
      <c r="F36" s="2">
        <f>+_xlfn.XLOOKUP(Tabla2[[#This Row],[CODIGO]],PRODUCTOS[CODIGO],PRODUCTOS[PPTO_ACTUALIZADO],"",0)</f>
        <v>106.64050198378378</v>
      </c>
      <c r="G36" s="2">
        <f>+_xlfn.XLOOKUP(Tabla2[[#This Row],[CODIGO]],PRODUCTOS[CODIGO],PRODUCTOS[PRECIO COMPRA UNITARIO],"",0)</f>
        <v>3.4241512642137186</v>
      </c>
      <c r="H36" s="5">
        <f>+IFERROR(Tabla2[[#This Row],[PRECIO PROMEDIO]]-Tabla2[[#This Row],[PRECIO PPTO]],"")</f>
        <v>-103.21635071957006</v>
      </c>
      <c r="I36" s="2">
        <f>+IFERROR(Tabla2[[#This Row],[CUB. PPTO]]*Tabla2[[#This Row],[PRECIO PPTO]],"")</f>
        <v>2589.3646887937498</v>
      </c>
      <c r="J36" s="2">
        <f>+IFERROR(Tabla2[[#This Row],[CUB. GP]]*Tabla2[[#This Row],[PRECIO PROMEDIO]],"")</f>
        <v>2571.5375994245028</v>
      </c>
    </row>
    <row r="37" spans="1:10" x14ac:dyDescent="0.25">
      <c r="A37">
        <v>407170</v>
      </c>
      <c r="B37" t="s">
        <v>107</v>
      </c>
      <c r="C37" t="str">
        <f>+_xlfn.XLOOKUP(Tabla2[[#This Row],[CODIGO]],PRODUCTOS[CODIGO],PRODUCTOS[DESC CORTA],"",0)</f>
        <v>TORNILLO CRS 6X2 1/4</v>
      </c>
      <c r="D37" s="26">
        <f>+_xlfn.XLOOKUP(Tabla2[[#This Row],[CODIGO]],PRODUCTOS[CODIGO],PRODUCTOS[CANT X MODULO],"",0)</f>
        <v>151.19999999999999</v>
      </c>
      <c r="E37" s="26">
        <f>+_xlfn.XLOOKUP(Tabla2[[#This Row],[CODIGO]],Tabla4[CODIGO],Tabla4[CUBICACION PROM / MODULO (PRESUPUESTO)],"",0)</f>
        <v>144</v>
      </c>
      <c r="F37" s="2">
        <f>+_xlfn.XLOOKUP(Tabla2[[#This Row],[CODIGO]],PRODUCTOS[CODIGO],PRODUCTOS[PPTO_ACTUALIZADO],"",0)</f>
        <v>4.8802160000000008</v>
      </c>
      <c r="G37" s="2">
        <f>+_xlfn.XLOOKUP(Tabla2[[#This Row],[CODIGO]],PRODUCTOS[CODIGO],PRODUCTOS[PRECIO COMPRA UNITARIO],"",0)</f>
        <v>4.9908748551564308</v>
      </c>
      <c r="H37" s="5">
        <f>+IFERROR(Tabla2[[#This Row],[PRECIO PROMEDIO]]-Tabla2[[#This Row],[PRECIO PPTO]],"")</f>
        <v>0.11065885515643004</v>
      </c>
      <c r="I37" s="2">
        <f>+IFERROR(Tabla2[[#This Row],[CUB. PPTO]]*Tabla2[[#This Row],[PRECIO PPTO]],"")</f>
        <v>737.88865920000001</v>
      </c>
      <c r="J37" s="2">
        <f>+IFERROR(Tabla2[[#This Row],[CUB. GP]]*Tabla2[[#This Row],[PRECIO PROMEDIO]],"")</f>
        <v>718.68597914252609</v>
      </c>
    </row>
    <row r="38" spans="1:10" x14ac:dyDescent="0.25">
      <c r="A38">
        <v>302028</v>
      </c>
      <c r="B38" t="s">
        <v>246</v>
      </c>
      <c r="C38" t="str">
        <f>+_xlfn.XLOOKUP(Tabla2[[#This Row],[CODIGO]],PRODUCTOS[CODIGO],PRODUCTOS[DESC CORTA],"",0)</f>
        <v>PINO 2X4X320</v>
      </c>
      <c r="D38" s="26">
        <f>+_xlfn.XLOOKUP(Tabla2[[#This Row],[CODIGO]],PRODUCTOS[CODIGO],PRODUCTOS[CANT X MODULO],"",0)</f>
        <v>172.72499999999994</v>
      </c>
      <c r="E38" s="26">
        <f>+_xlfn.XLOOKUP(Tabla2[[#This Row],[CODIGO]],Tabla4[CODIGO],Tabla4[CUBICACION PROM / MODULO (PRESUPUESTO)],"",0)</f>
        <v>164.5</v>
      </c>
      <c r="F38" s="2">
        <f>+_xlfn.XLOOKUP(Tabla2[[#This Row],[CODIGO]],PRODUCTOS[CODIGO],PRODUCTOS[PPTO_ACTUALIZADO],"",0)</f>
        <v>5123.8025270000016</v>
      </c>
      <c r="G38" s="2">
        <f>+_xlfn.XLOOKUP(Tabla2[[#This Row],[CODIGO]],PRODUCTOS[CODIGO],PRODUCTOS[PRECIO COMPRA UNITARIO],"",0)</f>
        <v>4760.4046547265589</v>
      </c>
      <c r="H38" s="5">
        <f>+IFERROR(Tabla2[[#This Row],[PRECIO PROMEDIO]]-Tabla2[[#This Row],[PRECIO PPTO]],"")</f>
        <v>-363.39787227344277</v>
      </c>
      <c r="I38" s="2">
        <f>+IFERROR(Tabla2[[#This Row],[CUB. PPTO]]*Tabla2[[#This Row],[PRECIO PPTO]],"")</f>
        <v>885008.79147607496</v>
      </c>
      <c r="J38" s="2">
        <f>+IFERROR(Tabla2[[#This Row],[CUB. GP]]*Tabla2[[#This Row],[PRECIO PROMEDIO]],"")</f>
        <v>783086.56570251891</v>
      </c>
    </row>
    <row r="39" spans="1:10" x14ac:dyDescent="0.25">
      <c r="A39">
        <v>408014</v>
      </c>
      <c r="B39" t="s">
        <v>108</v>
      </c>
      <c r="C39" t="str">
        <f>+_xlfn.XLOOKUP(Tabla2[[#This Row],[CODIGO]],PRODUCTOS[CODIGO],PRODUCTOS[DESC CORTA],"",0)</f>
        <v>GRAPA T40</v>
      </c>
      <c r="D39" s="26">
        <f>+_xlfn.XLOOKUP(Tabla2[[#This Row],[CODIGO]],PRODUCTOS[CODIGO],PRODUCTOS[CANT X MODULO],"",0)</f>
        <v>0.51449999999999996</v>
      </c>
      <c r="E39" s="26">
        <f>+_xlfn.XLOOKUP(Tabla2[[#This Row],[CODIGO]],Tabla4[CODIGO],Tabla4[CUBICACION PROM / MODULO (PRESUPUESTO)],"",0)</f>
        <v>0.13599999999999998</v>
      </c>
      <c r="F39" s="2">
        <f>+_xlfn.XLOOKUP(Tabla2[[#This Row],[CODIGO]],PRODUCTOS[CODIGO],PRODUCTOS[PPTO_ACTUALIZADO],"",0)</f>
        <v>16182.106762000009</v>
      </c>
      <c r="G39" s="2">
        <f>+_xlfn.XLOOKUP(Tabla2[[#This Row],[CODIGO]],PRODUCTOS[CODIGO],PRODUCTOS[PRECIO COMPRA UNITARIO],"",0)</f>
        <v>16118.72</v>
      </c>
      <c r="H39" s="5">
        <f>+IFERROR(Tabla2[[#This Row],[PRECIO PROMEDIO]]-Tabla2[[#This Row],[PRECIO PPTO]],"")</f>
        <v>-63.386762000009185</v>
      </c>
      <c r="I39" s="2">
        <f>+IFERROR(Tabla2[[#This Row],[CUB. PPTO]]*Tabla2[[#This Row],[PRECIO PPTO]],"")</f>
        <v>8325.6939290490045</v>
      </c>
      <c r="J39" s="2">
        <f>+IFERROR(Tabla2[[#This Row],[CUB. GP]]*Tabla2[[#This Row],[PRECIO PROMEDIO]],"")</f>
        <v>2192.1459199999995</v>
      </c>
    </row>
    <row r="40" spans="1:10" x14ac:dyDescent="0.25">
      <c r="A40">
        <v>410045</v>
      </c>
      <c r="B40" t="s">
        <v>110</v>
      </c>
      <c r="C40" t="str">
        <f>+_xlfn.XLOOKUP(Tabla2[[#This Row],[CODIGO]],PRODUCTOS[CODIGO],PRODUCTOS[DESC CORTA],"",0)</f>
        <v>CONECTOR DENTADO</v>
      </c>
      <c r="D40" s="26">
        <f>+_xlfn.XLOOKUP(Tabla2[[#This Row],[CODIGO]],PRODUCTOS[CODIGO],PRODUCTOS[CANT X MODULO],"",0)</f>
        <v>16.800000000000004</v>
      </c>
      <c r="E40" s="26">
        <f>+_xlfn.XLOOKUP(Tabla2[[#This Row],[CODIGO]],Tabla4[CODIGO],Tabla4[CUBICACION PROM / MODULO (PRESUPUESTO)],"",0)</f>
        <v>16</v>
      </c>
      <c r="F40" s="2">
        <f>+_xlfn.XLOOKUP(Tabla2[[#This Row],[CODIGO]],PRODUCTOS[CODIGO],PRODUCTOS[PPTO_ACTUALIZADO],"",0)</f>
        <v>368.00136099999992</v>
      </c>
      <c r="G40" s="2">
        <f>+_xlfn.XLOOKUP(Tabla2[[#This Row],[CODIGO]],PRODUCTOS[CODIGO],PRODUCTOS[PRECIO COMPRA UNITARIO],"",0)</f>
        <v>347.99213217938632</v>
      </c>
      <c r="H40" s="5">
        <f>+IFERROR(Tabla2[[#This Row],[PRECIO PROMEDIO]]-Tabla2[[#This Row],[PRECIO PPTO]],"")</f>
        <v>-20.0092288206136</v>
      </c>
      <c r="I40" s="2">
        <f>+IFERROR(Tabla2[[#This Row],[CUB. PPTO]]*Tabla2[[#This Row],[PRECIO PPTO]],"")</f>
        <v>6182.4228647999998</v>
      </c>
      <c r="J40" s="2">
        <f>+IFERROR(Tabla2[[#This Row],[CUB. GP]]*Tabla2[[#This Row],[PRECIO PROMEDIO]],"")</f>
        <v>5567.8741148701811</v>
      </c>
    </row>
    <row r="41" spans="1:10" x14ac:dyDescent="0.25">
      <c r="A41">
        <v>408071</v>
      </c>
      <c r="B41" t="s">
        <v>111</v>
      </c>
      <c r="C41" t="str">
        <f>+_xlfn.XLOOKUP(Tabla2[[#This Row],[CODIGO]],PRODUCTOS[CODIGO],PRODUCTOS[DESC CORTA],"",0)</f>
        <v>CLAVO HELICOIDAL</v>
      </c>
      <c r="D41" s="26">
        <f>+_xlfn.XLOOKUP(Tabla2[[#This Row],[CODIGO]],PRODUCTOS[CODIGO],PRODUCTOS[CANT X MODULO],"",0)</f>
        <v>0.20317500000000016</v>
      </c>
      <c r="E41" s="26">
        <f>+_xlfn.XLOOKUP(Tabla2[[#This Row],[CODIGO]],Tabla4[CODIGO],Tabla4[CUBICACION PROM / MODULO (PRESUPUESTO)],"",0)</f>
        <v>0.20317500000000016</v>
      </c>
      <c r="F41" s="2">
        <f>+_xlfn.XLOOKUP(Tabla2[[#This Row],[CODIGO]],PRODUCTOS[CODIGO],PRODUCTOS[PPTO_ACTUALIZADO],"",0)</f>
        <v>23200.297871999981</v>
      </c>
      <c r="G41" s="2">
        <f>+_xlfn.XLOOKUP(Tabla2[[#This Row],[CODIGO]],PRODUCTOS[CODIGO],PRODUCTOS[PRECIO COMPRA UNITARIO],"",0)</f>
        <v>23200.884615384617</v>
      </c>
      <c r="H41" s="5">
        <f>+IFERROR(Tabla2[[#This Row],[PRECIO PROMEDIO]]-Tabla2[[#This Row],[PRECIO PPTO]],"")</f>
        <v>0.58674338463606546</v>
      </c>
      <c r="I41" s="2">
        <f>+IFERROR(Tabla2[[#This Row],[CUB. PPTO]]*Tabla2[[#This Row],[PRECIO PPTO]],"")</f>
        <v>4713.7205201436</v>
      </c>
      <c r="J41" s="2">
        <f>+IFERROR(Tabla2[[#This Row],[CUB. GP]]*Tabla2[[#This Row],[PRECIO PROMEDIO]],"")</f>
        <v>4713.8397317307736</v>
      </c>
    </row>
    <row r="42" spans="1:10" x14ac:dyDescent="0.25">
      <c r="A42">
        <v>5309018</v>
      </c>
      <c r="B42" t="s">
        <v>112</v>
      </c>
      <c r="C42">
        <f>+_xlfn.XLOOKUP(Tabla2[[#This Row],[CODIGO]],PRODUCTOS[CODIGO],PRODUCTOS[DESC CORTA],"",0)</f>
        <v>0</v>
      </c>
      <c r="D42" s="26">
        <f>+_xlfn.XLOOKUP(Tabla2[[#This Row],[CODIGO]],PRODUCTOS[CODIGO],PRODUCTOS[CANT X MODULO],"",0)</f>
        <v>34.649999999999991</v>
      </c>
      <c r="E42" s="26">
        <f>+_xlfn.XLOOKUP(Tabla2[[#This Row],[CODIGO]],Tabla4[CODIGO],Tabla4[CUBICACION PROM / MODULO (PRESUPUESTO)],"",0)</f>
        <v>33</v>
      </c>
      <c r="F42" s="2">
        <f>+_xlfn.XLOOKUP(Tabla2[[#This Row],[CODIGO]],PRODUCTOS[CODIGO],PRODUCTOS[PPTO_ACTUALIZADO],"",0)</f>
        <v>699.99923200000046</v>
      </c>
      <c r="G42" s="2">
        <f>+_xlfn.XLOOKUP(Tabla2[[#This Row],[CODIGO]],PRODUCTOS[CODIGO],PRODUCTOS[PRECIO COMPRA UNITARIO],"",0)</f>
        <v>706.42250000000001</v>
      </c>
      <c r="H42" s="5">
        <f>+IFERROR(Tabla2[[#This Row],[PRECIO PROMEDIO]]-Tabla2[[#This Row],[PRECIO PPTO]],"")</f>
        <v>6.4232679999995526</v>
      </c>
      <c r="I42" s="2">
        <f>+IFERROR(Tabla2[[#This Row],[CUB. PPTO]]*Tabla2[[#This Row],[PRECIO PPTO]],"")</f>
        <v>24254.973388800008</v>
      </c>
      <c r="J42" s="2">
        <f>+IFERROR(Tabla2[[#This Row],[CUB. GP]]*Tabla2[[#This Row],[PRECIO PROMEDIO]],"")</f>
        <v>23311.942500000001</v>
      </c>
    </row>
    <row r="43" spans="1:10" x14ac:dyDescent="0.25">
      <c r="A43">
        <v>302046</v>
      </c>
      <c r="B43" t="s">
        <v>115</v>
      </c>
      <c r="C43" t="str">
        <f>+_xlfn.XLOOKUP(Tabla2[[#This Row],[CODIGO]],PRODUCTOS[CODIGO],PRODUCTOS[DESC CORTA],"",0)</f>
        <v>PINO 2X6X400</v>
      </c>
      <c r="D43" s="26">
        <f>+_xlfn.XLOOKUP(Tabla2[[#This Row],[CODIGO]],PRODUCTOS[CODIGO],PRODUCTOS[CANT X MODULO],"",0)</f>
        <v>34.65</v>
      </c>
      <c r="E43" s="26">
        <f>+_xlfn.XLOOKUP(Tabla2[[#This Row],[CODIGO]],Tabla4[CODIGO],Tabla4[CUBICACION PROM / MODULO (PRESUPUESTO)],"",0)</f>
        <v>33</v>
      </c>
      <c r="F43" s="2">
        <f>+_xlfn.XLOOKUP(Tabla2[[#This Row],[CODIGO]],PRODUCTOS[CODIGO],PRODUCTOS[PPTO_ACTUALIZADO],"",0)</f>
        <v>10156.598467000002</v>
      </c>
      <c r="G43" s="2">
        <f>+_xlfn.XLOOKUP(Tabla2[[#This Row],[CODIGO]],PRODUCTOS[CODIGO],PRODUCTOS[PRECIO COMPRA UNITARIO],"",0)</f>
        <v>10292.490437458782</v>
      </c>
      <c r="H43" s="5">
        <f>+IFERROR(Tabla2[[#This Row],[PRECIO PROMEDIO]]-Tabla2[[#This Row],[PRECIO PPTO]],"")</f>
        <v>135.89197045878063</v>
      </c>
      <c r="I43" s="2">
        <f>+IFERROR(Tabla2[[#This Row],[CUB. PPTO]]*Tabla2[[#This Row],[PRECIO PPTO]],"")</f>
        <v>351926.13688155002</v>
      </c>
      <c r="J43" s="2">
        <f>+IFERROR(Tabla2[[#This Row],[CUB. GP]]*Tabla2[[#This Row],[PRECIO PROMEDIO]],"")</f>
        <v>339652.18443613983</v>
      </c>
    </row>
    <row r="44" spans="1:10" x14ac:dyDescent="0.25">
      <c r="A44">
        <v>302048</v>
      </c>
      <c r="B44" t="s">
        <v>126</v>
      </c>
      <c r="C44" t="str">
        <f>+_xlfn.XLOOKUP(Tabla2[[#This Row],[CODIGO]],PRODUCTOS[CODIGO],PRODUCTOS[DESC CORTA],"",0)</f>
        <v>PINO 2X8X4</v>
      </c>
      <c r="D44" s="26" t="str">
        <f>+_xlfn.XLOOKUP(Tabla2[[#This Row],[CODIGO]],PRODUCTOS[CODIGO],PRODUCTOS[CANT X MODULO],"",0)</f>
        <v/>
      </c>
      <c r="E44" s="26">
        <f>+_xlfn.XLOOKUP(Tabla2[[#This Row],[CODIGO]],Tabla4[CODIGO],Tabla4[CUBICACION PROM / MODULO (PRESUPUESTO)],"",0)</f>
        <v>33.5</v>
      </c>
      <c r="F44" s="2" t="str">
        <f>+_xlfn.XLOOKUP(Tabla2[[#This Row],[CODIGO]],PRODUCTOS[CODIGO],PRODUCTOS[PPTO_ACTUALIZADO],"",0)</f>
        <v/>
      </c>
      <c r="G44" s="2">
        <f>+_xlfn.XLOOKUP(Tabla2[[#This Row],[CODIGO]],PRODUCTOS[CODIGO],PRODUCTOS[PRECIO COMPRA UNITARIO],"",0)</f>
        <v>13720.09507313318</v>
      </c>
      <c r="H44" s="5" t="str">
        <f>+IFERROR(Tabla2[[#This Row],[PRECIO PROMEDIO]]-Tabla2[[#This Row],[PRECIO PPTO]],"")</f>
        <v/>
      </c>
      <c r="I44" s="2" t="str">
        <f>+IFERROR(Tabla2[[#This Row],[CUB. PPTO]]*Tabla2[[#This Row],[PRECIO PPTO]],"")</f>
        <v/>
      </c>
      <c r="J44" s="2">
        <f>+IFERROR(Tabla2[[#This Row],[CUB. GP]]*Tabla2[[#This Row],[PRECIO PROMEDIO]],"")</f>
        <v>459623.18494996149</v>
      </c>
    </row>
    <row r="45" spans="1:10" x14ac:dyDescent="0.25">
      <c r="A45">
        <v>601047</v>
      </c>
      <c r="B45" t="s">
        <v>129</v>
      </c>
      <c r="C45" t="str">
        <f>+_xlfn.XLOOKUP(Tabla2[[#This Row],[CODIGO]],PRODUCTOS[CODIGO],PRODUCTOS[DESC CORTA],"",0)</f>
        <v>ESMALTE AL AGUA</v>
      </c>
      <c r="D45" s="26" t="str">
        <f>+_xlfn.XLOOKUP(Tabla2[[#This Row],[CODIGO]],PRODUCTOS[CODIGO],PRODUCTOS[CANT X MODULO],"",0)</f>
        <v/>
      </c>
      <c r="E45" s="26">
        <f>+_xlfn.XLOOKUP(Tabla2[[#This Row],[CODIGO]],Tabla4[CODIGO],Tabla4[CUBICACION PROM / MODULO (PRESUPUESTO)],"",0)</f>
        <v>0.3</v>
      </c>
      <c r="F45" s="2" t="str">
        <f>+_xlfn.XLOOKUP(Tabla2[[#This Row],[CODIGO]],PRODUCTOS[CODIGO],PRODUCTOS[PPTO_ACTUALIZADO],"",0)</f>
        <v/>
      </c>
      <c r="G45" s="2">
        <f>+_xlfn.XLOOKUP(Tabla2[[#This Row],[CODIGO]],PRODUCTOS[CODIGO],PRODUCTOS[PRECIO COMPRA UNITARIO],"",0)</f>
        <v>49383.5625</v>
      </c>
      <c r="H45" s="5" t="str">
        <f>+IFERROR(Tabla2[[#This Row],[PRECIO PROMEDIO]]-Tabla2[[#This Row],[PRECIO PPTO]],"")</f>
        <v/>
      </c>
      <c r="I45" s="2" t="str">
        <f>+IFERROR(Tabla2[[#This Row],[CUB. PPTO]]*Tabla2[[#This Row],[PRECIO PPTO]],"")</f>
        <v/>
      </c>
      <c r="J45" s="2">
        <f>+IFERROR(Tabla2[[#This Row],[CUB. GP]]*Tabla2[[#This Row],[PRECIO PROMEDIO]],"")</f>
        <v>14815.068749999999</v>
      </c>
    </row>
    <row r="46" spans="1:10" x14ac:dyDescent="0.25">
      <c r="A46">
        <v>2304003</v>
      </c>
      <c r="B46" t="s">
        <v>132</v>
      </c>
      <c r="C46" t="str">
        <f>+_xlfn.XLOOKUP(Tabla2[[#This Row],[CODIGO]],PRODUCTOS[CODIGO],PRODUCTOS[DESC CORTA],"",0)</f>
        <v>SELLO FUNGICIDA</v>
      </c>
      <c r="D46" s="26" t="str">
        <f>+_xlfn.XLOOKUP(Tabla2[[#This Row],[CODIGO]],PRODUCTOS[CODIGO],PRODUCTOS[CANT X MODULO],"",0)</f>
        <v/>
      </c>
      <c r="E46" s="26">
        <f>+_xlfn.XLOOKUP(Tabla2[[#This Row],[CODIGO]],Tabla4[CODIGO],Tabla4[CUBICACION PROM / MODULO (PRESUPUESTO)],"",0)</f>
        <v>0.10833333333333336</v>
      </c>
      <c r="F46" s="2" t="str">
        <f>+_xlfn.XLOOKUP(Tabla2[[#This Row],[CODIGO]],PRODUCTOS[CODIGO],PRODUCTOS[PPTO_ACTUALIZADO],"",0)</f>
        <v/>
      </c>
      <c r="G46" s="2">
        <f>+_xlfn.XLOOKUP(Tabla2[[#This Row],[CODIGO]],PRODUCTOS[CODIGO],PRODUCTOS[PRECIO COMPRA UNITARIO],"",0)</f>
        <v>1298.2558139534883</v>
      </c>
      <c r="H46" s="5" t="str">
        <f>+IFERROR(Tabla2[[#This Row],[PRECIO PROMEDIO]]-Tabla2[[#This Row],[PRECIO PPTO]],"")</f>
        <v/>
      </c>
      <c r="I46" s="2" t="str">
        <f>+IFERROR(Tabla2[[#This Row],[CUB. PPTO]]*Tabla2[[#This Row],[PRECIO PPTO]],"")</f>
        <v/>
      </c>
      <c r="J46" s="2">
        <f>+IFERROR(Tabla2[[#This Row],[CUB. GP]]*Tabla2[[#This Row],[PRECIO PROMEDIO]],"")</f>
        <v>140.64437984496126</v>
      </c>
    </row>
    <row r="47" spans="1:10" x14ac:dyDescent="0.25">
      <c r="A47">
        <v>617016</v>
      </c>
      <c r="B47" t="s">
        <v>133</v>
      </c>
      <c r="C47" t="str">
        <f>+_xlfn.XLOOKUP(Tabla2[[#This Row],[CODIGO]],PRODUCTOS[CODIGO],PRODUCTOS[DESC CORTA],"",0)</f>
        <v>RODILLO CHIPORRO</v>
      </c>
      <c r="D47" s="26" t="str">
        <f>+_xlfn.XLOOKUP(Tabla2[[#This Row],[CODIGO]],PRODUCTOS[CODIGO],PRODUCTOS[CANT X MODULO],"",0)</f>
        <v/>
      </c>
      <c r="E47" s="26">
        <f>+_xlfn.XLOOKUP(Tabla2[[#This Row],[CODIGO]],Tabla4[CODIGO],Tabla4[CUBICACION PROM / MODULO (PRESUPUESTO)],"",0)</f>
        <v>4</v>
      </c>
      <c r="F47" s="2" t="str">
        <f>+_xlfn.XLOOKUP(Tabla2[[#This Row],[CODIGO]],PRODUCTOS[CODIGO],PRODUCTOS[PPTO_ACTUALIZADO],"",0)</f>
        <v/>
      </c>
      <c r="G47" s="2">
        <f>+_xlfn.XLOOKUP(Tabla2[[#This Row],[CODIGO]],PRODUCTOS[CODIGO],PRODUCTOS[PRECIO COMPRA UNITARIO],"",0)</f>
        <v>2863.8965517241381</v>
      </c>
      <c r="H47" s="5" t="str">
        <f>+IFERROR(Tabla2[[#This Row],[PRECIO PROMEDIO]]-Tabla2[[#This Row],[PRECIO PPTO]],"")</f>
        <v/>
      </c>
      <c r="I47" s="2" t="str">
        <f>+IFERROR(Tabla2[[#This Row],[CUB. PPTO]]*Tabla2[[#This Row],[PRECIO PPTO]],"")</f>
        <v/>
      </c>
      <c r="J47" s="2">
        <f>+IFERROR(Tabla2[[#This Row],[CUB. GP]]*Tabla2[[#This Row],[PRECIO PROMEDIO]],"")</f>
        <v>11455.586206896553</v>
      </c>
    </row>
    <row r="48" spans="1:10" x14ac:dyDescent="0.25">
      <c r="A48">
        <v>617057</v>
      </c>
      <c r="B48" t="s">
        <v>134</v>
      </c>
      <c r="C48" t="str">
        <f>+_xlfn.XLOOKUP(Tabla2[[#This Row],[CODIGO]],PRODUCTOS[CODIGO],PRODUCTOS[DESC CORTA],"",0)</f>
        <v>BROCHA 5/8 X4</v>
      </c>
      <c r="D48" s="26" t="str">
        <f>+_xlfn.XLOOKUP(Tabla2[[#This Row],[CODIGO]],PRODUCTOS[CODIGO],PRODUCTOS[CANT X MODULO],"",0)</f>
        <v/>
      </c>
      <c r="E48" s="26">
        <f>+_xlfn.XLOOKUP(Tabla2[[#This Row],[CODIGO]],Tabla4[CODIGO],Tabla4[CUBICACION PROM / MODULO (PRESUPUESTO)],"",0)</f>
        <v>1.5</v>
      </c>
      <c r="F48" s="2" t="str">
        <f>+_xlfn.XLOOKUP(Tabla2[[#This Row],[CODIGO]],PRODUCTOS[CODIGO],PRODUCTOS[PPTO_ACTUALIZADO],"",0)</f>
        <v/>
      </c>
      <c r="G48" s="2">
        <f>+_xlfn.XLOOKUP(Tabla2[[#This Row],[CODIGO]],PRODUCTOS[CODIGO],PRODUCTOS[PRECIO COMPRA UNITARIO],"",0)</f>
        <v>1854.2696078431372</v>
      </c>
      <c r="H48" s="5" t="str">
        <f>+IFERROR(Tabla2[[#This Row],[PRECIO PROMEDIO]]-Tabla2[[#This Row],[PRECIO PPTO]],"")</f>
        <v/>
      </c>
      <c r="I48" s="2" t="str">
        <f>+IFERROR(Tabla2[[#This Row],[CUB. PPTO]]*Tabla2[[#This Row],[PRECIO PPTO]],"")</f>
        <v/>
      </c>
      <c r="J48" s="2">
        <f>+IFERROR(Tabla2[[#This Row],[CUB. GP]]*Tabla2[[#This Row],[PRECIO PROMEDIO]],"")</f>
        <v>2781.4044117647059</v>
      </c>
    </row>
    <row r="49" spans="1:10" x14ac:dyDescent="0.25">
      <c r="A49">
        <v>1802517</v>
      </c>
      <c r="B49" t="s">
        <v>141</v>
      </c>
      <c r="C49" t="str">
        <f>+_xlfn.XLOOKUP(Tabla2[[#This Row],[CODIGO]],PRODUCTOS[CODIGO],PRODUCTOS[DESC CORTA],"",0)</f>
        <v>CELOSIA ALUMINIO 25X25</v>
      </c>
      <c r="D49" s="26">
        <f>+_xlfn.XLOOKUP(Tabla2[[#This Row],[CODIGO]],PRODUCTOS[CODIGO],PRODUCTOS[CANT X MODULO],"",0)</f>
        <v>0.52500000000000002</v>
      </c>
      <c r="E49" s="26">
        <f>+_xlfn.XLOOKUP(Tabla2[[#This Row],[CODIGO]],Tabla4[CODIGO],Tabla4[CUBICACION PROM / MODULO (PRESUPUESTO)],"",0)</f>
        <v>1</v>
      </c>
      <c r="F49" s="2">
        <f>+_xlfn.XLOOKUP(Tabla2[[#This Row],[CODIGO]],PRODUCTOS[CODIGO],PRODUCTOS[PPTO_ACTUALIZADO],"",0)</f>
        <v>2312</v>
      </c>
      <c r="G49" s="2">
        <f>+_xlfn.XLOOKUP(Tabla2[[#This Row],[CODIGO]],PRODUCTOS[CODIGO],PRODUCTOS[PRECIO COMPRA UNITARIO],"",0)</f>
        <v>2312.5</v>
      </c>
      <c r="H49" s="5">
        <f>+IFERROR(Tabla2[[#This Row],[PRECIO PROMEDIO]]-Tabla2[[#This Row],[PRECIO PPTO]],"")</f>
        <v>0.5</v>
      </c>
      <c r="I49" s="2">
        <f>+IFERROR(Tabla2[[#This Row],[CUB. PPTO]]*Tabla2[[#This Row],[PRECIO PPTO]],"")</f>
        <v>1213.8</v>
      </c>
      <c r="J49" s="2">
        <f>+IFERROR(Tabla2[[#This Row],[CUB. GP]]*Tabla2[[#This Row],[PRECIO PROMEDIO]],"")</f>
        <v>2312.5</v>
      </c>
    </row>
    <row r="50" spans="1:10" x14ac:dyDescent="0.25">
      <c r="A50">
        <v>2505058</v>
      </c>
      <c r="B50" t="s">
        <v>142</v>
      </c>
      <c r="C50" t="str">
        <f>+_xlfn.XLOOKUP(Tabla2[[#This Row],[CODIGO]],PRODUCTOS[CODIGO],PRODUCTOS[DESC CORTA],"",0)</f>
        <v>VENTILACIÓN PASIVA</v>
      </c>
      <c r="D50" s="26">
        <f>+_xlfn.XLOOKUP(Tabla2[[#This Row],[CODIGO]],PRODUCTOS[CODIGO],PRODUCTOS[CANT X MODULO],"",0)</f>
        <v>2.1000000000000005</v>
      </c>
      <c r="E50" s="26">
        <f>+_xlfn.XLOOKUP(Tabla2[[#This Row],[CODIGO]],Tabla4[CODIGO],Tabla4[CUBICACION PROM / MODULO (PRESUPUESTO)],"",0)</f>
        <v>2</v>
      </c>
      <c r="F50" s="2">
        <f>+_xlfn.XLOOKUP(Tabla2[[#This Row],[CODIGO]],PRODUCTOS[CODIGO],PRODUCTOS[PPTO_ACTUALIZADO],"",0)</f>
        <v>17870.144068000001</v>
      </c>
      <c r="G50" s="2">
        <f>+_xlfn.XLOOKUP(Tabla2[[#This Row],[CODIGO]],PRODUCTOS[CODIGO],PRODUCTOS[PRECIO COMPRA UNITARIO],"",0)</f>
        <v>16673.191358024691</v>
      </c>
      <c r="H50" s="5">
        <f>+IFERROR(Tabla2[[#This Row],[PRECIO PROMEDIO]]-Tabla2[[#This Row],[PRECIO PPTO]],"")</f>
        <v>-1196.9527099753104</v>
      </c>
      <c r="I50" s="2">
        <f>+IFERROR(Tabla2[[#This Row],[CUB. PPTO]]*Tabla2[[#This Row],[PRECIO PPTO]],"")</f>
        <v>37527.302542800011</v>
      </c>
      <c r="J50" s="2">
        <f>+IFERROR(Tabla2[[#This Row],[CUB. GP]]*Tabla2[[#This Row],[PRECIO PROMEDIO]],"")</f>
        <v>33346.382716049382</v>
      </c>
    </row>
    <row r="51" spans="1:10" x14ac:dyDescent="0.25">
      <c r="A51">
        <v>408042</v>
      </c>
      <c r="B51" t="s">
        <v>144</v>
      </c>
      <c r="C51" t="str">
        <f>+_xlfn.XLOOKUP(Tabla2[[#This Row],[CODIGO]],PRODUCTOS[CODIGO],PRODUCTOS[DESC CORTA],"",0)</f>
        <v>CLAVO HELICOIDAL PROFIX</v>
      </c>
      <c r="D51" s="26">
        <f>+_xlfn.XLOOKUP(Tabla2[[#This Row],[CODIGO]],PRODUCTOS[CODIGO],PRODUCTOS[CANT X MODULO],"",0)</f>
        <v>0.95825624999999959</v>
      </c>
      <c r="E51" s="26">
        <f>+_xlfn.XLOOKUP(Tabla2[[#This Row],[CODIGO]],Tabla4[CODIGO],Tabla4[CUBICACION PROM / MODULO (PRESUPUESTO)],"",0)</f>
        <v>1.1224999999999998</v>
      </c>
      <c r="F51" s="2">
        <f>+_xlfn.XLOOKUP(Tabla2[[#This Row],[CODIGO]],PRODUCTOS[CODIGO],PRODUCTOS[PPTO_ACTUALIZADO],"",0)</f>
        <v>35000.000000000029</v>
      </c>
      <c r="G51" s="2">
        <f>+_xlfn.XLOOKUP(Tabla2[[#This Row],[CODIGO]],PRODUCTOS[CODIGO],PRODUCTOS[PRECIO COMPRA UNITARIO],"",0)</f>
        <v>35000</v>
      </c>
      <c r="H51" s="5">
        <f>+IFERROR(Tabla2[[#This Row],[PRECIO PROMEDIO]]-Tabla2[[#This Row],[PRECIO PPTO]],"")</f>
        <v>-2.9103830456733704E-11</v>
      </c>
      <c r="I51" s="2">
        <f>+IFERROR(Tabla2[[#This Row],[CUB. PPTO]]*Tabla2[[#This Row],[PRECIO PPTO]],"")</f>
        <v>33538.968750000015</v>
      </c>
      <c r="J51" s="2">
        <f>+IFERROR(Tabla2[[#This Row],[CUB. GP]]*Tabla2[[#This Row],[PRECIO PROMEDIO]],"")</f>
        <v>39287.499999999993</v>
      </c>
    </row>
    <row r="52" spans="1:10" x14ac:dyDescent="0.25">
      <c r="A52">
        <v>1003500</v>
      </c>
      <c r="B52" t="s">
        <v>149</v>
      </c>
      <c r="C52" t="str">
        <f>+_xlfn.XLOOKUP(Tabla2[[#This Row],[CODIGO]],PRODUCTOS[CODIGO],PRODUCTOS[DESC CORTA],"",0)</f>
        <v>FORRO DE INICIO</v>
      </c>
      <c r="D52" s="26">
        <f>+_xlfn.XLOOKUP(Tabla2[[#This Row],[CODIGO]],PRODUCTOS[CODIGO],PRODUCTOS[CANT X MODULO],"",0)</f>
        <v>13.650000000000002</v>
      </c>
      <c r="E52" s="26">
        <f>+_xlfn.XLOOKUP(Tabla2[[#This Row],[CODIGO]],Tabla4[CODIGO],Tabla4[CUBICACION PROM / MODULO (PRESUPUESTO)],"",0)</f>
        <v>13</v>
      </c>
      <c r="F52" s="2">
        <f>+_xlfn.XLOOKUP(Tabla2[[#This Row],[CODIGO]],PRODUCTOS[CODIGO],PRODUCTOS[PPTO_ACTUALIZADO],"",0)</f>
        <v>5092.1000000000013</v>
      </c>
      <c r="G52" s="2">
        <f>+_xlfn.XLOOKUP(Tabla2[[#This Row],[CODIGO]],PRODUCTOS[CODIGO],PRODUCTOS[PRECIO COMPRA UNITARIO],"",0)</f>
        <v>5092.1000000000004</v>
      </c>
      <c r="H52" s="5">
        <f>+IFERROR(Tabla2[[#This Row],[PRECIO PROMEDIO]]-Tabla2[[#This Row],[PRECIO PPTO]],"")</f>
        <v>-9.0949470177292824E-13</v>
      </c>
      <c r="I52" s="2">
        <f>+IFERROR(Tabla2[[#This Row],[CUB. PPTO]]*Tabla2[[#This Row],[PRECIO PPTO]],"")</f>
        <v>69507.165000000023</v>
      </c>
      <c r="J52" s="2">
        <f>+IFERROR(Tabla2[[#This Row],[CUB. GP]]*Tabla2[[#This Row],[PRECIO PROMEDIO]],"")</f>
        <v>66197.3</v>
      </c>
    </row>
    <row r="53" spans="1:10" x14ac:dyDescent="0.25">
      <c r="A53">
        <v>1902003</v>
      </c>
      <c r="B53" t="s">
        <v>155</v>
      </c>
      <c r="C53">
        <f>+_xlfn.XLOOKUP(Tabla2[[#This Row],[CODIGO]],PRODUCTOS[CODIGO],PRODUCTOS[DESC CORTA],"",0)</f>
        <v>0</v>
      </c>
      <c r="D53" s="26">
        <f>+_xlfn.XLOOKUP(Tabla2[[#This Row],[CODIGO]],PRODUCTOS[CODIGO],PRODUCTOS[CANT X MODULO],"",0)</f>
        <v>0.41466600000000009</v>
      </c>
      <c r="E53" s="26">
        <f>+_xlfn.XLOOKUP(Tabla2[[#This Row],[CODIGO]],Tabla4[CODIGO],Tabla4[CUBICACION PROM / MODULO (PRESUPUESTO)],"",0)</f>
        <v>0.39491999999999994</v>
      </c>
      <c r="F53" s="2">
        <f>+_xlfn.XLOOKUP(Tabla2[[#This Row],[CODIGO]],PRODUCTOS[CODIGO],PRODUCTOS[PPTO_ACTUALIZADO],"",0)</f>
        <v>150703.97545999996</v>
      </c>
      <c r="G53" s="2">
        <f>+_xlfn.XLOOKUP(Tabla2[[#This Row],[CODIGO]],PRODUCTOS[CODIGO],PRODUCTOS[PRECIO COMPRA UNITARIO],"",0)</f>
        <v>150732.2183908046</v>
      </c>
      <c r="H53" s="5">
        <f>+IFERROR(Tabla2[[#This Row],[PRECIO PROMEDIO]]-Tabla2[[#This Row],[PRECIO PPTO]],"")</f>
        <v>28.242930804641219</v>
      </c>
      <c r="I53" s="2">
        <f>+IFERROR(Tabla2[[#This Row],[CUB. PPTO]]*Tabla2[[#This Row],[PRECIO PPTO]],"")</f>
        <v>62491.814688096354</v>
      </c>
      <c r="J53" s="2">
        <f>+IFERROR(Tabla2[[#This Row],[CUB. GP]]*Tabla2[[#This Row],[PRECIO PROMEDIO]],"")</f>
        <v>59527.167686896544</v>
      </c>
    </row>
    <row r="54" spans="1:10" x14ac:dyDescent="0.25">
      <c r="A54">
        <v>2302017</v>
      </c>
      <c r="B54" t="s">
        <v>156</v>
      </c>
      <c r="C54">
        <f>+_xlfn.XLOOKUP(Tabla2[[#This Row],[CODIGO]],PRODUCTOS[CODIGO],PRODUCTOS[DESC CORTA],"",0)</f>
        <v>0</v>
      </c>
      <c r="D54" s="26">
        <f>+_xlfn.XLOOKUP(Tabla2[[#This Row],[CODIGO]],PRODUCTOS[CODIGO],PRODUCTOS[CANT X MODULO],"",0)</f>
        <v>0.7875000000000002</v>
      </c>
      <c r="E54" s="26">
        <f>+_xlfn.XLOOKUP(Tabla2[[#This Row],[CODIGO]],Tabla4[CODIGO],Tabla4[CUBICACION PROM / MODULO (PRESUPUESTO)],"",0)</f>
        <v>0.75000000000000011</v>
      </c>
      <c r="F54" s="2">
        <f>+_xlfn.XLOOKUP(Tabla2[[#This Row],[CODIGO]],PRODUCTOS[CODIGO],PRODUCTOS[PPTO_ACTUALIZADO],"",0)</f>
        <v>81197.881578999979</v>
      </c>
      <c r="G54" s="2">
        <f>+_xlfn.XLOOKUP(Tabla2[[#This Row],[CODIGO]],PRODUCTOS[CODIGO],PRODUCTOS[PRECIO COMPRA UNITARIO],"",0)</f>
        <v>82632.976190476184</v>
      </c>
      <c r="H54" s="5">
        <f>+IFERROR(Tabla2[[#This Row],[PRECIO PROMEDIO]]-Tabla2[[#This Row],[PRECIO PPTO]],"")</f>
        <v>1435.0946114762046</v>
      </c>
      <c r="I54" s="2">
        <f>+IFERROR(Tabla2[[#This Row],[CUB. PPTO]]*Tabla2[[#This Row],[PRECIO PPTO]],"")</f>
        <v>63943.331743462499</v>
      </c>
      <c r="J54" s="2">
        <f>+IFERROR(Tabla2[[#This Row],[CUB. GP]]*Tabla2[[#This Row],[PRECIO PROMEDIO]],"")</f>
        <v>61974.732142857145</v>
      </c>
    </row>
    <row r="55" spans="1:10" x14ac:dyDescent="0.25">
      <c r="A55">
        <v>410126</v>
      </c>
      <c r="B55" t="s">
        <v>159</v>
      </c>
      <c r="C55">
        <f>+_xlfn.XLOOKUP(Tabla2[[#This Row],[CODIGO]],PRODUCTOS[CODIGO],PRODUCTOS[DESC CORTA],"",0)</f>
        <v>0</v>
      </c>
      <c r="D55" s="26">
        <f>+_xlfn.XLOOKUP(Tabla2[[#This Row],[CODIGO]],PRODUCTOS[CODIGO],PRODUCTOS[CANT X MODULO],"",0)</f>
        <v>10.5</v>
      </c>
      <c r="E55" s="26">
        <f>+_xlfn.XLOOKUP(Tabla2[[#This Row],[CODIGO]],Tabla4[CODIGO],Tabla4[CUBICACION PROM / MODULO (PRESUPUESTO)],"",0)</f>
        <v>10</v>
      </c>
      <c r="F55" s="2">
        <f>+_xlfn.XLOOKUP(Tabla2[[#This Row],[CODIGO]],PRODUCTOS[CODIGO],PRODUCTOS[PPTO_ACTUALIZADO],"",0)</f>
        <v>983.61888099999999</v>
      </c>
      <c r="G55" s="2">
        <f>+_xlfn.XLOOKUP(Tabla2[[#This Row],[CODIGO]],PRODUCTOS[CODIGO],PRODUCTOS[PRECIO COMPRA UNITARIO],"",0)</f>
        <v>983.80157170923383</v>
      </c>
      <c r="H55" s="5">
        <f>+IFERROR(Tabla2[[#This Row],[PRECIO PROMEDIO]]-Tabla2[[#This Row],[PRECIO PPTO]],"")</f>
        <v>0.18269070923383879</v>
      </c>
      <c r="I55" s="2">
        <f>+IFERROR(Tabla2[[#This Row],[CUB. PPTO]]*Tabla2[[#This Row],[PRECIO PPTO]],"")</f>
        <v>10327.998250500001</v>
      </c>
      <c r="J55" s="2">
        <f>+IFERROR(Tabla2[[#This Row],[CUB. GP]]*Tabla2[[#This Row],[PRECIO PROMEDIO]],"")</f>
        <v>9838.0157170923376</v>
      </c>
    </row>
    <row r="56" spans="1:10" x14ac:dyDescent="0.25">
      <c r="A56">
        <v>1802659</v>
      </c>
      <c r="B56" t="s">
        <v>161</v>
      </c>
      <c r="C56">
        <f>+_xlfn.XLOOKUP(Tabla2[[#This Row],[CODIGO]],PRODUCTOS[CODIGO],PRODUCTOS[DESC CORTA],"",0)</f>
        <v>0</v>
      </c>
      <c r="D56" s="26" t="str">
        <f>+_xlfn.XLOOKUP(Tabla2[[#This Row],[CODIGO]],PRODUCTOS[CODIGO],PRODUCTOS[CANT X MODULO],"",0)</f>
        <v/>
      </c>
      <c r="E56" s="26">
        <f>+_xlfn.XLOOKUP(Tabla2[[#This Row],[CODIGO]],Tabla4[CODIGO],Tabla4[CUBICACION PROM / MODULO (PRESUPUESTO)],"",0)</f>
        <v>1</v>
      </c>
      <c r="F56" s="2" t="str">
        <f>+_xlfn.XLOOKUP(Tabla2[[#This Row],[CODIGO]],PRODUCTOS[CODIGO],PRODUCTOS[PPTO_ACTUALIZADO],"",0)</f>
        <v/>
      </c>
      <c r="G56" s="2">
        <f>+_xlfn.XLOOKUP(Tabla2[[#This Row],[CODIGO]],PRODUCTOS[CODIGO],PRODUCTOS[PRECIO COMPRA UNITARIO],"",0)</f>
        <v>2454.0769230769229</v>
      </c>
      <c r="H56" s="5" t="str">
        <f>+IFERROR(Tabla2[[#This Row],[PRECIO PROMEDIO]]-Tabla2[[#This Row],[PRECIO PPTO]],"")</f>
        <v/>
      </c>
      <c r="I56" s="2" t="str">
        <f>+IFERROR(Tabla2[[#This Row],[CUB. PPTO]]*Tabla2[[#This Row],[PRECIO PPTO]],"")</f>
        <v/>
      </c>
      <c r="J56" s="2">
        <f>+IFERROR(Tabla2[[#This Row],[CUB. GP]]*Tabla2[[#This Row],[PRECIO PROMEDIO]],"")</f>
        <v>2454.0769230769229</v>
      </c>
    </row>
    <row r="57" spans="1:10" x14ac:dyDescent="0.25">
      <c r="A57">
        <v>407307</v>
      </c>
      <c r="B57" t="s">
        <v>163</v>
      </c>
      <c r="C57">
        <f>+_xlfn.XLOOKUP(Tabla2[[#This Row],[CODIGO]],PRODUCTOS[CODIGO],PRODUCTOS[DESC CORTA],"",0)</f>
        <v>0</v>
      </c>
      <c r="D57" s="26" t="str">
        <f>+_xlfn.XLOOKUP(Tabla2[[#This Row],[CODIGO]],PRODUCTOS[CODIGO],PRODUCTOS[CANT X MODULO],"",0)</f>
        <v/>
      </c>
      <c r="E57" s="26">
        <f>+_xlfn.XLOOKUP(Tabla2[[#This Row],[CODIGO]],Tabla4[CODIGO],Tabla4[CUBICACION PROM / MODULO (PRESUPUESTO)],"",0)</f>
        <v>62.5</v>
      </c>
      <c r="F57" s="2" t="str">
        <f>+_xlfn.XLOOKUP(Tabla2[[#This Row],[CODIGO]],PRODUCTOS[CODIGO],PRODUCTOS[PPTO_ACTUALIZADO],"",0)</f>
        <v/>
      </c>
      <c r="G57" s="2">
        <f>+_xlfn.XLOOKUP(Tabla2[[#This Row],[CODIGO]],PRODUCTOS[CODIGO],PRODUCTOS[PRECIO COMPRA UNITARIO],"",0)</f>
        <v>72.338549618320613</v>
      </c>
      <c r="H57" s="5" t="str">
        <f>+IFERROR(Tabla2[[#This Row],[PRECIO PROMEDIO]]-Tabla2[[#This Row],[PRECIO PPTO]],"")</f>
        <v/>
      </c>
      <c r="I57" s="2" t="str">
        <f>+IFERROR(Tabla2[[#This Row],[CUB. PPTO]]*Tabla2[[#This Row],[PRECIO PPTO]],"")</f>
        <v/>
      </c>
      <c r="J57" s="2">
        <f>+IFERROR(Tabla2[[#This Row],[CUB. GP]]*Tabla2[[#This Row],[PRECIO PROMEDIO]],"")</f>
        <v>4521.1593511450383</v>
      </c>
    </row>
    <row r="58" spans="1:10" x14ac:dyDescent="0.25">
      <c r="A58">
        <v>412302</v>
      </c>
      <c r="B58" t="s">
        <v>165</v>
      </c>
      <c r="C58">
        <f>+_xlfn.XLOOKUP(Tabla2[[#This Row],[CODIGO]],PRODUCTOS[CODIGO],PRODUCTOS[DESC CORTA],"",0)</f>
        <v>0</v>
      </c>
      <c r="D58" s="26">
        <f>+_xlfn.XLOOKUP(Tabla2[[#This Row],[CODIGO]],PRODUCTOS[CODIGO],PRODUCTOS[CANT X MODULO],"",0)</f>
        <v>1.05</v>
      </c>
      <c r="E58" s="26">
        <f>+_xlfn.XLOOKUP(Tabla2[[#This Row],[CODIGO]],Tabla4[CODIGO],Tabla4[CUBICACION PROM / MODULO (PRESUPUESTO)],"",0)</f>
        <v>2</v>
      </c>
      <c r="F58" s="2">
        <f>+_xlfn.XLOOKUP(Tabla2[[#This Row],[CODIGO]],PRODUCTOS[CODIGO],PRODUCTOS[PPTO_ACTUALIZADO],"",0)</f>
        <v>4742.4586669999999</v>
      </c>
      <c r="G58" s="2">
        <f>+_xlfn.XLOOKUP(Tabla2[[#This Row],[CODIGO]],PRODUCTOS[CODIGO],PRODUCTOS[PRECIO COMPRA UNITARIO],"",0)</f>
        <v>4742.4695652173914</v>
      </c>
      <c r="H58" s="5">
        <f>+IFERROR(Tabla2[[#This Row],[PRECIO PROMEDIO]]-Tabla2[[#This Row],[PRECIO PPTO]],"")</f>
        <v>1.0898217391513754E-2</v>
      </c>
      <c r="I58" s="2">
        <f>+IFERROR(Tabla2[[#This Row],[CUB. PPTO]]*Tabla2[[#This Row],[PRECIO PPTO]],"")</f>
        <v>4979.5816003500004</v>
      </c>
      <c r="J58" s="2">
        <f>+IFERROR(Tabla2[[#This Row],[CUB. GP]]*Tabla2[[#This Row],[PRECIO PROMEDIO]],"")</f>
        <v>9484.9391304347828</v>
      </c>
    </row>
    <row r="59" spans="1:10" x14ac:dyDescent="0.25">
      <c r="A59" t="s">
        <v>166</v>
      </c>
      <c r="B59" t="s">
        <v>167</v>
      </c>
      <c r="C59" t="str">
        <f>+_xlfn.XLOOKUP(Tabla2[[#This Row],[CODIGO]],PRODUCTOS[CODIGO],PRODUCTOS[DESC CORTA],"",0)</f>
        <v>PISO TARKET</v>
      </c>
      <c r="D59" s="26">
        <f>+_xlfn.XLOOKUP(Tabla2[[#This Row],[CODIGO]],PRODUCTOS[CODIGO],PRODUCTOS[CANT X MODULO],"",0)</f>
        <v>7.6124999999999998</v>
      </c>
      <c r="E59" s="26">
        <f>+_xlfn.XLOOKUP(Tabla2[[#This Row],[CODIGO]],Tabla4[CODIGO],Tabla4[CUBICACION PROM / MODULO (PRESUPUESTO)],"",0)</f>
        <v>14.5</v>
      </c>
      <c r="F59" s="2">
        <f>+_xlfn.XLOOKUP(Tabla2[[#This Row],[CODIGO]],PRODUCTOS[CODIGO],PRODUCTOS[PPTO_ACTUALIZADO],"",0)</f>
        <v>11882.387917</v>
      </c>
      <c r="G59" s="2">
        <f>+_xlfn.XLOOKUP(Tabla2[[#This Row],[CODIGO]],PRODUCTOS[CODIGO],PRODUCTOS[PRECIO COMPRA UNITARIO],"",0)</f>
        <v>13418.5859375</v>
      </c>
      <c r="H59" s="5">
        <f>+IFERROR(Tabla2[[#This Row],[PRECIO PROMEDIO]]-Tabla2[[#This Row],[PRECIO PPTO]],"")</f>
        <v>1536.1980205</v>
      </c>
      <c r="I59" s="2">
        <f>+IFERROR(Tabla2[[#This Row],[CUB. PPTO]]*Tabla2[[#This Row],[PRECIO PPTO]],"")</f>
        <v>90454.678018162493</v>
      </c>
      <c r="J59" s="2">
        <f>+IFERROR(Tabla2[[#This Row],[CUB. GP]]*Tabla2[[#This Row],[PRECIO PROMEDIO]],"")</f>
        <v>194569.49609375</v>
      </c>
    </row>
    <row r="60" spans="1:10" x14ac:dyDescent="0.25">
      <c r="A60">
        <v>407427</v>
      </c>
      <c r="B60" t="s">
        <v>172</v>
      </c>
      <c r="C60">
        <f>+_xlfn.XLOOKUP(Tabla2[[#This Row],[CODIGO]],PRODUCTOS[CODIGO],PRODUCTOS[DESC CORTA],"",0)</f>
        <v>0</v>
      </c>
      <c r="D60" s="26">
        <f>+_xlfn.XLOOKUP(Tabla2[[#This Row],[CODIGO]],PRODUCTOS[CODIGO],PRODUCTOS[CANT X MODULO],"",0)</f>
        <v>0.105</v>
      </c>
      <c r="E60" s="26">
        <f>+_xlfn.XLOOKUP(Tabla2[[#This Row],[CODIGO]],Tabla4[CODIGO],Tabla4[CUBICACION PROM / MODULO (PRESUPUESTO)],"",0)</f>
        <v>0.19999999999999998</v>
      </c>
      <c r="F60" s="2">
        <f>+_xlfn.XLOOKUP(Tabla2[[#This Row],[CODIGO]],PRODUCTOS[CODIGO],PRODUCTOS[PPTO_ACTUALIZADO],"",0)</f>
        <v>22557.545454999999</v>
      </c>
      <c r="G60" s="2">
        <f>+_xlfn.XLOOKUP(Tabla2[[#This Row],[CODIGO]],PRODUCTOS[CODIGO],PRODUCTOS[PRECIO COMPRA UNITARIO],"",0)</f>
        <v>22557.666666666668</v>
      </c>
      <c r="H60" s="5">
        <f>+IFERROR(Tabla2[[#This Row],[PRECIO PROMEDIO]]-Tabla2[[#This Row],[PRECIO PPTO]],"")</f>
        <v>0.1212116666683869</v>
      </c>
      <c r="I60" s="2">
        <f>+IFERROR(Tabla2[[#This Row],[CUB. PPTO]]*Tabla2[[#This Row],[PRECIO PPTO]],"")</f>
        <v>2368.5422727749997</v>
      </c>
      <c r="J60" s="2">
        <f>+IFERROR(Tabla2[[#This Row],[CUB. GP]]*Tabla2[[#This Row],[PRECIO PROMEDIO]],"")</f>
        <v>4511.5333333333328</v>
      </c>
    </row>
    <row r="61" spans="1:10" x14ac:dyDescent="0.25">
      <c r="A61">
        <v>302249</v>
      </c>
      <c r="B61" t="s">
        <v>178</v>
      </c>
      <c r="C61">
        <f>+_xlfn.XLOOKUP(Tabla2[[#This Row],[CODIGO]],PRODUCTOS[CODIGO],PRODUCTOS[DESC CORTA],"",0)</f>
        <v>0</v>
      </c>
      <c r="D61" s="26">
        <f>+_xlfn.XLOOKUP(Tabla2[[#This Row],[CODIGO]],PRODUCTOS[CODIGO],PRODUCTOS[CANT X MODULO],"",0)</f>
        <v>6.3000000000000007</v>
      </c>
      <c r="E61" s="26">
        <f>+_xlfn.XLOOKUP(Tabla2[[#This Row],[CODIGO]],Tabla4[CODIGO],Tabla4[CUBICACION PROM / MODULO (PRESUPUESTO)],"",0)</f>
        <v>6</v>
      </c>
      <c r="F61" s="2">
        <f>+_xlfn.XLOOKUP(Tabla2[[#This Row],[CODIGO]],PRODUCTOS[CODIGO],PRODUCTOS[PPTO_ACTUALIZADO],"",0)</f>
        <v>2226.3091479999998</v>
      </c>
      <c r="G61" s="2">
        <f>+_xlfn.XLOOKUP(Tabla2[[#This Row],[CODIGO]],PRODUCTOS[CODIGO],PRODUCTOS[PRECIO COMPRA UNITARIO],"",0)</f>
        <v>2259.5537634408602</v>
      </c>
      <c r="H61" s="5">
        <f>+IFERROR(Tabla2[[#This Row],[PRECIO PROMEDIO]]-Tabla2[[#This Row],[PRECIO PPTO]],"")</f>
        <v>33.244615440860343</v>
      </c>
      <c r="I61" s="2">
        <f>+IFERROR(Tabla2[[#This Row],[CUB. PPTO]]*Tabla2[[#This Row],[PRECIO PPTO]],"")</f>
        <v>14025.7476324</v>
      </c>
      <c r="J61" s="2">
        <f>+IFERROR(Tabla2[[#This Row],[CUB. GP]]*Tabla2[[#This Row],[PRECIO PROMEDIO]],"")</f>
        <v>13557.322580645161</v>
      </c>
    </row>
    <row r="62" spans="1:10" x14ac:dyDescent="0.25">
      <c r="A62" t="s">
        <v>179</v>
      </c>
      <c r="B62" t="s">
        <v>180</v>
      </c>
      <c r="C62">
        <f>+_xlfn.XLOOKUP(Tabla2[[#This Row],[CODIGO]],PRODUCTOS[CODIGO],PRODUCTOS[DESC CORTA],"",0)</f>
        <v>0</v>
      </c>
      <c r="D62" s="26">
        <f>+_xlfn.XLOOKUP(Tabla2[[#This Row],[CODIGO]],PRODUCTOS[CODIGO],PRODUCTOS[CANT X MODULO],"",0)</f>
        <v>0.68833333333333335</v>
      </c>
      <c r="E62" s="26">
        <f>+_xlfn.XLOOKUP(Tabla2[[#This Row],[CODIGO]],Tabla4[CODIGO],Tabla4[CUBICACION PROM / MODULO (PRESUPUESTO)],"",0)</f>
        <v>0.65555555555555545</v>
      </c>
      <c r="F62" s="2">
        <f>+_xlfn.XLOOKUP(Tabla2[[#This Row],[CODIGO]],PRODUCTOS[CODIGO],PRODUCTOS[PPTO_ACTUALIZADO],"",0)</f>
        <v>55858.301886999994</v>
      </c>
      <c r="G62" s="2">
        <f>+_xlfn.XLOOKUP(Tabla2[[#This Row],[CODIGO]],PRODUCTOS[CODIGO],PRODUCTOS[PRECIO COMPRA UNITARIO],"",0)</f>
        <v>58636.027777777781</v>
      </c>
      <c r="H62" s="5">
        <f>+IFERROR(Tabla2[[#This Row],[PRECIO PROMEDIO]]-Tabla2[[#This Row],[PRECIO PPTO]],"")</f>
        <v>2777.7258907777868</v>
      </c>
      <c r="I62" s="2">
        <f>+IFERROR(Tabla2[[#This Row],[CUB. PPTO]]*Tabla2[[#This Row],[PRECIO PPTO]],"")</f>
        <v>38449.131132218332</v>
      </c>
      <c r="J62" s="2">
        <f>+IFERROR(Tabla2[[#This Row],[CUB. GP]]*Tabla2[[#This Row],[PRECIO PROMEDIO]],"")</f>
        <v>38439.173765432097</v>
      </c>
    </row>
    <row r="63" spans="1:10" x14ac:dyDescent="0.25">
      <c r="A63">
        <v>617055</v>
      </c>
      <c r="B63" t="s">
        <v>182</v>
      </c>
      <c r="C63">
        <f>+_xlfn.XLOOKUP(Tabla2[[#This Row],[CODIGO]],PRODUCTOS[CODIGO],PRODUCTOS[DESC CORTA],"",0)</f>
        <v>0</v>
      </c>
      <c r="D63" s="26" t="str">
        <f>+_xlfn.XLOOKUP(Tabla2[[#This Row],[CODIGO]],PRODUCTOS[CODIGO],PRODUCTOS[CANT X MODULO],"",0)</f>
        <v/>
      </c>
      <c r="E63" s="26">
        <f>+_xlfn.XLOOKUP(Tabla2[[#This Row],[CODIGO]],Tabla4[CODIGO],Tabla4[CUBICACION PROM / MODULO (PRESUPUESTO)],"",0)</f>
        <v>2</v>
      </c>
      <c r="F63" s="2" t="str">
        <f>+_xlfn.XLOOKUP(Tabla2[[#This Row],[CODIGO]],PRODUCTOS[CODIGO],PRODUCTOS[PPTO_ACTUALIZADO],"",0)</f>
        <v/>
      </c>
      <c r="G63" s="2">
        <f>+_xlfn.XLOOKUP(Tabla2[[#This Row],[CODIGO]],PRODUCTOS[CODIGO],PRODUCTOS[PRECIO COMPRA UNITARIO],"",0)</f>
        <v>775.29133858267721</v>
      </c>
      <c r="H63" s="5" t="str">
        <f>+IFERROR(Tabla2[[#This Row],[PRECIO PROMEDIO]]-Tabla2[[#This Row],[PRECIO PPTO]],"")</f>
        <v/>
      </c>
      <c r="I63" s="2" t="str">
        <f>+IFERROR(Tabla2[[#This Row],[CUB. PPTO]]*Tabla2[[#This Row],[PRECIO PPTO]],"")</f>
        <v/>
      </c>
      <c r="J63" s="2">
        <f>+IFERROR(Tabla2[[#This Row],[CUB. GP]]*Tabla2[[#This Row],[PRECIO PROMEDIO]],"")</f>
        <v>1550.5826771653544</v>
      </c>
    </row>
    <row r="64" spans="1:10" x14ac:dyDescent="0.25">
      <c r="A64">
        <v>307032</v>
      </c>
      <c r="B64" t="s">
        <v>186</v>
      </c>
      <c r="C64">
        <f>+_xlfn.XLOOKUP(Tabla2[[#This Row],[CODIGO]],PRODUCTOS[CODIGO],PRODUCTOS[DESC CORTA],"",0)</f>
        <v>0</v>
      </c>
      <c r="D64" s="26">
        <f>+_xlfn.XLOOKUP(Tabla2[[#This Row],[CODIGO]],PRODUCTOS[CODIGO],PRODUCTOS[CANT X MODULO],"",0)</f>
        <v>8.4</v>
      </c>
      <c r="E64" s="26">
        <f>+_xlfn.XLOOKUP(Tabla2[[#This Row],[CODIGO]],Tabla4[CODIGO],Tabla4[CUBICACION PROM / MODULO (PRESUPUESTO)],"",0)</f>
        <v>8</v>
      </c>
      <c r="F64" s="2">
        <f>+_xlfn.XLOOKUP(Tabla2[[#This Row],[CODIGO]],PRODUCTOS[CODIGO],PRODUCTOS[PPTO_ACTUALIZADO],"",0)</f>
        <v>2378.3750409999998</v>
      </c>
      <c r="G64" s="2">
        <f>+_xlfn.XLOOKUP(Tabla2[[#This Row],[CODIGO]],PRODUCTOS[CODIGO],PRODUCTOS[PRECIO COMPRA UNITARIO],"",0)</f>
        <v>2228.5600706713781</v>
      </c>
      <c r="H64" s="5">
        <f>+IFERROR(Tabla2[[#This Row],[PRECIO PROMEDIO]]-Tabla2[[#This Row],[PRECIO PPTO]],"")</f>
        <v>-149.81497032862171</v>
      </c>
      <c r="I64" s="2">
        <f>+IFERROR(Tabla2[[#This Row],[CUB. PPTO]]*Tabla2[[#This Row],[PRECIO PPTO]],"")</f>
        <v>19978.350344399998</v>
      </c>
      <c r="J64" s="2">
        <f>+IFERROR(Tabla2[[#This Row],[CUB. GP]]*Tabla2[[#This Row],[PRECIO PROMEDIO]],"")</f>
        <v>17828.480565371025</v>
      </c>
    </row>
    <row r="65" spans="1:10" x14ac:dyDescent="0.25">
      <c r="A65">
        <v>1405025</v>
      </c>
      <c r="B65" t="s">
        <v>189</v>
      </c>
      <c r="C65">
        <f>+_xlfn.XLOOKUP(Tabla2[[#This Row],[CODIGO]],PRODUCTOS[CODIGO],PRODUCTOS[DESC CORTA],"",0)</f>
        <v>0</v>
      </c>
      <c r="D65" s="26">
        <f>+_xlfn.XLOOKUP(Tabla2[[#This Row],[CODIGO]],PRODUCTOS[CODIGO],PRODUCTOS[CANT X MODULO],"",0)</f>
        <v>0.52500000000000002</v>
      </c>
      <c r="E65" s="26">
        <f>+_xlfn.XLOOKUP(Tabla2[[#This Row],[CODIGO]],Tabla4[CODIGO],Tabla4[CUBICACION PROM / MODULO (PRESUPUESTO)],"",0)</f>
        <v>1</v>
      </c>
      <c r="F65" s="2">
        <f>+_xlfn.XLOOKUP(Tabla2[[#This Row],[CODIGO]],PRODUCTOS[CODIGO],PRODUCTOS[PPTO_ACTUALIZADO],"",0)</f>
        <v>6758.5333330000003</v>
      </c>
      <c r="G65" s="2">
        <f>+_xlfn.XLOOKUP(Tabla2[[#This Row],[CODIGO]],PRODUCTOS[CODIGO],PRODUCTOS[PRECIO COMPRA UNITARIO],"",0)</f>
        <v>6978.7567567567567</v>
      </c>
      <c r="H65" s="5">
        <f>+IFERROR(Tabla2[[#This Row],[PRECIO PROMEDIO]]-Tabla2[[#This Row],[PRECIO PPTO]],"")</f>
        <v>220.22342375675635</v>
      </c>
      <c r="I65" s="2">
        <f>+IFERROR(Tabla2[[#This Row],[CUB. PPTO]]*Tabla2[[#This Row],[PRECIO PPTO]],"")</f>
        <v>3548.2299998250005</v>
      </c>
      <c r="J65" s="2">
        <f>+IFERROR(Tabla2[[#This Row],[CUB. GP]]*Tabla2[[#This Row],[PRECIO PROMEDIO]],"")</f>
        <v>6978.7567567567567</v>
      </c>
    </row>
    <row r="66" spans="1:10" x14ac:dyDescent="0.25">
      <c r="A66">
        <v>1206002</v>
      </c>
      <c r="B66" t="s">
        <v>192</v>
      </c>
      <c r="C66">
        <f>+_xlfn.XLOOKUP(Tabla2[[#This Row],[CODIGO]],PRODUCTOS[CODIGO],PRODUCTOS[DESC CORTA],"",0)</f>
        <v>0</v>
      </c>
      <c r="D66" s="26">
        <f>+_xlfn.XLOOKUP(Tabla2[[#This Row],[CODIGO]],PRODUCTOS[CODIGO],PRODUCTOS[CANT X MODULO],"",0)</f>
        <v>0.52500000000000002</v>
      </c>
      <c r="E66" s="26">
        <f>+_xlfn.XLOOKUP(Tabla2[[#This Row],[CODIGO]],Tabla4[CODIGO],Tabla4[CUBICACION PROM / MODULO (PRESUPUESTO)],"",0)</f>
        <v>1</v>
      </c>
      <c r="F66" s="2">
        <f>+_xlfn.XLOOKUP(Tabla2[[#This Row],[CODIGO]],PRODUCTOS[CODIGO],PRODUCTOS[PPTO_ACTUALIZADO],"",0)</f>
        <v>15783.483871</v>
      </c>
      <c r="G66" s="2">
        <f>+_xlfn.XLOOKUP(Tabla2[[#This Row],[CODIGO]],PRODUCTOS[CODIGO],PRODUCTOS[PRECIO COMPRA UNITARIO],"",0)</f>
        <v>20104.325000000001</v>
      </c>
      <c r="H66" s="5">
        <f>+IFERROR(Tabla2[[#This Row],[PRECIO PROMEDIO]]-Tabla2[[#This Row],[PRECIO PPTO]],"")</f>
        <v>4320.8411290000004</v>
      </c>
      <c r="I66" s="2">
        <f>+IFERROR(Tabla2[[#This Row],[CUB. PPTO]]*Tabla2[[#This Row],[PRECIO PPTO]],"")</f>
        <v>8286.3290322749999</v>
      </c>
      <c r="J66" s="2">
        <f>+IFERROR(Tabla2[[#This Row],[CUB. GP]]*Tabla2[[#This Row],[PRECIO PROMEDIO]],"")</f>
        <v>20104.325000000001</v>
      </c>
    </row>
    <row r="67" spans="1:10" x14ac:dyDescent="0.25">
      <c r="A67">
        <v>1808006</v>
      </c>
      <c r="B67" t="s">
        <v>194</v>
      </c>
      <c r="C67">
        <f>+_xlfn.XLOOKUP(Tabla2[[#This Row],[CODIGO]],PRODUCTOS[CODIGO],PRODUCTOS[DESC CORTA],"",0)</f>
        <v>0</v>
      </c>
      <c r="D67" s="26">
        <f>+_xlfn.XLOOKUP(Tabla2[[#This Row],[CODIGO]],PRODUCTOS[CODIGO],PRODUCTOS[CANT X MODULO],"",0)</f>
        <v>0.65625</v>
      </c>
      <c r="E67" s="26">
        <f>+_xlfn.XLOOKUP(Tabla2[[#This Row],[CODIGO]],Tabla4[CODIGO],Tabla4[CUBICACION PROM / MODULO (PRESUPUESTO)],"",0)</f>
        <v>1.25</v>
      </c>
      <c r="F67" s="2">
        <f>+_xlfn.XLOOKUP(Tabla2[[#This Row],[CODIGO]],PRODUCTOS[CODIGO],PRODUCTOS[PPTO_ACTUALIZADO],"",0)</f>
        <v>2906.671096</v>
      </c>
      <c r="G67" s="2">
        <f>+_xlfn.XLOOKUP(Tabla2[[#This Row],[CODIGO]],PRODUCTOS[CODIGO],PRODUCTOS[PRECIO COMPRA UNITARIO],"",0)</f>
        <v>2906.6923076923076</v>
      </c>
      <c r="H67" s="5">
        <f>+IFERROR(Tabla2[[#This Row],[PRECIO PROMEDIO]]-Tabla2[[#This Row],[PRECIO PPTO]],"")</f>
        <v>2.1211692307588237E-2</v>
      </c>
      <c r="I67" s="2">
        <f>+IFERROR(Tabla2[[#This Row],[CUB. PPTO]]*Tabla2[[#This Row],[PRECIO PPTO]],"")</f>
        <v>1907.50290675</v>
      </c>
      <c r="J67" s="2">
        <f>+IFERROR(Tabla2[[#This Row],[CUB. GP]]*Tabla2[[#This Row],[PRECIO PROMEDIO]],"")</f>
        <v>3633.3653846153848</v>
      </c>
    </row>
    <row r="68" spans="1:10" x14ac:dyDescent="0.25">
      <c r="A68">
        <v>1808003</v>
      </c>
      <c r="B68" t="s">
        <v>195</v>
      </c>
      <c r="C68">
        <f>+_xlfn.XLOOKUP(Tabla2[[#This Row],[CODIGO]],PRODUCTOS[CODIGO],PRODUCTOS[DESC CORTA],"",0)</f>
        <v>0</v>
      </c>
      <c r="D68" s="26">
        <f>+_xlfn.XLOOKUP(Tabla2[[#This Row],[CODIGO]],PRODUCTOS[CODIGO],PRODUCTOS[CANT X MODULO],"",0)</f>
        <v>0.91874999999999996</v>
      </c>
      <c r="E68" s="26">
        <f>+_xlfn.XLOOKUP(Tabla2[[#This Row],[CODIGO]],Tabla4[CODIGO],Tabla4[CUBICACION PROM / MODULO (PRESUPUESTO)],"",0)</f>
        <v>1.75</v>
      </c>
      <c r="F68" s="2">
        <f>+_xlfn.XLOOKUP(Tabla2[[#This Row],[CODIGO]],PRODUCTOS[CODIGO],PRODUCTOS[PPTO_ACTUALIZADO],"",0)</f>
        <v>167.74485800000002</v>
      </c>
      <c r="G68" s="2">
        <f>+_xlfn.XLOOKUP(Tabla2[[#This Row],[CODIGO]],PRODUCTOS[CODIGO],PRODUCTOS[PRECIO COMPRA UNITARIO],"",0)</f>
        <v>167.73417721518987</v>
      </c>
      <c r="H68" s="5">
        <f>+IFERROR(Tabla2[[#This Row],[PRECIO PROMEDIO]]-Tabla2[[#This Row],[PRECIO PPTO]],"")</f>
        <v>-1.0680784810148225E-2</v>
      </c>
      <c r="I68" s="2">
        <f>+IFERROR(Tabla2[[#This Row],[CUB. PPTO]]*Tabla2[[#This Row],[PRECIO PPTO]],"")</f>
        <v>154.1155882875</v>
      </c>
      <c r="J68" s="2">
        <f>+IFERROR(Tabla2[[#This Row],[CUB. GP]]*Tabla2[[#This Row],[PRECIO PROMEDIO]],"")</f>
        <v>293.53481012658227</v>
      </c>
    </row>
    <row r="69" spans="1:10" x14ac:dyDescent="0.25">
      <c r="A69">
        <v>1802176</v>
      </c>
      <c r="B69" t="s">
        <v>196</v>
      </c>
      <c r="C69">
        <f>+_xlfn.XLOOKUP(Tabla2[[#This Row],[CODIGO]],PRODUCTOS[CODIGO],PRODUCTOS[DESC CORTA],"",0)</f>
        <v>0</v>
      </c>
      <c r="D69" s="26">
        <f>+_xlfn.XLOOKUP(Tabla2[[#This Row],[CODIGO]],PRODUCTOS[CODIGO],PRODUCTOS[CANT X MODULO],"",0)</f>
        <v>0.52500000000000002</v>
      </c>
      <c r="E69" s="26">
        <f>+_xlfn.XLOOKUP(Tabla2[[#This Row],[CODIGO]],Tabla4[CODIGO],Tabla4[CUBICACION PROM / MODULO (PRESUPUESTO)],"",0)</f>
        <v>1</v>
      </c>
      <c r="F69" s="2">
        <f>+_xlfn.XLOOKUP(Tabla2[[#This Row],[CODIGO]],PRODUCTOS[CODIGO],PRODUCTOS[PPTO_ACTUALIZADO],"",0)</f>
        <v>2199</v>
      </c>
      <c r="G69" s="2">
        <f>+_xlfn.XLOOKUP(Tabla2[[#This Row],[CODIGO]],PRODUCTOS[CODIGO],PRODUCTOS[PRECIO COMPRA UNITARIO],"",0)</f>
        <v>2199</v>
      </c>
      <c r="H69" s="5">
        <f>+IFERROR(Tabla2[[#This Row],[PRECIO PROMEDIO]]-Tabla2[[#This Row],[PRECIO PPTO]],"")</f>
        <v>0</v>
      </c>
      <c r="I69" s="2">
        <f>+IFERROR(Tabla2[[#This Row],[CUB. PPTO]]*Tabla2[[#This Row],[PRECIO PPTO]],"")</f>
        <v>1154.4750000000001</v>
      </c>
      <c r="J69" s="2">
        <f>+IFERROR(Tabla2[[#This Row],[CUB. GP]]*Tabla2[[#This Row],[PRECIO PROMEDIO]],"")</f>
        <v>2199</v>
      </c>
    </row>
    <row r="70" spans="1:10" x14ac:dyDescent="0.25">
      <c r="A70">
        <v>701043</v>
      </c>
      <c r="B70" t="s">
        <v>197</v>
      </c>
      <c r="C70" t="str">
        <f>+_xlfn.XLOOKUP(Tabla2[[#This Row],[CODIGO]],PRODUCTOS[CODIGO],PRODUCTOS[DESC CORTA],"",0)</f>
        <v>VOLCANITA EMPAPELADA CIELO</v>
      </c>
      <c r="D70" s="26">
        <f>+_xlfn.XLOOKUP(Tabla2[[#This Row],[CODIGO]],PRODUCTOS[CODIGO],PRODUCTOS[CANT X MODULO],"",0)</f>
        <v>7.0875000000000012</v>
      </c>
      <c r="E70" s="26">
        <f>+_xlfn.XLOOKUP(Tabla2[[#This Row],[CODIGO]],Tabla4[CODIGO],Tabla4[CUBICACION PROM / MODULO (PRESUPUESTO)],"",0)</f>
        <v>6.75</v>
      </c>
      <c r="F70" s="2">
        <f>+_xlfn.XLOOKUP(Tabla2[[#This Row],[CODIGO]],PRODUCTOS[CODIGO],PRODUCTOS[PPTO_ACTUALIZADO],"",0)</f>
        <v>22146.362772</v>
      </c>
      <c r="G70" s="2">
        <f>+_xlfn.XLOOKUP(Tabla2[[#This Row],[CODIGO]],PRODUCTOS[CODIGO],PRODUCTOS[PRECIO COMPRA UNITARIO],"",0)</f>
        <v>22493.996861924687</v>
      </c>
      <c r="H70" s="5">
        <f>+IFERROR(Tabla2[[#This Row],[PRECIO PROMEDIO]]-Tabla2[[#This Row],[PRECIO PPTO]],"")</f>
        <v>347.63408992468612</v>
      </c>
      <c r="I70" s="2">
        <f>+IFERROR(Tabla2[[#This Row],[CUB. PPTO]]*Tabla2[[#This Row],[PRECIO PPTO]],"")</f>
        <v>156962.34614655003</v>
      </c>
      <c r="J70" s="2">
        <f>+IFERROR(Tabla2[[#This Row],[CUB. GP]]*Tabla2[[#This Row],[PRECIO PROMEDIO]],"")</f>
        <v>151834.47881799162</v>
      </c>
    </row>
    <row r="71" spans="1:10" x14ac:dyDescent="0.25">
      <c r="A71">
        <v>1405006</v>
      </c>
      <c r="B71" t="s">
        <v>199</v>
      </c>
      <c r="C71">
        <f>+_xlfn.XLOOKUP(Tabla2[[#This Row],[CODIGO]],PRODUCTOS[CODIGO],PRODUCTOS[DESC CORTA],"",0)</f>
        <v>0</v>
      </c>
      <c r="D71" s="26">
        <f>+_xlfn.XLOOKUP(Tabla2[[#This Row],[CODIGO]],PRODUCTOS[CODIGO],PRODUCTOS[CANT X MODULO],"",0)</f>
        <v>30.450000000000003</v>
      </c>
      <c r="E71" s="26">
        <f>+_xlfn.XLOOKUP(Tabla2[[#This Row],[CODIGO]],Tabla4[CODIGO],Tabla4[CUBICACION PROM / MODULO (PRESUPUESTO)],"",0)</f>
        <v>29</v>
      </c>
      <c r="F71" s="2">
        <f>+_xlfn.XLOOKUP(Tabla2[[#This Row],[CODIGO]],PRODUCTOS[CODIGO],PRODUCTOS[PPTO_ACTUALIZADO],"",0)</f>
        <v>35.197460000000007</v>
      </c>
      <c r="G71" s="2">
        <f>+_xlfn.XLOOKUP(Tabla2[[#This Row],[CODIGO]],PRODUCTOS[CODIGO],PRODUCTOS[PRECIO COMPRA UNITARIO],"",0)</f>
        <v>35.258309859154927</v>
      </c>
      <c r="H71" s="5">
        <f>+IFERROR(Tabla2[[#This Row],[PRECIO PROMEDIO]]-Tabla2[[#This Row],[PRECIO PPTO]],"")</f>
        <v>6.0849859154920694E-2</v>
      </c>
      <c r="I71" s="2">
        <f>+IFERROR(Tabla2[[#This Row],[CUB. PPTO]]*Tabla2[[#This Row],[PRECIO PPTO]],"")</f>
        <v>1071.7626570000002</v>
      </c>
      <c r="J71" s="2">
        <f>+IFERROR(Tabla2[[#This Row],[CUB. GP]]*Tabla2[[#This Row],[PRECIO PROMEDIO]],"")</f>
        <v>1022.4909859154928</v>
      </c>
    </row>
    <row r="72" spans="1:10" x14ac:dyDescent="0.25">
      <c r="A72">
        <v>602255</v>
      </c>
      <c r="B72" t="s">
        <v>203</v>
      </c>
      <c r="C72">
        <f>+_xlfn.XLOOKUP(Tabla2[[#This Row],[CODIGO]],PRODUCTOS[CODIGO],PRODUCTOS[DESC CORTA],"",0)</f>
        <v>0</v>
      </c>
      <c r="D72" s="26">
        <f>+_xlfn.XLOOKUP(Tabla2[[#This Row],[CODIGO]],PRODUCTOS[CODIGO],PRODUCTOS[CANT X MODULO],"",0)</f>
        <v>0.30194718749999999</v>
      </c>
      <c r="E72" s="26">
        <f>+_xlfn.XLOOKUP(Tabla2[[#This Row],[CODIGO]],Tabla4[CODIGO],Tabla4[CUBICACION PROM / MODULO (PRESUPUESTO)],"",0)</f>
        <v>0.57513749999999997</v>
      </c>
      <c r="F72" s="2">
        <f>+_xlfn.XLOOKUP(Tabla2[[#This Row],[CODIGO]],PRODUCTOS[CODIGO],PRODUCTOS[PPTO_ACTUALIZADO],"",0)</f>
        <v>47889.5</v>
      </c>
      <c r="G72" s="2">
        <f>+_xlfn.XLOOKUP(Tabla2[[#This Row],[CODIGO]],PRODUCTOS[CODIGO],PRODUCTOS[PRECIO COMPRA UNITARIO],"",0)</f>
        <v>47890</v>
      </c>
      <c r="H72" s="5">
        <f>+IFERROR(Tabla2[[#This Row],[PRECIO PROMEDIO]]-Tabla2[[#This Row],[PRECIO PPTO]],"")</f>
        <v>0.5</v>
      </c>
      <c r="I72" s="2">
        <f>+IFERROR(Tabla2[[#This Row],[CUB. PPTO]]*Tabla2[[#This Row],[PRECIO PPTO]],"")</f>
        <v>14460.09983578125</v>
      </c>
      <c r="J72" s="2">
        <f>+IFERROR(Tabla2[[#This Row],[CUB. GP]]*Tabla2[[#This Row],[PRECIO PROMEDIO]],"")</f>
        <v>27543.334874999997</v>
      </c>
    </row>
    <row r="73" spans="1:10" x14ac:dyDescent="0.25">
      <c r="A73">
        <v>701096</v>
      </c>
      <c r="B73" t="s">
        <v>204</v>
      </c>
      <c r="C73" t="str">
        <f>+_xlfn.XLOOKUP(Tabla2[[#This Row],[CODIGO]],PRODUCTOS[CODIGO],PRODUCTOS[DESC CORTA],"",0)</f>
        <v>VOCANITA EMPAPELADA MURO</v>
      </c>
      <c r="D73" s="26">
        <f>+_xlfn.XLOOKUP(Tabla2[[#This Row],[CODIGO]],PRODUCTOS[CODIGO],PRODUCTOS[CANT X MODULO],"",0)</f>
        <v>31.237499999999997</v>
      </c>
      <c r="E73" s="26">
        <f>+_xlfn.XLOOKUP(Tabla2[[#This Row],[CODIGO]],Tabla4[CODIGO],Tabla4[CUBICACION PROM / MODULO (PRESUPUESTO)],"",0)</f>
        <v>29.75</v>
      </c>
      <c r="F73" s="2">
        <f>+_xlfn.XLOOKUP(Tabla2[[#This Row],[CODIGO]],PRODUCTOS[CODIGO],PRODUCTOS[PPTO_ACTUALIZADO],"",0)</f>
        <v>16019.885685000005</v>
      </c>
      <c r="G73" s="2">
        <f>+_xlfn.XLOOKUP(Tabla2[[#This Row],[CODIGO]],PRODUCTOS[CODIGO],PRODUCTOS[PRECIO COMPRA UNITARIO],"",0)</f>
        <v>16226.792738275341</v>
      </c>
      <c r="H73" s="5">
        <f>+IFERROR(Tabla2[[#This Row],[PRECIO PROMEDIO]]-Tabla2[[#This Row],[PRECIO PPTO]],"")</f>
        <v>206.90705327533578</v>
      </c>
      <c r="I73" s="2">
        <f>+IFERROR(Tabla2[[#This Row],[CUB. PPTO]]*Tabla2[[#This Row],[PRECIO PPTO]],"")</f>
        <v>500421.17908518761</v>
      </c>
      <c r="J73" s="2">
        <f>+IFERROR(Tabla2[[#This Row],[CUB. GP]]*Tabla2[[#This Row],[PRECIO PROMEDIO]],"")</f>
        <v>482747.08396369137</v>
      </c>
    </row>
    <row r="74" spans="1:10" x14ac:dyDescent="0.25">
      <c r="A74">
        <v>302010</v>
      </c>
      <c r="B74" t="s">
        <v>323</v>
      </c>
      <c r="C74" t="str">
        <f>+_xlfn.XLOOKUP(Tabla2[[#This Row],[CODIGO]],PRODUCTOS[CODIGO],PRODUCTOS[DESC CORTA],"",0)</f>
        <v>PINO 2X6X320</v>
      </c>
      <c r="D74" s="26">
        <f>+_xlfn.XLOOKUP(Tabla2[[#This Row],[CODIGO]],PRODUCTOS[CODIGO],PRODUCTOS[CANT X MODULO],"",0)</f>
        <v>34.912500000000023</v>
      </c>
      <c r="E74" s="26">
        <f>+_xlfn.XLOOKUP(Tabla2[[#This Row],[CODIGO]],Tabla4[CODIGO],Tabla4[CUBICACION PROM / MODULO (PRESUPUESTO)],"",0)</f>
        <v>33.25</v>
      </c>
      <c r="F74" s="2">
        <f>+_xlfn.XLOOKUP(Tabla2[[#This Row],[CODIGO]],PRODUCTOS[CODIGO],PRODUCTOS[PPTO_ACTUALIZADO],"",0)</f>
        <v>6585.1337449999919</v>
      </c>
      <c r="G74" s="2">
        <f>+_xlfn.XLOOKUP(Tabla2[[#This Row],[CODIGO]],PRODUCTOS[CODIGO],PRODUCTOS[PRECIO COMPRA UNITARIO],"",0)</f>
        <v>5566.8590808416393</v>
      </c>
      <c r="H74" s="5">
        <f>+IFERROR(Tabla2[[#This Row],[PRECIO PROMEDIO]]-Tabla2[[#This Row],[PRECIO PPTO]],"")</f>
        <v>-1018.2746641583526</v>
      </c>
      <c r="I74" s="2">
        <f>+IFERROR(Tabla2[[#This Row],[CUB. PPTO]]*Tabla2[[#This Row],[PRECIO PPTO]],"")</f>
        <v>229903.48187231238</v>
      </c>
      <c r="J74" s="2">
        <f>+IFERROR(Tabla2[[#This Row],[CUB. GP]]*Tabla2[[#This Row],[PRECIO PROMEDIO]],"")</f>
        <v>185098.06443798452</v>
      </c>
    </row>
    <row r="75" spans="1:10" x14ac:dyDescent="0.25">
      <c r="A75">
        <v>2304002</v>
      </c>
      <c r="B75" t="s">
        <v>212</v>
      </c>
      <c r="C75">
        <f>+_xlfn.XLOOKUP(Tabla2[[#This Row],[CODIGO]],PRODUCTOS[CODIGO],PRODUCTOS[DESC CORTA],"",0)</f>
        <v>0</v>
      </c>
      <c r="D75" s="26">
        <f>+_xlfn.XLOOKUP(Tabla2[[#This Row],[CODIGO]],PRODUCTOS[CODIGO],PRODUCTOS[CANT X MODULO],"",0)</f>
        <v>0.52500000000000002</v>
      </c>
      <c r="E75" s="26">
        <f>+_xlfn.XLOOKUP(Tabla2[[#This Row],[CODIGO]],Tabla4[CODIGO],Tabla4[CUBICACION PROM / MODULO (PRESUPUESTO)],"",0)</f>
        <v>1</v>
      </c>
      <c r="F75" s="2">
        <f>+_xlfn.XLOOKUP(Tabla2[[#This Row],[CODIGO]],PRODUCTOS[CODIGO],PRODUCTOS[PPTO_ACTUALIZADO],"",0)</f>
        <v>1376.471724</v>
      </c>
      <c r="G75" s="2">
        <f>+_xlfn.XLOOKUP(Tabla2[[#This Row],[CODIGO]],PRODUCTOS[CODIGO],PRODUCTOS[PRECIO COMPRA UNITARIO],"",0)</f>
        <v>1399.148148148148</v>
      </c>
      <c r="H75" s="5">
        <f>+IFERROR(Tabla2[[#This Row],[PRECIO PROMEDIO]]-Tabla2[[#This Row],[PRECIO PPTO]],"")</f>
        <v>22.676424148148044</v>
      </c>
      <c r="I75" s="2">
        <f>+IFERROR(Tabla2[[#This Row],[CUB. PPTO]]*Tabla2[[#This Row],[PRECIO PPTO]],"")</f>
        <v>722.64765510000007</v>
      </c>
      <c r="J75" s="2">
        <f>+IFERROR(Tabla2[[#This Row],[CUB. GP]]*Tabla2[[#This Row],[PRECIO PROMEDIO]],"")</f>
        <v>1399.148148148148</v>
      </c>
    </row>
    <row r="76" spans="1:10" x14ac:dyDescent="0.25">
      <c r="A76">
        <v>2304053</v>
      </c>
      <c r="B76" t="s">
        <v>213</v>
      </c>
      <c r="C76">
        <f>+_xlfn.XLOOKUP(Tabla2[[#This Row],[CODIGO]],PRODUCTOS[CODIGO],PRODUCTOS[DESC CORTA],"",0)</f>
        <v>0</v>
      </c>
      <c r="D76" s="26">
        <f>+_xlfn.XLOOKUP(Tabla2[[#This Row],[CODIGO]],PRODUCTOS[CODIGO],PRODUCTOS[CANT X MODULO],"",0)</f>
        <v>2.1</v>
      </c>
      <c r="E76" s="26">
        <f>+_xlfn.XLOOKUP(Tabla2[[#This Row],[CODIGO]],Tabla4[CODIGO],Tabla4[CUBICACION PROM / MODULO (PRESUPUESTO)],"",0)</f>
        <v>2</v>
      </c>
      <c r="F76" s="2">
        <f>+_xlfn.XLOOKUP(Tabla2[[#This Row],[CODIGO]],PRODUCTOS[CODIGO],PRODUCTOS[PPTO_ACTUALIZADO],"",0)</f>
        <v>862.00000000000011</v>
      </c>
      <c r="G76" s="2">
        <f>+_xlfn.XLOOKUP(Tabla2[[#This Row],[CODIGO]],PRODUCTOS[CODIGO],PRODUCTOS[PRECIO COMPRA UNITARIO],"",0)</f>
        <v>1003.8865153538051</v>
      </c>
      <c r="H76" s="5">
        <f>+IFERROR(Tabla2[[#This Row],[PRECIO PROMEDIO]]-Tabla2[[#This Row],[PRECIO PPTO]],"")</f>
        <v>141.88651535380495</v>
      </c>
      <c r="I76" s="2">
        <f>+IFERROR(Tabla2[[#This Row],[CUB. PPTO]]*Tabla2[[#This Row],[PRECIO PPTO]],"")</f>
        <v>1810.2000000000003</v>
      </c>
      <c r="J76" s="2">
        <f>+IFERROR(Tabla2[[#This Row],[CUB. GP]]*Tabla2[[#This Row],[PRECIO PROMEDIO]],"")</f>
        <v>2007.7730307076101</v>
      </c>
    </row>
    <row r="77" spans="1:10" x14ac:dyDescent="0.25">
      <c r="A77">
        <v>602254</v>
      </c>
      <c r="B77" t="s">
        <v>214</v>
      </c>
      <c r="C77">
        <f>+_xlfn.XLOOKUP(Tabla2[[#This Row],[CODIGO]],PRODUCTOS[CODIGO],PRODUCTOS[DESC CORTA],"",0)</f>
        <v>0</v>
      </c>
      <c r="D77" s="26">
        <f>+_xlfn.XLOOKUP(Tabla2[[#This Row],[CODIGO]],PRODUCTOS[CODIGO],PRODUCTOS[CANT X MODULO],"",0)</f>
        <v>0.35920828125000004</v>
      </c>
      <c r="E77" s="26">
        <f>+_xlfn.XLOOKUP(Tabla2[[#This Row],[CODIGO]],Tabla4[CODIGO],Tabla4[CUBICACION PROM / MODULO (PRESUPUESTO)],"",0)</f>
        <v>0.68420625000000002</v>
      </c>
      <c r="F77" s="2">
        <f>+_xlfn.XLOOKUP(Tabla2[[#This Row],[CODIGO]],PRODUCTOS[CODIGO],PRODUCTOS[PPTO_ACTUALIZADO],"",0)</f>
        <v>46060</v>
      </c>
      <c r="G77" s="2">
        <f>+_xlfn.XLOOKUP(Tabla2[[#This Row],[CODIGO]],PRODUCTOS[CODIGO],PRODUCTOS[PRECIO COMPRA UNITARIO],"",0)</f>
        <v>44620.625</v>
      </c>
      <c r="H77" s="5">
        <f>+IFERROR(Tabla2[[#This Row],[PRECIO PROMEDIO]]-Tabla2[[#This Row],[PRECIO PPTO]],"")</f>
        <v>-1439.375</v>
      </c>
      <c r="I77" s="2">
        <f>+IFERROR(Tabla2[[#This Row],[CUB. PPTO]]*Tabla2[[#This Row],[PRECIO PPTO]],"")</f>
        <v>16545.133434375002</v>
      </c>
      <c r="J77" s="2">
        <f>+IFERROR(Tabla2[[#This Row],[CUB. GP]]*Tabla2[[#This Row],[PRECIO PROMEDIO]],"")</f>
        <v>30529.710503906252</v>
      </c>
    </row>
    <row r="78" spans="1:10" x14ac:dyDescent="0.25">
      <c r="A78">
        <v>410046</v>
      </c>
      <c r="B78" t="s">
        <v>361</v>
      </c>
      <c r="C78">
        <f>+_xlfn.XLOOKUP(Tabla2[[#This Row],[CODIGO]],PRODUCTOS[CODIGO],PRODUCTOS[DESC CORTA],"",0)</f>
        <v>0</v>
      </c>
      <c r="D78" s="26" t="str">
        <f>+_xlfn.XLOOKUP(Tabla2[[#This Row],[CODIGO]],PRODUCTOS[CODIGO],PRODUCTOS[CANT X MODULO],"",0)</f>
        <v/>
      </c>
      <c r="E78" s="26">
        <f>+_xlfn.XLOOKUP(Tabla2[[#This Row],[CODIGO]],Tabla4[CODIGO],Tabla4[CUBICACION PROM / MODULO (PRESUPUESTO)],"",0)</f>
        <v>8</v>
      </c>
      <c r="F78" s="2" t="str">
        <f>+_xlfn.XLOOKUP(Tabla2[[#This Row],[CODIGO]],PRODUCTOS[CODIGO],PRODUCTOS[PPTO_ACTUALIZADO],"",0)</f>
        <v/>
      </c>
      <c r="G78" s="2">
        <f>+_xlfn.XLOOKUP(Tabla2[[#This Row],[CODIGO]],PRODUCTOS[CODIGO],PRODUCTOS[PRECIO COMPRA UNITARIO],"",0)</f>
        <v>746</v>
      </c>
      <c r="H78" s="5" t="str">
        <f>+IFERROR(Tabla2[[#This Row],[PRECIO PROMEDIO]]-Tabla2[[#This Row],[PRECIO PPTO]],"")</f>
        <v/>
      </c>
      <c r="I78" s="2" t="str">
        <f>+IFERROR(Tabla2[[#This Row],[CUB. PPTO]]*Tabla2[[#This Row],[PRECIO PPTO]],"")</f>
        <v/>
      </c>
      <c r="J78" s="2">
        <f>+IFERROR(Tabla2[[#This Row],[CUB. GP]]*Tabla2[[#This Row],[PRECIO PROMEDIO]],"")</f>
        <v>5968</v>
      </c>
    </row>
    <row r="79" spans="1:10" x14ac:dyDescent="0.25">
      <c r="A79">
        <v>1902013</v>
      </c>
      <c r="B79" t="s">
        <v>338</v>
      </c>
      <c r="C79">
        <f>+_xlfn.XLOOKUP(Tabla2[[#This Row],[CODIGO]],PRODUCTOS[CODIGO],PRODUCTOS[DESC CORTA],"",0)</f>
        <v>0</v>
      </c>
      <c r="D79" s="26">
        <f>+_xlfn.XLOOKUP(Tabla2[[#This Row],[CODIGO]],PRODUCTOS[CODIGO],PRODUCTOS[CANT X MODULO],"",0)</f>
        <v>130.33466250000004</v>
      </c>
      <c r="E79" s="26">
        <f>+_xlfn.XLOOKUP(Tabla2[[#This Row],[CODIGO]],Tabla4[CODIGO],Tabla4[CUBICACION PROM / MODULO (PRESUPUESTO)],"",0)</f>
        <v>2.0075000000000003</v>
      </c>
      <c r="F79" s="2">
        <f>+_xlfn.XLOOKUP(Tabla2[[#This Row],[CODIGO]],PRODUCTOS[CODIGO],PRODUCTOS[PPTO_ACTUALIZADO],"",0)</f>
        <v>651.49999999999977</v>
      </c>
      <c r="G79" s="2">
        <f>+_xlfn.XLOOKUP(Tabla2[[#This Row],[CODIGO]],PRODUCTOS[CODIGO],PRODUCTOS[PRECIO COMPRA UNITARIO],"",0)</f>
        <v>39952.315286624202</v>
      </c>
      <c r="H79" s="5">
        <f>+IFERROR(Tabla2[[#This Row],[PRECIO PROMEDIO]]-Tabla2[[#This Row],[PRECIO PPTO]],"")</f>
        <v>39300.815286624202</v>
      </c>
      <c r="I79" s="2">
        <f>+IFERROR(Tabla2[[#This Row],[CUB. PPTO]]*Tabla2[[#This Row],[PRECIO PPTO]],"")</f>
        <v>84913.032618749989</v>
      </c>
      <c r="J79" s="2">
        <f>+IFERROR(Tabla2[[#This Row],[CUB. GP]]*Tabla2[[#This Row],[PRECIO PROMEDIO]],"")</f>
        <v>80204.272937898102</v>
      </c>
    </row>
    <row r="80" spans="1:10" x14ac:dyDescent="0.25">
      <c r="A80">
        <v>302248</v>
      </c>
      <c r="B80" t="s">
        <v>281</v>
      </c>
      <c r="C80">
        <f>+_xlfn.XLOOKUP(Tabla2[[#This Row],[CODIGO]],PRODUCTOS[CODIGO],PRODUCTOS[DESC CORTA],"",0)</f>
        <v>0</v>
      </c>
      <c r="D80" s="26">
        <f>+_xlfn.XLOOKUP(Tabla2[[#This Row],[CODIGO]],PRODUCTOS[CODIGO],PRODUCTOS[CANT X MODULO],"",0)</f>
        <v>8.9250000000000007</v>
      </c>
      <c r="E80" s="26">
        <f>+_xlfn.XLOOKUP(Tabla2[[#This Row],[CODIGO]],Tabla4[CODIGO],Tabla4[CUBICACION PROM / MODULO (PRESUPUESTO)],"",0)</f>
        <v>8.5</v>
      </c>
      <c r="F80" s="2">
        <f>+_xlfn.XLOOKUP(Tabla2[[#This Row],[CODIGO]],PRODUCTOS[CODIGO],PRODUCTOS[PPTO_ACTUALIZADO],"",0)</f>
        <v>2342.1751370000002</v>
      </c>
      <c r="G80" s="2">
        <f>+_xlfn.XLOOKUP(Tabla2[[#This Row],[CODIGO]],PRODUCTOS[CODIGO],PRODUCTOS[PRECIO COMPRA UNITARIO],"",0)</f>
        <v>2365.0069444444443</v>
      </c>
      <c r="H80" s="5">
        <f>+IFERROR(Tabla2[[#This Row],[PRECIO PROMEDIO]]-Tabla2[[#This Row],[PRECIO PPTO]],"")</f>
        <v>22.831807444444166</v>
      </c>
      <c r="I80" s="2">
        <f>+IFERROR(Tabla2[[#This Row],[CUB. PPTO]]*Tabla2[[#This Row],[PRECIO PPTO]],"")</f>
        <v>20903.913097725002</v>
      </c>
      <c r="J80" s="2">
        <f>+IFERROR(Tabla2[[#This Row],[CUB. GP]]*Tabla2[[#This Row],[PRECIO PROMEDIO]],"")</f>
        <v>20102.559027777777</v>
      </c>
    </row>
    <row r="81" spans="1:10" x14ac:dyDescent="0.25">
      <c r="A81" t="s">
        <v>225</v>
      </c>
      <c r="B81" t="s">
        <v>226</v>
      </c>
      <c r="C81">
        <f>+_xlfn.XLOOKUP(Tabla2[[#This Row],[CODIGO]],PRODUCTOS[CODIGO],PRODUCTOS[DESC CORTA],"",0)</f>
        <v>0</v>
      </c>
      <c r="D81" s="26">
        <f>+_xlfn.XLOOKUP(Tabla2[[#This Row],[CODIGO]],PRODUCTOS[CODIGO],PRODUCTOS[CANT X MODULO],"",0)</f>
        <v>1.0500000000000001E-2</v>
      </c>
      <c r="E81" s="26">
        <f>+_xlfn.XLOOKUP(Tabla2[[#This Row],[CODIGO]],Tabla4[CODIGO],Tabla4[CUBICACION PROM / MODULO (PRESUPUESTO)],"",0)</f>
        <v>7.980000000000001E-2</v>
      </c>
      <c r="F81" s="2">
        <f>+_xlfn.XLOOKUP(Tabla2[[#This Row],[CODIGO]],PRODUCTOS[CODIGO],PRODUCTOS[PPTO_ACTUALIZADO],"",0)</f>
        <v>49030.713302999997</v>
      </c>
      <c r="G81" s="2">
        <f>+_xlfn.XLOOKUP(Tabla2[[#This Row],[CODIGO]],PRODUCTOS[CODIGO],PRODUCTOS[PRECIO COMPRA UNITARIO],"",0)</f>
        <v>49030.73333333333</v>
      </c>
      <c r="H81" s="5">
        <f>+IFERROR(Tabla2[[#This Row],[PRECIO PROMEDIO]]-Tabla2[[#This Row],[PRECIO PPTO]],"")</f>
        <v>2.0030333333124872E-2</v>
      </c>
      <c r="I81" s="2">
        <f>+IFERROR(Tabla2[[#This Row],[CUB. PPTO]]*Tabla2[[#This Row],[PRECIO PPTO]],"")</f>
        <v>514.82248968149997</v>
      </c>
      <c r="J81" s="2">
        <f>+IFERROR(Tabla2[[#This Row],[CUB. GP]]*Tabla2[[#This Row],[PRECIO PROMEDIO]],"")</f>
        <v>3912.6525200000001</v>
      </c>
    </row>
    <row r="82" spans="1:10" x14ac:dyDescent="0.25">
      <c r="A82">
        <v>2302118</v>
      </c>
      <c r="B82" t="s">
        <v>228</v>
      </c>
      <c r="C82">
        <f>+_xlfn.XLOOKUP(Tabla2[[#This Row],[CODIGO]],PRODUCTOS[CODIGO],PRODUCTOS[DESC CORTA],"",0)</f>
        <v>0</v>
      </c>
      <c r="D82" s="26">
        <f>+_xlfn.XLOOKUP(Tabla2[[#This Row],[CODIGO]],PRODUCTOS[CODIGO],PRODUCTOS[CANT X MODULO],"",0)</f>
        <v>0.31171874999999999</v>
      </c>
      <c r="E82" s="26">
        <f>+_xlfn.XLOOKUP(Tabla2[[#This Row],[CODIGO]],Tabla4[CODIGO],Tabla4[CUBICACION PROM / MODULO (PRESUPUESTO)],"",0)</f>
        <v>0.59375</v>
      </c>
      <c r="F82" s="2">
        <f>+_xlfn.XLOOKUP(Tabla2[[#This Row],[CODIGO]],PRODUCTOS[CODIGO],PRODUCTOS[PPTO_ACTUALIZADO],"",0)</f>
        <v>101250</v>
      </c>
      <c r="G82" s="2">
        <f>+_xlfn.XLOOKUP(Tabla2[[#This Row],[CODIGO]],PRODUCTOS[CODIGO],PRODUCTOS[PRECIO COMPRA UNITARIO],"",0)</f>
        <v>83036.583333333328</v>
      </c>
      <c r="H82" s="5">
        <f>+IFERROR(Tabla2[[#This Row],[PRECIO PROMEDIO]]-Tabla2[[#This Row],[PRECIO PPTO]],"")</f>
        <v>-18213.416666666672</v>
      </c>
      <c r="I82" s="2">
        <f>+IFERROR(Tabla2[[#This Row],[CUB. PPTO]]*Tabla2[[#This Row],[PRECIO PPTO]],"")</f>
        <v>31561.5234375</v>
      </c>
      <c r="J82" s="2">
        <f>+IFERROR(Tabla2[[#This Row],[CUB. GP]]*Tabla2[[#This Row],[PRECIO PROMEDIO]],"")</f>
        <v>49302.971354166664</v>
      </c>
    </row>
    <row r="83" spans="1:10" x14ac:dyDescent="0.25">
      <c r="A83">
        <v>407049</v>
      </c>
      <c r="B83" t="s">
        <v>232</v>
      </c>
      <c r="C83">
        <f>+_xlfn.XLOOKUP(Tabla2[[#This Row],[CODIGO]],PRODUCTOS[CODIGO],PRODUCTOS[DESC CORTA],"",0)</f>
        <v>0</v>
      </c>
      <c r="D83" s="26">
        <f>+_xlfn.XLOOKUP(Tabla2[[#This Row],[CODIGO]],PRODUCTOS[CODIGO],PRODUCTOS[CANT X MODULO],"",0)</f>
        <v>52.5</v>
      </c>
      <c r="E83" s="26">
        <f>+_xlfn.XLOOKUP(Tabla2[[#This Row],[CODIGO]],Tabla4[CODIGO],Tabla4[CUBICACION PROM / MODULO (PRESUPUESTO)],"",0)</f>
        <v>60</v>
      </c>
      <c r="F83" s="2">
        <f>+_xlfn.XLOOKUP(Tabla2[[#This Row],[CODIGO]],PRODUCTOS[CODIGO],PRODUCTOS[PPTO_ACTUALIZADO],"",0)</f>
        <v>16.202162000000001</v>
      </c>
      <c r="G83" s="2">
        <f>+_xlfn.XLOOKUP(Tabla2[[#This Row],[CODIGO]],PRODUCTOS[CODIGO],PRODUCTOS[PRECIO COMPRA UNITARIO],"",0)</f>
        <v>16.201880141010577</v>
      </c>
      <c r="H83" s="5">
        <f>+IFERROR(Tabla2[[#This Row],[PRECIO PROMEDIO]]-Tabla2[[#This Row],[PRECIO PPTO]],"")</f>
        <v>-2.8185898942467702E-4</v>
      </c>
      <c r="I83" s="2">
        <f>+IFERROR(Tabla2[[#This Row],[CUB. PPTO]]*Tabla2[[#This Row],[PRECIO PPTO]],"")</f>
        <v>850.61350500000003</v>
      </c>
      <c r="J83" s="2">
        <f>+IFERROR(Tabla2[[#This Row],[CUB. GP]]*Tabla2[[#This Row],[PRECIO PROMEDIO]],"")</f>
        <v>972.1128084606346</v>
      </c>
    </row>
    <row r="84" spans="1:10" x14ac:dyDescent="0.25">
      <c r="A84">
        <v>1901086</v>
      </c>
      <c r="B84" t="s">
        <v>279</v>
      </c>
      <c r="C84" t="str">
        <f>+_xlfn.XLOOKUP(Tabla2[[#This Row],[CODIGO]],PRODUCTOS[CODIGO],PRODUCTOS[DESC CORTA],"",0)</f>
        <v>AISLAN GLASS 140MM</v>
      </c>
      <c r="D84" s="26">
        <f>+_xlfn.XLOOKUP(Tabla2[[#This Row],[CODIGO]],PRODUCTOS[CODIGO],PRODUCTOS[CANT X MODULO],"",0)</f>
        <v>31.794434700000004</v>
      </c>
      <c r="E84" s="26">
        <f>+_xlfn.XLOOKUP(Tabla2[[#This Row],[CODIGO]],Tabla4[CODIGO],Tabla4[CUBICACION PROM / MODULO (PRESUPUESTO)],"",0)</f>
        <v>40.373885333333334</v>
      </c>
      <c r="F84" s="2">
        <f>+_xlfn.XLOOKUP(Tabla2[[#This Row],[CODIGO]],PRODUCTOS[CODIGO],PRODUCTOS[PPTO_ACTUALIZADO],"",0)</f>
        <v>3711.5870410000002</v>
      </c>
      <c r="G84" s="2">
        <f>+_xlfn.XLOOKUP(Tabla2[[#This Row],[CODIGO]],PRODUCTOS[CODIGO],PRODUCTOS[PRECIO COMPRA UNITARIO],"",0)</f>
        <v>3632.8025451559934</v>
      </c>
      <c r="H84" s="5">
        <f>+IFERROR(Tabla2[[#This Row],[PRECIO PROMEDIO]]-Tabla2[[#This Row],[PRECIO PPTO]],"")</f>
        <v>-78.784495844006869</v>
      </c>
      <c r="I84" s="2">
        <f>+IFERROR(Tabla2[[#This Row],[CUB. PPTO]]*Tabla2[[#This Row],[PRECIO PPTO]],"")</f>
        <v>118007.81180844075</v>
      </c>
      <c r="J84" s="2">
        <f>+IFERROR(Tabla2[[#This Row],[CUB. GP]]*Tabla2[[#This Row],[PRECIO PROMEDIO]],"")</f>
        <v>146670.35339676955</v>
      </c>
    </row>
    <row r="85" spans="1:10" x14ac:dyDescent="0.25">
      <c r="A85">
        <v>2302024</v>
      </c>
      <c r="B85" t="s">
        <v>234</v>
      </c>
      <c r="C85">
        <f>+_xlfn.XLOOKUP(Tabla2[[#This Row],[CODIGO]],PRODUCTOS[CODIGO],PRODUCTOS[DESC CORTA],"",0)</f>
        <v>0</v>
      </c>
      <c r="D85" s="26">
        <f>+_xlfn.XLOOKUP(Tabla2[[#This Row],[CODIGO]],PRODUCTOS[CODIGO],PRODUCTOS[CANT X MODULO],"",0)</f>
        <v>0.13125000000000001</v>
      </c>
      <c r="E85" s="26">
        <f>+_xlfn.XLOOKUP(Tabla2[[#This Row],[CODIGO]],Tabla4[CODIGO],Tabla4[CUBICACION PROM / MODULO (PRESUPUESTO)],"",0)</f>
        <v>1.5</v>
      </c>
      <c r="F85" s="2">
        <f>+_xlfn.XLOOKUP(Tabla2[[#This Row],[CODIGO]],PRODUCTOS[CODIGO],PRODUCTOS[PPTO_ACTUALIZADO],"",0)</f>
        <v>22292</v>
      </c>
      <c r="G85" s="2">
        <f>+_xlfn.XLOOKUP(Tabla2[[#This Row],[CODIGO]],PRODUCTOS[CODIGO],PRODUCTOS[PRECIO COMPRA UNITARIO],"",0)</f>
        <v>21702.9375</v>
      </c>
      <c r="H85" s="5">
        <f>+IFERROR(Tabla2[[#This Row],[PRECIO PROMEDIO]]-Tabla2[[#This Row],[PRECIO PPTO]],"")</f>
        <v>-589.0625</v>
      </c>
      <c r="I85" s="2">
        <f>+IFERROR(Tabla2[[#This Row],[CUB. PPTO]]*Tabla2[[#This Row],[PRECIO PPTO]],"")</f>
        <v>2925.8250000000003</v>
      </c>
      <c r="J85" s="2">
        <f>+IFERROR(Tabla2[[#This Row],[CUB. GP]]*Tabla2[[#This Row],[PRECIO PROMEDIO]],"")</f>
        <v>32554.40625</v>
      </c>
    </row>
    <row r="86" spans="1:10" x14ac:dyDescent="0.25">
      <c r="A86">
        <v>810007</v>
      </c>
      <c r="B86" t="s">
        <v>235</v>
      </c>
      <c r="C86">
        <f>+_xlfn.XLOOKUP(Tabla2[[#This Row],[CODIGO]],PRODUCTOS[CODIGO],PRODUCTOS[DESC CORTA],"",0)</f>
        <v>0</v>
      </c>
      <c r="D86" s="26">
        <f>+_xlfn.XLOOKUP(Tabla2[[#This Row],[CODIGO]],PRODUCTOS[CODIGO],PRODUCTOS[CANT X MODULO],"",0)</f>
        <v>1.05</v>
      </c>
      <c r="E86" s="26">
        <f>+_xlfn.XLOOKUP(Tabla2[[#This Row],[CODIGO]],Tabla4[CODIGO],Tabla4[CUBICACION PROM / MODULO (PRESUPUESTO)],"",0)</f>
        <v>2</v>
      </c>
      <c r="F86" s="2">
        <f>+_xlfn.XLOOKUP(Tabla2[[#This Row],[CODIGO]],PRODUCTOS[CODIGO],PRODUCTOS[PPTO_ACTUALIZADO],"",0)</f>
        <v>3274.7246380000001</v>
      </c>
      <c r="G86" s="2">
        <f>+_xlfn.XLOOKUP(Tabla2[[#This Row],[CODIGO]],PRODUCTOS[CODIGO],PRODUCTOS[PRECIO COMPRA UNITARIO],"",0)</f>
        <v>3352.4630872483222</v>
      </c>
      <c r="H86" s="5">
        <f>+IFERROR(Tabla2[[#This Row],[PRECIO PROMEDIO]]-Tabla2[[#This Row],[PRECIO PPTO]],"")</f>
        <v>77.738449248322013</v>
      </c>
      <c r="I86" s="2">
        <f>+IFERROR(Tabla2[[#This Row],[CUB. PPTO]]*Tabla2[[#This Row],[PRECIO PPTO]],"")</f>
        <v>3438.4608699000005</v>
      </c>
      <c r="J86" s="2">
        <f>+IFERROR(Tabla2[[#This Row],[CUB. GP]]*Tabla2[[#This Row],[PRECIO PROMEDIO]],"")</f>
        <v>6704.9261744966443</v>
      </c>
    </row>
    <row r="87" spans="1:10" x14ac:dyDescent="0.25">
      <c r="A87">
        <v>412313</v>
      </c>
      <c r="B87" t="s">
        <v>253</v>
      </c>
      <c r="C87">
        <f>+_xlfn.XLOOKUP(Tabla2[[#This Row],[CODIGO]],PRODUCTOS[CODIGO],PRODUCTOS[DESC CORTA],"",0)</f>
        <v>0</v>
      </c>
      <c r="D87" s="26" t="str">
        <f>+_xlfn.XLOOKUP(Tabla2[[#This Row],[CODIGO]],PRODUCTOS[CODIGO],PRODUCTOS[CANT X MODULO],"",0)</f>
        <v/>
      </c>
      <c r="E87" s="26">
        <f>+_xlfn.XLOOKUP(Tabla2[[#This Row],[CODIGO]],Tabla4[CODIGO],Tabla4[CUBICACION PROM / MODULO (PRESUPUESTO)],"",0)</f>
        <v>0.82399999999999995</v>
      </c>
      <c r="F87" s="2" t="str">
        <f>+_xlfn.XLOOKUP(Tabla2[[#This Row],[CODIGO]],PRODUCTOS[CODIGO],PRODUCTOS[PPTO_ACTUALIZADO],"",0)</f>
        <v/>
      </c>
      <c r="G87" s="2">
        <f>+_xlfn.XLOOKUP(Tabla2[[#This Row],[CODIGO]],PRODUCTOS[CODIGO],PRODUCTOS[PRECIO COMPRA UNITARIO],"",0)</f>
        <v>23724.027777777777</v>
      </c>
      <c r="H87" s="5" t="str">
        <f>+IFERROR(Tabla2[[#This Row],[PRECIO PROMEDIO]]-Tabla2[[#This Row],[PRECIO PPTO]],"")</f>
        <v/>
      </c>
      <c r="I87" s="2" t="str">
        <f>+IFERROR(Tabla2[[#This Row],[CUB. PPTO]]*Tabla2[[#This Row],[PRECIO PPTO]],"")</f>
        <v/>
      </c>
      <c r="J87" s="2">
        <f>+IFERROR(Tabla2[[#This Row],[CUB. GP]]*Tabla2[[#This Row],[PRECIO PROMEDIO]],"")</f>
        <v>19548.598888888886</v>
      </c>
    </row>
    <row r="88" spans="1:10" x14ac:dyDescent="0.25">
      <c r="A88">
        <v>410078</v>
      </c>
      <c r="B88" t="s">
        <v>252</v>
      </c>
      <c r="C88">
        <f>+_xlfn.XLOOKUP(Tabla2[[#This Row],[CODIGO]],PRODUCTOS[CODIGO],PRODUCTOS[DESC CORTA],"",0)</f>
        <v>0</v>
      </c>
      <c r="D88" s="26">
        <f>+_xlfn.XLOOKUP(Tabla2[[#This Row],[CODIGO]],PRODUCTOS[CODIGO],PRODUCTOS[CANT X MODULO],"",0)</f>
        <v>8.4</v>
      </c>
      <c r="E88" s="26">
        <f>+_xlfn.XLOOKUP(Tabla2[[#This Row],[CODIGO]],Tabla4[CODIGO],Tabla4[CUBICACION PROM / MODULO (PRESUPUESTO)],"",0)</f>
        <v>8.4</v>
      </c>
      <c r="F88" s="2">
        <f>+_xlfn.XLOOKUP(Tabla2[[#This Row],[CODIGO]],PRODUCTOS[CODIGO],PRODUCTOS[PPTO_ACTUALIZADO],"",0)</f>
        <v>470.20120200000002</v>
      </c>
      <c r="G88" s="2">
        <f>+_xlfn.XLOOKUP(Tabla2[[#This Row],[CODIGO]],PRODUCTOS[CODIGO],PRODUCTOS[PRECIO COMPRA UNITARIO],"",0)</f>
        <v>470.2</v>
      </c>
      <c r="H88" s="5">
        <f>+IFERROR(Tabla2[[#This Row],[PRECIO PROMEDIO]]-Tabla2[[#This Row],[PRECIO PPTO]],"")</f>
        <v>-1.2020000000347864E-3</v>
      </c>
      <c r="I88" s="2">
        <f>+IFERROR(Tabla2[[#This Row],[CUB. PPTO]]*Tabla2[[#This Row],[PRECIO PPTO]],"")</f>
        <v>3949.6900968000004</v>
      </c>
      <c r="J88" s="2">
        <f>+IFERROR(Tabla2[[#This Row],[CUB. GP]]*Tabla2[[#This Row],[PRECIO PROMEDIO]],"")</f>
        <v>3949.6800000000003</v>
      </c>
    </row>
    <row r="89" spans="1:10" x14ac:dyDescent="0.25">
      <c r="A89">
        <v>1902014</v>
      </c>
      <c r="B89" t="s">
        <v>316</v>
      </c>
      <c r="C89" t="str">
        <f>+_xlfn.XLOOKUP(Tabla2[[#This Row],[CODIGO]],PRODUCTOS[CODIGO],PRODUCTOS[DESC CORTA],"",0)</f>
        <v>VOLCOGLASS</v>
      </c>
      <c r="D89" s="26">
        <f>+_xlfn.XLOOKUP(Tabla2[[#This Row],[CODIGO]],PRODUCTOS[CODIGO],PRODUCTOS[CANT X MODULO],"",0)</f>
        <v>5.5125000000000002</v>
      </c>
      <c r="E89" s="26">
        <f>+_xlfn.XLOOKUP(Tabla2[[#This Row],[CODIGO]],Tabla4[CODIGO],Tabla4[CUBICACION PROM / MODULO (PRESUPUESTO)],"",0)</f>
        <v>22.33</v>
      </c>
      <c r="F89" s="2">
        <f>+_xlfn.XLOOKUP(Tabla2[[#This Row],[CODIGO]],PRODUCTOS[CODIGO],PRODUCTOS[PPTO_ACTUALIZADO],"",0)</f>
        <v>29779.000000000004</v>
      </c>
      <c r="G89" s="2">
        <f>+_xlfn.XLOOKUP(Tabla2[[#This Row],[CODIGO]],PRODUCTOS[CODIGO],PRODUCTOS[PRECIO COMPRA UNITARIO],"",0)</f>
        <v>29799.757692307692</v>
      </c>
      <c r="H89" s="5">
        <f>+IFERROR(Tabla2[[#This Row],[PRECIO PROMEDIO]]-Tabla2[[#This Row],[PRECIO PPTO]],"")</f>
        <v>20.757692307688558</v>
      </c>
      <c r="I89" s="2">
        <f>+IFERROR(Tabla2[[#This Row],[CUB. PPTO]]*Tabla2[[#This Row],[PRECIO PPTO]],"")</f>
        <v>164156.73750000002</v>
      </c>
      <c r="J89" s="2">
        <f>+IFERROR(Tabla2[[#This Row],[CUB. GP]]*Tabla2[[#This Row],[PRECIO PROMEDIO]],"")</f>
        <v>665428.58926923072</v>
      </c>
    </row>
    <row r="90" spans="1:10" x14ac:dyDescent="0.25">
      <c r="A90">
        <v>704046</v>
      </c>
      <c r="B90" t="s">
        <v>255</v>
      </c>
      <c r="C90">
        <f>+_xlfn.XLOOKUP(Tabla2[[#This Row],[CODIGO]],PRODUCTOS[CODIGO],PRODUCTOS[DESC CORTA],"",0)</f>
        <v>0</v>
      </c>
      <c r="D90" s="26">
        <f>+_xlfn.XLOOKUP(Tabla2[[#This Row],[CODIGO]],PRODUCTOS[CODIGO],PRODUCTOS[CANT X MODULO],"",0)</f>
        <v>0.42</v>
      </c>
      <c r="E90" s="26">
        <f>+_xlfn.XLOOKUP(Tabla2[[#This Row],[CODIGO]],Tabla4[CODIGO],Tabla4[CUBICACION PROM / MODULO (PRESUPUESTO)],"",0)</f>
        <v>0.84262295081967231</v>
      </c>
      <c r="F90" s="2">
        <f>+_xlfn.XLOOKUP(Tabla2[[#This Row],[CODIGO]],PRODUCTOS[CODIGO],PRODUCTOS[PPTO_ACTUALIZADO],"",0)</f>
        <v>9076.0621970000011</v>
      </c>
      <c r="G90" s="2">
        <f>+_xlfn.XLOOKUP(Tabla2[[#This Row],[CODIGO]],PRODUCTOS[CODIGO],PRODUCTOS[PRECIO COMPRA UNITARIO],"",0)</f>
        <v>9065.3968253968251</v>
      </c>
      <c r="H90" s="5">
        <f>+IFERROR(Tabla2[[#This Row],[PRECIO PROMEDIO]]-Tabla2[[#This Row],[PRECIO PPTO]],"")</f>
        <v>-10.665371603176027</v>
      </c>
      <c r="I90" s="2">
        <f>+IFERROR(Tabla2[[#This Row],[CUB. PPTO]]*Tabla2[[#This Row],[PRECIO PPTO]],"")</f>
        <v>3811.9461227400002</v>
      </c>
      <c r="J90" s="2">
        <f>+IFERROR(Tabla2[[#This Row],[CUB. GP]]*Tabla2[[#This Row],[PRECIO PROMEDIO]],"")</f>
        <v>7638.7114233671628</v>
      </c>
    </row>
    <row r="91" spans="1:10" x14ac:dyDescent="0.25">
      <c r="A91">
        <v>106022</v>
      </c>
      <c r="B91" t="s">
        <v>245</v>
      </c>
      <c r="C91">
        <f>+_xlfn.XLOOKUP(Tabla2[[#This Row],[CODIGO]],PRODUCTOS[CODIGO],PRODUCTOS[DESC CORTA],"",0)</f>
        <v>0</v>
      </c>
      <c r="D91" s="26">
        <f>+_xlfn.XLOOKUP(Tabla2[[#This Row],[CODIGO]],PRODUCTOS[CODIGO],PRODUCTOS[CANT X MODULO],"",0)</f>
        <v>6.8249999999999984</v>
      </c>
      <c r="E91" s="26">
        <f>+_xlfn.XLOOKUP(Tabla2[[#This Row],[CODIGO]],Tabla4[CODIGO],Tabla4[CUBICACION PROM / MODULO (PRESUPUESTO)],"",0)</f>
        <v>4</v>
      </c>
      <c r="F91" s="2">
        <f>+_xlfn.XLOOKUP(Tabla2[[#This Row],[CODIGO]],PRODUCTOS[CODIGO],PRODUCTOS[PPTO_ACTUALIZADO],"",0)</f>
        <v>3800.6910990000006</v>
      </c>
      <c r="G91" s="2">
        <f>+_xlfn.XLOOKUP(Tabla2[[#This Row],[CODIGO]],PRODUCTOS[CODIGO],PRODUCTOS[PRECIO COMPRA UNITARIO],"",0)</f>
        <v>3800.2169811320755</v>
      </c>
      <c r="H91" s="5">
        <f>+IFERROR(Tabla2[[#This Row],[PRECIO PROMEDIO]]-Tabla2[[#This Row],[PRECIO PPTO]],"")</f>
        <v>-0.47411786792508792</v>
      </c>
      <c r="I91" s="2">
        <f>+IFERROR(Tabla2[[#This Row],[CUB. PPTO]]*Tabla2[[#This Row],[PRECIO PPTO]],"")</f>
        <v>25939.716750674997</v>
      </c>
      <c r="J91" s="2">
        <f>+IFERROR(Tabla2[[#This Row],[CUB. GP]]*Tabla2[[#This Row],[PRECIO PROMEDIO]],"")</f>
        <v>15200.867924528302</v>
      </c>
    </row>
    <row r="92" spans="1:10" x14ac:dyDescent="0.25">
      <c r="A92">
        <v>907031</v>
      </c>
      <c r="B92" t="s">
        <v>256</v>
      </c>
      <c r="C92" t="str">
        <f>+_xlfn.XLOOKUP(Tabla2[[#This Row],[CODIGO]],PRODUCTOS[CODIGO],PRODUCTOS[DESC CORTA],"",0)</f>
        <v>MEMBRANA PVC</v>
      </c>
      <c r="D92" s="26">
        <f>+_xlfn.XLOOKUP(Tabla2[[#This Row],[CODIGO]],PRODUCTOS[CODIGO],PRODUCTOS[CANT X MODULO],"",0)</f>
        <v>0.7111632270168855</v>
      </c>
      <c r="E92" s="26">
        <f>+_xlfn.XLOOKUP(Tabla2[[#This Row],[CODIGO]],Tabla4[CODIGO],Tabla4[CUBICACION PROM / MODULO (PRESUPUESTO)],"",0)</f>
        <v>0.67729831144465302</v>
      </c>
      <c r="F92" s="2">
        <f>+_xlfn.XLOOKUP(Tabla2[[#This Row],[CODIGO]],PRODUCTOS[CODIGO],PRODUCTOS[PPTO_ACTUALIZADO],"",0)</f>
        <v>156269.16666700004</v>
      </c>
      <c r="G92" s="2">
        <f>+_xlfn.XLOOKUP(Tabla2[[#This Row],[CODIGO]],PRODUCTOS[CODIGO],PRODUCTOS[PRECIO COMPRA UNITARIO],"",0)</f>
        <v>154181.27586206896</v>
      </c>
      <c r="H92" s="5">
        <f>+IFERROR(Tabla2[[#This Row],[PRECIO PROMEDIO]]-Tabla2[[#This Row],[PRECIO PPTO]],"")</f>
        <v>-2087.8908049310849</v>
      </c>
      <c r="I92" s="2">
        <f>+IFERROR(Tabla2[[#This Row],[CUB. PPTO]]*Tabla2[[#This Row],[PRECIO PPTO]],"")</f>
        <v>111132.88485014327</v>
      </c>
      <c r="J92" s="2">
        <f>+IFERROR(Tabla2[[#This Row],[CUB. GP]]*Tabla2[[#This Row],[PRECIO PROMEDIO]],"")</f>
        <v>104426.71779776155</v>
      </c>
    </row>
    <row r="93" spans="1:10" x14ac:dyDescent="0.25">
      <c r="A93">
        <v>304049</v>
      </c>
      <c r="B93" t="s">
        <v>318</v>
      </c>
      <c r="C93" t="str">
        <f>+_xlfn.XLOOKUP(Tabla2[[#This Row],[CODIGO]],PRODUCTOS[CODIGO],PRODUCTOS[DESC CORTA],"",0)</f>
        <v>TERCIADO FENOLICO</v>
      </c>
      <c r="D93" s="26">
        <f>+_xlfn.XLOOKUP(Tabla2[[#This Row],[CODIGO]],PRODUCTOS[CODIGO],PRODUCTOS[CANT X MODULO],"",0)</f>
        <v>23.273250000000008</v>
      </c>
      <c r="E93" s="26">
        <f>+_xlfn.XLOOKUP(Tabla2[[#This Row],[CODIGO]],Tabla4[CODIGO],Tabla4[CUBICACION PROM / MODULO (PRESUPUESTO)],"",0)</f>
        <v>23.164999999999996</v>
      </c>
      <c r="F93" s="2">
        <f>+_xlfn.XLOOKUP(Tabla2[[#This Row],[CODIGO]],PRODUCTOS[CODIGO],PRODUCTOS[PPTO_ACTUALIZADO],"",0)</f>
        <v>14981.999999999993</v>
      </c>
      <c r="G93" s="2">
        <f>+_xlfn.XLOOKUP(Tabla2[[#This Row],[CODIGO]],PRODUCTOS[CODIGO],PRODUCTOS[PRECIO COMPRA UNITARIO],"",0)</f>
        <v>15018.620734341253</v>
      </c>
      <c r="H93" s="5">
        <f>+IFERROR(Tabla2[[#This Row],[PRECIO PROMEDIO]]-Tabla2[[#This Row],[PRECIO PPTO]],"")</f>
        <v>36.620734341260686</v>
      </c>
      <c r="I93" s="2">
        <f>+IFERROR(Tabla2[[#This Row],[CUB. PPTO]]*Tabla2[[#This Row],[PRECIO PPTO]],"")</f>
        <v>348679.83149999997</v>
      </c>
      <c r="J93" s="2">
        <f>+IFERROR(Tabla2[[#This Row],[CUB. GP]]*Tabla2[[#This Row],[PRECIO PROMEDIO]],"")</f>
        <v>347906.34931101504</v>
      </c>
    </row>
    <row r="94" spans="1:10" x14ac:dyDescent="0.25">
      <c r="A94">
        <v>1802164</v>
      </c>
      <c r="B94" t="s">
        <v>306</v>
      </c>
      <c r="C94">
        <f>+_xlfn.XLOOKUP(Tabla2[[#This Row],[CODIGO]],PRODUCTOS[CODIGO],PRODUCTOS[DESC CORTA],"",0)</f>
        <v>0</v>
      </c>
      <c r="D94" s="26">
        <f>+_xlfn.XLOOKUP(Tabla2[[#This Row],[CODIGO]],PRODUCTOS[CODIGO],PRODUCTOS[CANT X MODULO],"",0)</f>
        <v>0.52500000000000002</v>
      </c>
      <c r="E94" s="26">
        <f>+_xlfn.XLOOKUP(Tabla2[[#This Row],[CODIGO]],Tabla4[CODIGO],Tabla4[CUBICACION PROM / MODULO (PRESUPUESTO)],"",0)</f>
        <v>1</v>
      </c>
      <c r="F94" s="2">
        <f>+_xlfn.XLOOKUP(Tabla2[[#This Row],[CODIGO]],PRODUCTOS[CODIGO],PRODUCTOS[PPTO_ACTUALIZADO],"",0)</f>
        <v>138041</v>
      </c>
      <c r="G94" s="2">
        <f>+_xlfn.XLOOKUP(Tabla2[[#This Row],[CODIGO]],PRODUCTOS[CODIGO],PRODUCTOS[PRECIO COMPRA UNITARIO],"",0)</f>
        <v>138041</v>
      </c>
      <c r="H94" s="5">
        <f>+IFERROR(Tabla2[[#This Row],[PRECIO PROMEDIO]]-Tabla2[[#This Row],[PRECIO PPTO]],"")</f>
        <v>0</v>
      </c>
      <c r="I94" s="2">
        <f>+IFERROR(Tabla2[[#This Row],[CUB. PPTO]]*Tabla2[[#This Row],[PRECIO PPTO]],"")</f>
        <v>72471.525000000009</v>
      </c>
      <c r="J94" s="2">
        <f>+IFERROR(Tabla2[[#This Row],[CUB. GP]]*Tabla2[[#This Row],[PRECIO PROMEDIO]],"")</f>
        <v>138041</v>
      </c>
    </row>
    <row r="95" spans="1:10" x14ac:dyDescent="0.25">
      <c r="A95">
        <v>2508169</v>
      </c>
      <c r="B95" t="s">
        <v>307</v>
      </c>
      <c r="C95">
        <f>+_xlfn.XLOOKUP(Tabla2[[#This Row],[CODIGO]],PRODUCTOS[CODIGO],PRODUCTOS[DESC CORTA],"",0)</f>
        <v>0</v>
      </c>
      <c r="D95" s="26">
        <f>+_xlfn.XLOOKUP(Tabla2[[#This Row],[CODIGO]],PRODUCTOS[CODIGO],PRODUCTOS[CANT X MODULO],"",0)</f>
        <v>0.52500000000000002</v>
      </c>
      <c r="E95" s="26">
        <f>+_xlfn.XLOOKUP(Tabla2[[#This Row],[CODIGO]],Tabla4[CODIGO],Tabla4[CUBICACION PROM / MODULO (PRESUPUESTO)],"",0)</f>
        <v>1</v>
      </c>
      <c r="F95" s="2">
        <f>+_xlfn.XLOOKUP(Tabla2[[#This Row],[CODIGO]],PRODUCTOS[CODIGO],PRODUCTOS[PPTO_ACTUALIZADO],"",0)</f>
        <v>13952</v>
      </c>
      <c r="G95" s="2">
        <f>+_xlfn.XLOOKUP(Tabla2[[#This Row],[CODIGO]],PRODUCTOS[CODIGO],PRODUCTOS[PRECIO COMPRA UNITARIO],"",0)</f>
        <v>13952</v>
      </c>
      <c r="H95" s="5">
        <f>+IFERROR(Tabla2[[#This Row],[PRECIO PROMEDIO]]-Tabla2[[#This Row],[PRECIO PPTO]],"")</f>
        <v>0</v>
      </c>
      <c r="I95" s="2">
        <f>+IFERROR(Tabla2[[#This Row],[CUB. PPTO]]*Tabla2[[#This Row],[PRECIO PPTO]],"")</f>
        <v>7324.8</v>
      </c>
      <c r="J95" s="2">
        <f>+IFERROR(Tabla2[[#This Row],[CUB. GP]]*Tabla2[[#This Row],[PRECIO PROMEDIO]],"")</f>
        <v>13952</v>
      </c>
    </row>
    <row r="96" spans="1:10" x14ac:dyDescent="0.25">
      <c r="A96">
        <v>1803044</v>
      </c>
      <c r="B96" t="s">
        <v>336</v>
      </c>
      <c r="C96" t="str">
        <f>+_xlfn.XLOOKUP(Tabla2[[#This Row],[CODIGO]],PRODUCTOS[CODIGO],PRODUCTOS[DESC CORTA],"",0)</f>
        <v/>
      </c>
      <c r="D96" s="26" t="str">
        <f>+_xlfn.XLOOKUP(Tabla2[[#This Row],[CODIGO]],PRODUCTOS[CODIGO],PRODUCTOS[CANT X MODULO],"",0)</f>
        <v/>
      </c>
      <c r="E96" s="26">
        <f>+_xlfn.XLOOKUP(Tabla2[[#This Row],[CODIGO]],Tabla4[CODIGO],Tabla4[CUBICACION PROM / MODULO (PRESUPUESTO)],"",0)</f>
        <v>2</v>
      </c>
      <c r="F96" s="2" t="str">
        <f>+_xlfn.XLOOKUP(Tabla2[[#This Row],[CODIGO]],PRODUCTOS[CODIGO],PRODUCTOS[PPTO_ACTUALIZADO],"",0)</f>
        <v/>
      </c>
      <c r="G96" s="2" t="str">
        <f>+_xlfn.XLOOKUP(Tabla2[[#This Row],[CODIGO]],PRODUCTOS[CODIGO],PRODUCTOS[PRECIO COMPRA UNITARIO],"",0)</f>
        <v/>
      </c>
      <c r="H96" s="5" t="str">
        <f>+IFERROR(Tabla2[[#This Row],[PRECIO PROMEDIO]]-Tabla2[[#This Row],[PRECIO PPTO]],"")</f>
        <v/>
      </c>
      <c r="I96" s="2" t="str">
        <f>+IFERROR(Tabla2[[#This Row],[CUB. PPTO]]*Tabla2[[#This Row],[PRECIO PPTO]],"")</f>
        <v/>
      </c>
      <c r="J96" s="2" t="str">
        <f>+IFERROR(Tabla2[[#This Row],[CUB. GP]]*Tabla2[[#This Row],[PRECIO PROMEDIO]],"")</f>
        <v/>
      </c>
    </row>
    <row r="97" spans="1:10" x14ac:dyDescent="0.25">
      <c r="A97">
        <v>1803045</v>
      </c>
      <c r="B97" t="s">
        <v>337</v>
      </c>
      <c r="C97" t="str">
        <f>+_xlfn.XLOOKUP(Tabla2[[#This Row],[CODIGO]],PRODUCTOS[CODIGO],PRODUCTOS[DESC CORTA],"",0)</f>
        <v>PUERTA INTERIOR</v>
      </c>
      <c r="D97" s="26">
        <f>+_xlfn.XLOOKUP(Tabla2[[#This Row],[CODIGO]],PRODUCTOS[CODIGO],PRODUCTOS[CANT X MODULO],"",0)</f>
        <v>2.1000000000000005</v>
      </c>
      <c r="E97" s="26">
        <f>+_xlfn.XLOOKUP(Tabla2[[#This Row],[CODIGO]],Tabla4[CODIGO],Tabla4[CUBICACION PROM / MODULO (PRESUPUESTO)],"",0)</f>
        <v>2</v>
      </c>
      <c r="F97" s="2">
        <f>+_xlfn.XLOOKUP(Tabla2[[#This Row],[CODIGO]],PRODUCTOS[CODIGO],PRODUCTOS[PPTO_ACTUALIZADO],"",0)</f>
        <v>51872.999999999993</v>
      </c>
      <c r="G97" s="2">
        <f>+_xlfn.XLOOKUP(Tabla2[[#This Row],[CODIGO]],PRODUCTOS[CODIGO],PRODUCTOS[PRECIO COMPRA UNITARIO],"",0)</f>
        <v>51886.49411764706</v>
      </c>
      <c r="H97" s="5">
        <f>+IFERROR(Tabla2[[#This Row],[PRECIO PROMEDIO]]-Tabla2[[#This Row],[PRECIO PPTO]],"")</f>
        <v>13.494117647067469</v>
      </c>
      <c r="I97" s="2">
        <f>+IFERROR(Tabla2[[#This Row],[CUB. PPTO]]*Tabla2[[#This Row],[PRECIO PPTO]],"")</f>
        <v>108933.30000000002</v>
      </c>
      <c r="J97" s="2">
        <f>+IFERROR(Tabla2[[#This Row],[CUB. GP]]*Tabla2[[#This Row],[PRECIO PROMEDIO]],"")</f>
        <v>103772.98823529412</v>
      </c>
    </row>
    <row r="98" spans="1:10" x14ac:dyDescent="0.25">
      <c r="A98">
        <v>1901466</v>
      </c>
      <c r="B98" t="s">
        <v>398</v>
      </c>
      <c r="C98" t="str">
        <f>+_xlfn.XLOOKUP(Tabla2[[#This Row],[CODIGO]],PRODUCTOS[CODIGO],PRODUCTOS[DESC CORTA],"",0)</f>
        <v>AISLAN DENSIDAD 14 KG/M3 (13.5 M2 X BOLSA) SKU 4000147</v>
      </c>
      <c r="D98" s="26">
        <f>+_xlfn.XLOOKUP(Tabla2[[#This Row],[CODIGO]],PRODUCTOS[CODIGO],PRODUCTOS[CANT X MODULO],"",0)</f>
        <v>29.529275999999999</v>
      </c>
      <c r="E98" s="26">
        <f>+_xlfn.XLOOKUP(Tabla2[[#This Row],[CODIGO]],Tabla4[CODIGO],Tabla4[CUBICACION PROM / MODULO (PRESUPUESTO)],"",0)</f>
        <v>28.123119999999997</v>
      </c>
      <c r="F98" s="2">
        <f>+_xlfn.XLOOKUP(Tabla2[[#This Row],[CODIGO]],PRODUCTOS[CODIGO],PRODUCTOS[PPTO_ACTUALIZADO],"",0)</f>
        <v>2112.795779</v>
      </c>
      <c r="G98" s="2">
        <f>+_xlfn.XLOOKUP(Tabla2[[#This Row],[CODIGO]],PRODUCTOS[CODIGO],PRODUCTOS[PRECIO COMPRA UNITARIO],"",0)</f>
        <v>1971.2168004941323</v>
      </c>
      <c r="H98" s="5">
        <f>+IFERROR(Tabla2[[#This Row],[PRECIO PROMEDIO]]-Tabla2[[#This Row],[PRECIO PPTO]],"")</f>
        <v>-141.57897850586778</v>
      </c>
      <c r="I98" s="2">
        <f>+IFERROR(Tabla2[[#This Row],[CUB. PPTO]]*Tabla2[[#This Row],[PRECIO PPTO]],"")</f>
        <v>62389.329689726001</v>
      </c>
      <c r="J98" s="2">
        <f>+IFERROR(Tabla2[[#This Row],[CUB. GP]]*Tabla2[[#This Row],[PRECIO PROMEDIO]],"")</f>
        <v>55436.766626312536</v>
      </c>
    </row>
    <row r="99" spans="1:10" x14ac:dyDescent="0.25">
      <c r="A99">
        <v>412301</v>
      </c>
      <c r="B99" t="s">
        <v>327</v>
      </c>
      <c r="C99">
        <f>+_xlfn.XLOOKUP(Tabla2[[#This Row],[CODIGO]],PRODUCTOS[CODIGO],PRODUCTOS[DESC CORTA],"",0)</f>
        <v>0</v>
      </c>
      <c r="D99" s="26">
        <f>+_xlfn.XLOOKUP(Tabla2[[#This Row],[CODIGO]],PRODUCTOS[CODIGO],PRODUCTOS[CANT X MODULO],"",0)</f>
        <v>21</v>
      </c>
      <c r="E99" s="26">
        <f>+_xlfn.XLOOKUP(Tabla2[[#This Row],[CODIGO]],Tabla4[CODIGO],Tabla4[CUBICACION PROM / MODULO (PRESUPUESTO)],"",0)</f>
        <v>32</v>
      </c>
      <c r="F99" s="2">
        <f>+_xlfn.XLOOKUP(Tabla2[[#This Row],[CODIGO]],PRODUCTOS[CODIGO],PRODUCTOS[PPTO_ACTUALIZADO],"",0)</f>
        <v>388.75977</v>
      </c>
      <c r="G99" s="2">
        <f>+_xlfn.XLOOKUP(Tabla2[[#This Row],[CODIGO]],PRODUCTOS[CODIGO],PRODUCTOS[PRECIO COMPRA UNITARIO],"",0)</f>
        <v>388.76</v>
      </c>
      <c r="H99" s="5">
        <f>+IFERROR(Tabla2[[#This Row],[PRECIO PROMEDIO]]-Tabla2[[#This Row],[PRECIO PPTO]],"")</f>
        <v>2.2999999998774001E-4</v>
      </c>
      <c r="I99" s="2">
        <f>+IFERROR(Tabla2[[#This Row],[CUB. PPTO]]*Tabla2[[#This Row],[PRECIO PPTO]],"")</f>
        <v>8163.9551700000002</v>
      </c>
      <c r="J99" s="2">
        <f>+IFERROR(Tabla2[[#This Row],[CUB. GP]]*Tabla2[[#This Row],[PRECIO PROMEDIO]],"")</f>
        <v>12440.32</v>
      </c>
    </row>
    <row r="100" spans="1:10" x14ac:dyDescent="0.25">
      <c r="A100">
        <v>412281</v>
      </c>
      <c r="B100" t="s">
        <v>326</v>
      </c>
      <c r="C100" t="str">
        <f>+_xlfn.XLOOKUP(Tabla2[[#This Row],[CODIGO]],PRODUCTOS[CODIGO],PRODUCTOS[DESC CORTA],"",0)</f>
        <v>HOLDOWN TENSIONADOR</v>
      </c>
      <c r="D100" s="26" t="str">
        <f>+_xlfn.XLOOKUP(Tabla2[[#This Row],[CODIGO]],PRODUCTOS[CODIGO],PRODUCTOS[CANT X MODULO],"",0)</f>
        <v/>
      </c>
      <c r="E100" s="26">
        <f>+_xlfn.XLOOKUP(Tabla2[[#This Row],[CODIGO]],Tabla4[CODIGO],Tabla4[CUBICACION PROM / MODULO (PRESUPUESTO)],"",0)</f>
        <v>3.5</v>
      </c>
      <c r="F100" s="2" t="str">
        <f>+_xlfn.XLOOKUP(Tabla2[[#This Row],[CODIGO]],PRODUCTOS[CODIGO],PRODUCTOS[PPTO_ACTUALIZADO],"",0)</f>
        <v/>
      </c>
      <c r="G100" s="2">
        <f>+_xlfn.XLOOKUP(Tabla2[[#This Row],[CODIGO]],PRODUCTOS[CODIGO],PRODUCTOS[PRECIO COMPRA UNITARIO],"",0)</f>
        <v>8951.4408602150543</v>
      </c>
      <c r="H100" s="5" t="str">
        <f>+IFERROR(Tabla2[[#This Row],[PRECIO PROMEDIO]]-Tabla2[[#This Row],[PRECIO PPTO]],"")</f>
        <v/>
      </c>
      <c r="I100" s="2" t="str">
        <f>+IFERROR(Tabla2[[#This Row],[CUB. PPTO]]*Tabla2[[#This Row],[PRECIO PPTO]],"")</f>
        <v/>
      </c>
      <c r="J100" s="2">
        <f>+IFERROR(Tabla2[[#This Row],[CUB. GP]]*Tabla2[[#This Row],[PRECIO PROMEDIO]],"")</f>
        <v>31330.043010752692</v>
      </c>
    </row>
    <row r="101" spans="1:10" x14ac:dyDescent="0.25">
      <c r="A101">
        <v>2304056</v>
      </c>
      <c r="B101" t="s">
        <v>417</v>
      </c>
      <c r="C101" t="str">
        <f>+_xlfn.XLOOKUP(Tabla2[[#This Row],[CODIGO]],PRODUCTOS[CODIGO],PRODUCTOS[DESC CORTA],"",0)</f>
        <v/>
      </c>
      <c r="D101" s="26" t="str">
        <f>+_xlfn.XLOOKUP(Tabla2[[#This Row],[CODIGO]],PRODUCTOS[CODIGO],PRODUCTOS[CANT X MODULO],"",0)</f>
        <v/>
      </c>
      <c r="E101" s="26">
        <f>+_xlfn.XLOOKUP(Tabla2[[#This Row],[CODIGO]],Tabla4[CODIGO],Tabla4[CUBICACION PROM / MODULO (PRESUPUESTO)],"",0)</f>
        <v>1.5</v>
      </c>
      <c r="F101" s="2" t="str">
        <f>+_xlfn.XLOOKUP(Tabla2[[#This Row],[CODIGO]],PRODUCTOS[CODIGO],PRODUCTOS[PPTO_ACTUALIZADO],"",0)</f>
        <v/>
      </c>
      <c r="G101" s="2" t="str">
        <f>+_xlfn.XLOOKUP(Tabla2[[#This Row],[CODIGO]],PRODUCTOS[CODIGO],PRODUCTOS[PRECIO COMPRA UNITARIO],"",0)</f>
        <v/>
      </c>
      <c r="H101" s="5" t="str">
        <f>+IFERROR(Tabla2[[#This Row],[PRECIO PROMEDIO]]-Tabla2[[#This Row],[PRECIO PPTO]],"")</f>
        <v/>
      </c>
      <c r="I101" s="2" t="str">
        <f>+IFERROR(Tabla2[[#This Row],[CUB. PPTO]]*Tabla2[[#This Row],[PRECIO PPTO]],"")</f>
        <v/>
      </c>
      <c r="J101" s="2" t="str">
        <f>+IFERROR(Tabla2[[#This Row],[CUB. GP]]*Tabla2[[#This Row],[PRECIO PROMEDIO]],"")</f>
        <v/>
      </c>
    </row>
    <row r="102" spans="1:10" x14ac:dyDescent="0.25">
      <c r="A102">
        <v>1802162</v>
      </c>
      <c r="B102" t="s">
        <v>260</v>
      </c>
      <c r="C102" t="str">
        <f>+_xlfn.XLOOKUP(Tabla2[[#This Row],[CODIGO]],PRODUCTOS[CODIGO],PRODUCTOS[DESC CORTA],"",0)</f>
        <v>TINA DE ACERO</v>
      </c>
      <c r="D102" s="26">
        <f>+_xlfn.XLOOKUP(Tabla2[[#This Row],[CODIGO]],PRODUCTOS[CODIGO],PRODUCTOS[CANT X MODULO],"",0)</f>
        <v>0.52500000000000002</v>
      </c>
      <c r="E102" s="26">
        <f>+_xlfn.XLOOKUP(Tabla2[[#This Row],[CODIGO]],Tabla4[CODIGO],Tabla4[CUBICACION PROM / MODULO (PRESUPUESTO)],"",0)</f>
        <v>1</v>
      </c>
      <c r="F102" s="2">
        <f>+_xlfn.XLOOKUP(Tabla2[[#This Row],[CODIGO]],PRODUCTOS[CODIGO],PRODUCTOS[PPTO_ACTUALIZADO],"",0)</f>
        <v>42840</v>
      </c>
      <c r="G102" s="2">
        <f>+_xlfn.XLOOKUP(Tabla2[[#This Row],[CODIGO]],PRODUCTOS[CODIGO],PRODUCTOS[PRECIO COMPRA UNITARIO],"",0)</f>
        <v>42840</v>
      </c>
      <c r="H102" s="5">
        <f>+IFERROR(Tabla2[[#This Row],[PRECIO PROMEDIO]]-Tabla2[[#This Row],[PRECIO PPTO]],"")</f>
        <v>0</v>
      </c>
      <c r="I102" s="2">
        <f>+IFERROR(Tabla2[[#This Row],[CUB. PPTO]]*Tabla2[[#This Row],[PRECIO PPTO]],"")</f>
        <v>22491</v>
      </c>
      <c r="J102" s="2">
        <f>+IFERROR(Tabla2[[#This Row],[CUB. GP]]*Tabla2[[#This Row],[PRECIO PROMEDIO]],"")</f>
        <v>42840</v>
      </c>
    </row>
    <row r="103" spans="1:10" x14ac:dyDescent="0.25">
      <c r="A103">
        <v>5314002</v>
      </c>
      <c r="B103" t="s">
        <v>342</v>
      </c>
      <c r="C103" t="str">
        <f>+_xlfn.XLOOKUP(Tabla2[[#This Row],[CODIGO]],PRODUCTOS[CODIGO],PRODUCTOS[DESC CORTA],"",0)</f>
        <v>CINTA EMBALAJE TRANSPARENTE</v>
      </c>
      <c r="D103" s="26" t="str">
        <f>+_xlfn.XLOOKUP(Tabla2[[#This Row],[CODIGO]],PRODUCTOS[CODIGO],PRODUCTOS[CANT X MODULO],"",0)</f>
        <v/>
      </c>
      <c r="E103" s="26">
        <f>+_xlfn.XLOOKUP(Tabla2[[#This Row],[CODIGO]],Tabla4[CODIGO],Tabla4[CUBICACION PROM / MODULO (PRESUPUESTO)],"",0)</f>
        <v>0.5</v>
      </c>
      <c r="F103" s="2" t="str">
        <f>+_xlfn.XLOOKUP(Tabla2[[#This Row],[CODIGO]],PRODUCTOS[CODIGO],PRODUCTOS[PPTO_ACTUALIZADO],"",0)</f>
        <v/>
      </c>
      <c r="G103" s="2">
        <f>+_xlfn.XLOOKUP(Tabla2[[#This Row],[CODIGO]],PRODUCTOS[CODIGO],PRODUCTOS[PRECIO COMPRA UNITARIO],"",0)</f>
        <v>311.96296296296299</v>
      </c>
      <c r="H103" s="5" t="str">
        <f>+IFERROR(Tabla2[[#This Row],[PRECIO PROMEDIO]]-Tabla2[[#This Row],[PRECIO PPTO]],"")</f>
        <v/>
      </c>
      <c r="I103" s="2" t="str">
        <f>+IFERROR(Tabla2[[#This Row],[CUB. PPTO]]*Tabla2[[#This Row],[PRECIO PPTO]],"")</f>
        <v/>
      </c>
      <c r="J103" s="2">
        <f>+IFERROR(Tabla2[[#This Row],[CUB. GP]]*Tabla2[[#This Row],[PRECIO PROMEDIO]],"")</f>
        <v>155.9814814814815</v>
      </c>
    </row>
    <row r="104" spans="1:10" x14ac:dyDescent="0.25">
      <c r="A104">
        <v>1802175</v>
      </c>
      <c r="B104" t="s">
        <v>269</v>
      </c>
      <c r="C104" t="str">
        <f>+_xlfn.XLOOKUP(Tabla2[[#This Row],[CODIGO]],PRODUCTOS[CODIGO],PRODUCTOS[DESC CORTA],"",0)</f>
        <v>UÑETAS INSTLACION LAVAMANOS</v>
      </c>
      <c r="D104" s="26">
        <f>+_xlfn.XLOOKUP(Tabla2[[#This Row],[CODIGO]],PRODUCTOS[CODIGO],PRODUCTOS[CANT X MODULO],"",0)</f>
        <v>0.52500000000000002</v>
      </c>
      <c r="E104" s="26">
        <f>+_xlfn.XLOOKUP(Tabla2[[#This Row],[CODIGO]],Tabla4[CODIGO],Tabla4[CUBICACION PROM / MODULO (PRESUPUESTO)],"",0)</f>
        <v>1</v>
      </c>
      <c r="F104" s="2">
        <f>+_xlfn.XLOOKUP(Tabla2[[#This Row],[CODIGO]],PRODUCTOS[CODIGO],PRODUCTOS[PPTO_ACTUALIZADO],"",0)</f>
        <v>1079</v>
      </c>
      <c r="G104" s="2">
        <f>+_xlfn.XLOOKUP(Tabla2[[#This Row],[CODIGO]],PRODUCTOS[CODIGO],PRODUCTOS[PRECIO COMPRA UNITARIO],"",0)</f>
        <v>1079</v>
      </c>
      <c r="H104" s="5">
        <f>+IFERROR(Tabla2[[#This Row],[PRECIO PROMEDIO]]-Tabla2[[#This Row],[PRECIO PPTO]],"")</f>
        <v>0</v>
      </c>
      <c r="I104" s="2">
        <f>+IFERROR(Tabla2[[#This Row],[CUB. PPTO]]*Tabla2[[#This Row],[PRECIO PPTO]],"")</f>
        <v>566.47500000000002</v>
      </c>
      <c r="J104" s="2">
        <f>+IFERROR(Tabla2[[#This Row],[CUB. GP]]*Tabla2[[#This Row],[PRECIO PROMEDIO]],"")</f>
        <v>1079</v>
      </c>
    </row>
    <row r="105" spans="1:10" x14ac:dyDescent="0.25">
      <c r="A105">
        <v>1802177</v>
      </c>
      <c r="B105" t="s">
        <v>270</v>
      </c>
      <c r="C105" t="str">
        <f>+_xlfn.XLOOKUP(Tabla2[[#This Row],[CODIGO]],PRODUCTOS[CODIGO],PRODUCTOS[DESC CORTA],"",0)</f>
        <v>SIFOL</v>
      </c>
      <c r="D105" s="26">
        <f>+_xlfn.XLOOKUP(Tabla2[[#This Row],[CODIGO]],PRODUCTOS[CODIGO],PRODUCTOS[CANT X MODULO],"",0)</f>
        <v>0.52500000000000002</v>
      </c>
      <c r="E105" s="26">
        <f>+_xlfn.XLOOKUP(Tabla2[[#This Row],[CODIGO]],Tabla4[CODIGO],Tabla4[CUBICACION PROM / MODULO (PRESUPUESTO)],"",0)</f>
        <v>0.52500000000000002</v>
      </c>
      <c r="F105" s="2">
        <f>+_xlfn.XLOOKUP(Tabla2[[#This Row],[CODIGO]],PRODUCTOS[CODIGO],PRODUCTOS[PPTO_ACTUALIZADO],"",0)</f>
        <v>1471</v>
      </c>
      <c r="G105" s="2">
        <f>+_xlfn.XLOOKUP(Tabla2[[#This Row],[CODIGO]],PRODUCTOS[CODIGO],PRODUCTOS[PRECIO COMPRA UNITARIO],"",0)</f>
        <v>1471</v>
      </c>
      <c r="H105" s="5">
        <f>+IFERROR(Tabla2[[#This Row],[PRECIO PROMEDIO]]-Tabla2[[#This Row],[PRECIO PPTO]],"")</f>
        <v>0</v>
      </c>
      <c r="I105" s="2">
        <f>+IFERROR(Tabla2[[#This Row],[CUB. PPTO]]*Tabla2[[#This Row],[PRECIO PPTO]],"")</f>
        <v>772.27499999999998</v>
      </c>
      <c r="J105" s="2">
        <f>+IFERROR(Tabla2[[#This Row],[CUB. GP]]*Tabla2[[#This Row],[PRECIO PROMEDIO]],"")</f>
        <v>772.27499999999998</v>
      </c>
    </row>
    <row r="106" spans="1:10" x14ac:dyDescent="0.25">
      <c r="A106">
        <v>1802173</v>
      </c>
      <c r="B106" t="s">
        <v>267</v>
      </c>
      <c r="C106" t="str">
        <f>+_xlfn.XLOOKUP(Tabla2[[#This Row],[CODIGO]],PRODUCTOS[CODIGO],PRODUCTOS[DESC CORTA],"",0)</f>
        <v>LAVAMANOS DS THEOS</v>
      </c>
      <c r="D106" s="26">
        <f>+_xlfn.XLOOKUP(Tabla2[[#This Row],[CODIGO]],PRODUCTOS[CODIGO],PRODUCTOS[CANT X MODULO],"",0)</f>
        <v>0.52500000000000002</v>
      </c>
      <c r="E106" s="26">
        <f>+_xlfn.XLOOKUP(Tabla2[[#This Row],[CODIGO]],Tabla4[CODIGO],Tabla4[CUBICACION PROM / MODULO (PRESUPUESTO)],"",0)</f>
        <v>1</v>
      </c>
      <c r="F106" s="2">
        <f>+_xlfn.XLOOKUP(Tabla2[[#This Row],[CODIGO]],PRODUCTOS[CODIGO],PRODUCTOS[PPTO_ACTUALIZADO],"",0)</f>
        <v>11996</v>
      </c>
      <c r="G106" s="2">
        <f>+_xlfn.XLOOKUP(Tabla2[[#This Row],[CODIGO]],PRODUCTOS[CODIGO],PRODUCTOS[PRECIO COMPRA UNITARIO],"",0)</f>
        <v>11984.645161290322</v>
      </c>
      <c r="H106" s="5">
        <f>+IFERROR(Tabla2[[#This Row],[PRECIO PROMEDIO]]-Tabla2[[#This Row],[PRECIO PPTO]],"")</f>
        <v>-11.354838709678006</v>
      </c>
      <c r="I106" s="2">
        <f>+IFERROR(Tabla2[[#This Row],[CUB. PPTO]]*Tabla2[[#This Row],[PRECIO PPTO]],"")</f>
        <v>6297.9000000000005</v>
      </c>
      <c r="J106" s="2">
        <f>+IFERROR(Tabla2[[#This Row],[CUB. GP]]*Tabla2[[#This Row],[PRECIO PROMEDIO]],"")</f>
        <v>11984.645161290322</v>
      </c>
    </row>
    <row r="107" spans="1:10" x14ac:dyDescent="0.25">
      <c r="A107">
        <v>1808148</v>
      </c>
      <c r="B107" t="s">
        <v>276</v>
      </c>
      <c r="C107" t="str">
        <f>+_xlfn.XLOOKUP(Tabla2[[#This Row],[CODIGO]],PRODUCTOS[CODIGO],PRODUCTOS[DESC CORTA],"",0)</f>
        <v>SELLO INSTALACION WC</v>
      </c>
      <c r="D107" s="26">
        <f>+_xlfn.XLOOKUP(Tabla2[[#This Row],[CODIGO]],PRODUCTOS[CODIGO],PRODUCTOS[CANT X MODULO],"",0)</f>
        <v>0.52500000000000002</v>
      </c>
      <c r="E107" s="26">
        <f>+_xlfn.XLOOKUP(Tabla2[[#This Row],[CODIGO]],Tabla4[CODIGO],Tabla4[CUBICACION PROM / MODULO (PRESUPUESTO)],"",0)</f>
        <v>0.52500000000000002</v>
      </c>
      <c r="F107" s="2">
        <f>+_xlfn.XLOOKUP(Tabla2[[#This Row],[CODIGO]],PRODUCTOS[CODIGO],PRODUCTOS[PPTO_ACTUALIZADO],"",0)</f>
        <v>1089</v>
      </c>
      <c r="G107" s="2">
        <f>+_xlfn.XLOOKUP(Tabla2[[#This Row],[CODIGO]],PRODUCTOS[CODIGO],PRODUCTOS[PRECIO COMPRA UNITARIO],"",0)</f>
        <v>1098.6296296296296</v>
      </c>
      <c r="H107" s="5">
        <f>+IFERROR(Tabla2[[#This Row],[PRECIO PROMEDIO]]-Tabla2[[#This Row],[PRECIO PPTO]],"")</f>
        <v>9.6296296296295623</v>
      </c>
      <c r="I107" s="2">
        <f>+IFERROR(Tabla2[[#This Row],[CUB. PPTO]]*Tabla2[[#This Row],[PRECIO PPTO]],"")</f>
        <v>571.72500000000002</v>
      </c>
      <c r="J107" s="2">
        <f>+IFERROR(Tabla2[[#This Row],[CUB. GP]]*Tabla2[[#This Row],[PRECIO PROMEDIO]],"")</f>
        <v>576.78055555555557</v>
      </c>
    </row>
    <row r="108" spans="1:10" x14ac:dyDescent="0.25">
      <c r="A108">
        <v>407795</v>
      </c>
      <c r="B108" t="s">
        <v>325</v>
      </c>
      <c r="C108" t="str">
        <f>+_xlfn.XLOOKUP(Tabla2[[#This Row],[CODIGO]],PRODUCTOS[CODIGO],PRODUCTOS[DESC CORTA],"",0)</f>
        <v>SET BALCON</v>
      </c>
      <c r="D108" s="26" t="str">
        <f>+_xlfn.XLOOKUP(Tabla2[[#This Row],[CODIGO]],PRODUCTOS[CODIGO],PRODUCTOS[CANT X MODULO],"",0)</f>
        <v/>
      </c>
      <c r="E108" s="26">
        <f>+_xlfn.XLOOKUP(Tabla2[[#This Row],[CODIGO]],Tabla4[CODIGO],Tabla4[CUBICACION PROM / MODULO (PRESUPUESTO)],"",0)</f>
        <v>1</v>
      </c>
      <c r="F108" s="2" t="str">
        <f>+_xlfn.XLOOKUP(Tabla2[[#This Row],[CODIGO]],PRODUCTOS[CODIGO],PRODUCTOS[PPTO_ACTUALIZADO],"",0)</f>
        <v/>
      </c>
      <c r="G108" s="2">
        <f>+_xlfn.XLOOKUP(Tabla2[[#This Row],[CODIGO]],PRODUCTOS[CODIGO],PRODUCTOS[PRECIO COMPRA UNITARIO],"",0)</f>
        <v>1537</v>
      </c>
      <c r="H108" s="5" t="str">
        <f>+IFERROR(Tabla2[[#This Row],[PRECIO PROMEDIO]]-Tabla2[[#This Row],[PRECIO PPTO]],"")</f>
        <v/>
      </c>
      <c r="I108" s="2" t="str">
        <f>+IFERROR(Tabla2[[#This Row],[CUB. PPTO]]*Tabla2[[#This Row],[PRECIO PPTO]],"")</f>
        <v/>
      </c>
      <c r="J108" s="2">
        <f>+IFERROR(Tabla2[[#This Row],[CUB. GP]]*Tabla2[[#This Row],[PRECIO PROMEDIO]],"")</f>
        <v>1537</v>
      </c>
    </row>
    <row r="109" spans="1:10" x14ac:dyDescent="0.25">
      <c r="A109">
        <v>1808145</v>
      </c>
      <c r="B109" t="s">
        <v>273</v>
      </c>
      <c r="C109" t="str">
        <f>+_xlfn.XLOOKUP(Tabla2[[#This Row],[CODIGO]],PRODUCTOS[CODIGO],PRODUCTOS[DESC CORTA],"",0)</f>
        <v>ESTANQUE WC AURA</v>
      </c>
      <c r="D109" s="26">
        <f>+_xlfn.XLOOKUP(Tabla2[[#This Row],[CODIGO]],PRODUCTOS[CODIGO],PRODUCTOS[CANT X MODULO],"",0)</f>
        <v>0.52500000000000002</v>
      </c>
      <c r="E109" s="26">
        <f>+_xlfn.XLOOKUP(Tabla2[[#This Row],[CODIGO]],Tabla4[CODIGO],Tabla4[CUBICACION PROM / MODULO (PRESUPUESTO)],"",0)</f>
        <v>1</v>
      </c>
      <c r="F109" s="2">
        <f>+_xlfn.XLOOKUP(Tabla2[[#This Row],[CODIGO]],PRODUCTOS[CODIGO],PRODUCTOS[PPTO_ACTUALIZADO],"",0)</f>
        <v>17145</v>
      </c>
      <c r="G109" s="2">
        <f>+_xlfn.XLOOKUP(Tabla2[[#This Row],[CODIGO]],PRODUCTOS[CODIGO],PRODUCTOS[PRECIO COMPRA UNITARIO],"",0)</f>
        <v>16237.566666666668</v>
      </c>
      <c r="H109" s="5">
        <f>+IFERROR(Tabla2[[#This Row],[PRECIO PROMEDIO]]-Tabla2[[#This Row],[PRECIO PPTO]],"")</f>
        <v>-907.43333333333248</v>
      </c>
      <c r="I109" s="2">
        <f>+IFERROR(Tabla2[[#This Row],[CUB. PPTO]]*Tabla2[[#This Row],[PRECIO PPTO]],"")</f>
        <v>9001.125</v>
      </c>
      <c r="J109" s="2">
        <f>+IFERROR(Tabla2[[#This Row],[CUB. GP]]*Tabla2[[#This Row],[PRECIO PROMEDIO]],"")</f>
        <v>16237.566666666668</v>
      </c>
    </row>
    <row r="110" spans="1:10" x14ac:dyDescent="0.25">
      <c r="A110">
        <v>1808144</v>
      </c>
      <c r="B110" t="s">
        <v>272</v>
      </c>
      <c r="C110" t="str">
        <f>+_xlfn.XLOOKUP(Tabla2[[#This Row],[CODIGO]],PRODUCTOS[CODIGO],PRODUCTOS[DESC CORTA],"",0)</f>
        <v>TAZA WC AURA</v>
      </c>
      <c r="D110" s="26">
        <f>+_xlfn.XLOOKUP(Tabla2[[#This Row],[CODIGO]],PRODUCTOS[CODIGO],PRODUCTOS[CANT X MODULO],"",0)</f>
        <v>0.52500000000000002</v>
      </c>
      <c r="E110" s="26">
        <f>+_xlfn.XLOOKUP(Tabla2[[#This Row],[CODIGO]],Tabla4[CODIGO],Tabla4[CUBICACION PROM / MODULO (PRESUPUESTO)],"",0)</f>
        <v>1</v>
      </c>
      <c r="F110" s="2">
        <f>+_xlfn.XLOOKUP(Tabla2[[#This Row],[CODIGO]],PRODUCTOS[CODIGO],PRODUCTOS[PPTO_ACTUALIZADO],"",0)</f>
        <v>23228</v>
      </c>
      <c r="G110" s="2">
        <f>+_xlfn.XLOOKUP(Tabla2[[#This Row],[CODIGO]],PRODUCTOS[CODIGO],PRODUCTOS[PRECIO COMPRA UNITARIO],"",0)</f>
        <v>23316.733333333334</v>
      </c>
      <c r="H110" s="5">
        <f>+IFERROR(Tabla2[[#This Row],[PRECIO PROMEDIO]]-Tabla2[[#This Row],[PRECIO PPTO]],"")</f>
        <v>88.733333333333576</v>
      </c>
      <c r="I110" s="2">
        <f>+IFERROR(Tabla2[[#This Row],[CUB. PPTO]]*Tabla2[[#This Row],[PRECIO PPTO]],"")</f>
        <v>12194.7</v>
      </c>
      <c r="J110" s="2">
        <f>+IFERROR(Tabla2[[#This Row],[CUB. GP]]*Tabla2[[#This Row],[PRECIO PROMEDIO]],"")</f>
        <v>23316.733333333334</v>
      </c>
    </row>
    <row r="111" spans="1:10" x14ac:dyDescent="0.25">
      <c r="A111">
        <v>1610007</v>
      </c>
      <c r="B111" t="s">
        <v>334</v>
      </c>
      <c r="C111" t="str">
        <f>+_xlfn.XLOOKUP(Tabla2[[#This Row],[CODIGO]],PRODUCTOS[CODIGO],PRODUCTOS[DESC CORTA],"",0)</f>
        <v>HUAIPE BLANCO BOLSA</v>
      </c>
      <c r="D111" s="26" t="str">
        <f>+_xlfn.XLOOKUP(Tabla2[[#This Row],[CODIGO]],PRODUCTOS[CODIGO],PRODUCTOS[CANT X MODULO],"",0)</f>
        <v/>
      </c>
      <c r="E111" s="26">
        <f>+_xlfn.XLOOKUP(Tabla2[[#This Row],[CODIGO]],Tabla4[CODIGO],Tabla4[CUBICACION PROM / MODULO (PRESUPUESTO)],"",0)</f>
        <v>1</v>
      </c>
      <c r="F111" s="2" t="str">
        <f>+_xlfn.XLOOKUP(Tabla2[[#This Row],[CODIGO]],PRODUCTOS[CODIGO],PRODUCTOS[PPTO_ACTUALIZADO],"",0)</f>
        <v/>
      </c>
      <c r="G111" s="2">
        <f>+_xlfn.XLOOKUP(Tabla2[[#This Row],[CODIGO]],PRODUCTOS[CODIGO],PRODUCTOS[PRECIO COMPRA UNITARIO],"",0)</f>
        <v>1623.2142857142858</v>
      </c>
      <c r="H111" s="5" t="str">
        <f>+IFERROR(Tabla2[[#This Row],[PRECIO PROMEDIO]]-Tabla2[[#This Row],[PRECIO PPTO]],"")</f>
        <v/>
      </c>
      <c r="I111" s="2" t="str">
        <f>+IFERROR(Tabla2[[#This Row],[CUB. PPTO]]*Tabla2[[#This Row],[PRECIO PPTO]],"")</f>
        <v/>
      </c>
      <c r="J111" s="2">
        <f>+IFERROR(Tabla2[[#This Row],[CUB. GP]]*Tabla2[[#This Row],[PRECIO PROMEDIO]],"")</f>
        <v>1623.2142857142858</v>
      </c>
    </row>
    <row r="112" spans="1:10" x14ac:dyDescent="0.25">
      <c r="A112">
        <v>1405040</v>
      </c>
      <c r="B112" t="s">
        <v>451</v>
      </c>
      <c r="C112" t="str">
        <f>+_xlfn.XLOOKUP(Tabla2[[#This Row],[CODIGO]],PRODUCTOS[CODIGO],PRODUCTOS[DESC CORTA],"",0)</f>
        <v>CEERRADURA BAÑO 815 TUBULAR</v>
      </c>
      <c r="D112" s="26">
        <f>+_xlfn.XLOOKUP(Tabla2[[#This Row],[CODIGO]],PRODUCTOS[CODIGO],PRODUCTOS[CANT X MODULO],"",0)</f>
        <v>0.52500000000000002</v>
      </c>
      <c r="E112" s="26">
        <f>+_xlfn.XLOOKUP(Tabla2[[#This Row],[CODIGO]],Tabla4[CODIGO],Tabla4[CUBICACION PROM / MODULO (PRESUPUESTO)],"",0)</f>
        <v>1.5</v>
      </c>
      <c r="F112" s="2">
        <f>+_xlfn.XLOOKUP(Tabla2[[#This Row],[CODIGO]],PRODUCTOS[CODIGO],PRODUCTOS[PPTO_ACTUALIZADO],"",0)</f>
        <v>7568</v>
      </c>
      <c r="G112" s="2">
        <f>+_xlfn.XLOOKUP(Tabla2[[#This Row],[CODIGO]],PRODUCTOS[CODIGO],PRODUCTOS[PRECIO COMPRA UNITARIO],"",0)</f>
        <v>7573.9387755102043</v>
      </c>
      <c r="H112" s="5">
        <f>+IFERROR(Tabla2[[#This Row],[PRECIO PROMEDIO]]-Tabla2[[#This Row],[PRECIO PPTO]],"")</f>
        <v>5.9387755102043229</v>
      </c>
      <c r="I112" s="2">
        <f>+IFERROR(Tabla2[[#This Row],[CUB. PPTO]]*Tabla2[[#This Row],[PRECIO PPTO]],"")</f>
        <v>3973.2000000000003</v>
      </c>
      <c r="J112" s="2">
        <f>+IFERROR(Tabla2[[#This Row],[CUB. GP]]*Tabla2[[#This Row],[PRECIO PROMEDIO]],"")</f>
        <v>11360.908163265307</v>
      </c>
    </row>
    <row r="113" spans="1:10" x14ac:dyDescent="0.25">
      <c r="A113">
        <v>1405039</v>
      </c>
      <c r="B113" t="s">
        <v>314</v>
      </c>
      <c r="C113" t="str">
        <f>+_xlfn.XLOOKUP(Tabla2[[#This Row],[CODIGO]],PRODUCTOS[CODIGO],PRODUCTOS[DESC CORTA],"",0)</f>
        <v>CERRADURA INOX 304</v>
      </c>
      <c r="D113" s="26">
        <f>+_xlfn.XLOOKUP(Tabla2[[#This Row],[CODIGO]],PRODUCTOS[CODIGO],PRODUCTOS[CANT X MODULO],"",0)</f>
        <v>1.5750000000000002</v>
      </c>
      <c r="E113" s="26">
        <f>+_xlfn.XLOOKUP(Tabla2[[#This Row],[CODIGO]],Tabla4[CODIGO],Tabla4[CUBICACION PROM / MODULO (PRESUPUESTO)],"",0)</f>
        <v>1</v>
      </c>
      <c r="F113" s="2">
        <f>+_xlfn.XLOOKUP(Tabla2[[#This Row],[CODIGO]],PRODUCTOS[CODIGO],PRODUCTOS[PPTO_ACTUALIZADO],"",0)</f>
        <v>7596</v>
      </c>
      <c r="G113" s="2">
        <f>+_xlfn.XLOOKUP(Tabla2[[#This Row],[CODIGO]],PRODUCTOS[CODIGO],PRODUCTOS[PRECIO COMPRA UNITARIO],"",0)</f>
        <v>7625.5294117647063</v>
      </c>
      <c r="H113" s="5">
        <f>+IFERROR(Tabla2[[#This Row],[PRECIO PROMEDIO]]-Tabla2[[#This Row],[PRECIO PPTO]],"")</f>
        <v>29.52941176470631</v>
      </c>
      <c r="I113" s="2">
        <f>+IFERROR(Tabla2[[#This Row],[CUB. PPTO]]*Tabla2[[#This Row],[PRECIO PPTO]],"")</f>
        <v>11963.7</v>
      </c>
      <c r="J113" s="2">
        <f>+IFERROR(Tabla2[[#This Row],[CUB. GP]]*Tabla2[[#This Row],[PRECIO PROMEDIO]],"")</f>
        <v>7625.5294117647063</v>
      </c>
    </row>
    <row r="114" spans="1:10" x14ac:dyDescent="0.25">
      <c r="A114">
        <v>1802174</v>
      </c>
      <c r="B114" t="s">
        <v>268</v>
      </c>
      <c r="C114" t="str">
        <f>+_xlfn.XLOOKUP(Tabla2[[#This Row],[CODIGO]],PRODUCTOS[CODIGO],PRODUCTOS[DESC CORTA],"",0)</f>
        <v>PEDESTAL DS THEOS</v>
      </c>
      <c r="D114" s="26">
        <f>+_xlfn.XLOOKUP(Tabla2[[#This Row],[CODIGO]],PRODUCTOS[CODIGO],PRODUCTOS[CANT X MODULO],"",0)</f>
        <v>0.52500000000000002</v>
      </c>
      <c r="E114" s="26">
        <f>+_xlfn.XLOOKUP(Tabla2[[#This Row],[CODIGO]],Tabla4[CODIGO],Tabla4[CUBICACION PROM / MODULO (PRESUPUESTO)],"",0)</f>
        <v>1</v>
      </c>
      <c r="F114" s="2">
        <f>+_xlfn.XLOOKUP(Tabla2[[#This Row],[CODIGO]],PRODUCTOS[CODIGO],PRODUCTOS[PPTO_ACTUALIZADO],"",0)</f>
        <v>7709</v>
      </c>
      <c r="G114" s="2">
        <f>+_xlfn.XLOOKUP(Tabla2[[#This Row],[CODIGO]],PRODUCTOS[CODIGO],PRODUCTOS[PRECIO COMPRA UNITARIO],"",0)</f>
        <v>7701.7</v>
      </c>
      <c r="H114" s="5">
        <f>+IFERROR(Tabla2[[#This Row],[PRECIO PROMEDIO]]-Tabla2[[#This Row],[PRECIO PPTO]],"")</f>
        <v>-7.3000000000001819</v>
      </c>
      <c r="I114" s="2">
        <f>+IFERROR(Tabla2[[#This Row],[CUB. PPTO]]*Tabla2[[#This Row],[PRECIO PPTO]],"")</f>
        <v>4047.2250000000004</v>
      </c>
      <c r="J114" s="2">
        <f>+IFERROR(Tabla2[[#This Row],[CUB. GP]]*Tabla2[[#This Row],[PRECIO PROMEDIO]],"")</f>
        <v>7701.7</v>
      </c>
    </row>
    <row r="115" spans="1:10" x14ac:dyDescent="0.25">
      <c r="A115">
        <v>2302044</v>
      </c>
      <c r="B115" t="s">
        <v>441</v>
      </c>
      <c r="C115" t="str">
        <f>+_xlfn.XLOOKUP(Tabla2[[#This Row],[CODIGO]],PRODUCTOS[CODIGO],PRODUCTOS[DESC CORTA],"",0)</f>
        <v/>
      </c>
      <c r="D115" s="26" t="str">
        <f>+_xlfn.XLOOKUP(Tabla2[[#This Row],[CODIGO]],PRODUCTOS[CODIGO],PRODUCTOS[CANT X MODULO],"",0)</f>
        <v/>
      </c>
      <c r="E115" s="26">
        <f>+_xlfn.XLOOKUP(Tabla2[[#This Row],[CODIGO]],Tabla4[CODIGO],Tabla4[CUBICACION PROM / MODULO (PRESUPUESTO)],"",0)</f>
        <v>0.12755102040816327</v>
      </c>
      <c r="F115" s="2" t="str">
        <f>+_xlfn.XLOOKUP(Tabla2[[#This Row],[CODIGO]],PRODUCTOS[CODIGO],PRODUCTOS[PPTO_ACTUALIZADO],"",0)</f>
        <v/>
      </c>
      <c r="G115" s="2" t="str">
        <f>+_xlfn.XLOOKUP(Tabla2[[#This Row],[CODIGO]],PRODUCTOS[CODIGO],PRODUCTOS[PRECIO COMPRA UNITARIO],"",0)</f>
        <v/>
      </c>
      <c r="H115" s="5" t="str">
        <f>+IFERROR(Tabla2[[#This Row],[PRECIO PROMEDIO]]-Tabla2[[#This Row],[PRECIO PPTO]],"")</f>
        <v/>
      </c>
      <c r="I115" s="2" t="str">
        <f>+IFERROR(Tabla2[[#This Row],[CUB. PPTO]]*Tabla2[[#This Row],[PRECIO PPTO]],"")</f>
        <v/>
      </c>
      <c r="J115" s="2" t="str">
        <f>+IFERROR(Tabla2[[#This Row],[CUB. GP]]*Tabla2[[#This Row],[PRECIO PROMEDIO]],"")</f>
        <v/>
      </c>
    </row>
    <row r="116" spans="1:10" x14ac:dyDescent="0.25">
      <c r="A116">
        <v>2302045</v>
      </c>
      <c r="B116" t="s">
        <v>443</v>
      </c>
      <c r="C116" t="str">
        <f>+_xlfn.XLOOKUP(Tabla2[[#This Row],[CODIGO]],PRODUCTOS[CODIGO],PRODUCTOS[DESC CORTA],"",0)</f>
        <v/>
      </c>
      <c r="D116" s="26" t="str">
        <f>+_xlfn.XLOOKUP(Tabla2[[#This Row],[CODIGO]],PRODUCTOS[CODIGO],PRODUCTOS[CANT X MODULO],"",0)</f>
        <v/>
      </c>
      <c r="E116" s="26">
        <f>+_xlfn.XLOOKUP(Tabla2[[#This Row],[CODIGO]],Tabla4[CODIGO],Tabla4[CUBICACION PROM / MODULO (PRESUPUESTO)],"",0)</f>
        <v>0.12755102040816327</v>
      </c>
      <c r="F116" s="2" t="str">
        <f>+_xlfn.XLOOKUP(Tabla2[[#This Row],[CODIGO]],PRODUCTOS[CODIGO],PRODUCTOS[PPTO_ACTUALIZADO],"",0)</f>
        <v/>
      </c>
      <c r="G116" s="2" t="str">
        <f>+_xlfn.XLOOKUP(Tabla2[[#This Row],[CODIGO]],PRODUCTOS[CODIGO],PRODUCTOS[PRECIO COMPRA UNITARIO],"",0)</f>
        <v/>
      </c>
      <c r="H116" s="5" t="str">
        <f>+IFERROR(Tabla2[[#This Row],[PRECIO PROMEDIO]]-Tabla2[[#This Row],[PRECIO PPTO]],"")</f>
        <v/>
      </c>
      <c r="I116" s="2" t="str">
        <f>+IFERROR(Tabla2[[#This Row],[CUB. PPTO]]*Tabla2[[#This Row],[PRECIO PPTO]],"")</f>
        <v/>
      </c>
      <c r="J116" s="2" t="str">
        <f>+IFERROR(Tabla2[[#This Row],[CUB. GP]]*Tabla2[[#This Row],[PRECIO PROMEDIO]],"")</f>
        <v/>
      </c>
    </row>
    <row r="117" spans="1:10" x14ac:dyDescent="0.25">
      <c r="A117">
        <v>404745</v>
      </c>
      <c r="B117" t="s">
        <v>444</v>
      </c>
      <c r="C117" t="str">
        <f>+_xlfn.XLOOKUP(Tabla2[[#This Row],[CODIGO]],PRODUCTOS[CODIGO],PRODUCTOS[DESC CORTA],"",0)</f>
        <v/>
      </c>
      <c r="D117" s="26" t="str">
        <f>+_xlfn.XLOOKUP(Tabla2[[#This Row],[CODIGO]],PRODUCTOS[CODIGO],PRODUCTOS[CANT X MODULO],"",0)</f>
        <v/>
      </c>
      <c r="E117" s="26">
        <f>+_xlfn.XLOOKUP(Tabla2[[#This Row],[CODIGO]],Tabla4[CODIGO],Tabla4[CUBICACION PROM / MODULO (PRESUPUESTO)],"",0)</f>
        <v>1</v>
      </c>
      <c r="F117" s="2" t="str">
        <f>+_xlfn.XLOOKUP(Tabla2[[#This Row],[CODIGO]],PRODUCTOS[CODIGO],PRODUCTOS[PPTO_ACTUALIZADO],"",0)</f>
        <v/>
      </c>
      <c r="G117" s="2" t="str">
        <f>+_xlfn.XLOOKUP(Tabla2[[#This Row],[CODIGO]],PRODUCTOS[CODIGO],PRODUCTOS[PRECIO COMPRA UNITARIO],"",0)</f>
        <v/>
      </c>
      <c r="H117" s="5" t="str">
        <f>+IFERROR(Tabla2[[#This Row],[PRECIO PROMEDIO]]-Tabla2[[#This Row],[PRECIO PPTO]],"")</f>
        <v/>
      </c>
      <c r="I117" s="2" t="str">
        <f>+IFERROR(Tabla2[[#This Row],[CUB. PPTO]]*Tabla2[[#This Row],[PRECIO PPTO]],"")</f>
        <v/>
      </c>
      <c r="J117" s="2" t="str">
        <f>+IFERROR(Tabla2[[#This Row],[CUB. GP]]*Tabla2[[#This Row],[PRECIO PROMEDIO]],"")</f>
        <v/>
      </c>
    </row>
    <row r="118" spans="1:10" x14ac:dyDescent="0.25">
      <c r="A118">
        <v>412630</v>
      </c>
      <c r="B118" t="s">
        <v>284</v>
      </c>
      <c r="C118">
        <f>+_xlfn.XLOOKUP(Tabla2[[#This Row],[CODIGO]],PRODUCTOS[CODIGO],PRODUCTOS[DESC CORTA],"",0)</f>
        <v>0</v>
      </c>
      <c r="D118" s="26">
        <f>+_xlfn.XLOOKUP(Tabla2[[#This Row],[CODIGO]],PRODUCTOS[CODIGO],PRODUCTOS[CANT X MODULO],"",0)</f>
        <v>0.52500000000000002</v>
      </c>
      <c r="E118" s="26">
        <f>+_xlfn.XLOOKUP(Tabla2[[#This Row],[CODIGO]],Tabla4[CODIGO],Tabla4[CUBICACION PROM / MODULO (PRESUPUESTO)],"",0)</f>
        <v>1</v>
      </c>
      <c r="F118" s="2">
        <f>+_xlfn.XLOOKUP(Tabla2[[#This Row],[CODIGO]],PRODUCTOS[CODIGO],PRODUCTOS[PPTO_ACTUALIZADO],"",0)</f>
        <v>148200</v>
      </c>
      <c r="G118" s="2">
        <f>+_xlfn.XLOOKUP(Tabla2[[#This Row],[CODIGO]],PRODUCTOS[CODIGO],PRODUCTOS[PRECIO COMPRA UNITARIO],"",0)</f>
        <v>118321.27659574468</v>
      </c>
      <c r="H118" s="5">
        <f>+IFERROR(Tabla2[[#This Row],[PRECIO PROMEDIO]]-Tabla2[[#This Row],[PRECIO PPTO]],"")</f>
        <v>-29878.723404255317</v>
      </c>
      <c r="I118" s="2">
        <f>+IFERROR(Tabla2[[#This Row],[CUB. PPTO]]*Tabla2[[#This Row],[PRECIO PPTO]],"")</f>
        <v>77805</v>
      </c>
      <c r="J118" s="2">
        <f>+IFERROR(Tabla2[[#This Row],[CUB. GP]]*Tabla2[[#This Row],[PRECIO PROMEDIO]],"")</f>
        <v>118321.27659574468</v>
      </c>
    </row>
    <row r="119" spans="1:10" x14ac:dyDescent="0.25">
      <c r="A119">
        <v>608013</v>
      </c>
      <c r="B119" t="s">
        <v>328</v>
      </c>
      <c r="C119" t="str">
        <f>+_xlfn.XLOOKUP(Tabla2[[#This Row],[CODIGO]],PRODUCTOS[CODIGO],PRODUCTOS[DESC CORTA],"",0)</f>
        <v>PASTA RETAPE</v>
      </c>
      <c r="D119" s="26">
        <f>+_xlfn.XLOOKUP(Tabla2[[#This Row],[CODIGO]],PRODUCTOS[CODIGO],PRODUCTOS[CANT X MODULO],"",0)</f>
        <v>0.105</v>
      </c>
      <c r="E119" s="26">
        <f>+_xlfn.XLOOKUP(Tabla2[[#This Row],[CODIGO]],Tabla4[CODIGO],Tabla4[CUBICACION PROM / MODULO (PRESUPUESTO)],"",0)</f>
        <v>0.10000000000000002</v>
      </c>
      <c r="F119" s="2">
        <f>+_xlfn.XLOOKUP(Tabla2[[#This Row],[CODIGO]],PRODUCTOS[CODIGO],PRODUCTOS[PPTO_ACTUALIZADO],"",0)</f>
        <v>8471</v>
      </c>
      <c r="G119" s="2">
        <f>+_xlfn.XLOOKUP(Tabla2[[#This Row],[CODIGO]],PRODUCTOS[CODIGO],PRODUCTOS[PRECIO COMPRA UNITARIO],"",0)</f>
        <v>8471.6666666666661</v>
      </c>
      <c r="H119" s="5">
        <f>+IFERROR(Tabla2[[#This Row],[PRECIO PROMEDIO]]-Tabla2[[#This Row],[PRECIO PPTO]],"")</f>
        <v>0.66666666666606034</v>
      </c>
      <c r="I119" s="2">
        <f>+IFERROR(Tabla2[[#This Row],[CUB. PPTO]]*Tabla2[[#This Row],[PRECIO PPTO]],"")</f>
        <v>889.45499999999993</v>
      </c>
      <c r="J119" s="2">
        <f>+IFERROR(Tabla2[[#This Row],[CUB. GP]]*Tabla2[[#This Row],[PRECIO PROMEDIO]],"")</f>
        <v>847.16666666666674</v>
      </c>
    </row>
    <row r="120" spans="1:10" x14ac:dyDescent="0.25">
      <c r="A120">
        <v>408017</v>
      </c>
      <c r="B120" t="s">
        <v>445</v>
      </c>
      <c r="C120" t="str">
        <f>+_xlfn.XLOOKUP(Tabla2[[#This Row],[CODIGO]],PRODUCTOS[CODIGO],PRODUCTOS[DESC CORTA],"",0)</f>
        <v/>
      </c>
      <c r="D120" s="26" t="str">
        <f>+_xlfn.XLOOKUP(Tabla2[[#This Row],[CODIGO]],PRODUCTOS[CODIGO],PRODUCTOS[CANT X MODULO],"",0)</f>
        <v/>
      </c>
      <c r="E120" s="26">
        <f>+_xlfn.XLOOKUP(Tabla2[[#This Row],[CODIGO]],Tabla4[CODIGO],Tabla4[CUBICACION PROM / MODULO (PRESUPUESTO)],"",0)</f>
        <v>5.000000000000001E-2</v>
      </c>
      <c r="F120" s="2" t="str">
        <f>+_xlfn.XLOOKUP(Tabla2[[#This Row],[CODIGO]],PRODUCTOS[CODIGO],PRODUCTOS[PPTO_ACTUALIZADO],"",0)</f>
        <v/>
      </c>
      <c r="G120" s="2" t="str">
        <f>+_xlfn.XLOOKUP(Tabla2[[#This Row],[CODIGO]],PRODUCTOS[CODIGO],PRODUCTOS[PRECIO COMPRA UNITARIO],"",0)</f>
        <v/>
      </c>
      <c r="H120" s="5" t="str">
        <f>+IFERROR(Tabla2[[#This Row],[PRECIO PROMEDIO]]-Tabla2[[#This Row],[PRECIO PPTO]],"")</f>
        <v/>
      </c>
      <c r="I120" s="2" t="str">
        <f>+IFERROR(Tabla2[[#This Row],[CUB. PPTO]]*Tabla2[[#This Row],[PRECIO PPTO]],"")</f>
        <v/>
      </c>
      <c r="J120" s="2" t="str">
        <f>+IFERROR(Tabla2[[#This Row],[CUB. GP]]*Tabla2[[#This Row],[PRECIO PROMEDIO]],"")</f>
        <v/>
      </c>
    </row>
    <row r="121" spans="1:10" x14ac:dyDescent="0.25">
      <c r="A121">
        <v>1805340</v>
      </c>
      <c r="B121" t="s">
        <v>298</v>
      </c>
      <c r="C121" t="str">
        <f>+_xlfn.XLOOKUP(Tabla2[[#This Row],[CODIGO]],PRODUCTOS[CODIGO],PRODUCTOS[DESC CORTA],"",0)</f>
        <v>EXTRT</v>
      </c>
      <c r="D121" s="26">
        <f>+_xlfn.XLOOKUP(Tabla2[[#This Row],[CODIGO]],PRODUCTOS[CODIGO],PRODUCTOS[CANT X MODULO],"",0)</f>
        <v>1.05</v>
      </c>
      <c r="E121" s="26">
        <f>+_xlfn.XLOOKUP(Tabla2[[#This Row],[CODIGO]],Tabla4[CODIGO],Tabla4[CUBICACION PROM / MODULO (PRESUPUESTO)],"",0)</f>
        <v>2</v>
      </c>
      <c r="F121" s="2">
        <f>+_xlfn.XLOOKUP(Tabla2[[#This Row],[CODIGO]],PRODUCTOS[CODIGO],PRODUCTOS[PPTO_ACTUALIZADO],"",0)</f>
        <v>19400</v>
      </c>
      <c r="G121" s="2">
        <f>+_xlfn.XLOOKUP(Tabla2[[#This Row],[CODIGO]],PRODUCTOS[CODIGO],PRODUCTOS[PRECIO COMPRA UNITARIO],"",0)</f>
        <v>19400</v>
      </c>
      <c r="H121" s="5">
        <f>+IFERROR(Tabla2[[#This Row],[PRECIO PROMEDIO]]-Tabla2[[#This Row],[PRECIO PPTO]],"")</f>
        <v>0</v>
      </c>
      <c r="I121" s="2">
        <f>+IFERROR(Tabla2[[#This Row],[CUB. PPTO]]*Tabla2[[#This Row],[PRECIO PPTO]],"")</f>
        <v>20370</v>
      </c>
      <c r="J121" s="2">
        <f>+IFERROR(Tabla2[[#This Row],[CUB. GP]]*Tabla2[[#This Row],[PRECIO PROMEDIO]],"")</f>
        <v>38800</v>
      </c>
    </row>
    <row r="122" spans="1:10" x14ac:dyDescent="0.25">
      <c r="A122">
        <v>704021</v>
      </c>
      <c r="B122" t="s">
        <v>329</v>
      </c>
      <c r="C122" t="str">
        <f>+_xlfn.XLOOKUP(Tabla2[[#This Row],[CODIGO]],PRODUCTOS[CODIGO],PRODUCTOS[DESC CORTA],"",0)</f>
        <v>ESQUINERO PILASTRA PVC</v>
      </c>
      <c r="D122" s="26">
        <f>+_xlfn.XLOOKUP(Tabla2[[#This Row],[CODIGO]],PRODUCTOS[CODIGO],PRODUCTOS[CANT X MODULO],"",0)</f>
        <v>21</v>
      </c>
      <c r="E122" s="26">
        <f>+_xlfn.XLOOKUP(Tabla2[[#This Row],[CODIGO]],Tabla4[CODIGO],Tabla4[CUBICACION PROM / MODULO (PRESUPUESTO)],"",0)</f>
        <v>20</v>
      </c>
      <c r="F122" s="2">
        <f>+_xlfn.XLOOKUP(Tabla2[[#This Row],[CODIGO]],PRODUCTOS[CODIGO],PRODUCTOS[PPTO_ACTUALIZADO],"",0)</f>
        <v>487</v>
      </c>
      <c r="G122" s="2">
        <f>+_xlfn.XLOOKUP(Tabla2[[#This Row],[CODIGO]],PRODUCTOS[CODIGO],PRODUCTOS[PRECIO COMPRA UNITARIO],"",0)</f>
        <v>487</v>
      </c>
      <c r="H122" s="5">
        <f>+IFERROR(Tabla2[[#This Row],[PRECIO PROMEDIO]]-Tabla2[[#This Row],[PRECIO PPTO]],"")</f>
        <v>0</v>
      </c>
      <c r="I122" s="2">
        <f>+IFERROR(Tabla2[[#This Row],[CUB. PPTO]]*Tabla2[[#This Row],[PRECIO PPTO]],"")</f>
        <v>10227</v>
      </c>
      <c r="J122" s="2">
        <f>+IFERROR(Tabla2[[#This Row],[CUB. GP]]*Tabla2[[#This Row],[PRECIO PROMEDIO]],"")</f>
        <v>9740</v>
      </c>
    </row>
    <row r="123" spans="1:10" x14ac:dyDescent="0.25">
      <c r="A123">
        <v>307033</v>
      </c>
      <c r="B123" t="s">
        <v>248</v>
      </c>
      <c r="C123">
        <f>+_xlfn.XLOOKUP(Tabla2[[#This Row],[CODIGO]],PRODUCTOS[CODIGO],PRODUCTOS[DESC CORTA],"",0)</f>
        <v>0</v>
      </c>
      <c r="D123" s="26">
        <f>+_xlfn.XLOOKUP(Tabla2[[#This Row],[CODIGO]],PRODUCTOS[CODIGO],PRODUCTOS[CANT X MODULO],"",0)</f>
        <v>7.8750000000000018</v>
      </c>
      <c r="E123" s="26">
        <f>+_xlfn.XLOOKUP(Tabla2[[#This Row],[CODIGO]],Tabla4[CODIGO],Tabla4[CUBICACION PROM / MODULO (PRESUPUESTO)],"",0)</f>
        <v>7.5</v>
      </c>
      <c r="F123" s="2">
        <f>+_xlfn.XLOOKUP(Tabla2[[#This Row],[CODIGO]],PRODUCTOS[CODIGO],PRODUCTOS[PPTO_ACTUALIZADO],"",0)</f>
        <v>1889.0535440000001</v>
      </c>
      <c r="G123" s="2">
        <f>+_xlfn.XLOOKUP(Tabla2[[#This Row],[CODIGO]],PRODUCTOS[CODIGO],PRODUCTOS[PRECIO COMPRA UNITARIO],"",0)</f>
        <v>1889.6224137931035</v>
      </c>
      <c r="H123" s="5">
        <f>+IFERROR(Tabla2[[#This Row],[PRECIO PROMEDIO]]-Tabla2[[#This Row],[PRECIO PPTO]],"")</f>
        <v>0.56886979310343122</v>
      </c>
      <c r="I123" s="2">
        <f>+IFERROR(Tabla2[[#This Row],[CUB. PPTO]]*Tabla2[[#This Row],[PRECIO PPTO]],"")</f>
        <v>14876.296659000003</v>
      </c>
      <c r="J123" s="2">
        <f>+IFERROR(Tabla2[[#This Row],[CUB. GP]]*Tabla2[[#This Row],[PRECIO PROMEDIO]],"")</f>
        <v>14172.168103448277</v>
      </c>
    </row>
    <row r="124" spans="1:10" x14ac:dyDescent="0.25">
      <c r="A124">
        <v>1103074</v>
      </c>
      <c r="B124" t="s">
        <v>310</v>
      </c>
      <c r="C124" t="str">
        <f>+_xlfn.XLOOKUP(Tabla2[[#This Row],[CODIGO]],PRODUCTOS[CODIGO],PRODUCTOS[DESC CORTA],"",0)</f>
        <v>PERFIL ESQUINERO ENCUENTRO</v>
      </c>
      <c r="D124" s="26">
        <f>+_xlfn.XLOOKUP(Tabla2[[#This Row],[CODIGO]],PRODUCTOS[CODIGO],PRODUCTOS[CANT X MODULO],"",0)</f>
        <v>1.05</v>
      </c>
      <c r="E124" s="26">
        <f>+_xlfn.XLOOKUP(Tabla2[[#This Row],[CODIGO]],Tabla4[CODIGO],Tabla4[CUBICACION PROM / MODULO (PRESUPUESTO)],"",0)</f>
        <v>2</v>
      </c>
      <c r="F124" s="2">
        <f>+_xlfn.XLOOKUP(Tabla2[[#This Row],[CODIGO]],PRODUCTOS[CODIGO],PRODUCTOS[PPTO_ACTUALIZADO],"",0)</f>
        <v>2427</v>
      </c>
      <c r="G124" s="2">
        <f>+_xlfn.XLOOKUP(Tabla2[[#This Row],[CODIGO]],PRODUCTOS[CODIGO],PRODUCTOS[PRECIO COMPRA UNITARIO],"",0)</f>
        <v>2097.7967741935486</v>
      </c>
      <c r="H124" s="5">
        <f>+IFERROR(Tabla2[[#This Row],[PRECIO PROMEDIO]]-Tabla2[[#This Row],[PRECIO PPTO]],"")</f>
        <v>-329.20322580645143</v>
      </c>
      <c r="I124" s="2">
        <f>+IFERROR(Tabla2[[#This Row],[CUB. PPTO]]*Tabla2[[#This Row],[PRECIO PPTO]],"")</f>
        <v>2548.35</v>
      </c>
      <c r="J124" s="2">
        <f>+IFERROR(Tabla2[[#This Row],[CUB. GP]]*Tabla2[[#This Row],[PRECIO PROMEDIO]],"")</f>
        <v>4195.5935483870971</v>
      </c>
    </row>
    <row r="125" spans="1:10" x14ac:dyDescent="0.25">
      <c r="A125">
        <v>1103076</v>
      </c>
      <c r="B125" t="s">
        <v>311</v>
      </c>
      <c r="C125" t="str">
        <f>+_xlfn.XLOOKUP(Tabla2[[#This Row],[CODIGO]],PRODUCTOS[CODIGO],PRODUCTOS[DESC CORTA],"",0)</f>
        <v>PERFIL ESQUINERO INTERIOR</v>
      </c>
      <c r="D125" s="26">
        <f>+_xlfn.XLOOKUP(Tabla2[[#This Row],[CODIGO]],PRODUCTOS[CODIGO],PRODUCTOS[CANT X MODULO],"",0)</f>
        <v>1.05</v>
      </c>
      <c r="E125" s="26">
        <f>+_xlfn.XLOOKUP(Tabla2[[#This Row],[CODIGO]],Tabla4[CODIGO],Tabla4[CUBICACION PROM / MODULO (PRESUPUESTO)],"",0)</f>
        <v>2</v>
      </c>
      <c r="F125" s="2">
        <f>+_xlfn.XLOOKUP(Tabla2[[#This Row],[CODIGO]],PRODUCTOS[CODIGO],PRODUCTOS[PPTO_ACTUALIZADO],"",0)</f>
        <v>3191</v>
      </c>
      <c r="G125" s="2">
        <f>+_xlfn.XLOOKUP(Tabla2[[#This Row],[CODIGO]],PRODUCTOS[CODIGO],PRODUCTOS[PRECIO COMPRA UNITARIO],"",0)</f>
        <v>2779.7307692307691</v>
      </c>
      <c r="H125" s="5">
        <f>+IFERROR(Tabla2[[#This Row],[PRECIO PROMEDIO]]-Tabla2[[#This Row],[PRECIO PPTO]],"")</f>
        <v>-411.26923076923094</v>
      </c>
      <c r="I125" s="2">
        <f>+IFERROR(Tabla2[[#This Row],[CUB. PPTO]]*Tabla2[[#This Row],[PRECIO PPTO]],"")</f>
        <v>3350.55</v>
      </c>
      <c r="J125" s="2">
        <f>+IFERROR(Tabla2[[#This Row],[CUB. GP]]*Tabla2[[#This Row],[PRECIO PROMEDIO]],"")</f>
        <v>5559.4615384615381</v>
      </c>
    </row>
    <row r="126" spans="1:10" x14ac:dyDescent="0.25">
      <c r="A126">
        <v>408034</v>
      </c>
      <c r="B126" t="s">
        <v>250</v>
      </c>
      <c r="C126">
        <f>+_xlfn.XLOOKUP(Tabla2[[#This Row],[CODIGO]],PRODUCTOS[CODIGO],PRODUCTOS[DESC CORTA],"",0)</f>
        <v>0</v>
      </c>
      <c r="D126" s="26">
        <f>+_xlfn.XLOOKUP(Tabla2[[#This Row],[CODIGO]],PRODUCTOS[CODIGO],PRODUCTOS[CANT X MODULO],"",0)</f>
        <v>7.1400000000000005E-2</v>
      </c>
      <c r="E126" s="26">
        <f>+_xlfn.XLOOKUP(Tabla2[[#This Row],[CODIGO]],Tabla4[CODIGO],Tabla4[CUBICACION PROM / MODULO (PRESUPUESTO)],"",0)</f>
        <v>6.8000000000000033E-2</v>
      </c>
      <c r="F126" s="2">
        <f>+_xlfn.XLOOKUP(Tabla2[[#This Row],[CODIGO]],PRODUCTOS[CODIGO],PRODUCTOS[PPTO_ACTUALIZADO],"",0)</f>
        <v>1866.9503550000009</v>
      </c>
      <c r="G126" s="2">
        <f>+_xlfn.XLOOKUP(Tabla2[[#This Row],[CODIGO]],PRODUCTOS[CODIGO],PRODUCTOS[PRECIO COMPRA UNITARIO],"",0)</f>
        <v>1867</v>
      </c>
      <c r="H126" s="5">
        <f>+IFERROR(Tabla2[[#This Row],[PRECIO PROMEDIO]]-Tabla2[[#This Row],[PRECIO PPTO]],"")</f>
        <v>4.9644999999145512E-2</v>
      </c>
      <c r="I126" s="2">
        <f>+IFERROR(Tabla2[[#This Row],[CUB. PPTO]]*Tabla2[[#This Row],[PRECIO PPTO]],"")</f>
        <v>133.30025534700007</v>
      </c>
      <c r="J126" s="2">
        <f>+IFERROR(Tabla2[[#This Row],[CUB. GP]]*Tabla2[[#This Row],[PRECIO PROMEDIO]],"")</f>
        <v>126.95600000000006</v>
      </c>
    </row>
    <row r="127" spans="1:10" x14ac:dyDescent="0.25">
      <c r="A127">
        <v>307096</v>
      </c>
      <c r="B127" t="s">
        <v>249</v>
      </c>
      <c r="C127" t="str">
        <f>+_xlfn.XLOOKUP(Tabla2[[#This Row],[CODIGO]],PRODUCTOS[CODIGO],PRODUCTOS[DESC CORTA],"",0)</f>
        <v>CUBREJUNTA</v>
      </c>
      <c r="D127" s="26">
        <f>+_xlfn.XLOOKUP(Tabla2[[#This Row],[CODIGO]],PRODUCTOS[CODIGO],PRODUCTOS[CANT X MODULO],"",0)</f>
        <v>65.100000000000023</v>
      </c>
      <c r="E127" s="26">
        <f>+_xlfn.XLOOKUP(Tabla2[[#This Row],[CODIGO]],Tabla4[CODIGO],Tabla4[CUBICACION PROM / MODULO (PRESUPUESTO)],"",0)</f>
        <v>62</v>
      </c>
      <c r="F127" s="2">
        <f>+_xlfn.XLOOKUP(Tabla2[[#This Row],[CODIGO]],PRODUCTOS[CODIGO],PRODUCTOS[PPTO_ACTUALIZADO],"",0)</f>
        <v>2095.3501289999986</v>
      </c>
      <c r="G127" s="2">
        <f>+_xlfn.XLOOKUP(Tabla2[[#This Row],[CODIGO]],PRODUCTOS[CODIGO],PRODUCTOS[PRECIO COMPRA UNITARIO],"",0)</f>
        <v>1659.7229569345541</v>
      </c>
      <c r="H127" s="5">
        <f>+IFERROR(Tabla2[[#This Row],[PRECIO PROMEDIO]]-Tabla2[[#This Row],[PRECIO PPTO]],"")</f>
        <v>-435.62717206544448</v>
      </c>
      <c r="I127" s="2">
        <f>+IFERROR(Tabla2[[#This Row],[CUB. PPTO]]*Tabla2[[#This Row],[PRECIO PPTO]],"")</f>
        <v>136407.29339789995</v>
      </c>
      <c r="J127" s="2">
        <f>+IFERROR(Tabla2[[#This Row],[CUB. GP]]*Tabla2[[#This Row],[PRECIO PROMEDIO]],"")</f>
        <v>102902.82332994236</v>
      </c>
    </row>
    <row r="128" spans="1:10" x14ac:dyDescent="0.25">
      <c r="A128">
        <v>704022</v>
      </c>
      <c r="B128" t="s">
        <v>330</v>
      </c>
      <c r="C128" t="str">
        <f>+_xlfn.XLOOKUP(Tabla2[[#This Row],[CODIGO]],PRODUCTOS[CODIGO],PRODUCTOS[DESC CORTA],"",0)</f>
        <v>ESQUINERO CORNIZA INTERIOR</v>
      </c>
      <c r="D128" s="26">
        <f>+_xlfn.XLOOKUP(Tabla2[[#This Row],[CODIGO]],PRODUCTOS[CODIGO],PRODUCTOS[CANT X MODULO],"",0)</f>
        <v>14.175000000000001</v>
      </c>
      <c r="E128" s="26">
        <f>+_xlfn.XLOOKUP(Tabla2[[#This Row],[CODIGO]],Tabla4[CODIGO],Tabla4[CUBICACION PROM / MODULO (PRESUPUESTO)],"",0)</f>
        <v>13.5</v>
      </c>
      <c r="F128" s="2">
        <f>+_xlfn.XLOOKUP(Tabla2[[#This Row],[CODIGO]],PRODUCTOS[CODIGO],PRODUCTOS[PPTO_ACTUALIZADO],"",0)</f>
        <v>306.00000000000006</v>
      </c>
      <c r="G128" s="2">
        <f>+_xlfn.XLOOKUP(Tabla2[[#This Row],[CODIGO]],PRODUCTOS[CODIGO],PRODUCTOS[PRECIO COMPRA UNITARIO],"",0)</f>
        <v>258.38695652173914</v>
      </c>
      <c r="H128" s="5">
        <f>+IFERROR(Tabla2[[#This Row],[PRECIO PROMEDIO]]-Tabla2[[#This Row],[PRECIO PPTO]],"")</f>
        <v>-47.61304347826092</v>
      </c>
      <c r="I128" s="2">
        <f>+IFERROR(Tabla2[[#This Row],[CUB. PPTO]]*Tabla2[[#This Row],[PRECIO PPTO]],"")</f>
        <v>4337.5500000000011</v>
      </c>
      <c r="J128" s="2">
        <f>+IFERROR(Tabla2[[#This Row],[CUB. GP]]*Tabla2[[#This Row],[PRECIO PROMEDIO]],"")</f>
        <v>3488.2239130434782</v>
      </c>
    </row>
    <row r="129" spans="1:10" x14ac:dyDescent="0.25">
      <c r="A129">
        <v>704024</v>
      </c>
      <c r="B129" t="s">
        <v>332</v>
      </c>
      <c r="C129" t="str">
        <f>+_xlfn.XLOOKUP(Tabla2[[#This Row],[CODIGO]],PRODUCTOS[CODIGO],PRODUCTOS[DESC CORTA],"",0)</f>
        <v>ESQUINERO CORNIZA EXTERIOR</v>
      </c>
      <c r="D129" s="26">
        <f>+_xlfn.XLOOKUP(Tabla2[[#This Row],[CODIGO]],PRODUCTOS[CODIGO],PRODUCTOS[CANT X MODULO],"",0)</f>
        <v>4.2</v>
      </c>
      <c r="E129" s="26">
        <f>+_xlfn.XLOOKUP(Tabla2[[#This Row],[CODIGO]],Tabla4[CODIGO],Tabla4[CUBICACION PROM / MODULO (PRESUPUESTO)],"",0)</f>
        <v>4</v>
      </c>
      <c r="F129" s="2">
        <f>+_xlfn.XLOOKUP(Tabla2[[#This Row],[CODIGO]],PRODUCTOS[CODIGO],PRODUCTOS[PPTO_ACTUALIZADO],"",0)</f>
        <v>363</v>
      </c>
      <c r="G129" s="2">
        <f>+_xlfn.XLOOKUP(Tabla2[[#This Row],[CODIGO]],PRODUCTOS[CODIGO],PRODUCTOS[PRECIO COMPRA UNITARIO],"",0)</f>
        <v>317.93156934306569</v>
      </c>
      <c r="H129" s="5">
        <f>+IFERROR(Tabla2[[#This Row],[PRECIO PROMEDIO]]-Tabla2[[#This Row],[PRECIO PPTO]],"")</f>
        <v>-45.068430656934311</v>
      </c>
      <c r="I129" s="2">
        <f>+IFERROR(Tabla2[[#This Row],[CUB. PPTO]]*Tabla2[[#This Row],[PRECIO PPTO]],"")</f>
        <v>1524.6000000000001</v>
      </c>
      <c r="J129" s="2">
        <f>+IFERROR(Tabla2[[#This Row],[CUB. GP]]*Tabla2[[#This Row],[PRECIO PROMEDIO]],"")</f>
        <v>1271.7262773722628</v>
      </c>
    </row>
    <row r="130" spans="1:10" x14ac:dyDescent="0.25">
      <c r="A130">
        <v>704025</v>
      </c>
      <c r="B130" t="s">
        <v>333</v>
      </c>
      <c r="C130" t="str">
        <f>+_xlfn.XLOOKUP(Tabla2[[#This Row],[CODIGO]],PRODUCTOS[CODIGO],PRODUCTOS[DESC CORTA],"",0)</f>
        <v>ESQUINERO GUARDAPOLVO EXTERIOR</v>
      </c>
      <c r="D130" s="26">
        <f>+_xlfn.XLOOKUP(Tabla2[[#This Row],[CODIGO]],PRODUCTOS[CODIGO],PRODUCTOS[CANT X MODULO],"",0)</f>
        <v>4.2</v>
      </c>
      <c r="E130" s="26">
        <f>+_xlfn.XLOOKUP(Tabla2[[#This Row],[CODIGO]],Tabla4[CODIGO],Tabla4[CUBICACION PROM / MODULO (PRESUPUESTO)],"",0)</f>
        <v>4</v>
      </c>
      <c r="F130" s="2">
        <f>+_xlfn.XLOOKUP(Tabla2[[#This Row],[CODIGO]],PRODUCTOS[CODIGO],PRODUCTOS[PPTO_ACTUALIZADO],"",0)</f>
        <v>580</v>
      </c>
      <c r="G130" s="2">
        <f>+_xlfn.XLOOKUP(Tabla2[[#This Row],[CODIGO]],PRODUCTOS[CODIGO],PRODUCTOS[PRECIO COMPRA UNITARIO],"",0)</f>
        <v>579.9003759398496</v>
      </c>
      <c r="H130" s="5">
        <f>+IFERROR(Tabla2[[#This Row],[PRECIO PROMEDIO]]-Tabla2[[#This Row],[PRECIO PPTO]],"")</f>
        <v>-9.9624060150404148E-2</v>
      </c>
      <c r="I130" s="2">
        <f>+IFERROR(Tabla2[[#This Row],[CUB. PPTO]]*Tabla2[[#This Row],[PRECIO PPTO]],"")</f>
        <v>2436</v>
      </c>
      <c r="J130" s="2">
        <f>+IFERROR(Tabla2[[#This Row],[CUB. GP]]*Tabla2[[#This Row],[PRECIO PROMEDIO]],"")</f>
        <v>2319.6015037593984</v>
      </c>
    </row>
    <row r="131" spans="1:10" x14ac:dyDescent="0.25">
      <c r="A131">
        <v>1808146</v>
      </c>
      <c r="B131" t="s">
        <v>274</v>
      </c>
      <c r="C131" t="str">
        <f>+_xlfn.XLOOKUP(Tabla2[[#This Row],[CODIGO]],PRODUCTOS[CODIGO],PRODUCTOS[DESC CORTA],"",0)</f>
        <v>NUEVA</v>
      </c>
      <c r="D131" s="26">
        <f>+_xlfn.XLOOKUP(Tabla2[[#This Row],[CODIGO]],PRODUCTOS[CODIGO],PRODUCTOS[CANT X MODULO],"",0)</f>
        <v>0.52500000000000002</v>
      </c>
      <c r="E131" s="26">
        <f>+_xlfn.XLOOKUP(Tabla2[[#This Row],[CODIGO]],Tabla4[CODIGO],Tabla4[CUBICACION PROM / MODULO (PRESUPUESTO)],"",0)</f>
        <v>1</v>
      </c>
      <c r="F131" s="2">
        <f>+_xlfn.XLOOKUP(Tabla2[[#This Row],[CODIGO]],PRODUCTOS[CODIGO],PRODUCTOS[PPTO_ACTUALIZADO],"",0)</f>
        <v>3404</v>
      </c>
      <c r="G131" s="2">
        <f>+_xlfn.XLOOKUP(Tabla2[[#This Row],[CODIGO]],PRODUCTOS[CODIGO],PRODUCTOS[PRECIO COMPRA UNITARIO],"",0)</f>
        <v>3321.7931034482758</v>
      </c>
      <c r="H131" s="5">
        <f>+IFERROR(Tabla2[[#This Row],[PRECIO PROMEDIO]]-Tabla2[[#This Row],[PRECIO PPTO]],"")</f>
        <v>-82.206896551724185</v>
      </c>
      <c r="I131" s="2">
        <f>+IFERROR(Tabla2[[#This Row],[CUB. PPTO]]*Tabla2[[#This Row],[PRECIO PPTO]],"")</f>
        <v>1787.1000000000001</v>
      </c>
      <c r="J131" s="2">
        <f>+IFERROR(Tabla2[[#This Row],[CUB. GP]]*Tabla2[[#This Row],[PRECIO PROMEDIO]],"")</f>
        <v>3321.7931034482758</v>
      </c>
    </row>
    <row r="132" spans="1:10" x14ac:dyDescent="0.25">
      <c r="A132">
        <v>2508988</v>
      </c>
      <c r="B132" t="s">
        <v>469</v>
      </c>
      <c r="C132" t="str">
        <f>+_xlfn.XLOOKUP(Tabla2[[#This Row],[CODIGO]],PRODUCTOS[CODIGO],PRODUCTOS[DESC CORTA],"",0)</f>
        <v/>
      </c>
      <c r="D132" s="26" t="str">
        <f>+_xlfn.XLOOKUP(Tabla2[[#This Row],[CODIGO]],PRODUCTOS[CODIGO],PRODUCTOS[CANT X MODULO],"",0)</f>
        <v/>
      </c>
      <c r="E132" s="26">
        <f>+_xlfn.XLOOKUP(Tabla2[[#This Row],[CODIGO]],Tabla4[CODIGO],Tabla4[CUBICACION PROM / MODULO (PRESUPUESTO)],"",0)</f>
        <v>1</v>
      </c>
      <c r="F132" s="2" t="str">
        <f>+_xlfn.XLOOKUP(Tabla2[[#This Row],[CODIGO]],PRODUCTOS[CODIGO],PRODUCTOS[PPTO_ACTUALIZADO],"",0)</f>
        <v/>
      </c>
      <c r="G132" s="2" t="str">
        <f>+_xlfn.XLOOKUP(Tabla2[[#This Row],[CODIGO]],PRODUCTOS[CODIGO],PRODUCTOS[PRECIO COMPRA UNITARIO],"",0)</f>
        <v/>
      </c>
      <c r="H132" s="5" t="str">
        <f>+IFERROR(Tabla2[[#This Row],[PRECIO PROMEDIO]]-Tabla2[[#This Row],[PRECIO PPTO]],"")</f>
        <v/>
      </c>
      <c r="I132" s="2" t="str">
        <f>+IFERROR(Tabla2[[#This Row],[CUB. PPTO]]*Tabla2[[#This Row],[PRECIO PPTO]],"")</f>
        <v/>
      </c>
      <c r="J132" s="2" t="str">
        <f>+IFERROR(Tabla2[[#This Row],[CUB. GP]]*Tabla2[[#This Row],[PRECIO PROMEDIO]],"")</f>
        <v/>
      </c>
    </row>
    <row r="133" spans="1:10" x14ac:dyDescent="0.25">
      <c r="A133">
        <v>2508987</v>
      </c>
      <c r="B133" t="s">
        <v>305</v>
      </c>
      <c r="C133" t="str">
        <f>+_xlfn.XLOOKUP(Tabla2[[#This Row],[CODIGO]],PRODUCTOS[CODIGO],PRODUCTOS[DESC CORTA],"",0)</f>
        <v>KIT PREC</v>
      </c>
      <c r="D133" s="26">
        <f>+_xlfn.XLOOKUP(Tabla2[[#This Row],[CODIGO]],PRODUCTOS[CODIGO],PRODUCTOS[CANT X MODULO],"",0)</f>
        <v>0.52500000000000002</v>
      </c>
      <c r="E133" s="26">
        <f>+_xlfn.XLOOKUP(Tabla2[[#This Row],[CODIGO]],Tabla4[CODIGO],Tabla4[CUBICACION PROM / MODULO (PRESUPUESTO)],"",0)</f>
        <v>1</v>
      </c>
      <c r="F133" s="2">
        <f>+_xlfn.XLOOKUP(Tabla2[[#This Row],[CODIGO]],PRODUCTOS[CODIGO],PRODUCTOS[PPTO_ACTUALIZADO],"",0)</f>
        <v>145847</v>
      </c>
      <c r="G133" s="2">
        <f>+_xlfn.XLOOKUP(Tabla2[[#This Row],[CODIGO]],PRODUCTOS[CODIGO],PRODUCTOS[PRECIO COMPRA UNITARIO],"",0)</f>
        <v>142880.57894736843</v>
      </c>
      <c r="H133" s="5">
        <f>+IFERROR(Tabla2[[#This Row],[PRECIO PROMEDIO]]-Tabla2[[#This Row],[PRECIO PPTO]],"")</f>
        <v>-2966.4210526315728</v>
      </c>
      <c r="I133" s="2">
        <f>+IFERROR(Tabla2[[#This Row],[CUB. PPTO]]*Tabla2[[#This Row],[PRECIO PPTO]],"")</f>
        <v>76569.675000000003</v>
      </c>
      <c r="J133" s="2">
        <f>+IFERROR(Tabla2[[#This Row],[CUB. GP]]*Tabla2[[#This Row],[PRECIO PROMEDIO]],"")</f>
        <v>142880.57894736843</v>
      </c>
    </row>
    <row r="134" spans="1:10" x14ac:dyDescent="0.25">
      <c r="A134">
        <v>5316508</v>
      </c>
      <c r="B134" t="s">
        <v>470</v>
      </c>
      <c r="C134" t="str">
        <f>+_xlfn.XLOOKUP(Tabla2[[#This Row],[CODIGO]],PRODUCTOS[CODIGO],PRODUCTOS[DESC CORTA],"",0)</f>
        <v/>
      </c>
      <c r="D134" s="26" t="str">
        <f>+_xlfn.XLOOKUP(Tabla2[[#This Row],[CODIGO]],PRODUCTOS[CODIGO],PRODUCTOS[CANT X MODULO],"",0)</f>
        <v/>
      </c>
      <c r="E134" s="26">
        <f>+_xlfn.XLOOKUP(Tabla2[[#This Row],[CODIGO]],Tabla4[CODIGO],Tabla4[CUBICACION PROM / MODULO (PRESUPUESTO)],"",0)</f>
        <v>1</v>
      </c>
      <c r="F134" s="2" t="str">
        <f>+_xlfn.XLOOKUP(Tabla2[[#This Row],[CODIGO]],PRODUCTOS[CODIGO],PRODUCTOS[PPTO_ACTUALIZADO],"",0)</f>
        <v/>
      </c>
      <c r="G134" s="2" t="str">
        <f>+_xlfn.XLOOKUP(Tabla2[[#This Row],[CODIGO]],PRODUCTOS[CODIGO],PRODUCTOS[PRECIO COMPRA UNITARIO],"",0)</f>
        <v/>
      </c>
      <c r="H134" s="5" t="str">
        <f>+IFERROR(Tabla2[[#This Row],[PRECIO PROMEDIO]]-Tabla2[[#This Row],[PRECIO PPTO]],"")</f>
        <v/>
      </c>
      <c r="I134" s="2" t="str">
        <f>+IFERROR(Tabla2[[#This Row],[CUB. PPTO]]*Tabla2[[#This Row],[PRECIO PPTO]],"")</f>
        <v/>
      </c>
      <c r="J134" s="2" t="str">
        <f>+IFERROR(Tabla2[[#This Row],[CUB. GP]]*Tabla2[[#This Row],[PRECIO PROMEDIO]],"")</f>
        <v/>
      </c>
    </row>
    <row r="135" spans="1:10" x14ac:dyDescent="0.25">
      <c r="A135">
        <v>1802166</v>
      </c>
      <c r="B135" t="s">
        <v>283</v>
      </c>
      <c r="C135" t="str">
        <f>+_xlfn.XLOOKUP(Tabla2[[#This Row],[CODIGO]],PRODUCTOS[CODIGO],PRODUCTOS[DESC CORTA],"",0)</f>
        <v>NEW TS2024022)</v>
      </c>
      <c r="D135" s="26">
        <f>+_xlfn.XLOOKUP(Tabla2[[#This Row],[CODIGO]],PRODUCTOS[CODIGO],PRODUCTOS[CANT X MODULO],"",0)</f>
        <v>0.52500000000000002</v>
      </c>
      <c r="E135" s="26">
        <f>+_xlfn.XLOOKUP(Tabla2[[#This Row],[CODIGO]],Tabla4[CODIGO],Tabla4[CUBICACION PROM / MODULO (PRESUPUESTO)],"",0)</f>
        <v>1</v>
      </c>
      <c r="F135" s="2">
        <f>+_xlfn.XLOOKUP(Tabla2[[#This Row],[CODIGO]],PRODUCTOS[CODIGO],PRODUCTOS[PPTO_ACTUALIZADO],"",0)</f>
        <v>13869</v>
      </c>
      <c r="G135" s="2">
        <f>+_xlfn.XLOOKUP(Tabla2[[#This Row],[CODIGO]],PRODUCTOS[CODIGO],PRODUCTOS[PRECIO COMPRA UNITARIO],"",0)</f>
        <v>13869</v>
      </c>
      <c r="H135" s="5">
        <f>+IFERROR(Tabla2[[#This Row],[PRECIO PROMEDIO]]-Tabla2[[#This Row],[PRECIO PPTO]],"")</f>
        <v>0</v>
      </c>
      <c r="I135" s="2">
        <f>+IFERROR(Tabla2[[#This Row],[CUB. PPTO]]*Tabla2[[#This Row],[PRECIO PPTO]],"")</f>
        <v>7281.2250000000004</v>
      </c>
      <c r="J135" s="2">
        <f>+IFERROR(Tabla2[[#This Row],[CUB. GP]]*Tabla2[[#This Row],[PRECIO PROMEDIO]],"")</f>
        <v>13869</v>
      </c>
    </row>
    <row r="136" spans="1:10" x14ac:dyDescent="0.25">
      <c r="A136">
        <v>1802169</v>
      </c>
      <c r="B136" t="s">
        <v>263</v>
      </c>
      <c r="C136" t="str">
        <f>+_xlfn.XLOOKUP(Tabla2[[#This Row],[CODIGO]],PRODUCTOS[CODIGO],PRODUCTOS[DESC CORTA],"",0)</f>
        <v>LAVARROPA PLATICO DS</v>
      </c>
      <c r="D136" s="26">
        <f>+_xlfn.XLOOKUP(Tabla2[[#This Row],[CODIGO]],PRODUCTOS[CODIGO],PRODUCTOS[CANT X MODULO],"",0)</f>
        <v>0.52500000000000002</v>
      </c>
      <c r="E136" s="26">
        <f>+_xlfn.XLOOKUP(Tabla2[[#This Row],[CODIGO]],Tabla4[CODIGO],Tabla4[CUBICACION PROM / MODULO (PRESUPUESTO)],"",0)</f>
        <v>1</v>
      </c>
      <c r="F136" s="2">
        <f>+_xlfn.XLOOKUP(Tabla2[[#This Row],[CODIGO]],PRODUCTOS[CODIGO],PRODUCTOS[PPTO_ACTUALIZADO],"",0)</f>
        <v>10741</v>
      </c>
      <c r="G136" s="2">
        <f>+_xlfn.XLOOKUP(Tabla2[[#This Row],[CODIGO]],PRODUCTOS[CODIGO],PRODUCTOS[PRECIO COMPRA UNITARIO],"",0)</f>
        <v>10730</v>
      </c>
      <c r="H136" s="5">
        <f>+IFERROR(Tabla2[[#This Row],[PRECIO PROMEDIO]]-Tabla2[[#This Row],[PRECIO PPTO]],"")</f>
        <v>-11</v>
      </c>
      <c r="I136" s="2">
        <f>+IFERROR(Tabla2[[#This Row],[CUB. PPTO]]*Tabla2[[#This Row],[PRECIO PPTO]],"")</f>
        <v>5639.0250000000005</v>
      </c>
      <c r="J136" s="2">
        <f>+IFERROR(Tabla2[[#This Row],[CUB. GP]]*Tabla2[[#This Row],[PRECIO PROMEDIO]],"")</f>
        <v>10730</v>
      </c>
    </row>
    <row r="137" spans="1:10" x14ac:dyDescent="0.25">
      <c r="A137">
        <v>1808156</v>
      </c>
      <c r="B137" t="s">
        <v>277</v>
      </c>
      <c r="C137" t="str">
        <f>+_xlfn.XLOOKUP(Tabla2[[#This Row],[CODIGO]],PRODUCTOS[CODIGO],PRODUCTOS[DESC CORTA],"",0)</f>
        <v>PERCHA SIMPLE YORK</v>
      </c>
      <c r="D137" s="26">
        <f>+_xlfn.XLOOKUP(Tabla2[[#This Row],[CODIGO]],PRODUCTOS[CODIGO],PRODUCTOS[CANT X MODULO],"",0)</f>
        <v>0.52500000000000002</v>
      </c>
      <c r="E137" s="26">
        <f>+_xlfn.XLOOKUP(Tabla2[[#This Row],[CODIGO]],Tabla4[CODIGO],Tabla4[CUBICACION PROM / MODULO (PRESUPUESTO)],"",0)</f>
        <v>1</v>
      </c>
      <c r="F137" s="2">
        <f>+_xlfn.XLOOKUP(Tabla2[[#This Row],[CODIGO]],PRODUCTOS[CODIGO],PRODUCTOS[PPTO_ACTUALIZADO],"",0)</f>
        <v>1916</v>
      </c>
      <c r="G137" s="2">
        <f>+_xlfn.XLOOKUP(Tabla2[[#This Row],[CODIGO]],PRODUCTOS[CODIGO],PRODUCTOS[PRECIO COMPRA UNITARIO],"",0)</f>
        <v>1931.6052631578948</v>
      </c>
      <c r="H137" s="5">
        <f>+IFERROR(Tabla2[[#This Row],[PRECIO PROMEDIO]]-Tabla2[[#This Row],[PRECIO PPTO]],"")</f>
        <v>15.605263157894797</v>
      </c>
      <c r="I137" s="2">
        <f>+IFERROR(Tabla2[[#This Row],[CUB. PPTO]]*Tabla2[[#This Row],[PRECIO PPTO]],"")</f>
        <v>1005.9000000000001</v>
      </c>
      <c r="J137" s="2">
        <f>+IFERROR(Tabla2[[#This Row],[CUB. GP]]*Tabla2[[#This Row],[PRECIO PROMEDIO]],"")</f>
        <v>1931.6052631578948</v>
      </c>
    </row>
    <row r="138" spans="1:10" x14ac:dyDescent="0.25">
      <c r="A138">
        <v>1802172</v>
      </c>
      <c r="B138" t="s">
        <v>266</v>
      </c>
      <c r="C138" t="str">
        <f>+_xlfn.XLOOKUP(Tabla2[[#This Row],[CODIGO]],PRODUCTOS[CODIGO],PRODUCTOS[DESC CORTA],"",0)</f>
        <v>ARGOLLA TOALLA BENTON</v>
      </c>
      <c r="D138" s="26">
        <f>+_xlfn.XLOOKUP(Tabla2[[#This Row],[CODIGO]],PRODUCTOS[CODIGO],PRODUCTOS[CANT X MODULO],"",0)</f>
        <v>0.52500000000000002</v>
      </c>
      <c r="E138" s="26">
        <f>+_xlfn.XLOOKUP(Tabla2[[#This Row],[CODIGO]],Tabla4[CODIGO],Tabla4[CUBICACION PROM / MODULO (PRESUPUESTO)],"",0)</f>
        <v>1</v>
      </c>
      <c r="F138" s="2">
        <f>+_xlfn.XLOOKUP(Tabla2[[#This Row],[CODIGO]],PRODUCTOS[CODIGO],PRODUCTOS[PPTO_ACTUALIZADO],"",0)</f>
        <v>3035</v>
      </c>
      <c r="G138" s="2">
        <f>+_xlfn.XLOOKUP(Tabla2[[#This Row],[CODIGO]],PRODUCTOS[CODIGO],PRODUCTOS[PRECIO COMPRA UNITARIO],"",0)</f>
        <v>3032.3947368421054</v>
      </c>
      <c r="H138" s="5">
        <f>+IFERROR(Tabla2[[#This Row],[PRECIO PROMEDIO]]-Tabla2[[#This Row],[PRECIO PPTO]],"")</f>
        <v>-2.6052631578945693</v>
      </c>
      <c r="I138" s="2">
        <f>+IFERROR(Tabla2[[#This Row],[CUB. PPTO]]*Tabla2[[#This Row],[PRECIO PPTO]],"")</f>
        <v>1593.375</v>
      </c>
      <c r="J138" s="2">
        <f>+IFERROR(Tabla2[[#This Row],[CUB. GP]]*Tabla2[[#This Row],[PRECIO PROMEDIO]],"")</f>
        <v>3032.3947368421054</v>
      </c>
    </row>
    <row r="139" spans="1:10" x14ac:dyDescent="0.25">
      <c r="A139">
        <v>1802171</v>
      </c>
      <c r="B139" t="s">
        <v>265</v>
      </c>
      <c r="C139" t="str">
        <f>+_xlfn.XLOOKUP(Tabla2[[#This Row],[CODIGO]],PRODUCTOS[CODIGO],PRODUCTOS[DESC CORTA],"",0)</f>
        <v>PORTA ROLLO BENTON</v>
      </c>
      <c r="D139" s="26">
        <f>+_xlfn.XLOOKUP(Tabla2[[#This Row],[CODIGO]],PRODUCTOS[CODIGO],PRODUCTOS[CANT X MODULO],"",0)</f>
        <v>0.52500000000000002</v>
      </c>
      <c r="E139" s="26">
        <f>+_xlfn.XLOOKUP(Tabla2[[#This Row],[CODIGO]],Tabla4[CODIGO],Tabla4[CUBICACION PROM / MODULO (PRESUPUESTO)],"",0)</f>
        <v>1</v>
      </c>
      <c r="F139" s="2">
        <f>+_xlfn.XLOOKUP(Tabla2[[#This Row],[CODIGO]],PRODUCTOS[CODIGO],PRODUCTOS[PPTO_ACTUALIZADO],"",0)</f>
        <v>3632</v>
      </c>
      <c r="G139" s="2">
        <f>+_xlfn.XLOOKUP(Tabla2[[#This Row],[CODIGO]],PRODUCTOS[CODIGO],PRODUCTOS[PRECIO COMPRA UNITARIO],"",0)</f>
        <v>3192.5897435897436</v>
      </c>
      <c r="H139" s="5">
        <f>+IFERROR(Tabla2[[#This Row],[PRECIO PROMEDIO]]-Tabla2[[#This Row],[PRECIO PPTO]],"")</f>
        <v>-439.41025641025635</v>
      </c>
      <c r="I139" s="2">
        <f>+IFERROR(Tabla2[[#This Row],[CUB. PPTO]]*Tabla2[[#This Row],[PRECIO PPTO]],"")</f>
        <v>1906.8000000000002</v>
      </c>
      <c r="J139" s="2">
        <f>+IFERROR(Tabla2[[#This Row],[CUB. GP]]*Tabla2[[#This Row],[PRECIO PROMEDIO]],"")</f>
        <v>3192.5897435897436</v>
      </c>
    </row>
    <row r="140" spans="1:10" x14ac:dyDescent="0.25">
      <c r="A140">
        <v>1802165</v>
      </c>
      <c r="B140" t="s">
        <v>261</v>
      </c>
      <c r="C140" t="str">
        <f>+_xlfn.XLOOKUP(Tabla2[[#This Row],[CODIGO]],PRODUCTOS[CODIGO],PRODUCTOS[DESC CORTA],"",0)</f>
        <v>NEW TS2024019)</v>
      </c>
      <c r="D140" s="26">
        <f>+_xlfn.XLOOKUP(Tabla2[[#This Row],[CODIGO]],PRODUCTOS[CODIGO],PRODUCTOS[CANT X MODULO],"",0)</f>
        <v>0.52500000000000002</v>
      </c>
      <c r="E140" s="26">
        <f>+_xlfn.XLOOKUP(Tabla2[[#This Row],[CODIGO]],Tabla4[CODIGO],Tabla4[CUBICACION PROM / MODULO (PRESUPUESTO)],"",0)</f>
        <v>1</v>
      </c>
      <c r="F140" s="2">
        <f>+_xlfn.XLOOKUP(Tabla2[[#This Row],[CODIGO]],PRODUCTOS[CODIGO],PRODUCTOS[PPTO_ACTUALIZADO],"",0)</f>
        <v>9122</v>
      </c>
      <c r="G140" s="2">
        <f>+_xlfn.XLOOKUP(Tabla2[[#This Row],[CODIGO]],PRODUCTOS[CODIGO],PRODUCTOS[PRECIO COMPRA UNITARIO],"",0)</f>
        <v>9122</v>
      </c>
      <c r="H140" s="5">
        <f>+IFERROR(Tabla2[[#This Row],[PRECIO PROMEDIO]]-Tabla2[[#This Row],[PRECIO PPTO]],"")</f>
        <v>0</v>
      </c>
      <c r="I140" s="2">
        <f>+IFERROR(Tabla2[[#This Row],[CUB. PPTO]]*Tabla2[[#This Row],[PRECIO PPTO]],"")</f>
        <v>4789.05</v>
      </c>
      <c r="J140" s="2">
        <f>+IFERROR(Tabla2[[#This Row],[CUB. GP]]*Tabla2[[#This Row],[PRECIO PROMEDIO]],"")</f>
        <v>9122</v>
      </c>
    </row>
    <row r="141" spans="1:10" x14ac:dyDescent="0.25">
      <c r="A141">
        <v>1802167</v>
      </c>
      <c r="B141" t="s">
        <v>262</v>
      </c>
      <c r="C141" t="str">
        <f>+_xlfn.XLOOKUP(Tabla2[[#This Row],[CODIGO]],PRODUCTOS[CODIGO],PRODUCTOS[DESC CORTA],"",0)</f>
        <v>NEW DUCHA SIMPLE, SOPORTE Y FLEXIBLE 1.5M 8LPM, ESTIU (TS2024020)</v>
      </c>
      <c r="D141" s="26">
        <f>+_xlfn.XLOOKUP(Tabla2[[#This Row],[CODIGO]],PRODUCTOS[CODIGO],PRODUCTOS[CANT X MODULO],"",0)</f>
        <v>0.52500000000000002</v>
      </c>
      <c r="E141" s="26">
        <f>+_xlfn.XLOOKUP(Tabla2[[#This Row],[CODIGO]],Tabla4[CODIGO],Tabla4[CUBICACION PROM / MODULO (PRESUPUESTO)],"",0)</f>
        <v>1</v>
      </c>
      <c r="F141" s="2">
        <f>+_xlfn.XLOOKUP(Tabla2[[#This Row],[CODIGO]],PRODUCTOS[CODIGO],PRODUCTOS[PPTO_ACTUALIZADO],"",0)</f>
        <v>14972</v>
      </c>
      <c r="G141" s="2">
        <f>+_xlfn.XLOOKUP(Tabla2[[#This Row],[CODIGO]],PRODUCTOS[CODIGO],PRODUCTOS[PRECIO COMPRA UNITARIO],"",0)</f>
        <v>14972</v>
      </c>
      <c r="H141" s="5">
        <f>+IFERROR(Tabla2[[#This Row],[PRECIO PROMEDIO]]-Tabla2[[#This Row],[PRECIO PPTO]],"")</f>
        <v>0</v>
      </c>
      <c r="I141" s="2">
        <f>+IFERROR(Tabla2[[#This Row],[CUB. PPTO]]*Tabla2[[#This Row],[PRECIO PPTO]],"")</f>
        <v>7860.3</v>
      </c>
      <c r="J141" s="2">
        <f>+IFERROR(Tabla2[[#This Row],[CUB. GP]]*Tabla2[[#This Row],[PRECIO PROMEDIO]],"")</f>
        <v>14972</v>
      </c>
    </row>
    <row r="142" spans="1:10" x14ac:dyDescent="0.25">
      <c r="A142">
        <v>1808147</v>
      </c>
      <c r="B142" t="s">
        <v>275</v>
      </c>
      <c r="C142" t="str">
        <f>+_xlfn.XLOOKUP(Tabla2[[#This Row],[CODIGO]],PRODUCTOS[CODIGO],PRODUCTOS[DESC CORTA],"",0)</f>
        <v>LLAVE ANGULAR 1/2X</v>
      </c>
      <c r="D142" s="26">
        <f>+_xlfn.XLOOKUP(Tabla2[[#This Row],[CODIGO]],PRODUCTOS[CODIGO],PRODUCTOS[CANT X MODULO],"",0)</f>
        <v>0.52500000000000002</v>
      </c>
      <c r="E142" s="26">
        <f>+_xlfn.XLOOKUP(Tabla2[[#This Row],[CODIGO]],Tabla4[CODIGO],Tabla4[CUBICACION PROM / MODULO (PRESUPUESTO)],"",0)</f>
        <v>1</v>
      </c>
      <c r="F142" s="2">
        <f>+_xlfn.XLOOKUP(Tabla2[[#This Row],[CODIGO]],PRODUCTOS[CODIGO],PRODUCTOS[PPTO_ACTUALIZADO],"",0)</f>
        <v>2293</v>
      </c>
      <c r="G142" s="2">
        <f>+_xlfn.XLOOKUP(Tabla2[[#This Row],[CODIGO]],PRODUCTOS[CODIGO],PRODUCTOS[PRECIO COMPRA UNITARIO],"",0)</f>
        <v>2218.1666666666665</v>
      </c>
      <c r="H142" s="5">
        <f>+IFERROR(Tabla2[[#This Row],[PRECIO PROMEDIO]]-Tabla2[[#This Row],[PRECIO PPTO]],"")</f>
        <v>-74.833333333333485</v>
      </c>
      <c r="I142" s="2">
        <f>+IFERROR(Tabla2[[#This Row],[CUB. PPTO]]*Tabla2[[#This Row],[PRECIO PPTO]],"")</f>
        <v>1203.825</v>
      </c>
      <c r="J142" s="2">
        <f>+IFERROR(Tabla2[[#This Row],[CUB. GP]]*Tabla2[[#This Row],[PRECIO PROMEDIO]],"")</f>
        <v>2218.1666666666665</v>
      </c>
    </row>
    <row r="143" spans="1:10" x14ac:dyDescent="0.25">
      <c r="A143">
        <v>602258</v>
      </c>
      <c r="B143" t="s">
        <v>497</v>
      </c>
      <c r="C143" t="str">
        <f>+_xlfn.XLOOKUP(Tabla2[[#This Row],[CODIGO]],PRODUCTOS[CODIGO],PRODUCTOS[DESC CORTA],"",0)</f>
        <v>TERMINACION TOP COAT</v>
      </c>
      <c r="D143" s="26">
        <f>+_xlfn.XLOOKUP(Tabla2[[#This Row],[CODIGO]],PRODUCTOS[CODIGO],PRODUCTOS[CANT X MODULO],"",0)</f>
        <v>8.1375000000000003E-2</v>
      </c>
      <c r="E143" s="26">
        <f>+_xlfn.XLOOKUP(Tabla2[[#This Row],[CODIGO]],Tabla4[CODIGO],Tabla4[CUBICACION PROM / MODULO (PRESUPUESTO)],"",0)</f>
        <v>0.17500000000000002</v>
      </c>
      <c r="F143" s="2">
        <f>+_xlfn.XLOOKUP(Tabla2[[#This Row],[CODIGO]],PRODUCTOS[CODIGO],PRODUCTOS[PPTO_ACTUALIZADO],"",0)</f>
        <v>84000</v>
      </c>
      <c r="G143" s="2">
        <f>+_xlfn.XLOOKUP(Tabla2[[#This Row],[CODIGO]],PRODUCTOS[CODIGO],PRODUCTOS[PRECIO COMPRA UNITARIO],"",0)</f>
        <v>84000</v>
      </c>
      <c r="H143" s="5">
        <f>+IFERROR(Tabla2[[#This Row],[PRECIO PROMEDIO]]-Tabla2[[#This Row],[PRECIO PPTO]],"")</f>
        <v>0</v>
      </c>
      <c r="I143" s="2">
        <f>+IFERROR(Tabla2[[#This Row],[CUB. PPTO]]*Tabla2[[#This Row],[PRECIO PPTO]],"")</f>
        <v>6835.5</v>
      </c>
      <c r="J143" s="2">
        <f>+IFERROR(Tabla2[[#This Row],[CUB. GP]]*Tabla2[[#This Row],[PRECIO PROMEDIO]],"")</f>
        <v>14700.000000000002</v>
      </c>
    </row>
    <row r="144" spans="1:10" x14ac:dyDescent="0.25">
      <c r="A144">
        <v>602257</v>
      </c>
      <c r="B144" t="s">
        <v>496</v>
      </c>
      <c r="C144" t="str">
        <f>+_xlfn.XLOOKUP(Tabla2[[#This Row],[CODIGO]],PRODUCTOS[CODIGO],PRODUCTOS[DESC CORTA],"",0)</f>
        <v>RECUBRIMIENTO INTERMEDIO TEXTURADA</v>
      </c>
      <c r="D144" s="26">
        <f>+_xlfn.XLOOKUP(Tabla2[[#This Row],[CODIGO]],PRODUCTOS[CODIGO],PRODUCTOS[CANT X MODULO],"",0)</f>
        <v>0.18637500000000001</v>
      </c>
      <c r="E144" s="26">
        <f>+_xlfn.XLOOKUP(Tabla2[[#This Row],[CODIGO]],Tabla4[CODIGO],Tabla4[CUBICACION PROM / MODULO (PRESUPUESTO)],"",0)</f>
        <v>0.39999999999999997</v>
      </c>
      <c r="F144" s="2">
        <f>+_xlfn.XLOOKUP(Tabla2[[#This Row],[CODIGO]],PRODUCTOS[CODIGO],PRODUCTOS[PPTO_ACTUALIZADO],"",0)</f>
        <v>118000</v>
      </c>
      <c r="G144" s="2">
        <f>+_xlfn.XLOOKUP(Tabla2[[#This Row],[CODIGO]],PRODUCTOS[CODIGO],PRODUCTOS[PRECIO COMPRA UNITARIO],"",0)</f>
        <v>118000</v>
      </c>
      <c r="H144" s="5">
        <f>+IFERROR(Tabla2[[#This Row],[PRECIO PROMEDIO]]-Tabla2[[#This Row],[PRECIO PPTO]],"")</f>
        <v>0</v>
      </c>
      <c r="I144" s="2">
        <f>+IFERROR(Tabla2[[#This Row],[CUB. PPTO]]*Tabla2[[#This Row],[PRECIO PPTO]],"")</f>
        <v>21992.25</v>
      </c>
      <c r="J144" s="2">
        <f>+IFERROR(Tabla2[[#This Row],[CUB. GP]]*Tabla2[[#This Row],[PRECIO PROMEDIO]],"")</f>
        <v>47199.999999999993</v>
      </c>
    </row>
    <row r="145" spans="1:10" x14ac:dyDescent="0.25">
      <c r="A145">
        <v>602256</v>
      </c>
      <c r="B145" t="s">
        <v>495</v>
      </c>
      <c r="C145">
        <f>+_xlfn.XLOOKUP(Tabla2[[#This Row],[CODIGO]],PRODUCTOS[CODIGO],PRODUCTOS[DESC CORTA],"",0)</f>
        <v>0</v>
      </c>
      <c r="D145" s="26">
        <f>+_xlfn.XLOOKUP(Tabla2[[#This Row],[CODIGO]],PRODUCTOS[CODIGO],PRODUCTOS[CANT X MODULO],"",0)</f>
        <v>2.3099999999999999E-2</v>
      </c>
      <c r="E145" s="26">
        <f>+_xlfn.XLOOKUP(Tabla2[[#This Row],[CODIGO]],Tabla4[CODIGO],Tabla4[CUBICACION PROM / MODULO (PRESUPUESTO)],"",0)</f>
        <v>4.9999999999999996E-2</v>
      </c>
      <c r="F145" s="2">
        <f>+_xlfn.XLOOKUP(Tabla2[[#This Row],[CODIGO]],PRODUCTOS[CODIGO],PRODUCTOS[PPTO_ACTUALIZADO],"",0)</f>
        <v>59000</v>
      </c>
      <c r="G145" s="2">
        <f>+_xlfn.XLOOKUP(Tabla2[[#This Row],[CODIGO]],PRODUCTOS[CODIGO],PRODUCTOS[PRECIO COMPRA UNITARIO],"",0)</f>
        <v>59000</v>
      </c>
      <c r="H145" s="5">
        <f>+IFERROR(Tabla2[[#This Row],[PRECIO PROMEDIO]]-Tabla2[[#This Row],[PRECIO PPTO]],"")</f>
        <v>0</v>
      </c>
      <c r="I145" s="2">
        <f>+IFERROR(Tabla2[[#This Row],[CUB. PPTO]]*Tabla2[[#This Row],[PRECIO PPTO]],"")</f>
        <v>1362.8999999999999</v>
      </c>
      <c r="J145" s="2">
        <f>+IFERROR(Tabla2[[#This Row],[CUB. GP]]*Tabla2[[#This Row],[PRECIO PROMEDIO]],"")</f>
        <v>2949.9999999999995</v>
      </c>
    </row>
    <row r="146" spans="1:10" x14ac:dyDescent="0.25">
      <c r="A146">
        <v>1103086</v>
      </c>
      <c r="B146" t="s">
        <v>560</v>
      </c>
      <c r="C146" t="str">
        <f>+_xlfn.XLOOKUP(Tabla2[[#This Row],[CODIGO]],PRODUCTOS[CODIGO],PRODUCTOS[DESC CORTA],"",0)</f>
        <v>E</v>
      </c>
      <c r="D146" s="26">
        <f>+_xlfn.XLOOKUP(Tabla2[[#This Row],[CODIGO]],PRODUCTOS[CODIGO],PRODUCTOS[CANT X MODULO],"",0)</f>
        <v>0.52500000000000002</v>
      </c>
      <c r="E146" s="26">
        <f>+_xlfn.XLOOKUP(Tabla2[[#This Row],[CODIGO]],Tabla4[CODIGO],Tabla4[CUBICACION PROM / MODULO (PRESUPUESTO)],"",0)</f>
        <v>1</v>
      </c>
      <c r="F146" s="2">
        <f>+_xlfn.XLOOKUP(Tabla2[[#This Row],[CODIGO]],PRODUCTOS[CODIGO],PRODUCTOS[PPTO_ACTUALIZADO],"",0)</f>
        <v>10466</v>
      </c>
      <c r="G146" s="2">
        <f>+_xlfn.XLOOKUP(Tabla2[[#This Row],[CODIGO]],PRODUCTOS[CODIGO],PRODUCTOS[PRECIO COMPRA UNITARIO],"",0)</f>
        <v>10465.82</v>
      </c>
      <c r="H146" s="5">
        <f>+IFERROR(Tabla2[[#This Row],[PRECIO PROMEDIO]]-Tabla2[[#This Row],[PRECIO PPTO]],"")</f>
        <v>-0.18000000000029104</v>
      </c>
      <c r="I146" s="2">
        <f>+IFERROR(Tabla2[[#This Row],[CUB. PPTO]]*Tabla2[[#This Row],[PRECIO PPTO]],"")</f>
        <v>5494.6500000000005</v>
      </c>
      <c r="J146" s="2">
        <f>+IFERROR(Tabla2[[#This Row],[CUB. GP]]*Tabla2[[#This Row],[PRECIO PROMEDIO]],"")</f>
        <v>10465.82</v>
      </c>
    </row>
    <row r="147" spans="1:10" x14ac:dyDescent="0.25">
      <c r="A147">
        <v>1103087</v>
      </c>
      <c r="B147" t="s">
        <v>561</v>
      </c>
      <c r="C147" t="str">
        <f>+_xlfn.XLOOKUP(Tabla2[[#This Row],[CODIGO]],PRODUCTOS[CODIGO],PRODUCTOS[DESC CORTA],"",0)</f>
        <v>E</v>
      </c>
      <c r="D147" s="26">
        <f>+_xlfn.XLOOKUP(Tabla2[[#This Row],[CODIGO]],PRODUCTOS[CODIGO],PRODUCTOS[CANT X MODULO],"",0)</f>
        <v>0.52500000000000002</v>
      </c>
      <c r="E147" s="26">
        <f>+_xlfn.XLOOKUP(Tabla2[[#This Row],[CODIGO]],Tabla4[CODIGO],Tabla4[CUBICACION PROM / MODULO (PRESUPUESTO)],"",0)</f>
        <v>2</v>
      </c>
      <c r="F147" s="2">
        <f>+_xlfn.XLOOKUP(Tabla2[[#This Row],[CODIGO]],PRODUCTOS[CODIGO],PRODUCTOS[PPTO_ACTUALIZADO],"",0)</f>
        <v>9841</v>
      </c>
      <c r="G147" s="2">
        <f>+_xlfn.XLOOKUP(Tabla2[[#This Row],[CODIGO]],PRODUCTOS[CODIGO],PRODUCTOS[PRECIO COMPRA UNITARIO],"",0)</f>
        <v>9840.8799999999992</v>
      </c>
      <c r="H147" s="5">
        <f>+IFERROR(Tabla2[[#This Row],[PRECIO PROMEDIO]]-Tabla2[[#This Row],[PRECIO PPTO]],"")</f>
        <v>-0.12000000000080036</v>
      </c>
      <c r="I147" s="2">
        <f>+IFERROR(Tabla2[[#This Row],[CUB. PPTO]]*Tabla2[[#This Row],[PRECIO PPTO]],"")</f>
        <v>5166.5250000000005</v>
      </c>
      <c r="J147" s="2">
        <f>+IFERROR(Tabla2[[#This Row],[CUB. GP]]*Tabla2[[#This Row],[PRECIO PROMEDIO]],"")</f>
        <v>19681.759999999998</v>
      </c>
    </row>
    <row r="148" spans="1:10" x14ac:dyDescent="0.25">
      <c r="A148">
        <v>2304008</v>
      </c>
      <c r="B148" t="s">
        <v>707</v>
      </c>
      <c r="C148" t="str">
        <f>+_xlfn.XLOOKUP(Tabla2[[#This Row],[CODIGO]],PRODUCTOS[CODIGO],PRODUCTOS[DESC CORTA],"",0)</f>
        <v/>
      </c>
      <c r="D148" s="26" t="str">
        <f>+_xlfn.XLOOKUP(Tabla2[[#This Row],[CODIGO]],PRODUCTOS[CODIGO],PRODUCTOS[CANT X MODULO],"",0)</f>
        <v/>
      </c>
      <c r="E148" s="26">
        <f>+_xlfn.XLOOKUP(Tabla2[[#This Row],[CODIGO]],Tabla4[CODIGO],Tabla4[CUBICACION PROM / MODULO (PRESUPUESTO)],"",0)</f>
        <v>2</v>
      </c>
      <c r="F148" s="2" t="str">
        <f>+_xlfn.XLOOKUP(Tabla2[[#This Row],[CODIGO]],PRODUCTOS[CODIGO],PRODUCTOS[PPTO_ACTUALIZADO],"",0)</f>
        <v/>
      </c>
      <c r="G148" s="2" t="str">
        <f>+_xlfn.XLOOKUP(Tabla2[[#This Row],[CODIGO]],PRODUCTOS[CODIGO],PRODUCTOS[PRECIO COMPRA UNITARIO],"",0)</f>
        <v/>
      </c>
      <c r="H148" s="5" t="str">
        <f>+IFERROR(Tabla2[[#This Row],[PRECIO PROMEDIO]]-Tabla2[[#This Row],[PRECIO PPTO]],"")</f>
        <v/>
      </c>
      <c r="I148" s="2" t="str">
        <f>+IFERROR(Tabla2[[#This Row],[CUB. PPTO]]*Tabla2[[#This Row],[PRECIO PPTO]],"")</f>
        <v/>
      </c>
      <c r="J148" s="2" t="str">
        <f>+IFERROR(Tabla2[[#This Row],[CUB. GP]]*Tabla2[[#This Row],[PRECIO PROMEDIO]],"")</f>
        <v/>
      </c>
    </row>
    <row r="149" spans="1:10" x14ac:dyDescent="0.25">
      <c r="A149" t="s">
        <v>562</v>
      </c>
      <c r="B149" t="s">
        <v>708</v>
      </c>
      <c r="C149" t="str">
        <f>+_xlfn.XLOOKUP(Tabla2[[#This Row],[CODIGO]],PRODUCTOS[CODIGO],PRODUCTOS[DESC CORTA],"",0)</f>
        <v/>
      </c>
      <c r="D149" s="26" t="str">
        <f>+_xlfn.XLOOKUP(Tabla2[[#This Row],[CODIGO]],PRODUCTOS[CODIGO],PRODUCTOS[CANT X MODULO],"",0)</f>
        <v/>
      </c>
      <c r="E149" s="26">
        <f>+_xlfn.XLOOKUP(Tabla2[[#This Row],[CODIGO]],Tabla4[CODIGO],Tabla4[CUBICACION PROM / MODULO (PRESUPUESTO)],"",0)</f>
        <v>1.2379999999999998</v>
      </c>
      <c r="F149" s="2" t="str">
        <f>+_xlfn.XLOOKUP(Tabla2[[#This Row],[CODIGO]],PRODUCTOS[CODIGO],PRODUCTOS[PPTO_ACTUALIZADO],"",0)</f>
        <v/>
      </c>
      <c r="G149" s="2" t="str">
        <f>+_xlfn.XLOOKUP(Tabla2[[#This Row],[CODIGO]],PRODUCTOS[CODIGO],PRODUCTOS[PRECIO COMPRA UNITARIO],"",0)</f>
        <v/>
      </c>
      <c r="H149" s="5" t="str">
        <f>+IFERROR(Tabla2[[#This Row],[PRECIO PROMEDIO]]-Tabla2[[#This Row],[PRECIO PPTO]],"")</f>
        <v/>
      </c>
      <c r="I149" s="2" t="str">
        <f>+IFERROR(Tabla2[[#This Row],[CUB. PPTO]]*Tabla2[[#This Row],[PRECIO PPTO]],"")</f>
        <v/>
      </c>
      <c r="J149" s="2" t="str">
        <f>+IFERROR(Tabla2[[#This Row],[CUB. GP]]*Tabla2[[#This Row],[PRECIO PROMEDIO]],"")</f>
        <v/>
      </c>
    </row>
    <row r="150" spans="1:10" x14ac:dyDescent="0.25">
      <c r="A150">
        <v>2508986</v>
      </c>
      <c r="B150" t="s">
        <v>709</v>
      </c>
      <c r="C150" t="str">
        <f>+_xlfn.XLOOKUP(Tabla2[[#This Row],[CODIGO]],PRODUCTOS[CODIGO],PRODUCTOS[DESC CORTA],"",0)</f>
        <v/>
      </c>
      <c r="D150" s="26" t="str">
        <f>+_xlfn.XLOOKUP(Tabla2[[#This Row],[CODIGO]],PRODUCTOS[CODIGO],PRODUCTOS[CANT X MODULO],"",0)</f>
        <v/>
      </c>
      <c r="E150" s="26">
        <f>+_xlfn.XLOOKUP(Tabla2[[#This Row],[CODIGO]],Tabla4[CODIGO],Tabla4[CUBICACION PROM / MODULO (PRESUPUESTO)],"",0)</f>
        <v>1</v>
      </c>
      <c r="F150" s="2" t="str">
        <f>+_xlfn.XLOOKUP(Tabla2[[#This Row],[CODIGO]],PRODUCTOS[CODIGO],PRODUCTOS[PPTO_ACTUALIZADO],"",0)</f>
        <v/>
      </c>
      <c r="G150" s="2" t="str">
        <f>+_xlfn.XLOOKUP(Tabla2[[#This Row],[CODIGO]],PRODUCTOS[CODIGO],PRODUCTOS[PRECIO COMPRA UNITARIO],"",0)</f>
        <v/>
      </c>
      <c r="H150" s="5" t="str">
        <f>+IFERROR(Tabla2[[#This Row],[PRECIO PROMEDIO]]-Tabla2[[#This Row],[PRECIO PPTO]],"")</f>
        <v/>
      </c>
      <c r="I150" s="2" t="str">
        <f>+IFERROR(Tabla2[[#This Row],[CUB. PPTO]]*Tabla2[[#This Row],[PRECIO PPTO]],"")</f>
        <v/>
      </c>
      <c r="J150" s="2" t="str">
        <f>+IFERROR(Tabla2[[#This Row],[CUB. GP]]*Tabla2[[#This Row],[PRECIO PROMEDIO]],"")</f>
        <v/>
      </c>
    </row>
    <row r="151" spans="1:10" x14ac:dyDescent="0.25">
      <c r="A151">
        <v>2508990</v>
      </c>
      <c r="B151" t="s">
        <v>484</v>
      </c>
      <c r="C151" t="str">
        <f>+_xlfn.XLOOKUP(Tabla2[[#This Row],[CODIGO]],PRODUCTOS[CODIGO],PRODUCTOS[DESC CORTA],"",0)</f>
        <v>CERRADURA DE EMB</v>
      </c>
      <c r="D151" s="26">
        <f>+_xlfn.XLOOKUP(Tabla2[[#This Row],[CODIGO]],PRODUCTOS[CODIGO],PRODUCTOS[CANT X MODULO],"",0)</f>
        <v>1.05</v>
      </c>
      <c r="E151" s="26">
        <f>+_xlfn.XLOOKUP(Tabla2[[#This Row],[CODIGO]],Tabla4[CODIGO],Tabla4[CUBICACION PROM / MODULO (PRESUPUESTO)],"",0)</f>
        <v>2</v>
      </c>
      <c r="F151" s="2">
        <f>+_xlfn.XLOOKUP(Tabla2[[#This Row],[CODIGO]],PRODUCTOS[CODIGO],PRODUCTOS[PPTO_ACTUALIZADO],"",0)</f>
        <v>6738</v>
      </c>
      <c r="G151" s="2">
        <f>+_xlfn.XLOOKUP(Tabla2[[#This Row],[CODIGO]],PRODUCTOS[CODIGO],PRODUCTOS[PRECIO COMPRA UNITARIO],"",0)</f>
        <v>6674.6285714285714</v>
      </c>
      <c r="H151" s="5">
        <f>+IFERROR(Tabla2[[#This Row],[PRECIO PROMEDIO]]-Tabla2[[#This Row],[PRECIO PPTO]],"")</f>
        <v>-63.371428571428623</v>
      </c>
      <c r="I151" s="2">
        <f>+IFERROR(Tabla2[[#This Row],[CUB. PPTO]]*Tabla2[[#This Row],[PRECIO PPTO]],"")</f>
        <v>7074.9000000000005</v>
      </c>
      <c r="J151" s="2">
        <f>+IFERROR(Tabla2[[#This Row],[CUB. GP]]*Tabla2[[#This Row],[PRECIO PROMEDIO]],"")</f>
        <v>13349.257142857143</v>
      </c>
    </row>
    <row r="152" spans="1:10" x14ac:dyDescent="0.25">
      <c r="A152">
        <v>2508991</v>
      </c>
      <c r="B152" t="s">
        <v>485</v>
      </c>
      <c r="C152" t="str">
        <f>+_xlfn.XLOOKUP(Tabla2[[#This Row],[CODIGO]],PRODUCTOS[CODIGO],PRODUCTOS[DESC CORTA],"",0)</f>
        <v>CILINDRO 03 LLAVE/LLAVE</v>
      </c>
      <c r="D152" s="26">
        <f>+_xlfn.XLOOKUP(Tabla2[[#This Row],[CODIGO]],PRODUCTOS[CODIGO],PRODUCTOS[CANT X MODULO],"",0)</f>
        <v>1.05</v>
      </c>
      <c r="E152" s="26">
        <f>+_xlfn.XLOOKUP(Tabla2[[#This Row],[CODIGO]],Tabla4[CODIGO],Tabla4[CUBICACION PROM / MODULO (PRESUPUESTO)],"",0)</f>
        <v>2</v>
      </c>
      <c r="F152" s="2">
        <f>+_xlfn.XLOOKUP(Tabla2[[#This Row],[CODIGO]],PRODUCTOS[CODIGO],PRODUCTOS[PPTO_ACTUALIZADO],"",0)</f>
        <v>4798</v>
      </c>
      <c r="G152" s="2">
        <f>+_xlfn.XLOOKUP(Tabla2[[#This Row],[CODIGO]],PRODUCTOS[CODIGO],PRODUCTOS[PRECIO COMPRA UNITARIO],"",0)</f>
        <v>4782.27027027027</v>
      </c>
      <c r="H152" s="5">
        <f>+IFERROR(Tabla2[[#This Row],[PRECIO PROMEDIO]]-Tabla2[[#This Row],[PRECIO PPTO]],"")</f>
        <v>-15.729729729730025</v>
      </c>
      <c r="I152" s="2">
        <f>+IFERROR(Tabla2[[#This Row],[CUB. PPTO]]*Tabla2[[#This Row],[PRECIO PPTO]],"")</f>
        <v>5037.9000000000005</v>
      </c>
      <c r="J152" s="2">
        <f>+IFERROR(Tabla2[[#This Row],[CUB. GP]]*Tabla2[[#This Row],[PRECIO PROMEDIO]],"")</f>
        <v>9564.54054054054</v>
      </c>
    </row>
    <row r="153" spans="1:10" x14ac:dyDescent="0.25">
      <c r="A153">
        <v>2508992</v>
      </c>
      <c r="B153" t="s">
        <v>486</v>
      </c>
      <c r="C153" t="str">
        <f>+_xlfn.XLOOKUP(Tabla2[[#This Row],[CODIGO]],PRODUCTOS[CODIGO],PRODUCTOS[DESC CORTA],"",0)</f>
        <v>MANILLA JUEGO</v>
      </c>
      <c r="D153" s="26">
        <f>+_xlfn.XLOOKUP(Tabla2[[#This Row],[CODIGO]],PRODUCTOS[CODIGO],PRODUCTOS[CANT X MODULO],"",0)</f>
        <v>0.7875000000000002</v>
      </c>
      <c r="E153" s="26">
        <f>+_xlfn.XLOOKUP(Tabla2[[#This Row],[CODIGO]],Tabla4[CODIGO],Tabla4[CUBICACION PROM / MODULO (PRESUPUESTO)],"",0)</f>
        <v>1.5</v>
      </c>
      <c r="F153" s="2">
        <f>+_xlfn.XLOOKUP(Tabla2[[#This Row],[CODIGO]],PRODUCTOS[CODIGO],PRODUCTOS[PPTO_ACTUALIZADO],"",0)</f>
        <v>5084</v>
      </c>
      <c r="G153" s="2">
        <f>+_xlfn.XLOOKUP(Tabla2[[#This Row],[CODIGO]],PRODUCTOS[CODIGO],PRODUCTOS[PRECIO COMPRA UNITARIO],"",0)</f>
        <v>5064.578125</v>
      </c>
      <c r="H153" s="5">
        <f>+IFERROR(Tabla2[[#This Row],[PRECIO PROMEDIO]]-Tabla2[[#This Row],[PRECIO PPTO]],"")</f>
        <v>-19.421875</v>
      </c>
      <c r="I153" s="2">
        <f>+IFERROR(Tabla2[[#This Row],[CUB. PPTO]]*Tabla2[[#This Row],[PRECIO PPTO]],"")</f>
        <v>4003.650000000001</v>
      </c>
      <c r="J153" s="2">
        <f>+IFERROR(Tabla2[[#This Row],[CUB. GP]]*Tabla2[[#This Row],[PRECIO PROMEDIO]],"")</f>
        <v>7596.8671875</v>
      </c>
    </row>
    <row r="154" spans="1:10" x14ac:dyDescent="0.25">
      <c r="A154">
        <v>2508993</v>
      </c>
      <c r="B154" t="s">
        <v>487</v>
      </c>
      <c r="C154" t="str">
        <f>+_xlfn.XLOOKUP(Tabla2[[#This Row],[CODIGO]],PRODUCTOS[CODIGO],PRODUCTOS[DESC CORTA],"",0)</f>
        <v>BOCALLAVE B1 800 ACCESO</v>
      </c>
      <c r="D154" s="26">
        <f>+_xlfn.XLOOKUP(Tabla2[[#This Row],[CODIGO]],PRODUCTOS[CODIGO],PRODUCTOS[CANT X MODULO],"",0)</f>
        <v>1.05</v>
      </c>
      <c r="E154" s="26">
        <f>+_xlfn.XLOOKUP(Tabla2[[#This Row],[CODIGO]],Tabla4[CODIGO],Tabla4[CUBICACION PROM / MODULO (PRESUPUESTO)],"",0)</f>
        <v>2</v>
      </c>
      <c r="F154" s="2">
        <f>+_xlfn.XLOOKUP(Tabla2[[#This Row],[CODIGO]],PRODUCTOS[CODIGO],PRODUCTOS[PPTO_ACTUALIZADO],"",0)</f>
        <v>1410</v>
      </c>
      <c r="G154" s="2">
        <f>+_xlfn.XLOOKUP(Tabla2[[#This Row],[CODIGO]],PRODUCTOS[CODIGO],PRODUCTOS[PRECIO COMPRA UNITARIO],"",0)</f>
        <v>1477.5416666666667</v>
      </c>
      <c r="H154" s="5">
        <f>+IFERROR(Tabla2[[#This Row],[PRECIO PROMEDIO]]-Tabla2[[#This Row],[PRECIO PPTO]],"")</f>
        <v>67.541666666666742</v>
      </c>
      <c r="I154" s="2">
        <f>+IFERROR(Tabla2[[#This Row],[CUB. PPTO]]*Tabla2[[#This Row],[PRECIO PPTO]],"")</f>
        <v>1480.5</v>
      </c>
      <c r="J154" s="2">
        <f>+IFERROR(Tabla2[[#This Row],[CUB. GP]]*Tabla2[[#This Row],[PRECIO PROMEDIO]],"")</f>
        <v>2955.0833333333335</v>
      </c>
    </row>
    <row r="155" spans="1:10" x14ac:dyDescent="0.25">
      <c r="A155">
        <v>2508994</v>
      </c>
      <c r="B155" t="s">
        <v>488</v>
      </c>
      <c r="C155" t="str">
        <f>+_xlfn.XLOOKUP(Tabla2[[#This Row],[CODIGO]],PRODUCTOS[CODIGO],PRODUCTOS[DESC CORTA],"",0)</f>
        <v>CUADRADILLO EXPANSION 8X</v>
      </c>
      <c r="D155" s="26">
        <f>+_xlfn.XLOOKUP(Tabla2[[#This Row],[CODIGO]],PRODUCTOS[CODIGO],PRODUCTOS[CANT X MODULO],"",0)</f>
        <v>0.52500000000000002</v>
      </c>
      <c r="E155" s="26">
        <f>+_xlfn.XLOOKUP(Tabla2[[#This Row],[CODIGO]],Tabla4[CODIGO],Tabla4[CUBICACION PROM / MODULO (PRESUPUESTO)],"",0)</f>
        <v>1</v>
      </c>
      <c r="F155" s="2">
        <f>+_xlfn.XLOOKUP(Tabla2[[#This Row],[CODIGO]],PRODUCTOS[CODIGO],PRODUCTOS[PPTO_ACTUALIZADO],"",0)</f>
        <v>1598</v>
      </c>
      <c r="G155" s="2">
        <f>+_xlfn.XLOOKUP(Tabla2[[#This Row],[CODIGO]],PRODUCTOS[CODIGO],PRODUCTOS[PRECIO COMPRA UNITARIO],"",0)</f>
        <v>1727.4615384615386</v>
      </c>
      <c r="H155" s="5">
        <f>+IFERROR(Tabla2[[#This Row],[PRECIO PROMEDIO]]-Tabla2[[#This Row],[PRECIO PPTO]],"")</f>
        <v>129.46153846153857</v>
      </c>
      <c r="I155" s="2">
        <f>+IFERROR(Tabla2[[#This Row],[CUB. PPTO]]*Tabla2[[#This Row],[PRECIO PPTO]],"")</f>
        <v>838.95</v>
      </c>
      <c r="J155" s="2">
        <f>+IFERROR(Tabla2[[#This Row],[CUB. GP]]*Tabla2[[#This Row],[PRECIO PROMEDIO]],"")</f>
        <v>1727.4615384615386</v>
      </c>
    </row>
    <row r="156" spans="1:10" x14ac:dyDescent="0.25">
      <c r="A156">
        <v>704023</v>
      </c>
      <c r="B156" t="s">
        <v>331</v>
      </c>
      <c r="C156" t="str">
        <f>+_xlfn.XLOOKUP(Tabla2[[#This Row],[CODIGO]],PRODUCTOS[CODIGO],PRODUCTOS[DESC CORTA],"",0)</f>
        <v>ESQUINERO GUARDAPOLVO INTERIOR</v>
      </c>
      <c r="D156" s="26">
        <f>+_xlfn.XLOOKUP(Tabla2[[#This Row],[CODIGO]],PRODUCTOS[CODIGO],PRODUCTOS[CANT X MODULO],"",0)</f>
        <v>23.625</v>
      </c>
      <c r="E156" s="26">
        <f>+_xlfn.XLOOKUP(Tabla2[[#This Row],[CODIGO]],Tabla4[CODIGO],Tabla4[CUBICACION PROM / MODULO (PRESUPUESTO)],"",0)</f>
        <v>22.5</v>
      </c>
      <c r="F156" s="2">
        <f>+_xlfn.XLOOKUP(Tabla2[[#This Row],[CODIGO]],PRODUCTOS[CODIGO],PRODUCTOS[PPTO_ACTUALIZADO],"",0)</f>
        <v>324</v>
      </c>
      <c r="G156" s="2">
        <f>+_xlfn.XLOOKUP(Tabla2[[#This Row],[CODIGO]],PRODUCTOS[CODIGO],PRODUCTOS[PRECIO COMPRA UNITARIO],"",0)</f>
        <v>324</v>
      </c>
      <c r="H156" s="5">
        <f>+IFERROR(Tabla2[[#This Row],[PRECIO PROMEDIO]]-Tabla2[[#This Row],[PRECIO PPTO]],"")</f>
        <v>0</v>
      </c>
      <c r="I156" s="2">
        <f>+IFERROR(Tabla2[[#This Row],[CUB. PPTO]]*Tabla2[[#This Row],[PRECIO PPTO]],"")</f>
        <v>7654.5</v>
      </c>
      <c r="J156" s="2">
        <f>+IFERROR(Tabla2[[#This Row],[CUB. GP]]*Tabla2[[#This Row],[PRECIO PROMEDIO]],"")</f>
        <v>7290</v>
      </c>
    </row>
    <row r="157" spans="1:10" x14ac:dyDescent="0.25">
      <c r="A157">
        <v>407115</v>
      </c>
      <c r="B157" t="s">
        <v>282</v>
      </c>
      <c r="C157">
        <f>+_xlfn.XLOOKUP(Tabla2[[#This Row],[CODIGO]],PRODUCTOS[CODIGO],PRODUCTOS[DESC CORTA],"",0)</f>
        <v>0</v>
      </c>
      <c r="D157" s="26">
        <f>+_xlfn.XLOOKUP(Tabla2[[#This Row],[CODIGO]],PRODUCTOS[CODIGO],PRODUCTOS[CANT X MODULO],"",0)</f>
        <v>4.2</v>
      </c>
      <c r="E157" s="26">
        <f>+_xlfn.XLOOKUP(Tabla2[[#This Row],[CODIGO]],Tabla4[CODIGO],Tabla4[CUBICACION PROM / MODULO (PRESUPUESTO)],"",0)</f>
        <v>8</v>
      </c>
      <c r="F157" s="2">
        <f>+_xlfn.XLOOKUP(Tabla2[[#This Row],[CODIGO]],PRODUCTOS[CODIGO],PRODUCTOS[PPTO_ACTUALIZADO],"",0)</f>
        <v>567</v>
      </c>
      <c r="G157" s="2">
        <f>+_xlfn.XLOOKUP(Tabla2[[#This Row],[CODIGO]],PRODUCTOS[CODIGO],PRODUCTOS[PRECIO COMPRA UNITARIO],"",0)</f>
        <v>547.98249999999996</v>
      </c>
      <c r="H157" s="5">
        <f>+IFERROR(Tabla2[[#This Row],[PRECIO PROMEDIO]]-Tabla2[[#This Row],[PRECIO PPTO]],"")</f>
        <v>-19.017500000000041</v>
      </c>
      <c r="I157" s="2">
        <f>+IFERROR(Tabla2[[#This Row],[CUB. PPTO]]*Tabla2[[#This Row],[PRECIO PPTO]],"")</f>
        <v>2381.4</v>
      </c>
      <c r="J157" s="2">
        <f>+IFERROR(Tabla2[[#This Row],[CUB. GP]]*Tabla2[[#This Row],[PRECIO PROMEDIO]],"")</f>
        <v>4383.8599999999997</v>
      </c>
    </row>
    <row r="158" spans="1:10" x14ac:dyDescent="0.25">
      <c r="A158">
        <v>304012</v>
      </c>
      <c r="B158" t="s">
        <v>710</v>
      </c>
      <c r="C158" t="str">
        <f>+_xlfn.XLOOKUP(Tabla2[[#This Row],[CODIGO]],PRODUCTOS[CODIGO],PRODUCTOS[DESC CORTA],"",0)</f>
        <v/>
      </c>
      <c r="D158" s="26" t="str">
        <f>+_xlfn.XLOOKUP(Tabla2[[#This Row],[CODIGO]],PRODUCTOS[CODIGO],PRODUCTOS[CANT X MODULO],"",0)</f>
        <v/>
      </c>
      <c r="E158" s="26">
        <f>+_xlfn.XLOOKUP(Tabla2[[#This Row],[CODIGO]],Tabla4[CODIGO],Tabla4[CUBICACION PROM / MODULO (PRESUPUESTO)],"",0)</f>
        <v>4</v>
      </c>
      <c r="F158" s="2" t="str">
        <f>+_xlfn.XLOOKUP(Tabla2[[#This Row],[CODIGO]],PRODUCTOS[CODIGO],PRODUCTOS[PPTO_ACTUALIZADO],"",0)</f>
        <v/>
      </c>
      <c r="G158" s="2" t="str">
        <f>+_xlfn.XLOOKUP(Tabla2[[#This Row],[CODIGO]],PRODUCTOS[CODIGO],PRODUCTOS[PRECIO COMPRA UNITARIO],"",0)</f>
        <v/>
      </c>
      <c r="H158" s="5" t="str">
        <f>+IFERROR(Tabla2[[#This Row],[PRECIO PROMEDIO]]-Tabla2[[#This Row],[PRECIO PPTO]],"")</f>
        <v/>
      </c>
      <c r="I158" s="2" t="str">
        <f>+IFERROR(Tabla2[[#This Row],[CUB. PPTO]]*Tabla2[[#This Row],[PRECIO PPTO]],"")</f>
        <v/>
      </c>
      <c r="J158" s="2" t="str">
        <f>+IFERROR(Tabla2[[#This Row],[CUB. GP]]*Tabla2[[#This Row],[PRECIO PROMEDIO]],"")</f>
        <v/>
      </c>
    </row>
    <row r="159" spans="1:10" x14ac:dyDescent="0.25">
      <c r="A159">
        <v>2505426</v>
      </c>
      <c r="B159" t="s">
        <v>711</v>
      </c>
      <c r="C159" t="str">
        <f>+_xlfn.XLOOKUP(Tabla2[[#This Row],[CODIGO]],PRODUCTOS[CODIGO],PRODUCTOS[DESC CORTA],"",0)</f>
        <v/>
      </c>
      <c r="D159" s="26" t="str">
        <f>+_xlfn.XLOOKUP(Tabla2[[#This Row],[CODIGO]],PRODUCTOS[CODIGO],PRODUCTOS[CANT X MODULO],"",0)</f>
        <v/>
      </c>
      <c r="E159" s="26">
        <f>+_xlfn.XLOOKUP(Tabla2[[#This Row],[CODIGO]],Tabla4[CODIGO],Tabla4[CUBICACION PROM / MODULO (PRESUPUESTO)],"",0)</f>
        <v>2</v>
      </c>
      <c r="F159" s="2" t="str">
        <f>+_xlfn.XLOOKUP(Tabla2[[#This Row],[CODIGO]],PRODUCTOS[CODIGO],PRODUCTOS[PPTO_ACTUALIZADO],"",0)</f>
        <v/>
      </c>
      <c r="G159" s="2" t="str">
        <f>+_xlfn.XLOOKUP(Tabla2[[#This Row],[CODIGO]],PRODUCTOS[CODIGO],PRODUCTOS[PRECIO COMPRA UNITARIO],"",0)</f>
        <v/>
      </c>
      <c r="H159" s="5" t="str">
        <f>+IFERROR(Tabla2[[#This Row],[PRECIO PROMEDIO]]-Tabla2[[#This Row],[PRECIO PPTO]],"")</f>
        <v/>
      </c>
      <c r="I159" s="2" t="str">
        <f>+IFERROR(Tabla2[[#This Row],[CUB. PPTO]]*Tabla2[[#This Row],[PRECIO PPTO]],"")</f>
        <v/>
      </c>
      <c r="J159" s="2" t="str">
        <f>+IFERROR(Tabla2[[#This Row],[CUB. GP]]*Tabla2[[#This Row],[PRECIO PROMEDIO]],"")</f>
        <v/>
      </c>
    </row>
    <row r="160" spans="1:10" x14ac:dyDescent="0.25">
      <c r="A160">
        <v>1801161</v>
      </c>
      <c r="B160" t="s">
        <v>712</v>
      </c>
      <c r="C160" t="str">
        <f>+_xlfn.XLOOKUP(Tabla2[[#This Row],[CODIGO]],PRODUCTOS[CODIGO],PRODUCTOS[DESC CORTA],"",0)</f>
        <v/>
      </c>
      <c r="D160" s="26" t="str">
        <f>+_xlfn.XLOOKUP(Tabla2[[#This Row],[CODIGO]],PRODUCTOS[CODIGO],PRODUCTOS[CANT X MODULO],"",0)</f>
        <v/>
      </c>
      <c r="E160" s="26">
        <f>+_xlfn.XLOOKUP(Tabla2[[#This Row],[CODIGO]],Tabla4[CODIGO],Tabla4[CUBICACION PROM / MODULO (PRESUPUESTO)],"",0)</f>
        <v>1</v>
      </c>
      <c r="F160" s="2" t="str">
        <f>+_xlfn.XLOOKUP(Tabla2[[#This Row],[CODIGO]],PRODUCTOS[CODIGO],PRODUCTOS[PPTO_ACTUALIZADO],"",0)</f>
        <v/>
      </c>
      <c r="G160" s="2" t="str">
        <f>+_xlfn.XLOOKUP(Tabla2[[#This Row],[CODIGO]],PRODUCTOS[CODIGO],PRODUCTOS[PRECIO COMPRA UNITARIO],"",0)</f>
        <v/>
      </c>
      <c r="H160" s="5" t="str">
        <f>+IFERROR(Tabla2[[#This Row],[PRECIO PROMEDIO]]-Tabla2[[#This Row],[PRECIO PPTO]],"")</f>
        <v/>
      </c>
      <c r="I160" s="2" t="str">
        <f>+IFERROR(Tabla2[[#This Row],[CUB. PPTO]]*Tabla2[[#This Row],[PRECIO PPTO]],"")</f>
        <v/>
      </c>
      <c r="J160" s="2" t="str">
        <f>+IFERROR(Tabla2[[#This Row],[CUB. GP]]*Tabla2[[#This Row],[PRECIO PROMEDIO]],"")</f>
        <v/>
      </c>
    </row>
    <row r="161" spans="1:10" x14ac:dyDescent="0.25">
      <c r="A161">
        <v>1701154</v>
      </c>
      <c r="B161" t="s">
        <v>713</v>
      </c>
      <c r="C161" t="str">
        <f>+_xlfn.XLOOKUP(Tabla2[[#This Row],[CODIGO]],PRODUCTOS[CODIGO],PRODUCTOS[DESC CORTA],"",0)</f>
        <v/>
      </c>
      <c r="D161" s="26" t="str">
        <f>+_xlfn.XLOOKUP(Tabla2[[#This Row],[CODIGO]],PRODUCTOS[CODIGO],PRODUCTOS[CANT X MODULO],"",0)</f>
        <v/>
      </c>
      <c r="E161" s="26">
        <f>+_xlfn.XLOOKUP(Tabla2[[#This Row],[CODIGO]],Tabla4[CODIGO],Tabla4[CUBICACION PROM / MODULO (PRESUPUESTO)],"",0)</f>
        <v>2</v>
      </c>
      <c r="F161" s="2" t="str">
        <f>+_xlfn.XLOOKUP(Tabla2[[#This Row],[CODIGO]],PRODUCTOS[CODIGO],PRODUCTOS[PPTO_ACTUALIZADO],"",0)</f>
        <v/>
      </c>
      <c r="G161" s="2" t="str">
        <f>+_xlfn.XLOOKUP(Tabla2[[#This Row],[CODIGO]],PRODUCTOS[CODIGO],PRODUCTOS[PRECIO COMPRA UNITARIO],"",0)</f>
        <v/>
      </c>
      <c r="H161" s="5" t="str">
        <f>+IFERROR(Tabla2[[#This Row],[PRECIO PROMEDIO]]-Tabla2[[#This Row],[PRECIO PPTO]],"")</f>
        <v/>
      </c>
      <c r="I161" s="2" t="str">
        <f>+IFERROR(Tabla2[[#This Row],[CUB. PPTO]]*Tabla2[[#This Row],[PRECIO PPTO]],"")</f>
        <v/>
      </c>
      <c r="J161" s="2" t="str">
        <f>+IFERROR(Tabla2[[#This Row],[CUB. GP]]*Tabla2[[#This Row],[PRECIO PROMEDIO]],"")</f>
        <v/>
      </c>
    </row>
    <row r="162" spans="1:10" x14ac:dyDescent="0.25">
      <c r="A162">
        <v>2508985</v>
      </c>
      <c r="B162" t="s">
        <v>304</v>
      </c>
      <c r="C162" t="str">
        <f>+_xlfn.XLOOKUP(Tabla2[[#This Row],[CODIGO]],PRODUCTOS[CODIGO],PRODUCTOS[DESC CORTA],"",0)</f>
        <v>KIT PRECOLGADO</v>
      </c>
      <c r="D162" s="26">
        <f>+_xlfn.XLOOKUP(Tabla2[[#This Row],[CODIGO]],PRODUCTOS[CODIGO],PRODUCTOS[CANT X MODULO],"",0)</f>
        <v>0.52500000000000002</v>
      </c>
      <c r="E162" s="26">
        <f>+_xlfn.XLOOKUP(Tabla2[[#This Row],[CODIGO]],Tabla4[CODIGO],Tabla4[CUBICACION PROM / MODULO (PRESUPUESTO)],"",0)</f>
        <v>1</v>
      </c>
      <c r="F162" s="2">
        <f>+_xlfn.XLOOKUP(Tabla2[[#This Row],[CODIGO]],PRODUCTOS[CODIGO],PRODUCTOS[PPTO_ACTUALIZADO],"",0)</f>
        <v>102622</v>
      </c>
      <c r="G162" s="2">
        <f>+_xlfn.XLOOKUP(Tabla2[[#This Row],[CODIGO]],PRODUCTOS[CODIGO],PRODUCTOS[PRECIO COMPRA UNITARIO],"",0)</f>
        <v>102622</v>
      </c>
      <c r="H162" s="5">
        <f>+IFERROR(Tabla2[[#This Row],[PRECIO PROMEDIO]]-Tabla2[[#This Row],[PRECIO PPTO]],"")</f>
        <v>0</v>
      </c>
      <c r="I162" s="2">
        <f>+IFERROR(Tabla2[[#This Row],[CUB. PPTO]]*Tabla2[[#This Row],[PRECIO PPTO]],"")</f>
        <v>53876.55</v>
      </c>
      <c r="J162" s="2">
        <f>+IFERROR(Tabla2[[#This Row],[CUB. GP]]*Tabla2[[#This Row],[PRECIO PROMEDIO]],"")</f>
        <v>102622</v>
      </c>
    </row>
    <row r="166" spans="1:10" x14ac:dyDescent="0.25">
      <c r="F166" s="2">
        <f>SUM(Tabla2[PRECIO PPTO])</f>
        <v>2744603.9097349825</v>
      </c>
      <c r="G166" s="2">
        <f>SUM(Tabla2[PRECIO PROMEDIO])</f>
        <v>2844678.3076330903</v>
      </c>
      <c r="I166" s="2">
        <f>SUM(Tabla2[PROYECCION PPTO])</f>
        <v>8004198.3624865944</v>
      </c>
      <c r="J166" s="2">
        <f>SUM(Tabla2[PROYECCIÓN PRECIO ACTUALIZADO])</f>
        <v>9918741.5821158662</v>
      </c>
    </row>
    <row r="168" spans="1:10" x14ac:dyDescent="0.25">
      <c r="G168" s="2">
        <f>+G166-F166</f>
        <v>100074.39789810777</v>
      </c>
      <c r="J168" s="2">
        <f>+J166-I166</f>
        <v>1914543.2196292719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35A87-95E3-4C59-9480-11121E4E796C}">
  <dimension ref="A1:C201"/>
  <sheetViews>
    <sheetView workbookViewId="0">
      <selection activeCell="K13" sqref="K13"/>
    </sheetView>
  </sheetViews>
  <sheetFormatPr baseColWidth="10" defaultRowHeight="15" x14ac:dyDescent="0.25"/>
  <cols>
    <col min="2" max="2" width="108" bestFit="1" customWidth="1"/>
    <col min="3" max="3" width="45.5703125" customWidth="1"/>
  </cols>
  <sheetData>
    <row r="1" spans="1:3" x14ac:dyDescent="0.25">
      <c r="A1" t="s">
        <v>2</v>
      </c>
      <c r="B1" t="s">
        <v>322</v>
      </c>
      <c r="C1" t="s">
        <v>737</v>
      </c>
    </row>
    <row r="2" spans="1:3" x14ac:dyDescent="0.25">
      <c r="A2">
        <v>106022</v>
      </c>
      <c r="B2" t="s">
        <v>245</v>
      </c>
      <c r="C2">
        <v>4</v>
      </c>
    </row>
    <row r="3" spans="1:3" x14ac:dyDescent="0.25">
      <c r="A3">
        <v>302248</v>
      </c>
      <c r="B3" t="s">
        <v>281</v>
      </c>
      <c r="C3">
        <v>8.5</v>
      </c>
    </row>
    <row r="4" spans="1:3" x14ac:dyDescent="0.25">
      <c r="A4">
        <v>302010</v>
      </c>
      <c r="B4" t="s">
        <v>323</v>
      </c>
      <c r="C4">
        <v>33.25</v>
      </c>
    </row>
    <row r="5" spans="1:3" x14ac:dyDescent="0.25">
      <c r="A5">
        <v>302028</v>
      </c>
      <c r="B5" t="s">
        <v>246</v>
      </c>
      <c r="C5">
        <v>164.5</v>
      </c>
    </row>
    <row r="6" spans="1:3" x14ac:dyDescent="0.25">
      <c r="A6">
        <v>302046</v>
      </c>
      <c r="B6" t="s">
        <v>84</v>
      </c>
      <c r="C6">
        <v>33</v>
      </c>
    </row>
    <row r="7" spans="1:3" x14ac:dyDescent="0.25">
      <c r="A7">
        <v>302048</v>
      </c>
      <c r="B7" t="s">
        <v>247</v>
      </c>
      <c r="C7">
        <v>33.5</v>
      </c>
    </row>
    <row r="8" spans="1:3" x14ac:dyDescent="0.25">
      <c r="A8">
        <v>302249</v>
      </c>
      <c r="B8" t="s">
        <v>178</v>
      </c>
      <c r="C8">
        <v>6</v>
      </c>
    </row>
    <row r="9" spans="1:3" x14ac:dyDescent="0.25">
      <c r="A9" t="s">
        <v>21</v>
      </c>
      <c r="B9" t="s">
        <v>22</v>
      </c>
      <c r="C9">
        <v>6</v>
      </c>
    </row>
    <row r="10" spans="1:3" x14ac:dyDescent="0.25">
      <c r="A10">
        <v>304002</v>
      </c>
      <c r="B10" t="s">
        <v>37</v>
      </c>
      <c r="C10">
        <v>22</v>
      </c>
    </row>
    <row r="11" spans="1:3" x14ac:dyDescent="0.25">
      <c r="A11">
        <v>304007</v>
      </c>
      <c r="B11" t="s">
        <v>80</v>
      </c>
      <c r="C11">
        <v>8.25</v>
      </c>
    </row>
    <row r="12" spans="1:3" x14ac:dyDescent="0.25">
      <c r="A12">
        <v>304012</v>
      </c>
      <c r="B12" t="s">
        <v>720</v>
      </c>
      <c r="C12">
        <v>4</v>
      </c>
    </row>
    <row r="13" spans="1:3" x14ac:dyDescent="0.25">
      <c r="A13">
        <v>304049</v>
      </c>
      <c r="B13" t="s">
        <v>318</v>
      </c>
      <c r="C13">
        <v>23.164999999999996</v>
      </c>
    </row>
    <row r="14" spans="1:3" x14ac:dyDescent="0.25">
      <c r="A14">
        <v>304101</v>
      </c>
      <c r="B14" t="s">
        <v>17</v>
      </c>
      <c r="C14">
        <v>45.375</v>
      </c>
    </row>
    <row r="15" spans="1:3" x14ac:dyDescent="0.25">
      <c r="A15">
        <v>307030</v>
      </c>
      <c r="B15" t="s">
        <v>64</v>
      </c>
      <c r="C15">
        <v>7</v>
      </c>
    </row>
    <row r="16" spans="1:3" x14ac:dyDescent="0.25">
      <c r="A16">
        <v>307031</v>
      </c>
      <c r="B16" t="s">
        <v>65</v>
      </c>
      <c r="C16">
        <v>15.11</v>
      </c>
    </row>
    <row r="17" spans="1:3" x14ac:dyDescent="0.25">
      <c r="A17">
        <v>307032</v>
      </c>
      <c r="B17" t="s">
        <v>186</v>
      </c>
      <c r="C17">
        <v>8</v>
      </c>
    </row>
    <row r="18" spans="1:3" x14ac:dyDescent="0.25">
      <c r="A18">
        <v>307033</v>
      </c>
      <c r="B18" t="s">
        <v>248</v>
      </c>
      <c r="C18">
        <v>7.5</v>
      </c>
    </row>
    <row r="19" spans="1:3" x14ac:dyDescent="0.25">
      <c r="A19">
        <v>307096</v>
      </c>
      <c r="B19" t="s">
        <v>249</v>
      </c>
      <c r="C19">
        <v>62</v>
      </c>
    </row>
    <row r="20" spans="1:3" x14ac:dyDescent="0.25">
      <c r="A20">
        <v>404745</v>
      </c>
      <c r="B20" t="s">
        <v>444</v>
      </c>
      <c r="C20">
        <v>1</v>
      </c>
    </row>
    <row r="21" spans="1:3" x14ac:dyDescent="0.25">
      <c r="A21">
        <v>404793</v>
      </c>
      <c r="B21" t="s">
        <v>483</v>
      </c>
      <c r="C21">
        <v>1</v>
      </c>
    </row>
    <row r="22" spans="1:3" x14ac:dyDescent="0.25">
      <c r="A22">
        <v>407011</v>
      </c>
      <c r="B22" t="s">
        <v>30</v>
      </c>
      <c r="C22">
        <v>580</v>
      </c>
    </row>
    <row r="23" spans="1:3" x14ac:dyDescent="0.25">
      <c r="A23">
        <v>407049</v>
      </c>
      <c r="B23" t="s">
        <v>232</v>
      </c>
      <c r="C23">
        <v>60</v>
      </c>
    </row>
    <row r="24" spans="1:3" x14ac:dyDescent="0.25">
      <c r="A24">
        <v>407115</v>
      </c>
      <c r="B24" t="s">
        <v>282</v>
      </c>
      <c r="C24">
        <v>8</v>
      </c>
    </row>
    <row r="25" spans="1:3" x14ac:dyDescent="0.25">
      <c r="A25">
        <v>407170</v>
      </c>
      <c r="B25" t="s">
        <v>107</v>
      </c>
      <c r="C25">
        <v>144</v>
      </c>
    </row>
    <row r="26" spans="1:3" x14ac:dyDescent="0.25">
      <c r="A26">
        <v>407185</v>
      </c>
      <c r="B26" t="s">
        <v>43</v>
      </c>
      <c r="C26">
        <v>920</v>
      </c>
    </row>
    <row r="27" spans="1:3" x14ac:dyDescent="0.25">
      <c r="A27">
        <v>407307</v>
      </c>
      <c r="B27" t="s">
        <v>163</v>
      </c>
      <c r="C27">
        <v>62.5</v>
      </c>
    </row>
    <row r="28" spans="1:3" x14ac:dyDescent="0.25">
      <c r="A28">
        <v>407423</v>
      </c>
      <c r="B28" t="s">
        <v>106</v>
      </c>
      <c r="C28">
        <v>751</v>
      </c>
    </row>
    <row r="29" spans="1:3" x14ac:dyDescent="0.25">
      <c r="A29">
        <v>407427</v>
      </c>
      <c r="B29" t="s">
        <v>172</v>
      </c>
      <c r="C29">
        <v>0.19999999999999998</v>
      </c>
    </row>
    <row r="30" spans="1:3" x14ac:dyDescent="0.25">
      <c r="A30" t="s">
        <v>179</v>
      </c>
      <c r="B30" t="s">
        <v>180</v>
      </c>
      <c r="C30">
        <v>0.65555555555555545</v>
      </c>
    </row>
    <row r="31" spans="1:3" x14ac:dyDescent="0.25">
      <c r="A31">
        <v>407795</v>
      </c>
      <c r="B31" t="s">
        <v>325</v>
      </c>
      <c r="C31">
        <v>1</v>
      </c>
    </row>
    <row r="32" spans="1:3" x14ac:dyDescent="0.25">
      <c r="A32" t="s">
        <v>225</v>
      </c>
      <c r="B32" t="s">
        <v>226</v>
      </c>
      <c r="C32">
        <v>7.980000000000001E-2</v>
      </c>
    </row>
    <row r="33" spans="1:3" x14ac:dyDescent="0.25">
      <c r="A33">
        <v>408014</v>
      </c>
      <c r="B33" t="s">
        <v>108</v>
      </c>
      <c r="C33">
        <v>0.13599999999999998</v>
      </c>
    </row>
    <row r="34" spans="1:3" x14ac:dyDescent="0.25">
      <c r="A34">
        <v>408017</v>
      </c>
      <c r="B34" t="s">
        <v>721</v>
      </c>
      <c r="C34">
        <v>5.000000000000001E-2</v>
      </c>
    </row>
    <row r="35" spans="1:3" x14ac:dyDescent="0.25">
      <c r="A35">
        <v>408034</v>
      </c>
      <c r="B35" t="s">
        <v>250</v>
      </c>
      <c r="C35">
        <v>6.8000000000000033E-2</v>
      </c>
    </row>
    <row r="36" spans="1:3" x14ac:dyDescent="0.25">
      <c r="A36">
        <v>408042</v>
      </c>
      <c r="B36" t="s">
        <v>144</v>
      </c>
      <c r="C36">
        <v>1.1224999999999998</v>
      </c>
    </row>
    <row r="37" spans="1:3" x14ac:dyDescent="0.25">
      <c r="A37">
        <v>408088</v>
      </c>
      <c r="B37" t="s">
        <v>109</v>
      </c>
      <c r="C37" t="s">
        <v>355</v>
      </c>
    </row>
    <row r="38" spans="1:3" x14ac:dyDescent="0.25">
      <c r="A38" t="s">
        <v>241</v>
      </c>
      <c r="B38" t="s">
        <v>35</v>
      </c>
      <c r="C38">
        <v>0.20833333333333331</v>
      </c>
    </row>
    <row r="39" spans="1:3" x14ac:dyDescent="0.25">
      <c r="A39" t="s">
        <v>82</v>
      </c>
      <c r="B39" t="s">
        <v>83</v>
      </c>
      <c r="C39">
        <v>3.2895000000000012</v>
      </c>
    </row>
    <row r="40" spans="1:3" x14ac:dyDescent="0.25">
      <c r="A40">
        <v>410045</v>
      </c>
      <c r="B40" t="s">
        <v>110</v>
      </c>
      <c r="C40">
        <v>16</v>
      </c>
    </row>
    <row r="41" spans="1:3" x14ac:dyDescent="0.25">
      <c r="A41">
        <v>410046</v>
      </c>
      <c r="B41" t="s">
        <v>361</v>
      </c>
      <c r="C41">
        <v>8</v>
      </c>
    </row>
    <row r="42" spans="1:3" x14ac:dyDescent="0.25">
      <c r="A42">
        <v>410126</v>
      </c>
      <c r="B42" t="s">
        <v>159</v>
      </c>
      <c r="C42">
        <v>10</v>
      </c>
    </row>
    <row r="43" spans="1:3" x14ac:dyDescent="0.25">
      <c r="A43">
        <v>412016</v>
      </c>
      <c r="B43" t="s">
        <v>722</v>
      </c>
      <c r="C43">
        <v>1</v>
      </c>
    </row>
    <row r="44" spans="1:3" x14ac:dyDescent="0.25">
      <c r="A44">
        <v>412132</v>
      </c>
      <c r="B44" t="s">
        <v>723</v>
      </c>
      <c r="C44">
        <v>1</v>
      </c>
    </row>
    <row r="45" spans="1:3" x14ac:dyDescent="0.25">
      <c r="A45">
        <v>412260</v>
      </c>
      <c r="B45" t="s">
        <v>41</v>
      </c>
      <c r="C45">
        <v>10</v>
      </c>
    </row>
    <row r="46" spans="1:3" x14ac:dyDescent="0.25">
      <c r="A46">
        <v>412280</v>
      </c>
      <c r="B46" t="s">
        <v>40</v>
      </c>
      <c r="C46">
        <v>8.5</v>
      </c>
    </row>
    <row r="47" spans="1:3" x14ac:dyDescent="0.25">
      <c r="A47">
        <v>412281</v>
      </c>
      <c r="B47" t="s">
        <v>326</v>
      </c>
      <c r="C47">
        <v>3.5</v>
      </c>
    </row>
    <row r="48" spans="1:3" x14ac:dyDescent="0.25">
      <c r="A48">
        <v>412301</v>
      </c>
      <c r="B48" t="s">
        <v>327</v>
      </c>
      <c r="C48">
        <v>32</v>
      </c>
    </row>
    <row r="49" spans="1:3" x14ac:dyDescent="0.25">
      <c r="A49">
        <v>412302</v>
      </c>
      <c r="B49" t="s">
        <v>165</v>
      </c>
      <c r="C49">
        <v>2</v>
      </c>
    </row>
    <row r="50" spans="1:3" x14ac:dyDescent="0.25">
      <c r="A50">
        <v>412313</v>
      </c>
      <c r="B50" t="s">
        <v>253</v>
      </c>
      <c r="C50">
        <v>0.82399999999999995</v>
      </c>
    </row>
    <row r="51" spans="1:3" x14ac:dyDescent="0.25">
      <c r="A51">
        <v>412630</v>
      </c>
      <c r="B51" t="s">
        <v>284</v>
      </c>
      <c r="C51">
        <v>1</v>
      </c>
    </row>
    <row r="52" spans="1:3" x14ac:dyDescent="0.25">
      <c r="A52">
        <v>601047</v>
      </c>
      <c r="B52" t="s">
        <v>129</v>
      </c>
      <c r="C52">
        <v>0.3</v>
      </c>
    </row>
    <row r="53" spans="1:3" x14ac:dyDescent="0.25">
      <c r="A53">
        <v>601121</v>
      </c>
      <c r="B53" t="s">
        <v>67</v>
      </c>
      <c r="C53">
        <v>1.05</v>
      </c>
    </row>
    <row r="54" spans="1:3" x14ac:dyDescent="0.25">
      <c r="A54">
        <v>602254</v>
      </c>
      <c r="B54" t="s">
        <v>214</v>
      </c>
      <c r="C54">
        <v>0.68420625000000002</v>
      </c>
    </row>
    <row r="55" spans="1:3" x14ac:dyDescent="0.25">
      <c r="A55">
        <v>602255</v>
      </c>
      <c r="B55" t="s">
        <v>203</v>
      </c>
      <c r="C55">
        <v>0.57513749999999997</v>
      </c>
    </row>
    <row r="56" spans="1:3" x14ac:dyDescent="0.25">
      <c r="A56">
        <v>602256</v>
      </c>
      <c r="B56" t="s">
        <v>724</v>
      </c>
      <c r="C56">
        <v>4.9999999999999996E-2</v>
      </c>
    </row>
    <row r="57" spans="1:3" x14ac:dyDescent="0.25">
      <c r="A57">
        <v>602257</v>
      </c>
      <c r="B57" t="s">
        <v>725</v>
      </c>
      <c r="C57">
        <v>0.39999999999999997</v>
      </c>
    </row>
    <row r="58" spans="1:3" x14ac:dyDescent="0.25">
      <c r="A58">
        <v>602258</v>
      </c>
      <c r="B58" t="s">
        <v>726</v>
      </c>
      <c r="C58">
        <v>0.17500000000000002</v>
      </c>
    </row>
    <row r="59" spans="1:3" x14ac:dyDescent="0.25">
      <c r="A59">
        <v>608013</v>
      </c>
      <c r="B59" t="s">
        <v>328</v>
      </c>
      <c r="C59">
        <v>0.10000000000000002</v>
      </c>
    </row>
    <row r="60" spans="1:3" x14ac:dyDescent="0.25">
      <c r="A60">
        <v>609008</v>
      </c>
      <c r="B60" t="s">
        <v>57</v>
      </c>
      <c r="C60">
        <v>1</v>
      </c>
    </row>
    <row r="61" spans="1:3" x14ac:dyDescent="0.25">
      <c r="A61">
        <v>617016</v>
      </c>
      <c r="B61" t="s">
        <v>133</v>
      </c>
      <c r="C61">
        <v>4</v>
      </c>
    </row>
    <row r="62" spans="1:3" x14ac:dyDescent="0.25">
      <c r="A62">
        <v>617055</v>
      </c>
      <c r="B62" t="s">
        <v>182</v>
      </c>
      <c r="C62">
        <v>2</v>
      </c>
    </row>
    <row r="63" spans="1:3" x14ac:dyDescent="0.25">
      <c r="A63">
        <v>617057</v>
      </c>
      <c r="B63" t="s">
        <v>134</v>
      </c>
      <c r="C63">
        <v>1.5</v>
      </c>
    </row>
    <row r="64" spans="1:3" x14ac:dyDescent="0.25">
      <c r="A64">
        <v>701015</v>
      </c>
      <c r="B64" t="s">
        <v>254</v>
      </c>
      <c r="C64">
        <v>9</v>
      </c>
    </row>
    <row r="65" spans="1:3" x14ac:dyDescent="0.25">
      <c r="A65">
        <v>701040</v>
      </c>
      <c r="B65" t="s">
        <v>19</v>
      </c>
      <c r="C65">
        <v>5.5</v>
      </c>
    </row>
    <row r="66" spans="1:3" x14ac:dyDescent="0.25">
      <c r="A66">
        <v>701043</v>
      </c>
      <c r="B66" t="s">
        <v>197</v>
      </c>
      <c r="C66">
        <v>6.75</v>
      </c>
    </row>
    <row r="67" spans="1:3" x14ac:dyDescent="0.25">
      <c r="A67">
        <v>701084</v>
      </c>
      <c r="B67" t="s">
        <v>38</v>
      </c>
      <c r="C67">
        <v>1.33</v>
      </c>
    </row>
    <row r="68" spans="1:3" x14ac:dyDescent="0.25">
      <c r="A68">
        <v>701096</v>
      </c>
      <c r="B68" t="s">
        <v>204</v>
      </c>
      <c r="C68">
        <v>29.75</v>
      </c>
    </row>
    <row r="69" spans="1:3" x14ac:dyDescent="0.25">
      <c r="A69">
        <v>704021</v>
      </c>
      <c r="B69" t="s">
        <v>329</v>
      </c>
      <c r="C69">
        <v>20</v>
      </c>
    </row>
    <row r="70" spans="1:3" x14ac:dyDescent="0.25">
      <c r="A70">
        <v>704022</v>
      </c>
      <c r="B70" t="s">
        <v>330</v>
      </c>
      <c r="C70">
        <v>13.5</v>
      </c>
    </row>
    <row r="71" spans="1:3" x14ac:dyDescent="0.25">
      <c r="A71">
        <v>704023</v>
      </c>
      <c r="B71" t="s">
        <v>331</v>
      </c>
      <c r="C71">
        <v>22.5</v>
      </c>
    </row>
    <row r="72" spans="1:3" x14ac:dyDescent="0.25">
      <c r="A72">
        <v>704024</v>
      </c>
      <c r="B72" t="s">
        <v>332</v>
      </c>
      <c r="C72">
        <v>4</v>
      </c>
    </row>
    <row r="73" spans="1:3" x14ac:dyDescent="0.25">
      <c r="A73">
        <v>704025</v>
      </c>
      <c r="B73" t="s">
        <v>333</v>
      </c>
      <c r="C73">
        <v>4</v>
      </c>
    </row>
    <row r="74" spans="1:3" x14ac:dyDescent="0.25">
      <c r="A74">
        <v>704046</v>
      </c>
      <c r="B74" t="s">
        <v>255</v>
      </c>
      <c r="C74">
        <v>0.84262295081967231</v>
      </c>
    </row>
    <row r="75" spans="1:3" x14ac:dyDescent="0.25">
      <c r="A75">
        <v>705028</v>
      </c>
      <c r="B75" t="s">
        <v>72</v>
      </c>
      <c r="C75">
        <v>6.375</v>
      </c>
    </row>
    <row r="76" spans="1:3" x14ac:dyDescent="0.25">
      <c r="A76">
        <v>707023</v>
      </c>
      <c r="B76" t="s">
        <v>727</v>
      </c>
      <c r="C76">
        <v>3</v>
      </c>
    </row>
    <row r="77" spans="1:3" x14ac:dyDescent="0.25">
      <c r="A77">
        <v>810007</v>
      </c>
      <c r="B77" t="s">
        <v>235</v>
      </c>
      <c r="C77">
        <v>2</v>
      </c>
    </row>
    <row r="78" spans="1:3" x14ac:dyDescent="0.25">
      <c r="A78" t="s">
        <v>166</v>
      </c>
      <c r="B78" t="s">
        <v>167</v>
      </c>
      <c r="C78">
        <v>14.5</v>
      </c>
    </row>
    <row r="79" spans="1:3" x14ac:dyDescent="0.25">
      <c r="A79" t="s">
        <v>728</v>
      </c>
      <c r="B79" t="s">
        <v>729</v>
      </c>
      <c r="C79">
        <v>1.2379999999999998</v>
      </c>
    </row>
    <row r="80" spans="1:3" x14ac:dyDescent="0.25">
      <c r="A80">
        <v>907031</v>
      </c>
      <c r="B80" t="s">
        <v>256</v>
      </c>
      <c r="C80">
        <v>0.67729831144465302</v>
      </c>
    </row>
    <row r="81" spans="1:3" x14ac:dyDescent="0.25">
      <c r="A81">
        <v>1003500</v>
      </c>
      <c r="B81" t="s">
        <v>149</v>
      </c>
      <c r="C81">
        <v>13</v>
      </c>
    </row>
    <row r="82" spans="1:3" x14ac:dyDescent="0.25">
      <c r="A82">
        <v>1101307</v>
      </c>
      <c r="B82" t="s">
        <v>309</v>
      </c>
      <c r="C82">
        <v>2</v>
      </c>
    </row>
    <row r="83" spans="1:3" x14ac:dyDescent="0.25">
      <c r="A83">
        <v>1103074</v>
      </c>
      <c r="B83" t="s">
        <v>310</v>
      </c>
      <c r="C83">
        <v>2</v>
      </c>
    </row>
    <row r="84" spans="1:3" x14ac:dyDescent="0.25">
      <c r="A84">
        <v>1103076</v>
      </c>
      <c r="B84" t="s">
        <v>311</v>
      </c>
      <c r="C84">
        <v>2</v>
      </c>
    </row>
    <row r="85" spans="1:3" x14ac:dyDescent="0.25">
      <c r="A85">
        <v>1103086</v>
      </c>
      <c r="B85" t="s">
        <v>560</v>
      </c>
      <c r="C85">
        <v>1</v>
      </c>
    </row>
    <row r="86" spans="1:3" x14ac:dyDescent="0.25">
      <c r="A86">
        <v>1103087</v>
      </c>
      <c r="B86" t="s">
        <v>561</v>
      </c>
      <c r="C86">
        <v>2</v>
      </c>
    </row>
    <row r="87" spans="1:3" x14ac:dyDescent="0.25">
      <c r="A87">
        <v>1206002</v>
      </c>
      <c r="B87" t="s">
        <v>192</v>
      </c>
      <c r="C87">
        <v>1</v>
      </c>
    </row>
    <row r="88" spans="1:3" x14ac:dyDescent="0.25">
      <c r="A88" t="s">
        <v>94</v>
      </c>
      <c r="B88" t="s">
        <v>95</v>
      </c>
      <c r="C88">
        <v>3</v>
      </c>
    </row>
    <row r="89" spans="1:3" x14ac:dyDescent="0.25">
      <c r="A89">
        <v>1405006</v>
      </c>
      <c r="B89" t="s">
        <v>199</v>
      </c>
      <c r="C89">
        <v>29</v>
      </c>
    </row>
    <row r="90" spans="1:3" x14ac:dyDescent="0.25">
      <c r="A90">
        <v>1405025</v>
      </c>
      <c r="B90" t="s">
        <v>189</v>
      </c>
      <c r="C90">
        <v>1</v>
      </c>
    </row>
    <row r="91" spans="1:3" x14ac:dyDescent="0.25">
      <c r="A91">
        <v>1405039</v>
      </c>
      <c r="B91" t="s">
        <v>314</v>
      </c>
      <c r="C91">
        <v>1</v>
      </c>
    </row>
    <row r="92" spans="1:3" x14ac:dyDescent="0.25">
      <c r="A92">
        <v>1405040</v>
      </c>
      <c r="B92" t="s">
        <v>303</v>
      </c>
      <c r="C92">
        <v>1.5</v>
      </c>
    </row>
    <row r="93" spans="1:3" x14ac:dyDescent="0.25">
      <c r="A93">
        <v>1610007</v>
      </c>
      <c r="B93" t="s">
        <v>334</v>
      </c>
      <c r="C93">
        <v>1</v>
      </c>
    </row>
    <row r="94" spans="1:3" x14ac:dyDescent="0.25">
      <c r="A94">
        <v>1610023</v>
      </c>
      <c r="B94" t="s">
        <v>59</v>
      </c>
      <c r="C94">
        <v>0.5</v>
      </c>
    </row>
    <row r="95" spans="1:3" x14ac:dyDescent="0.25">
      <c r="A95">
        <v>1701154</v>
      </c>
      <c r="B95" t="s">
        <v>730</v>
      </c>
      <c r="C95">
        <v>2</v>
      </c>
    </row>
    <row r="96" spans="1:3" x14ac:dyDescent="0.25">
      <c r="A96">
        <v>1703006</v>
      </c>
      <c r="B96" t="s">
        <v>48</v>
      </c>
      <c r="C96">
        <v>1</v>
      </c>
    </row>
    <row r="97" spans="1:3" x14ac:dyDescent="0.25">
      <c r="A97">
        <v>1801161</v>
      </c>
      <c r="B97" t="s">
        <v>731</v>
      </c>
      <c r="C97">
        <v>1</v>
      </c>
    </row>
    <row r="98" spans="1:3" x14ac:dyDescent="0.25">
      <c r="A98">
        <v>1801229</v>
      </c>
      <c r="B98" t="s">
        <v>259</v>
      </c>
      <c r="C98">
        <v>1</v>
      </c>
    </row>
    <row r="99" spans="1:3" x14ac:dyDescent="0.25">
      <c r="A99">
        <v>1801230</v>
      </c>
      <c r="B99" t="s">
        <v>51</v>
      </c>
      <c r="C99">
        <v>1</v>
      </c>
    </row>
    <row r="100" spans="1:3" x14ac:dyDescent="0.25">
      <c r="A100">
        <v>1801735</v>
      </c>
      <c r="B100" t="s">
        <v>73</v>
      </c>
      <c r="C100">
        <v>1</v>
      </c>
    </row>
    <row r="101" spans="1:3" x14ac:dyDescent="0.25">
      <c r="A101">
        <v>1802103</v>
      </c>
      <c r="B101" t="s">
        <v>477</v>
      </c>
      <c r="C101">
        <v>1</v>
      </c>
    </row>
    <row r="102" spans="1:3" x14ac:dyDescent="0.25">
      <c r="A102">
        <v>1802162</v>
      </c>
      <c r="B102" t="s">
        <v>260</v>
      </c>
      <c r="C102">
        <v>1</v>
      </c>
    </row>
    <row r="103" spans="1:3" x14ac:dyDescent="0.25">
      <c r="A103">
        <v>1802164</v>
      </c>
      <c r="B103" t="s">
        <v>306</v>
      </c>
      <c r="C103">
        <v>1</v>
      </c>
    </row>
    <row r="104" spans="1:3" x14ac:dyDescent="0.25">
      <c r="A104">
        <v>1802165</v>
      </c>
      <c r="B104" t="s">
        <v>261</v>
      </c>
      <c r="C104">
        <v>1</v>
      </c>
    </row>
    <row r="105" spans="1:3" x14ac:dyDescent="0.25">
      <c r="A105">
        <v>1802166</v>
      </c>
      <c r="B105" t="s">
        <v>283</v>
      </c>
      <c r="C105">
        <v>1</v>
      </c>
    </row>
    <row r="106" spans="1:3" x14ac:dyDescent="0.25">
      <c r="A106">
        <v>1802167</v>
      </c>
      <c r="B106" t="s">
        <v>262</v>
      </c>
      <c r="C106">
        <v>1</v>
      </c>
    </row>
    <row r="107" spans="1:3" x14ac:dyDescent="0.25">
      <c r="A107">
        <v>1802169</v>
      </c>
      <c r="B107" t="s">
        <v>263</v>
      </c>
      <c r="C107">
        <v>1</v>
      </c>
    </row>
    <row r="108" spans="1:3" x14ac:dyDescent="0.25">
      <c r="A108">
        <v>1802171</v>
      </c>
      <c r="B108" t="s">
        <v>265</v>
      </c>
      <c r="C108">
        <v>1</v>
      </c>
    </row>
    <row r="109" spans="1:3" x14ac:dyDescent="0.25">
      <c r="A109">
        <v>1802172</v>
      </c>
      <c r="B109" t="s">
        <v>266</v>
      </c>
      <c r="C109">
        <v>1</v>
      </c>
    </row>
    <row r="110" spans="1:3" x14ac:dyDescent="0.25">
      <c r="A110">
        <v>1802173</v>
      </c>
      <c r="B110" t="s">
        <v>267</v>
      </c>
      <c r="C110">
        <v>1</v>
      </c>
    </row>
    <row r="111" spans="1:3" x14ac:dyDescent="0.25">
      <c r="A111">
        <v>1802174</v>
      </c>
      <c r="B111" t="s">
        <v>268</v>
      </c>
      <c r="C111">
        <v>1</v>
      </c>
    </row>
    <row r="112" spans="1:3" x14ac:dyDescent="0.25">
      <c r="A112">
        <v>1802175</v>
      </c>
      <c r="B112" t="s">
        <v>269</v>
      </c>
      <c r="C112">
        <v>1</v>
      </c>
    </row>
    <row r="113" spans="1:3" x14ac:dyDescent="0.25">
      <c r="A113">
        <v>1802176</v>
      </c>
      <c r="B113" t="s">
        <v>335</v>
      </c>
      <c r="C113">
        <v>1</v>
      </c>
    </row>
    <row r="114" spans="1:3" x14ac:dyDescent="0.25">
      <c r="A114">
        <v>1802517</v>
      </c>
      <c r="B114" t="s">
        <v>141</v>
      </c>
      <c r="C114">
        <v>1</v>
      </c>
    </row>
    <row r="115" spans="1:3" x14ac:dyDescent="0.25">
      <c r="A115">
        <v>1802659</v>
      </c>
      <c r="B115" t="s">
        <v>161</v>
      </c>
      <c r="C115">
        <v>1</v>
      </c>
    </row>
    <row r="116" spans="1:3" x14ac:dyDescent="0.25">
      <c r="A116">
        <v>1803044</v>
      </c>
      <c r="B116" t="s">
        <v>336</v>
      </c>
      <c r="C116">
        <v>2</v>
      </c>
    </row>
    <row r="117" spans="1:3" x14ac:dyDescent="0.25">
      <c r="A117">
        <v>1803045</v>
      </c>
      <c r="B117" t="s">
        <v>337</v>
      </c>
      <c r="C117">
        <v>2</v>
      </c>
    </row>
    <row r="118" spans="1:3" x14ac:dyDescent="0.25">
      <c r="A118">
        <v>1805340</v>
      </c>
      <c r="B118" t="s">
        <v>298</v>
      </c>
      <c r="C118">
        <v>2</v>
      </c>
    </row>
    <row r="119" spans="1:3" x14ac:dyDescent="0.25">
      <c r="A119">
        <v>1808003</v>
      </c>
      <c r="B119" t="s">
        <v>195</v>
      </c>
      <c r="C119">
        <v>1.75</v>
      </c>
    </row>
    <row r="120" spans="1:3" x14ac:dyDescent="0.25">
      <c r="A120">
        <v>1808006</v>
      </c>
      <c r="B120" t="s">
        <v>194</v>
      </c>
      <c r="C120">
        <v>1.25</v>
      </c>
    </row>
    <row r="121" spans="1:3" x14ac:dyDescent="0.25">
      <c r="A121">
        <v>1808144</v>
      </c>
      <c r="B121" t="s">
        <v>272</v>
      </c>
      <c r="C121">
        <v>1</v>
      </c>
    </row>
    <row r="122" spans="1:3" x14ac:dyDescent="0.25">
      <c r="A122">
        <v>1808145</v>
      </c>
      <c r="B122" t="s">
        <v>273</v>
      </c>
      <c r="C122">
        <v>1</v>
      </c>
    </row>
    <row r="123" spans="1:3" x14ac:dyDescent="0.25">
      <c r="A123">
        <v>1808146</v>
      </c>
      <c r="B123" t="s">
        <v>274</v>
      </c>
      <c r="C123">
        <v>1</v>
      </c>
    </row>
    <row r="124" spans="1:3" x14ac:dyDescent="0.25">
      <c r="A124">
        <v>1808147</v>
      </c>
      <c r="B124" t="s">
        <v>275</v>
      </c>
      <c r="C124">
        <v>1</v>
      </c>
    </row>
    <row r="125" spans="1:3" x14ac:dyDescent="0.25">
      <c r="A125">
        <v>1808156</v>
      </c>
      <c r="B125" t="s">
        <v>277</v>
      </c>
      <c r="C125">
        <v>1</v>
      </c>
    </row>
    <row r="126" spans="1:3" x14ac:dyDescent="0.25">
      <c r="A126">
        <v>1901008</v>
      </c>
      <c r="B126" t="s">
        <v>278</v>
      </c>
      <c r="C126">
        <v>59.457453000000001</v>
      </c>
    </row>
    <row r="127" spans="1:3" x14ac:dyDescent="0.25">
      <c r="A127">
        <v>1901038</v>
      </c>
      <c r="B127" t="s">
        <v>39</v>
      </c>
      <c r="C127">
        <v>16.199999999999996</v>
      </c>
    </row>
    <row r="128" spans="1:3" x14ac:dyDescent="0.25">
      <c r="A128">
        <v>1901086</v>
      </c>
      <c r="B128" t="s">
        <v>279</v>
      </c>
      <c r="C128">
        <v>40.373885333333334</v>
      </c>
    </row>
    <row r="129" spans="1:3" x14ac:dyDescent="0.25">
      <c r="A129">
        <v>1901466</v>
      </c>
      <c r="B129" t="s">
        <v>732</v>
      </c>
      <c r="C129">
        <v>28.123119999999997</v>
      </c>
    </row>
    <row r="130" spans="1:3" x14ac:dyDescent="0.25">
      <c r="A130">
        <v>1901505</v>
      </c>
      <c r="B130" t="s">
        <v>27</v>
      </c>
      <c r="C130">
        <v>4.7</v>
      </c>
    </row>
    <row r="131" spans="1:3" x14ac:dyDescent="0.25">
      <c r="A131">
        <v>1902003</v>
      </c>
      <c r="B131" t="s">
        <v>155</v>
      </c>
      <c r="C131">
        <v>0.39491999999999994</v>
      </c>
    </row>
    <row r="132" spans="1:3" x14ac:dyDescent="0.25">
      <c r="A132">
        <v>1902013</v>
      </c>
      <c r="B132" t="s">
        <v>338</v>
      </c>
      <c r="C132">
        <v>2.0075000000000003</v>
      </c>
    </row>
    <row r="133" spans="1:3" x14ac:dyDescent="0.25">
      <c r="A133">
        <v>1902014</v>
      </c>
      <c r="B133" t="s">
        <v>316</v>
      </c>
      <c r="C133">
        <v>22.33</v>
      </c>
    </row>
    <row r="134" spans="1:3" x14ac:dyDescent="0.25">
      <c r="A134">
        <v>2302017</v>
      </c>
      <c r="B134" t="s">
        <v>156</v>
      </c>
      <c r="C134">
        <v>0.75000000000000011</v>
      </c>
    </row>
    <row r="135" spans="1:3" x14ac:dyDescent="0.25">
      <c r="A135">
        <v>2302024</v>
      </c>
      <c r="B135" t="s">
        <v>234</v>
      </c>
      <c r="C135">
        <v>1.5</v>
      </c>
    </row>
    <row r="136" spans="1:3" x14ac:dyDescent="0.25">
      <c r="A136">
        <v>2302044</v>
      </c>
      <c r="B136" t="s">
        <v>441</v>
      </c>
      <c r="C136">
        <v>0.12755102040816327</v>
      </c>
    </row>
    <row r="137" spans="1:3" x14ac:dyDescent="0.25">
      <c r="A137">
        <v>2302045</v>
      </c>
      <c r="B137" t="s">
        <v>443</v>
      </c>
      <c r="C137">
        <v>0.12755102040816327</v>
      </c>
    </row>
    <row r="138" spans="1:3" x14ac:dyDescent="0.25">
      <c r="A138">
        <v>2302098</v>
      </c>
      <c r="B138" t="s">
        <v>24</v>
      </c>
      <c r="C138">
        <v>0.5</v>
      </c>
    </row>
    <row r="139" spans="1:3" x14ac:dyDescent="0.25">
      <c r="A139">
        <v>2302118</v>
      </c>
      <c r="B139" t="s">
        <v>228</v>
      </c>
      <c r="C139">
        <v>0.59375</v>
      </c>
    </row>
    <row r="140" spans="1:3" x14ac:dyDescent="0.25">
      <c r="A140">
        <v>2302119</v>
      </c>
      <c r="B140" t="s">
        <v>74</v>
      </c>
      <c r="C140">
        <v>3</v>
      </c>
    </row>
    <row r="141" spans="1:3" x14ac:dyDescent="0.25">
      <c r="A141">
        <v>2304002</v>
      </c>
      <c r="B141" t="s">
        <v>212</v>
      </c>
      <c r="C141">
        <v>1</v>
      </c>
    </row>
    <row r="142" spans="1:3" x14ac:dyDescent="0.25">
      <c r="A142">
        <v>2304003</v>
      </c>
      <c r="B142" t="s">
        <v>132</v>
      </c>
      <c r="C142">
        <v>0.10833333333333336</v>
      </c>
    </row>
    <row r="143" spans="1:3" x14ac:dyDescent="0.25">
      <c r="A143">
        <v>2304008</v>
      </c>
      <c r="B143" t="s">
        <v>733</v>
      </c>
      <c r="C143">
        <v>2</v>
      </c>
    </row>
    <row r="144" spans="1:3" x14ac:dyDescent="0.25">
      <c r="A144">
        <v>2304053</v>
      </c>
      <c r="B144" t="s">
        <v>213</v>
      </c>
      <c r="C144">
        <v>2</v>
      </c>
    </row>
    <row r="145" spans="1:3" x14ac:dyDescent="0.25">
      <c r="A145">
        <v>2304056</v>
      </c>
      <c r="B145" t="s">
        <v>417</v>
      </c>
      <c r="C145">
        <v>1.5</v>
      </c>
    </row>
    <row r="146" spans="1:3" x14ac:dyDescent="0.25">
      <c r="A146">
        <v>2505058</v>
      </c>
      <c r="B146" t="s">
        <v>142</v>
      </c>
      <c r="C146">
        <v>2</v>
      </c>
    </row>
    <row r="147" spans="1:3" x14ac:dyDescent="0.25">
      <c r="A147">
        <v>2505426</v>
      </c>
      <c r="B147" t="s">
        <v>476</v>
      </c>
      <c r="C147">
        <v>2</v>
      </c>
    </row>
    <row r="148" spans="1:3" x14ac:dyDescent="0.25">
      <c r="A148">
        <v>2508169</v>
      </c>
      <c r="B148" t="s">
        <v>339</v>
      </c>
      <c r="C148">
        <v>1</v>
      </c>
    </row>
    <row r="149" spans="1:3" x14ac:dyDescent="0.25">
      <c r="A149">
        <v>2508985</v>
      </c>
      <c r="B149" t="s">
        <v>340</v>
      </c>
      <c r="C149">
        <v>1</v>
      </c>
    </row>
    <row r="150" spans="1:3" x14ac:dyDescent="0.25">
      <c r="A150">
        <v>2508986</v>
      </c>
      <c r="B150" t="s">
        <v>709</v>
      </c>
      <c r="C150">
        <v>1</v>
      </c>
    </row>
    <row r="151" spans="1:3" x14ac:dyDescent="0.25">
      <c r="A151">
        <v>2508987</v>
      </c>
      <c r="B151" t="s">
        <v>341</v>
      </c>
      <c r="C151">
        <v>1</v>
      </c>
    </row>
    <row r="152" spans="1:3" x14ac:dyDescent="0.25">
      <c r="A152">
        <v>2508988</v>
      </c>
      <c r="B152" t="s">
        <v>469</v>
      </c>
      <c r="C152">
        <v>1</v>
      </c>
    </row>
    <row r="153" spans="1:3" x14ac:dyDescent="0.25">
      <c r="A153">
        <v>2508990</v>
      </c>
      <c r="B153" t="s">
        <v>484</v>
      </c>
      <c r="C153">
        <v>2</v>
      </c>
    </row>
    <row r="154" spans="1:3" x14ac:dyDescent="0.25">
      <c r="A154">
        <v>2508991</v>
      </c>
      <c r="B154" t="s">
        <v>485</v>
      </c>
      <c r="C154">
        <v>2</v>
      </c>
    </row>
    <row r="155" spans="1:3" x14ac:dyDescent="0.25">
      <c r="A155">
        <v>2508992</v>
      </c>
      <c r="B155" t="s">
        <v>486</v>
      </c>
      <c r="C155">
        <v>1.5</v>
      </c>
    </row>
    <row r="156" spans="1:3" x14ac:dyDescent="0.25">
      <c r="A156">
        <v>2508993</v>
      </c>
      <c r="B156" t="s">
        <v>487</v>
      </c>
      <c r="C156">
        <v>2</v>
      </c>
    </row>
    <row r="157" spans="1:3" x14ac:dyDescent="0.25">
      <c r="A157">
        <v>2508994</v>
      </c>
      <c r="B157" t="s">
        <v>488</v>
      </c>
      <c r="C157">
        <v>1</v>
      </c>
    </row>
    <row r="158" spans="1:3" x14ac:dyDescent="0.25">
      <c r="A158">
        <v>4212234</v>
      </c>
      <c r="B158" t="s">
        <v>54</v>
      </c>
      <c r="C158">
        <v>1</v>
      </c>
    </row>
    <row r="159" spans="1:3" x14ac:dyDescent="0.25">
      <c r="A159">
        <v>4212254</v>
      </c>
      <c r="B159" t="s">
        <v>308</v>
      </c>
      <c r="C159">
        <v>1</v>
      </c>
    </row>
    <row r="160" spans="1:3" x14ac:dyDescent="0.25">
      <c r="A160">
        <v>5309018</v>
      </c>
      <c r="B160" t="s">
        <v>112</v>
      </c>
      <c r="C160">
        <v>33</v>
      </c>
    </row>
    <row r="161" spans="1:3" x14ac:dyDescent="0.25">
      <c r="A161">
        <v>5314002</v>
      </c>
      <c r="B161" t="s">
        <v>342</v>
      </c>
      <c r="C161">
        <v>0.5</v>
      </c>
    </row>
    <row r="162" spans="1:3" x14ac:dyDescent="0.25">
      <c r="A162">
        <v>5316483</v>
      </c>
      <c r="B162" t="s">
        <v>97</v>
      </c>
      <c r="C162">
        <v>1</v>
      </c>
    </row>
    <row r="163" spans="1:3" x14ac:dyDescent="0.25">
      <c r="A163">
        <v>5316484</v>
      </c>
      <c r="B163" t="s">
        <v>96</v>
      </c>
      <c r="C163">
        <v>1</v>
      </c>
    </row>
    <row r="164" spans="1:3" x14ac:dyDescent="0.25">
      <c r="A164">
        <v>5316507</v>
      </c>
      <c r="B164" t="s">
        <v>55</v>
      </c>
      <c r="C164">
        <v>1</v>
      </c>
    </row>
    <row r="165" spans="1:3" x14ac:dyDescent="0.25">
      <c r="A165">
        <v>5316508</v>
      </c>
      <c r="B165" t="s">
        <v>470</v>
      </c>
      <c r="C165">
        <v>1</v>
      </c>
    </row>
    <row r="166" spans="1:3" x14ac:dyDescent="0.25">
      <c r="A166">
        <v>5316509</v>
      </c>
      <c r="B166" t="s">
        <v>56</v>
      </c>
      <c r="C166">
        <v>1</v>
      </c>
    </row>
    <row r="167" spans="1:3" x14ac:dyDescent="0.25">
      <c r="A167" t="s">
        <v>348</v>
      </c>
      <c r="B167" t="s">
        <v>363</v>
      </c>
      <c r="C167">
        <v>1.7000000000000001E-2</v>
      </c>
    </row>
    <row r="168" spans="1:3" x14ac:dyDescent="0.25">
      <c r="A168" t="s">
        <v>296</v>
      </c>
      <c r="B168" t="s">
        <v>297</v>
      </c>
      <c r="C168">
        <v>3</v>
      </c>
    </row>
    <row r="169" spans="1:3" x14ac:dyDescent="0.25">
      <c r="A169" t="s">
        <v>288</v>
      </c>
      <c r="B169" t="s">
        <v>289</v>
      </c>
      <c r="C169">
        <v>1</v>
      </c>
    </row>
    <row r="170" spans="1:3" x14ac:dyDescent="0.25">
      <c r="A170" t="s">
        <v>286</v>
      </c>
      <c r="B170" t="s">
        <v>287</v>
      </c>
      <c r="C170">
        <v>1</v>
      </c>
    </row>
    <row r="171" spans="1:3" x14ac:dyDescent="0.25">
      <c r="A171" t="s">
        <v>353</v>
      </c>
      <c r="B171" t="s">
        <v>347</v>
      </c>
      <c r="C171">
        <v>16.75</v>
      </c>
    </row>
    <row r="172" spans="1:3" x14ac:dyDescent="0.25">
      <c r="A172">
        <v>302044</v>
      </c>
      <c r="B172" t="s">
        <v>247</v>
      </c>
      <c r="C172">
        <v>35.174999999999997</v>
      </c>
    </row>
    <row r="173" spans="1:3" x14ac:dyDescent="0.25">
      <c r="A173">
        <v>302054</v>
      </c>
      <c r="B173" t="s">
        <v>734</v>
      </c>
      <c r="C173" t="s">
        <v>355</v>
      </c>
    </row>
    <row r="174" spans="1:3" x14ac:dyDescent="0.25">
      <c r="A174">
        <v>304014</v>
      </c>
      <c r="B174" t="s">
        <v>23</v>
      </c>
      <c r="C174" t="s">
        <v>355</v>
      </c>
    </row>
    <row r="175" spans="1:3" x14ac:dyDescent="0.25">
      <c r="A175">
        <v>307102</v>
      </c>
      <c r="B175" t="s">
        <v>735</v>
      </c>
      <c r="C175" t="s">
        <v>355</v>
      </c>
    </row>
    <row r="176" spans="1:3" x14ac:dyDescent="0.25">
      <c r="A176">
        <v>307256</v>
      </c>
      <c r="B176" t="s">
        <v>127</v>
      </c>
      <c r="C176" t="s">
        <v>355</v>
      </c>
    </row>
    <row r="177" spans="1:3" x14ac:dyDescent="0.25">
      <c r="A177">
        <v>404184</v>
      </c>
      <c r="B177" t="s">
        <v>66</v>
      </c>
      <c r="C177" t="s">
        <v>355</v>
      </c>
    </row>
    <row r="178" spans="1:3" x14ac:dyDescent="0.25">
      <c r="A178">
        <v>404252</v>
      </c>
      <c r="B178" t="s">
        <v>181</v>
      </c>
      <c r="C178" t="s">
        <v>355</v>
      </c>
    </row>
    <row r="179" spans="1:3" x14ac:dyDescent="0.25">
      <c r="A179">
        <v>407010</v>
      </c>
      <c r="B179" t="s">
        <v>164</v>
      </c>
      <c r="C179" t="s">
        <v>355</v>
      </c>
    </row>
    <row r="180" spans="1:3" x14ac:dyDescent="0.25">
      <c r="A180">
        <v>407117</v>
      </c>
      <c r="B180" t="s">
        <v>32</v>
      </c>
      <c r="C180" t="s">
        <v>355</v>
      </c>
    </row>
    <row r="181" spans="1:3" x14ac:dyDescent="0.25">
      <c r="A181">
        <v>408071</v>
      </c>
      <c r="B181" t="s">
        <v>111</v>
      </c>
      <c r="C181">
        <v>0.20317500000000016</v>
      </c>
    </row>
    <row r="182" spans="1:3" x14ac:dyDescent="0.25">
      <c r="A182">
        <v>410078</v>
      </c>
      <c r="B182" t="s">
        <v>252</v>
      </c>
      <c r="C182">
        <v>8.4</v>
      </c>
    </row>
    <row r="183" spans="1:3" x14ac:dyDescent="0.25">
      <c r="A183">
        <v>412592</v>
      </c>
      <c r="B183" t="s">
        <v>237</v>
      </c>
      <c r="C183" t="s">
        <v>355</v>
      </c>
    </row>
    <row r="184" spans="1:3" x14ac:dyDescent="0.25">
      <c r="A184">
        <v>601047</v>
      </c>
      <c r="B184" t="s">
        <v>129</v>
      </c>
      <c r="C184">
        <v>0</v>
      </c>
    </row>
    <row r="185" spans="1:3" x14ac:dyDescent="0.25">
      <c r="A185">
        <v>609007</v>
      </c>
      <c r="B185" t="s">
        <v>210</v>
      </c>
      <c r="C185" t="s">
        <v>355</v>
      </c>
    </row>
    <row r="186" spans="1:3" x14ac:dyDescent="0.25">
      <c r="A186">
        <v>617007</v>
      </c>
      <c r="B186" t="s">
        <v>188</v>
      </c>
      <c r="C186" t="s">
        <v>355</v>
      </c>
    </row>
    <row r="187" spans="1:3" x14ac:dyDescent="0.25">
      <c r="A187">
        <v>701183</v>
      </c>
      <c r="B187" t="s">
        <v>136</v>
      </c>
      <c r="C187" t="s">
        <v>355</v>
      </c>
    </row>
    <row r="188" spans="1:3" x14ac:dyDescent="0.25">
      <c r="A188">
        <v>704079</v>
      </c>
      <c r="B188" t="s">
        <v>209</v>
      </c>
      <c r="C188" t="s">
        <v>355</v>
      </c>
    </row>
    <row r="189" spans="1:3" x14ac:dyDescent="0.25">
      <c r="A189">
        <v>704095</v>
      </c>
      <c r="B189" t="s">
        <v>187</v>
      </c>
      <c r="C189" t="s">
        <v>355</v>
      </c>
    </row>
    <row r="190" spans="1:3" x14ac:dyDescent="0.25">
      <c r="A190">
        <v>1405026</v>
      </c>
      <c r="B190" t="s">
        <v>91</v>
      </c>
      <c r="C190" t="s">
        <v>355</v>
      </c>
    </row>
    <row r="191" spans="1:3" x14ac:dyDescent="0.25">
      <c r="A191">
        <v>1801020</v>
      </c>
      <c r="B191" t="s">
        <v>53</v>
      </c>
      <c r="C191" t="s">
        <v>355</v>
      </c>
    </row>
    <row r="192" spans="1:3" x14ac:dyDescent="0.25">
      <c r="A192">
        <v>1801231</v>
      </c>
      <c r="B192" t="s">
        <v>193</v>
      </c>
      <c r="C192" t="s">
        <v>355</v>
      </c>
    </row>
    <row r="193" spans="1:3" x14ac:dyDescent="0.25">
      <c r="A193">
        <v>1801232</v>
      </c>
      <c r="B193" t="s">
        <v>191</v>
      </c>
      <c r="C193" t="s">
        <v>355</v>
      </c>
    </row>
    <row r="194" spans="1:3" x14ac:dyDescent="0.25">
      <c r="A194">
        <v>1801233</v>
      </c>
      <c r="B194" t="s">
        <v>190</v>
      </c>
      <c r="C194" t="s">
        <v>355</v>
      </c>
    </row>
    <row r="195" spans="1:3" x14ac:dyDescent="0.25">
      <c r="A195">
        <v>1802177</v>
      </c>
      <c r="B195" t="s">
        <v>270</v>
      </c>
      <c r="C195">
        <v>0.52500000000000002</v>
      </c>
    </row>
    <row r="196" spans="1:3" x14ac:dyDescent="0.25">
      <c r="A196">
        <v>1802515</v>
      </c>
      <c r="B196" t="s">
        <v>162</v>
      </c>
      <c r="C196" t="s">
        <v>355</v>
      </c>
    </row>
    <row r="197" spans="1:3" x14ac:dyDescent="0.25">
      <c r="A197">
        <v>1808148</v>
      </c>
      <c r="B197" t="s">
        <v>276</v>
      </c>
      <c r="C197">
        <v>0.52500000000000002</v>
      </c>
    </row>
    <row r="198" spans="1:3" x14ac:dyDescent="0.25">
      <c r="A198">
        <v>1901229</v>
      </c>
      <c r="B198" t="s">
        <v>125</v>
      </c>
      <c r="C198" t="s">
        <v>355</v>
      </c>
    </row>
    <row r="199" spans="1:3" x14ac:dyDescent="0.25">
      <c r="A199" t="s">
        <v>736</v>
      </c>
      <c r="B199" t="s">
        <v>207</v>
      </c>
      <c r="C199" t="s">
        <v>355</v>
      </c>
    </row>
    <row r="200" spans="1:3" x14ac:dyDescent="0.25">
      <c r="A200" t="s">
        <v>183</v>
      </c>
      <c r="B200" t="s">
        <v>184</v>
      </c>
      <c r="C200" t="s">
        <v>355</v>
      </c>
    </row>
    <row r="201" spans="1:3" x14ac:dyDescent="0.25">
      <c r="C201" t="s">
        <v>355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339AB-D145-462D-A8E5-FFFB10A92922}">
  <dimension ref="A1:Q270"/>
  <sheetViews>
    <sheetView tabSelected="1" workbookViewId="0">
      <selection activeCell="L35" sqref="L35"/>
    </sheetView>
  </sheetViews>
  <sheetFormatPr baseColWidth="10" defaultRowHeight="15" x14ac:dyDescent="0.25"/>
  <cols>
    <col min="1" max="1" width="12.7109375" bestFit="1" customWidth="1"/>
    <col min="2" max="2" width="20.7109375" bestFit="1" customWidth="1"/>
    <col min="3" max="3" width="6.140625" bestFit="1" customWidth="1"/>
    <col min="4" max="4" width="22.28515625" bestFit="1" customWidth="1"/>
    <col min="5" max="5" width="12.85546875" style="48" bestFit="1" customWidth="1"/>
    <col min="6" max="6" width="16.85546875" bestFit="1" customWidth="1"/>
    <col min="7" max="7" width="11.42578125" bestFit="1" customWidth="1"/>
    <col min="8" max="8" width="9.42578125" bestFit="1" customWidth="1"/>
    <col min="9" max="9" width="9" bestFit="1" customWidth="1"/>
    <col min="10" max="10" width="15" bestFit="1" customWidth="1"/>
    <col min="11" max="11" width="8.85546875" bestFit="1" customWidth="1"/>
    <col min="13" max="13" width="11.42578125" style="1"/>
    <col min="15" max="15" width="16" customWidth="1"/>
    <col min="16" max="16" width="23.7109375" customWidth="1"/>
    <col min="17" max="17" width="25.7109375" customWidth="1"/>
  </cols>
  <sheetData>
    <row r="1" spans="1:17" x14ac:dyDescent="0.25">
      <c r="A1" t="s">
        <v>1720</v>
      </c>
      <c r="B1" t="s">
        <v>1721</v>
      </c>
      <c r="C1" t="s">
        <v>12</v>
      </c>
      <c r="D1" t="s">
        <v>1717</v>
      </c>
      <c r="E1" t="s">
        <v>1591</v>
      </c>
      <c r="F1" s="48" t="s">
        <v>1718</v>
      </c>
      <c r="G1" t="s">
        <v>1719</v>
      </c>
      <c r="H1" t="s">
        <v>822</v>
      </c>
      <c r="I1" t="s">
        <v>825</v>
      </c>
      <c r="J1" t="s">
        <v>2004</v>
      </c>
      <c r="M1" s="1" t="s">
        <v>1716</v>
      </c>
      <c r="N1" t="s">
        <v>779</v>
      </c>
      <c r="O1" t="s">
        <v>1731</v>
      </c>
      <c r="P1" t="s">
        <v>1732</v>
      </c>
      <c r="Q1" t="s">
        <v>1733</v>
      </c>
    </row>
    <row r="2" spans="1:17" x14ac:dyDescent="0.25">
      <c r="A2" s="1">
        <v>46161</v>
      </c>
      <c r="B2" s="1">
        <v>46161</v>
      </c>
      <c r="C2">
        <v>44270</v>
      </c>
      <c r="D2">
        <v>2282600001</v>
      </c>
      <c r="E2">
        <v>1</v>
      </c>
      <c r="F2" s="48">
        <v>19794740</v>
      </c>
      <c r="G2" s="81" t="s">
        <v>114</v>
      </c>
      <c r="H2" s="81" t="s">
        <v>832</v>
      </c>
      <c r="I2" s="81" t="s">
        <v>833</v>
      </c>
      <c r="J2" s="81" t="e">
        <f>+GD_MODULOS[[#This Row],[CANTIDAD]]+J1</f>
        <v>#VALUE!</v>
      </c>
      <c r="M2" s="1">
        <v>46147</v>
      </c>
      <c r="N2" t="s">
        <v>1631</v>
      </c>
      <c r="O2">
        <v>2</v>
      </c>
      <c r="P2" t="s">
        <v>1734</v>
      </c>
      <c r="Q2">
        <v>2</v>
      </c>
    </row>
    <row r="3" spans="1:17" x14ac:dyDescent="0.25">
      <c r="A3" s="1">
        <v>46161</v>
      </c>
      <c r="B3" s="1">
        <v>46161</v>
      </c>
      <c r="C3">
        <v>44271</v>
      </c>
      <c r="D3">
        <v>2302600002</v>
      </c>
      <c r="E3">
        <v>1</v>
      </c>
      <c r="F3" s="48">
        <v>19794740</v>
      </c>
      <c r="G3" s="81" t="s">
        <v>150</v>
      </c>
      <c r="H3" s="81" t="s">
        <v>832</v>
      </c>
      <c r="I3" s="81" t="s">
        <v>834</v>
      </c>
      <c r="J3" s="81" t="e">
        <f>+GD_MODULOS[[#This Row],[CANTIDAD]]+J2</f>
        <v>#VALUE!</v>
      </c>
      <c r="M3" s="1">
        <v>46148</v>
      </c>
      <c r="N3" t="s">
        <v>1631</v>
      </c>
      <c r="O3">
        <v>2</v>
      </c>
      <c r="P3" t="s">
        <v>1735</v>
      </c>
      <c r="Q3">
        <v>4</v>
      </c>
    </row>
    <row r="4" spans="1:17" x14ac:dyDescent="0.25">
      <c r="A4" s="1">
        <v>46161</v>
      </c>
      <c r="B4" s="1">
        <v>46161</v>
      </c>
      <c r="C4">
        <v>44272</v>
      </c>
      <c r="D4">
        <v>2302600010</v>
      </c>
      <c r="E4">
        <v>1</v>
      </c>
      <c r="F4" s="48">
        <v>19794740</v>
      </c>
      <c r="G4" s="81" t="s">
        <v>837</v>
      </c>
      <c r="H4" s="81" t="s">
        <v>832</v>
      </c>
      <c r="I4" s="81" t="s">
        <v>834</v>
      </c>
      <c r="J4" s="81" t="e">
        <f>+GD_MODULOS[[#This Row],[CANTIDAD]]+J3</f>
        <v>#VALUE!</v>
      </c>
      <c r="M4" s="1">
        <v>46149</v>
      </c>
      <c r="N4" t="s">
        <v>1631</v>
      </c>
      <c r="O4">
        <v>2</v>
      </c>
      <c r="P4" t="s">
        <v>1736</v>
      </c>
      <c r="Q4">
        <v>6</v>
      </c>
    </row>
    <row r="5" spans="1:17" x14ac:dyDescent="0.25">
      <c r="A5" s="1">
        <v>46162</v>
      </c>
      <c r="B5" s="1">
        <v>46162</v>
      </c>
      <c r="C5">
        <v>44278</v>
      </c>
      <c r="D5">
        <v>2282600009</v>
      </c>
      <c r="E5">
        <v>1</v>
      </c>
      <c r="F5" s="48">
        <v>19802990</v>
      </c>
      <c r="G5" s="81" t="s">
        <v>176</v>
      </c>
      <c r="H5" s="81" t="s">
        <v>832</v>
      </c>
      <c r="I5" s="81" t="s">
        <v>833</v>
      </c>
      <c r="J5" s="81" t="e">
        <f>+GD_MODULOS[[#This Row],[CANTIDAD]]+J4</f>
        <v>#VALUE!</v>
      </c>
      <c r="M5" s="1">
        <v>46150</v>
      </c>
      <c r="N5" t="s">
        <v>1631</v>
      </c>
      <c r="O5">
        <v>2</v>
      </c>
      <c r="P5" t="s">
        <v>1737</v>
      </c>
      <c r="Q5">
        <v>8</v>
      </c>
    </row>
    <row r="6" spans="1:17" x14ac:dyDescent="0.25">
      <c r="A6" s="1">
        <v>46162</v>
      </c>
      <c r="B6" s="1">
        <v>46162</v>
      </c>
      <c r="C6">
        <v>44279</v>
      </c>
      <c r="D6">
        <v>2282600017</v>
      </c>
      <c r="E6">
        <v>1</v>
      </c>
      <c r="F6" s="48">
        <v>19802990</v>
      </c>
      <c r="G6" s="81" t="s">
        <v>842</v>
      </c>
      <c r="H6" s="81" t="s">
        <v>832</v>
      </c>
      <c r="I6" s="81" t="s">
        <v>833</v>
      </c>
      <c r="J6" s="81" t="e">
        <f>+GD_MODULOS[[#This Row],[CANTIDAD]]+J5</f>
        <v>#VALUE!</v>
      </c>
      <c r="M6" s="1">
        <v>46151</v>
      </c>
      <c r="N6" t="s">
        <v>1631</v>
      </c>
      <c r="O6">
        <v>2</v>
      </c>
      <c r="P6" t="s">
        <v>1738</v>
      </c>
      <c r="Q6">
        <v>10</v>
      </c>
    </row>
    <row r="7" spans="1:17" x14ac:dyDescent="0.25">
      <c r="A7" s="1">
        <v>46162</v>
      </c>
      <c r="B7" s="1">
        <v>46162</v>
      </c>
      <c r="C7">
        <v>44280</v>
      </c>
      <c r="D7">
        <v>2302600018</v>
      </c>
      <c r="E7">
        <v>1</v>
      </c>
      <c r="F7" s="48">
        <v>19802990</v>
      </c>
      <c r="G7" s="81" t="s">
        <v>843</v>
      </c>
      <c r="H7" s="81" t="s">
        <v>832</v>
      </c>
      <c r="I7" s="81" t="s">
        <v>834</v>
      </c>
      <c r="J7" s="81" t="e">
        <f>+GD_MODULOS[[#This Row],[CANTIDAD]]+J6</f>
        <v>#VALUE!</v>
      </c>
      <c r="M7" s="1">
        <v>46154</v>
      </c>
      <c r="N7" t="s">
        <v>1631</v>
      </c>
      <c r="O7">
        <v>2</v>
      </c>
      <c r="P7" t="s">
        <v>1739</v>
      </c>
      <c r="Q7">
        <v>12</v>
      </c>
    </row>
    <row r="8" spans="1:17" x14ac:dyDescent="0.25">
      <c r="A8" s="1">
        <v>46169</v>
      </c>
      <c r="B8" s="1">
        <v>46169</v>
      </c>
      <c r="C8">
        <v>44293</v>
      </c>
      <c r="D8">
        <v>2302600003</v>
      </c>
      <c r="E8">
        <v>1</v>
      </c>
      <c r="F8" s="48">
        <v>19860834</v>
      </c>
      <c r="G8" s="81" t="s">
        <v>75</v>
      </c>
      <c r="H8" s="81" t="s">
        <v>832</v>
      </c>
      <c r="I8" s="81" t="s">
        <v>834</v>
      </c>
      <c r="J8" s="81" t="e">
        <f>+GD_MODULOS[[#This Row],[CANTIDAD]]+J7</f>
        <v>#VALUE!</v>
      </c>
      <c r="M8" s="1">
        <v>46155</v>
      </c>
      <c r="N8" t="s">
        <v>1631</v>
      </c>
      <c r="O8">
        <v>2</v>
      </c>
      <c r="P8" t="s">
        <v>1740</v>
      </c>
      <c r="Q8">
        <v>14</v>
      </c>
    </row>
    <row r="9" spans="1:17" x14ac:dyDescent="0.25">
      <c r="A9" s="1">
        <v>46169</v>
      </c>
      <c r="B9" s="1">
        <v>46169</v>
      </c>
      <c r="C9">
        <v>44294</v>
      </c>
      <c r="D9">
        <v>2282600025</v>
      </c>
      <c r="E9">
        <v>1</v>
      </c>
      <c r="F9" s="48">
        <v>19860834</v>
      </c>
      <c r="G9" s="81" t="s">
        <v>849</v>
      </c>
      <c r="H9" s="81" t="s">
        <v>832</v>
      </c>
      <c r="I9" s="81" t="s">
        <v>833</v>
      </c>
      <c r="J9" s="81" t="e">
        <f>+GD_MODULOS[[#This Row],[CANTIDAD]]+J8</f>
        <v>#VALUE!</v>
      </c>
      <c r="M9" s="1">
        <v>46156</v>
      </c>
      <c r="N9" t="s">
        <v>1631</v>
      </c>
      <c r="O9">
        <v>2</v>
      </c>
      <c r="P9" t="s">
        <v>1741</v>
      </c>
      <c r="Q9">
        <v>16</v>
      </c>
    </row>
    <row r="10" spans="1:17" x14ac:dyDescent="0.25">
      <c r="A10" s="1">
        <v>46169</v>
      </c>
      <c r="B10" s="1">
        <v>46169</v>
      </c>
      <c r="C10">
        <v>44295</v>
      </c>
      <c r="D10">
        <v>2302600026</v>
      </c>
      <c r="E10">
        <v>1</v>
      </c>
      <c r="F10" s="48">
        <v>19860834</v>
      </c>
      <c r="G10" s="81" t="s">
        <v>850</v>
      </c>
      <c r="H10" s="81" t="s">
        <v>832</v>
      </c>
      <c r="I10" s="81" t="s">
        <v>834</v>
      </c>
      <c r="J10" s="81" t="e">
        <f>+GD_MODULOS[[#This Row],[CANTIDAD]]+J9</f>
        <v>#VALUE!</v>
      </c>
      <c r="M10" s="1">
        <v>46157</v>
      </c>
      <c r="N10" t="s">
        <v>1631</v>
      </c>
      <c r="O10">
        <v>2</v>
      </c>
      <c r="P10" t="s">
        <v>1742</v>
      </c>
      <c r="Q10">
        <v>18</v>
      </c>
    </row>
    <row r="11" spans="1:17" x14ac:dyDescent="0.25">
      <c r="A11" s="1">
        <v>46174</v>
      </c>
      <c r="B11" s="1">
        <v>46174</v>
      </c>
      <c r="C11">
        <v>44339</v>
      </c>
      <c r="D11">
        <v>2302600011</v>
      </c>
      <c r="E11">
        <v>1</v>
      </c>
      <c r="F11" s="48">
        <v>19902252</v>
      </c>
      <c r="G11" s="81" t="s">
        <v>224</v>
      </c>
      <c r="H11" s="81" t="s">
        <v>832</v>
      </c>
      <c r="I11" s="81" t="s">
        <v>834</v>
      </c>
      <c r="J11" s="81" t="e">
        <f>+GD_MODULOS[[#This Row],[CANTIDAD]]+J10</f>
        <v>#VALUE!</v>
      </c>
      <c r="M11" s="1">
        <v>46158</v>
      </c>
      <c r="N11" t="s">
        <v>1631</v>
      </c>
      <c r="O11">
        <v>2</v>
      </c>
      <c r="P11" t="s">
        <v>1743</v>
      </c>
      <c r="Q11">
        <v>20</v>
      </c>
    </row>
    <row r="12" spans="1:17" x14ac:dyDescent="0.25">
      <c r="A12" s="1">
        <v>46176</v>
      </c>
      <c r="B12" s="1">
        <v>46176</v>
      </c>
      <c r="C12">
        <v>44343</v>
      </c>
      <c r="D12">
        <v>2302600019</v>
      </c>
      <c r="E12">
        <v>1</v>
      </c>
      <c r="F12" s="48">
        <v>19910546</v>
      </c>
      <c r="G12" s="81" t="s">
        <v>844</v>
      </c>
      <c r="H12" s="81" t="s">
        <v>832</v>
      </c>
      <c r="I12" s="81" t="s">
        <v>834</v>
      </c>
      <c r="J12" s="81" t="e">
        <f>+GD_MODULOS[[#This Row],[CANTIDAD]]+J11</f>
        <v>#VALUE!</v>
      </c>
      <c r="M12" s="1">
        <v>46161</v>
      </c>
      <c r="N12" t="s">
        <v>1631</v>
      </c>
      <c r="O12">
        <v>2</v>
      </c>
      <c r="P12" t="s">
        <v>1744</v>
      </c>
      <c r="Q12">
        <v>22</v>
      </c>
    </row>
    <row r="13" spans="1:17" x14ac:dyDescent="0.25">
      <c r="A13" s="1">
        <v>46176</v>
      </c>
      <c r="B13" s="1">
        <v>46176</v>
      </c>
      <c r="C13">
        <v>44344</v>
      </c>
      <c r="D13">
        <v>2302600027</v>
      </c>
      <c r="E13">
        <v>1</v>
      </c>
      <c r="F13" s="48">
        <v>19910546</v>
      </c>
      <c r="G13" s="81" t="s">
        <v>851</v>
      </c>
      <c r="H13" s="81" t="s">
        <v>832</v>
      </c>
      <c r="I13" s="81" t="s">
        <v>834</v>
      </c>
      <c r="J13" s="81" t="e">
        <f>+GD_MODULOS[[#This Row],[CANTIDAD]]+J12</f>
        <v>#VALUE!</v>
      </c>
      <c r="M13" s="1">
        <v>46162</v>
      </c>
      <c r="N13" t="s">
        <v>1631</v>
      </c>
      <c r="O13">
        <v>2</v>
      </c>
      <c r="P13" t="s">
        <v>1745</v>
      </c>
      <c r="Q13">
        <v>24</v>
      </c>
    </row>
    <row r="14" spans="1:17" x14ac:dyDescent="0.25">
      <c r="A14" s="1">
        <v>46176</v>
      </c>
      <c r="B14" s="1">
        <v>46176</v>
      </c>
      <c r="C14">
        <v>44345</v>
      </c>
      <c r="D14">
        <v>2282600020</v>
      </c>
      <c r="E14">
        <v>1</v>
      </c>
      <c r="F14" s="48">
        <v>19910546</v>
      </c>
      <c r="G14" s="81" t="s">
        <v>845</v>
      </c>
      <c r="H14" s="81" t="s">
        <v>832</v>
      </c>
      <c r="I14" s="81" t="s">
        <v>833</v>
      </c>
      <c r="J14" s="81" t="e">
        <f>+GD_MODULOS[[#This Row],[CANTIDAD]]+J13</f>
        <v>#VALUE!</v>
      </c>
      <c r="M14" s="1">
        <v>46164</v>
      </c>
      <c r="N14" t="s">
        <v>1631</v>
      </c>
      <c r="O14">
        <v>2</v>
      </c>
      <c r="P14" t="s">
        <v>1746</v>
      </c>
      <c r="Q14">
        <v>26</v>
      </c>
    </row>
    <row r="15" spans="1:17" x14ac:dyDescent="0.25">
      <c r="A15" s="1">
        <v>46177</v>
      </c>
      <c r="B15" s="1">
        <v>46177</v>
      </c>
      <c r="C15">
        <v>44352</v>
      </c>
      <c r="D15">
        <v>2302600006</v>
      </c>
      <c r="E15">
        <v>1</v>
      </c>
      <c r="F15" s="48">
        <v>19927143</v>
      </c>
      <c r="G15" s="81" t="s">
        <v>200</v>
      </c>
      <c r="H15" s="81" t="s">
        <v>832</v>
      </c>
      <c r="I15" s="81" t="s">
        <v>834</v>
      </c>
      <c r="J15" s="81" t="e">
        <f>+GD_MODULOS[[#This Row],[CANTIDAD]]+J14</f>
        <v>#VALUE!</v>
      </c>
      <c r="M15" s="1">
        <v>46165</v>
      </c>
      <c r="N15" t="s">
        <v>1631</v>
      </c>
      <c r="O15">
        <v>1</v>
      </c>
      <c r="P15" t="s">
        <v>1747</v>
      </c>
      <c r="Q15">
        <v>27</v>
      </c>
    </row>
    <row r="16" spans="1:17" x14ac:dyDescent="0.25">
      <c r="A16" s="1">
        <v>46177</v>
      </c>
      <c r="B16" s="1">
        <v>46177</v>
      </c>
      <c r="C16">
        <v>44353</v>
      </c>
      <c r="D16">
        <v>2282600005</v>
      </c>
      <c r="E16">
        <v>1</v>
      </c>
      <c r="F16" s="48">
        <v>19927143</v>
      </c>
      <c r="G16" s="81" t="s">
        <v>198</v>
      </c>
      <c r="H16" s="81" t="s">
        <v>832</v>
      </c>
      <c r="I16" s="81" t="s">
        <v>833</v>
      </c>
      <c r="J16" s="81" t="e">
        <f>+GD_MODULOS[[#This Row],[CANTIDAD]]+J15</f>
        <v>#VALUE!</v>
      </c>
      <c r="M16" s="1">
        <v>46168</v>
      </c>
      <c r="N16" t="s">
        <v>1631</v>
      </c>
      <c r="O16">
        <v>1</v>
      </c>
      <c r="P16" t="s">
        <v>1748</v>
      </c>
      <c r="Q16">
        <v>28</v>
      </c>
    </row>
    <row r="17" spans="1:17" x14ac:dyDescent="0.25">
      <c r="A17" s="1">
        <v>46177</v>
      </c>
      <c r="B17" s="1">
        <v>46177</v>
      </c>
      <c r="C17">
        <v>44354</v>
      </c>
      <c r="D17">
        <v>2282600028</v>
      </c>
      <c r="E17">
        <v>1</v>
      </c>
      <c r="F17" s="48">
        <v>19927143</v>
      </c>
      <c r="G17" s="81" t="s">
        <v>852</v>
      </c>
      <c r="H17" s="81" t="s">
        <v>832</v>
      </c>
      <c r="I17" s="81" t="s">
        <v>833</v>
      </c>
      <c r="J17" s="81" t="e">
        <f>+GD_MODULOS[[#This Row],[CANTIDAD]]+J16</f>
        <v>#VALUE!</v>
      </c>
      <c r="M17" s="1">
        <v>46169</v>
      </c>
      <c r="N17" t="s">
        <v>1631</v>
      </c>
      <c r="O17">
        <v>1</v>
      </c>
      <c r="P17" t="s">
        <v>1749</v>
      </c>
      <c r="Q17">
        <v>29</v>
      </c>
    </row>
    <row r="18" spans="1:17" x14ac:dyDescent="0.25">
      <c r="A18" s="1">
        <v>46177</v>
      </c>
      <c r="B18" s="1">
        <v>46177</v>
      </c>
      <c r="C18">
        <v>44357</v>
      </c>
      <c r="D18">
        <v>2302600014</v>
      </c>
      <c r="E18">
        <v>1</v>
      </c>
      <c r="F18" s="48">
        <v>19927143</v>
      </c>
      <c r="G18" s="81" t="s">
        <v>839</v>
      </c>
      <c r="H18" s="81" t="s">
        <v>832</v>
      </c>
      <c r="I18" s="81" t="s">
        <v>834</v>
      </c>
      <c r="J18" s="81" t="e">
        <f>+GD_MODULOS[[#This Row],[CANTIDAD]]+J17</f>
        <v>#VALUE!</v>
      </c>
      <c r="M18" s="1">
        <v>46170</v>
      </c>
      <c r="N18" t="s">
        <v>1631</v>
      </c>
      <c r="O18">
        <v>1</v>
      </c>
      <c r="P18" t="s">
        <v>1750</v>
      </c>
      <c r="Q18">
        <v>30</v>
      </c>
    </row>
    <row r="19" spans="1:17" x14ac:dyDescent="0.25">
      <c r="A19" s="1">
        <v>46177</v>
      </c>
      <c r="B19" s="1">
        <v>46177</v>
      </c>
      <c r="C19">
        <v>44358</v>
      </c>
      <c r="D19">
        <v>2282600013</v>
      </c>
      <c r="E19">
        <v>1</v>
      </c>
      <c r="F19" s="48">
        <v>19927143</v>
      </c>
      <c r="G19" s="81" t="s">
        <v>838</v>
      </c>
      <c r="H19" s="81" t="s">
        <v>832</v>
      </c>
      <c r="I19" s="81" t="s">
        <v>833</v>
      </c>
      <c r="J19" s="81" t="e">
        <f>+GD_MODULOS[[#This Row],[CANTIDAD]]+J18</f>
        <v>#VALUE!</v>
      </c>
      <c r="M19" s="1">
        <v>46171</v>
      </c>
      <c r="N19" t="s">
        <v>1631</v>
      </c>
      <c r="O19">
        <v>1</v>
      </c>
      <c r="P19" t="s">
        <v>1751</v>
      </c>
      <c r="Q19">
        <v>31</v>
      </c>
    </row>
    <row r="20" spans="1:17" x14ac:dyDescent="0.25">
      <c r="A20" s="1">
        <v>46177</v>
      </c>
      <c r="B20" s="1">
        <v>46178</v>
      </c>
      <c r="C20">
        <v>44361</v>
      </c>
      <c r="D20">
        <v>2282600021</v>
      </c>
      <c r="E20">
        <v>1</v>
      </c>
      <c r="F20" s="48">
        <v>19927143</v>
      </c>
      <c r="G20" s="81" t="s">
        <v>846</v>
      </c>
      <c r="H20" s="81" t="s">
        <v>832</v>
      </c>
      <c r="I20" s="81" t="s">
        <v>833</v>
      </c>
      <c r="J20" s="81" t="e">
        <f>+GD_MODULOS[[#This Row],[CANTIDAD]]+J19</f>
        <v>#VALUE!</v>
      </c>
      <c r="M20" s="1">
        <v>46172</v>
      </c>
      <c r="N20" t="s">
        <v>1631</v>
      </c>
      <c r="O20">
        <v>1</v>
      </c>
      <c r="P20" t="s">
        <v>1752</v>
      </c>
      <c r="Q20">
        <v>32</v>
      </c>
    </row>
    <row r="21" spans="1:17" x14ac:dyDescent="0.25">
      <c r="A21" s="1">
        <v>46181</v>
      </c>
      <c r="B21" s="1">
        <v>46181</v>
      </c>
      <c r="C21">
        <v>44370</v>
      </c>
      <c r="D21">
        <v>2282600008</v>
      </c>
      <c r="E21">
        <v>1</v>
      </c>
      <c r="F21" s="48">
        <v>19960380</v>
      </c>
      <c r="G21" s="81" t="s">
        <v>836</v>
      </c>
      <c r="H21" s="81" t="s">
        <v>832</v>
      </c>
      <c r="I21" s="81" t="s">
        <v>833</v>
      </c>
      <c r="J21" s="81" t="e">
        <f>+GD_MODULOS[[#This Row],[CANTIDAD]]+J20</f>
        <v>#VALUE!</v>
      </c>
      <c r="M21" s="1">
        <v>46175</v>
      </c>
      <c r="N21" t="s">
        <v>1632</v>
      </c>
      <c r="O21">
        <v>2</v>
      </c>
      <c r="P21" t="s">
        <v>1753</v>
      </c>
      <c r="Q21">
        <v>34</v>
      </c>
    </row>
    <row r="22" spans="1:17" x14ac:dyDescent="0.25">
      <c r="A22" s="1">
        <v>46181</v>
      </c>
      <c r="B22" s="1">
        <v>46181</v>
      </c>
      <c r="C22">
        <v>44371</v>
      </c>
      <c r="D22">
        <v>2302600015</v>
      </c>
      <c r="E22">
        <v>1</v>
      </c>
      <c r="F22" s="48">
        <v>19960380</v>
      </c>
      <c r="G22" s="81" t="s">
        <v>840</v>
      </c>
      <c r="H22" s="81" t="s">
        <v>832</v>
      </c>
      <c r="I22" s="81" t="s">
        <v>834</v>
      </c>
      <c r="J22" s="81" t="e">
        <f>+GD_MODULOS[[#This Row],[CANTIDAD]]+J21</f>
        <v>#VALUE!</v>
      </c>
      <c r="M22" s="1">
        <v>46176</v>
      </c>
      <c r="N22" t="s">
        <v>1632</v>
      </c>
      <c r="O22">
        <v>2</v>
      </c>
      <c r="P22" t="s">
        <v>1754</v>
      </c>
      <c r="Q22">
        <v>36</v>
      </c>
    </row>
    <row r="23" spans="1:17" x14ac:dyDescent="0.25">
      <c r="A23" s="1">
        <v>46181</v>
      </c>
      <c r="B23" s="1">
        <v>46181</v>
      </c>
      <c r="C23">
        <v>44372</v>
      </c>
      <c r="D23">
        <v>2302600007</v>
      </c>
      <c r="E23">
        <v>1</v>
      </c>
      <c r="F23" s="48">
        <v>19960380</v>
      </c>
      <c r="G23" s="81" t="s">
        <v>835</v>
      </c>
      <c r="H23" s="81" t="s">
        <v>832</v>
      </c>
      <c r="I23" s="81" t="s">
        <v>834</v>
      </c>
      <c r="J23" s="81" t="e">
        <f>+GD_MODULOS[[#This Row],[CANTIDAD]]+J22</f>
        <v>#VALUE!</v>
      </c>
      <c r="M23" s="1">
        <v>46177</v>
      </c>
      <c r="N23" t="s">
        <v>1632</v>
      </c>
      <c r="O23">
        <v>2</v>
      </c>
      <c r="P23" t="s">
        <v>1755</v>
      </c>
      <c r="Q23">
        <v>38</v>
      </c>
    </row>
    <row r="24" spans="1:17" x14ac:dyDescent="0.25">
      <c r="A24" s="1">
        <v>46181</v>
      </c>
      <c r="B24" s="1">
        <v>46174</v>
      </c>
      <c r="C24">
        <v>44373</v>
      </c>
      <c r="D24">
        <v>2282600012</v>
      </c>
      <c r="E24">
        <v>1</v>
      </c>
      <c r="F24" s="48">
        <v>19960380</v>
      </c>
      <c r="G24" s="81" t="s">
        <v>227</v>
      </c>
      <c r="H24" s="81" t="s">
        <v>832</v>
      </c>
      <c r="I24" s="81" t="s">
        <v>833</v>
      </c>
      <c r="J24" s="81" t="e">
        <f>+GD_MODULOS[[#This Row],[CANTIDAD]]+J23</f>
        <v>#VALUE!</v>
      </c>
      <c r="M24" s="1">
        <v>46178</v>
      </c>
      <c r="N24" t="s">
        <v>1632</v>
      </c>
      <c r="O24">
        <v>2</v>
      </c>
      <c r="P24" t="s">
        <v>1756</v>
      </c>
      <c r="Q24">
        <v>40</v>
      </c>
    </row>
    <row r="25" spans="1:17" x14ac:dyDescent="0.25">
      <c r="A25" s="1">
        <v>46181</v>
      </c>
      <c r="B25" s="1">
        <v>46174</v>
      </c>
      <c r="C25">
        <v>44374</v>
      </c>
      <c r="D25">
        <v>2282600004</v>
      </c>
      <c r="E25">
        <v>1</v>
      </c>
      <c r="F25" s="48">
        <v>19960380</v>
      </c>
      <c r="G25" s="81" t="s">
        <v>123</v>
      </c>
      <c r="H25" s="81" t="s">
        <v>832</v>
      </c>
      <c r="I25" s="81" t="s">
        <v>833</v>
      </c>
      <c r="J25" s="81" t="e">
        <f>+GD_MODULOS[[#This Row],[CANTIDAD]]+J24</f>
        <v>#VALUE!</v>
      </c>
      <c r="M25" s="1">
        <v>46179</v>
      </c>
      <c r="N25" t="s">
        <v>1632</v>
      </c>
      <c r="O25">
        <v>2</v>
      </c>
      <c r="P25" t="s">
        <v>1757</v>
      </c>
      <c r="Q25">
        <v>42</v>
      </c>
    </row>
    <row r="26" spans="1:17" x14ac:dyDescent="0.25">
      <c r="A26" s="1">
        <v>46182</v>
      </c>
      <c r="B26" s="1">
        <v>46182</v>
      </c>
      <c r="C26">
        <v>44379</v>
      </c>
      <c r="D26">
        <v>2302600022</v>
      </c>
      <c r="E26">
        <v>1</v>
      </c>
      <c r="F26" s="48">
        <v>19968698</v>
      </c>
      <c r="G26" s="81" t="s">
        <v>847</v>
      </c>
      <c r="H26" s="81" t="s">
        <v>832</v>
      </c>
      <c r="I26" s="81" t="s">
        <v>834</v>
      </c>
      <c r="J26" s="81" t="e">
        <f>+GD_MODULOS[[#This Row],[CANTIDAD]]+J25</f>
        <v>#VALUE!</v>
      </c>
      <c r="M26" s="1">
        <v>46182</v>
      </c>
      <c r="N26" t="s">
        <v>1632</v>
      </c>
      <c r="O26">
        <v>2</v>
      </c>
      <c r="P26" t="s">
        <v>1758</v>
      </c>
      <c r="Q26">
        <v>44</v>
      </c>
    </row>
    <row r="27" spans="1:17" x14ac:dyDescent="0.25">
      <c r="A27" s="1">
        <v>46182</v>
      </c>
      <c r="B27" s="1">
        <v>46182</v>
      </c>
      <c r="C27">
        <v>44380</v>
      </c>
      <c r="D27">
        <v>2282600029</v>
      </c>
      <c r="E27">
        <v>1</v>
      </c>
      <c r="F27" s="48">
        <v>19968698</v>
      </c>
      <c r="G27" s="81" t="s">
        <v>853</v>
      </c>
      <c r="H27" s="81" t="s">
        <v>832</v>
      </c>
      <c r="I27" s="81" t="s">
        <v>833</v>
      </c>
      <c r="J27" s="81" t="e">
        <f>+GD_MODULOS[[#This Row],[CANTIDAD]]+J26</f>
        <v>#VALUE!</v>
      </c>
      <c r="M27" s="1">
        <v>46183</v>
      </c>
      <c r="N27" t="s">
        <v>1632</v>
      </c>
      <c r="O27">
        <v>2</v>
      </c>
      <c r="P27" t="s">
        <v>1759</v>
      </c>
      <c r="Q27">
        <v>46</v>
      </c>
    </row>
    <row r="28" spans="1:17" x14ac:dyDescent="0.25">
      <c r="A28" s="1">
        <v>46182</v>
      </c>
      <c r="B28" s="1">
        <v>46182</v>
      </c>
      <c r="C28">
        <v>44381</v>
      </c>
      <c r="D28">
        <v>2302600030</v>
      </c>
      <c r="E28">
        <v>1</v>
      </c>
      <c r="F28" s="48">
        <v>19968698</v>
      </c>
      <c r="G28" s="81" t="s">
        <v>854</v>
      </c>
      <c r="H28" s="81" t="s">
        <v>832</v>
      </c>
      <c r="I28" s="81" t="s">
        <v>834</v>
      </c>
      <c r="J28" s="81" t="e">
        <f>+GD_MODULOS[[#This Row],[CANTIDAD]]+J27</f>
        <v>#VALUE!</v>
      </c>
      <c r="M28" s="1">
        <v>46184</v>
      </c>
      <c r="N28" t="s">
        <v>1632</v>
      </c>
      <c r="O28">
        <v>2</v>
      </c>
      <c r="P28" t="s">
        <v>1760</v>
      </c>
      <c r="Q28">
        <v>48</v>
      </c>
    </row>
    <row r="29" spans="1:17" x14ac:dyDescent="0.25">
      <c r="A29" s="1">
        <v>46183</v>
      </c>
      <c r="B29" s="1">
        <v>46183</v>
      </c>
      <c r="C29">
        <v>44387</v>
      </c>
      <c r="D29">
        <v>2282600016</v>
      </c>
      <c r="E29">
        <v>1</v>
      </c>
      <c r="F29" s="48">
        <v>19970026</v>
      </c>
      <c r="G29" s="81" t="s">
        <v>841</v>
      </c>
      <c r="H29" s="81" t="s">
        <v>832</v>
      </c>
      <c r="I29" s="81" t="s">
        <v>833</v>
      </c>
      <c r="J29" s="81" t="e">
        <f>+GD_MODULOS[[#This Row],[CANTIDAD]]+J28</f>
        <v>#VALUE!</v>
      </c>
      <c r="M29" s="1">
        <v>46185</v>
      </c>
      <c r="N29" t="s">
        <v>1632</v>
      </c>
      <c r="O29">
        <v>2</v>
      </c>
      <c r="P29" t="s">
        <v>1761</v>
      </c>
      <c r="Q29">
        <v>50</v>
      </c>
    </row>
    <row r="30" spans="1:17" x14ac:dyDescent="0.25">
      <c r="A30" s="1">
        <v>46183</v>
      </c>
      <c r="B30" s="1">
        <v>46183</v>
      </c>
      <c r="C30">
        <v>44388</v>
      </c>
      <c r="D30">
        <v>2282600024</v>
      </c>
      <c r="E30">
        <v>1</v>
      </c>
      <c r="F30" s="48">
        <v>19970026</v>
      </c>
      <c r="G30" s="81" t="s">
        <v>220</v>
      </c>
      <c r="H30" s="81" t="s">
        <v>832</v>
      </c>
      <c r="I30" s="81" t="s">
        <v>833</v>
      </c>
      <c r="J30" s="81" t="e">
        <f>+GD_MODULOS[[#This Row],[CANTIDAD]]+J29</f>
        <v>#VALUE!</v>
      </c>
      <c r="M30" s="1">
        <v>46186</v>
      </c>
      <c r="N30" t="s">
        <v>1632</v>
      </c>
      <c r="O30">
        <v>2</v>
      </c>
      <c r="P30" t="s">
        <v>1762</v>
      </c>
      <c r="Q30">
        <v>52</v>
      </c>
    </row>
    <row r="31" spans="1:17" x14ac:dyDescent="0.25">
      <c r="A31" s="1">
        <v>46184</v>
      </c>
      <c r="B31" s="1">
        <v>46184</v>
      </c>
      <c r="C31">
        <v>44391</v>
      </c>
      <c r="D31">
        <v>2302600023</v>
      </c>
      <c r="E31">
        <v>1</v>
      </c>
      <c r="F31" s="48">
        <v>19971358</v>
      </c>
      <c r="G31" s="81" t="s">
        <v>848</v>
      </c>
      <c r="H31" s="81" t="s">
        <v>832</v>
      </c>
      <c r="I31" s="81" t="s">
        <v>834</v>
      </c>
      <c r="J31" s="81" t="e">
        <f>+GD_MODULOS[[#This Row],[CANTIDAD]]+J30</f>
        <v>#VALUE!</v>
      </c>
      <c r="M31" s="1">
        <v>46189</v>
      </c>
      <c r="N31" t="s">
        <v>1632</v>
      </c>
      <c r="O31">
        <v>2</v>
      </c>
      <c r="P31" t="s">
        <v>1763</v>
      </c>
      <c r="Q31">
        <v>54</v>
      </c>
    </row>
    <row r="32" spans="1:17" x14ac:dyDescent="0.25">
      <c r="A32" s="1">
        <v>46184</v>
      </c>
      <c r="B32" s="1">
        <v>46184</v>
      </c>
      <c r="C32">
        <v>44392</v>
      </c>
      <c r="D32">
        <v>2302600031</v>
      </c>
      <c r="E32">
        <v>1</v>
      </c>
      <c r="F32" s="48">
        <v>19971358</v>
      </c>
      <c r="G32" s="81" t="s">
        <v>855</v>
      </c>
      <c r="H32" s="81" t="s">
        <v>832</v>
      </c>
      <c r="I32" s="81" t="s">
        <v>834</v>
      </c>
      <c r="J32" s="81" t="e">
        <f>+GD_MODULOS[[#This Row],[CANTIDAD]]+J31</f>
        <v>#VALUE!</v>
      </c>
      <c r="M32" s="1">
        <v>46190</v>
      </c>
      <c r="N32" t="s">
        <v>1632</v>
      </c>
      <c r="O32">
        <v>2</v>
      </c>
      <c r="P32" t="s">
        <v>1764</v>
      </c>
      <c r="Q32">
        <v>56</v>
      </c>
    </row>
    <row r="33" spans="1:17" x14ac:dyDescent="0.25">
      <c r="A33" s="1">
        <v>46184</v>
      </c>
      <c r="B33" s="1">
        <v>46184</v>
      </c>
      <c r="C33">
        <v>44393</v>
      </c>
      <c r="D33">
        <v>2282600032</v>
      </c>
      <c r="E33">
        <v>1</v>
      </c>
      <c r="F33" s="48">
        <v>19971358</v>
      </c>
      <c r="G33" s="81" t="s">
        <v>856</v>
      </c>
      <c r="H33" s="81" t="s">
        <v>832</v>
      </c>
      <c r="I33" s="81" t="s">
        <v>833</v>
      </c>
      <c r="J33" s="81" t="e">
        <f>+GD_MODULOS[[#This Row],[CANTIDAD]]+J32</f>
        <v>#VALUE!</v>
      </c>
      <c r="M33" s="1">
        <v>46191</v>
      </c>
      <c r="N33" t="s">
        <v>1632</v>
      </c>
      <c r="O33">
        <v>2</v>
      </c>
      <c r="P33" t="s">
        <v>1765</v>
      </c>
      <c r="Q33">
        <v>58</v>
      </c>
    </row>
    <row r="34" spans="1:17" x14ac:dyDescent="0.25">
      <c r="M34" s="1">
        <v>46192</v>
      </c>
      <c r="N34" t="s">
        <v>1632</v>
      </c>
      <c r="O34">
        <v>2</v>
      </c>
      <c r="P34" t="s">
        <v>1766</v>
      </c>
      <c r="Q34">
        <v>60</v>
      </c>
    </row>
    <row r="35" spans="1:17" x14ac:dyDescent="0.25">
      <c r="M35" s="1">
        <v>46193</v>
      </c>
      <c r="N35" t="s">
        <v>1632</v>
      </c>
      <c r="O35">
        <v>2</v>
      </c>
      <c r="P35" t="s">
        <v>1767</v>
      </c>
      <c r="Q35">
        <v>62</v>
      </c>
    </row>
    <row r="36" spans="1:17" x14ac:dyDescent="0.25">
      <c r="M36" s="1">
        <v>46196</v>
      </c>
      <c r="N36" t="s">
        <v>1632</v>
      </c>
      <c r="O36">
        <v>2</v>
      </c>
      <c r="P36" t="s">
        <v>1768</v>
      </c>
      <c r="Q36">
        <v>64</v>
      </c>
    </row>
    <row r="37" spans="1:17" x14ac:dyDescent="0.25">
      <c r="M37" s="1">
        <v>46197</v>
      </c>
      <c r="N37" t="s">
        <v>1632</v>
      </c>
      <c r="O37">
        <v>2</v>
      </c>
      <c r="P37" t="s">
        <v>1769</v>
      </c>
      <c r="Q37">
        <v>66</v>
      </c>
    </row>
    <row r="38" spans="1:17" x14ac:dyDescent="0.25">
      <c r="M38" s="1">
        <v>46198</v>
      </c>
      <c r="N38" t="s">
        <v>1632</v>
      </c>
      <c r="O38">
        <v>2</v>
      </c>
      <c r="P38" t="s">
        <v>1770</v>
      </c>
      <c r="Q38">
        <v>68</v>
      </c>
    </row>
    <row r="39" spans="1:17" x14ac:dyDescent="0.25">
      <c r="M39" s="1">
        <v>46199</v>
      </c>
      <c r="N39" t="s">
        <v>1632</v>
      </c>
      <c r="O39">
        <v>2</v>
      </c>
      <c r="P39" t="s">
        <v>1771</v>
      </c>
      <c r="Q39">
        <v>70</v>
      </c>
    </row>
    <row r="40" spans="1:17" x14ac:dyDescent="0.25">
      <c r="M40" s="1">
        <v>46200</v>
      </c>
      <c r="N40" t="s">
        <v>1632</v>
      </c>
      <c r="O40">
        <v>2</v>
      </c>
      <c r="P40" t="s">
        <v>1772</v>
      </c>
      <c r="Q40">
        <v>72</v>
      </c>
    </row>
    <row r="41" spans="1:17" x14ac:dyDescent="0.25">
      <c r="M41" s="1">
        <v>46203</v>
      </c>
      <c r="N41" t="s">
        <v>1632</v>
      </c>
      <c r="O41">
        <v>2</v>
      </c>
      <c r="P41" t="s">
        <v>1773</v>
      </c>
      <c r="Q41">
        <v>74</v>
      </c>
    </row>
    <row r="42" spans="1:17" x14ac:dyDescent="0.25">
      <c r="M42" s="1">
        <v>46204</v>
      </c>
      <c r="N42" t="s">
        <v>1633</v>
      </c>
      <c r="O42">
        <v>2</v>
      </c>
      <c r="P42" t="s">
        <v>1774</v>
      </c>
      <c r="Q42">
        <v>76</v>
      </c>
    </row>
    <row r="43" spans="1:17" x14ac:dyDescent="0.25">
      <c r="M43" s="1">
        <v>46205</v>
      </c>
      <c r="N43" t="s">
        <v>1633</v>
      </c>
      <c r="O43">
        <v>2</v>
      </c>
      <c r="P43" t="s">
        <v>1775</v>
      </c>
      <c r="Q43">
        <v>78</v>
      </c>
    </row>
    <row r="44" spans="1:17" x14ac:dyDescent="0.25">
      <c r="M44" s="1">
        <v>46206</v>
      </c>
      <c r="N44" t="s">
        <v>1633</v>
      </c>
      <c r="O44">
        <v>2</v>
      </c>
      <c r="P44" t="s">
        <v>1776</v>
      </c>
      <c r="Q44">
        <v>80</v>
      </c>
    </row>
    <row r="45" spans="1:17" x14ac:dyDescent="0.25">
      <c r="M45" s="1">
        <v>46207</v>
      </c>
      <c r="N45" t="s">
        <v>1633</v>
      </c>
      <c r="O45">
        <v>2</v>
      </c>
      <c r="P45" t="s">
        <v>1777</v>
      </c>
      <c r="Q45">
        <v>82</v>
      </c>
    </row>
    <row r="46" spans="1:17" x14ac:dyDescent="0.25">
      <c r="M46" s="1">
        <v>46210</v>
      </c>
      <c r="N46" t="s">
        <v>1633</v>
      </c>
      <c r="O46">
        <v>2</v>
      </c>
      <c r="P46" t="s">
        <v>1778</v>
      </c>
      <c r="Q46">
        <v>84</v>
      </c>
    </row>
    <row r="47" spans="1:17" x14ac:dyDescent="0.25">
      <c r="M47" s="1">
        <v>46211</v>
      </c>
      <c r="N47" t="s">
        <v>1633</v>
      </c>
      <c r="O47">
        <v>2</v>
      </c>
      <c r="P47" t="s">
        <v>1779</v>
      </c>
      <c r="Q47">
        <v>86</v>
      </c>
    </row>
    <row r="48" spans="1:17" x14ac:dyDescent="0.25">
      <c r="M48" s="1">
        <v>46212</v>
      </c>
      <c r="N48" t="s">
        <v>1633</v>
      </c>
      <c r="O48">
        <v>2</v>
      </c>
      <c r="P48" t="s">
        <v>1780</v>
      </c>
      <c r="Q48">
        <v>88</v>
      </c>
    </row>
    <row r="49" spans="13:17" x14ac:dyDescent="0.25">
      <c r="M49" s="1">
        <v>46213</v>
      </c>
      <c r="N49" t="s">
        <v>1633</v>
      </c>
      <c r="O49">
        <v>2</v>
      </c>
      <c r="P49" t="s">
        <v>1781</v>
      </c>
      <c r="Q49">
        <v>90</v>
      </c>
    </row>
    <row r="50" spans="13:17" x14ac:dyDescent="0.25">
      <c r="M50" s="1">
        <v>46214</v>
      </c>
      <c r="N50" t="s">
        <v>1633</v>
      </c>
      <c r="O50">
        <v>2</v>
      </c>
      <c r="P50" t="s">
        <v>1782</v>
      </c>
      <c r="Q50">
        <v>92</v>
      </c>
    </row>
    <row r="51" spans="13:17" x14ac:dyDescent="0.25">
      <c r="M51" s="1">
        <v>46217</v>
      </c>
      <c r="N51" t="s">
        <v>1633</v>
      </c>
      <c r="O51">
        <v>2</v>
      </c>
      <c r="P51" t="s">
        <v>1783</v>
      </c>
      <c r="Q51">
        <v>94</v>
      </c>
    </row>
    <row r="52" spans="13:17" x14ac:dyDescent="0.25">
      <c r="M52" s="1">
        <v>46218</v>
      </c>
      <c r="N52" t="s">
        <v>1633</v>
      </c>
      <c r="O52">
        <v>2</v>
      </c>
      <c r="P52" t="s">
        <v>1784</v>
      </c>
      <c r="Q52">
        <v>96</v>
      </c>
    </row>
    <row r="53" spans="13:17" x14ac:dyDescent="0.25">
      <c r="M53" s="1">
        <v>46220</v>
      </c>
      <c r="N53" t="s">
        <v>1633</v>
      </c>
      <c r="O53">
        <v>2</v>
      </c>
      <c r="P53" t="s">
        <v>1785</v>
      </c>
      <c r="Q53">
        <v>98</v>
      </c>
    </row>
    <row r="54" spans="13:17" x14ac:dyDescent="0.25">
      <c r="M54" s="1">
        <v>46221</v>
      </c>
      <c r="N54" t="s">
        <v>1633</v>
      </c>
      <c r="O54">
        <v>2</v>
      </c>
      <c r="P54" t="s">
        <v>1786</v>
      </c>
      <c r="Q54">
        <v>100</v>
      </c>
    </row>
    <row r="55" spans="13:17" x14ac:dyDescent="0.25">
      <c r="M55" s="1">
        <v>46224</v>
      </c>
      <c r="N55" t="s">
        <v>1633</v>
      </c>
      <c r="O55">
        <v>2</v>
      </c>
      <c r="P55" t="s">
        <v>1787</v>
      </c>
      <c r="Q55">
        <v>102</v>
      </c>
    </row>
    <row r="56" spans="13:17" x14ac:dyDescent="0.25">
      <c r="M56" s="1">
        <v>46225</v>
      </c>
      <c r="N56" t="s">
        <v>1633</v>
      </c>
      <c r="O56">
        <v>2</v>
      </c>
      <c r="P56" t="s">
        <v>1788</v>
      </c>
      <c r="Q56">
        <v>104</v>
      </c>
    </row>
    <row r="57" spans="13:17" x14ac:dyDescent="0.25">
      <c r="M57" s="1">
        <v>46226</v>
      </c>
      <c r="N57" t="s">
        <v>1633</v>
      </c>
      <c r="O57">
        <v>2</v>
      </c>
      <c r="P57" t="s">
        <v>1789</v>
      </c>
      <c r="Q57">
        <v>106</v>
      </c>
    </row>
    <row r="58" spans="13:17" x14ac:dyDescent="0.25">
      <c r="M58" s="1">
        <v>46227</v>
      </c>
      <c r="N58" t="s">
        <v>1633</v>
      </c>
      <c r="O58">
        <v>2</v>
      </c>
      <c r="P58" t="s">
        <v>1790</v>
      </c>
      <c r="Q58">
        <v>108</v>
      </c>
    </row>
    <row r="59" spans="13:17" x14ac:dyDescent="0.25">
      <c r="M59" s="1">
        <v>46228</v>
      </c>
      <c r="N59" t="s">
        <v>1633</v>
      </c>
      <c r="O59">
        <v>2</v>
      </c>
      <c r="P59" t="s">
        <v>1791</v>
      </c>
      <c r="Q59">
        <v>110</v>
      </c>
    </row>
    <row r="60" spans="13:17" x14ac:dyDescent="0.25">
      <c r="M60" s="1">
        <v>46231</v>
      </c>
      <c r="N60" t="s">
        <v>1633</v>
      </c>
      <c r="O60">
        <v>2</v>
      </c>
      <c r="P60" t="s">
        <v>1792</v>
      </c>
      <c r="Q60">
        <v>112</v>
      </c>
    </row>
    <row r="61" spans="13:17" x14ac:dyDescent="0.25">
      <c r="M61" s="1">
        <v>46232</v>
      </c>
      <c r="N61" t="s">
        <v>1633</v>
      </c>
      <c r="O61">
        <v>2</v>
      </c>
      <c r="P61" t="s">
        <v>1793</v>
      </c>
      <c r="Q61">
        <v>114</v>
      </c>
    </row>
    <row r="62" spans="13:17" x14ac:dyDescent="0.25">
      <c r="M62" s="1">
        <v>46233</v>
      </c>
      <c r="N62" t="s">
        <v>1633</v>
      </c>
      <c r="O62">
        <v>1</v>
      </c>
      <c r="P62" t="s">
        <v>1794</v>
      </c>
      <c r="Q62">
        <v>115</v>
      </c>
    </row>
    <row r="63" spans="13:17" x14ac:dyDescent="0.25">
      <c r="M63" s="1">
        <v>46234</v>
      </c>
      <c r="N63" t="s">
        <v>1633</v>
      </c>
      <c r="O63">
        <v>1</v>
      </c>
      <c r="P63" t="s">
        <v>1795</v>
      </c>
      <c r="Q63">
        <v>116</v>
      </c>
    </row>
    <row r="64" spans="13:17" x14ac:dyDescent="0.25">
      <c r="M64" s="1">
        <v>46235</v>
      </c>
      <c r="N64" t="s">
        <v>1634</v>
      </c>
      <c r="O64">
        <v>3</v>
      </c>
      <c r="P64" t="s">
        <v>1796</v>
      </c>
      <c r="Q64">
        <v>119</v>
      </c>
    </row>
    <row r="65" spans="13:17" x14ac:dyDescent="0.25">
      <c r="M65" s="1">
        <v>46238</v>
      </c>
      <c r="N65" t="s">
        <v>1634</v>
      </c>
      <c r="O65">
        <v>3</v>
      </c>
      <c r="P65" t="s">
        <v>1797</v>
      </c>
      <c r="Q65">
        <v>122</v>
      </c>
    </row>
    <row r="66" spans="13:17" x14ac:dyDescent="0.25">
      <c r="M66" s="1">
        <v>46239</v>
      </c>
      <c r="N66" t="s">
        <v>1634</v>
      </c>
      <c r="O66">
        <v>3</v>
      </c>
      <c r="P66" t="s">
        <v>1798</v>
      </c>
      <c r="Q66">
        <v>125</v>
      </c>
    </row>
    <row r="67" spans="13:17" x14ac:dyDescent="0.25">
      <c r="M67" s="1">
        <v>46240</v>
      </c>
      <c r="N67" t="s">
        <v>1634</v>
      </c>
      <c r="O67">
        <v>3</v>
      </c>
      <c r="P67" t="s">
        <v>1799</v>
      </c>
      <c r="Q67">
        <v>128</v>
      </c>
    </row>
    <row r="68" spans="13:17" x14ac:dyDescent="0.25">
      <c r="M68" s="1">
        <v>46241</v>
      </c>
      <c r="N68" t="s">
        <v>1634</v>
      </c>
      <c r="O68">
        <v>3</v>
      </c>
      <c r="P68" t="s">
        <v>1800</v>
      </c>
      <c r="Q68">
        <v>131</v>
      </c>
    </row>
    <row r="69" spans="13:17" x14ac:dyDescent="0.25">
      <c r="M69" s="1">
        <v>46242</v>
      </c>
      <c r="N69" t="s">
        <v>1634</v>
      </c>
      <c r="O69">
        <v>3</v>
      </c>
      <c r="P69" t="s">
        <v>1801</v>
      </c>
      <c r="Q69">
        <v>134</v>
      </c>
    </row>
    <row r="70" spans="13:17" x14ac:dyDescent="0.25">
      <c r="M70" s="1">
        <v>46245</v>
      </c>
      <c r="N70" t="s">
        <v>1634</v>
      </c>
      <c r="O70">
        <v>3</v>
      </c>
      <c r="P70" t="s">
        <v>1802</v>
      </c>
      <c r="Q70">
        <v>137</v>
      </c>
    </row>
    <row r="71" spans="13:17" x14ac:dyDescent="0.25">
      <c r="M71" s="1">
        <v>46246</v>
      </c>
      <c r="N71" t="s">
        <v>1634</v>
      </c>
      <c r="O71">
        <v>3</v>
      </c>
      <c r="P71" t="s">
        <v>1803</v>
      </c>
      <c r="Q71">
        <v>140</v>
      </c>
    </row>
    <row r="72" spans="13:17" x14ac:dyDescent="0.25">
      <c r="M72" s="1">
        <v>46247</v>
      </c>
      <c r="N72" t="s">
        <v>1634</v>
      </c>
      <c r="O72">
        <v>3</v>
      </c>
      <c r="P72" t="s">
        <v>1804</v>
      </c>
      <c r="Q72">
        <v>143</v>
      </c>
    </row>
    <row r="73" spans="13:17" x14ac:dyDescent="0.25">
      <c r="M73" s="1">
        <v>46248</v>
      </c>
      <c r="N73" t="s">
        <v>1634</v>
      </c>
      <c r="O73">
        <v>3</v>
      </c>
      <c r="P73" t="s">
        <v>1805</v>
      </c>
      <c r="Q73">
        <v>146</v>
      </c>
    </row>
    <row r="74" spans="13:17" x14ac:dyDescent="0.25">
      <c r="M74" s="1">
        <v>46252</v>
      </c>
      <c r="N74" t="s">
        <v>1634</v>
      </c>
      <c r="O74">
        <v>3</v>
      </c>
      <c r="P74" t="s">
        <v>1806</v>
      </c>
      <c r="Q74">
        <v>149</v>
      </c>
    </row>
    <row r="75" spans="13:17" x14ac:dyDescent="0.25">
      <c r="M75" s="1">
        <v>46253</v>
      </c>
      <c r="N75" t="s">
        <v>1634</v>
      </c>
      <c r="O75">
        <v>3</v>
      </c>
      <c r="P75" t="s">
        <v>1807</v>
      </c>
      <c r="Q75">
        <v>152</v>
      </c>
    </row>
    <row r="76" spans="13:17" x14ac:dyDescent="0.25">
      <c r="M76" s="1">
        <v>46254</v>
      </c>
      <c r="N76" t="s">
        <v>1634</v>
      </c>
      <c r="O76">
        <v>3</v>
      </c>
      <c r="P76" t="s">
        <v>1808</v>
      </c>
      <c r="Q76">
        <v>155</v>
      </c>
    </row>
    <row r="77" spans="13:17" x14ac:dyDescent="0.25">
      <c r="M77" s="1">
        <v>46255</v>
      </c>
      <c r="N77" t="s">
        <v>1634</v>
      </c>
      <c r="O77">
        <v>3</v>
      </c>
      <c r="P77" t="s">
        <v>1809</v>
      </c>
      <c r="Q77">
        <v>158</v>
      </c>
    </row>
    <row r="78" spans="13:17" x14ac:dyDescent="0.25">
      <c r="M78" s="1">
        <v>46256</v>
      </c>
      <c r="N78" t="s">
        <v>1634</v>
      </c>
      <c r="O78">
        <v>2</v>
      </c>
      <c r="P78" t="s">
        <v>1810</v>
      </c>
      <c r="Q78">
        <v>160</v>
      </c>
    </row>
    <row r="79" spans="13:17" x14ac:dyDescent="0.25">
      <c r="M79" s="1">
        <v>46259</v>
      </c>
      <c r="N79" t="s">
        <v>1634</v>
      </c>
      <c r="O79">
        <v>2</v>
      </c>
      <c r="P79" t="s">
        <v>1811</v>
      </c>
      <c r="Q79">
        <v>162</v>
      </c>
    </row>
    <row r="80" spans="13:17" x14ac:dyDescent="0.25">
      <c r="M80" s="1">
        <v>46260</v>
      </c>
      <c r="N80" t="s">
        <v>1634</v>
      </c>
      <c r="O80">
        <v>2</v>
      </c>
      <c r="P80" t="s">
        <v>1812</v>
      </c>
      <c r="Q80">
        <v>164</v>
      </c>
    </row>
    <row r="81" spans="13:17" x14ac:dyDescent="0.25">
      <c r="M81" s="1">
        <v>46261</v>
      </c>
      <c r="N81" t="s">
        <v>1634</v>
      </c>
      <c r="O81">
        <v>2</v>
      </c>
      <c r="P81" t="s">
        <v>1813</v>
      </c>
      <c r="Q81">
        <v>166</v>
      </c>
    </row>
    <row r="82" spans="13:17" x14ac:dyDescent="0.25">
      <c r="M82" s="1">
        <v>46262</v>
      </c>
      <c r="N82" t="s">
        <v>1634</v>
      </c>
      <c r="O82">
        <v>2</v>
      </c>
      <c r="P82" t="s">
        <v>1814</v>
      </c>
      <c r="Q82">
        <v>168</v>
      </c>
    </row>
    <row r="83" spans="13:17" x14ac:dyDescent="0.25">
      <c r="M83" s="1">
        <v>46263</v>
      </c>
      <c r="N83" t="s">
        <v>1634</v>
      </c>
      <c r="O83">
        <v>2</v>
      </c>
      <c r="P83" t="s">
        <v>1815</v>
      </c>
      <c r="Q83">
        <v>170</v>
      </c>
    </row>
    <row r="84" spans="13:17" x14ac:dyDescent="0.25">
      <c r="M84" s="1">
        <v>46266</v>
      </c>
      <c r="N84" t="s">
        <v>1635</v>
      </c>
      <c r="O84">
        <v>3</v>
      </c>
      <c r="P84" t="s">
        <v>1816</v>
      </c>
      <c r="Q84">
        <v>173</v>
      </c>
    </row>
    <row r="85" spans="13:17" x14ac:dyDescent="0.25">
      <c r="M85" s="1">
        <v>46267</v>
      </c>
      <c r="N85" t="s">
        <v>1635</v>
      </c>
      <c r="O85">
        <v>3</v>
      </c>
      <c r="P85" t="s">
        <v>1817</v>
      </c>
      <c r="Q85">
        <v>176</v>
      </c>
    </row>
    <row r="86" spans="13:17" x14ac:dyDescent="0.25">
      <c r="M86" s="1">
        <v>46268</v>
      </c>
      <c r="N86" t="s">
        <v>1635</v>
      </c>
      <c r="O86">
        <v>3</v>
      </c>
      <c r="P86" t="s">
        <v>1818</v>
      </c>
      <c r="Q86">
        <v>179</v>
      </c>
    </row>
    <row r="87" spans="13:17" x14ac:dyDescent="0.25">
      <c r="M87" s="1">
        <v>46269</v>
      </c>
      <c r="N87" t="s">
        <v>1635</v>
      </c>
      <c r="O87">
        <v>3</v>
      </c>
      <c r="P87" t="s">
        <v>1819</v>
      </c>
      <c r="Q87">
        <v>182</v>
      </c>
    </row>
    <row r="88" spans="13:17" x14ac:dyDescent="0.25">
      <c r="M88" s="1">
        <v>46270</v>
      </c>
      <c r="N88" t="s">
        <v>1635</v>
      </c>
      <c r="O88">
        <v>3</v>
      </c>
      <c r="P88" t="s">
        <v>1820</v>
      </c>
      <c r="Q88">
        <v>185</v>
      </c>
    </row>
    <row r="89" spans="13:17" x14ac:dyDescent="0.25">
      <c r="M89" s="1">
        <v>46273</v>
      </c>
      <c r="N89" t="s">
        <v>1635</v>
      </c>
      <c r="O89">
        <v>3</v>
      </c>
      <c r="P89" t="s">
        <v>1821</v>
      </c>
      <c r="Q89">
        <v>188</v>
      </c>
    </row>
    <row r="90" spans="13:17" x14ac:dyDescent="0.25">
      <c r="M90" s="1">
        <v>46274</v>
      </c>
      <c r="N90" t="s">
        <v>1635</v>
      </c>
      <c r="O90">
        <v>3</v>
      </c>
      <c r="P90" t="s">
        <v>1822</v>
      </c>
      <c r="Q90">
        <v>191</v>
      </c>
    </row>
    <row r="91" spans="13:17" x14ac:dyDescent="0.25">
      <c r="M91" s="1">
        <v>46275</v>
      </c>
      <c r="N91" t="s">
        <v>1635</v>
      </c>
      <c r="O91">
        <v>3</v>
      </c>
      <c r="P91" t="s">
        <v>1823</v>
      </c>
      <c r="Q91">
        <v>194</v>
      </c>
    </row>
    <row r="92" spans="13:17" x14ac:dyDescent="0.25">
      <c r="M92" s="1">
        <v>46276</v>
      </c>
      <c r="N92" t="s">
        <v>1635</v>
      </c>
      <c r="O92">
        <v>3</v>
      </c>
      <c r="P92" t="s">
        <v>1824</v>
      </c>
      <c r="Q92">
        <v>197</v>
      </c>
    </row>
    <row r="93" spans="13:17" x14ac:dyDescent="0.25">
      <c r="M93" s="1">
        <v>46277</v>
      </c>
      <c r="N93" t="s">
        <v>1635</v>
      </c>
      <c r="O93">
        <v>3</v>
      </c>
      <c r="P93" t="s">
        <v>1825</v>
      </c>
      <c r="Q93">
        <v>200</v>
      </c>
    </row>
    <row r="94" spans="13:17" x14ac:dyDescent="0.25">
      <c r="M94" s="1">
        <v>46280</v>
      </c>
      <c r="N94" t="s">
        <v>1635</v>
      </c>
      <c r="O94">
        <v>3</v>
      </c>
      <c r="P94" t="s">
        <v>1826</v>
      </c>
      <c r="Q94">
        <v>203</v>
      </c>
    </row>
    <row r="95" spans="13:17" x14ac:dyDescent="0.25">
      <c r="M95" s="1">
        <v>46281</v>
      </c>
      <c r="N95" t="s">
        <v>1635</v>
      </c>
      <c r="O95">
        <v>3</v>
      </c>
      <c r="P95" t="s">
        <v>1827</v>
      </c>
      <c r="Q95">
        <v>206</v>
      </c>
    </row>
    <row r="96" spans="13:17" x14ac:dyDescent="0.25">
      <c r="M96" s="1">
        <v>46282</v>
      </c>
      <c r="N96" t="s">
        <v>1635</v>
      </c>
      <c r="O96">
        <v>3</v>
      </c>
      <c r="P96" t="s">
        <v>1828</v>
      </c>
      <c r="Q96">
        <v>209</v>
      </c>
    </row>
    <row r="97" spans="13:17" x14ac:dyDescent="0.25">
      <c r="M97" s="1">
        <v>46287</v>
      </c>
      <c r="N97" t="s">
        <v>1635</v>
      </c>
      <c r="O97">
        <v>3</v>
      </c>
      <c r="P97" t="s">
        <v>1829</v>
      </c>
      <c r="Q97">
        <v>212</v>
      </c>
    </row>
    <row r="98" spans="13:17" x14ac:dyDescent="0.25">
      <c r="M98" s="1">
        <v>46288</v>
      </c>
      <c r="N98" t="s">
        <v>1635</v>
      </c>
      <c r="O98">
        <v>2</v>
      </c>
      <c r="P98" t="s">
        <v>1830</v>
      </c>
      <c r="Q98">
        <v>214</v>
      </c>
    </row>
    <row r="99" spans="13:17" x14ac:dyDescent="0.25">
      <c r="M99" s="1">
        <v>46289</v>
      </c>
      <c r="N99" t="s">
        <v>1635</v>
      </c>
      <c r="O99">
        <v>2</v>
      </c>
      <c r="P99" t="s">
        <v>1831</v>
      </c>
      <c r="Q99">
        <v>216</v>
      </c>
    </row>
    <row r="100" spans="13:17" x14ac:dyDescent="0.25">
      <c r="M100" s="1">
        <v>46290</v>
      </c>
      <c r="N100" t="s">
        <v>1635</v>
      </c>
      <c r="O100">
        <v>2</v>
      </c>
      <c r="P100" t="s">
        <v>1832</v>
      </c>
      <c r="Q100">
        <v>218</v>
      </c>
    </row>
    <row r="101" spans="13:17" x14ac:dyDescent="0.25">
      <c r="M101" s="1">
        <v>46291</v>
      </c>
      <c r="N101" t="s">
        <v>1635</v>
      </c>
      <c r="O101">
        <v>2</v>
      </c>
      <c r="P101" t="s">
        <v>1833</v>
      </c>
      <c r="Q101">
        <v>220</v>
      </c>
    </row>
    <row r="102" spans="13:17" x14ac:dyDescent="0.25">
      <c r="M102" s="1">
        <v>46294</v>
      </c>
      <c r="N102" t="s">
        <v>1635</v>
      </c>
      <c r="O102">
        <v>2</v>
      </c>
      <c r="P102" t="s">
        <v>1834</v>
      </c>
      <c r="Q102">
        <v>222</v>
      </c>
    </row>
    <row r="103" spans="13:17" x14ac:dyDescent="0.25">
      <c r="M103" s="1">
        <v>46295</v>
      </c>
      <c r="N103" t="s">
        <v>1635</v>
      </c>
      <c r="O103">
        <v>2</v>
      </c>
      <c r="P103" t="s">
        <v>1835</v>
      </c>
      <c r="Q103">
        <v>224</v>
      </c>
    </row>
    <row r="104" spans="13:17" x14ac:dyDescent="0.25">
      <c r="M104" s="1">
        <v>46296</v>
      </c>
      <c r="N104" t="s">
        <v>1636</v>
      </c>
      <c r="O104">
        <v>3</v>
      </c>
      <c r="P104" t="s">
        <v>1836</v>
      </c>
      <c r="Q104">
        <v>227</v>
      </c>
    </row>
    <row r="105" spans="13:17" x14ac:dyDescent="0.25">
      <c r="M105" s="1">
        <v>46297</v>
      </c>
      <c r="N105" t="s">
        <v>1636</v>
      </c>
      <c r="O105">
        <v>3</v>
      </c>
      <c r="P105" t="s">
        <v>1837</v>
      </c>
      <c r="Q105">
        <v>230</v>
      </c>
    </row>
    <row r="106" spans="13:17" x14ac:dyDescent="0.25">
      <c r="M106" s="1">
        <v>46298</v>
      </c>
      <c r="N106" t="s">
        <v>1636</v>
      </c>
      <c r="O106">
        <v>3</v>
      </c>
      <c r="P106" t="s">
        <v>1838</v>
      </c>
      <c r="Q106">
        <v>233</v>
      </c>
    </row>
    <row r="107" spans="13:17" x14ac:dyDescent="0.25">
      <c r="M107" s="1">
        <v>46301</v>
      </c>
      <c r="N107" t="s">
        <v>1636</v>
      </c>
      <c r="O107">
        <v>3</v>
      </c>
      <c r="P107" t="s">
        <v>1839</v>
      </c>
      <c r="Q107">
        <v>236</v>
      </c>
    </row>
    <row r="108" spans="13:17" x14ac:dyDescent="0.25">
      <c r="M108" s="1">
        <v>46302</v>
      </c>
      <c r="N108" t="s">
        <v>1636</v>
      </c>
      <c r="O108">
        <v>3</v>
      </c>
      <c r="P108" t="s">
        <v>1840</v>
      </c>
      <c r="Q108">
        <v>239</v>
      </c>
    </row>
    <row r="109" spans="13:17" x14ac:dyDescent="0.25">
      <c r="M109" s="1">
        <v>46303</v>
      </c>
      <c r="N109" t="s">
        <v>1636</v>
      </c>
      <c r="O109">
        <v>3</v>
      </c>
      <c r="P109" t="s">
        <v>1841</v>
      </c>
      <c r="Q109">
        <v>242</v>
      </c>
    </row>
    <row r="110" spans="13:17" x14ac:dyDescent="0.25">
      <c r="M110" s="1">
        <v>46304</v>
      </c>
      <c r="N110" t="s">
        <v>1636</v>
      </c>
      <c r="O110">
        <v>3</v>
      </c>
      <c r="P110" t="s">
        <v>1842</v>
      </c>
      <c r="Q110">
        <v>245</v>
      </c>
    </row>
    <row r="111" spans="13:17" x14ac:dyDescent="0.25">
      <c r="M111" s="1">
        <v>46305</v>
      </c>
      <c r="N111" t="s">
        <v>1636</v>
      </c>
      <c r="O111">
        <v>3</v>
      </c>
      <c r="P111" t="s">
        <v>1843</v>
      </c>
      <c r="Q111">
        <v>248</v>
      </c>
    </row>
    <row r="112" spans="13:17" x14ac:dyDescent="0.25">
      <c r="M112" s="1">
        <v>46308</v>
      </c>
      <c r="N112" t="s">
        <v>1636</v>
      </c>
      <c r="O112">
        <v>3</v>
      </c>
      <c r="P112" t="s">
        <v>1844</v>
      </c>
      <c r="Q112">
        <v>251</v>
      </c>
    </row>
    <row r="113" spans="13:17" x14ac:dyDescent="0.25">
      <c r="M113" s="1">
        <v>46309</v>
      </c>
      <c r="N113" t="s">
        <v>1636</v>
      </c>
      <c r="O113">
        <v>3</v>
      </c>
      <c r="P113" t="s">
        <v>1845</v>
      </c>
      <c r="Q113">
        <v>254</v>
      </c>
    </row>
    <row r="114" spans="13:17" x14ac:dyDescent="0.25">
      <c r="M114" s="1">
        <v>46310</v>
      </c>
      <c r="N114" t="s">
        <v>1636</v>
      </c>
      <c r="O114">
        <v>3</v>
      </c>
      <c r="P114" t="s">
        <v>1846</v>
      </c>
      <c r="Q114">
        <v>257</v>
      </c>
    </row>
    <row r="115" spans="13:17" x14ac:dyDescent="0.25">
      <c r="M115" s="1">
        <v>46311</v>
      </c>
      <c r="N115" t="s">
        <v>1636</v>
      </c>
      <c r="O115">
        <v>3</v>
      </c>
      <c r="P115" t="s">
        <v>1847</v>
      </c>
      <c r="Q115">
        <v>260</v>
      </c>
    </row>
    <row r="116" spans="13:17" x14ac:dyDescent="0.25">
      <c r="M116" s="1">
        <v>46312</v>
      </c>
      <c r="N116" t="s">
        <v>1636</v>
      </c>
      <c r="O116">
        <v>3</v>
      </c>
      <c r="P116" t="s">
        <v>1848</v>
      </c>
      <c r="Q116">
        <v>263</v>
      </c>
    </row>
    <row r="117" spans="13:17" x14ac:dyDescent="0.25">
      <c r="M117" s="1">
        <v>46315</v>
      </c>
      <c r="N117" t="s">
        <v>1636</v>
      </c>
      <c r="O117">
        <v>3</v>
      </c>
      <c r="P117" t="s">
        <v>1849</v>
      </c>
      <c r="Q117">
        <v>266</v>
      </c>
    </row>
    <row r="118" spans="13:17" x14ac:dyDescent="0.25">
      <c r="M118" s="1">
        <v>46316</v>
      </c>
      <c r="N118" t="s">
        <v>1636</v>
      </c>
      <c r="O118">
        <v>3</v>
      </c>
      <c r="P118" t="s">
        <v>1850</v>
      </c>
      <c r="Q118">
        <v>269</v>
      </c>
    </row>
    <row r="119" spans="13:17" x14ac:dyDescent="0.25">
      <c r="M119" s="1">
        <v>46317</v>
      </c>
      <c r="N119" t="s">
        <v>1636</v>
      </c>
      <c r="O119">
        <v>3</v>
      </c>
      <c r="P119" t="s">
        <v>1851</v>
      </c>
      <c r="Q119">
        <v>272</v>
      </c>
    </row>
    <row r="120" spans="13:17" x14ac:dyDescent="0.25">
      <c r="M120" s="1">
        <v>46318</v>
      </c>
      <c r="N120" t="s">
        <v>1636</v>
      </c>
      <c r="O120">
        <v>2</v>
      </c>
      <c r="P120" t="s">
        <v>1852</v>
      </c>
      <c r="Q120">
        <v>274</v>
      </c>
    </row>
    <row r="121" spans="13:17" x14ac:dyDescent="0.25">
      <c r="M121" s="1">
        <v>46319</v>
      </c>
      <c r="N121" t="s">
        <v>1636</v>
      </c>
      <c r="O121">
        <v>2</v>
      </c>
      <c r="P121" t="s">
        <v>1853</v>
      </c>
      <c r="Q121">
        <v>276</v>
      </c>
    </row>
    <row r="122" spans="13:17" x14ac:dyDescent="0.25">
      <c r="M122" s="1">
        <v>46322</v>
      </c>
      <c r="N122" t="s">
        <v>1636</v>
      </c>
      <c r="O122">
        <v>2</v>
      </c>
      <c r="P122" t="s">
        <v>1854</v>
      </c>
      <c r="Q122">
        <v>278</v>
      </c>
    </row>
    <row r="123" spans="13:17" x14ac:dyDescent="0.25">
      <c r="M123" s="1">
        <v>46323</v>
      </c>
      <c r="N123" t="s">
        <v>1636</v>
      </c>
      <c r="O123">
        <v>2</v>
      </c>
      <c r="P123" t="s">
        <v>1855</v>
      </c>
      <c r="Q123">
        <v>280</v>
      </c>
    </row>
    <row r="124" spans="13:17" x14ac:dyDescent="0.25">
      <c r="M124" s="1">
        <v>46324</v>
      </c>
      <c r="N124" t="s">
        <v>1636</v>
      </c>
      <c r="O124">
        <v>2</v>
      </c>
      <c r="P124" t="s">
        <v>1856</v>
      </c>
      <c r="Q124">
        <v>282</v>
      </c>
    </row>
    <row r="125" spans="13:17" x14ac:dyDescent="0.25">
      <c r="M125" s="1">
        <v>46325</v>
      </c>
      <c r="N125" t="s">
        <v>1636</v>
      </c>
      <c r="O125">
        <v>2</v>
      </c>
      <c r="P125" t="s">
        <v>1857</v>
      </c>
      <c r="Q125">
        <v>284</v>
      </c>
    </row>
    <row r="126" spans="13:17" x14ac:dyDescent="0.25">
      <c r="M126" s="1">
        <v>46329</v>
      </c>
      <c r="N126" t="s">
        <v>1637</v>
      </c>
      <c r="O126">
        <v>3</v>
      </c>
      <c r="P126" t="s">
        <v>1858</v>
      </c>
      <c r="Q126">
        <v>287</v>
      </c>
    </row>
    <row r="127" spans="13:17" x14ac:dyDescent="0.25">
      <c r="M127" s="1">
        <v>46330</v>
      </c>
      <c r="N127" t="s">
        <v>1637</v>
      </c>
      <c r="O127">
        <v>3</v>
      </c>
      <c r="P127" t="s">
        <v>1859</v>
      </c>
      <c r="Q127">
        <v>290</v>
      </c>
    </row>
    <row r="128" spans="13:17" x14ac:dyDescent="0.25">
      <c r="M128" s="1">
        <v>46331</v>
      </c>
      <c r="N128" t="s">
        <v>1637</v>
      </c>
      <c r="O128">
        <v>3</v>
      </c>
      <c r="P128" t="s">
        <v>1860</v>
      </c>
      <c r="Q128">
        <v>293</v>
      </c>
    </row>
    <row r="129" spans="13:17" x14ac:dyDescent="0.25">
      <c r="M129" s="1">
        <v>46332</v>
      </c>
      <c r="N129" t="s">
        <v>1637</v>
      </c>
      <c r="O129">
        <v>3</v>
      </c>
      <c r="P129" t="s">
        <v>1861</v>
      </c>
      <c r="Q129">
        <v>296</v>
      </c>
    </row>
    <row r="130" spans="13:17" x14ac:dyDescent="0.25">
      <c r="M130" s="1">
        <v>46333</v>
      </c>
      <c r="N130" t="s">
        <v>1637</v>
      </c>
      <c r="O130">
        <v>3</v>
      </c>
      <c r="P130" t="s">
        <v>1862</v>
      </c>
      <c r="Q130">
        <v>299</v>
      </c>
    </row>
    <row r="131" spans="13:17" x14ac:dyDescent="0.25">
      <c r="M131" s="1">
        <v>46336</v>
      </c>
      <c r="N131" t="s">
        <v>1637</v>
      </c>
      <c r="O131">
        <v>3</v>
      </c>
      <c r="P131" t="s">
        <v>1863</v>
      </c>
      <c r="Q131">
        <v>302</v>
      </c>
    </row>
    <row r="132" spans="13:17" x14ac:dyDescent="0.25">
      <c r="M132" s="1">
        <v>46337</v>
      </c>
      <c r="N132" t="s">
        <v>1637</v>
      </c>
      <c r="O132">
        <v>3</v>
      </c>
      <c r="P132" t="s">
        <v>1864</v>
      </c>
      <c r="Q132">
        <v>305</v>
      </c>
    </row>
    <row r="133" spans="13:17" x14ac:dyDescent="0.25">
      <c r="M133" s="1">
        <v>46338</v>
      </c>
      <c r="N133" t="s">
        <v>1637</v>
      </c>
      <c r="O133">
        <v>3</v>
      </c>
      <c r="P133" t="s">
        <v>1865</v>
      </c>
      <c r="Q133">
        <v>308</v>
      </c>
    </row>
    <row r="134" spans="13:17" x14ac:dyDescent="0.25">
      <c r="M134" s="1">
        <v>46339</v>
      </c>
      <c r="N134" t="s">
        <v>1637</v>
      </c>
      <c r="O134">
        <v>3</v>
      </c>
      <c r="P134" t="s">
        <v>1866</v>
      </c>
      <c r="Q134">
        <v>311</v>
      </c>
    </row>
    <row r="135" spans="13:17" x14ac:dyDescent="0.25">
      <c r="M135" s="1">
        <v>46340</v>
      </c>
      <c r="N135" t="s">
        <v>1637</v>
      </c>
      <c r="O135">
        <v>3</v>
      </c>
      <c r="P135" t="s">
        <v>1867</v>
      </c>
      <c r="Q135">
        <v>314</v>
      </c>
    </row>
    <row r="136" spans="13:17" x14ac:dyDescent="0.25">
      <c r="M136" s="1">
        <v>46343</v>
      </c>
      <c r="N136" t="s">
        <v>1637</v>
      </c>
      <c r="O136">
        <v>3</v>
      </c>
      <c r="P136" t="s">
        <v>1868</v>
      </c>
      <c r="Q136">
        <v>317</v>
      </c>
    </row>
    <row r="137" spans="13:17" x14ac:dyDescent="0.25">
      <c r="M137" s="1">
        <v>46344</v>
      </c>
      <c r="N137" t="s">
        <v>1637</v>
      </c>
      <c r="O137">
        <v>3</v>
      </c>
      <c r="P137" t="s">
        <v>1869</v>
      </c>
      <c r="Q137">
        <v>320</v>
      </c>
    </row>
    <row r="138" spans="13:17" x14ac:dyDescent="0.25">
      <c r="M138" s="1">
        <v>46345</v>
      </c>
      <c r="N138" t="s">
        <v>1637</v>
      </c>
      <c r="O138">
        <v>3</v>
      </c>
      <c r="P138" t="s">
        <v>1870</v>
      </c>
      <c r="Q138">
        <v>323</v>
      </c>
    </row>
    <row r="139" spans="13:17" x14ac:dyDescent="0.25">
      <c r="M139" s="1">
        <v>46346</v>
      </c>
      <c r="N139" t="s">
        <v>1637</v>
      </c>
      <c r="O139">
        <v>3</v>
      </c>
      <c r="P139" t="s">
        <v>1871</v>
      </c>
      <c r="Q139">
        <v>326</v>
      </c>
    </row>
    <row r="140" spans="13:17" x14ac:dyDescent="0.25">
      <c r="M140" s="1">
        <v>46347</v>
      </c>
      <c r="N140" t="s">
        <v>1637</v>
      </c>
      <c r="O140">
        <v>3</v>
      </c>
      <c r="P140" t="s">
        <v>1872</v>
      </c>
      <c r="Q140">
        <v>329</v>
      </c>
    </row>
    <row r="141" spans="13:17" x14ac:dyDescent="0.25">
      <c r="M141" s="1">
        <v>46350</v>
      </c>
      <c r="N141" t="s">
        <v>1637</v>
      </c>
      <c r="O141">
        <v>3</v>
      </c>
      <c r="P141" t="s">
        <v>1873</v>
      </c>
      <c r="Q141">
        <v>332</v>
      </c>
    </row>
    <row r="142" spans="13:17" x14ac:dyDescent="0.25">
      <c r="M142" s="1">
        <v>46351</v>
      </c>
      <c r="N142" t="s">
        <v>1637</v>
      </c>
      <c r="O142">
        <v>3</v>
      </c>
      <c r="P142" t="s">
        <v>1874</v>
      </c>
      <c r="Q142">
        <v>335</v>
      </c>
    </row>
    <row r="143" spans="13:17" x14ac:dyDescent="0.25">
      <c r="M143" s="1">
        <v>46352</v>
      </c>
      <c r="N143" t="s">
        <v>1637</v>
      </c>
      <c r="O143">
        <v>3</v>
      </c>
      <c r="P143" t="s">
        <v>1875</v>
      </c>
      <c r="Q143">
        <v>338</v>
      </c>
    </row>
    <row r="144" spans="13:17" x14ac:dyDescent="0.25">
      <c r="M144" s="1">
        <v>46353</v>
      </c>
      <c r="N144" t="s">
        <v>1637</v>
      </c>
      <c r="O144">
        <v>3</v>
      </c>
      <c r="P144" t="s">
        <v>1876</v>
      </c>
      <c r="Q144">
        <v>341</v>
      </c>
    </row>
    <row r="145" spans="13:17" x14ac:dyDescent="0.25">
      <c r="M145" s="1">
        <v>46354</v>
      </c>
      <c r="N145" t="s">
        <v>1637</v>
      </c>
      <c r="O145">
        <v>3</v>
      </c>
      <c r="P145" t="s">
        <v>1877</v>
      </c>
      <c r="Q145">
        <v>344</v>
      </c>
    </row>
    <row r="146" spans="13:17" x14ac:dyDescent="0.25">
      <c r="M146" s="1">
        <v>46357</v>
      </c>
      <c r="N146" t="s">
        <v>1638</v>
      </c>
      <c r="O146">
        <v>3</v>
      </c>
      <c r="P146" t="s">
        <v>1878</v>
      </c>
      <c r="Q146">
        <v>347</v>
      </c>
    </row>
    <row r="147" spans="13:17" x14ac:dyDescent="0.25">
      <c r="M147" s="1">
        <v>46358</v>
      </c>
      <c r="N147" t="s">
        <v>1638</v>
      </c>
      <c r="O147">
        <v>3</v>
      </c>
      <c r="P147" t="s">
        <v>1879</v>
      </c>
      <c r="Q147">
        <v>350</v>
      </c>
    </row>
    <row r="148" spans="13:17" x14ac:dyDescent="0.25">
      <c r="M148" s="1">
        <v>46359</v>
      </c>
      <c r="N148" t="s">
        <v>1638</v>
      </c>
      <c r="O148">
        <v>3</v>
      </c>
      <c r="P148" t="s">
        <v>1880</v>
      </c>
      <c r="Q148">
        <v>353</v>
      </c>
    </row>
    <row r="149" spans="13:17" x14ac:dyDescent="0.25">
      <c r="M149" s="1">
        <v>46360</v>
      </c>
      <c r="N149" t="s">
        <v>1638</v>
      </c>
      <c r="O149">
        <v>3</v>
      </c>
      <c r="P149" t="s">
        <v>1881</v>
      </c>
      <c r="Q149">
        <v>356</v>
      </c>
    </row>
    <row r="150" spans="13:17" x14ac:dyDescent="0.25">
      <c r="M150" s="1">
        <v>46361</v>
      </c>
      <c r="N150" t="s">
        <v>1638</v>
      </c>
      <c r="O150">
        <v>3</v>
      </c>
      <c r="P150" t="s">
        <v>1882</v>
      </c>
      <c r="Q150">
        <v>359</v>
      </c>
    </row>
    <row r="151" spans="13:17" x14ac:dyDescent="0.25">
      <c r="M151" s="1">
        <v>46365</v>
      </c>
      <c r="N151" t="s">
        <v>1638</v>
      </c>
      <c r="O151">
        <v>3</v>
      </c>
      <c r="P151" t="s">
        <v>1883</v>
      </c>
      <c r="Q151">
        <v>362</v>
      </c>
    </row>
    <row r="152" spans="13:17" x14ac:dyDescent="0.25">
      <c r="M152" s="1">
        <v>46366</v>
      </c>
      <c r="N152" t="s">
        <v>1638</v>
      </c>
      <c r="O152">
        <v>3</v>
      </c>
      <c r="P152" t="s">
        <v>1884</v>
      </c>
      <c r="Q152">
        <v>365</v>
      </c>
    </row>
    <row r="153" spans="13:17" x14ac:dyDescent="0.25">
      <c r="M153" s="1">
        <v>46367</v>
      </c>
      <c r="N153" t="s">
        <v>1638</v>
      </c>
      <c r="O153">
        <v>3</v>
      </c>
      <c r="P153" t="s">
        <v>1885</v>
      </c>
      <c r="Q153">
        <v>368</v>
      </c>
    </row>
    <row r="154" spans="13:17" x14ac:dyDescent="0.25">
      <c r="M154" s="1">
        <v>46368</v>
      </c>
      <c r="N154" t="s">
        <v>1638</v>
      </c>
      <c r="O154">
        <v>3</v>
      </c>
      <c r="P154" t="s">
        <v>1886</v>
      </c>
      <c r="Q154">
        <v>371</v>
      </c>
    </row>
    <row r="155" spans="13:17" x14ac:dyDescent="0.25">
      <c r="M155" s="1">
        <v>46371</v>
      </c>
      <c r="N155" t="s">
        <v>1638</v>
      </c>
      <c r="O155">
        <v>3</v>
      </c>
      <c r="P155" t="s">
        <v>1887</v>
      </c>
      <c r="Q155">
        <v>374</v>
      </c>
    </row>
    <row r="156" spans="13:17" x14ac:dyDescent="0.25">
      <c r="M156" s="1">
        <v>46372</v>
      </c>
      <c r="N156" t="s">
        <v>1638</v>
      </c>
      <c r="O156">
        <v>3</v>
      </c>
      <c r="P156" t="s">
        <v>1888</v>
      </c>
      <c r="Q156">
        <v>377</v>
      </c>
    </row>
    <row r="157" spans="13:17" x14ac:dyDescent="0.25">
      <c r="M157" s="1">
        <v>46373</v>
      </c>
      <c r="N157" t="s">
        <v>1638</v>
      </c>
      <c r="O157">
        <v>3</v>
      </c>
      <c r="P157" t="s">
        <v>1889</v>
      </c>
      <c r="Q157">
        <v>380</v>
      </c>
    </row>
    <row r="158" spans="13:17" x14ac:dyDescent="0.25">
      <c r="M158" s="1">
        <v>46374</v>
      </c>
      <c r="N158" t="s">
        <v>1638</v>
      </c>
      <c r="O158">
        <v>3</v>
      </c>
      <c r="P158" t="s">
        <v>1890</v>
      </c>
      <c r="Q158">
        <v>383</v>
      </c>
    </row>
    <row r="159" spans="13:17" x14ac:dyDescent="0.25">
      <c r="M159" s="1">
        <v>46375</v>
      </c>
      <c r="N159" t="s">
        <v>1638</v>
      </c>
      <c r="O159">
        <v>3</v>
      </c>
      <c r="P159" t="s">
        <v>1891</v>
      </c>
      <c r="Q159">
        <v>386</v>
      </c>
    </row>
    <row r="160" spans="13:17" x14ac:dyDescent="0.25">
      <c r="M160" s="1">
        <v>46378</v>
      </c>
      <c r="N160" t="s">
        <v>1638</v>
      </c>
      <c r="O160">
        <v>3</v>
      </c>
      <c r="P160" t="s">
        <v>1892</v>
      </c>
      <c r="Q160">
        <v>389</v>
      </c>
    </row>
    <row r="161" spans="13:17" x14ac:dyDescent="0.25">
      <c r="M161" s="1">
        <v>46379</v>
      </c>
      <c r="N161" t="s">
        <v>1638</v>
      </c>
      <c r="O161">
        <v>3</v>
      </c>
      <c r="P161" t="s">
        <v>1893</v>
      </c>
      <c r="Q161">
        <v>392</v>
      </c>
    </row>
    <row r="162" spans="13:17" x14ac:dyDescent="0.25">
      <c r="M162" s="1">
        <v>46380</v>
      </c>
      <c r="N162" t="s">
        <v>1638</v>
      </c>
      <c r="O162">
        <v>3</v>
      </c>
      <c r="P162" t="s">
        <v>1894</v>
      </c>
      <c r="Q162">
        <v>395</v>
      </c>
    </row>
    <row r="163" spans="13:17" x14ac:dyDescent="0.25">
      <c r="M163" s="1">
        <v>46382</v>
      </c>
      <c r="N163" t="s">
        <v>1638</v>
      </c>
      <c r="O163">
        <v>3</v>
      </c>
      <c r="P163" t="s">
        <v>1895</v>
      </c>
      <c r="Q163">
        <v>398</v>
      </c>
    </row>
    <row r="164" spans="13:17" x14ac:dyDescent="0.25">
      <c r="M164" s="1">
        <v>46385</v>
      </c>
      <c r="N164" t="s">
        <v>1638</v>
      </c>
      <c r="O164">
        <v>2</v>
      </c>
      <c r="P164" t="s">
        <v>1896</v>
      </c>
      <c r="Q164">
        <v>400</v>
      </c>
    </row>
    <row r="165" spans="13:17" x14ac:dyDescent="0.25">
      <c r="M165" s="1">
        <v>46386</v>
      </c>
      <c r="N165" t="s">
        <v>1638</v>
      </c>
      <c r="O165">
        <v>2</v>
      </c>
      <c r="P165" t="s">
        <v>1897</v>
      </c>
      <c r="Q165">
        <v>402</v>
      </c>
    </row>
    <row r="166" spans="13:17" x14ac:dyDescent="0.25">
      <c r="M166" s="1">
        <v>46387</v>
      </c>
      <c r="N166" t="s">
        <v>1638</v>
      </c>
      <c r="O166">
        <v>2</v>
      </c>
      <c r="P166" t="s">
        <v>1898</v>
      </c>
      <c r="Q166">
        <v>404</v>
      </c>
    </row>
    <row r="167" spans="13:17" x14ac:dyDescent="0.25">
      <c r="M167" s="1">
        <v>46389</v>
      </c>
      <c r="N167" t="s">
        <v>1627</v>
      </c>
      <c r="O167">
        <v>3</v>
      </c>
      <c r="P167" t="s">
        <v>1899</v>
      </c>
      <c r="Q167">
        <v>407</v>
      </c>
    </row>
    <row r="168" spans="13:17" x14ac:dyDescent="0.25">
      <c r="M168" s="1">
        <v>46392</v>
      </c>
      <c r="N168" t="s">
        <v>1627</v>
      </c>
      <c r="O168">
        <v>3</v>
      </c>
      <c r="P168" t="s">
        <v>1900</v>
      </c>
      <c r="Q168">
        <v>410</v>
      </c>
    </row>
    <row r="169" spans="13:17" x14ac:dyDescent="0.25">
      <c r="M169" s="1">
        <v>46393</v>
      </c>
      <c r="N169" t="s">
        <v>1627</v>
      </c>
      <c r="O169">
        <v>3</v>
      </c>
      <c r="P169" t="s">
        <v>1901</v>
      </c>
      <c r="Q169">
        <v>413</v>
      </c>
    </row>
    <row r="170" spans="13:17" x14ac:dyDescent="0.25">
      <c r="M170" s="1">
        <v>46394</v>
      </c>
      <c r="N170" t="s">
        <v>1627</v>
      </c>
      <c r="O170">
        <v>3</v>
      </c>
      <c r="P170" t="s">
        <v>1902</v>
      </c>
      <c r="Q170">
        <v>416</v>
      </c>
    </row>
    <row r="171" spans="13:17" x14ac:dyDescent="0.25">
      <c r="M171" s="1">
        <v>46395</v>
      </c>
      <c r="N171" t="s">
        <v>1627</v>
      </c>
      <c r="O171">
        <v>3</v>
      </c>
      <c r="P171" t="s">
        <v>1903</v>
      </c>
      <c r="Q171">
        <v>419</v>
      </c>
    </row>
    <row r="172" spans="13:17" x14ac:dyDescent="0.25">
      <c r="M172" s="1">
        <v>46396</v>
      </c>
      <c r="N172" t="s">
        <v>1627</v>
      </c>
      <c r="O172">
        <v>3</v>
      </c>
      <c r="P172" t="s">
        <v>1904</v>
      </c>
      <c r="Q172">
        <v>422</v>
      </c>
    </row>
    <row r="173" spans="13:17" x14ac:dyDescent="0.25">
      <c r="M173" s="1">
        <v>46399</v>
      </c>
      <c r="N173" t="s">
        <v>1627</v>
      </c>
      <c r="O173">
        <v>3</v>
      </c>
      <c r="P173" t="s">
        <v>1905</v>
      </c>
      <c r="Q173">
        <v>425</v>
      </c>
    </row>
    <row r="174" spans="13:17" x14ac:dyDescent="0.25">
      <c r="M174" s="1">
        <v>46400</v>
      </c>
      <c r="N174" t="s">
        <v>1627</v>
      </c>
      <c r="O174">
        <v>3</v>
      </c>
      <c r="P174" t="s">
        <v>1906</v>
      </c>
      <c r="Q174">
        <v>428</v>
      </c>
    </row>
    <row r="175" spans="13:17" x14ac:dyDescent="0.25">
      <c r="M175" s="1">
        <v>46401</v>
      </c>
      <c r="N175" t="s">
        <v>1627</v>
      </c>
      <c r="O175">
        <v>3</v>
      </c>
      <c r="P175" t="s">
        <v>1907</v>
      </c>
      <c r="Q175">
        <v>431</v>
      </c>
    </row>
    <row r="176" spans="13:17" x14ac:dyDescent="0.25">
      <c r="M176" s="1">
        <v>46402</v>
      </c>
      <c r="N176" t="s">
        <v>1627</v>
      </c>
      <c r="O176">
        <v>3</v>
      </c>
      <c r="P176" t="s">
        <v>1908</v>
      </c>
      <c r="Q176">
        <v>434</v>
      </c>
    </row>
    <row r="177" spans="13:17" x14ac:dyDescent="0.25">
      <c r="M177" s="1">
        <v>46403</v>
      </c>
      <c r="N177" t="s">
        <v>1627</v>
      </c>
      <c r="O177">
        <v>3</v>
      </c>
      <c r="P177" t="s">
        <v>1909</v>
      </c>
      <c r="Q177">
        <v>437</v>
      </c>
    </row>
    <row r="178" spans="13:17" x14ac:dyDescent="0.25">
      <c r="M178" s="1">
        <v>46406</v>
      </c>
      <c r="N178" t="s">
        <v>1627</v>
      </c>
      <c r="O178">
        <v>3</v>
      </c>
      <c r="P178" t="s">
        <v>1910</v>
      </c>
      <c r="Q178">
        <v>440</v>
      </c>
    </row>
    <row r="179" spans="13:17" x14ac:dyDescent="0.25">
      <c r="M179" s="1">
        <v>46407</v>
      </c>
      <c r="N179" t="s">
        <v>1627</v>
      </c>
      <c r="O179">
        <v>3</v>
      </c>
      <c r="P179" t="s">
        <v>1911</v>
      </c>
      <c r="Q179">
        <v>443</v>
      </c>
    </row>
    <row r="180" spans="13:17" x14ac:dyDescent="0.25">
      <c r="M180" s="1">
        <v>46408</v>
      </c>
      <c r="N180" t="s">
        <v>1627</v>
      </c>
      <c r="O180">
        <v>3</v>
      </c>
      <c r="P180" t="s">
        <v>1912</v>
      </c>
      <c r="Q180">
        <v>446</v>
      </c>
    </row>
    <row r="181" spans="13:17" x14ac:dyDescent="0.25">
      <c r="M181" s="1">
        <v>46409</v>
      </c>
      <c r="N181" t="s">
        <v>1627</v>
      </c>
      <c r="O181">
        <v>3</v>
      </c>
      <c r="P181" t="s">
        <v>1913</v>
      </c>
      <c r="Q181">
        <v>449</v>
      </c>
    </row>
    <row r="182" spans="13:17" x14ac:dyDescent="0.25">
      <c r="M182" s="1">
        <v>46410</v>
      </c>
      <c r="N182" t="s">
        <v>1627</v>
      </c>
      <c r="O182">
        <v>3</v>
      </c>
      <c r="P182" t="s">
        <v>1914</v>
      </c>
      <c r="Q182">
        <v>452</v>
      </c>
    </row>
    <row r="183" spans="13:17" x14ac:dyDescent="0.25">
      <c r="M183" s="1">
        <v>46413</v>
      </c>
      <c r="N183" t="s">
        <v>1627</v>
      </c>
      <c r="O183">
        <v>3</v>
      </c>
      <c r="P183" t="s">
        <v>1915</v>
      </c>
      <c r="Q183">
        <v>455</v>
      </c>
    </row>
    <row r="184" spans="13:17" x14ac:dyDescent="0.25">
      <c r="M184" s="1">
        <v>46414</v>
      </c>
      <c r="N184" t="s">
        <v>1627</v>
      </c>
      <c r="O184">
        <v>3</v>
      </c>
      <c r="P184" t="s">
        <v>1916</v>
      </c>
      <c r="Q184">
        <v>458</v>
      </c>
    </row>
    <row r="185" spans="13:17" x14ac:dyDescent="0.25">
      <c r="M185" s="1">
        <v>46415</v>
      </c>
      <c r="N185" t="s">
        <v>1627</v>
      </c>
      <c r="O185">
        <v>2</v>
      </c>
      <c r="P185" t="s">
        <v>1917</v>
      </c>
      <c r="Q185">
        <v>460</v>
      </c>
    </row>
    <row r="186" spans="13:17" x14ac:dyDescent="0.25">
      <c r="M186" s="1">
        <v>46416</v>
      </c>
      <c r="N186" t="s">
        <v>1627</v>
      </c>
      <c r="O186">
        <v>2</v>
      </c>
      <c r="P186" t="s">
        <v>1918</v>
      </c>
      <c r="Q186">
        <v>462</v>
      </c>
    </row>
    <row r="187" spans="13:17" x14ac:dyDescent="0.25">
      <c r="M187" s="1">
        <v>46417</v>
      </c>
      <c r="N187" t="s">
        <v>1627</v>
      </c>
      <c r="O187">
        <v>2</v>
      </c>
      <c r="P187" t="s">
        <v>1919</v>
      </c>
      <c r="Q187">
        <v>464</v>
      </c>
    </row>
    <row r="188" spans="13:17" x14ac:dyDescent="0.25">
      <c r="M188" s="1">
        <v>46420</v>
      </c>
      <c r="N188" t="s">
        <v>1628</v>
      </c>
      <c r="O188">
        <v>3</v>
      </c>
      <c r="P188" t="s">
        <v>1920</v>
      </c>
      <c r="Q188">
        <v>467</v>
      </c>
    </row>
    <row r="189" spans="13:17" x14ac:dyDescent="0.25">
      <c r="M189" s="1">
        <v>46421</v>
      </c>
      <c r="N189" t="s">
        <v>1628</v>
      </c>
      <c r="O189">
        <v>3</v>
      </c>
      <c r="P189" t="s">
        <v>1921</v>
      </c>
      <c r="Q189">
        <v>470</v>
      </c>
    </row>
    <row r="190" spans="13:17" x14ac:dyDescent="0.25">
      <c r="M190" s="1">
        <v>46422</v>
      </c>
      <c r="N190" t="s">
        <v>1628</v>
      </c>
      <c r="O190">
        <v>3</v>
      </c>
      <c r="P190" t="s">
        <v>1922</v>
      </c>
      <c r="Q190">
        <v>473</v>
      </c>
    </row>
    <row r="191" spans="13:17" x14ac:dyDescent="0.25">
      <c r="M191" s="1">
        <v>46423</v>
      </c>
      <c r="N191" t="s">
        <v>1628</v>
      </c>
      <c r="O191">
        <v>3</v>
      </c>
      <c r="P191" t="s">
        <v>1923</v>
      </c>
      <c r="Q191">
        <v>476</v>
      </c>
    </row>
    <row r="192" spans="13:17" x14ac:dyDescent="0.25">
      <c r="M192" s="1">
        <v>46424</v>
      </c>
      <c r="N192" t="s">
        <v>1628</v>
      </c>
      <c r="O192">
        <v>3</v>
      </c>
      <c r="P192" t="s">
        <v>1924</v>
      </c>
      <c r="Q192">
        <v>479</v>
      </c>
    </row>
    <row r="193" spans="13:17" x14ac:dyDescent="0.25">
      <c r="M193" s="1">
        <v>46427</v>
      </c>
      <c r="N193" t="s">
        <v>1628</v>
      </c>
      <c r="O193">
        <v>3</v>
      </c>
      <c r="P193" t="s">
        <v>1925</v>
      </c>
      <c r="Q193">
        <v>482</v>
      </c>
    </row>
    <row r="194" spans="13:17" x14ac:dyDescent="0.25">
      <c r="M194" s="1">
        <v>46428</v>
      </c>
      <c r="N194" t="s">
        <v>1628</v>
      </c>
      <c r="O194">
        <v>3</v>
      </c>
      <c r="P194" t="s">
        <v>1926</v>
      </c>
      <c r="Q194">
        <v>485</v>
      </c>
    </row>
    <row r="195" spans="13:17" x14ac:dyDescent="0.25">
      <c r="M195" s="1">
        <v>46429</v>
      </c>
      <c r="N195" t="s">
        <v>1628</v>
      </c>
      <c r="O195">
        <v>3</v>
      </c>
      <c r="P195" t="s">
        <v>1927</v>
      </c>
      <c r="Q195">
        <v>488</v>
      </c>
    </row>
    <row r="196" spans="13:17" x14ac:dyDescent="0.25">
      <c r="M196" s="1">
        <v>46430</v>
      </c>
      <c r="N196" t="s">
        <v>1628</v>
      </c>
      <c r="O196">
        <v>3</v>
      </c>
      <c r="P196" t="s">
        <v>1928</v>
      </c>
      <c r="Q196">
        <v>491</v>
      </c>
    </row>
    <row r="197" spans="13:17" x14ac:dyDescent="0.25">
      <c r="M197" s="1">
        <v>46431</v>
      </c>
      <c r="N197" t="s">
        <v>1628</v>
      </c>
      <c r="O197">
        <v>3</v>
      </c>
      <c r="P197" t="s">
        <v>1929</v>
      </c>
      <c r="Q197">
        <v>494</v>
      </c>
    </row>
    <row r="198" spans="13:17" x14ac:dyDescent="0.25">
      <c r="M198" s="1">
        <v>46434</v>
      </c>
      <c r="N198" t="s">
        <v>1628</v>
      </c>
      <c r="O198">
        <v>3</v>
      </c>
      <c r="P198" t="s">
        <v>1930</v>
      </c>
      <c r="Q198">
        <v>497</v>
      </c>
    </row>
    <row r="199" spans="13:17" x14ac:dyDescent="0.25">
      <c r="M199" s="1">
        <v>46435</v>
      </c>
      <c r="N199" t="s">
        <v>1628</v>
      </c>
      <c r="O199">
        <v>3</v>
      </c>
      <c r="P199" t="s">
        <v>1931</v>
      </c>
      <c r="Q199">
        <v>500</v>
      </c>
    </row>
    <row r="200" spans="13:17" x14ac:dyDescent="0.25">
      <c r="M200" s="1">
        <v>46436</v>
      </c>
      <c r="N200" t="s">
        <v>1628</v>
      </c>
      <c r="O200">
        <v>3</v>
      </c>
      <c r="P200" t="s">
        <v>1932</v>
      </c>
      <c r="Q200">
        <v>503</v>
      </c>
    </row>
    <row r="201" spans="13:17" x14ac:dyDescent="0.25">
      <c r="M201" s="1">
        <v>46437</v>
      </c>
      <c r="N201" t="s">
        <v>1628</v>
      </c>
      <c r="O201">
        <v>3</v>
      </c>
      <c r="P201" t="s">
        <v>1933</v>
      </c>
      <c r="Q201">
        <v>506</v>
      </c>
    </row>
    <row r="202" spans="13:17" x14ac:dyDescent="0.25">
      <c r="M202" s="1">
        <v>46438</v>
      </c>
      <c r="N202" t="s">
        <v>1628</v>
      </c>
      <c r="O202">
        <v>3</v>
      </c>
      <c r="P202" t="s">
        <v>1934</v>
      </c>
      <c r="Q202">
        <v>509</v>
      </c>
    </row>
    <row r="203" spans="13:17" x14ac:dyDescent="0.25">
      <c r="M203" s="1">
        <v>46441</v>
      </c>
      <c r="N203" t="s">
        <v>1628</v>
      </c>
      <c r="O203">
        <v>3</v>
      </c>
      <c r="P203" t="s">
        <v>1935</v>
      </c>
      <c r="Q203">
        <v>512</v>
      </c>
    </row>
    <row r="204" spans="13:17" x14ac:dyDescent="0.25">
      <c r="M204" s="1">
        <v>46442</v>
      </c>
      <c r="N204" t="s">
        <v>1628</v>
      </c>
      <c r="O204">
        <v>3</v>
      </c>
      <c r="P204" t="s">
        <v>1936</v>
      </c>
      <c r="Q204">
        <v>515</v>
      </c>
    </row>
    <row r="205" spans="13:17" x14ac:dyDescent="0.25">
      <c r="M205" s="1">
        <v>46443</v>
      </c>
      <c r="N205" t="s">
        <v>1628</v>
      </c>
      <c r="O205">
        <v>3</v>
      </c>
      <c r="P205" t="s">
        <v>1937</v>
      </c>
      <c r="Q205">
        <v>518</v>
      </c>
    </row>
    <row r="206" spans="13:17" x14ac:dyDescent="0.25">
      <c r="M206" s="1">
        <v>46444</v>
      </c>
      <c r="N206" t="s">
        <v>1628</v>
      </c>
      <c r="O206">
        <v>3</v>
      </c>
      <c r="P206" t="s">
        <v>1938</v>
      </c>
      <c r="Q206">
        <v>521</v>
      </c>
    </row>
    <row r="207" spans="13:17" x14ac:dyDescent="0.25">
      <c r="M207" s="1">
        <v>46445</v>
      </c>
      <c r="N207" t="s">
        <v>1628</v>
      </c>
      <c r="O207">
        <v>3</v>
      </c>
      <c r="P207" t="s">
        <v>1939</v>
      </c>
      <c r="Q207">
        <v>524</v>
      </c>
    </row>
    <row r="208" spans="13:17" x14ac:dyDescent="0.25">
      <c r="M208" s="1">
        <v>46448</v>
      </c>
      <c r="N208" t="s">
        <v>1629</v>
      </c>
      <c r="O208">
        <v>3</v>
      </c>
      <c r="P208" t="s">
        <v>1940</v>
      </c>
      <c r="Q208">
        <v>527</v>
      </c>
    </row>
    <row r="209" spans="13:17" x14ac:dyDescent="0.25">
      <c r="M209" s="1">
        <v>46449</v>
      </c>
      <c r="N209" t="s">
        <v>1629</v>
      </c>
      <c r="O209">
        <v>3</v>
      </c>
      <c r="P209" t="s">
        <v>1941</v>
      </c>
      <c r="Q209">
        <v>530</v>
      </c>
    </row>
    <row r="210" spans="13:17" x14ac:dyDescent="0.25">
      <c r="M210" s="1">
        <v>46450</v>
      </c>
      <c r="N210" t="s">
        <v>1629</v>
      </c>
      <c r="O210">
        <v>3</v>
      </c>
      <c r="P210" t="s">
        <v>1942</v>
      </c>
      <c r="Q210">
        <v>533</v>
      </c>
    </row>
    <row r="211" spans="13:17" x14ac:dyDescent="0.25">
      <c r="M211" s="1">
        <v>46451</v>
      </c>
      <c r="N211" t="s">
        <v>1629</v>
      </c>
      <c r="O211">
        <v>3</v>
      </c>
      <c r="P211" t="s">
        <v>1943</v>
      </c>
      <c r="Q211">
        <v>536</v>
      </c>
    </row>
    <row r="212" spans="13:17" x14ac:dyDescent="0.25">
      <c r="M212" s="1">
        <v>46452</v>
      </c>
      <c r="N212" t="s">
        <v>1629</v>
      </c>
      <c r="O212">
        <v>3</v>
      </c>
      <c r="P212" t="s">
        <v>1944</v>
      </c>
      <c r="Q212">
        <v>539</v>
      </c>
    </row>
    <row r="213" spans="13:17" x14ac:dyDescent="0.25">
      <c r="M213" s="1">
        <v>46455</v>
      </c>
      <c r="N213" t="s">
        <v>1629</v>
      </c>
      <c r="O213">
        <v>3</v>
      </c>
      <c r="P213" t="s">
        <v>1945</v>
      </c>
      <c r="Q213">
        <v>542</v>
      </c>
    </row>
    <row r="214" spans="13:17" x14ac:dyDescent="0.25">
      <c r="M214" s="1">
        <v>46456</v>
      </c>
      <c r="N214" t="s">
        <v>1629</v>
      </c>
      <c r="O214">
        <v>3</v>
      </c>
      <c r="P214" t="s">
        <v>1946</v>
      </c>
      <c r="Q214">
        <v>545</v>
      </c>
    </row>
    <row r="215" spans="13:17" x14ac:dyDescent="0.25">
      <c r="M215" s="1">
        <v>46457</v>
      </c>
      <c r="N215" t="s">
        <v>1629</v>
      </c>
      <c r="O215">
        <v>3</v>
      </c>
      <c r="P215" t="s">
        <v>1947</v>
      </c>
      <c r="Q215">
        <v>548</v>
      </c>
    </row>
    <row r="216" spans="13:17" x14ac:dyDescent="0.25">
      <c r="M216" s="1">
        <v>46458</v>
      </c>
      <c r="N216" t="s">
        <v>1629</v>
      </c>
      <c r="O216">
        <v>3</v>
      </c>
      <c r="P216" t="s">
        <v>1948</v>
      </c>
      <c r="Q216">
        <v>551</v>
      </c>
    </row>
    <row r="217" spans="13:17" x14ac:dyDescent="0.25">
      <c r="M217" s="1">
        <v>46459</v>
      </c>
      <c r="N217" t="s">
        <v>1629</v>
      </c>
      <c r="O217">
        <v>3</v>
      </c>
      <c r="P217" t="s">
        <v>1949</v>
      </c>
      <c r="Q217">
        <v>554</v>
      </c>
    </row>
    <row r="218" spans="13:17" x14ac:dyDescent="0.25">
      <c r="M218" s="1">
        <v>46462</v>
      </c>
      <c r="N218" t="s">
        <v>1629</v>
      </c>
      <c r="O218">
        <v>3</v>
      </c>
      <c r="P218" t="s">
        <v>1950</v>
      </c>
      <c r="Q218">
        <v>557</v>
      </c>
    </row>
    <row r="219" spans="13:17" x14ac:dyDescent="0.25">
      <c r="M219" s="1">
        <v>46463</v>
      </c>
      <c r="N219" t="s">
        <v>1629</v>
      </c>
      <c r="O219">
        <v>3</v>
      </c>
      <c r="P219" t="s">
        <v>1951</v>
      </c>
      <c r="Q219">
        <v>560</v>
      </c>
    </row>
    <row r="220" spans="13:17" x14ac:dyDescent="0.25">
      <c r="M220" s="1">
        <v>46464</v>
      </c>
      <c r="N220" t="s">
        <v>1629</v>
      </c>
      <c r="O220">
        <v>3</v>
      </c>
      <c r="P220" t="s">
        <v>1952</v>
      </c>
      <c r="Q220">
        <v>563</v>
      </c>
    </row>
    <row r="221" spans="13:17" x14ac:dyDescent="0.25">
      <c r="M221" s="1">
        <v>46465</v>
      </c>
      <c r="N221" t="s">
        <v>1629</v>
      </c>
      <c r="O221">
        <v>3</v>
      </c>
      <c r="P221" t="s">
        <v>1953</v>
      </c>
      <c r="Q221">
        <v>566</v>
      </c>
    </row>
    <row r="222" spans="13:17" x14ac:dyDescent="0.25">
      <c r="M222" s="1">
        <v>46466</v>
      </c>
      <c r="N222" t="s">
        <v>1629</v>
      </c>
      <c r="O222">
        <v>3</v>
      </c>
      <c r="P222" t="s">
        <v>1954</v>
      </c>
      <c r="Q222">
        <v>569</v>
      </c>
    </row>
    <row r="223" spans="13:17" x14ac:dyDescent="0.25">
      <c r="M223" s="1">
        <v>46469</v>
      </c>
      <c r="N223" t="s">
        <v>1629</v>
      </c>
      <c r="O223">
        <v>3</v>
      </c>
      <c r="P223" t="s">
        <v>1955</v>
      </c>
      <c r="Q223">
        <v>572</v>
      </c>
    </row>
    <row r="224" spans="13:17" x14ac:dyDescent="0.25">
      <c r="M224" s="1">
        <v>46470</v>
      </c>
      <c r="N224" t="s">
        <v>1629</v>
      </c>
      <c r="O224">
        <v>2</v>
      </c>
      <c r="P224" t="s">
        <v>1956</v>
      </c>
      <c r="Q224">
        <v>574</v>
      </c>
    </row>
    <row r="225" spans="13:17" x14ac:dyDescent="0.25">
      <c r="M225" s="1">
        <v>46471</v>
      </c>
      <c r="N225" t="s">
        <v>1629</v>
      </c>
      <c r="O225">
        <v>2</v>
      </c>
      <c r="P225" t="s">
        <v>1957</v>
      </c>
      <c r="Q225">
        <v>576</v>
      </c>
    </row>
    <row r="226" spans="13:17" x14ac:dyDescent="0.25">
      <c r="M226" s="1">
        <v>46472</v>
      </c>
      <c r="N226" t="s">
        <v>1629</v>
      </c>
      <c r="O226">
        <v>2</v>
      </c>
      <c r="P226" t="s">
        <v>1958</v>
      </c>
      <c r="Q226">
        <v>578</v>
      </c>
    </row>
    <row r="227" spans="13:17" x14ac:dyDescent="0.25">
      <c r="M227" s="1">
        <v>46473</v>
      </c>
      <c r="N227" t="s">
        <v>1629</v>
      </c>
      <c r="O227">
        <v>2</v>
      </c>
      <c r="P227" t="s">
        <v>1959</v>
      </c>
      <c r="Q227">
        <v>580</v>
      </c>
    </row>
    <row r="228" spans="13:17" x14ac:dyDescent="0.25">
      <c r="M228" s="1">
        <v>46476</v>
      </c>
      <c r="N228" t="s">
        <v>1629</v>
      </c>
      <c r="O228">
        <v>2</v>
      </c>
      <c r="P228" t="s">
        <v>1960</v>
      </c>
      <c r="Q228">
        <v>582</v>
      </c>
    </row>
    <row r="229" spans="13:17" x14ac:dyDescent="0.25">
      <c r="M229" s="1">
        <v>46477</v>
      </c>
      <c r="N229" t="s">
        <v>1629</v>
      </c>
      <c r="O229">
        <v>2</v>
      </c>
      <c r="P229" t="s">
        <v>1961</v>
      </c>
      <c r="Q229">
        <v>584</v>
      </c>
    </row>
    <row r="230" spans="13:17" x14ac:dyDescent="0.25">
      <c r="M230" s="1">
        <v>46478</v>
      </c>
      <c r="N230" t="s">
        <v>1630</v>
      </c>
      <c r="O230">
        <v>3</v>
      </c>
      <c r="P230" t="s">
        <v>1962</v>
      </c>
      <c r="Q230">
        <v>587</v>
      </c>
    </row>
    <row r="231" spans="13:17" x14ac:dyDescent="0.25">
      <c r="M231" s="1">
        <v>46479</v>
      </c>
      <c r="N231" t="s">
        <v>1630</v>
      </c>
      <c r="O231">
        <v>3</v>
      </c>
      <c r="P231" t="s">
        <v>1963</v>
      </c>
      <c r="Q231">
        <v>590</v>
      </c>
    </row>
    <row r="232" spans="13:17" x14ac:dyDescent="0.25">
      <c r="M232" s="1">
        <v>46483</v>
      </c>
      <c r="N232" t="s">
        <v>1630</v>
      </c>
      <c r="O232">
        <v>3</v>
      </c>
      <c r="P232" t="s">
        <v>1964</v>
      </c>
      <c r="Q232">
        <v>593</v>
      </c>
    </row>
    <row r="233" spans="13:17" x14ac:dyDescent="0.25">
      <c r="M233" s="1">
        <v>46484</v>
      </c>
      <c r="N233" t="s">
        <v>1630</v>
      </c>
      <c r="O233">
        <v>3</v>
      </c>
      <c r="P233" t="s">
        <v>1965</v>
      </c>
      <c r="Q233">
        <v>596</v>
      </c>
    </row>
    <row r="234" spans="13:17" x14ac:dyDescent="0.25">
      <c r="M234" s="1">
        <v>46485</v>
      </c>
      <c r="N234" t="s">
        <v>1630</v>
      </c>
      <c r="O234">
        <v>3</v>
      </c>
      <c r="P234" t="s">
        <v>1966</v>
      </c>
      <c r="Q234">
        <v>599</v>
      </c>
    </row>
    <row r="235" spans="13:17" x14ac:dyDescent="0.25">
      <c r="M235" s="1">
        <v>46486</v>
      </c>
      <c r="N235" t="s">
        <v>1630</v>
      </c>
      <c r="O235">
        <v>3</v>
      </c>
      <c r="P235" t="s">
        <v>1967</v>
      </c>
      <c r="Q235">
        <v>602</v>
      </c>
    </row>
    <row r="236" spans="13:17" x14ac:dyDescent="0.25">
      <c r="M236" s="1">
        <v>46487</v>
      </c>
      <c r="N236" t="s">
        <v>1630</v>
      </c>
      <c r="O236">
        <v>3</v>
      </c>
      <c r="P236" t="s">
        <v>1968</v>
      </c>
      <c r="Q236">
        <v>605</v>
      </c>
    </row>
    <row r="237" spans="13:17" x14ac:dyDescent="0.25">
      <c r="M237" s="1">
        <v>46490</v>
      </c>
      <c r="N237" t="s">
        <v>1630</v>
      </c>
      <c r="O237">
        <v>3</v>
      </c>
      <c r="P237" t="s">
        <v>1969</v>
      </c>
      <c r="Q237">
        <v>608</v>
      </c>
    </row>
    <row r="238" spans="13:17" x14ac:dyDescent="0.25">
      <c r="M238" s="1">
        <v>46491</v>
      </c>
      <c r="N238" t="s">
        <v>1630</v>
      </c>
      <c r="O238">
        <v>3</v>
      </c>
      <c r="P238" t="s">
        <v>1970</v>
      </c>
      <c r="Q238">
        <v>611</v>
      </c>
    </row>
    <row r="239" spans="13:17" x14ac:dyDescent="0.25">
      <c r="M239" s="1">
        <v>46492</v>
      </c>
      <c r="N239" t="s">
        <v>1630</v>
      </c>
      <c r="O239">
        <v>3</v>
      </c>
      <c r="P239" t="s">
        <v>1971</v>
      </c>
      <c r="Q239">
        <v>614</v>
      </c>
    </row>
    <row r="240" spans="13:17" x14ac:dyDescent="0.25">
      <c r="M240" s="1">
        <v>46493</v>
      </c>
      <c r="N240" t="s">
        <v>1630</v>
      </c>
      <c r="O240">
        <v>3</v>
      </c>
      <c r="P240" t="s">
        <v>1972</v>
      </c>
      <c r="Q240">
        <v>617</v>
      </c>
    </row>
    <row r="241" spans="13:17" x14ac:dyDescent="0.25">
      <c r="M241" s="1">
        <v>46494</v>
      </c>
      <c r="N241" t="s">
        <v>1630</v>
      </c>
      <c r="O241">
        <v>3</v>
      </c>
      <c r="P241" t="s">
        <v>1973</v>
      </c>
      <c r="Q241">
        <v>620</v>
      </c>
    </row>
    <row r="242" spans="13:17" x14ac:dyDescent="0.25">
      <c r="M242" s="1">
        <v>46497</v>
      </c>
      <c r="N242" t="s">
        <v>1630</v>
      </c>
      <c r="O242">
        <v>3</v>
      </c>
      <c r="P242" t="s">
        <v>1974</v>
      </c>
      <c r="Q242">
        <v>623</v>
      </c>
    </row>
    <row r="243" spans="13:17" x14ac:dyDescent="0.25">
      <c r="M243" s="1">
        <v>46498</v>
      </c>
      <c r="N243" t="s">
        <v>1630</v>
      </c>
      <c r="O243">
        <v>3</v>
      </c>
      <c r="P243" t="s">
        <v>1975</v>
      </c>
      <c r="Q243">
        <v>626</v>
      </c>
    </row>
    <row r="244" spans="13:17" x14ac:dyDescent="0.25">
      <c r="M244" s="1">
        <v>46499</v>
      </c>
      <c r="N244" t="s">
        <v>1630</v>
      </c>
      <c r="O244">
        <v>3</v>
      </c>
      <c r="P244" t="s">
        <v>1976</v>
      </c>
      <c r="Q244">
        <v>629</v>
      </c>
    </row>
    <row r="245" spans="13:17" x14ac:dyDescent="0.25">
      <c r="M245" s="1">
        <v>46500</v>
      </c>
      <c r="N245" t="s">
        <v>1630</v>
      </c>
      <c r="O245">
        <v>3</v>
      </c>
      <c r="P245" t="s">
        <v>1977</v>
      </c>
      <c r="Q245">
        <v>632</v>
      </c>
    </row>
    <row r="246" spans="13:17" x14ac:dyDescent="0.25">
      <c r="M246" s="1">
        <v>46501</v>
      </c>
      <c r="N246" t="s">
        <v>1630</v>
      </c>
      <c r="O246">
        <v>3</v>
      </c>
      <c r="P246" t="s">
        <v>1978</v>
      </c>
      <c r="Q246">
        <v>635</v>
      </c>
    </row>
    <row r="247" spans="13:17" x14ac:dyDescent="0.25">
      <c r="M247" s="1">
        <v>46504</v>
      </c>
      <c r="N247" t="s">
        <v>1630</v>
      </c>
      <c r="O247">
        <v>3</v>
      </c>
      <c r="P247" t="s">
        <v>1979</v>
      </c>
      <c r="Q247">
        <v>638</v>
      </c>
    </row>
    <row r="248" spans="13:17" x14ac:dyDescent="0.25">
      <c r="M248" s="1">
        <v>46505</v>
      </c>
      <c r="N248" t="s">
        <v>1630</v>
      </c>
      <c r="O248">
        <v>2</v>
      </c>
      <c r="P248" t="s">
        <v>1980</v>
      </c>
      <c r="Q248">
        <v>640</v>
      </c>
    </row>
    <row r="249" spans="13:17" x14ac:dyDescent="0.25">
      <c r="M249" s="1">
        <v>46506</v>
      </c>
      <c r="N249" t="s">
        <v>1630</v>
      </c>
      <c r="O249">
        <v>2</v>
      </c>
      <c r="P249" t="s">
        <v>1981</v>
      </c>
      <c r="Q249">
        <v>642</v>
      </c>
    </row>
    <row r="250" spans="13:17" x14ac:dyDescent="0.25">
      <c r="M250" s="1">
        <v>46507</v>
      </c>
      <c r="N250" t="s">
        <v>1630</v>
      </c>
      <c r="O250">
        <v>2</v>
      </c>
      <c r="P250" t="s">
        <v>1982</v>
      </c>
      <c r="Q250">
        <v>644</v>
      </c>
    </row>
    <row r="251" spans="13:17" x14ac:dyDescent="0.25">
      <c r="M251" s="1">
        <v>46511</v>
      </c>
      <c r="N251" t="s">
        <v>1983</v>
      </c>
      <c r="O251">
        <v>3</v>
      </c>
      <c r="P251" t="s">
        <v>1984</v>
      </c>
      <c r="Q251">
        <v>647</v>
      </c>
    </row>
    <row r="252" spans="13:17" x14ac:dyDescent="0.25">
      <c r="M252" s="1">
        <v>46512</v>
      </c>
      <c r="N252" t="s">
        <v>1983</v>
      </c>
      <c r="O252">
        <v>3</v>
      </c>
      <c r="P252" t="s">
        <v>1985</v>
      </c>
      <c r="Q252">
        <v>650</v>
      </c>
    </row>
    <row r="253" spans="13:17" x14ac:dyDescent="0.25">
      <c r="M253" s="1">
        <v>46513</v>
      </c>
      <c r="N253" t="s">
        <v>1983</v>
      </c>
      <c r="O253">
        <v>3</v>
      </c>
      <c r="P253" t="s">
        <v>1986</v>
      </c>
      <c r="Q253">
        <v>653</v>
      </c>
    </row>
    <row r="254" spans="13:17" x14ac:dyDescent="0.25">
      <c r="M254" s="1">
        <v>46514</v>
      </c>
      <c r="N254" t="s">
        <v>1983</v>
      </c>
      <c r="O254">
        <v>3</v>
      </c>
      <c r="P254" t="s">
        <v>1987</v>
      </c>
      <c r="Q254">
        <v>656</v>
      </c>
    </row>
    <row r="255" spans="13:17" x14ac:dyDescent="0.25">
      <c r="M255" s="1">
        <v>46515</v>
      </c>
      <c r="N255" t="s">
        <v>1983</v>
      </c>
      <c r="O255">
        <v>3</v>
      </c>
      <c r="P255" t="s">
        <v>1988</v>
      </c>
      <c r="Q255">
        <v>659</v>
      </c>
    </row>
    <row r="256" spans="13:17" x14ac:dyDescent="0.25">
      <c r="M256" s="1">
        <v>46518</v>
      </c>
      <c r="N256" t="s">
        <v>1983</v>
      </c>
      <c r="O256">
        <v>3</v>
      </c>
      <c r="P256" t="s">
        <v>1989</v>
      </c>
      <c r="Q256">
        <v>662</v>
      </c>
    </row>
    <row r="257" spans="13:17" x14ac:dyDescent="0.25">
      <c r="M257" s="1">
        <v>46519</v>
      </c>
      <c r="N257" t="s">
        <v>1983</v>
      </c>
      <c r="O257">
        <v>3</v>
      </c>
      <c r="P257" t="s">
        <v>1990</v>
      </c>
      <c r="Q257">
        <v>665</v>
      </c>
    </row>
    <row r="258" spans="13:17" x14ac:dyDescent="0.25">
      <c r="M258" s="1">
        <v>46520</v>
      </c>
      <c r="N258" t="s">
        <v>1983</v>
      </c>
      <c r="O258">
        <v>3</v>
      </c>
      <c r="P258" t="s">
        <v>1991</v>
      </c>
      <c r="Q258">
        <v>668</v>
      </c>
    </row>
    <row r="259" spans="13:17" x14ac:dyDescent="0.25">
      <c r="M259" s="1">
        <v>46521</v>
      </c>
      <c r="N259" t="s">
        <v>1983</v>
      </c>
      <c r="O259">
        <v>3</v>
      </c>
      <c r="P259" t="s">
        <v>1992</v>
      </c>
      <c r="Q259">
        <v>671</v>
      </c>
    </row>
    <row r="260" spans="13:17" x14ac:dyDescent="0.25">
      <c r="M260" s="1">
        <v>46522</v>
      </c>
      <c r="N260" t="s">
        <v>1983</v>
      </c>
      <c r="O260">
        <v>3</v>
      </c>
      <c r="P260" t="s">
        <v>1993</v>
      </c>
      <c r="Q260">
        <v>674</v>
      </c>
    </row>
    <row r="261" spans="13:17" x14ac:dyDescent="0.25">
      <c r="M261" s="1">
        <v>46525</v>
      </c>
      <c r="N261" t="s">
        <v>1983</v>
      </c>
      <c r="O261">
        <v>3</v>
      </c>
      <c r="P261" t="s">
        <v>1994</v>
      </c>
      <c r="Q261">
        <v>677</v>
      </c>
    </row>
    <row r="262" spans="13:17" x14ac:dyDescent="0.25">
      <c r="M262" s="1">
        <v>46526</v>
      </c>
      <c r="N262" t="s">
        <v>1983</v>
      </c>
      <c r="O262">
        <v>3</v>
      </c>
      <c r="P262" t="s">
        <v>1995</v>
      </c>
      <c r="Q262">
        <v>680</v>
      </c>
    </row>
    <row r="263" spans="13:17" x14ac:dyDescent="0.25">
      <c r="M263" s="1">
        <v>46527</v>
      </c>
      <c r="N263" t="s">
        <v>1983</v>
      </c>
      <c r="O263">
        <v>3</v>
      </c>
      <c r="P263" t="s">
        <v>1996</v>
      </c>
      <c r="Q263">
        <v>683</v>
      </c>
    </row>
    <row r="264" spans="13:17" x14ac:dyDescent="0.25">
      <c r="M264" s="1">
        <v>46528</v>
      </c>
      <c r="N264" t="s">
        <v>1983</v>
      </c>
      <c r="O264">
        <v>3</v>
      </c>
      <c r="P264" t="s">
        <v>1997</v>
      </c>
      <c r="Q264">
        <v>686</v>
      </c>
    </row>
    <row r="265" spans="13:17" x14ac:dyDescent="0.25">
      <c r="M265" s="1">
        <v>46529</v>
      </c>
      <c r="N265" t="s">
        <v>1983</v>
      </c>
      <c r="O265">
        <v>3</v>
      </c>
      <c r="P265" t="s">
        <v>1998</v>
      </c>
      <c r="Q265">
        <v>689</v>
      </c>
    </row>
    <row r="266" spans="13:17" x14ac:dyDescent="0.25">
      <c r="M266" s="1">
        <v>46532</v>
      </c>
      <c r="N266" t="s">
        <v>1983</v>
      </c>
      <c r="O266">
        <v>3</v>
      </c>
      <c r="P266" t="s">
        <v>1999</v>
      </c>
      <c r="Q266">
        <v>692</v>
      </c>
    </row>
    <row r="267" spans="13:17" x14ac:dyDescent="0.25">
      <c r="M267" s="1">
        <v>46533</v>
      </c>
      <c r="N267" t="s">
        <v>1983</v>
      </c>
      <c r="O267">
        <v>3</v>
      </c>
      <c r="P267" t="s">
        <v>2000</v>
      </c>
      <c r="Q267">
        <v>695</v>
      </c>
    </row>
    <row r="268" spans="13:17" x14ac:dyDescent="0.25">
      <c r="M268" s="1">
        <v>46534</v>
      </c>
      <c r="N268" t="s">
        <v>1983</v>
      </c>
      <c r="O268">
        <v>3</v>
      </c>
      <c r="P268" t="s">
        <v>2001</v>
      </c>
      <c r="Q268">
        <v>698</v>
      </c>
    </row>
    <row r="269" spans="13:17" x14ac:dyDescent="0.25">
      <c r="M269" s="1">
        <v>46535</v>
      </c>
      <c r="N269" t="s">
        <v>1983</v>
      </c>
      <c r="O269">
        <v>3</v>
      </c>
      <c r="P269" t="s">
        <v>2002</v>
      </c>
      <c r="Q269">
        <v>701</v>
      </c>
    </row>
    <row r="270" spans="13:17" x14ac:dyDescent="0.25">
      <c r="M270" s="1">
        <v>46536</v>
      </c>
      <c r="N270" t="s">
        <v>1983</v>
      </c>
      <c r="O270">
        <v>3</v>
      </c>
      <c r="P270" t="s">
        <v>2003</v>
      </c>
      <c r="Q270">
        <v>704</v>
      </c>
    </row>
  </sheetData>
  <phoneticPr fontId="2" type="noConversion"/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61037-52DC-4804-BB92-27CB700C63D7}">
  <dimension ref="A1:AL143"/>
  <sheetViews>
    <sheetView showGridLines="0" topLeftCell="Z80" zoomScale="80" zoomScaleNormal="80" workbookViewId="0">
      <selection activeCell="Y80" sqref="A1:Y1048576"/>
    </sheetView>
  </sheetViews>
  <sheetFormatPr baseColWidth="10" defaultRowHeight="15.75" customHeight="1" x14ac:dyDescent="0.25"/>
  <cols>
    <col min="1" max="1" width="2" hidden="1" customWidth="1"/>
    <col min="2" max="2" width="18.140625" hidden="1" customWidth="1"/>
    <col min="3" max="3" width="30" hidden="1" customWidth="1"/>
    <col min="4" max="4" width="24.140625" hidden="1" customWidth="1"/>
    <col min="5" max="5" width="21.5703125" hidden="1" customWidth="1"/>
    <col min="6" max="6" width="24.85546875" hidden="1" customWidth="1"/>
    <col min="7" max="7" width="26.28515625" hidden="1" customWidth="1"/>
    <col min="8" max="8" width="32.42578125" hidden="1" customWidth="1"/>
    <col min="9" max="9" width="36.28515625" hidden="1" customWidth="1"/>
    <col min="10" max="10" width="18.140625" hidden="1" customWidth="1"/>
    <col min="11" max="11" width="30" hidden="1" customWidth="1"/>
    <col min="12" max="12" width="40.5703125" hidden="1" customWidth="1"/>
    <col min="13" max="13" width="29.5703125" hidden="1" customWidth="1"/>
    <col min="14" max="14" width="18.140625" hidden="1" customWidth="1"/>
    <col min="15" max="15" width="23.7109375" hidden="1" customWidth="1"/>
    <col min="16" max="16" width="12.7109375" hidden="1" customWidth="1"/>
    <col min="17" max="19" width="14.42578125" hidden="1" customWidth="1"/>
    <col min="20" max="21" width="25.85546875" hidden="1" customWidth="1"/>
    <col min="22" max="22" width="27.5703125" hidden="1" customWidth="1"/>
    <col min="23" max="25" width="8" hidden="1" customWidth="1"/>
    <col min="26" max="30" width="8" customWidth="1"/>
  </cols>
  <sheetData>
    <row r="1" spans="2:12" ht="15.75" hidden="1" customHeight="1" x14ac:dyDescent="0.25"/>
    <row r="2" spans="2:12" ht="15.75" hidden="1" customHeight="1" x14ac:dyDescent="0.25">
      <c r="C2" s="8" t="s">
        <v>432</v>
      </c>
    </row>
    <row r="3" spans="2:12" ht="15.75" hidden="1" customHeight="1" x14ac:dyDescent="0.25">
      <c r="C3" t="s">
        <v>421</v>
      </c>
      <c r="F3" t="s">
        <v>422</v>
      </c>
      <c r="L3" t="s">
        <v>420</v>
      </c>
    </row>
    <row r="4" spans="2:12" ht="15.75" hidden="1" customHeight="1" x14ac:dyDescent="0.25">
      <c r="C4" t="s">
        <v>426</v>
      </c>
      <c r="D4" t="s">
        <v>427</v>
      </c>
      <c r="E4" t="s">
        <v>428</v>
      </c>
      <c r="F4" t="s">
        <v>423</v>
      </c>
      <c r="G4" t="s">
        <v>424</v>
      </c>
      <c r="H4" t="s">
        <v>425</v>
      </c>
      <c r="I4" t="s">
        <v>455</v>
      </c>
      <c r="J4" t="s">
        <v>781</v>
      </c>
      <c r="K4" t="s">
        <v>1596</v>
      </c>
    </row>
    <row r="5" spans="2:12" ht="15.75" hidden="1" customHeight="1" x14ac:dyDescent="0.25">
      <c r="B5" t="s">
        <v>1592</v>
      </c>
      <c r="C5" s="47">
        <v>12199287</v>
      </c>
      <c r="D5" s="47">
        <v>22116119</v>
      </c>
      <c r="E5" s="47">
        <v>128335</v>
      </c>
      <c r="F5" s="47">
        <v>12933743</v>
      </c>
      <c r="G5" s="47">
        <v>87308211</v>
      </c>
      <c r="H5" s="47">
        <v>145372712</v>
      </c>
      <c r="I5" s="47">
        <v>228855918</v>
      </c>
      <c r="J5" s="47">
        <v>294459067</v>
      </c>
      <c r="K5" s="47">
        <v>91836014</v>
      </c>
      <c r="L5" s="47">
        <v>895209406</v>
      </c>
    </row>
    <row r="6" spans="2:12" ht="15.75" hidden="1" customHeight="1" x14ac:dyDescent="0.25"/>
    <row r="7" spans="2:12" ht="15.75" hidden="1" customHeight="1" x14ac:dyDescent="0.25"/>
    <row r="8" spans="2:12" ht="15.75" hidden="1" customHeight="1" x14ac:dyDescent="0.25">
      <c r="D8" s="47"/>
      <c r="E8" s="47"/>
      <c r="F8" s="47"/>
      <c r="G8" s="47"/>
      <c r="H8" s="47"/>
      <c r="I8" s="47"/>
      <c r="J8" s="47"/>
      <c r="K8" s="47"/>
    </row>
    <row r="9" spans="2:12" ht="15.75" hidden="1" customHeight="1" x14ac:dyDescent="0.25">
      <c r="D9" s="47"/>
      <c r="E9" s="47"/>
      <c r="F9" s="47"/>
      <c r="G9" s="47"/>
      <c r="H9" s="47"/>
      <c r="I9" s="47"/>
      <c r="J9" s="47"/>
      <c r="K9" s="47"/>
    </row>
    <row r="10" spans="2:12" ht="15.75" hidden="1" customHeight="1" x14ac:dyDescent="0.25">
      <c r="C10" s="8" t="s">
        <v>1627</v>
      </c>
    </row>
    <row r="11" spans="2:12" ht="15.75" hidden="1" customHeight="1" x14ac:dyDescent="0.25">
      <c r="C11" t="s">
        <v>1589</v>
      </c>
      <c r="D11" t="s">
        <v>420</v>
      </c>
    </row>
    <row r="12" spans="2:12" ht="15.75" hidden="1" customHeight="1" x14ac:dyDescent="0.25">
      <c r="B12" t="s">
        <v>1590</v>
      </c>
      <c r="C12" s="13">
        <v>0</v>
      </c>
      <c r="D12" s="13">
        <v>0</v>
      </c>
    </row>
    <row r="13" spans="2:12" ht="15.75" hidden="1" customHeight="1" x14ac:dyDescent="0.25"/>
    <row r="14" spans="2:12" ht="15.75" hidden="1" customHeight="1" x14ac:dyDescent="0.25">
      <c r="C14" s="8" t="s">
        <v>1628</v>
      </c>
    </row>
    <row r="15" spans="2:12" ht="15.75" hidden="1" customHeight="1" x14ac:dyDescent="0.25">
      <c r="C15" t="s">
        <v>1589</v>
      </c>
      <c r="D15" t="s">
        <v>424</v>
      </c>
      <c r="E15" t="s">
        <v>420</v>
      </c>
    </row>
    <row r="16" spans="2:12" ht="15.75" hidden="1" customHeight="1" x14ac:dyDescent="0.25">
      <c r="B16" t="s">
        <v>1590</v>
      </c>
      <c r="C16" s="13">
        <v>0</v>
      </c>
      <c r="D16" s="13">
        <v>0.99999999999999978</v>
      </c>
      <c r="E16" s="13">
        <v>1.6313213703099509E-2</v>
      </c>
    </row>
    <row r="17" spans="2:9" ht="15.75" hidden="1" customHeight="1" x14ac:dyDescent="0.25"/>
    <row r="18" spans="2:9" ht="15.75" hidden="1" customHeight="1" x14ac:dyDescent="0.25">
      <c r="C18" s="8" t="s">
        <v>1629</v>
      </c>
    </row>
    <row r="19" spans="2:9" ht="15.75" hidden="1" customHeight="1" x14ac:dyDescent="0.25">
      <c r="C19" t="s">
        <v>1589</v>
      </c>
      <c r="D19" t="s">
        <v>424</v>
      </c>
      <c r="E19" t="s">
        <v>425</v>
      </c>
      <c r="F19" t="s">
        <v>420</v>
      </c>
    </row>
    <row r="20" spans="2:9" ht="15.75" hidden="1" customHeight="1" x14ac:dyDescent="0.25">
      <c r="B20" t="s">
        <v>1590</v>
      </c>
      <c r="C20" s="13">
        <v>0</v>
      </c>
      <c r="D20" s="13">
        <v>0.99999999999999978</v>
      </c>
      <c r="E20" s="13">
        <v>0.99999999999999978</v>
      </c>
      <c r="F20" s="13">
        <v>4.7393364928909949E-2</v>
      </c>
    </row>
    <row r="21" spans="2:9" ht="15.75" hidden="1" customHeight="1" x14ac:dyDescent="0.25"/>
    <row r="22" spans="2:9" ht="15.75" hidden="1" customHeight="1" x14ac:dyDescent="0.25">
      <c r="C22" s="8" t="s">
        <v>1630</v>
      </c>
    </row>
    <row r="23" spans="2:9" ht="15.75" hidden="1" customHeight="1" x14ac:dyDescent="0.25">
      <c r="C23" t="s">
        <v>1589</v>
      </c>
      <c r="D23" t="s">
        <v>424</v>
      </c>
      <c r="E23" t="s">
        <v>425</v>
      </c>
      <c r="F23" t="s">
        <v>455</v>
      </c>
      <c r="G23" t="s">
        <v>420</v>
      </c>
    </row>
    <row r="24" spans="2:9" ht="15.75" hidden="1" customHeight="1" x14ac:dyDescent="0.25">
      <c r="B24" t="s">
        <v>1590</v>
      </c>
      <c r="C24" s="13">
        <v>0</v>
      </c>
      <c r="D24" s="13">
        <v>0.99999999999999978</v>
      </c>
      <c r="E24" s="13">
        <v>0.99999999999999978</v>
      </c>
      <c r="F24" s="13">
        <v>0.95326923076923076</v>
      </c>
      <c r="G24" s="13">
        <v>8.3133535660091046E-2</v>
      </c>
    </row>
    <row r="25" spans="2:9" ht="15.75" hidden="1" customHeight="1" x14ac:dyDescent="0.25"/>
    <row r="26" spans="2:9" ht="15.75" hidden="1" customHeight="1" x14ac:dyDescent="0.25">
      <c r="C26" s="8" t="s">
        <v>1631</v>
      </c>
    </row>
    <row r="27" spans="2:9" ht="15.75" hidden="1" customHeight="1" x14ac:dyDescent="0.25">
      <c r="C27" t="s">
        <v>1589</v>
      </c>
      <c r="D27" t="s">
        <v>424</v>
      </c>
      <c r="E27" t="s">
        <v>425</v>
      </c>
      <c r="F27" t="s">
        <v>455</v>
      </c>
      <c r="G27" t="s">
        <v>781</v>
      </c>
      <c r="H27" t="s">
        <v>420</v>
      </c>
    </row>
    <row r="28" spans="2:9" ht="15.75" hidden="1" customHeight="1" x14ac:dyDescent="0.25">
      <c r="B28" t="s">
        <v>1590</v>
      </c>
      <c r="C28" s="13">
        <v>0</v>
      </c>
      <c r="D28" s="13">
        <v>0.99999999999999978</v>
      </c>
      <c r="E28" s="13">
        <v>0.99999999999999978</v>
      </c>
      <c r="F28" s="13">
        <v>0.95326923076923076</v>
      </c>
      <c r="G28" s="13">
        <v>0.75850000000000006</v>
      </c>
      <c r="H28" s="13">
        <v>0.11253991291727138</v>
      </c>
    </row>
    <row r="29" spans="2:9" ht="15.75" hidden="1" customHeight="1" x14ac:dyDescent="0.25"/>
    <row r="30" spans="2:9" ht="15.75" hidden="1" customHeight="1" x14ac:dyDescent="0.25">
      <c r="C30" s="8" t="s">
        <v>1632</v>
      </c>
    </row>
    <row r="31" spans="2:9" ht="15.75" hidden="1" customHeight="1" x14ac:dyDescent="0.25">
      <c r="C31" t="s">
        <v>1589</v>
      </c>
      <c r="D31" t="s">
        <v>424</v>
      </c>
      <c r="E31" t="s">
        <v>425</v>
      </c>
      <c r="F31" t="s">
        <v>455</v>
      </c>
      <c r="G31" t="s">
        <v>781</v>
      </c>
      <c r="H31" t="s">
        <v>1596</v>
      </c>
      <c r="I31" t="s">
        <v>420</v>
      </c>
    </row>
    <row r="32" spans="2:9" ht="15.75" hidden="1" customHeight="1" x14ac:dyDescent="0.25">
      <c r="B32" t="s">
        <v>1590</v>
      </c>
      <c r="C32" s="13">
        <v>0</v>
      </c>
      <c r="D32" s="13">
        <v>0.99999999999999978</v>
      </c>
      <c r="E32" s="13">
        <v>0.99999999999999978</v>
      </c>
      <c r="F32" s="13">
        <v>0.95326923076923076</v>
      </c>
      <c r="G32" s="13">
        <v>0.75850000000000006</v>
      </c>
      <c r="H32" s="13">
        <v>0.37133333333333335</v>
      </c>
      <c r="I32" s="13">
        <v>0.11805397727272728</v>
      </c>
    </row>
    <row r="33" spans="2:9" ht="15.75" hidden="1" customHeight="1" x14ac:dyDescent="0.25"/>
    <row r="34" spans="2:9" ht="15.75" hidden="1" customHeight="1" x14ac:dyDescent="0.25">
      <c r="C34" s="8" t="s">
        <v>1633</v>
      </c>
    </row>
    <row r="35" spans="2:9" ht="15.75" hidden="1" customHeight="1" x14ac:dyDescent="0.25">
      <c r="C35" t="s">
        <v>1589</v>
      </c>
      <c r="D35" t="s">
        <v>424</v>
      </c>
      <c r="E35" t="s">
        <v>425</v>
      </c>
      <c r="F35" t="s">
        <v>455</v>
      </c>
      <c r="G35" t="s">
        <v>781</v>
      </c>
      <c r="H35" t="s">
        <v>1596</v>
      </c>
      <c r="I35" t="s">
        <v>420</v>
      </c>
    </row>
    <row r="36" spans="2:9" ht="15.75" hidden="1" customHeight="1" x14ac:dyDescent="0.25">
      <c r="B36" t="s">
        <v>1590</v>
      </c>
      <c r="C36" s="13">
        <v>0</v>
      </c>
      <c r="D36" s="13">
        <v>0.99999999999999978</v>
      </c>
      <c r="E36" s="13">
        <v>0.99999999999999978</v>
      </c>
      <c r="F36" s="13">
        <v>0.95326923076923076</v>
      </c>
      <c r="G36" s="13">
        <v>0.75850000000000006</v>
      </c>
      <c r="H36" s="13">
        <v>0.37133333333333335</v>
      </c>
      <c r="I36" s="13">
        <v>0.11805397727272728</v>
      </c>
    </row>
    <row r="37" spans="2:9" ht="15.75" hidden="1" customHeight="1" x14ac:dyDescent="0.25"/>
    <row r="38" spans="2:9" ht="15.75" hidden="1" customHeight="1" x14ac:dyDescent="0.25">
      <c r="C38" s="8" t="s">
        <v>1634</v>
      </c>
    </row>
    <row r="39" spans="2:9" ht="15.75" hidden="1" customHeight="1" x14ac:dyDescent="0.25">
      <c r="C39" t="s">
        <v>1589</v>
      </c>
      <c r="D39" t="s">
        <v>424</v>
      </c>
      <c r="E39" t="s">
        <v>425</v>
      </c>
      <c r="F39" t="s">
        <v>455</v>
      </c>
      <c r="G39" t="s">
        <v>781</v>
      </c>
      <c r="H39" t="s">
        <v>1596</v>
      </c>
      <c r="I39" t="s">
        <v>420</v>
      </c>
    </row>
    <row r="40" spans="2:9" ht="15.75" hidden="1" customHeight="1" x14ac:dyDescent="0.25">
      <c r="B40" t="s">
        <v>1590</v>
      </c>
      <c r="C40" s="13">
        <v>0</v>
      </c>
      <c r="D40" s="13">
        <v>0.99999999999999978</v>
      </c>
      <c r="E40" s="13">
        <v>0.99999999999999978</v>
      </c>
      <c r="F40" s="13">
        <v>0.95326923076923076</v>
      </c>
      <c r="G40" s="13">
        <v>0.75850000000000006</v>
      </c>
      <c r="H40" s="13">
        <v>0.37133333333333335</v>
      </c>
      <c r="I40" s="13">
        <v>0.11805397727272728</v>
      </c>
    </row>
    <row r="41" spans="2:9" ht="15.75" hidden="1" customHeight="1" x14ac:dyDescent="0.25"/>
    <row r="42" spans="2:9" ht="15.75" hidden="1" customHeight="1" x14ac:dyDescent="0.25">
      <c r="C42" s="8" t="s">
        <v>1635</v>
      </c>
    </row>
    <row r="43" spans="2:9" ht="15.75" hidden="1" customHeight="1" x14ac:dyDescent="0.25">
      <c r="C43" t="s">
        <v>1589</v>
      </c>
      <c r="D43" t="s">
        <v>424</v>
      </c>
      <c r="E43" t="s">
        <v>425</v>
      </c>
      <c r="F43" t="s">
        <v>455</v>
      </c>
      <c r="G43" t="s">
        <v>781</v>
      </c>
      <c r="H43" t="s">
        <v>1596</v>
      </c>
      <c r="I43" t="s">
        <v>420</v>
      </c>
    </row>
    <row r="44" spans="2:9" ht="15.75" hidden="1" customHeight="1" x14ac:dyDescent="0.25">
      <c r="B44" t="s">
        <v>1590</v>
      </c>
      <c r="C44" s="13">
        <v>0</v>
      </c>
      <c r="D44" s="13">
        <v>0.99999999999999978</v>
      </c>
      <c r="E44" s="13">
        <v>0.99999999999999978</v>
      </c>
      <c r="F44" s="13">
        <v>0.95326923076923076</v>
      </c>
      <c r="G44" s="13">
        <v>0.75850000000000006</v>
      </c>
      <c r="H44" s="13">
        <v>0.37133333333333335</v>
      </c>
      <c r="I44" s="13">
        <v>0.11805397727272728</v>
      </c>
    </row>
    <row r="45" spans="2:9" ht="15.75" hidden="1" customHeight="1" x14ac:dyDescent="0.25"/>
    <row r="46" spans="2:9" ht="15.75" hidden="1" customHeight="1" x14ac:dyDescent="0.25">
      <c r="C46" s="8" t="s">
        <v>1636</v>
      </c>
    </row>
    <row r="47" spans="2:9" ht="15.75" hidden="1" customHeight="1" x14ac:dyDescent="0.25">
      <c r="C47" t="s">
        <v>1589</v>
      </c>
      <c r="D47" t="s">
        <v>424</v>
      </c>
      <c r="E47" t="s">
        <v>425</v>
      </c>
      <c r="F47" t="s">
        <v>455</v>
      </c>
      <c r="G47" t="s">
        <v>781</v>
      </c>
      <c r="H47" t="s">
        <v>1596</v>
      </c>
      <c r="I47" t="s">
        <v>420</v>
      </c>
    </row>
    <row r="48" spans="2:9" ht="15.75" hidden="1" customHeight="1" x14ac:dyDescent="0.25">
      <c r="B48" t="s">
        <v>1590</v>
      </c>
      <c r="C48" s="13">
        <v>0</v>
      </c>
      <c r="D48" s="13">
        <v>0.99999999999999978</v>
      </c>
      <c r="E48" s="13">
        <v>0.99999999999999978</v>
      </c>
      <c r="F48" s="13">
        <v>0.95326923076923076</v>
      </c>
      <c r="G48" s="13">
        <v>0.75850000000000006</v>
      </c>
      <c r="H48" s="13">
        <v>0.37133333333333335</v>
      </c>
      <c r="I48" s="13">
        <v>0.11805397727272728</v>
      </c>
    </row>
    <row r="49" spans="2:9" ht="15.75" hidden="1" customHeight="1" x14ac:dyDescent="0.25"/>
    <row r="50" spans="2:9" ht="15.75" hidden="1" customHeight="1" x14ac:dyDescent="0.25">
      <c r="C50" s="8" t="s">
        <v>1637</v>
      </c>
    </row>
    <row r="51" spans="2:9" ht="15.75" hidden="1" customHeight="1" x14ac:dyDescent="0.25">
      <c r="C51" t="s">
        <v>1589</v>
      </c>
      <c r="D51" t="s">
        <v>424</v>
      </c>
      <c r="E51" t="s">
        <v>425</v>
      </c>
      <c r="F51" t="s">
        <v>455</v>
      </c>
      <c r="G51" t="s">
        <v>781</v>
      </c>
      <c r="H51" t="s">
        <v>1596</v>
      </c>
      <c r="I51" t="s">
        <v>420</v>
      </c>
    </row>
    <row r="52" spans="2:9" ht="15.75" hidden="1" customHeight="1" x14ac:dyDescent="0.25">
      <c r="B52" t="s">
        <v>1590</v>
      </c>
      <c r="C52" s="13">
        <v>0</v>
      </c>
      <c r="D52" s="13">
        <v>0.99999999999999978</v>
      </c>
      <c r="E52" s="13">
        <v>0.99999999999999978</v>
      </c>
      <c r="F52" s="13">
        <v>0.95326923076923076</v>
      </c>
      <c r="G52" s="13">
        <v>0.75850000000000006</v>
      </c>
      <c r="H52" s="13">
        <v>0.37133333333333335</v>
      </c>
      <c r="I52" s="13">
        <v>0.11805397727272728</v>
      </c>
    </row>
    <row r="53" spans="2:9" ht="15.75" hidden="1" customHeight="1" x14ac:dyDescent="0.25"/>
    <row r="54" spans="2:9" ht="15.75" hidden="1" customHeight="1" x14ac:dyDescent="0.25">
      <c r="C54" s="8" t="s">
        <v>1638</v>
      </c>
    </row>
    <row r="55" spans="2:9" ht="15.75" hidden="1" customHeight="1" x14ac:dyDescent="0.25">
      <c r="C55" t="s">
        <v>1589</v>
      </c>
      <c r="D55" t="s">
        <v>424</v>
      </c>
      <c r="E55" t="s">
        <v>425</v>
      </c>
      <c r="F55" t="s">
        <v>455</v>
      </c>
      <c r="G55" t="s">
        <v>781</v>
      </c>
      <c r="H55" t="s">
        <v>1596</v>
      </c>
      <c r="I55" t="s">
        <v>420</v>
      </c>
    </row>
    <row r="56" spans="2:9" ht="15.75" hidden="1" customHeight="1" x14ac:dyDescent="0.25">
      <c r="B56" t="s">
        <v>1590</v>
      </c>
      <c r="C56" s="13">
        <v>0</v>
      </c>
      <c r="D56" s="13">
        <v>0.99999999999999978</v>
      </c>
      <c r="E56" s="13">
        <v>0.99999999999999978</v>
      </c>
      <c r="F56" s="13">
        <v>0.95326923076923076</v>
      </c>
      <c r="G56" s="13">
        <v>0.75850000000000006</v>
      </c>
      <c r="H56" s="13">
        <v>0.37133333333333335</v>
      </c>
      <c r="I56" s="13">
        <v>0.11805397727272728</v>
      </c>
    </row>
    <row r="57" spans="2:9" ht="15.75" hidden="1" customHeight="1" x14ac:dyDescent="0.25"/>
    <row r="58" spans="2:9" ht="15.75" hidden="1" customHeight="1" x14ac:dyDescent="0.25"/>
    <row r="59" spans="2:9" ht="15.75" hidden="1" customHeight="1" x14ac:dyDescent="0.25"/>
    <row r="60" spans="2:9" ht="15.75" hidden="1" customHeight="1" x14ac:dyDescent="0.25">
      <c r="B60" t="s">
        <v>1593</v>
      </c>
      <c r="C60" s="48">
        <v>6579000000</v>
      </c>
    </row>
    <row r="61" spans="2:9" ht="15.75" hidden="1" customHeight="1" x14ac:dyDescent="0.25">
      <c r="B61" t="s">
        <v>1595</v>
      </c>
      <c r="C61" s="48">
        <f>+SUM(C67:AC67)+C96</f>
        <v>896025095</v>
      </c>
    </row>
    <row r="62" spans="2:9" ht="15.75" hidden="1" customHeight="1" x14ac:dyDescent="0.25"/>
    <row r="63" spans="2:9" ht="15.75" hidden="1" customHeight="1" x14ac:dyDescent="0.25"/>
    <row r="64" spans="2:9" ht="15.75" hidden="1" customHeight="1" x14ac:dyDescent="0.25"/>
    <row r="65" spans="2:14" ht="15.75" hidden="1" customHeight="1" x14ac:dyDescent="0.25"/>
    <row r="66" spans="2:14" ht="15.75" hidden="1" customHeight="1" x14ac:dyDescent="0.25">
      <c r="B66" s="18" t="s">
        <v>1613</v>
      </c>
      <c r="C66" s="18" t="s">
        <v>423</v>
      </c>
      <c r="D66" s="18" t="s">
        <v>424</v>
      </c>
      <c r="E66" s="18" t="s">
        <v>425</v>
      </c>
      <c r="F66" s="18" t="s">
        <v>455</v>
      </c>
      <c r="G66" s="18" t="s">
        <v>781</v>
      </c>
      <c r="H66" s="18" t="s">
        <v>1596</v>
      </c>
      <c r="I66" s="18" t="s">
        <v>1597</v>
      </c>
      <c r="J66" s="18" t="s">
        <v>1598</v>
      </c>
      <c r="K66" s="18" t="s">
        <v>1599</v>
      </c>
      <c r="L66" s="18" t="s">
        <v>426</v>
      </c>
      <c r="M66" s="18" t="s">
        <v>427</v>
      </c>
      <c r="N66" s="18" t="s">
        <v>428</v>
      </c>
    </row>
    <row r="67" spans="2:14" ht="15.75" hidden="1" customHeight="1" x14ac:dyDescent="0.25">
      <c r="B67" t="s">
        <v>1592</v>
      </c>
      <c r="C67" s="48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47377484</v>
      </c>
      <c r="D67" s="48">
        <f>+GETPIVOTDATA("VALOR TOTAL POR ITEM GD",$B$2,"Meses (FECHA SOLICITUD)",2,"Años (FECHA SOLICITUD)",2026)</f>
        <v>87308211</v>
      </c>
      <c r="E67" s="48">
        <f>+GETPIVOTDATA("VALOR TOTAL POR ITEM GD",$B$2,"Meses (FECHA SOLICITUD)",3,"Años (FECHA SOLICITUD)",2026)</f>
        <v>145372712</v>
      </c>
      <c r="F67" s="48">
        <f>+GETPIVOTDATA("VALOR TOTAL POR ITEM GD",$B$2,"Meses (FECHA SOLICITUD)",4,"Años (FECHA SOLICITUD)",2026)</f>
        <v>228855918</v>
      </c>
      <c r="G67" s="48">
        <f>+GETPIVOTDATA("VALOR TOTAL POR ITEM GD",$B$2,"Meses (FECHA SOLICITUD)",5,"Años (FECHA SOLICITUD)",2026)</f>
        <v>294459067</v>
      </c>
      <c r="H67" s="48">
        <f>+GETPIVOTDATA("VALOR TOTAL POR ITEM GD",$B$2,"Meses (FECHA SOLICITUD)",6,"Años (FECHA SOLICITUD)",2026)</f>
        <v>91836014</v>
      </c>
    </row>
    <row r="68" spans="2:14" ht="15.75" hidden="1" customHeight="1" x14ac:dyDescent="0.25">
      <c r="B68" t="s">
        <v>1612</v>
      </c>
      <c r="C68" s="48">
        <f>+C67</f>
        <v>47377484</v>
      </c>
      <c r="D68" s="48">
        <f>+C68+D67</f>
        <v>134685695</v>
      </c>
      <c r="E68" s="48">
        <f t="shared" ref="E68:G68" si="0">+D68+E67</f>
        <v>280058407</v>
      </c>
      <c r="F68" s="48">
        <f t="shared" si="0"/>
        <v>508914325</v>
      </c>
      <c r="G68" s="48">
        <f t="shared" si="0"/>
        <v>803373392</v>
      </c>
      <c r="H68" s="48">
        <f t="shared" ref="H68" si="1">+G68+H67</f>
        <v>895209406</v>
      </c>
      <c r="I68" s="48">
        <f t="shared" ref="I68" si="2">+H68+I67</f>
        <v>895209406</v>
      </c>
      <c r="J68" s="48">
        <f t="shared" ref="J68" si="3">+I68+J67</f>
        <v>895209406</v>
      </c>
      <c r="K68" s="48">
        <f t="shared" ref="K68" si="4">+J68+K67</f>
        <v>895209406</v>
      </c>
      <c r="L68" s="48">
        <f t="shared" ref="L68" si="5">+K68+L67</f>
        <v>895209406</v>
      </c>
      <c r="M68" s="48">
        <f t="shared" ref="M68" si="6">+L68+M67</f>
        <v>895209406</v>
      </c>
      <c r="N68" s="48">
        <f t="shared" ref="N68" si="7">+M68+N67</f>
        <v>895209406</v>
      </c>
    </row>
    <row r="69" spans="2:14" ht="15.75" hidden="1" customHeight="1" x14ac:dyDescent="0.25">
      <c r="B69" t="s">
        <v>1606</v>
      </c>
      <c r="C69" s="48">
        <v>204967292.05585891</v>
      </c>
      <c r="D69" s="48">
        <v>169945010.7783491</v>
      </c>
      <c r="E69" s="48">
        <v>194823331</v>
      </c>
      <c r="F69" s="48">
        <v>496626584.60417128</v>
      </c>
      <c r="G69" s="48">
        <v>938410822.2954545</v>
      </c>
      <c r="H69" s="48">
        <v>1173013527.8693182</v>
      </c>
      <c r="I69" s="48">
        <v>1173013527.8693182</v>
      </c>
      <c r="J69" s="48">
        <v>1173013527.8693182</v>
      </c>
      <c r="K69" s="48">
        <v>1173013527.8693182</v>
      </c>
      <c r="L69" s="48">
        <v>1173013527.8693182</v>
      </c>
      <c r="M69" s="48">
        <v>1173013527.8693182</v>
      </c>
      <c r="N69" s="48">
        <v>1173013527.8693182</v>
      </c>
    </row>
    <row r="70" spans="2:14" ht="15.75" hidden="1" customHeight="1" x14ac:dyDescent="0.25">
      <c r="B70" t="s">
        <v>1607</v>
      </c>
      <c r="C70" s="48">
        <f>+C69</f>
        <v>204967292.05585891</v>
      </c>
      <c r="D70" s="48">
        <f>+C70+D69</f>
        <v>374912302.83420801</v>
      </c>
      <c r="E70" s="48">
        <f>+D70+E69</f>
        <v>569735633.83420801</v>
      </c>
      <c r="F70" s="48">
        <f t="shared" ref="F70:N70" si="8">+E70+F69</f>
        <v>1066362218.4383793</v>
      </c>
      <c r="G70" s="48">
        <f t="shared" si="8"/>
        <v>2004773040.7338338</v>
      </c>
      <c r="H70" s="48">
        <f t="shared" si="8"/>
        <v>3177786568.6031523</v>
      </c>
      <c r="I70" s="48">
        <f t="shared" si="8"/>
        <v>4350800096.4724703</v>
      </c>
      <c r="J70" s="48">
        <f t="shared" si="8"/>
        <v>5523813624.3417883</v>
      </c>
      <c r="K70" s="48">
        <f t="shared" si="8"/>
        <v>6696827152.2111063</v>
      </c>
      <c r="L70" s="48">
        <f t="shared" si="8"/>
        <v>7869840680.0804243</v>
      </c>
      <c r="M70" s="48">
        <f t="shared" si="8"/>
        <v>9042854207.9497433</v>
      </c>
      <c r="N70" s="48">
        <f t="shared" si="8"/>
        <v>10215867735.819061</v>
      </c>
    </row>
    <row r="71" spans="2:14" ht="15.75" hidden="1" customHeight="1" x14ac:dyDescent="0.25">
      <c r="B71" t="s">
        <v>1594</v>
      </c>
      <c r="C71" s="7">
        <f>+C67/$C$60</f>
        <v>7.2013199574403408E-3</v>
      </c>
      <c r="D71" s="7">
        <f>+D67/$C$60</f>
        <v>1.3270741906064752E-2</v>
      </c>
      <c r="E71" s="7">
        <f>+E67/$C$60</f>
        <v>2.2096475452196382E-2</v>
      </c>
      <c r="F71" s="7">
        <f>+F67/$C$60</f>
        <v>3.4785821249430006E-2</v>
      </c>
      <c r="G71" s="7">
        <f>+G67/$C$60</f>
        <v>4.4757420124639E-2</v>
      </c>
    </row>
    <row r="72" spans="2:14" ht="15.75" hidden="1" customHeight="1" x14ac:dyDescent="0.25">
      <c r="B72" t="s">
        <v>1600</v>
      </c>
      <c r="C72" s="7"/>
      <c r="D72" s="7">
        <f>+C71+D71</f>
        <v>2.0472061863505094E-2</v>
      </c>
      <c r="E72" s="7">
        <f>+D72+E71</f>
        <v>4.2568537315701475E-2</v>
      </c>
      <c r="F72" s="7">
        <f>+E72+F71</f>
        <v>7.7354358565131481E-2</v>
      </c>
      <c r="G72" s="7">
        <f>+F72+G71</f>
        <v>0.12211177868977048</v>
      </c>
    </row>
    <row r="73" spans="2:14" ht="15.75" hidden="1" customHeight="1" x14ac:dyDescent="0.25">
      <c r="B73" t="s">
        <v>1608</v>
      </c>
      <c r="F73" s="7">
        <v>3.125E-2</v>
      </c>
      <c r="G73" s="7">
        <v>6.8181818181818177E-2</v>
      </c>
      <c r="H73" s="7">
        <v>8.5227272727272721E-2</v>
      </c>
      <c r="I73" s="7">
        <v>8.5227272727272721E-2</v>
      </c>
      <c r="J73" s="7">
        <v>8.5227272727272721E-2</v>
      </c>
      <c r="K73" s="7">
        <v>8.5227272727272721E-2</v>
      </c>
      <c r="L73" s="7">
        <v>8.5227272727272721E-2</v>
      </c>
      <c r="M73" s="7">
        <v>8.5227272727272721E-2</v>
      </c>
      <c r="N73" s="7">
        <v>8.5227272727272721E-2</v>
      </c>
    </row>
    <row r="74" spans="2:14" ht="15.75" hidden="1" customHeight="1" x14ac:dyDescent="0.25">
      <c r="B74" t="s">
        <v>1609</v>
      </c>
      <c r="F74" s="13">
        <f>+F73</f>
        <v>3.125E-2</v>
      </c>
      <c r="G74" s="13">
        <f>+F73+G73</f>
        <v>9.9431818181818177E-2</v>
      </c>
      <c r="H74" s="13">
        <f t="shared" ref="H74:N74" si="9">+G74+H73</f>
        <v>0.18465909090909088</v>
      </c>
      <c r="I74" s="13">
        <f t="shared" si="9"/>
        <v>0.26988636363636359</v>
      </c>
      <c r="J74" s="13">
        <f t="shared" si="9"/>
        <v>0.3551136363636363</v>
      </c>
      <c r="K74" s="13">
        <f t="shared" si="9"/>
        <v>0.44034090909090901</v>
      </c>
      <c r="L74" s="13">
        <f t="shared" si="9"/>
        <v>0.52556818181818177</v>
      </c>
      <c r="M74" s="13">
        <f t="shared" si="9"/>
        <v>0.61079545454545447</v>
      </c>
      <c r="N74" s="13">
        <f t="shared" si="9"/>
        <v>0.69602272727272718</v>
      </c>
    </row>
    <row r="75" spans="2:14" ht="15.75" hidden="1" customHeight="1" x14ac:dyDescent="0.25">
      <c r="B75" t="s">
        <v>1604</v>
      </c>
      <c r="C75" s="7">
        <f>+GETPIVOTDATA("% AVANCE",$B$10)</f>
        <v>0</v>
      </c>
      <c r="D75" s="7">
        <f>+GETPIVOTDATA("% AVANCE",$B$14)</f>
        <v>1.6313213703099509E-2</v>
      </c>
      <c r="E75" s="7">
        <f>+GETPIVOTDATA("% AVANCE",$B$18)</f>
        <v>4.7393364928909949E-2</v>
      </c>
      <c r="F75" s="7">
        <f>+GETPIVOTDATA("% AVANCE",$B$22)</f>
        <v>8.3133535660091046E-2</v>
      </c>
      <c r="G75" s="7">
        <f>+GETPIVOTDATA("% AVANCE",$B$26)</f>
        <v>0.11253991291727138</v>
      </c>
      <c r="H75" s="7">
        <f>+GETPIVOTDATA("% AVANCE",$B$30)</f>
        <v>0.11805397727272728</v>
      </c>
      <c r="I75" s="7"/>
      <c r="J75" s="7"/>
      <c r="K75" s="7"/>
      <c r="L75" s="7"/>
      <c r="M75" s="7"/>
      <c r="N75" s="7"/>
    </row>
    <row r="76" spans="2:14" ht="15.75" hidden="1" customHeight="1" x14ac:dyDescent="0.25">
      <c r="B76" t="s">
        <v>1605</v>
      </c>
      <c r="C76" s="7"/>
      <c r="D76" s="7">
        <f>+D75-C75</f>
        <v>1.6313213703099509E-2</v>
      </c>
      <c r="E76" s="7">
        <f>+E75-D76</f>
        <v>3.108015122581044E-2</v>
      </c>
      <c r="F76" s="7">
        <f>+F75-E76</f>
        <v>5.2053384434280606E-2</v>
      </c>
      <c r="G76" s="7">
        <f>+G75-F76</f>
        <v>6.048652848299077E-2</v>
      </c>
      <c r="H76" s="7">
        <f>+H75-G76</f>
        <v>5.7567448789736506E-2</v>
      </c>
      <c r="I76" s="7"/>
      <c r="J76" s="7"/>
      <c r="K76" s="7"/>
      <c r="L76" s="7"/>
      <c r="M76" s="7"/>
      <c r="N76" s="7"/>
    </row>
    <row r="77" spans="2:14" ht="15.75" hidden="1" customHeight="1" x14ac:dyDescent="0.25">
      <c r="B77" t="s">
        <v>1611</v>
      </c>
      <c r="C77" s="13">
        <f>+C73-C71</f>
        <v>-7.2013199574403408E-3</v>
      </c>
      <c r="D77" s="13">
        <f t="shared" ref="D77:N77" si="10">+D73-D71</f>
        <v>-1.3270741906064752E-2</v>
      </c>
      <c r="E77" s="13">
        <f t="shared" si="10"/>
        <v>-2.2096475452196382E-2</v>
      </c>
      <c r="F77" s="13">
        <f t="shared" si="10"/>
        <v>-3.5358212494300059E-3</v>
      </c>
      <c r="G77" s="13">
        <f t="shared" si="10"/>
        <v>2.3424398057179177E-2</v>
      </c>
      <c r="H77" s="13">
        <f t="shared" si="10"/>
        <v>8.5227272727272721E-2</v>
      </c>
      <c r="I77" s="13">
        <f t="shared" si="10"/>
        <v>8.5227272727272721E-2</v>
      </c>
      <c r="J77" s="13">
        <f t="shared" si="10"/>
        <v>8.5227272727272721E-2</v>
      </c>
      <c r="K77" s="13">
        <f t="shared" si="10"/>
        <v>8.5227272727272721E-2</v>
      </c>
      <c r="L77" s="13">
        <f t="shared" si="10"/>
        <v>8.5227272727272721E-2</v>
      </c>
      <c r="M77" s="13">
        <f t="shared" si="10"/>
        <v>8.5227272727272721E-2</v>
      </c>
      <c r="N77" s="13">
        <f t="shared" si="10"/>
        <v>8.5227272727272721E-2</v>
      </c>
    </row>
    <row r="78" spans="2:14" ht="15.75" hidden="1" customHeight="1" x14ac:dyDescent="0.25"/>
    <row r="79" spans="2:14" ht="15.75" hidden="1" customHeight="1" x14ac:dyDescent="0.25"/>
    <row r="80" spans="2:14" ht="15.75" customHeight="1" x14ac:dyDescent="0.25">
      <c r="B80" s="18" t="s">
        <v>1614</v>
      </c>
      <c r="C80" t="s">
        <v>1592</v>
      </c>
      <c r="D80" t="s">
        <v>1612</v>
      </c>
      <c r="E80" t="s">
        <v>1606</v>
      </c>
      <c r="F80" t="s">
        <v>1607</v>
      </c>
      <c r="G80" t="s">
        <v>1594</v>
      </c>
      <c r="H80" t="s">
        <v>1600</v>
      </c>
      <c r="I80" t="s">
        <v>1608</v>
      </c>
      <c r="J80" t="s">
        <v>1609</v>
      </c>
      <c r="K80" t="s">
        <v>1604</v>
      </c>
      <c r="L80" t="s">
        <v>1605</v>
      </c>
      <c r="M80" t="s">
        <v>1611</v>
      </c>
    </row>
    <row r="81" spans="2:14" ht="15.75" customHeight="1" x14ac:dyDescent="0.25">
      <c r="B81" s="18" t="s">
        <v>1615</v>
      </c>
      <c r="C81" s="48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47377484</v>
      </c>
      <c r="D81" s="48">
        <f>+C81</f>
        <v>47377484</v>
      </c>
      <c r="E81" s="48">
        <v>204967292.05585891</v>
      </c>
      <c r="F81" s="48">
        <f>+E81</f>
        <v>204967292.05585891</v>
      </c>
      <c r="G81" s="7">
        <f t="shared" ref="G81:G86" si="11">+C81/$C$60</f>
        <v>7.2013199574403408E-3</v>
      </c>
      <c r="H81" s="7">
        <f>+comparativa[[#This Row],[% AVANCE ECONOMICO]]</f>
        <v>7.2013199574403408E-3</v>
      </c>
      <c r="I81" s="7">
        <v>0</v>
      </c>
      <c r="J81" s="7">
        <f>+comparativa[[#This Row],[%AVANCE ESPERADO ECONOMICO]]</f>
        <v>0</v>
      </c>
      <c r="K81" s="7">
        <f>+GETPIVOTDATA("% AVANCE",$B$10)</f>
        <v>0</v>
      </c>
      <c r="L81" s="7"/>
      <c r="M81" s="13">
        <f t="shared" ref="M81:M92" si="12">+I81-G81</f>
        <v>-7.2013199574403408E-3</v>
      </c>
    </row>
    <row r="82" spans="2:14" ht="15.75" customHeight="1" x14ac:dyDescent="0.25">
      <c r="B82" s="18" t="s">
        <v>1616</v>
      </c>
      <c r="C82" s="48">
        <f>+GETPIVOTDATA("VALOR TOTAL POR ITEM GD",$B$2,"Meses (FECHA SOLICITUD)",2,"Años (FECHA SOLICITUD)",2026)</f>
        <v>87308211</v>
      </c>
      <c r="D82" s="48">
        <f t="shared" ref="D82:D92" si="13">+D81+C82</f>
        <v>134685695</v>
      </c>
      <c r="E82" s="48">
        <v>169945010.7783491</v>
      </c>
      <c r="F82" s="48">
        <f t="shared" ref="F82:F92" si="14">+F81+E82</f>
        <v>374912302.83420801</v>
      </c>
      <c r="G82" s="7">
        <f t="shared" si="11"/>
        <v>1.3270741906064752E-2</v>
      </c>
      <c r="H82" s="7">
        <f>+G81+G82</f>
        <v>2.0472061863505094E-2</v>
      </c>
      <c r="I82" s="7">
        <v>0.02</v>
      </c>
      <c r="J82" s="7">
        <f>+comparativa[[#This Row],[%AVANCE ESPERADO ECONOMICO]]+J81</f>
        <v>0.02</v>
      </c>
      <c r="K82" s="7">
        <f>+GETPIVOTDATA("% AVANCE",$B$14)</f>
        <v>1.6313213703099509E-2</v>
      </c>
      <c r="L82" s="7">
        <f>+K82-K81</f>
        <v>1.6313213703099509E-2</v>
      </c>
      <c r="M82" s="13">
        <f t="shared" si="12"/>
        <v>6.7292580939352486E-3</v>
      </c>
      <c r="N82" s="13"/>
    </row>
    <row r="83" spans="2:14" ht="15.75" customHeight="1" x14ac:dyDescent="0.25">
      <c r="B83" s="18" t="s">
        <v>1617</v>
      </c>
      <c r="C83" s="48">
        <f>+GETPIVOTDATA("VALOR TOTAL POR ITEM GD",$B$2,"Meses (FECHA SOLICITUD)",3,"Años (FECHA SOLICITUD)",2026)</f>
        <v>145372712</v>
      </c>
      <c r="D83" s="48">
        <f t="shared" si="13"/>
        <v>280058407</v>
      </c>
      <c r="E83" s="48">
        <v>194823331</v>
      </c>
      <c r="F83" s="48">
        <f t="shared" si="14"/>
        <v>569735633.83420801</v>
      </c>
      <c r="G83" s="7">
        <f t="shared" si="11"/>
        <v>2.2096475452196382E-2</v>
      </c>
      <c r="H83" s="7">
        <f>+H82+G83</f>
        <v>4.2568537315701475E-2</v>
      </c>
      <c r="I83" s="7">
        <v>2.3E-2</v>
      </c>
      <c r="J83" s="7">
        <f>+comparativa[[#This Row],[%AVANCE ESPERADO ECONOMICO]]+J82</f>
        <v>4.2999999999999997E-2</v>
      </c>
      <c r="K83" s="7">
        <f>+GETPIVOTDATA("% AVANCE",$B$18)</f>
        <v>4.7393364928909949E-2</v>
      </c>
      <c r="L83" s="7">
        <f>+K83-L82</f>
        <v>3.108015122581044E-2</v>
      </c>
      <c r="M83" s="13">
        <f t="shared" si="12"/>
        <v>9.0352454780361774E-4</v>
      </c>
      <c r="N83" s="13"/>
    </row>
    <row r="84" spans="2:14" ht="15.75" customHeight="1" x14ac:dyDescent="0.25">
      <c r="B84" s="18" t="s">
        <v>1618</v>
      </c>
      <c r="C84" s="48">
        <f>+GETPIVOTDATA("VALOR TOTAL POR ITEM GD",$B$2,"Meses (FECHA SOLICITUD)",4,"Años (FECHA SOLICITUD)",2026)</f>
        <v>228855918</v>
      </c>
      <c r="D84" s="48">
        <f t="shared" si="13"/>
        <v>508914325</v>
      </c>
      <c r="E84" s="48">
        <v>496626584.60417128</v>
      </c>
      <c r="F84" s="48">
        <f t="shared" si="14"/>
        <v>1066362218.4383793</v>
      </c>
      <c r="G84" s="7">
        <f t="shared" si="11"/>
        <v>3.4785821249430006E-2</v>
      </c>
      <c r="H84" s="7">
        <f>+H83+G84</f>
        <v>7.7354358565131481E-2</v>
      </c>
      <c r="I84" s="7">
        <v>3.125E-2</v>
      </c>
      <c r="J84" s="7">
        <f>+comparativa[[#This Row],[%AVANCE ESPERADO ECONOMICO]]+J83</f>
        <v>7.4249999999999997E-2</v>
      </c>
      <c r="K84" s="7">
        <f>+GETPIVOTDATA("% AVANCE",$B$22)</f>
        <v>8.3133535660091046E-2</v>
      </c>
      <c r="L84" s="7">
        <f>+K84-L83</f>
        <v>5.2053384434280606E-2</v>
      </c>
      <c r="M84" s="13">
        <f t="shared" si="12"/>
        <v>-3.5358212494300059E-3</v>
      </c>
      <c r="N84" s="13"/>
    </row>
    <row r="85" spans="2:14" ht="15.75" customHeight="1" x14ac:dyDescent="0.25">
      <c r="B85" s="18" t="s">
        <v>1619</v>
      </c>
      <c r="C85" s="48">
        <f>+GETPIVOTDATA("VALOR TOTAL POR ITEM GD",$B$2,"Meses (FECHA SOLICITUD)",5,"Años (FECHA SOLICITUD)",2026)+C96</f>
        <v>295274756</v>
      </c>
      <c r="D85" s="48">
        <f t="shared" si="13"/>
        <v>804189081</v>
      </c>
      <c r="E85" s="48">
        <v>938410822.2954545</v>
      </c>
      <c r="F85" s="48">
        <f t="shared" si="14"/>
        <v>2004773040.7338338</v>
      </c>
      <c r="G85" s="7">
        <f t="shared" si="11"/>
        <v>4.4881403860769116E-2</v>
      </c>
      <c r="H85" s="7">
        <f>+H84+G85</f>
        <v>0.12223576242590059</v>
      </c>
      <c r="I85" s="7">
        <v>6.8181818181818177E-2</v>
      </c>
      <c r="J85" s="7">
        <f>+comparativa[[#This Row],[%AVANCE ESPERADO ECONOMICO]]+J84</f>
        <v>0.14243181818181816</v>
      </c>
      <c r="K85" s="7">
        <f>+GETPIVOTDATA("% AVANCE",$B$26)</f>
        <v>0.11253991291727138</v>
      </c>
      <c r="L85" s="7">
        <f>+K85-L84</f>
        <v>6.048652848299077E-2</v>
      </c>
      <c r="M85" s="13">
        <f t="shared" si="12"/>
        <v>2.3300414321049061E-2</v>
      </c>
    </row>
    <row r="86" spans="2:14" ht="15.75" customHeight="1" x14ac:dyDescent="0.25">
      <c r="B86" s="18" t="s">
        <v>1620</v>
      </c>
      <c r="C86" s="49">
        <f>+H67</f>
        <v>91836014</v>
      </c>
      <c r="D86" s="48">
        <f t="shared" si="13"/>
        <v>896025095</v>
      </c>
      <c r="E86" s="48">
        <v>1173013527.8693182</v>
      </c>
      <c r="F86" s="48">
        <f t="shared" si="14"/>
        <v>3177786568.6031523</v>
      </c>
      <c r="G86" s="7">
        <f t="shared" si="11"/>
        <v>1.395896245630035E-2</v>
      </c>
      <c r="H86" s="7">
        <f t="shared" ref="H86:H92" si="15">+H85+G86</f>
        <v>0.13619472488220094</v>
      </c>
      <c r="I86" s="7">
        <v>8.5227272727272721E-2</v>
      </c>
      <c r="J86" s="7">
        <f>+comparativa[[#This Row],[%AVANCE ESPERADO ECONOMICO]]+J85</f>
        <v>0.22765909090909087</v>
      </c>
      <c r="K86" s="7">
        <f>+GETPIVOTDATA("% AVANCE",$B$30)</f>
        <v>0.11805397727272728</v>
      </c>
      <c r="L86" s="7">
        <f>+K86-L85</f>
        <v>5.7567448789736506E-2</v>
      </c>
      <c r="M86" s="13">
        <f t="shared" si="12"/>
        <v>7.1268310270972371E-2</v>
      </c>
    </row>
    <row r="87" spans="2:14" ht="15.75" customHeight="1" x14ac:dyDescent="0.25">
      <c r="B87" s="18" t="s">
        <v>1621</v>
      </c>
      <c r="D87" s="48">
        <f t="shared" si="13"/>
        <v>896025095</v>
      </c>
      <c r="E87" s="48">
        <v>1173013527.8693182</v>
      </c>
      <c r="F87" s="48">
        <f t="shared" si="14"/>
        <v>4350800096.4724703</v>
      </c>
      <c r="H87" s="7">
        <f t="shared" si="15"/>
        <v>0.13619472488220094</v>
      </c>
      <c r="I87" s="7">
        <v>8.5227272727272721E-2</v>
      </c>
      <c r="J87" s="7">
        <f>+comparativa[[#This Row],[%AVANCE ESPERADO ECONOMICO]]+J86</f>
        <v>0.31288636363636357</v>
      </c>
      <c r="K87" s="7">
        <f>+GETPIVOTDATA("% AVANCE",$B$34)</f>
        <v>0.11805397727272728</v>
      </c>
      <c r="L87" s="7"/>
      <c r="M87" s="13">
        <f t="shared" si="12"/>
        <v>8.5227272727272721E-2</v>
      </c>
      <c r="N87" s="13"/>
    </row>
    <row r="88" spans="2:14" ht="15.75" customHeight="1" x14ac:dyDescent="0.25">
      <c r="B88" s="18" t="s">
        <v>1622</v>
      </c>
      <c r="D88" s="48">
        <f t="shared" si="13"/>
        <v>896025095</v>
      </c>
      <c r="E88" s="48">
        <v>1173013527.8693182</v>
      </c>
      <c r="F88" s="48">
        <f t="shared" si="14"/>
        <v>5523813624.3417883</v>
      </c>
      <c r="H88" s="7">
        <f t="shared" si="15"/>
        <v>0.13619472488220094</v>
      </c>
      <c r="I88" s="7">
        <v>8.5227272727272721E-2</v>
      </c>
      <c r="J88" s="13">
        <f>+J87+I88</f>
        <v>0.39811363636363628</v>
      </c>
      <c r="K88" s="7">
        <f>+GETPIVOTDATA("% AVANCE",$B$38)</f>
        <v>0.11805397727272728</v>
      </c>
      <c r="L88" s="7"/>
      <c r="M88" s="13">
        <f t="shared" si="12"/>
        <v>8.5227272727272721E-2</v>
      </c>
      <c r="N88" s="13"/>
    </row>
    <row r="89" spans="2:14" ht="15.75" customHeight="1" x14ac:dyDescent="0.25">
      <c r="B89" s="18" t="s">
        <v>1623</v>
      </c>
      <c r="D89" s="48">
        <f t="shared" si="13"/>
        <v>896025095</v>
      </c>
      <c r="E89" s="48">
        <v>1173013527.8693182</v>
      </c>
      <c r="F89" s="48">
        <f t="shared" si="14"/>
        <v>6696827152.2111063</v>
      </c>
      <c r="H89" s="7">
        <f t="shared" si="15"/>
        <v>0.13619472488220094</v>
      </c>
      <c r="I89" s="7">
        <v>8.5227272727272721E-2</v>
      </c>
      <c r="J89" s="13">
        <f>+J88+I89</f>
        <v>0.48334090909090899</v>
      </c>
      <c r="K89" s="7">
        <f>+GETPIVOTDATA("% AVANCE",$B$42)</f>
        <v>0.11805397727272728</v>
      </c>
      <c r="L89" s="7"/>
      <c r="M89" s="13">
        <f t="shared" si="12"/>
        <v>8.5227272727272721E-2</v>
      </c>
    </row>
    <row r="90" spans="2:14" ht="15.75" customHeight="1" x14ac:dyDescent="0.25">
      <c r="B90" s="18" t="s">
        <v>1624</v>
      </c>
      <c r="D90" s="48">
        <f t="shared" si="13"/>
        <v>896025095</v>
      </c>
      <c r="E90" s="48">
        <v>1173013527.8693182</v>
      </c>
      <c r="F90" s="48">
        <f t="shared" si="14"/>
        <v>7869840680.0804243</v>
      </c>
      <c r="H90" s="7">
        <f t="shared" si="15"/>
        <v>0.13619472488220094</v>
      </c>
      <c r="I90" s="7">
        <v>8.5227272727272721E-2</v>
      </c>
      <c r="J90" s="13">
        <f>+J89+I90</f>
        <v>0.56856818181818169</v>
      </c>
      <c r="K90" s="7">
        <f>+GETPIVOTDATA("% AVANCE",$B$46)</f>
        <v>0.11805397727272728</v>
      </c>
      <c r="L90" s="7"/>
      <c r="M90" s="13">
        <f t="shared" si="12"/>
        <v>8.5227272727272721E-2</v>
      </c>
    </row>
    <row r="91" spans="2:14" ht="15.75" customHeight="1" x14ac:dyDescent="0.25">
      <c r="B91" s="18" t="s">
        <v>1625</v>
      </c>
      <c r="D91" s="48">
        <f t="shared" si="13"/>
        <v>896025095</v>
      </c>
      <c r="E91" s="48">
        <v>1173013527.8693182</v>
      </c>
      <c r="F91" s="48">
        <f t="shared" si="14"/>
        <v>9042854207.9497433</v>
      </c>
      <c r="H91" s="7">
        <f t="shared" si="15"/>
        <v>0.13619472488220094</v>
      </c>
      <c r="I91" s="7">
        <v>8.5227272727272721E-2</v>
      </c>
      <c r="J91" s="13">
        <f>+J90+I91</f>
        <v>0.6537954545454544</v>
      </c>
      <c r="K91" s="7">
        <f>+GETPIVOTDATA("% AVANCE",$B$50)</f>
        <v>0.11805397727272728</v>
      </c>
      <c r="L91" s="7"/>
      <c r="M91" s="13">
        <f t="shared" si="12"/>
        <v>8.5227272727272721E-2</v>
      </c>
    </row>
    <row r="92" spans="2:14" ht="15.75" customHeight="1" x14ac:dyDescent="0.25">
      <c r="B92" s="18" t="s">
        <v>1626</v>
      </c>
      <c r="D92" s="48">
        <f t="shared" si="13"/>
        <v>896025095</v>
      </c>
      <c r="E92" s="48">
        <v>1173013527.8693182</v>
      </c>
      <c r="F92" s="48">
        <f t="shared" si="14"/>
        <v>10215867735.819061</v>
      </c>
      <c r="H92" s="7">
        <f t="shared" si="15"/>
        <v>0.13619472488220094</v>
      </c>
      <c r="I92" s="7">
        <v>8.5227272727272721E-2</v>
      </c>
      <c r="J92" s="13">
        <f>+J91+I92</f>
        <v>0.73902272727272711</v>
      </c>
      <c r="K92" s="7">
        <f>+GETPIVOTDATA("% AVANCE",$B$54)</f>
        <v>0.11805397727272728</v>
      </c>
      <c r="L92" s="7"/>
      <c r="M92" s="13">
        <f t="shared" si="12"/>
        <v>8.5227272727272721E-2</v>
      </c>
      <c r="N92" s="13"/>
    </row>
    <row r="95" spans="2:14" ht="15.75" customHeight="1" x14ac:dyDescent="0.25">
      <c r="B95" s="50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</row>
    <row r="96" spans="2:14" ht="15.75" customHeight="1" x14ac:dyDescent="0.25">
      <c r="B96" s="50"/>
      <c r="C96" s="25">
        <v>815689</v>
      </c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</row>
    <row r="97" spans="2:16" ht="15.75" customHeight="1" x14ac:dyDescent="0.25">
      <c r="D97" s="25"/>
    </row>
    <row r="98" spans="2:16" ht="15.75" customHeight="1" x14ac:dyDescent="0.25">
      <c r="C98" s="7"/>
    </row>
    <row r="99" spans="2:16" ht="15.75" customHeight="1" x14ac:dyDescent="0.25">
      <c r="B99" s="50"/>
      <c r="C99" s="51"/>
      <c r="D99" s="51"/>
      <c r="E99" s="51"/>
      <c r="F99" s="51"/>
      <c r="G99" s="51"/>
      <c r="H99" s="51"/>
      <c r="I99" s="51"/>
      <c r="J99" s="51"/>
      <c r="K99" s="51"/>
      <c r="L99" s="51"/>
      <c r="M99" s="51"/>
      <c r="N99" s="51"/>
    </row>
    <row r="101" spans="2:16" ht="15.75" customHeight="1" x14ac:dyDescent="0.25">
      <c r="B101" s="8" t="s">
        <v>419</v>
      </c>
      <c r="C101" t="s">
        <v>1639</v>
      </c>
      <c r="D101" t="s">
        <v>1640</v>
      </c>
      <c r="F101" s="8" t="s">
        <v>419</v>
      </c>
      <c r="G101" t="s">
        <v>1646</v>
      </c>
      <c r="H101" t="s">
        <v>1647</v>
      </c>
      <c r="J101" s="8" t="s">
        <v>419</v>
      </c>
      <c r="K101" t="s">
        <v>1639</v>
      </c>
      <c r="L101" t="s">
        <v>1641</v>
      </c>
      <c r="N101" s="8" t="s">
        <v>419</v>
      </c>
      <c r="O101" t="s">
        <v>1650</v>
      </c>
      <c r="P101" t="s">
        <v>1697</v>
      </c>
    </row>
    <row r="102" spans="2:16" ht="15.75" customHeight="1" x14ac:dyDescent="0.25">
      <c r="B102" s="9" t="s">
        <v>1615</v>
      </c>
      <c r="C102" s="13">
        <v>7.2013199574403408E-3</v>
      </c>
      <c r="D102" s="13">
        <v>0</v>
      </c>
      <c r="F102" s="9" t="s">
        <v>1615</v>
      </c>
      <c r="G102" s="49">
        <v>47377484</v>
      </c>
      <c r="H102" s="49">
        <v>204967292.05585891</v>
      </c>
      <c r="J102" s="9" t="s">
        <v>1615</v>
      </c>
      <c r="K102" s="13">
        <v>7.2013199574403408E-3</v>
      </c>
      <c r="L102" s="13">
        <v>0</v>
      </c>
      <c r="N102" s="9" t="s">
        <v>1615</v>
      </c>
      <c r="O102" s="13">
        <v>7.2013199574403408E-3</v>
      </c>
      <c r="P102" s="13">
        <v>0</v>
      </c>
    </row>
    <row r="103" spans="2:16" ht="15.75" customHeight="1" x14ac:dyDescent="0.25">
      <c r="B103" s="9" t="s">
        <v>1616</v>
      </c>
      <c r="C103" s="13">
        <v>2.0472061863505094E-2</v>
      </c>
      <c r="D103" s="13">
        <v>1.6286644951140062E-2</v>
      </c>
      <c r="F103" s="9" t="s">
        <v>1616</v>
      </c>
      <c r="G103" s="49">
        <v>134685695</v>
      </c>
      <c r="H103" s="49">
        <v>374912302.83420801</v>
      </c>
      <c r="J103" s="9" t="s">
        <v>1616</v>
      </c>
      <c r="K103" s="13">
        <v>2.0472061863505094E-2</v>
      </c>
      <c r="L103" s="13">
        <v>0.02</v>
      </c>
      <c r="N103" s="9" t="s">
        <v>1616</v>
      </c>
      <c r="O103" s="13">
        <v>1.3270741906064752E-2</v>
      </c>
      <c r="P103" s="13">
        <v>0.02</v>
      </c>
    </row>
    <row r="104" spans="2:16" ht="15.75" customHeight="1" x14ac:dyDescent="0.25">
      <c r="B104" s="9" t="s">
        <v>1617</v>
      </c>
      <c r="C104" s="13">
        <v>4.2568537315701475E-2</v>
      </c>
      <c r="D104" s="13">
        <v>4.7318611987381701E-2</v>
      </c>
      <c r="F104" s="9" t="s">
        <v>1617</v>
      </c>
      <c r="G104" s="49">
        <v>280058407</v>
      </c>
      <c r="H104" s="49">
        <v>569735633.83420801</v>
      </c>
      <c r="J104" s="9" t="s">
        <v>1617</v>
      </c>
      <c r="K104" s="13">
        <v>4.2568537315701475E-2</v>
      </c>
      <c r="L104" s="13">
        <v>4.2999999999999997E-2</v>
      </c>
      <c r="N104" s="9" t="s">
        <v>1617</v>
      </c>
      <c r="O104" s="13">
        <v>2.2096475452196382E-2</v>
      </c>
      <c r="P104" s="13">
        <v>2.3E-2</v>
      </c>
    </row>
    <row r="105" spans="2:16" ht="15.75" customHeight="1" x14ac:dyDescent="0.25">
      <c r="B105" s="9" t="s">
        <v>1618</v>
      </c>
      <c r="C105" s="13">
        <v>7.7354358565131481E-2</v>
      </c>
      <c r="D105" s="13">
        <v>8.239393939393938E-2</v>
      </c>
      <c r="F105" s="9" t="s">
        <v>1618</v>
      </c>
      <c r="G105" s="49">
        <v>508914325</v>
      </c>
      <c r="H105" s="49">
        <v>1066362218.4383793</v>
      </c>
      <c r="J105" s="9" t="s">
        <v>1618</v>
      </c>
      <c r="K105" s="13">
        <v>7.7354358565131481E-2</v>
      </c>
      <c r="L105" s="13">
        <v>7.4249999999999997E-2</v>
      </c>
      <c r="N105" s="9" t="s">
        <v>1618</v>
      </c>
      <c r="O105" s="13">
        <v>3.4785821249430006E-2</v>
      </c>
      <c r="P105" s="13">
        <v>3.125E-2</v>
      </c>
    </row>
    <row r="106" spans="2:16" ht="15.75" customHeight="1" x14ac:dyDescent="0.25">
      <c r="B106" s="9" t="s">
        <v>1619</v>
      </c>
      <c r="C106" s="13">
        <v>0.12223576242590059</v>
      </c>
      <c r="D106" s="13">
        <v>0.11089855072463765</v>
      </c>
      <c r="E106" s="13"/>
      <c r="F106" s="9" t="s">
        <v>1619</v>
      </c>
      <c r="G106" s="49">
        <v>804189081</v>
      </c>
      <c r="H106" s="49">
        <v>2004773040.7338338</v>
      </c>
      <c r="I106" s="13"/>
      <c r="J106" s="9" t="s">
        <v>1619</v>
      </c>
      <c r="K106" s="13">
        <v>0.12223576242590059</v>
      </c>
      <c r="L106" s="13">
        <v>0.14243181818181816</v>
      </c>
      <c r="M106" s="13"/>
      <c r="N106" s="9" t="s">
        <v>1619</v>
      </c>
      <c r="O106" s="13">
        <v>4.4881403860769116E-2</v>
      </c>
      <c r="P106" s="13">
        <v>6.8181818181818177E-2</v>
      </c>
    </row>
    <row r="107" spans="2:16" ht="15.75" customHeight="1" x14ac:dyDescent="0.25">
      <c r="B107" s="9" t="s">
        <v>1620</v>
      </c>
      <c r="C107" s="13">
        <v>0.13619472488220094</v>
      </c>
      <c r="D107" s="13">
        <v>0.11553977272727275</v>
      </c>
      <c r="F107" s="9" t="s">
        <v>1620</v>
      </c>
      <c r="G107" s="49">
        <v>896025095</v>
      </c>
      <c r="H107" s="49">
        <v>3177786568.6031523</v>
      </c>
      <c r="J107" s="9" t="s">
        <v>1620</v>
      </c>
      <c r="K107" s="13">
        <v>0.13619472488220094</v>
      </c>
      <c r="L107" s="13">
        <v>0.22765909090909087</v>
      </c>
      <c r="N107" s="9" t="s">
        <v>1620</v>
      </c>
      <c r="O107" s="13">
        <v>1.395896245630035E-2</v>
      </c>
      <c r="P107" s="13">
        <v>8.5227272727272721E-2</v>
      </c>
    </row>
    <row r="108" spans="2:16" ht="15.75" customHeight="1" x14ac:dyDescent="0.25">
      <c r="N108" s="9" t="s">
        <v>420</v>
      </c>
      <c r="O108" s="13">
        <v>0.13619472488220094</v>
      </c>
      <c r="P108" s="13">
        <v>0.22765909090909087</v>
      </c>
    </row>
    <row r="139" spans="33:38" ht="15.75" customHeight="1" x14ac:dyDescent="0.25">
      <c r="AG139" s="54" t="s">
        <v>1649</v>
      </c>
      <c r="AH139" s="55">
        <f>+GETPIVOTDATA(" % AVANCE ECONOMICO",$N$101)</f>
        <v>0.13619472488220094</v>
      </c>
      <c r="AI139" s="56">
        <f>+AJ139-AH139</f>
        <v>0.86380527511779903</v>
      </c>
      <c r="AJ139" s="57">
        <v>1</v>
      </c>
      <c r="AK139" s="54"/>
      <c r="AL139" s="23"/>
    </row>
    <row r="140" spans="33:38" ht="15.75" customHeight="1" x14ac:dyDescent="0.25">
      <c r="AG140" s="54" t="s">
        <v>1603</v>
      </c>
      <c r="AH140" s="56">
        <f>+K92</f>
        <v>0.11805397727272728</v>
      </c>
      <c r="AI140" s="56">
        <f>+AJ140-AH140</f>
        <v>0.88194602272727274</v>
      </c>
      <c r="AJ140" s="57">
        <v>1</v>
      </c>
      <c r="AK140" s="54"/>
      <c r="AL140" s="23"/>
    </row>
    <row r="141" spans="33:38" ht="15.75" customHeight="1" x14ac:dyDescent="0.25">
      <c r="AG141" s="54"/>
      <c r="AH141" s="54"/>
      <c r="AI141" s="54"/>
      <c r="AJ141" s="54"/>
      <c r="AK141" s="54"/>
      <c r="AL141" s="23"/>
    </row>
    <row r="142" spans="33:38" ht="15.75" customHeight="1" x14ac:dyDescent="0.25">
      <c r="AG142" s="54" t="s">
        <v>1610</v>
      </c>
      <c r="AH142" s="55">
        <f>+(GETPIVOTDATA("% FORECAST",$N$101)-GETPIVOTDATA(" % AVANCE ECONOMICO",$N$101))</f>
        <v>9.1464366026889926E-2</v>
      </c>
      <c r="AI142" s="57">
        <f>+AJ142-AH142</f>
        <v>0.9085356339731101</v>
      </c>
      <c r="AJ142" s="57">
        <v>1</v>
      </c>
      <c r="AK142" s="53"/>
    </row>
    <row r="143" spans="33:38" ht="15.75" customHeight="1" x14ac:dyDescent="0.25">
      <c r="AG143" s="53"/>
      <c r="AH143" s="53"/>
      <c r="AI143" s="53"/>
      <c r="AJ143" s="53"/>
      <c r="AK143" s="53"/>
    </row>
  </sheetData>
  <phoneticPr fontId="2" type="noConversion"/>
  <pageMargins left="0.7" right="0.7" top="0.75" bottom="0.75" header="0.3" footer="0.3"/>
  <ignoredErrors>
    <ignoredError sqref="D71:G71 G83:G85" formula="1"/>
    <ignoredError sqref="D81 J81:J84 J85:J87" calculatedColumn="1"/>
  </ignoredErrors>
  <drawing r:id="rId18"/>
  <tableParts count="1">
    <tablePart r:id="rId19"/>
  </tableParts>
  <extLst>
    <ext xmlns:x14="http://schemas.microsoft.com/office/spreadsheetml/2009/9/main" uri="{A8765BA9-456A-4dab-B4F3-ACF838C121DE}">
      <x14:slicerList>
        <x14:slicer r:id="rId20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36639-D3C4-443B-B951-2861FB8E0E69}">
  <sheetPr codeName="Hoja7"/>
  <dimension ref="A4:BK594"/>
  <sheetViews>
    <sheetView showGridLines="0" topLeftCell="AG1" zoomScale="77" zoomScaleNormal="84" workbookViewId="0">
      <selection activeCell="BJ83" sqref="BJ83"/>
    </sheetView>
  </sheetViews>
  <sheetFormatPr baseColWidth="10" defaultRowHeight="15" x14ac:dyDescent="0.25"/>
  <cols>
    <col min="1" max="1" width="11.42578125" hidden="1" customWidth="1"/>
    <col min="2" max="2" width="12.42578125" hidden="1" customWidth="1"/>
    <col min="3" max="3" width="19.42578125" hidden="1" customWidth="1"/>
    <col min="4" max="4" width="34" hidden="1" customWidth="1"/>
    <col min="5" max="5" width="14.5703125" hidden="1" customWidth="1"/>
    <col min="6" max="6" width="12" hidden="1" customWidth="1"/>
    <col min="7" max="7" width="13" hidden="1" customWidth="1"/>
    <col min="8" max="8" width="13.5703125" hidden="1" customWidth="1"/>
    <col min="9" max="9" width="16.7109375" hidden="1" customWidth="1"/>
    <col min="10" max="10" width="18.7109375" hidden="1" customWidth="1"/>
    <col min="11" max="31" width="16.85546875" hidden="1" customWidth="1"/>
    <col min="32" max="32" width="16.42578125" hidden="1" customWidth="1"/>
    <col min="33" max="33" width="14.28515625" bestFit="1" customWidth="1"/>
    <col min="34" max="34" width="13.140625" bestFit="1" customWidth="1"/>
    <col min="35" max="35" width="9.5703125" bestFit="1" customWidth="1"/>
    <col min="36" max="36" width="16.7109375" bestFit="1" customWidth="1"/>
  </cols>
  <sheetData>
    <row r="4" spans="3:31" x14ac:dyDescent="0.25">
      <c r="C4" s="8" t="s">
        <v>419</v>
      </c>
      <c r="D4" t="s">
        <v>414</v>
      </c>
      <c r="E4" t="s">
        <v>429</v>
      </c>
    </row>
    <row r="5" spans="3:31" x14ac:dyDescent="0.25">
      <c r="C5" s="9" t="s">
        <v>421</v>
      </c>
      <c r="D5" s="11">
        <v>34443741</v>
      </c>
      <c r="E5" s="11">
        <v>34703659.857199997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</row>
    <row r="6" spans="3:31" x14ac:dyDescent="0.25">
      <c r="C6" s="10" t="s">
        <v>426</v>
      </c>
      <c r="D6" s="11">
        <v>12199287</v>
      </c>
      <c r="E6" s="11">
        <v>12775335.223500002</v>
      </c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</row>
    <row r="7" spans="3:31" x14ac:dyDescent="0.25">
      <c r="C7" s="10" t="s">
        <v>427</v>
      </c>
      <c r="D7" s="11">
        <v>22116119</v>
      </c>
      <c r="E7" s="11">
        <v>21861855.612199996</v>
      </c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</row>
    <row r="8" spans="3:31" x14ac:dyDescent="0.25">
      <c r="C8" s="10" t="s">
        <v>428</v>
      </c>
      <c r="D8" s="11">
        <v>128335</v>
      </c>
      <c r="E8" s="11">
        <v>66469.021500000003</v>
      </c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</row>
    <row r="9" spans="3:31" x14ac:dyDescent="0.25">
      <c r="C9" s="9" t="s">
        <v>422</v>
      </c>
      <c r="D9" s="11">
        <v>860765665</v>
      </c>
      <c r="E9" s="11">
        <v>868430520.13639987</v>
      </c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</row>
    <row r="10" spans="3:31" x14ac:dyDescent="0.25">
      <c r="C10" s="10" t="s">
        <v>423</v>
      </c>
      <c r="D10" s="11">
        <v>12933743</v>
      </c>
      <c r="E10" s="11">
        <v>12571801.942799998</v>
      </c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</row>
    <row r="11" spans="3:31" x14ac:dyDescent="0.25">
      <c r="C11" s="10" t="s">
        <v>424</v>
      </c>
      <c r="D11" s="11">
        <v>87308211</v>
      </c>
      <c r="E11" s="11">
        <v>86668427.096600026</v>
      </c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</row>
    <row r="12" spans="3:31" x14ac:dyDescent="0.25">
      <c r="C12" s="10" t="s">
        <v>425</v>
      </c>
      <c r="D12" s="11">
        <v>145372712</v>
      </c>
      <c r="E12" s="11">
        <v>142106921.04689994</v>
      </c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</row>
    <row r="13" spans="3:31" x14ac:dyDescent="0.25">
      <c r="C13" s="10" t="s">
        <v>455</v>
      </c>
      <c r="D13" s="11">
        <v>228855918</v>
      </c>
      <c r="E13" s="11">
        <v>226562100.95799994</v>
      </c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</row>
    <row r="14" spans="3:31" x14ac:dyDescent="0.25">
      <c r="C14" s="10" t="s">
        <v>781</v>
      </c>
      <c r="D14" s="11">
        <v>294459067</v>
      </c>
      <c r="E14" s="11">
        <v>303055470.14729989</v>
      </c>
    </row>
    <row r="15" spans="3:31" hidden="1" x14ac:dyDescent="0.25">
      <c r="C15" s="10" t="s">
        <v>1596</v>
      </c>
      <c r="D15" s="11">
        <v>91836014</v>
      </c>
      <c r="E15" s="11">
        <v>97465798.944799989</v>
      </c>
    </row>
    <row r="16" spans="3:31" hidden="1" x14ac:dyDescent="0.25">
      <c r="C16" s="9" t="s">
        <v>420</v>
      </c>
      <c r="D16" s="11">
        <v>895209406</v>
      </c>
      <c r="E16" s="11">
        <v>903134179.99359977</v>
      </c>
    </row>
    <row r="17" spans="3:5" hidden="1" x14ac:dyDescent="0.25"/>
    <row r="18" spans="3:5" hidden="1" x14ac:dyDescent="0.25"/>
    <row r="19" spans="3:5" hidden="1" x14ac:dyDescent="0.25">
      <c r="C19" s="9"/>
      <c r="D19" s="11"/>
      <c r="E19" s="11"/>
    </row>
    <row r="20" spans="3:5" hidden="1" x14ac:dyDescent="0.25">
      <c r="C20" s="9"/>
      <c r="D20" s="11"/>
      <c r="E20" s="11"/>
    </row>
    <row r="21" spans="3:5" hidden="1" x14ac:dyDescent="0.25">
      <c r="C21" s="9"/>
      <c r="D21" s="11"/>
      <c r="E21" s="11"/>
    </row>
    <row r="22" spans="3:5" hidden="1" x14ac:dyDescent="0.25">
      <c r="C22" s="9"/>
      <c r="D22" s="11"/>
      <c r="E22" s="11"/>
    </row>
    <row r="23" spans="3:5" hidden="1" x14ac:dyDescent="0.25">
      <c r="C23" s="9"/>
      <c r="D23" s="11"/>
      <c r="E23" s="11"/>
    </row>
    <row r="24" spans="3:5" hidden="1" x14ac:dyDescent="0.25">
      <c r="C24" s="9"/>
      <c r="D24" s="11"/>
      <c r="E24" s="11"/>
    </row>
    <row r="25" spans="3:5" hidden="1" x14ac:dyDescent="0.25">
      <c r="C25" s="9"/>
      <c r="D25" s="11"/>
      <c r="E25" s="11"/>
    </row>
    <row r="26" spans="3:5" hidden="1" x14ac:dyDescent="0.25">
      <c r="C26" s="9"/>
      <c r="D26" s="11"/>
      <c r="E26" s="11"/>
    </row>
    <row r="27" spans="3:5" hidden="1" x14ac:dyDescent="0.25">
      <c r="C27" s="9"/>
      <c r="D27" s="11"/>
      <c r="E27" s="11"/>
    </row>
    <row r="28" spans="3:5" hidden="1" x14ac:dyDescent="0.25">
      <c r="C28" s="9"/>
      <c r="D28" s="11"/>
      <c r="E28" s="11"/>
    </row>
    <row r="29" spans="3:5" hidden="1" x14ac:dyDescent="0.25">
      <c r="C29" s="9"/>
      <c r="D29" s="11"/>
      <c r="E29" s="11"/>
    </row>
    <row r="30" spans="3:5" hidden="1" x14ac:dyDescent="0.25">
      <c r="C30" s="9"/>
      <c r="D30" s="11"/>
      <c r="E30" s="11"/>
    </row>
    <row r="31" spans="3:5" hidden="1" x14ac:dyDescent="0.25">
      <c r="C31" s="9"/>
      <c r="D31" s="11"/>
      <c r="E31" s="11"/>
    </row>
    <row r="32" spans="3:5" hidden="1" x14ac:dyDescent="0.25">
      <c r="C32" s="9"/>
      <c r="D32" s="11"/>
      <c r="E32" s="11"/>
    </row>
    <row r="33" spans="3:27" hidden="1" x14ac:dyDescent="0.25">
      <c r="C33" s="9"/>
      <c r="D33" s="11"/>
      <c r="E33" s="11"/>
    </row>
    <row r="34" spans="3:27" hidden="1" x14ac:dyDescent="0.25">
      <c r="C34" s="9"/>
      <c r="D34" s="11"/>
      <c r="E34" s="11"/>
    </row>
    <row r="35" spans="3:27" hidden="1" x14ac:dyDescent="0.25">
      <c r="C35" s="9"/>
      <c r="D35" s="11"/>
      <c r="E35" s="11"/>
    </row>
    <row r="36" spans="3:27" hidden="1" x14ac:dyDescent="0.25">
      <c r="C36" s="9"/>
      <c r="D36" s="11"/>
      <c r="E36" s="11"/>
      <c r="AA36" t="s">
        <v>390</v>
      </c>
    </row>
    <row r="37" spans="3:27" hidden="1" x14ac:dyDescent="0.25">
      <c r="C37" s="9"/>
      <c r="D37" s="11"/>
      <c r="E37" s="11"/>
    </row>
    <row r="38" spans="3:27" hidden="1" x14ac:dyDescent="0.25">
      <c r="C38" s="9"/>
      <c r="D38" s="11"/>
      <c r="E38" s="11"/>
    </row>
    <row r="39" spans="3:27" hidden="1" x14ac:dyDescent="0.25">
      <c r="C39" s="9"/>
      <c r="D39" s="11"/>
      <c r="E39" s="11"/>
    </row>
    <row r="40" spans="3:27" hidden="1" x14ac:dyDescent="0.25">
      <c r="C40" s="9"/>
      <c r="D40" s="11"/>
      <c r="E40" s="11"/>
    </row>
    <row r="41" spans="3:27" hidden="1" x14ac:dyDescent="0.25">
      <c r="C41" s="9"/>
      <c r="D41" s="11"/>
      <c r="E41" s="11"/>
    </row>
    <row r="42" spans="3:27" x14ac:dyDescent="0.25">
      <c r="C42" s="9"/>
      <c r="D42" s="11"/>
      <c r="E42" s="11"/>
    </row>
    <row r="45" spans="3:27" x14ac:dyDescent="0.25">
      <c r="C45" t="s">
        <v>414</v>
      </c>
      <c r="D45" t="s">
        <v>429</v>
      </c>
    </row>
    <row r="46" spans="3:27" x14ac:dyDescent="0.25">
      <c r="C46" s="5">
        <v>895209406</v>
      </c>
      <c r="D46" s="5">
        <v>903134179.99360216</v>
      </c>
    </row>
    <row r="48" spans="3:27" x14ac:dyDescent="0.25">
      <c r="C48" s="8" t="s">
        <v>419</v>
      </c>
      <c r="D48" t="s">
        <v>418</v>
      </c>
    </row>
    <row r="49" spans="3:4" x14ac:dyDescent="0.25">
      <c r="C49" s="9" t="s">
        <v>421</v>
      </c>
      <c r="D49" s="5">
        <v>34443741</v>
      </c>
    </row>
    <row r="50" spans="3:4" x14ac:dyDescent="0.25">
      <c r="C50" s="10" t="s">
        <v>426</v>
      </c>
      <c r="D50" s="5">
        <v>12199287</v>
      </c>
    </row>
    <row r="51" spans="3:4" x14ac:dyDescent="0.25">
      <c r="C51" s="10" t="s">
        <v>427</v>
      </c>
      <c r="D51" s="5">
        <v>22116119</v>
      </c>
    </row>
    <row r="52" spans="3:4" x14ac:dyDescent="0.25">
      <c r="C52" s="10" t="s">
        <v>428</v>
      </c>
      <c r="D52" s="5">
        <v>128335</v>
      </c>
    </row>
    <row r="53" spans="3:4" x14ac:dyDescent="0.25">
      <c r="C53" s="9" t="s">
        <v>422</v>
      </c>
      <c r="D53" s="5">
        <v>860765665</v>
      </c>
    </row>
    <row r="54" spans="3:4" x14ac:dyDescent="0.25">
      <c r="C54" s="10" t="s">
        <v>423</v>
      </c>
      <c r="D54" s="5">
        <v>12933743</v>
      </c>
    </row>
    <row r="55" spans="3:4" x14ac:dyDescent="0.25">
      <c r="C55" s="10" t="s">
        <v>424</v>
      </c>
      <c r="D55" s="5">
        <v>87308211</v>
      </c>
    </row>
    <row r="56" spans="3:4" x14ac:dyDescent="0.25">
      <c r="C56" s="10" t="s">
        <v>425</v>
      </c>
      <c r="D56" s="5">
        <v>145372712</v>
      </c>
    </row>
    <row r="57" spans="3:4" x14ac:dyDescent="0.25">
      <c r="C57" s="10" t="s">
        <v>455</v>
      </c>
      <c r="D57" s="5">
        <v>228855918</v>
      </c>
    </row>
    <row r="58" spans="3:4" x14ac:dyDescent="0.25">
      <c r="C58" s="10" t="s">
        <v>781</v>
      </c>
      <c r="D58" s="5">
        <v>294459067</v>
      </c>
    </row>
    <row r="59" spans="3:4" hidden="1" x14ac:dyDescent="0.25">
      <c r="C59" s="10" t="s">
        <v>1596</v>
      </c>
      <c r="D59" s="5">
        <v>91836014</v>
      </c>
    </row>
    <row r="60" spans="3:4" hidden="1" x14ac:dyDescent="0.25">
      <c r="C60" s="9" t="s">
        <v>420</v>
      </c>
      <c r="D60" s="5">
        <v>895209406</v>
      </c>
    </row>
    <row r="61" spans="3:4" hidden="1" x14ac:dyDescent="0.25"/>
    <row r="62" spans="3:4" hidden="1" x14ac:dyDescent="0.25"/>
    <row r="63" spans="3:4" hidden="1" x14ac:dyDescent="0.25">
      <c r="C63" s="9"/>
      <c r="D63" s="5"/>
    </row>
    <row r="64" spans="3:4" hidden="1" x14ac:dyDescent="0.25">
      <c r="C64" s="9"/>
      <c r="D64" s="5"/>
    </row>
    <row r="65" spans="3:4" hidden="1" x14ac:dyDescent="0.25">
      <c r="C65" s="9"/>
      <c r="D65" s="5"/>
    </row>
    <row r="66" spans="3:4" hidden="1" x14ac:dyDescent="0.25">
      <c r="C66" s="9"/>
      <c r="D66" s="5"/>
    </row>
    <row r="67" spans="3:4" hidden="1" x14ac:dyDescent="0.25">
      <c r="C67" s="9"/>
      <c r="D67" s="5"/>
    </row>
    <row r="68" spans="3:4" hidden="1" x14ac:dyDescent="0.25">
      <c r="C68" s="9"/>
      <c r="D68" s="5"/>
    </row>
    <row r="69" spans="3:4" hidden="1" x14ac:dyDescent="0.25">
      <c r="C69" s="9"/>
      <c r="D69" s="5"/>
    </row>
    <row r="70" spans="3:4" hidden="1" x14ac:dyDescent="0.25">
      <c r="C70" s="9"/>
      <c r="D70" s="5"/>
    </row>
    <row r="71" spans="3:4" hidden="1" x14ac:dyDescent="0.25">
      <c r="C71" s="9"/>
      <c r="D71" s="5"/>
    </row>
    <row r="72" spans="3:4" hidden="1" x14ac:dyDescent="0.25">
      <c r="C72" s="9"/>
      <c r="D72" s="5"/>
    </row>
    <row r="73" spans="3:4" hidden="1" x14ac:dyDescent="0.25">
      <c r="C73" s="9"/>
      <c r="D73" s="5"/>
    </row>
    <row r="74" spans="3:4" hidden="1" x14ac:dyDescent="0.25">
      <c r="C74" s="9"/>
      <c r="D74" s="5"/>
    </row>
    <row r="75" spans="3:4" hidden="1" x14ac:dyDescent="0.25">
      <c r="C75" s="9"/>
      <c r="D75" s="5"/>
    </row>
    <row r="76" spans="3:4" hidden="1" x14ac:dyDescent="0.25">
      <c r="C76" s="9"/>
      <c r="D76" s="5"/>
    </row>
    <row r="77" spans="3:4" hidden="1" x14ac:dyDescent="0.25">
      <c r="C77" s="9"/>
      <c r="D77" s="5"/>
    </row>
    <row r="78" spans="3:4" hidden="1" x14ac:dyDescent="0.25">
      <c r="C78" s="9"/>
      <c r="D78" s="5"/>
    </row>
    <row r="79" spans="3:4" hidden="1" x14ac:dyDescent="0.25">
      <c r="C79" s="9"/>
      <c r="D79" s="5"/>
    </row>
    <row r="80" spans="3:4" hidden="1" x14ac:dyDescent="0.25"/>
    <row r="83" spans="3:63" x14ac:dyDescent="0.25">
      <c r="C83" s="8" t="s">
        <v>419</v>
      </c>
      <c r="D83" t="s">
        <v>418</v>
      </c>
      <c r="E83" t="s">
        <v>431</v>
      </c>
    </row>
    <row r="84" spans="3:63" x14ac:dyDescent="0.25">
      <c r="C84" s="9" t="s">
        <v>430</v>
      </c>
      <c r="D84" s="5">
        <v>197838184</v>
      </c>
      <c r="E84" s="4">
        <f>+GETPIVOTDATA("VALOR TOTAL POR ITEM GD",$C$83,"TIPO PRODUCTO","NO CRITICO")/GETPIVOTDATA("VALOR TOTAL POR ITEM GD",$C$83)</f>
        <v>0.2209965430144285</v>
      </c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</row>
    <row r="85" spans="3:63" x14ac:dyDescent="0.25">
      <c r="C85" s="9" t="s">
        <v>319</v>
      </c>
      <c r="D85" s="5">
        <v>697371222</v>
      </c>
      <c r="E85" s="4">
        <f>+GETPIVOTDATA("VALOR TOTAL POR ITEM GD",$C$83,"TIPO PRODUCTO","PRODUCTO CRITICO")/GETPIVOTDATA("VALOR TOTAL POR ITEM GD",$C$83)</f>
        <v>0.7790034569855715</v>
      </c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</row>
    <row r="86" spans="3:63" x14ac:dyDescent="0.25">
      <c r="C86" s="9" t="s">
        <v>420</v>
      </c>
      <c r="D86" s="5">
        <v>895209406</v>
      </c>
    </row>
    <row r="87" spans="3:63" x14ac:dyDescent="0.25">
      <c r="BK87" t="s">
        <v>775</v>
      </c>
    </row>
    <row r="88" spans="3:63" x14ac:dyDescent="0.25">
      <c r="C88" s="8" t="s">
        <v>416</v>
      </c>
      <c r="D88" t="s">
        <v>319</v>
      </c>
    </row>
    <row r="90" spans="3:63" x14ac:dyDescent="0.25">
      <c r="C90" s="8" t="s">
        <v>419</v>
      </c>
      <c r="D90" t="s">
        <v>437</v>
      </c>
    </row>
    <row r="91" spans="3:63" x14ac:dyDescent="0.25">
      <c r="C91" s="9" t="s">
        <v>421</v>
      </c>
      <c r="D91" s="11">
        <v>81979.290199999901</v>
      </c>
    </row>
    <row r="92" spans="3:63" x14ac:dyDescent="0.25">
      <c r="C92" s="10" t="s">
        <v>426</v>
      </c>
      <c r="D92" s="11">
        <v>62003.899399999907</v>
      </c>
    </row>
    <row r="93" spans="3:63" x14ac:dyDescent="0.25">
      <c r="C93" s="10" t="s">
        <v>427</v>
      </c>
      <c r="D93" s="11">
        <v>19975.572599999996</v>
      </c>
    </row>
    <row r="94" spans="3:63" x14ac:dyDescent="0.25">
      <c r="C94" s="10" t="s">
        <v>428</v>
      </c>
      <c r="D94" s="11">
        <v>-0.18179999999999999</v>
      </c>
    </row>
    <row r="95" spans="3:63" x14ac:dyDescent="0.25">
      <c r="C95" s="9" t="s">
        <v>422</v>
      </c>
      <c r="D95" s="11">
        <v>6689930.7788999993</v>
      </c>
    </row>
    <row r="96" spans="3:63" x14ac:dyDescent="0.25">
      <c r="C96" s="10" t="s">
        <v>423</v>
      </c>
      <c r="D96" s="11">
        <v>-627110.94610000006</v>
      </c>
    </row>
    <row r="97" spans="3:4" x14ac:dyDescent="0.25">
      <c r="C97" s="10" t="s">
        <v>424</v>
      </c>
      <c r="D97" s="11">
        <v>-1819459.0366</v>
      </c>
    </row>
    <row r="98" spans="3:4" x14ac:dyDescent="0.25">
      <c r="C98" s="10" t="s">
        <v>425</v>
      </c>
      <c r="D98" s="11">
        <v>-668295.33180000004</v>
      </c>
    </row>
    <row r="99" spans="3:4" x14ac:dyDescent="0.25">
      <c r="C99" s="10" t="s">
        <v>455</v>
      </c>
      <c r="D99" s="11">
        <v>1843403.7857000001</v>
      </c>
    </row>
    <row r="100" spans="3:4" x14ac:dyDescent="0.25">
      <c r="C100" s="10" t="s">
        <v>781</v>
      </c>
      <c r="D100" s="11">
        <v>6024933.8523999993</v>
      </c>
    </row>
    <row r="101" spans="3:4" x14ac:dyDescent="0.25">
      <c r="C101" s="10" t="s">
        <v>1596</v>
      </c>
      <c r="D101" s="11">
        <v>1936458.4553000003</v>
      </c>
    </row>
    <row r="102" spans="3:4" hidden="1" x14ac:dyDescent="0.25">
      <c r="C102" s="9" t="s">
        <v>420</v>
      </c>
      <c r="D102" s="11">
        <v>6771910.0691</v>
      </c>
    </row>
    <row r="103" spans="3:4" hidden="1" x14ac:dyDescent="0.25"/>
    <row r="104" spans="3:4" hidden="1" x14ac:dyDescent="0.25"/>
    <row r="105" spans="3:4" hidden="1" x14ac:dyDescent="0.25"/>
    <row r="106" spans="3:4" hidden="1" x14ac:dyDescent="0.25"/>
    <row r="107" spans="3:4" hidden="1" x14ac:dyDescent="0.25"/>
    <row r="108" spans="3:4" hidden="1" x14ac:dyDescent="0.25"/>
    <row r="109" spans="3:4" hidden="1" x14ac:dyDescent="0.25"/>
    <row r="110" spans="3:4" hidden="1" x14ac:dyDescent="0.25"/>
    <row r="111" spans="3:4" hidden="1" x14ac:dyDescent="0.25"/>
    <row r="112" spans="3:4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spans="3:51" hidden="1" x14ac:dyDescent="0.25"/>
    <row r="194" spans="3:51" hidden="1" x14ac:dyDescent="0.25"/>
    <row r="195" spans="3:51" hidden="1" x14ac:dyDescent="0.25"/>
    <row r="198" spans="3:51" x14ac:dyDescent="0.25">
      <c r="C198" s="8" t="s">
        <v>319</v>
      </c>
      <c r="D198" t="s">
        <v>319</v>
      </c>
    </row>
    <row r="200" spans="3:51" x14ac:dyDescent="0.25">
      <c r="C200" s="8" t="s">
        <v>419</v>
      </c>
      <c r="D200" t="s">
        <v>461</v>
      </c>
    </row>
    <row r="201" spans="3:51" x14ac:dyDescent="0.25">
      <c r="C201" s="9" t="s">
        <v>278</v>
      </c>
      <c r="D201" s="13">
        <v>0.16445019988866633</v>
      </c>
    </row>
    <row r="202" spans="3:51" x14ac:dyDescent="0.25">
      <c r="C202" s="9" t="s">
        <v>279</v>
      </c>
      <c r="D202" s="13">
        <v>0.12212190094283967</v>
      </c>
      <c r="AY202" t="s">
        <v>390</v>
      </c>
    </row>
    <row r="203" spans="3:51" x14ac:dyDescent="0.25">
      <c r="C203" s="9" t="s">
        <v>39</v>
      </c>
      <c r="D203" s="13">
        <v>7.4050867683987803E-2</v>
      </c>
    </row>
    <row r="204" spans="3:51" x14ac:dyDescent="0.25">
      <c r="C204" s="9" t="s">
        <v>83</v>
      </c>
      <c r="D204" s="13">
        <v>2.1423185027764455E-2</v>
      </c>
    </row>
    <row r="205" spans="3:51" x14ac:dyDescent="0.25">
      <c r="C205" s="9" t="s">
        <v>249</v>
      </c>
      <c r="D205" s="13">
        <v>6.8771075571226664E-2</v>
      </c>
    </row>
    <row r="206" spans="3:51" x14ac:dyDescent="0.25">
      <c r="C206" s="9" t="s">
        <v>40</v>
      </c>
      <c r="D206" s="13">
        <v>0.16814159292035399</v>
      </c>
    </row>
    <row r="207" spans="3:51" x14ac:dyDescent="0.25">
      <c r="C207" s="9" t="s">
        <v>41</v>
      </c>
      <c r="D207" s="13">
        <v>0.13767629281396909</v>
      </c>
    </row>
    <row r="208" spans="3:51" x14ac:dyDescent="0.25">
      <c r="C208" s="9" t="s">
        <v>337</v>
      </c>
      <c r="D208" s="13">
        <v>6.1001865939428725E-2</v>
      </c>
    </row>
    <row r="209" spans="3:4" x14ac:dyDescent="0.25">
      <c r="C209" s="9" t="s">
        <v>256</v>
      </c>
      <c r="D209" s="13">
        <v>0.1310263917686571</v>
      </c>
    </row>
    <row r="210" spans="3:4" x14ac:dyDescent="0.25">
      <c r="C210" s="9" t="s">
        <v>247</v>
      </c>
      <c r="D210" s="13">
        <v>4.2257315061113174E-2</v>
      </c>
    </row>
    <row r="211" spans="3:4" x14ac:dyDescent="0.25">
      <c r="C211" s="9" t="s">
        <v>126</v>
      </c>
      <c r="D211" s="13" t="e">
        <v>#DIV/0!</v>
      </c>
    </row>
    <row r="212" spans="3:4" x14ac:dyDescent="0.25">
      <c r="C212" s="9" t="s">
        <v>356</v>
      </c>
      <c r="D212" s="13" t="e">
        <v>#DIV/0!</v>
      </c>
    </row>
    <row r="213" spans="3:4" x14ac:dyDescent="0.25">
      <c r="C213" s="9" t="s">
        <v>246</v>
      </c>
      <c r="D213" s="13">
        <v>9.3929868816651024E-2</v>
      </c>
    </row>
    <row r="214" spans="3:4" x14ac:dyDescent="0.25">
      <c r="C214" s="9" t="s">
        <v>323</v>
      </c>
      <c r="D214" s="13">
        <v>0.17227564102564089</v>
      </c>
    </row>
    <row r="215" spans="3:4" x14ac:dyDescent="0.25">
      <c r="C215" s="9" t="s">
        <v>115</v>
      </c>
      <c r="D215" s="13">
        <v>0.22923112584783772</v>
      </c>
    </row>
    <row r="216" spans="3:4" x14ac:dyDescent="0.25">
      <c r="C216" s="9" t="s">
        <v>22</v>
      </c>
      <c r="D216" s="13">
        <v>0.22276135862373175</v>
      </c>
    </row>
    <row r="217" spans="3:4" x14ac:dyDescent="0.25">
      <c r="C217" s="9" t="s">
        <v>167</v>
      </c>
      <c r="D217" s="13">
        <v>0.13561620613663333</v>
      </c>
    </row>
    <row r="218" spans="3:4" x14ac:dyDescent="0.25">
      <c r="C218" s="9" t="s">
        <v>72</v>
      </c>
      <c r="D218" s="13">
        <v>0.18776971811587551</v>
      </c>
    </row>
    <row r="219" spans="3:4" x14ac:dyDescent="0.25">
      <c r="C219" s="9" t="s">
        <v>17</v>
      </c>
      <c r="D219" s="13">
        <v>0.16704824601081422</v>
      </c>
    </row>
    <row r="220" spans="3:4" x14ac:dyDescent="0.25">
      <c r="C220" s="9" t="s">
        <v>80</v>
      </c>
      <c r="D220" s="13">
        <v>0.21327391373547663</v>
      </c>
    </row>
    <row r="221" spans="3:4" x14ac:dyDescent="0.25">
      <c r="C221" s="9" t="s">
        <v>37</v>
      </c>
      <c r="D221" s="13">
        <v>0.15548823446526705</v>
      </c>
    </row>
    <row r="222" spans="3:4" x14ac:dyDescent="0.25">
      <c r="C222" s="9" t="s">
        <v>197</v>
      </c>
      <c r="D222" s="13">
        <v>0.23700912336374447</v>
      </c>
    </row>
    <row r="223" spans="3:4" x14ac:dyDescent="0.25">
      <c r="C223" s="9" t="s">
        <v>204</v>
      </c>
      <c r="D223" s="13">
        <v>0.1366606020509428</v>
      </c>
    </row>
    <row r="224" spans="3:4" hidden="1" x14ac:dyDescent="0.25">
      <c r="C224" s="9" t="s">
        <v>347</v>
      </c>
      <c r="D224" s="13">
        <v>0</v>
      </c>
    </row>
    <row r="225" spans="3:4" hidden="1" x14ac:dyDescent="0.25">
      <c r="C225" s="9" t="s">
        <v>318</v>
      </c>
      <c r="D225" s="13">
        <v>0.16454186143968932</v>
      </c>
    </row>
    <row r="226" spans="3:4" hidden="1" x14ac:dyDescent="0.25">
      <c r="C226" s="9" t="s">
        <v>30</v>
      </c>
      <c r="D226" s="13">
        <v>0.15418202501575334</v>
      </c>
    </row>
    <row r="227" spans="3:4" hidden="1" x14ac:dyDescent="0.25">
      <c r="C227" s="9" t="s">
        <v>297</v>
      </c>
      <c r="D227" s="13">
        <v>0.11459589867310011</v>
      </c>
    </row>
    <row r="228" spans="3:4" hidden="1" x14ac:dyDescent="0.25">
      <c r="C228" s="9" t="s">
        <v>289</v>
      </c>
      <c r="D228" s="13">
        <v>0.11124473842453397</v>
      </c>
    </row>
    <row r="229" spans="3:4" hidden="1" x14ac:dyDescent="0.25">
      <c r="C229" s="9" t="s">
        <v>287</v>
      </c>
      <c r="D229" s="13">
        <v>0.1247717589774802</v>
      </c>
    </row>
    <row r="230" spans="3:4" hidden="1" x14ac:dyDescent="0.25">
      <c r="C230" s="9" t="s">
        <v>338</v>
      </c>
      <c r="D230" s="13">
        <v>3.4338855811651861E-3</v>
      </c>
    </row>
    <row r="231" spans="3:4" hidden="1" x14ac:dyDescent="0.25">
      <c r="C231" s="9" t="s">
        <v>316</v>
      </c>
      <c r="D231" s="13">
        <v>0.1547250654606046</v>
      </c>
    </row>
    <row r="232" spans="3:4" hidden="1" x14ac:dyDescent="0.25">
      <c r="C232" s="9" t="s">
        <v>420</v>
      </c>
      <c r="D232" s="13">
        <v>0.12998206756492928</v>
      </c>
    </row>
    <row r="233" spans="3:4" hidden="1" x14ac:dyDescent="0.25"/>
    <row r="234" spans="3:4" hidden="1" x14ac:dyDescent="0.25"/>
    <row r="235" spans="3:4" hidden="1" x14ac:dyDescent="0.25"/>
    <row r="236" spans="3:4" hidden="1" x14ac:dyDescent="0.25"/>
    <row r="237" spans="3:4" hidden="1" x14ac:dyDescent="0.25"/>
    <row r="238" spans="3:4" hidden="1" x14ac:dyDescent="0.25"/>
    <row r="239" spans="3:4" hidden="1" x14ac:dyDescent="0.25"/>
    <row r="240" spans="3:4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spans="3:4" hidden="1" x14ac:dyDescent="0.25"/>
    <row r="258" spans="3:4" hidden="1" x14ac:dyDescent="0.25"/>
    <row r="259" spans="3:4" hidden="1" x14ac:dyDescent="0.25"/>
    <row r="260" spans="3:4" hidden="1" x14ac:dyDescent="0.25"/>
    <row r="261" spans="3:4" hidden="1" x14ac:dyDescent="0.25"/>
    <row r="262" spans="3:4" hidden="1" x14ac:dyDescent="0.25"/>
    <row r="263" spans="3:4" hidden="1" x14ac:dyDescent="0.25"/>
    <row r="264" spans="3:4" hidden="1" x14ac:dyDescent="0.25"/>
    <row r="265" spans="3:4" hidden="1" x14ac:dyDescent="0.25"/>
    <row r="266" spans="3:4" hidden="1" x14ac:dyDescent="0.25"/>
    <row r="267" spans="3:4" hidden="1" x14ac:dyDescent="0.25"/>
    <row r="271" spans="3:4" x14ac:dyDescent="0.25">
      <c r="C271" s="8" t="s">
        <v>416</v>
      </c>
      <c r="D271" t="s">
        <v>319</v>
      </c>
    </row>
    <row r="273" spans="3:5" x14ac:dyDescent="0.25">
      <c r="C273" s="8" t="s">
        <v>745</v>
      </c>
      <c r="D273" s="8" t="s">
        <v>432</v>
      </c>
    </row>
    <row r="274" spans="3:5" x14ac:dyDescent="0.25">
      <c r="C274" s="8" t="s">
        <v>419</v>
      </c>
      <c r="D274" t="s">
        <v>540</v>
      </c>
      <c r="E274" t="s">
        <v>420</v>
      </c>
    </row>
    <row r="275" spans="3:5" x14ac:dyDescent="0.25">
      <c r="C275" s="9" t="s">
        <v>421</v>
      </c>
      <c r="D275" s="11">
        <v>2035.1682333333331</v>
      </c>
      <c r="E275" s="11">
        <v>2035.1682333333331</v>
      </c>
    </row>
    <row r="276" spans="3:5" x14ac:dyDescent="0.25">
      <c r="C276" s="10" t="s">
        <v>426</v>
      </c>
      <c r="D276" s="11">
        <v>2031.3581999999999</v>
      </c>
      <c r="E276" s="11">
        <v>2031.3581999999999</v>
      </c>
    </row>
    <row r="277" spans="3:5" x14ac:dyDescent="0.25">
      <c r="C277" s="10" t="s">
        <v>427</v>
      </c>
      <c r="D277" s="11">
        <v>2037.0732499999999</v>
      </c>
      <c r="E277" s="11">
        <v>2037.0732499999999</v>
      </c>
    </row>
    <row r="278" spans="3:5" x14ac:dyDescent="0.25">
      <c r="C278" s="9" t="s">
        <v>422</v>
      </c>
      <c r="D278" s="11">
        <v>2065.1847413793098</v>
      </c>
      <c r="E278" s="11">
        <v>2065.1847413793103</v>
      </c>
    </row>
    <row r="279" spans="3:5" x14ac:dyDescent="0.25">
      <c r="C279" s="10" t="s">
        <v>423</v>
      </c>
      <c r="D279" s="11">
        <v>2097.1343000000002</v>
      </c>
      <c r="E279" s="11">
        <v>2097.1343000000002</v>
      </c>
    </row>
    <row r="280" spans="3:5" x14ac:dyDescent="0.25">
      <c r="C280" s="10" t="s">
        <v>424</v>
      </c>
      <c r="D280" s="11">
        <v>2087.4843333333333</v>
      </c>
      <c r="E280" s="11">
        <v>2087.4843333333333</v>
      </c>
    </row>
    <row r="281" spans="3:5" x14ac:dyDescent="0.25">
      <c r="C281" s="10" t="s">
        <v>425</v>
      </c>
      <c r="D281" s="11">
        <v>2077.6863833333332</v>
      </c>
      <c r="E281" s="11">
        <v>2077.6863833333332</v>
      </c>
    </row>
    <row r="282" spans="3:5" x14ac:dyDescent="0.25">
      <c r="C282" s="10" t="s">
        <v>455</v>
      </c>
      <c r="D282" s="11">
        <v>2047.3003399999998</v>
      </c>
      <c r="E282" s="11">
        <v>2047.3003399999998</v>
      </c>
    </row>
    <row r="283" spans="3:5" x14ac:dyDescent="0.25">
      <c r="C283" s="10" t="s">
        <v>781</v>
      </c>
      <c r="D283" s="11">
        <v>2050.8619399999998</v>
      </c>
      <c r="E283" s="11">
        <v>2050.8619399999998</v>
      </c>
    </row>
    <row r="284" spans="3:5" x14ac:dyDescent="0.25">
      <c r="C284" s="10" t="s">
        <v>1596</v>
      </c>
      <c r="D284" s="11">
        <v>2057.0778</v>
      </c>
      <c r="E284" s="11">
        <v>2057.0778</v>
      </c>
    </row>
    <row r="285" spans="3:5" x14ac:dyDescent="0.25">
      <c r="C285" s="9" t="s">
        <v>420</v>
      </c>
      <c r="D285" s="11">
        <v>2062.3706937499992</v>
      </c>
      <c r="E285" s="11">
        <v>2062.3706937500001</v>
      </c>
    </row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spans="2:44" hidden="1" x14ac:dyDescent="0.25"/>
    <row r="452" spans="2:44" x14ac:dyDescent="0.25">
      <c r="C452" s="8" t="s">
        <v>419</v>
      </c>
      <c r="D452" t="s">
        <v>468</v>
      </c>
      <c r="E452" t="s">
        <v>429</v>
      </c>
      <c r="F452" t="s">
        <v>466</v>
      </c>
      <c r="G452" t="s">
        <v>467</v>
      </c>
      <c r="L452">
        <v>815689</v>
      </c>
    </row>
    <row r="453" spans="2:44" x14ac:dyDescent="0.25">
      <c r="C453" s="9" t="s">
        <v>421</v>
      </c>
      <c r="D453" s="5">
        <v>34443741</v>
      </c>
      <c r="E453" s="5">
        <v>34703659.857199997</v>
      </c>
      <c r="F453" s="13">
        <v>-7.4896670342415872E-3</v>
      </c>
      <c r="G453" s="5">
        <v>-259918.85720000416</v>
      </c>
    </row>
    <row r="454" spans="2:44" x14ac:dyDescent="0.25">
      <c r="B454" t="s">
        <v>751</v>
      </c>
      <c r="C454" s="10" t="s">
        <v>426</v>
      </c>
      <c r="D454" s="5">
        <v>12199287</v>
      </c>
      <c r="E454" s="5">
        <v>12775335.223500002</v>
      </c>
      <c r="F454" s="13">
        <v>-4.5090654250729334E-2</v>
      </c>
      <c r="G454" s="5">
        <v>-576048.22350000218</v>
      </c>
      <c r="I454" s="18" t="s">
        <v>466</v>
      </c>
      <c r="J454" s="7">
        <f>+GETPIVOTDATA("VARIACIÓN ",$C$452)</f>
        <v>-8.7747470632307811E-3</v>
      </c>
    </row>
    <row r="455" spans="2:44" x14ac:dyDescent="0.25">
      <c r="B455" t="s">
        <v>751</v>
      </c>
      <c r="C455" s="10" t="s">
        <v>427</v>
      </c>
      <c r="D455" s="5">
        <v>22116119</v>
      </c>
      <c r="E455" s="5">
        <v>21861855.612199996</v>
      </c>
      <c r="F455" s="13">
        <v>1.1630457739283173E-2</v>
      </c>
      <c r="G455" s="5">
        <v>254263.38780000433</v>
      </c>
      <c r="I455" s="18" t="s">
        <v>467</v>
      </c>
      <c r="J455" s="2">
        <f>+GETPIVOTDATA("DESVIACIÓN ",$C$452)</f>
        <v>-7924773.9936021566</v>
      </c>
      <c r="L455">
        <v>272338374</v>
      </c>
    </row>
    <row r="456" spans="2:44" x14ac:dyDescent="0.25">
      <c r="B456" t="s">
        <v>751</v>
      </c>
      <c r="C456" s="10" t="s">
        <v>428</v>
      </c>
      <c r="D456" s="5">
        <v>128335</v>
      </c>
      <c r="E456" s="5">
        <v>66469.021500000003</v>
      </c>
      <c r="F456" s="13">
        <v>0.93074904826152727</v>
      </c>
      <c r="G456" s="5">
        <v>61865.978499999997</v>
      </c>
      <c r="I456" s="18" t="s">
        <v>468</v>
      </c>
      <c r="J456" s="2">
        <f>+GETPIVOTDATA("VALOR COMPRA",$C$452)+815689+K465+K466</f>
        <v>896025095</v>
      </c>
      <c r="K456" s="7">
        <f>+J456/J457</f>
        <v>0.13619472488220094</v>
      </c>
      <c r="L456" s="5">
        <f>+L455-J456</f>
        <v>-623686721</v>
      </c>
      <c r="M456">
        <v>806388757</v>
      </c>
    </row>
    <row r="457" spans="2:44" x14ac:dyDescent="0.25">
      <c r="C457" s="9" t="s">
        <v>422</v>
      </c>
      <c r="D457" s="5">
        <v>860765665</v>
      </c>
      <c r="E457" s="5">
        <v>868430520.13639987</v>
      </c>
      <c r="F457" s="13">
        <v>-8.8261006018052202E-3</v>
      </c>
      <c r="G457" s="5">
        <v>-7664855.1364018917</v>
      </c>
      <c r="I457" s="19" t="s">
        <v>415</v>
      </c>
      <c r="J457" s="2">
        <v>6579000000</v>
      </c>
      <c r="K457" s="12">
        <v>1</v>
      </c>
      <c r="M457" s="5">
        <f>+J456-M456</f>
        <v>89636338</v>
      </c>
      <c r="AM457" s="41"/>
      <c r="AN457" s="41"/>
      <c r="AO457" s="41"/>
      <c r="AP457" s="41"/>
      <c r="AQ457" s="41"/>
      <c r="AR457" s="41"/>
    </row>
    <row r="458" spans="2:44" x14ac:dyDescent="0.25">
      <c r="B458" t="s">
        <v>756</v>
      </c>
      <c r="C458" s="10" t="s">
        <v>423</v>
      </c>
      <c r="D458" s="5">
        <v>12933743</v>
      </c>
      <c r="E458" s="5">
        <v>12571801.942799998</v>
      </c>
      <c r="F458" s="13">
        <v>2.878991085341509E-2</v>
      </c>
      <c r="G458" s="5">
        <v>361941.05720000155</v>
      </c>
      <c r="I458" s="19" t="s">
        <v>717</v>
      </c>
      <c r="J458" s="6">
        <v>9160767</v>
      </c>
      <c r="K458" s="3">
        <f>+J456/J458</f>
        <v>97.811143433732127</v>
      </c>
      <c r="AM458" s="41"/>
      <c r="AN458" s="41"/>
      <c r="AO458" s="41"/>
      <c r="AP458" s="41"/>
      <c r="AQ458" s="41"/>
      <c r="AR458" s="41"/>
    </row>
    <row r="459" spans="2:44" x14ac:dyDescent="0.25">
      <c r="B459" t="s">
        <v>756</v>
      </c>
      <c r="C459" s="10" t="s">
        <v>424</v>
      </c>
      <c r="D459" s="5">
        <v>87308211</v>
      </c>
      <c r="E459" s="5">
        <v>86668427.096600026</v>
      </c>
      <c r="F459" s="13">
        <v>7.3819720148708967E-3</v>
      </c>
      <c r="G459" s="5">
        <v>639783.90339997411</v>
      </c>
      <c r="AM459" s="41"/>
      <c r="AN459" s="41"/>
      <c r="AO459" s="41"/>
      <c r="AP459" s="41"/>
      <c r="AQ459" s="41"/>
      <c r="AR459" s="41"/>
    </row>
    <row r="460" spans="2:44" x14ac:dyDescent="0.25">
      <c r="B460" t="s">
        <v>756</v>
      </c>
      <c r="C460" s="10" t="s">
        <v>425</v>
      </c>
      <c r="D460" s="5">
        <v>145372712</v>
      </c>
      <c r="E460" s="5">
        <v>142106921.04689994</v>
      </c>
      <c r="F460" s="13">
        <v>2.2981223778835158E-2</v>
      </c>
      <c r="G460" s="5">
        <v>3265790.9531000555</v>
      </c>
      <c r="J460" s="2"/>
      <c r="AM460" s="41"/>
      <c r="AN460" s="41"/>
      <c r="AO460" s="41"/>
      <c r="AP460" s="41"/>
      <c r="AQ460" s="41"/>
      <c r="AR460" s="41"/>
    </row>
    <row r="461" spans="2:44" x14ac:dyDescent="0.25">
      <c r="B461" t="s">
        <v>756</v>
      </c>
      <c r="C461" s="10" t="s">
        <v>455</v>
      </c>
      <c r="D461" s="5">
        <v>228855918</v>
      </c>
      <c r="E461" s="5">
        <v>226562100.95799994</v>
      </c>
      <c r="F461" s="13">
        <v>1.0124451672635537E-2</v>
      </c>
      <c r="G461" s="5">
        <v>2293817.0420000553</v>
      </c>
      <c r="J461" s="2">
        <v>509730014</v>
      </c>
      <c r="AM461" s="41"/>
      <c r="AN461" s="41"/>
      <c r="AO461" s="41"/>
      <c r="AP461" s="41"/>
      <c r="AQ461" s="41"/>
      <c r="AR461" s="41"/>
    </row>
    <row r="462" spans="2:44" x14ac:dyDescent="0.25">
      <c r="C462" s="10" t="s">
        <v>781</v>
      </c>
      <c r="D462" s="5">
        <v>294459067</v>
      </c>
      <c r="E462" s="5">
        <v>303055470.14729989</v>
      </c>
      <c r="F462" s="13">
        <v>-2.8365774566357804E-2</v>
      </c>
      <c r="G462" s="5">
        <v>-8596403.1472998857</v>
      </c>
      <c r="J462" s="5">
        <f>+J461-J456</f>
        <v>-386295081</v>
      </c>
      <c r="AM462" s="41"/>
      <c r="AN462" s="41"/>
      <c r="AO462" s="41"/>
      <c r="AP462" s="41"/>
      <c r="AQ462" s="41"/>
      <c r="AR462" s="41"/>
    </row>
    <row r="463" spans="2:44" x14ac:dyDescent="0.25">
      <c r="C463" s="10" t="s">
        <v>1596</v>
      </c>
      <c r="D463" s="5">
        <v>91836014</v>
      </c>
      <c r="E463" s="5">
        <v>97465798.944799989</v>
      </c>
      <c r="F463" s="13">
        <v>-5.7761645682383733E-2</v>
      </c>
      <c r="G463" s="5">
        <v>-5629784.9447999895</v>
      </c>
      <c r="AM463" s="41"/>
      <c r="AN463" s="41"/>
      <c r="AO463" s="41"/>
      <c r="AP463" s="41"/>
      <c r="AQ463" s="41"/>
      <c r="AR463" s="41"/>
    </row>
    <row r="464" spans="2:44" x14ac:dyDescent="0.25">
      <c r="C464" s="9" t="s">
        <v>420</v>
      </c>
      <c r="D464" s="5">
        <v>895209406</v>
      </c>
      <c r="E464" s="5">
        <v>903134179.99359977</v>
      </c>
      <c r="F464" s="13">
        <v>-8.7747470632307811E-3</v>
      </c>
      <c r="G464" s="5">
        <v>-7924773.9936021566</v>
      </c>
      <c r="AM464" s="41"/>
      <c r="AN464" s="41"/>
      <c r="AO464" s="41"/>
      <c r="AP464" s="41"/>
      <c r="AQ464" s="41"/>
      <c r="AR464" s="41"/>
    </row>
    <row r="465" spans="9:44" x14ac:dyDescent="0.25">
      <c r="J465" t="s">
        <v>1695</v>
      </c>
      <c r="L465">
        <f>+K465+K466+L452</f>
        <v>815689</v>
      </c>
      <c r="AM465" s="41"/>
      <c r="AN465" s="41"/>
      <c r="AO465" s="41"/>
      <c r="AP465" s="41"/>
      <c r="AQ465" s="41"/>
      <c r="AR465" s="41"/>
    </row>
    <row r="466" spans="9:44" x14ac:dyDescent="0.25">
      <c r="J466" t="s">
        <v>1696</v>
      </c>
      <c r="AM466" s="41"/>
      <c r="AN466" s="41"/>
      <c r="AO466" s="41"/>
      <c r="AP466" s="41"/>
      <c r="AQ466" s="41"/>
      <c r="AR466" s="41"/>
    </row>
    <row r="467" spans="9:44" x14ac:dyDescent="0.25">
      <c r="AM467" s="41"/>
      <c r="AN467" s="41"/>
      <c r="AO467" s="41"/>
      <c r="AP467" s="41"/>
      <c r="AQ467" s="41"/>
      <c r="AR467" s="41"/>
    </row>
    <row r="468" spans="9:44" x14ac:dyDescent="0.25">
      <c r="AM468" s="41"/>
      <c r="AN468" s="41"/>
      <c r="AO468" s="41"/>
      <c r="AP468" s="41"/>
      <c r="AQ468" s="41"/>
      <c r="AR468" s="41"/>
    </row>
    <row r="469" spans="9:44" x14ac:dyDescent="0.25">
      <c r="I469">
        <v>804827596</v>
      </c>
      <c r="J469">
        <v>804189081</v>
      </c>
      <c r="K469">
        <f>+I469-J469</f>
        <v>638515</v>
      </c>
      <c r="AM469" s="41"/>
      <c r="AN469" s="41"/>
      <c r="AO469" s="41"/>
      <c r="AP469" s="41"/>
      <c r="AQ469" s="41"/>
      <c r="AR469" s="41"/>
    </row>
    <row r="470" spans="9:44" x14ac:dyDescent="0.25">
      <c r="J470" s="5">
        <f>+J456-J469</f>
        <v>91836014</v>
      </c>
      <c r="AM470" s="41"/>
      <c r="AN470" s="41"/>
      <c r="AO470" s="41"/>
      <c r="AP470" s="41"/>
      <c r="AQ470" s="41"/>
      <c r="AR470" s="41"/>
    </row>
    <row r="471" spans="9:44" x14ac:dyDescent="0.25">
      <c r="AM471" s="41"/>
      <c r="AN471" s="41"/>
      <c r="AO471" s="41"/>
      <c r="AP471" s="41"/>
      <c r="AQ471" s="41"/>
      <c r="AR471" s="41"/>
    </row>
    <row r="472" spans="9:44" x14ac:dyDescent="0.25">
      <c r="AG472" s="20">
        <f>+K456</f>
        <v>0.13619472488220094</v>
      </c>
      <c r="AH472" s="21">
        <f>+K457-AG472</f>
        <v>0.86380527511779903</v>
      </c>
      <c r="AI472" s="22">
        <f>+K457</f>
        <v>1</v>
      </c>
      <c r="AJ472" s="23"/>
      <c r="AM472" s="41"/>
      <c r="AN472" s="41"/>
      <c r="AO472" s="41"/>
      <c r="AP472" s="41"/>
      <c r="AQ472" s="41"/>
      <c r="AR472" s="41"/>
    </row>
    <row r="473" spans="9:44" x14ac:dyDescent="0.25">
      <c r="AM473" s="41"/>
      <c r="AN473" s="41"/>
      <c r="AO473" s="41"/>
      <c r="AP473" s="41"/>
      <c r="AQ473" s="41"/>
      <c r="AR473" s="41"/>
    </row>
    <row r="474" spans="9:44" x14ac:dyDescent="0.25">
      <c r="AM474" s="41"/>
      <c r="AN474" s="41"/>
      <c r="AO474" s="41"/>
      <c r="AP474" s="41"/>
      <c r="AQ474" s="41"/>
      <c r="AR474" s="41"/>
    </row>
    <row r="475" spans="9:44" x14ac:dyDescent="0.25">
      <c r="AM475" s="41"/>
      <c r="AN475" s="41"/>
      <c r="AO475" s="41"/>
      <c r="AP475" s="41"/>
      <c r="AQ475" s="41"/>
      <c r="AR475" s="41"/>
    </row>
    <row r="476" spans="9:44" x14ac:dyDescent="0.25">
      <c r="AM476" s="41"/>
      <c r="AN476" s="41"/>
      <c r="AO476" s="41"/>
      <c r="AP476" s="41"/>
      <c r="AQ476" s="41"/>
      <c r="AR476" s="41"/>
    </row>
    <row r="477" spans="9:44" x14ac:dyDescent="0.25">
      <c r="AM477" s="41"/>
      <c r="AN477" s="41"/>
      <c r="AO477" s="41"/>
      <c r="AP477" s="41"/>
      <c r="AQ477" s="41"/>
      <c r="AR477" s="41"/>
    </row>
    <row r="478" spans="9:44" x14ac:dyDescent="0.25">
      <c r="AM478" s="41"/>
      <c r="AN478" s="41"/>
      <c r="AO478" s="41"/>
      <c r="AP478" s="41"/>
      <c r="AQ478" s="41"/>
      <c r="AR478" s="41"/>
    </row>
    <row r="479" spans="9:44" x14ac:dyDescent="0.25">
      <c r="AM479" s="41"/>
      <c r="AN479" s="41"/>
      <c r="AO479" s="41"/>
      <c r="AP479" s="41"/>
      <c r="AQ479" s="41"/>
      <c r="AR479" s="41"/>
    </row>
    <row r="480" spans="9:44" x14ac:dyDescent="0.25">
      <c r="AM480" s="41"/>
      <c r="AN480" s="41"/>
      <c r="AO480" s="41"/>
      <c r="AP480" s="41"/>
      <c r="AQ480" s="41"/>
      <c r="AR480" s="41"/>
    </row>
    <row r="481" spans="39:44" x14ac:dyDescent="0.25">
      <c r="AM481" s="41"/>
      <c r="AN481" s="41"/>
      <c r="AO481" s="41"/>
      <c r="AP481" s="41"/>
      <c r="AQ481" s="41"/>
      <c r="AR481" s="41"/>
    </row>
    <row r="482" spans="39:44" x14ac:dyDescent="0.25">
      <c r="AM482" s="41"/>
      <c r="AN482" s="41"/>
      <c r="AO482" s="41"/>
      <c r="AP482" s="41"/>
      <c r="AQ482" s="41"/>
      <c r="AR482" s="41"/>
    </row>
    <row r="483" spans="39:44" x14ac:dyDescent="0.25">
      <c r="AM483" s="41"/>
      <c r="AN483" s="41"/>
      <c r="AO483" s="41"/>
      <c r="AP483" s="41"/>
      <c r="AQ483" s="41"/>
      <c r="AR483" s="41"/>
    </row>
    <row r="484" spans="39:44" x14ac:dyDescent="0.25">
      <c r="AM484" s="41"/>
      <c r="AN484" s="41"/>
      <c r="AO484" s="41"/>
      <c r="AP484" s="41"/>
      <c r="AQ484" s="41"/>
      <c r="AR484" s="41"/>
    </row>
    <row r="485" spans="39:44" x14ac:dyDescent="0.25">
      <c r="AM485" s="41"/>
      <c r="AN485" s="41"/>
      <c r="AO485" s="41"/>
      <c r="AP485" s="41"/>
      <c r="AQ485" s="41"/>
      <c r="AR485" s="41"/>
    </row>
    <row r="486" spans="39:44" x14ac:dyDescent="0.25">
      <c r="AM486" s="41"/>
      <c r="AN486" s="41"/>
      <c r="AO486" s="41"/>
      <c r="AP486" s="41"/>
      <c r="AQ486" s="41"/>
      <c r="AR486" s="41"/>
    </row>
    <row r="487" spans="39:44" x14ac:dyDescent="0.25">
      <c r="AM487" s="41"/>
      <c r="AN487" s="41"/>
      <c r="AO487" s="41"/>
      <c r="AP487" s="41"/>
      <c r="AQ487" s="41"/>
      <c r="AR487" s="41"/>
    </row>
    <row r="488" spans="39:44" x14ac:dyDescent="0.25">
      <c r="AM488" s="41"/>
      <c r="AN488" s="41"/>
      <c r="AO488" s="41"/>
      <c r="AP488" s="41"/>
      <c r="AQ488" s="41"/>
      <c r="AR488" s="41"/>
    </row>
    <row r="489" spans="39:44" x14ac:dyDescent="0.25">
      <c r="AM489" s="41"/>
      <c r="AN489" s="41"/>
      <c r="AO489" s="41"/>
      <c r="AP489" s="41"/>
      <c r="AQ489" s="41"/>
      <c r="AR489" s="41"/>
    </row>
    <row r="490" spans="39:44" x14ac:dyDescent="0.25">
      <c r="AM490" s="41"/>
      <c r="AN490" s="41"/>
      <c r="AO490" s="41"/>
      <c r="AP490" s="41"/>
      <c r="AQ490" s="41"/>
      <c r="AR490" s="41"/>
    </row>
    <row r="491" spans="39:44" x14ac:dyDescent="0.25">
      <c r="AM491" s="41"/>
      <c r="AN491" s="41"/>
      <c r="AO491" s="41"/>
      <c r="AP491" s="41"/>
      <c r="AQ491" s="41"/>
      <c r="AR491" s="41"/>
    </row>
    <row r="492" spans="39:44" x14ac:dyDescent="0.25">
      <c r="AM492" s="41"/>
      <c r="AN492" s="41"/>
      <c r="AO492" s="41"/>
      <c r="AP492" s="41"/>
      <c r="AQ492" s="41"/>
      <c r="AR492" s="41"/>
    </row>
    <row r="493" spans="39:44" x14ac:dyDescent="0.25">
      <c r="AM493" s="41"/>
      <c r="AN493" s="41"/>
      <c r="AO493" s="41"/>
      <c r="AP493" s="41"/>
      <c r="AQ493" s="41"/>
      <c r="AR493" s="41"/>
    </row>
    <row r="494" spans="39:44" x14ac:dyDescent="0.25">
      <c r="AM494" s="41"/>
      <c r="AN494" s="41"/>
      <c r="AO494" s="41"/>
      <c r="AP494" s="41"/>
      <c r="AQ494" s="41"/>
      <c r="AR494" s="41"/>
    </row>
    <row r="495" spans="39:44" x14ac:dyDescent="0.25">
      <c r="AM495" s="41"/>
      <c r="AN495" s="41"/>
      <c r="AO495" s="41"/>
      <c r="AP495" s="41"/>
      <c r="AQ495" s="41"/>
      <c r="AR495" s="41"/>
    </row>
    <row r="496" spans="39:44" x14ac:dyDescent="0.25">
      <c r="AM496" s="41"/>
      <c r="AN496" s="41"/>
      <c r="AO496" s="41"/>
      <c r="AP496" s="41"/>
      <c r="AQ496" s="41"/>
      <c r="AR496" s="41"/>
    </row>
    <row r="497" spans="39:44" x14ac:dyDescent="0.25">
      <c r="AM497" s="41"/>
      <c r="AN497" s="41"/>
      <c r="AO497" s="41"/>
      <c r="AP497" s="41"/>
      <c r="AQ497" s="41"/>
      <c r="AR497" s="41"/>
    </row>
    <row r="498" spans="39:44" x14ac:dyDescent="0.25">
      <c r="AM498" s="41"/>
      <c r="AN498" s="41"/>
      <c r="AO498" s="41"/>
      <c r="AP498" s="41"/>
      <c r="AQ498" s="41"/>
      <c r="AR498" s="41"/>
    </row>
    <row r="499" spans="39:44" x14ac:dyDescent="0.25">
      <c r="AM499" s="41"/>
      <c r="AN499" s="41"/>
      <c r="AO499" s="41"/>
      <c r="AP499" s="41"/>
      <c r="AQ499" s="41"/>
      <c r="AR499" s="41"/>
    </row>
    <row r="500" spans="39:44" x14ac:dyDescent="0.25">
      <c r="AM500" s="41"/>
      <c r="AN500" s="41"/>
      <c r="AO500" s="41"/>
      <c r="AP500" s="41"/>
      <c r="AQ500" s="41"/>
      <c r="AR500" s="41"/>
    </row>
    <row r="501" spans="39:44" x14ac:dyDescent="0.25">
      <c r="AM501" s="41"/>
      <c r="AN501" s="41"/>
      <c r="AO501" s="41"/>
      <c r="AP501" s="41"/>
      <c r="AQ501" s="41"/>
      <c r="AR501" s="41"/>
    </row>
    <row r="502" spans="39:44" x14ac:dyDescent="0.25">
      <c r="AM502" s="41"/>
      <c r="AN502" s="41"/>
      <c r="AO502" s="41"/>
      <c r="AP502" s="41"/>
      <c r="AQ502" s="41"/>
      <c r="AR502" s="41"/>
    </row>
    <row r="503" spans="39:44" x14ac:dyDescent="0.25">
      <c r="AM503" s="41"/>
      <c r="AN503" s="41"/>
      <c r="AO503" s="41"/>
      <c r="AP503" s="41"/>
      <c r="AQ503" s="41"/>
      <c r="AR503" s="41"/>
    </row>
    <row r="504" spans="39:44" x14ac:dyDescent="0.25">
      <c r="AM504" s="41"/>
      <c r="AN504" s="41"/>
      <c r="AO504" s="41"/>
      <c r="AP504" s="41"/>
      <c r="AQ504" s="41"/>
      <c r="AR504" s="41"/>
    </row>
    <row r="505" spans="39:44" x14ac:dyDescent="0.25">
      <c r="AM505" s="41"/>
      <c r="AN505" s="41"/>
      <c r="AO505" s="41"/>
      <c r="AP505" s="41"/>
      <c r="AQ505" s="41"/>
      <c r="AR505" s="41"/>
    </row>
    <row r="506" spans="39:44" x14ac:dyDescent="0.25">
      <c r="AM506" s="41"/>
      <c r="AN506" s="41"/>
      <c r="AO506" s="41"/>
      <c r="AP506" s="41"/>
      <c r="AQ506" s="41"/>
      <c r="AR506" s="41"/>
    </row>
    <row r="507" spans="39:44" x14ac:dyDescent="0.25">
      <c r="AM507" s="41"/>
      <c r="AN507" s="41"/>
      <c r="AO507" s="41"/>
      <c r="AP507" s="41"/>
      <c r="AQ507" s="41"/>
      <c r="AR507" s="41"/>
    </row>
    <row r="508" spans="39:44" x14ac:dyDescent="0.25">
      <c r="AM508" s="41"/>
      <c r="AN508" s="41"/>
      <c r="AO508" s="41"/>
      <c r="AP508" s="41"/>
      <c r="AQ508" s="41"/>
      <c r="AR508" s="41"/>
    </row>
    <row r="509" spans="39:44" x14ac:dyDescent="0.25">
      <c r="AM509" s="41"/>
      <c r="AN509" s="41"/>
      <c r="AO509" s="41"/>
      <c r="AP509" s="41"/>
      <c r="AQ509" s="41"/>
      <c r="AR509" s="41"/>
    </row>
    <row r="510" spans="39:44" x14ac:dyDescent="0.25">
      <c r="AM510" s="41"/>
      <c r="AN510" s="41"/>
      <c r="AO510" s="41"/>
      <c r="AP510" s="41"/>
      <c r="AQ510" s="41"/>
      <c r="AR510" s="41"/>
    </row>
    <row r="511" spans="39:44" x14ac:dyDescent="0.25">
      <c r="AM511" s="41"/>
      <c r="AN511" s="41"/>
      <c r="AO511" s="41"/>
      <c r="AP511" s="41"/>
      <c r="AQ511" s="41"/>
      <c r="AR511" s="41"/>
    </row>
    <row r="512" spans="39:44" x14ac:dyDescent="0.25">
      <c r="AM512" s="41"/>
      <c r="AN512" s="41"/>
      <c r="AO512" s="41"/>
      <c r="AP512" s="41"/>
      <c r="AQ512" s="41"/>
      <c r="AR512" s="41"/>
    </row>
    <row r="513" spans="39:44" x14ac:dyDescent="0.25">
      <c r="AM513" s="41"/>
      <c r="AN513" s="41"/>
      <c r="AO513" s="41"/>
      <c r="AP513" s="41"/>
      <c r="AQ513" s="41"/>
      <c r="AR513" s="41"/>
    </row>
    <row r="514" spans="39:44" x14ac:dyDescent="0.25">
      <c r="AM514" s="41"/>
      <c r="AN514" s="41"/>
      <c r="AO514" s="41"/>
      <c r="AP514" s="41"/>
      <c r="AQ514" s="41"/>
      <c r="AR514" s="41"/>
    </row>
    <row r="515" spans="39:44" x14ac:dyDescent="0.25">
      <c r="AM515" s="41"/>
      <c r="AN515" s="41"/>
      <c r="AO515" s="41"/>
      <c r="AP515" s="41"/>
      <c r="AQ515" s="41"/>
      <c r="AR515" s="41"/>
    </row>
    <row r="516" spans="39:44" x14ac:dyDescent="0.25">
      <c r="AM516" s="41"/>
      <c r="AN516" s="41"/>
      <c r="AO516" s="41"/>
      <c r="AP516" s="41"/>
      <c r="AQ516" s="41"/>
      <c r="AR516" s="41"/>
    </row>
    <row r="517" spans="39:44" x14ac:dyDescent="0.25">
      <c r="AM517" s="41"/>
      <c r="AN517" s="41"/>
      <c r="AO517" s="41"/>
      <c r="AP517" s="41"/>
      <c r="AQ517" s="41"/>
      <c r="AR517" s="41"/>
    </row>
    <row r="518" spans="39:44" x14ac:dyDescent="0.25">
      <c r="AM518" s="41"/>
      <c r="AN518" s="41"/>
      <c r="AO518" s="41"/>
      <c r="AP518" s="41"/>
      <c r="AQ518" s="41"/>
      <c r="AR518" s="41"/>
    </row>
    <row r="519" spans="39:44" x14ac:dyDescent="0.25">
      <c r="AM519" s="41"/>
      <c r="AN519" s="41"/>
      <c r="AO519" s="41"/>
      <c r="AP519" s="41"/>
      <c r="AQ519" s="41"/>
      <c r="AR519" s="41"/>
    </row>
    <row r="520" spans="39:44" x14ac:dyDescent="0.25">
      <c r="AM520" s="41"/>
      <c r="AN520" s="41"/>
      <c r="AO520" s="41"/>
      <c r="AP520" s="41"/>
      <c r="AQ520" s="41"/>
      <c r="AR520" s="41"/>
    </row>
    <row r="521" spans="39:44" x14ac:dyDescent="0.25">
      <c r="AM521" s="41"/>
      <c r="AN521" s="41"/>
      <c r="AO521" s="41"/>
      <c r="AP521" s="41"/>
      <c r="AQ521" s="41"/>
      <c r="AR521" s="41"/>
    </row>
    <row r="522" spans="39:44" x14ac:dyDescent="0.25">
      <c r="AM522" s="41"/>
      <c r="AN522" s="41"/>
      <c r="AO522" s="41"/>
      <c r="AP522" s="41"/>
      <c r="AQ522" s="41"/>
      <c r="AR522" s="41"/>
    </row>
    <row r="523" spans="39:44" x14ac:dyDescent="0.25">
      <c r="AM523" s="41"/>
      <c r="AN523" s="41"/>
      <c r="AO523" s="41"/>
      <c r="AP523" s="41"/>
      <c r="AQ523" s="41"/>
      <c r="AR523" s="41"/>
    </row>
    <row r="524" spans="39:44" x14ac:dyDescent="0.25">
      <c r="AM524" s="41"/>
      <c r="AN524" s="41"/>
      <c r="AO524" s="41"/>
      <c r="AP524" s="41"/>
      <c r="AQ524" s="41"/>
      <c r="AR524" s="41"/>
    </row>
    <row r="525" spans="39:44" x14ac:dyDescent="0.25">
      <c r="AM525" s="41"/>
      <c r="AN525" s="41"/>
      <c r="AO525" s="41"/>
      <c r="AP525" s="41"/>
      <c r="AQ525" s="41"/>
      <c r="AR525" s="41"/>
    </row>
    <row r="526" spans="39:44" x14ac:dyDescent="0.25">
      <c r="AM526" s="41"/>
      <c r="AN526" s="41"/>
      <c r="AO526" s="41"/>
      <c r="AP526" s="41"/>
      <c r="AQ526" s="41"/>
      <c r="AR526" s="41"/>
    </row>
    <row r="527" spans="39:44" x14ac:dyDescent="0.25">
      <c r="AM527" s="41"/>
      <c r="AN527" s="41"/>
      <c r="AO527" s="41"/>
      <c r="AP527" s="41"/>
      <c r="AQ527" s="41"/>
      <c r="AR527" s="41"/>
    </row>
    <row r="528" spans="39:44" x14ac:dyDescent="0.25">
      <c r="AM528" s="41"/>
      <c r="AN528" s="41"/>
      <c r="AO528" s="41"/>
      <c r="AP528" s="41"/>
      <c r="AQ528" s="41"/>
      <c r="AR528" s="41"/>
    </row>
    <row r="529" spans="39:44" x14ac:dyDescent="0.25">
      <c r="AM529" s="41"/>
      <c r="AN529" s="41"/>
      <c r="AO529" s="41"/>
      <c r="AP529" s="41"/>
      <c r="AQ529" s="41"/>
      <c r="AR529" s="41"/>
    </row>
    <row r="530" spans="39:44" x14ac:dyDescent="0.25">
      <c r="AM530" s="41"/>
      <c r="AN530" s="41"/>
      <c r="AO530" s="41"/>
      <c r="AP530" s="41"/>
      <c r="AQ530" s="41"/>
      <c r="AR530" s="41"/>
    </row>
    <row r="531" spans="39:44" x14ac:dyDescent="0.25">
      <c r="AM531" s="41"/>
      <c r="AN531" s="41"/>
      <c r="AO531" s="41"/>
      <c r="AP531" s="41"/>
      <c r="AQ531" s="41"/>
      <c r="AR531" s="41"/>
    </row>
    <row r="532" spans="39:44" x14ac:dyDescent="0.25">
      <c r="AM532" s="41"/>
      <c r="AN532" s="41"/>
      <c r="AO532" s="41"/>
      <c r="AP532" s="41"/>
      <c r="AQ532" s="41"/>
      <c r="AR532" s="41"/>
    </row>
    <row r="533" spans="39:44" x14ac:dyDescent="0.25">
      <c r="AM533" s="41"/>
      <c r="AN533" s="41"/>
      <c r="AO533" s="41"/>
      <c r="AP533" s="41"/>
      <c r="AQ533" s="41"/>
      <c r="AR533" s="41"/>
    </row>
    <row r="534" spans="39:44" x14ac:dyDescent="0.25">
      <c r="AM534" s="41"/>
      <c r="AN534" s="41"/>
      <c r="AO534" s="41"/>
      <c r="AP534" s="41"/>
      <c r="AQ534" s="41"/>
      <c r="AR534" s="41"/>
    </row>
    <row r="535" spans="39:44" x14ac:dyDescent="0.25">
      <c r="AM535" s="41"/>
      <c r="AN535" s="41"/>
      <c r="AO535" s="41"/>
      <c r="AP535" s="41"/>
      <c r="AQ535" s="41"/>
      <c r="AR535" s="41"/>
    </row>
    <row r="536" spans="39:44" x14ac:dyDescent="0.25">
      <c r="AM536" s="41"/>
      <c r="AN536" s="41"/>
      <c r="AO536" s="41"/>
      <c r="AP536" s="41"/>
      <c r="AQ536" s="41"/>
      <c r="AR536" s="41"/>
    </row>
    <row r="537" spans="39:44" x14ac:dyDescent="0.25">
      <c r="AM537" s="41"/>
      <c r="AN537" s="41"/>
      <c r="AO537" s="41"/>
      <c r="AP537" s="41"/>
      <c r="AQ537" s="41"/>
      <c r="AR537" s="41"/>
    </row>
    <row r="538" spans="39:44" x14ac:dyDescent="0.25">
      <c r="AM538" s="41"/>
      <c r="AN538" s="41"/>
      <c r="AO538" s="41"/>
      <c r="AP538" s="41"/>
      <c r="AQ538" s="41"/>
      <c r="AR538" s="41"/>
    </row>
    <row r="539" spans="39:44" x14ac:dyDescent="0.25">
      <c r="AM539" s="41"/>
      <c r="AN539" s="41"/>
      <c r="AO539" s="41"/>
      <c r="AP539" s="41"/>
      <c r="AQ539" s="41"/>
      <c r="AR539" s="41"/>
    </row>
    <row r="540" spans="39:44" x14ac:dyDescent="0.25">
      <c r="AM540" s="41"/>
      <c r="AN540" s="41"/>
      <c r="AO540" s="41"/>
      <c r="AP540" s="41"/>
      <c r="AQ540" s="41"/>
      <c r="AR540" s="41"/>
    </row>
    <row r="541" spans="39:44" x14ac:dyDescent="0.25">
      <c r="AM541" s="41"/>
      <c r="AN541" s="41"/>
      <c r="AO541" s="41"/>
      <c r="AP541" s="41"/>
      <c r="AQ541" s="41"/>
      <c r="AR541" s="41"/>
    </row>
    <row r="542" spans="39:44" x14ac:dyDescent="0.25">
      <c r="AM542" s="41"/>
      <c r="AN542" s="41"/>
      <c r="AO542" s="41"/>
      <c r="AP542" s="41"/>
      <c r="AQ542" s="41"/>
      <c r="AR542" s="41"/>
    </row>
    <row r="543" spans="39:44" x14ac:dyDescent="0.25">
      <c r="AM543" s="41"/>
      <c r="AN543" s="41"/>
      <c r="AO543" s="41"/>
      <c r="AP543" s="41"/>
      <c r="AQ543" s="41"/>
      <c r="AR543" s="41"/>
    </row>
    <row r="544" spans="39:44" ht="17.25" customHeight="1" x14ac:dyDescent="0.25">
      <c r="AM544" s="41"/>
      <c r="AN544" s="41"/>
      <c r="AO544" s="41"/>
      <c r="AP544" s="41"/>
      <c r="AQ544" s="41"/>
      <c r="AR544" s="41"/>
    </row>
    <row r="545" spans="39:44" x14ac:dyDescent="0.25">
      <c r="AM545" s="41"/>
      <c r="AN545" s="58">
        <f>+K456</f>
        <v>0.13619472488220094</v>
      </c>
      <c r="AO545" s="59">
        <f>+AP545-AN545</f>
        <v>0.86380527511779903</v>
      </c>
      <c r="AP545" s="60">
        <f>+K457</f>
        <v>1</v>
      </c>
      <c r="AQ545" s="61"/>
      <c r="AR545" s="41"/>
    </row>
    <row r="546" spans="39:44" hidden="1" x14ac:dyDescent="0.25">
      <c r="AM546" s="41"/>
      <c r="AN546" s="23"/>
      <c r="AO546" s="23"/>
      <c r="AP546" s="23"/>
      <c r="AQ546" s="23"/>
      <c r="AR546" s="41"/>
    </row>
    <row r="547" spans="39:44" hidden="1" x14ac:dyDescent="0.25">
      <c r="AM547" s="41"/>
      <c r="AN547" s="23"/>
      <c r="AO547" s="23"/>
      <c r="AP547" s="23"/>
      <c r="AQ547" s="23"/>
      <c r="AR547" s="41"/>
    </row>
    <row r="548" spans="39:44" hidden="1" x14ac:dyDescent="0.25">
      <c r="AM548" s="41"/>
      <c r="AN548" s="23"/>
      <c r="AO548" s="23"/>
      <c r="AP548" s="23"/>
      <c r="AQ548" s="23"/>
      <c r="AR548" s="41"/>
    </row>
    <row r="549" spans="39:44" hidden="1" x14ac:dyDescent="0.25">
      <c r="AM549" s="41"/>
      <c r="AN549" s="23"/>
      <c r="AO549" s="23"/>
      <c r="AP549" s="23"/>
      <c r="AQ549" s="23"/>
      <c r="AR549" s="41"/>
    </row>
    <row r="550" spans="39:44" hidden="1" x14ac:dyDescent="0.25">
      <c r="AM550" s="41"/>
      <c r="AN550" s="23"/>
      <c r="AO550" s="23"/>
      <c r="AP550" s="23"/>
      <c r="AQ550" s="23"/>
      <c r="AR550" s="41"/>
    </row>
    <row r="551" spans="39:44" hidden="1" x14ac:dyDescent="0.25">
      <c r="AM551" s="41"/>
      <c r="AN551" s="23"/>
      <c r="AO551" s="23"/>
      <c r="AP551" s="23"/>
      <c r="AQ551" s="23"/>
      <c r="AR551" s="41"/>
    </row>
    <row r="552" spans="39:44" hidden="1" x14ac:dyDescent="0.25">
      <c r="AM552" s="41"/>
      <c r="AN552" s="23"/>
      <c r="AO552" s="23"/>
      <c r="AP552" s="23"/>
      <c r="AQ552" s="23"/>
      <c r="AR552" s="41"/>
    </row>
    <row r="553" spans="39:44" hidden="1" x14ac:dyDescent="0.25">
      <c r="AM553" s="41"/>
      <c r="AN553" s="23"/>
      <c r="AO553" s="23"/>
      <c r="AP553" s="23"/>
      <c r="AQ553" s="23"/>
      <c r="AR553" s="41"/>
    </row>
    <row r="554" spans="39:44" hidden="1" x14ac:dyDescent="0.25">
      <c r="AM554" s="41"/>
      <c r="AN554" s="23"/>
      <c r="AO554" s="23"/>
      <c r="AP554" s="23"/>
      <c r="AQ554" s="23"/>
      <c r="AR554" s="41"/>
    </row>
    <row r="555" spans="39:44" hidden="1" x14ac:dyDescent="0.25">
      <c r="AM555" s="41"/>
      <c r="AN555" s="23"/>
      <c r="AO555" s="23"/>
      <c r="AP555" s="23"/>
      <c r="AQ555" s="23"/>
      <c r="AR555" s="41"/>
    </row>
    <row r="556" spans="39:44" hidden="1" x14ac:dyDescent="0.25">
      <c r="AM556" s="41"/>
      <c r="AN556" s="23"/>
      <c r="AO556" s="23"/>
      <c r="AP556" s="23"/>
      <c r="AQ556" s="23"/>
      <c r="AR556" s="41"/>
    </row>
    <row r="557" spans="39:44" hidden="1" x14ac:dyDescent="0.25">
      <c r="AM557" s="41"/>
      <c r="AN557" s="23"/>
      <c r="AO557" s="23"/>
      <c r="AP557" s="23"/>
      <c r="AQ557" s="23"/>
      <c r="AR557" s="41"/>
    </row>
    <row r="558" spans="39:44" hidden="1" x14ac:dyDescent="0.25">
      <c r="AM558" s="41"/>
      <c r="AN558" s="23"/>
      <c r="AO558" s="23"/>
      <c r="AP558" s="23"/>
      <c r="AQ558" s="23"/>
      <c r="AR558" s="41"/>
    </row>
    <row r="559" spans="39:44" hidden="1" x14ac:dyDescent="0.25">
      <c r="AM559" s="41"/>
      <c r="AN559" s="23"/>
      <c r="AO559" s="23"/>
      <c r="AP559" s="23"/>
      <c r="AQ559" s="23"/>
      <c r="AR559" s="41"/>
    </row>
    <row r="560" spans="39:44" hidden="1" x14ac:dyDescent="0.25">
      <c r="AM560" s="41"/>
      <c r="AN560" s="23"/>
      <c r="AO560" s="23"/>
      <c r="AP560" s="23"/>
      <c r="AQ560" s="23"/>
      <c r="AR560" s="41"/>
    </row>
    <row r="561" spans="39:44" hidden="1" x14ac:dyDescent="0.25">
      <c r="AM561" s="41"/>
      <c r="AN561" s="23"/>
      <c r="AO561" s="23"/>
      <c r="AP561" s="23"/>
      <c r="AQ561" s="23"/>
      <c r="AR561" s="41"/>
    </row>
    <row r="562" spans="39:44" hidden="1" x14ac:dyDescent="0.25">
      <c r="AM562" s="41"/>
      <c r="AN562" s="23"/>
      <c r="AO562" s="23"/>
      <c r="AP562" s="23"/>
      <c r="AQ562" s="23"/>
      <c r="AR562" s="41"/>
    </row>
    <row r="563" spans="39:44" hidden="1" x14ac:dyDescent="0.25">
      <c r="AM563" s="41"/>
      <c r="AN563" s="23"/>
      <c r="AO563" s="23"/>
      <c r="AP563" s="23"/>
      <c r="AQ563" s="23"/>
      <c r="AR563" s="41"/>
    </row>
    <row r="564" spans="39:44" hidden="1" x14ac:dyDescent="0.25">
      <c r="AM564" s="41"/>
      <c r="AN564" s="23"/>
      <c r="AO564" s="23"/>
      <c r="AP564" s="23"/>
      <c r="AQ564" s="23"/>
      <c r="AR564" s="41"/>
    </row>
    <row r="565" spans="39:44" hidden="1" x14ac:dyDescent="0.25">
      <c r="AM565" s="41"/>
      <c r="AN565" s="23"/>
      <c r="AO565" s="23"/>
      <c r="AP565" s="23"/>
      <c r="AQ565" s="23"/>
      <c r="AR565" s="41"/>
    </row>
    <row r="566" spans="39:44" hidden="1" x14ac:dyDescent="0.25">
      <c r="AM566" s="41"/>
      <c r="AN566" s="23"/>
      <c r="AO566" s="23"/>
      <c r="AP566" s="23"/>
      <c r="AQ566" s="23"/>
      <c r="AR566" s="41"/>
    </row>
    <row r="567" spans="39:44" hidden="1" x14ac:dyDescent="0.25">
      <c r="AM567" s="41"/>
      <c r="AN567" s="23"/>
      <c r="AO567" s="23"/>
      <c r="AP567" s="23"/>
      <c r="AQ567" s="23"/>
      <c r="AR567" s="41"/>
    </row>
    <row r="568" spans="39:44" hidden="1" x14ac:dyDescent="0.25">
      <c r="AM568" s="41"/>
      <c r="AN568" s="23"/>
      <c r="AO568" s="23"/>
      <c r="AP568" s="23"/>
      <c r="AQ568" s="23"/>
      <c r="AR568" s="41"/>
    </row>
    <row r="569" spans="39:44" hidden="1" x14ac:dyDescent="0.25">
      <c r="AM569" s="41"/>
      <c r="AN569" s="23"/>
      <c r="AO569" s="23"/>
      <c r="AP569" s="23"/>
      <c r="AQ569" s="23"/>
      <c r="AR569" s="41"/>
    </row>
    <row r="570" spans="39:44" hidden="1" x14ac:dyDescent="0.25">
      <c r="AM570" s="41"/>
      <c r="AN570" s="23"/>
      <c r="AO570" s="23"/>
      <c r="AP570" s="23"/>
      <c r="AQ570" s="23"/>
      <c r="AR570" s="41"/>
    </row>
    <row r="571" spans="39:44" hidden="1" x14ac:dyDescent="0.25">
      <c r="AM571" s="41"/>
      <c r="AN571" s="23"/>
      <c r="AO571" s="23"/>
      <c r="AP571" s="23"/>
      <c r="AQ571" s="23"/>
      <c r="AR571" s="41"/>
    </row>
    <row r="572" spans="39:44" hidden="1" x14ac:dyDescent="0.25">
      <c r="AM572" s="41"/>
      <c r="AN572" s="23"/>
      <c r="AO572" s="23"/>
      <c r="AP572" s="23"/>
      <c r="AQ572" s="23"/>
      <c r="AR572" s="41"/>
    </row>
    <row r="573" spans="39:44" hidden="1" x14ac:dyDescent="0.25">
      <c r="AM573" s="41"/>
      <c r="AN573" s="23"/>
      <c r="AO573" s="23"/>
      <c r="AP573" s="23"/>
      <c r="AQ573" s="23"/>
      <c r="AR573" s="41"/>
    </row>
    <row r="574" spans="39:44" x14ac:dyDescent="0.25">
      <c r="AM574" s="41"/>
      <c r="AN574" s="23"/>
      <c r="AO574" s="23"/>
      <c r="AP574" s="23"/>
      <c r="AQ574" s="23"/>
      <c r="AR574" s="41"/>
    </row>
    <row r="575" spans="39:44" x14ac:dyDescent="0.25">
      <c r="AM575" s="41"/>
      <c r="AN575" s="41"/>
      <c r="AO575" s="41"/>
      <c r="AP575" s="41"/>
      <c r="AQ575" s="41"/>
      <c r="AR575" s="41"/>
    </row>
    <row r="576" spans="39:44" x14ac:dyDescent="0.25">
      <c r="AM576" s="41"/>
      <c r="AN576" s="41"/>
      <c r="AO576" s="41"/>
      <c r="AP576" s="41"/>
      <c r="AQ576" s="41"/>
      <c r="AR576" s="41"/>
    </row>
    <row r="577" spans="3:44" x14ac:dyDescent="0.25">
      <c r="AM577" s="41"/>
      <c r="AN577" s="41"/>
      <c r="AO577" s="41"/>
      <c r="AP577" s="41"/>
      <c r="AQ577" s="41"/>
      <c r="AR577" s="41"/>
    </row>
    <row r="578" spans="3:44" x14ac:dyDescent="0.25">
      <c r="AM578" s="41"/>
      <c r="AN578" s="41"/>
      <c r="AO578" s="41"/>
      <c r="AP578" s="41"/>
      <c r="AQ578" s="41"/>
      <c r="AR578" s="41"/>
    </row>
    <row r="579" spans="3:44" x14ac:dyDescent="0.25">
      <c r="AM579" s="41"/>
      <c r="AN579" s="41"/>
      <c r="AO579" s="41"/>
      <c r="AP579" s="41"/>
      <c r="AQ579" s="41"/>
      <c r="AR579" s="41"/>
    </row>
    <row r="580" spans="3:44" x14ac:dyDescent="0.25">
      <c r="AM580" s="41"/>
      <c r="AN580" s="41"/>
      <c r="AO580" s="41"/>
      <c r="AP580" s="41"/>
      <c r="AQ580" s="41"/>
      <c r="AR580" s="41"/>
    </row>
    <row r="583" spans="3:44" x14ac:dyDescent="0.25">
      <c r="C583" t="s">
        <v>472</v>
      </c>
      <c r="D583" t="s">
        <v>473</v>
      </c>
    </row>
    <row r="584" spans="3:44" x14ac:dyDescent="0.25">
      <c r="C584" s="25">
        <v>8897271771.8775673</v>
      </c>
      <c r="D584" s="25">
        <v>10688117934.422167</v>
      </c>
      <c r="E584" s="12">
        <v>1</v>
      </c>
    </row>
    <row r="586" spans="3:44" x14ac:dyDescent="0.25">
      <c r="C586" s="2">
        <v>6540000000</v>
      </c>
      <c r="E586" s="7">
        <f>+J457/GETPIVOTDATA(" PPTO TOTAL",$C$583)</f>
        <v>0.61554335762067747</v>
      </c>
    </row>
    <row r="587" spans="3:44" x14ac:dyDescent="0.25">
      <c r="D587" s="5">
        <f>+GETPIVOTDATA(" PPTO TOTAL",$C$583)-J457</f>
        <v>4109117934.4221668</v>
      </c>
      <c r="E587" s="7">
        <f>+D587/GETPIVOTDATA(" PPTO TOTAL",$C$583)</f>
        <v>0.38445664237932259</v>
      </c>
    </row>
    <row r="588" spans="3:44" x14ac:dyDescent="0.25">
      <c r="C588" s="2">
        <f>+GETPIVOTDATA(" PROYECCION COMPRA",$C$583)-C586</f>
        <v>2357271771.8775673</v>
      </c>
      <c r="D588" s="2">
        <f>+GETPIVOTDATA(" PPTO TOTAL",$C$583)-GETPIVOTDATA(" PROYECCION COMPRA",$C$583)</f>
        <v>1790846162.5445995</v>
      </c>
    </row>
    <row r="594" spans="47:47" x14ac:dyDescent="0.25">
      <c r="AU594" s="23">
        <v>7</v>
      </c>
    </row>
  </sheetData>
  <pageMargins left="0.7" right="0.7" top="0.75" bottom="0.75" header="0.3" footer="0.3"/>
  <drawing r:id="rId10"/>
  <extLst>
    <ext xmlns:x14="http://schemas.microsoft.com/office/spreadsheetml/2009/9/main" uri="{A8765BA9-456A-4dab-B4F3-ACF838C121DE}">
      <x14:slicerList>
        <x14:slicer r:id="rId11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298D0-0803-4BC4-9EA5-F051F541DD78}">
  <dimension ref="A1:V474"/>
  <sheetViews>
    <sheetView workbookViewId="0">
      <selection activeCell="G108" sqref="G108"/>
    </sheetView>
  </sheetViews>
  <sheetFormatPr baseColWidth="10" defaultRowHeight="15" x14ac:dyDescent="0.25"/>
  <cols>
    <col min="1" max="1" width="10.42578125" bestFit="1" customWidth="1"/>
    <col min="2" max="2" width="22.140625" bestFit="1" customWidth="1"/>
    <col min="3" max="3" width="20.28515625" bestFit="1" customWidth="1"/>
    <col min="4" max="4" width="14.28515625" bestFit="1" customWidth="1"/>
    <col min="5" max="5" width="26.7109375" bestFit="1" customWidth="1"/>
    <col min="6" max="6" width="31.42578125" bestFit="1" customWidth="1"/>
    <col min="7" max="7" width="29.42578125" bestFit="1" customWidth="1"/>
    <col min="8" max="8" width="23.5703125" bestFit="1" customWidth="1"/>
    <col min="9" max="9" width="29.28515625" bestFit="1" customWidth="1"/>
    <col min="10" max="11" width="10.85546875" bestFit="1" customWidth="1"/>
    <col min="12" max="12" width="12.28515625" bestFit="1" customWidth="1"/>
    <col min="13" max="13" width="13.28515625" bestFit="1" customWidth="1"/>
    <col min="14" max="14" width="13.42578125" bestFit="1" customWidth="1"/>
    <col min="15" max="15" width="15.85546875" bestFit="1" customWidth="1"/>
    <col min="16" max="16" width="17.140625" bestFit="1" customWidth="1"/>
    <col min="17" max="17" width="31.85546875" style="7" bestFit="1" customWidth="1"/>
    <col min="18" max="18" width="18.85546875" style="7" bestFit="1" customWidth="1"/>
    <col min="19" max="19" width="34.42578125" bestFit="1" customWidth="1"/>
    <col min="20" max="20" width="21.28515625" bestFit="1" customWidth="1"/>
    <col min="21" max="21" width="8.7109375" bestFit="1" customWidth="1"/>
  </cols>
  <sheetData>
    <row r="1" spans="1:21" x14ac:dyDescent="0.25">
      <c r="A1" t="s">
        <v>801</v>
      </c>
      <c r="B1" t="s">
        <v>802</v>
      </c>
      <c r="C1" t="s">
        <v>803</v>
      </c>
      <c r="D1" t="s">
        <v>804</v>
      </c>
      <c r="E1" t="s">
        <v>805</v>
      </c>
      <c r="F1" t="s">
        <v>806</v>
      </c>
      <c r="G1" t="s">
        <v>807</v>
      </c>
      <c r="H1" t="s">
        <v>808</v>
      </c>
      <c r="I1" t="s">
        <v>809</v>
      </c>
      <c r="J1" t="s">
        <v>779</v>
      </c>
      <c r="K1" t="s">
        <v>1554</v>
      </c>
      <c r="L1" t="s">
        <v>1556</v>
      </c>
      <c r="M1" t="s">
        <v>1558</v>
      </c>
      <c r="N1" t="s">
        <v>1569</v>
      </c>
      <c r="O1" t="s">
        <v>1570</v>
      </c>
      <c r="P1" t="s">
        <v>1642</v>
      </c>
      <c r="Q1" s="7" t="s">
        <v>1653</v>
      </c>
      <c r="R1" s="7" t="s">
        <v>1652</v>
      </c>
      <c r="S1" t="s">
        <v>1654</v>
      </c>
      <c r="T1" t="s">
        <v>1655</v>
      </c>
      <c r="U1" t="s">
        <v>1656</v>
      </c>
    </row>
    <row r="2" spans="1:21" x14ac:dyDescent="0.25">
      <c r="A2" s="1">
        <v>46069</v>
      </c>
      <c r="B2">
        <v>0</v>
      </c>
      <c r="D2">
        <v>0</v>
      </c>
      <c r="F2">
        <v>0</v>
      </c>
      <c r="H2">
        <v>0</v>
      </c>
      <c r="J2" t="s">
        <v>810</v>
      </c>
      <c r="K2">
        <f>+WEEKNUM(AV_PLAN[[#This Row],[Días]])</f>
        <v>8</v>
      </c>
      <c r="L2" s="4" t="str">
        <f>IFERROR(AV_PLAN[[#This Row],[INICIO REAL ACUMULADO]]/AV_PLAN[[#This Row],[PLAN ACUMULADO]],"")</f>
        <v/>
      </c>
      <c r="M2" s="4" t="str">
        <f>IFERROR(AV_PLAN[[#This Row],[TERMINO REAL ACUMULADO]]/AV_PLAN[[#This Row],[TERMINO PLAN ACUMULADO]],"")</f>
        <v/>
      </c>
      <c r="N2">
        <f>+AV_PLAN[[#This Row],[PLAN ACUMULADO]]-AV_PLAN[[#This Row],[INICIO REAL ACUMULADO]]</f>
        <v>0</v>
      </c>
      <c r="O2">
        <f>+AV_PLAN[[#This Row],[TERMINO PLAN ACUMULADO]]-AV_PLAN[[#This Row],[TERMINO REAL ACUMULADO]]</f>
        <v>0</v>
      </c>
      <c r="P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2" s="7">
        <f>+AV_PLAN[[#This Row],[PLAN ACUMULADO]]/$C$471</f>
        <v>0</v>
      </c>
      <c r="R2" s="7">
        <f t="shared" ref="R2:R65" si="0">IF(D2="",NA(),E2/$C$471)</f>
        <v>0</v>
      </c>
      <c r="S2" s="7">
        <f>+AV_PLAN[[#This Row],[TERMINO PLAN ACUMULADO]]/$G$471</f>
        <v>0</v>
      </c>
      <c r="T2" s="7">
        <f t="shared" ref="T2:T65" si="1">IF(H2="",NA(),I2/$G$471)</f>
        <v>0</v>
      </c>
      <c r="U2" s="7">
        <f>+(AV_PLAN[[#This Row],[%AVANCE INICIO PLANIFICADO]]+AV_PLAN[[#This Row],[%AVANCE TERMINO PLANIFICADO]])/2</f>
        <v>0</v>
      </c>
    </row>
    <row r="3" spans="1:21" x14ac:dyDescent="0.25">
      <c r="A3" s="1">
        <v>46070</v>
      </c>
      <c r="B3">
        <v>2</v>
      </c>
      <c r="C3">
        <v>2</v>
      </c>
      <c r="D3">
        <v>2</v>
      </c>
      <c r="E3">
        <v>2</v>
      </c>
      <c r="F3">
        <v>0</v>
      </c>
      <c r="G3">
        <v>0</v>
      </c>
      <c r="H3">
        <v>0</v>
      </c>
      <c r="I3">
        <v>0</v>
      </c>
      <c r="J3" t="s">
        <v>810</v>
      </c>
      <c r="K3">
        <f>+WEEKNUM(AV_PLAN[[#This Row],[Días]])</f>
        <v>8</v>
      </c>
      <c r="L3" s="4">
        <f>IFERROR(AV_PLAN[[#This Row],[INICIO REAL ACUMULADO]]/AV_PLAN[[#This Row],[PLAN ACUMULADO]],"")</f>
        <v>1</v>
      </c>
      <c r="M3" s="4" t="str">
        <f>IFERROR(AV_PLAN[[#This Row],[TERMINO REAL ACUMULADO]]/AV_PLAN[[#This Row],[TERMINO PLAN ACUMULADO]],"")</f>
        <v/>
      </c>
      <c r="N3">
        <f>+AV_PLAN[[#This Row],[PLAN ACUMULADO]]-AV_PLAN[[#This Row],[INICIO REAL ACUMULADO]]</f>
        <v>0</v>
      </c>
      <c r="O3">
        <f>+AV_PLAN[[#This Row],[TERMINO PLAN ACUMULADO]]-AV_PLAN[[#This Row],[TERMINO REAL ACUMULADO]]</f>
        <v>0</v>
      </c>
      <c r="P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3" s="7">
        <f>+AV_PLAN[[#This Row],[PLAN ACUMULADO]]/$C$471</f>
        <v>2.840909090909091E-3</v>
      </c>
      <c r="R3" s="7">
        <f t="shared" si="0"/>
        <v>2.840909090909091E-3</v>
      </c>
      <c r="S3" s="7">
        <f>+AV_PLAN[[#This Row],[TERMINO PLAN ACUMULADO]]/$G$471</f>
        <v>0</v>
      </c>
      <c r="T3" s="7">
        <f t="shared" si="1"/>
        <v>0</v>
      </c>
      <c r="U3" s="7">
        <f>+(AV_PLAN[[#This Row],[%AVANCE INICIO PLANIFICADO]]+AV_PLAN[[#This Row],[%AVANCE TERMINO PLANIFICADO]])/2</f>
        <v>1.4204545454545455E-3</v>
      </c>
    </row>
    <row r="4" spans="1:21" x14ac:dyDescent="0.25">
      <c r="A4" s="1">
        <v>46071</v>
      </c>
      <c r="B4">
        <v>0</v>
      </c>
      <c r="C4">
        <v>2</v>
      </c>
      <c r="D4">
        <v>0</v>
      </c>
      <c r="E4">
        <v>2</v>
      </c>
      <c r="F4">
        <v>0</v>
      </c>
      <c r="G4">
        <v>0</v>
      </c>
      <c r="H4">
        <v>0</v>
      </c>
      <c r="I4">
        <v>0</v>
      </c>
      <c r="J4" t="s">
        <v>810</v>
      </c>
      <c r="K4">
        <f>+WEEKNUM(AV_PLAN[[#This Row],[Días]])</f>
        <v>8</v>
      </c>
      <c r="L4" s="4">
        <f>IFERROR(AV_PLAN[[#This Row],[INICIO REAL ACUMULADO]]/AV_PLAN[[#This Row],[PLAN ACUMULADO]],"")</f>
        <v>1</v>
      </c>
      <c r="M4" s="4" t="str">
        <f>IFERROR(AV_PLAN[[#This Row],[TERMINO REAL ACUMULADO]]/AV_PLAN[[#This Row],[TERMINO PLAN ACUMULADO]],"")</f>
        <v/>
      </c>
      <c r="N4">
        <f>+AV_PLAN[[#This Row],[PLAN ACUMULADO]]-AV_PLAN[[#This Row],[INICIO REAL ACUMULADO]]</f>
        <v>0</v>
      </c>
      <c r="O4">
        <f>+AV_PLAN[[#This Row],[TERMINO PLAN ACUMULADO]]-AV_PLAN[[#This Row],[TERMINO REAL ACUMULADO]]</f>
        <v>0</v>
      </c>
      <c r="P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4" s="7">
        <f>+AV_PLAN[[#This Row],[PLAN ACUMULADO]]/$C$471</f>
        <v>2.840909090909091E-3</v>
      </c>
      <c r="R4" s="7">
        <f t="shared" si="0"/>
        <v>2.840909090909091E-3</v>
      </c>
      <c r="S4" s="7">
        <f>+AV_PLAN[[#This Row],[TERMINO PLAN ACUMULADO]]/$G$471</f>
        <v>0</v>
      </c>
      <c r="T4" s="7">
        <f t="shared" si="1"/>
        <v>0</v>
      </c>
      <c r="U4" s="7">
        <f>+(AV_PLAN[[#This Row],[%AVANCE INICIO PLANIFICADO]]+AV_PLAN[[#This Row],[%AVANCE TERMINO PLANIFICADO]])/2</f>
        <v>1.4204545454545455E-3</v>
      </c>
    </row>
    <row r="5" spans="1:21" x14ac:dyDescent="0.25">
      <c r="A5" s="1">
        <v>46072</v>
      </c>
      <c r="B5">
        <v>1</v>
      </c>
      <c r="C5">
        <v>3</v>
      </c>
      <c r="D5">
        <v>1</v>
      </c>
      <c r="E5">
        <v>3</v>
      </c>
      <c r="F5">
        <v>0</v>
      </c>
      <c r="G5">
        <v>0</v>
      </c>
      <c r="H5">
        <v>0</v>
      </c>
      <c r="I5">
        <v>0</v>
      </c>
      <c r="J5" t="s">
        <v>810</v>
      </c>
      <c r="K5">
        <f>+WEEKNUM(AV_PLAN[[#This Row],[Días]])</f>
        <v>8</v>
      </c>
      <c r="L5" s="4">
        <f>IFERROR(AV_PLAN[[#This Row],[INICIO REAL ACUMULADO]]/AV_PLAN[[#This Row],[PLAN ACUMULADO]],"")</f>
        <v>1</v>
      </c>
      <c r="M5" s="4" t="str">
        <f>IFERROR(AV_PLAN[[#This Row],[TERMINO REAL ACUMULADO]]/AV_PLAN[[#This Row],[TERMINO PLAN ACUMULADO]],"")</f>
        <v/>
      </c>
      <c r="N5">
        <f>+AV_PLAN[[#This Row],[PLAN ACUMULADO]]-AV_PLAN[[#This Row],[INICIO REAL ACUMULADO]]</f>
        <v>0</v>
      </c>
      <c r="O5">
        <f>+AV_PLAN[[#This Row],[TERMINO PLAN ACUMULADO]]-AV_PLAN[[#This Row],[TERMINO REAL ACUMULADO]]</f>
        <v>0</v>
      </c>
      <c r="P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5" s="7">
        <f>+AV_PLAN[[#This Row],[PLAN ACUMULADO]]/$C$471</f>
        <v>4.261363636363636E-3</v>
      </c>
      <c r="R5" s="7">
        <f t="shared" si="0"/>
        <v>4.261363636363636E-3</v>
      </c>
      <c r="S5" s="7">
        <f>+AV_PLAN[[#This Row],[TERMINO PLAN ACUMULADO]]/$G$471</f>
        <v>0</v>
      </c>
      <c r="T5" s="7">
        <f t="shared" si="1"/>
        <v>0</v>
      </c>
      <c r="U5" s="7">
        <f>+(AV_PLAN[[#This Row],[%AVANCE INICIO PLANIFICADO]]+AV_PLAN[[#This Row],[%AVANCE TERMINO PLANIFICADO]])/2</f>
        <v>2.130681818181818E-3</v>
      </c>
    </row>
    <row r="6" spans="1:21" x14ac:dyDescent="0.25">
      <c r="A6" s="1">
        <v>46073</v>
      </c>
      <c r="B6">
        <v>2</v>
      </c>
      <c r="C6">
        <v>5</v>
      </c>
      <c r="D6">
        <v>2</v>
      </c>
      <c r="E6">
        <v>5</v>
      </c>
      <c r="F6">
        <v>0</v>
      </c>
      <c r="G6">
        <v>0</v>
      </c>
      <c r="H6">
        <v>0</v>
      </c>
      <c r="I6">
        <v>0</v>
      </c>
      <c r="J6" t="s">
        <v>810</v>
      </c>
      <c r="K6">
        <f>+WEEKNUM(AV_PLAN[[#This Row],[Días]])</f>
        <v>8</v>
      </c>
      <c r="L6" s="4">
        <f>IFERROR(AV_PLAN[[#This Row],[INICIO REAL ACUMULADO]]/AV_PLAN[[#This Row],[PLAN ACUMULADO]],"")</f>
        <v>1</v>
      </c>
      <c r="M6" s="4" t="str">
        <f>IFERROR(AV_PLAN[[#This Row],[TERMINO REAL ACUMULADO]]/AV_PLAN[[#This Row],[TERMINO PLAN ACUMULADO]],"")</f>
        <v/>
      </c>
      <c r="N6">
        <f>+AV_PLAN[[#This Row],[PLAN ACUMULADO]]-AV_PLAN[[#This Row],[INICIO REAL ACUMULADO]]</f>
        <v>0</v>
      </c>
      <c r="O6">
        <f>+AV_PLAN[[#This Row],[TERMINO PLAN ACUMULADO]]-AV_PLAN[[#This Row],[TERMINO REAL ACUMULADO]]</f>
        <v>0</v>
      </c>
      <c r="P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6" s="7">
        <f>+AV_PLAN[[#This Row],[PLAN ACUMULADO]]/$C$471</f>
        <v>7.102272727272727E-3</v>
      </c>
      <c r="R6" s="7">
        <f t="shared" si="0"/>
        <v>7.102272727272727E-3</v>
      </c>
      <c r="S6" s="7">
        <f>+AV_PLAN[[#This Row],[TERMINO PLAN ACUMULADO]]/$G$471</f>
        <v>0</v>
      </c>
      <c r="T6" s="7">
        <f t="shared" si="1"/>
        <v>0</v>
      </c>
      <c r="U6" s="7">
        <f>+(AV_PLAN[[#This Row],[%AVANCE INICIO PLANIFICADO]]+AV_PLAN[[#This Row],[%AVANCE TERMINO PLANIFICADO]])/2</f>
        <v>3.5511363636363635E-3</v>
      </c>
    </row>
    <row r="7" spans="1:21" x14ac:dyDescent="0.25">
      <c r="A7" s="1">
        <v>46074</v>
      </c>
      <c r="B7">
        <v>0</v>
      </c>
      <c r="C7">
        <v>5</v>
      </c>
      <c r="D7">
        <v>0</v>
      </c>
      <c r="E7">
        <v>5</v>
      </c>
      <c r="F7">
        <v>0</v>
      </c>
      <c r="G7">
        <v>0</v>
      </c>
      <c r="H7">
        <v>0</v>
      </c>
      <c r="I7">
        <v>0</v>
      </c>
      <c r="J7" t="s">
        <v>810</v>
      </c>
      <c r="K7">
        <f>+WEEKNUM(AV_PLAN[[#This Row],[Días]])</f>
        <v>8</v>
      </c>
      <c r="L7" s="4">
        <f>IFERROR(AV_PLAN[[#This Row],[INICIO REAL ACUMULADO]]/AV_PLAN[[#This Row],[PLAN ACUMULADO]],"")</f>
        <v>1</v>
      </c>
      <c r="M7" s="4" t="str">
        <f>IFERROR(AV_PLAN[[#This Row],[TERMINO REAL ACUMULADO]]/AV_PLAN[[#This Row],[TERMINO PLAN ACUMULADO]],"")</f>
        <v/>
      </c>
      <c r="N7">
        <f>+AV_PLAN[[#This Row],[PLAN ACUMULADO]]-AV_PLAN[[#This Row],[INICIO REAL ACUMULADO]]</f>
        <v>0</v>
      </c>
      <c r="O7">
        <f>+AV_PLAN[[#This Row],[TERMINO PLAN ACUMULADO]]-AV_PLAN[[#This Row],[TERMINO REAL ACUMULADO]]</f>
        <v>0</v>
      </c>
      <c r="P7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7" s="7">
        <f>+AV_PLAN[[#This Row],[PLAN ACUMULADO]]/$C$471</f>
        <v>7.102272727272727E-3</v>
      </c>
      <c r="R7" s="7">
        <f t="shared" si="0"/>
        <v>7.102272727272727E-3</v>
      </c>
      <c r="S7" s="7">
        <f>+AV_PLAN[[#This Row],[TERMINO PLAN ACUMULADO]]/$G$471</f>
        <v>0</v>
      </c>
      <c r="T7" s="7">
        <f t="shared" si="1"/>
        <v>0</v>
      </c>
      <c r="U7" s="7">
        <f>+(AV_PLAN[[#This Row],[%AVANCE INICIO PLANIFICADO]]+AV_PLAN[[#This Row],[%AVANCE TERMINO PLANIFICADO]])/2</f>
        <v>3.5511363636363635E-3</v>
      </c>
    </row>
    <row r="8" spans="1:21" x14ac:dyDescent="0.25">
      <c r="A8" s="1">
        <v>46075</v>
      </c>
      <c r="B8">
        <v>0</v>
      </c>
      <c r="C8">
        <v>5</v>
      </c>
      <c r="D8">
        <v>0</v>
      </c>
      <c r="E8">
        <v>5</v>
      </c>
      <c r="F8">
        <v>0</v>
      </c>
      <c r="G8">
        <v>0</v>
      </c>
      <c r="H8">
        <v>0</v>
      </c>
      <c r="I8">
        <v>0</v>
      </c>
      <c r="J8" t="s">
        <v>810</v>
      </c>
      <c r="K8">
        <f>+WEEKNUM(AV_PLAN[[#This Row],[Días]])</f>
        <v>9</v>
      </c>
      <c r="L8" s="4">
        <f>IFERROR(AV_PLAN[[#This Row],[INICIO REAL ACUMULADO]]/AV_PLAN[[#This Row],[PLAN ACUMULADO]],"")</f>
        <v>1</v>
      </c>
      <c r="M8" s="4" t="str">
        <f>IFERROR(AV_PLAN[[#This Row],[TERMINO REAL ACUMULADO]]/AV_PLAN[[#This Row],[TERMINO PLAN ACUMULADO]],"")</f>
        <v/>
      </c>
      <c r="N8">
        <f>+AV_PLAN[[#This Row],[PLAN ACUMULADO]]-AV_PLAN[[#This Row],[INICIO REAL ACUMULADO]]</f>
        <v>0</v>
      </c>
      <c r="O8">
        <f>+AV_PLAN[[#This Row],[TERMINO PLAN ACUMULADO]]-AV_PLAN[[#This Row],[TERMINO REAL ACUMULADO]]</f>
        <v>0</v>
      </c>
      <c r="P8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8" s="7">
        <f>+AV_PLAN[[#This Row],[PLAN ACUMULADO]]/$C$471</f>
        <v>7.102272727272727E-3</v>
      </c>
      <c r="R8" s="7">
        <f t="shared" si="0"/>
        <v>7.102272727272727E-3</v>
      </c>
      <c r="S8" s="7">
        <f>+AV_PLAN[[#This Row],[TERMINO PLAN ACUMULADO]]/$G$471</f>
        <v>0</v>
      </c>
      <c r="T8" s="7">
        <f t="shared" si="1"/>
        <v>0</v>
      </c>
      <c r="U8" s="7">
        <f>+(AV_PLAN[[#This Row],[%AVANCE INICIO PLANIFICADO]]+AV_PLAN[[#This Row],[%AVANCE TERMINO PLANIFICADO]])/2</f>
        <v>3.5511363636363635E-3</v>
      </c>
    </row>
    <row r="9" spans="1:21" x14ac:dyDescent="0.25">
      <c r="A9" s="1">
        <v>46076</v>
      </c>
      <c r="B9">
        <v>1</v>
      </c>
      <c r="C9">
        <v>6</v>
      </c>
      <c r="D9">
        <v>1</v>
      </c>
      <c r="E9">
        <v>6</v>
      </c>
      <c r="F9">
        <v>0</v>
      </c>
      <c r="G9">
        <v>0</v>
      </c>
      <c r="H9">
        <v>0</v>
      </c>
      <c r="I9">
        <v>0</v>
      </c>
      <c r="J9" t="s">
        <v>810</v>
      </c>
      <c r="K9">
        <f>+WEEKNUM(AV_PLAN[[#This Row],[Días]])</f>
        <v>9</v>
      </c>
      <c r="L9" s="4">
        <f>IFERROR(AV_PLAN[[#This Row],[INICIO REAL ACUMULADO]]/AV_PLAN[[#This Row],[PLAN ACUMULADO]],"")</f>
        <v>1</v>
      </c>
      <c r="M9" s="4" t="str">
        <f>IFERROR(AV_PLAN[[#This Row],[TERMINO REAL ACUMULADO]]/AV_PLAN[[#This Row],[TERMINO PLAN ACUMULADO]],"")</f>
        <v/>
      </c>
      <c r="N9">
        <f>+AV_PLAN[[#This Row],[PLAN ACUMULADO]]-AV_PLAN[[#This Row],[INICIO REAL ACUMULADO]]</f>
        <v>0</v>
      </c>
      <c r="O9">
        <f>+AV_PLAN[[#This Row],[TERMINO PLAN ACUMULADO]]-AV_PLAN[[#This Row],[TERMINO REAL ACUMULADO]]</f>
        <v>0</v>
      </c>
      <c r="P9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9" s="7">
        <f>+AV_PLAN[[#This Row],[PLAN ACUMULADO]]/$C$471</f>
        <v>8.5227272727272721E-3</v>
      </c>
      <c r="R9" s="7">
        <f t="shared" si="0"/>
        <v>8.5227272727272721E-3</v>
      </c>
      <c r="S9" s="7">
        <f>+AV_PLAN[[#This Row],[TERMINO PLAN ACUMULADO]]/$G$471</f>
        <v>0</v>
      </c>
      <c r="T9" s="7">
        <f t="shared" si="1"/>
        <v>0</v>
      </c>
      <c r="U9" s="7">
        <f>+(AV_PLAN[[#This Row],[%AVANCE INICIO PLANIFICADO]]+AV_PLAN[[#This Row],[%AVANCE TERMINO PLANIFICADO]])/2</f>
        <v>4.261363636363636E-3</v>
      </c>
    </row>
    <row r="10" spans="1:21" x14ac:dyDescent="0.25">
      <c r="A10" s="1">
        <v>46077</v>
      </c>
      <c r="B10">
        <v>0</v>
      </c>
      <c r="C10">
        <v>6</v>
      </c>
      <c r="D10">
        <v>0</v>
      </c>
      <c r="E10">
        <v>6</v>
      </c>
      <c r="F10">
        <v>0</v>
      </c>
      <c r="G10">
        <v>0</v>
      </c>
      <c r="H10">
        <v>0</v>
      </c>
      <c r="I10">
        <v>0</v>
      </c>
      <c r="J10" t="s">
        <v>810</v>
      </c>
      <c r="K10">
        <f>+WEEKNUM(AV_PLAN[[#This Row],[Días]])</f>
        <v>9</v>
      </c>
      <c r="L10" s="4">
        <f>IFERROR(AV_PLAN[[#This Row],[INICIO REAL ACUMULADO]]/AV_PLAN[[#This Row],[PLAN ACUMULADO]],"")</f>
        <v>1</v>
      </c>
      <c r="M10" s="4" t="str">
        <f>IFERROR(AV_PLAN[[#This Row],[TERMINO REAL ACUMULADO]]/AV_PLAN[[#This Row],[TERMINO PLAN ACUMULADO]],"")</f>
        <v/>
      </c>
      <c r="N10">
        <f>+AV_PLAN[[#This Row],[PLAN ACUMULADO]]-AV_PLAN[[#This Row],[INICIO REAL ACUMULADO]]</f>
        <v>0</v>
      </c>
      <c r="O10">
        <f>+AV_PLAN[[#This Row],[TERMINO PLAN ACUMULADO]]-AV_PLAN[[#This Row],[TERMINO REAL ACUMULADO]]</f>
        <v>0</v>
      </c>
      <c r="P10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0" s="7">
        <f>+AV_PLAN[[#This Row],[PLAN ACUMULADO]]/$C$471</f>
        <v>8.5227272727272721E-3</v>
      </c>
      <c r="R10" s="7">
        <f t="shared" si="0"/>
        <v>8.5227272727272721E-3</v>
      </c>
      <c r="S10" s="7">
        <f>+AV_PLAN[[#This Row],[TERMINO PLAN ACUMULADO]]/$G$471</f>
        <v>0</v>
      </c>
      <c r="T10" s="7">
        <f t="shared" si="1"/>
        <v>0</v>
      </c>
      <c r="U10" s="7">
        <f>+(AV_PLAN[[#This Row],[%AVANCE INICIO PLANIFICADO]]+AV_PLAN[[#This Row],[%AVANCE TERMINO PLANIFICADO]])/2</f>
        <v>4.261363636363636E-3</v>
      </c>
    </row>
    <row r="11" spans="1:21" x14ac:dyDescent="0.25">
      <c r="A11" s="1">
        <v>46078</v>
      </c>
      <c r="B11">
        <v>2</v>
      </c>
      <c r="C11">
        <v>8</v>
      </c>
      <c r="D11">
        <v>2</v>
      </c>
      <c r="E11">
        <v>8</v>
      </c>
      <c r="F11">
        <v>0</v>
      </c>
      <c r="G11">
        <v>0</v>
      </c>
      <c r="H11">
        <v>0</v>
      </c>
      <c r="I11">
        <v>0</v>
      </c>
      <c r="J11" t="s">
        <v>810</v>
      </c>
      <c r="K11">
        <f>+WEEKNUM(AV_PLAN[[#This Row],[Días]])</f>
        <v>9</v>
      </c>
      <c r="L11" s="4">
        <f>IFERROR(AV_PLAN[[#This Row],[INICIO REAL ACUMULADO]]/AV_PLAN[[#This Row],[PLAN ACUMULADO]],"")</f>
        <v>1</v>
      </c>
      <c r="M11" s="4" t="str">
        <f>IFERROR(AV_PLAN[[#This Row],[TERMINO REAL ACUMULADO]]/AV_PLAN[[#This Row],[TERMINO PLAN ACUMULADO]],"")</f>
        <v/>
      </c>
      <c r="N11">
        <f>+AV_PLAN[[#This Row],[PLAN ACUMULADO]]-AV_PLAN[[#This Row],[INICIO REAL ACUMULADO]]</f>
        <v>0</v>
      </c>
      <c r="O11">
        <f>+AV_PLAN[[#This Row],[TERMINO PLAN ACUMULADO]]-AV_PLAN[[#This Row],[TERMINO REAL ACUMULADO]]</f>
        <v>0</v>
      </c>
      <c r="P11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1" s="7">
        <f>+AV_PLAN[[#This Row],[PLAN ACUMULADO]]/$C$471</f>
        <v>1.1363636363636364E-2</v>
      </c>
      <c r="R11" s="7">
        <f t="shared" si="0"/>
        <v>1.1363636363636364E-2</v>
      </c>
      <c r="S11" s="7">
        <f>+AV_PLAN[[#This Row],[TERMINO PLAN ACUMULADO]]/$G$471</f>
        <v>0</v>
      </c>
      <c r="T11" s="7">
        <f t="shared" si="1"/>
        <v>0</v>
      </c>
      <c r="U11" s="7">
        <f>+(AV_PLAN[[#This Row],[%AVANCE INICIO PLANIFICADO]]+AV_PLAN[[#This Row],[%AVANCE TERMINO PLANIFICADO]])/2</f>
        <v>5.681818181818182E-3</v>
      </c>
    </row>
    <row r="12" spans="1:21" x14ac:dyDescent="0.25">
      <c r="A12" s="1">
        <v>46079</v>
      </c>
      <c r="B12">
        <v>1</v>
      </c>
      <c r="C12">
        <v>9</v>
      </c>
      <c r="D12">
        <v>1</v>
      </c>
      <c r="E12">
        <v>9</v>
      </c>
      <c r="F12">
        <v>0</v>
      </c>
      <c r="G12">
        <v>0</v>
      </c>
      <c r="H12">
        <v>0</v>
      </c>
      <c r="I12">
        <v>0</v>
      </c>
      <c r="J12" t="s">
        <v>810</v>
      </c>
      <c r="K12">
        <f>+WEEKNUM(AV_PLAN[[#This Row],[Días]])</f>
        <v>9</v>
      </c>
      <c r="L12" s="4">
        <f>IFERROR(AV_PLAN[[#This Row],[INICIO REAL ACUMULADO]]/AV_PLAN[[#This Row],[PLAN ACUMULADO]],"")</f>
        <v>1</v>
      </c>
      <c r="M12" s="4" t="str">
        <f>IFERROR(AV_PLAN[[#This Row],[TERMINO REAL ACUMULADO]]/AV_PLAN[[#This Row],[TERMINO PLAN ACUMULADO]],"")</f>
        <v/>
      </c>
      <c r="N12">
        <f>+AV_PLAN[[#This Row],[PLAN ACUMULADO]]-AV_PLAN[[#This Row],[INICIO REAL ACUMULADO]]</f>
        <v>0</v>
      </c>
      <c r="O12">
        <f>+AV_PLAN[[#This Row],[TERMINO PLAN ACUMULADO]]-AV_PLAN[[#This Row],[TERMINO REAL ACUMULADO]]</f>
        <v>0</v>
      </c>
      <c r="P1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2" s="7">
        <f>+AV_PLAN[[#This Row],[PLAN ACUMULADO]]/$C$471</f>
        <v>1.278409090909091E-2</v>
      </c>
      <c r="R12" s="7">
        <f t="shared" si="0"/>
        <v>1.278409090909091E-2</v>
      </c>
      <c r="S12" s="7">
        <f>+AV_PLAN[[#This Row],[TERMINO PLAN ACUMULADO]]/$G$471</f>
        <v>0</v>
      </c>
      <c r="T12" s="7">
        <f t="shared" si="1"/>
        <v>0</v>
      </c>
      <c r="U12" s="7">
        <f>+(AV_PLAN[[#This Row],[%AVANCE INICIO PLANIFICADO]]+AV_PLAN[[#This Row],[%AVANCE TERMINO PLANIFICADO]])/2</f>
        <v>6.3920454545454549E-3</v>
      </c>
    </row>
    <row r="13" spans="1:21" x14ac:dyDescent="0.25">
      <c r="A13" s="1">
        <v>46080</v>
      </c>
      <c r="B13">
        <v>1</v>
      </c>
      <c r="C13">
        <v>10</v>
      </c>
      <c r="D13">
        <v>1</v>
      </c>
      <c r="E13">
        <v>10</v>
      </c>
      <c r="F13">
        <v>0</v>
      </c>
      <c r="G13">
        <v>0</v>
      </c>
      <c r="H13">
        <v>0</v>
      </c>
      <c r="I13">
        <v>0</v>
      </c>
      <c r="J13" t="s">
        <v>810</v>
      </c>
      <c r="K13">
        <f>+WEEKNUM(AV_PLAN[[#This Row],[Días]])</f>
        <v>9</v>
      </c>
      <c r="L13" s="4">
        <f>IFERROR(AV_PLAN[[#This Row],[INICIO REAL ACUMULADO]]/AV_PLAN[[#This Row],[PLAN ACUMULADO]],"")</f>
        <v>1</v>
      </c>
      <c r="M13" s="4" t="str">
        <f>IFERROR(AV_PLAN[[#This Row],[TERMINO REAL ACUMULADO]]/AV_PLAN[[#This Row],[TERMINO PLAN ACUMULADO]],"")</f>
        <v/>
      </c>
      <c r="N13">
        <f>+AV_PLAN[[#This Row],[PLAN ACUMULADO]]-AV_PLAN[[#This Row],[INICIO REAL ACUMULADO]]</f>
        <v>0</v>
      </c>
      <c r="O13">
        <f>+AV_PLAN[[#This Row],[TERMINO PLAN ACUMULADO]]-AV_PLAN[[#This Row],[TERMINO REAL ACUMULADO]]</f>
        <v>0</v>
      </c>
      <c r="P1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" s="7">
        <f>+AV_PLAN[[#This Row],[PLAN ACUMULADO]]/$C$471</f>
        <v>1.4204545454545454E-2</v>
      </c>
      <c r="R13" s="7">
        <f t="shared" si="0"/>
        <v>1.4204545454545454E-2</v>
      </c>
      <c r="S13" s="7">
        <f>+AV_PLAN[[#This Row],[TERMINO PLAN ACUMULADO]]/$G$471</f>
        <v>0</v>
      </c>
      <c r="T13" s="7">
        <f t="shared" si="1"/>
        <v>0</v>
      </c>
      <c r="U13" s="7">
        <f>+(AV_PLAN[[#This Row],[%AVANCE INICIO PLANIFICADO]]+AV_PLAN[[#This Row],[%AVANCE TERMINO PLANIFICADO]])/2</f>
        <v>7.102272727272727E-3</v>
      </c>
    </row>
    <row r="14" spans="1:21" x14ac:dyDescent="0.25">
      <c r="A14" s="1">
        <v>46081</v>
      </c>
      <c r="B14">
        <v>0</v>
      </c>
      <c r="C14">
        <v>10</v>
      </c>
      <c r="D14">
        <v>0</v>
      </c>
      <c r="E14">
        <v>10</v>
      </c>
      <c r="F14">
        <v>0</v>
      </c>
      <c r="G14">
        <v>0</v>
      </c>
      <c r="H14">
        <v>0</v>
      </c>
      <c r="I14">
        <v>0</v>
      </c>
      <c r="J14" t="s">
        <v>810</v>
      </c>
      <c r="K14">
        <f>+WEEKNUM(AV_PLAN[[#This Row],[Días]])</f>
        <v>9</v>
      </c>
      <c r="L14" s="4">
        <f>IFERROR(AV_PLAN[[#This Row],[INICIO REAL ACUMULADO]]/AV_PLAN[[#This Row],[PLAN ACUMULADO]],"")</f>
        <v>1</v>
      </c>
      <c r="M14" s="4" t="str">
        <f>IFERROR(AV_PLAN[[#This Row],[TERMINO REAL ACUMULADO]]/AV_PLAN[[#This Row],[TERMINO PLAN ACUMULADO]],"")</f>
        <v/>
      </c>
      <c r="N14">
        <f>+AV_PLAN[[#This Row],[PLAN ACUMULADO]]-AV_PLAN[[#This Row],[INICIO REAL ACUMULADO]]</f>
        <v>0</v>
      </c>
      <c r="O14">
        <f>+AV_PLAN[[#This Row],[TERMINO PLAN ACUMULADO]]-AV_PLAN[[#This Row],[TERMINO REAL ACUMULADO]]</f>
        <v>0</v>
      </c>
      <c r="P1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4" s="7">
        <f>+AV_PLAN[[#This Row],[PLAN ACUMULADO]]/$C$471</f>
        <v>1.4204545454545454E-2</v>
      </c>
      <c r="R14" s="7">
        <f t="shared" si="0"/>
        <v>1.4204545454545454E-2</v>
      </c>
      <c r="S14" s="7">
        <f>+AV_PLAN[[#This Row],[TERMINO PLAN ACUMULADO]]/$G$471</f>
        <v>0</v>
      </c>
      <c r="T14" s="7">
        <f t="shared" si="1"/>
        <v>0</v>
      </c>
      <c r="U14" s="7">
        <f>+(AV_PLAN[[#This Row],[%AVANCE INICIO PLANIFICADO]]+AV_PLAN[[#This Row],[%AVANCE TERMINO PLANIFICADO]])/2</f>
        <v>7.102272727272727E-3</v>
      </c>
    </row>
    <row r="15" spans="1:21" x14ac:dyDescent="0.25">
      <c r="A15" s="1">
        <v>46082</v>
      </c>
      <c r="B15">
        <v>0</v>
      </c>
      <c r="C15">
        <v>10</v>
      </c>
      <c r="D15">
        <v>0</v>
      </c>
      <c r="E15">
        <v>10</v>
      </c>
      <c r="F15">
        <v>0</v>
      </c>
      <c r="G15">
        <v>0</v>
      </c>
      <c r="H15">
        <v>0</v>
      </c>
      <c r="I15">
        <v>0</v>
      </c>
      <c r="J15" t="s">
        <v>811</v>
      </c>
      <c r="K15">
        <f>+WEEKNUM(AV_PLAN[[#This Row],[Días]])</f>
        <v>10</v>
      </c>
      <c r="L15" s="4">
        <f>IFERROR(AV_PLAN[[#This Row],[INICIO REAL ACUMULADO]]/AV_PLAN[[#This Row],[PLAN ACUMULADO]],"")</f>
        <v>1</v>
      </c>
      <c r="M15" s="4" t="str">
        <f>IFERROR(AV_PLAN[[#This Row],[TERMINO REAL ACUMULADO]]/AV_PLAN[[#This Row],[TERMINO PLAN ACUMULADO]],"")</f>
        <v/>
      </c>
      <c r="N15">
        <f>+AV_PLAN[[#This Row],[PLAN ACUMULADO]]-AV_PLAN[[#This Row],[INICIO REAL ACUMULADO]]</f>
        <v>0</v>
      </c>
      <c r="O15">
        <f>+AV_PLAN[[#This Row],[TERMINO PLAN ACUMULADO]]-AV_PLAN[[#This Row],[TERMINO REAL ACUMULADO]]</f>
        <v>0</v>
      </c>
      <c r="P1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5" s="7">
        <f>+AV_PLAN[[#This Row],[PLAN ACUMULADO]]/$C$471</f>
        <v>1.4204545454545454E-2</v>
      </c>
      <c r="R15" s="7">
        <f t="shared" si="0"/>
        <v>1.4204545454545454E-2</v>
      </c>
      <c r="S15" s="7">
        <f>+AV_PLAN[[#This Row],[TERMINO PLAN ACUMULADO]]/$G$471</f>
        <v>0</v>
      </c>
      <c r="T15" s="7">
        <f t="shared" si="1"/>
        <v>0</v>
      </c>
      <c r="U15" s="7">
        <f>+(AV_PLAN[[#This Row],[%AVANCE INICIO PLANIFICADO]]+AV_PLAN[[#This Row],[%AVANCE TERMINO PLANIFICADO]])/2</f>
        <v>7.102272727272727E-3</v>
      </c>
    </row>
    <row r="16" spans="1:21" x14ac:dyDescent="0.25">
      <c r="A16" s="1">
        <v>46083</v>
      </c>
      <c r="B16">
        <v>0</v>
      </c>
      <c r="C16">
        <v>10</v>
      </c>
      <c r="D16">
        <v>0</v>
      </c>
      <c r="E16">
        <v>10</v>
      </c>
      <c r="F16">
        <v>0</v>
      </c>
      <c r="G16">
        <v>0</v>
      </c>
      <c r="H16">
        <v>0</v>
      </c>
      <c r="I16">
        <v>0</v>
      </c>
      <c r="J16" t="s">
        <v>811</v>
      </c>
      <c r="K16">
        <f>+WEEKNUM(AV_PLAN[[#This Row],[Días]])</f>
        <v>10</v>
      </c>
      <c r="L16" s="4">
        <f>IFERROR(AV_PLAN[[#This Row],[INICIO REAL ACUMULADO]]/AV_PLAN[[#This Row],[PLAN ACUMULADO]],"")</f>
        <v>1</v>
      </c>
      <c r="M16" s="4" t="str">
        <f>IFERROR(AV_PLAN[[#This Row],[TERMINO REAL ACUMULADO]]/AV_PLAN[[#This Row],[TERMINO PLAN ACUMULADO]],"")</f>
        <v/>
      </c>
      <c r="N16">
        <f>+AV_PLAN[[#This Row],[PLAN ACUMULADO]]-AV_PLAN[[#This Row],[INICIO REAL ACUMULADO]]</f>
        <v>0</v>
      </c>
      <c r="O16">
        <f>+AV_PLAN[[#This Row],[TERMINO PLAN ACUMULADO]]-AV_PLAN[[#This Row],[TERMINO REAL ACUMULADO]]</f>
        <v>0</v>
      </c>
      <c r="P16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6" s="7">
        <f>+AV_PLAN[[#This Row],[PLAN ACUMULADO]]/$C$471</f>
        <v>1.4204545454545454E-2</v>
      </c>
      <c r="R16" s="7">
        <f t="shared" si="0"/>
        <v>1.4204545454545454E-2</v>
      </c>
      <c r="S16" s="7">
        <f>+AV_PLAN[[#This Row],[TERMINO PLAN ACUMULADO]]/$G$471</f>
        <v>0</v>
      </c>
      <c r="T16" s="7">
        <f t="shared" si="1"/>
        <v>0</v>
      </c>
      <c r="U16" s="7">
        <f>+(AV_PLAN[[#This Row],[%AVANCE INICIO PLANIFICADO]]+AV_PLAN[[#This Row],[%AVANCE TERMINO PLANIFICADO]])/2</f>
        <v>7.102272727272727E-3</v>
      </c>
    </row>
    <row r="17" spans="1:21" x14ac:dyDescent="0.25">
      <c r="A17" s="1">
        <v>46084</v>
      </c>
      <c r="B17">
        <v>0</v>
      </c>
      <c r="C17">
        <v>10</v>
      </c>
      <c r="D17">
        <v>0</v>
      </c>
      <c r="E17">
        <v>10</v>
      </c>
      <c r="F17">
        <v>0</v>
      </c>
      <c r="G17">
        <v>0</v>
      </c>
      <c r="H17">
        <v>0</v>
      </c>
      <c r="I17">
        <v>0</v>
      </c>
      <c r="J17" t="s">
        <v>811</v>
      </c>
      <c r="K17">
        <f>+WEEKNUM(AV_PLAN[[#This Row],[Días]])</f>
        <v>10</v>
      </c>
      <c r="L17" s="4">
        <f>IFERROR(AV_PLAN[[#This Row],[INICIO REAL ACUMULADO]]/AV_PLAN[[#This Row],[PLAN ACUMULADO]],"")</f>
        <v>1</v>
      </c>
      <c r="M17" s="4" t="str">
        <f>IFERROR(AV_PLAN[[#This Row],[TERMINO REAL ACUMULADO]]/AV_PLAN[[#This Row],[TERMINO PLAN ACUMULADO]],"")</f>
        <v/>
      </c>
      <c r="N17">
        <f>+AV_PLAN[[#This Row],[PLAN ACUMULADO]]-AV_PLAN[[#This Row],[INICIO REAL ACUMULADO]]</f>
        <v>0</v>
      </c>
      <c r="O17">
        <f>+AV_PLAN[[#This Row],[TERMINO PLAN ACUMULADO]]-AV_PLAN[[#This Row],[TERMINO REAL ACUMULADO]]</f>
        <v>0</v>
      </c>
      <c r="P17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7" s="7">
        <f>+AV_PLAN[[#This Row],[PLAN ACUMULADO]]/$C$471</f>
        <v>1.4204545454545454E-2</v>
      </c>
      <c r="R17" s="7">
        <f t="shared" si="0"/>
        <v>1.4204545454545454E-2</v>
      </c>
      <c r="S17" s="7">
        <f>+AV_PLAN[[#This Row],[TERMINO PLAN ACUMULADO]]/$G$471</f>
        <v>0</v>
      </c>
      <c r="T17" s="7">
        <f t="shared" si="1"/>
        <v>0</v>
      </c>
      <c r="U17" s="7">
        <f>+(AV_PLAN[[#This Row],[%AVANCE INICIO PLANIFICADO]]+AV_PLAN[[#This Row],[%AVANCE TERMINO PLANIFICADO]])/2</f>
        <v>7.102272727272727E-3</v>
      </c>
    </row>
    <row r="18" spans="1:21" x14ac:dyDescent="0.25">
      <c r="A18" s="1">
        <v>46085</v>
      </c>
      <c r="B18">
        <v>1</v>
      </c>
      <c r="C18">
        <v>11</v>
      </c>
      <c r="D18">
        <v>1</v>
      </c>
      <c r="E18">
        <v>11</v>
      </c>
      <c r="F18">
        <v>0</v>
      </c>
      <c r="G18">
        <v>0</v>
      </c>
      <c r="H18">
        <v>0</v>
      </c>
      <c r="I18">
        <v>0</v>
      </c>
      <c r="J18" t="s">
        <v>811</v>
      </c>
      <c r="K18">
        <f>+WEEKNUM(AV_PLAN[[#This Row],[Días]])</f>
        <v>10</v>
      </c>
      <c r="L18" s="4">
        <f>IFERROR(AV_PLAN[[#This Row],[INICIO REAL ACUMULADO]]/AV_PLAN[[#This Row],[PLAN ACUMULADO]],"")</f>
        <v>1</v>
      </c>
      <c r="M18" s="4" t="str">
        <f>IFERROR(AV_PLAN[[#This Row],[TERMINO REAL ACUMULADO]]/AV_PLAN[[#This Row],[TERMINO PLAN ACUMULADO]],"")</f>
        <v/>
      </c>
      <c r="N18">
        <f>+AV_PLAN[[#This Row],[PLAN ACUMULADO]]-AV_PLAN[[#This Row],[INICIO REAL ACUMULADO]]</f>
        <v>0</v>
      </c>
      <c r="O18">
        <f>+AV_PLAN[[#This Row],[TERMINO PLAN ACUMULADO]]-AV_PLAN[[#This Row],[TERMINO REAL ACUMULADO]]</f>
        <v>0</v>
      </c>
      <c r="P1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8" s="7">
        <f>+AV_PLAN[[#This Row],[PLAN ACUMULADO]]/$C$471</f>
        <v>1.5625E-2</v>
      </c>
      <c r="R18" s="7">
        <f t="shared" si="0"/>
        <v>1.5625E-2</v>
      </c>
      <c r="S18" s="7">
        <f>+AV_PLAN[[#This Row],[TERMINO PLAN ACUMULADO]]/$G$471</f>
        <v>0</v>
      </c>
      <c r="T18" s="7">
        <f t="shared" si="1"/>
        <v>0</v>
      </c>
      <c r="U18" s="7">
        <f>+(AV_PLAN[[#This Row],[%AVANCE INICIO PLANIFICADO]]+AV_PLAN[[#This Row],[%AVANCE TERMINO PLANIFICADO]])/2</f>
        <v>7.8125E-3</v>
      </c>
    </row>
    <row r="19" spans="1:21" x14ac:dyDescent="0.25">
      <c r="A19" s="1">
        <v>46086</v>
      </c>
      <c r="B19">
        <v>1</v>
      </c>
      <c r="C19">
        <v>12</v>
      </c>
      <c r="D19">
        <v>1</v>
      </c>
      <c r="E19">
        <v>12</v>
      </c>
      <c r="F19">
        <v>0</v>
      </c>
      <c r="G19">
        <v>0</v>
      </c>
      <c r="H19">
        <v>0</v>
      </c>
      <c r="I19">
        <v>0</v>
      </c>
      <c r="J19" t="s">
        <v>811</v>
      </c>
      <c r="K19">
        <f>+WEEKNUM(AV_PLAN[[#This Row],[Días]])</f>
        <v>10</v>
      </c>
      <c r="L19" s="4">
        <f>IFERROR(AV_PLAN[[#This Row],[INICIO REAL ACUMULADO]]/AV_PLAN[[#This Row],[PLAN ACUMULADO]],"")</f>
        <v>1</v>
      </c>
      <c r="M19" s="4" t="str">
        <f>IFERROR(AV_PLAN[[#This Row],[TERMINO REAL ACUMULADO]]/AV_PLAN[[#This Row],[TERMINO PLAN ACUMULADO]],"")</f>
        <v/>
      </c>
      <c r="N19">
        <f>+AV_PLAN[[#This Row],[PLAN ACUMULADO]]-AV_PLAN[[#This Row],[INICIO REAL ACUMULADO]]</f>
        <v>0</v>
      </c>
      <c r="O19">
        <f>+AV_PLAN[[#This Row],[TERMINO PLAN ACUMULADO]]-AV_PLAN[[#This Row],[TERMINO REAL ACUMULADO]]</f>
        <v>0</v>
      </c>
      <c r="P1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9" s="7">
        <f>+AV_PLAN[[#This Row],[PLAN ACUMULADO]]/$C$471</f>
        <v>1.7045454545454544E-2</v>
      </c>
      <c r="R19" s="7">
        <f t="shared" si="0"/>
        <v>1.7045454545454544E-2</v>
      </c>
      <c r="S19" s="7">
        <f>+AV_PLAN[[#This Row],[TERMINO PLAN ACUMULADO]]/$G$471</f>
        <v>0</v>
      </c>
      <c r="T19" s="7">
        <f t="shared" si="1"/>
        <v>0</v>
      </c>
      <c r="U19" s="7">
        <f>+(AV_PLAN[[#This Row],[%AVANCE INICIO PLANIFICADO]]+AV_PLAN[[#This Row],[%AVANCE TERMINO PLANIFICADO]])/2</f>
        <v>8.5227272727272721E-3</v>
      </c>
    </row>
    <row r="20" spans="1:21" x14ac:dyDescent="0.25">
      <c r="A20" s="1">
        <v>46087</v>
      </c>
      <c r="B20">
        <v>1</v>
      </c>
      <c r="C20">
        <v>13</v>
      </c>
      <c r="D20">
        <v>1</v>
      </c>
      <c r="E20">
        <v>13</v>
      </c>
      <c r="F20">
        <v>0</v>
      </c>
      <c r="G20">
        <v>0</v>
      </c>
      <c r="H20">
        <v>0</v>
      </c>
      <c r="I20">
        <v>0</v>
      </c>
      <c r="J20" t="s">
        <v>811</v>
      </c>
      <c r="K20">
        <f>+WEEKNUM(AV_PLAN[[#This Row],[Días]])</f>
        <v>10</v>
      </c>
      <c r="L20" s="4">
        <f>IFERROR(AV_PLAN[[#This Row],[INICIO REAL ACUMULADO]]/AV_PLAN[[#This Row],[PLAN ACUMULADO]],"")</f>
        <v>1</v>
      </c>
      <c r="M20" s="4" t="str">
        <f>IFERROR(AV_PLAN[[#This Row],[TERMINO REAL ACUMULADO]]/AV_PLAN[[#This Row],[TERMINO PLAN ACUMULADO]],"")</f>
        <v/>
      </c>
      <c r="N20">
        <f>+AV_PLAN[[#This Row],[PLAN ACUMULADO]]-AV_PLAN[[#This Row],[INICIO REAL ACUMULADO]]</f>
        <v>0</v>
      </c>
      <c r="O20">
        <f>+AV_PLAN[[#This Row],[TERMINO PLAN ACUMULADO]]-AV_PLAN[[#This Row],[TERMINO REAL ACUMULADO]]</f>
        <v>0</v>
      </c>
      <c r="P2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0" s="7">
        <f>+AV_PLAN[[#This Row],[PLAN ACUMULADO]]/$C$471</f>
        <v>1.8465909090909092E-2</v>
      </c>
      <c r="R20" s="7">
        <f t="shared" si="0"/>
        <v>1.8465909090909092E-2</v>
      </c>
      <c r="S20" s="7">
        <f>+AV_PLAN[[#This Row],[TERMINO PLAN ACUMULADO]]/$G$471</f>
        <v>0</v>
      </c>
      <c r="T20" s="7">
        <f t="shared" si="1"/>
        <v>0</v>
      </c>
      <c r="U20" s="7">
        <f>+(AV_PLAN[[#This Row],[%AVANCE INICIO PLANIFICADO]]+AV_PLAN[[#This Row],[%AVANCE TERMINO PLANIFICADO]])/2</f>
        <v>9.2329545454545459E-3</v>
      </c>
    </row>
    <row r="21" spans="1:21" x14ac:dyDescent="0.25">
      <c r="A21" s="1">
        <v>46088</v>
      </c>
      <c r="B21">
        <v>0</v>
      </c>
      <c r="C21">
        <v>13</v>
      </c>
      <c r="D21">
        <v>0</v>
      </c>
      <c r="E21">
        <v>13</v>
      </c>
      <c r="F21">
        <v>0</v>
      </c>
      <c r="G21">
        <v>0</v>
      </c>
      <c r="H21">
        <v>0</v>
      </c>
      <c r="I21">
        <v>0</v>
      </c>
      <c r="J21" t="s">
        <v>811</v>
      </c>
      <c r="K21">
        <f>+WEEKNUM(AV_PLAN[[#This Row],[Días]])</f>
        <v>10</v>
      </c>
      <c r="L21" s="4">
        <f>IFERROR(AV_PLAN[[#This Row],[INICIO REAL ACUMULADO]]/AV_PLAN[[#This Row],[PLAN ACUMULADO]],"")</f>
        <v>1</v>
      </c>
      <c r="M21" s="4" t="str">
        <f>IFERROR(AV_PLAN[[#This Row],[TERMINO REAL ACUMULADO]]/AV_PLAN[[#This Row],[TERMINO PLAN ACUMULADO]],"")</f>
        <v/>
      </c>
      <c r="N21">
        <f>+AV_PLAN[[#This Row],[PLAN ACUMULADO]]-AV_PLAN[[#This Row],[INICIO REAL ACUMULADO]]</f>
        <v>0</v>
      </c>
      <c r="O21">
        <f>+AV_PLAN[[#This Row],[TERMINO PLAN ACUMULADO]]-AV_PLAN[[#This Row],[TERMINO REAL ACUMULADO]]</f>
        <v>0</v>
      </c>
      <c r="P2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1" s="7">
        <f>+AV_PLAN[[#This Row],[PLAN ACUMULADO]]/$C$471</f>
        <v>1.8465909090909092E-2</v>
      </c>
      <c r="R21" s="7">
        <f t="shared" si="0"/>
        <v>1.8465909090909092E-2</v>
      </c>
      <c r="S21" s="7">
        <f>+AV_PLAN[[#This Row],[TERMINO PLAN ACUMULADO]]/$G$471</f>
        <v>0</v>
      </c>
      <c r="T21" s="7">
        <f t="shared" si="1"/>
        <v>0</v>
      </c>
      <c r="U21" s="7">
        <f>+(AV_PLAN[[#This Row],[%AVANCE INICIO PLANIFICADO]]+AV_PLAN[[#This Row],[%AVANCE TERMINO PLANIFICADO]])/2</f>
        <v>9.2329545454545459E-3</v>
      </c>
    </row>
    <row r="22" spans="1:21" x14ac:dyDescent="0.25">
      <c r="A22" s="1">
        <v>46089</v>
      </c>
      <c r="B22">
        <v>0</v>
      </c>
      <c r="C22">
        <v>13</v>
      </c>
      <c r="D22">
        <v>0</v>
      </c>
      <c r="E22">
        <v>13</v>
      </c>
      <c r="F22">
        <v>0</v>
      </c>
      <c r="G22">
        <v>0</v>
      </c>
      <c r="H22">
        <v>0</v>
      </c>
      <c r="I22">
        <v>0</v>
      </c>
      <c r="J22" t="s">
        <v>811</v>
      </c>
      <c r="K22">
        <f>+WEEKNUM(AV_PLAN[[#This Row],[Días]])</f>
        <v>11</v>
      </c>
      <c r="L22" s="4">
        <f>IFERROR(AV_PLAN[[#This Row],[INICIO REAL ACUMULADO]]/AV_PLAN[[#This Row],[PLAN ACUMULADO]],"")</f>
        <v>1</v>
      </c>
      <c r="M22" s="4" t="str">
        <f>IFERROR(AV_PLAN[[#This Row],[TERMINO REAL ACUMULADO]]/AV_PLAN[[#This Row],[TERMINO PLAN ACUMULADO]],"")</f>
        <v/>
      </c>
      <c r="N22">
        <f>+AV_PLAN[[#This Row],[PLAN ACUMULADO]]-AV_PLAN[[#This Row],[INICIO REAL ACUMULADO]]</f>
        <v>0</v>
      </c>
      <c r="O22">
        <f>+AV_PLAN[[#This Row],[TERMINO PLAN ACUMULADO]]-AV_PLAN[[#This Row],[TERMINO REAL ACUMULADO]]</f>
        <v>0</v>
      </c>
      <c r="P22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2" s="7">
        <f>+AV_PLAN[[#This Row],[PLAN ACUMULADO]]/$C$471</f>
        <v>1.8465909090909092E-2</v>
      </c>
      <c r="R22" s="7">
        <f t="shared" si="0"/>
        <v>1.8465909090909092E-2</v>
      </c>
      <c r="S22" s="7">
        <f>+AV_PLAN[[#This Row],[TERMINO PLAN ACUMULADO]]/$G$471</f>
        <v>0</v>
      </c>
      <c r="T22" s="7">
        <f t="shared" si="1"/>
        <v>0</v>
      </c>
      <c r="U22" s="7">
        <f>+(AV_PLAN[[#This Row],[%AVANCE INICIO PLANIFICADO]]+AV_PLAN[[#This Row],[%AVANCE TERMINO PLANIFICADO]])/2</f>
        <v>9.2329545454545459E-3</v>
      </c>
    </row>
    <row r="23" spans="1:21" x14ac:dyDescent="0.25">
      <c r="A23" s="1">
        <v>46090</v>
      </c>
      <c r="B23">
        <v>1</v>
      </c>
      <c r="C23">
        <v>14</v>
      </c>
      <c r="D23">
        <v>1</v>
      </c>
      <c r="E23">
        <v>14</v>
      </c>
      <c r="F23">
        <v>0</v>
      </c>
      <c r="G23">
        <v>0</v>
      </c>
      <c r="H23">
        <v>0</v>
      </c>
      <c r="I23">
        <v>0</v>
      </c>
      <c r="J23" t="s">
        <v>811</v>
      </c>
      <c r="K23">
        <f>+WEEKNUM(AV_PLAN[[#This Row],[Días]])</f>
        <v>11</v>
      </c>
      <c r="L23" s="4">
        <f>IFERROR(AV_PLAN[[#This Row],[INICIO REAL ACUMULADO]]/AV_PLAN[[#This Row],[PLAN ACUMULADO]],"")</f>
        <v>1</v>
      </c>
      <c r="M23" s="4" t="str">
        <f>IFERROR(AV_PLAN[[#This Row],[TERMINO REAL ACUMULADO]]/AV_PLAN[[#This Row],[TERMINO PLAN ACUMULADO]],"")</f>
        <v/>
      </c>
      <c r="N23">
        <f>+AV_PLAN[[#This Row],[PLAN ACUMULADO]]-AV_PLAN[[#This Row],[INICIO REAL ACUMULADO]]</f>
        <v>0</v>
      </c>
      <c r="O23">
        <f>+AV_PLAN[[#This Row],[TERMINO PLAN ACUMULADO]]-AV_PLAN[[#This Row],[TERMINO REAL ACUMULADO]]</f>
        <v>0</v>
      </c>
      <c r="P2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3" s="7">
        <f>+AV_PLAN[[#This Row],[PLAN ACUMULADO]]/$C$471</f>
        <v>1.9886363636363636E-2</v>
      </c>
      <c r="R23" s="7">
        <f t="shared" si="0"/>
        <v>1.9886363636363636E-2</v>
      </c>
      <c r="S23" s="7">
        <f>+AV_PLAN[[#This Row],[TERMINO PLAN ACUMULADO]]/$G$471</f>
        <v>0</v>
      </c>
      <c r="T23" s="7">
        <f t="shared" si="1"/>
        <v>0</v>
      </c>
      <c r="U23" s="7">
        <f>+(AV_PLAN[[#This Row],[%AVANCE INICIO PLANIFICADO]]+AV_PLAN[[#This Row],[%AVANCE TERMINO PLANIFICADO]])/2</f>
        <v>9.943181818181818E-3</v>
      </c>
    </row>
    <row r="24" spans="1:21" x14ac:dyDescent="0.25">
      <c r="A24" s="1">
        <v>46091</v>
      </c>
      <c r="B24">
        <v>1</v>
      </c>
      <c r="C24">
        <v>15</v>
      </c>
      <c r="D24">
        <v>1</v>
      </c>
      <c r="E24">
        <v>15</v>
      </c>
      <c r="F24">
        <v>0</v>
      </c>
      <c r="G24">
        <v>0</v>
      </c>
      <c r="H24">
        <v>0</v>
      </c>
      <c r="I24">
        <v>0</v>
      </c>
      <c r="J24" t="s">
        <v>811</v>
      </c>
      <c r="K24">
        <f>+WEEKNUM(AV_PLAN[[#This Row],[Días]])</f>
        <v>11</v>
      </c>
      <c r="L24" s="4">
        <f>IFERROR(AV_PLAN[[#This Row],[INICIO REAL ACUMULADO]]/AV_PLAN[[#This Row],[PLAN ACUMULADO]],"")</f>
        <v>1</v>
      </c>
      <c r="M24" s="4" t="str">
        <f>IFERROR(AV_PLAN[[#This Row],[TERMINO REAL ACUMULADO]]/AV_PLAN[[#This Row],[TERMINO PLAN ACUMULADO]],"")</f>
        <v/>
      </c>
      <c r="N24">
        <f>+AV_PLAN[[#This Row],[PLAN ACUMULADO]]-AV_PLAN[[#This Row],[INICIO REAL ACUMULADO]]</f>
        <v>0</v>
      </c>
      <c r="O24">
        <f>+AV_PLAN[[#This Row],[TERMINO PLAN ACUMULADO]]-AV_PLAN[[#This Row],[TERMINO REAL ACUMULADO]]</f>
        <v>0</v>
      </c>
      <c r="P2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4" s="7">
        <f>+AV_PLAN[[#This Row],[PLAN ACUMULADO]]/$C$471</f>
        <v>2.130681818181818E-2</v>
      </c>
      <c r="R24" s="7">
        <f t="shared" si="0"/>
        <v>2.130681818181818E-2</v>
      </c>
      <c r="S24" s="7">
        <f>+AV_PLAN[[#This Row],[TERMINO PLAN ACUMULADO]]/$G$471</f>
        <v>0</v>
      </c>
      <c r="T24" s="7">
        <f t="shared" si="1"/>
        <v>0</v>
      </c>
      <c r="U24" s="7">
        <f>+(AV_PLAN[[#This Row],[%AVANCE INICIO PLANIFICADO]]+AV_PLAN[[#This Row],[%AVANCE TERMINO PLANIFICADO]])/2</f>
        <v>1.065340909090909E-2</v>
      </c>
    </row>
    <row r="25" spans="1:21" x14ac:dyDescent="0.25">
      <c r="A25" s="1">
        <v>46092</v>
      </c>
      <c r="B25">
        <v>0</v>
      </c>
      <c r="C25">
        <v>15</v>
      </c>
      <c r="D25">
        <v>0</v>
      </c>
      <c r="E25">
        <v>15</v>
      </c>
      <c r="F25">
        <v>0</v>
      </c>
      <c r="G25">
        <v>0</v>
      </c>
      <c r="H25">
        <v>0</v>
      </c>
      <c r="I25">
        <v>0</v>
      </c>
      <c r="J25" t="s">
        <v>811</v>
      </c>
      <c r="K25">
        <f>+WEEKNUM(AV_PLAN[[#This Row],[Días]])</f>
        <v>11</v>
      </c>
      <c r="L25" s="4">
        <f>IFERROR(AV_PLAN[[#This Row],[INICIO REAL ACUMULADO]]/AV_PLAN[[#This Row],[PLAN ACUMULADO]],"")</f>
        <v>1</v>
      </c>
      <c r="M25" s="4" t="str">
        <f>IFERROR(AV_PLAN[[#This Row],[TERMINO REAL ACUMULADO]]/AV_PLAN[[#This Row],[TERMINO PLAN ACUMULADO]],"")</f>
        <v/>
      </c>
      <c r="N25">
        <f>+AV_PLAN[[#This Row],[PLAN ACUMULADO]]-AV_PLAN[[#This Row],[INICIO REAL ACUMULADO]]</f>
        <v>0</v>
      </c>
      <c r="O25">
        <f>+AV_PLAN[[#This Row],[TERMINO PLAN ACUMULADO]]-AV_PLAN[[#This Row],[TERMINO REAL ACUMULADO]]</f>
        <v>0</v>
      </c>
      <c r="P2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5" s="7">
        <f>+AV_PLAN[[#This Row],[PLAN ACUMULADO]]/$C$471</f>
        <v>2.130681818181818E-2</v>
      </c>
      <c r="R25" s="7">
        <f t="shared" si="0"/>
        <v>2.130681818181818E-2</v>
      </c>
      <c r="S25" s="7">
        <f>+AV_PLAN[[#This Row],[TERMINO PLAN ACUMULADO]]/$G$471</f>
        <v>0</v>
      </c>
      <c r="T25" s="7">
        <f t="shared" si="1"/>
        <v>0</v>
      </c>
      <c r="U25" s="7">
        <f>+(AV_PLAN[[#This Row],[%AVANCE INICIO PLANIFICADO]]+AV_PLAN[[#This Row],[%AVANCE TERMINO PLANIFICADO]])/2</f>
        <v>1.065340909090909E-2</v>
      </c>
    </row>
    <row r="26" spans="1:21" x14ac:dyDescent="0.25">
      <c r="A26" s="1">
        <v>46093</v>
      </c>
      <c r="B26">
        <v>2</v>
      </c>
      <c r="C26">
        <v>17</v>
      </c>
      <c r="D26">
        <v>2</v>
      </c>
      <c r="E26">
        <v>17</v>
      </c>
      <c r="F26">
        <v>0</v>
      </c>
      <c r="G26">
        <v>0</v>
      </c>
      <c r="H26">
        <v>0</v>
      </c>
      <c r="I26">
        <v>0</v>
      </c>
      <c r="J26" t="s">
        <v>811</v>
      </c>
      <c r="K26">
        <f>+WEEKNUM(AV_PLAN[[#This Row],[Días]])</f>
        <v>11</v>
      </c>
      <c r="L26" s="4">
        <f>IFERROR(AV_PLAN[[#This Row],[INICIO REAL ACUMULADO]]/AV_PLAN[[#This Row],[PLAN ACUMULADO]],"")</f>
        <v>1</v>
      </c>
      <c r="M26" s="4" t="str">
        <f>IFERROR(AV_PLAN[[#This Row],[TERMINO REAL ACUMULADO]]/AV_PLAN[[#This Row],[TERMINO PLAN ACUMULADO]],"")</f>
        <v/>
      </c>
      <c r="N26">
        <f>+AV_PLAN[[#This Row],[PLAN ACUMULADO]]-AV_PLAN[[#This Row],[INICIO REAL ACUMULADO]]</f>
        <v>0</v>
      </c>
      <c r="O26">
        <f>+AV_PLAN[[#This Row],[TERMINO PLAN ACUMULADO]]-AV_PLAN[[#This Row],[TERMINO REAL ACUMULADO]]</f>
        <v>0</v>
      </c>
      <c r="P26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6" s="7">
        <f>+AV_PLAN[[#This Row],[PLAN ACUMULADO]]/$C$471</f>
        <v>2.4147727272727272E-2</v>
      </c>
      <c r="R26" s="7">
        <f t="shared" si="0"/>
        <v>2.4147727272727272E-2</v>
      </c>
      <c r="S26" s="7">
        <f>+AV_PLAN[[#This Row],[TERMINO PLAN ACUMULADO]]/$G$471</f>
        <v>0</v>
      </c>
      <c r="T26" s="7">
        <f t="shared" si="1"/>
        <v>0</v>
      </c>
      <c r="U26" s="7">
        <f>+(AV_PLAN[[#This Row],[%AVANCE INICIO PLANIFICADO]]+AV_PLAN[[#This Row],[%AVANCE TERMINO PLANIFICADO]])/2</f>
        <v>1.2073863636363636E-2</v>
      </c>
    </row>
    <row r="27" spans="1:21" x14ac:dyDescent="0.25">
      <c r="A27" s="1">
        <v>46094</v>
      </c>
      <c r="B27">
        <v>0</v>
      </c>
      <c r="C27">
        <v>17</v>
      </c>
      <c r="D27">
        <v>0</v>
      </c>
      <c r="E27">
        <v>17</v>
      </c>
      <c r="F27">
        <v>0</v>
      </c>
      <c r="G27">
        <v>0</v>
      </c>
      <c r="H27">
        <v>0</v>
      </c>
      <c r="I27">
        <v>0</v>
      </c>
      <c r="J27" t="s">
        <v>811</v>
      </c>
      <c r="K27">
        <f>+WEEKNUM(AV_PLAN[[#This Row],[Días]])</f>
        <v>11</v>
      </c>
      <c r="L27" s="4">
        <f>IFERROR(AV_PLAN[[#This Row],[INICIO REAL ACUMULADO]]/AV_PLAN[[#This Row],[PLAN ACUMULADO]],"")</f>
        <v>1</v>
      </c>
      <c r="M27" s="4" t="str">
        <f>IFERROR(AV_PLAN[[#This Row],[TERMINO REAL ACUMULADO]]/AV_PLAN[[#This Row],[TERMINO PLAN ACUMULADO]],"")</f>
        <v/>
      </c>
      <c r="N27">
        <f>+AV_PLAN[[#This Row],[PLAN ACUMULADO]]-AV_PLAN[[#This Row],[INICIO REAL ACUMULADO]]</f>
        <v>0</v>
      </c>
      <c r="O27">
        <f>+AV_PLAN[[#This Row],[TERMINO PLAN ACUMULADO]]-AV_PLAN[[#This Row],[TERMINO REAL ACUMULADO]]</f>
        <v>0</v>
      </c>
      <c r="P27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7" s="7">
        <f>+AV_PLAN[[#This Row],[PLAN ACUMULADO]]/$C$471</f>
        <v>2.4147727272727272E-2</v>
      </c>
      <c r="R27" s="7">
        <f t="shared" si="0"/>
        <v>2.4147727272727272E-2</v>
      </c>
      <c r="S27" s="7">
        <f>+AV_PLAN[[#This Row],[TERMINO PLAN ACUMULADO]]/$G$471</f>
        <v>0</v>
      </c>
      <c r="T27" s="7">
        <f t="shared" si="1"/>
        <v>0</v>
      </c>
      <c r="U27" s="7">
        <f>+(AV_PLAN[[#This Row],[%AVANCE INICIO PLANIFICADO]]+AV_PLAN[[#This Row],[%AVANCE TERMINO PLANIFICADO]])/2</f>
        <v>1.2073863636363636E-2</v>
      </c>
    </row>
    <row r="28" spans="1:21" x14ac:dyDescent="0.25">
      <c r="A28" s="1">
        <v>46095</v>
      </c>
      <c r="B28">
        <v>0</v>
      </c>
      <c r="C28">
        <v>17</v>
      </c>
      <c r="D28">
        <v>0</v>
      </c>
      <c r="E28">
        <v>17</v>
      </c>
      <c r="F28">
        <v>0</v>
      </c>
      <c r="G28">
        <v>0</v>
      </c>
      <c r="H28">
        <v>0</v>
      </c>
      <c r="I28">
        <v>0</v>
      </c>
      <c r="J28" t="s">
        <v>811</v>
      </c>
      <c r="K28">
        <f>+WEEKNUM(AV_PLAN[[#This Row],[Días]])</f>
        <v>11</v>
      </c>
      <c r="L28" s="4">
        <f>IFERROR(AV_PLAN[[#This Row],[INICIO REAL ACUMULADO]]/AV_PLAN[[#This Row],[PLAN ACUMULADO]],"")</f>
        <v>1</v>
      </c>
      <c r="M28" s="4" t="str">
        <f>IFERROR(AV_PLAN[[#This Row],[TERMINO REAL ACUMULADO]]/AV_PLAN[[#This Row],[TERMINO PLAN ACUMULADO]],"")</f>
        <v/>
      </c>
      <c r="N28">
        <f>+AV_PLAN[[#This Row],[PLAN ACUMULADO]]-AV_PLAN[[#This Row],[INICIO REAL ACUMULADO]]</f>
        <v>0</v>
      </c>
      <c r="O28">
        <f>+AV_PLAN[[#This Row],[TERMINO PLAN ACUMULADO]]-AV_PLAN[[#This Row],[TERMINO REAL ACUMULADO]]</f>
        <v>0</v>
      </c>
      <c r="P28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8" s="7">
        <f>+AV_PLAN[[#This Row],[PLAN ACUMULADO]]/$C$471</f>
        <v>2.4147727272727272E-2</v>
      </c>
      <c r="R28" s="7">
        <f t="shared" si="0"/>
        <v>2.4147727272727272E-2</v>
      </c>
      <c r="S28" s="7">
        <f>+AV_PLAN[[#This Row],[TERMINO PLAN ACUMULADO]]/$G$471</f>
        <v>0</v>
      </c>
      <c r="T28" s="7">
        <f t="shared" si="1"/>
        <v>0</v>
      </c>
      <c r="U28" s="7">
        <f>+(AV_PLAN[[#This Row],[%AVANCE INICIO PLANIFICADO]]+AV_PLAN[[#This Row],[%AVANCE TERMINO PLANIFICADO]])/2</f>
        <v>1.2073863636363636E-2</v>
      </c>
    </row>
    <row r="29" spans="1:21" x14ac:dyDescent="0.25">
      <c r="A29" s="1">
        <v>46096</v>
      </c>
      <c r="B29">
        <v>0</v>
      </c>
      <c r="C29">
        <v>17</v>
      </c>
      <c r="D29">
        <v>0</v>
      </c>
      <c r="E29">
        <v>17</v>
      </c>
      <c r="F29">
        <v>0</v>
      </c>
      <c r="G29">
        <v>0</v>
      </c>
      <c r="H29">
        <v>0</v>
      </c>
      <c r="I29">
        <v>0</v>
      </c>
      <c r="J29" t="s">
        <v>811</v>
      </c>
      <c r="K29">
        <f>+WEEKNUM(AV_PLAN[[#This Row],[Días]])</f>
        <v>12</v>
      </c>
      <c r="L29" s="4">
        <f>IFERROR(AV_PLAN[[#This Row],[INICIO REAL ACUMULADO]]/AV_PLAN[[#This Row],[PLAN ACUMULADO]],"")</f>
        <v>1</v>
      </c>
      <c r="M29" s="4" t="str">
        <f>IFERROR(AV_PLAN[[#This Row],[TERMINO REAL ACUMULADO]]/AV_PLAN[[#This Row],[TERMINO PLAN ACUMULADO]],"")</f>
        <v/>
      </c>
      <c r="N29">
        <f>+AV_PLAN[[#This Row],[PLAN ACUMULADO]]-AV_PLAN[[#This Row],[INICIO REAL ACUMULADO]]</f>
        <v>0</v>
      </c>
      <c r="O29">
        <f>+AV_PLAN[[#This Row],[TERMINO PLAN ACUMULADO]]-AV_PLAN[[#This Row],[TERMINO REAL ACUMULADO]]</f>
        <v>0</v>
      </c>
      <c r="P2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9" s="7">
        <f>+AV_PLAN[[#This Row],[PLAN ACUMULADO]]/$C$471</f>
        <v>2.4147727272727272E-2</v>
      </c>
      <c r="R29" s="7">
        <f t="shared" si="0"/>
        <v>2.4147727272727272E-2</v>
      </c>
      <c r="S29" s="7">
        <f>+AV_PLAN[[#This Row],[TERMINO PLAN ACUMULADO]]/$G$471</f>
        <v>0</v>
      </c>
      <c r="T29" s="7">
        <f t="shared" si="1"/>
        <v>0</v>
      </c>
      <c r="U29" s="7">
        <f>+(AV_PLAN[[#This Row],[%AVANCE INICIO PLANIFICADO]]+AV_PLAN[[#This Row],[%AVANCE TERMINO PLANIFICADO]])/2</f>
        <v>1.2073863636363636E-2</v>
      </c>
    </row>
    <row r="30" spans="1:21" x14ac:dyDescent="0.25">
      <c r="A30" s="1">
        <v>46097</v>
      </c>
      <c r="B30">
        <v>1</v>
      </c>
      <c r="C30">
        <v>18</v>
      </c>
      <c r="D30">
        <v>1</v>
      </c>
      <c r="E30">
        <v>18</v>
      </c>
      <c r="F30">
        <v>0</v>
      </c>
      <c r="G30">
        <v>0</v>
      </c>
      <c r="H30">
        <v>0</v>
      </c>
      <c r="I30">
        <v>0</v>
      </c>
      <c r="J30" t="s">
        <v>811</v>
      </c>
      <c r="K30">
        <f>+WEEKNUM(AV_PLAN[[#This Row],[Días]])</f>
        <v>12</v>
      </c>
      <c r="L30" s="4">
        <f>IFERROR(AV_PLAN[[#This Row],[INICIO REAL ACUMULADO]]/AV_PLAN[[#This Row],[PLAN ACUMULADO]],"")</f>
        <v>1</v>
      </c>
      <c r="M30" s="4" t="str">
        <f>IFERROR(AV_PLAN[[#This Row],[TERMINO REAL ACUMULADO]]/AV_PLAN[[#This Row],[TERMINO PLAN ACUMULADO]],"")</f>
        <v/>
      </c>
      <c r="N30">
        <f>+AV_PLAN[[#This Row],[PLAN ACUMULADO]]-AV_PLAN[[#This Row],[INICIO REAL ACUMULADO]]</f>
        <v>0</v>
      </c>
      <c r="O30">
        <f>+AV_PLAN[[#This Row],[TERMINO PLAN ACUMULADO]]-AV_PLAN[[#This Row],[TERMINO REAL ACUMULADO]]</f>
        <v>0</v>
      </c>
      <c r="P3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0" s="7">
        <f>+AV_PLAN[[#This Row],[PLAN ACUMULADO]]/$C$471</f>
        <v>2.556818181818182E-2</v>
      </c>
      <c r="R30" s="7">
        <f t="shared" si="0"/>
        <v>2.556818181818182E-2</v>
      </c>
      <c r="S30" s="7">
        <f>+AV_PLAN[[#This Row],[TERMINO PLAN ACUMULADO]]/$G$471</f>
        <v>0</v>
      </c>
      <c r="T30" s="7">
        <f t="shared" si="1"/>
        <v>0</v>
      </c>
      <c r="U30" s="7">
        <f>+(AV_PLAN[[#This Row],[%AVANCE INICIO PLANIFICADO]]+AV_PLAN[[#This Row],[%AVANCE TERMINO PLANIFICADO]])/2</f>
        <v>1.278409090909091E-2</v>
      </c>
    </row>
    <row r="31" spans="1:21" x14ac:dyDescent="0.25">
      <c r="A31" s="1">
        <v>46098</v>
      </c>
      <c r="B31">
        <v>0</v>
      </c>
      <c r="C31">
        <v>18</v>
      </c>
      <c r="D31">
        <v>0</v>
      </c>
      <c r="E31">
        <v>18</v>
      </c>
      <c r="F31">
        <v>0</v>
      </c>
      <c r="G31">
        <v>0</v>
      </c>
      <c r="H31">
        <v>0</v>
      </c>
      <c r="I31">
        <v>0</v>
      </c>
      <c r="J31" t="s">
        <v>811</v>
      </c>
      <c r="K31">
        <f>+WEEKNUM(AV_PLAN[[#This Row],[Días]])</f>
        <v>12</v>
      </c>
      <c r="L31" s="4">
        <f>IFERROR(AV_PLAN[[#This Row],[INICIO REAL ACUMULADO]]/AV_PLAN[[#This Row],[PLAN ACUMULADO]],"")</f>
        <v>1</v>
      </c>
      <c r="M31" s="4" t="str">
        <f>IFERROR(AV_PLAN[[#This Row],[TERMINO REAL ACUMULADO]]/AV_PLAN[[#This Row],[TERMINO PLAN ACUMULADO]],"")</f>
        <v/>
      </c>
      <c r="N31">
        <f>+AV_PLAN[[#This Row],[PLAN ACUMULADO]]-AV_PLAN[[#This Row],[INICIO REAL ACUMULADO]]</f>
        <v>0</v>
      </c>
      <c r="O31">
        <f>+AV_PLAN[[#This Row],[TERMINO PLAN ACUMULADO]]-AV_PLAN[[#This Row],[TERMINO REAL ACUMULADO]]</f>
        <v>0</v>
      </c>
      <c r="P3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1" s="7">
        <f>+AV_PLAN[[#This Row],[PLAN ACUMULADO]]/$C$471</f>
        <v>2.556818181818182E-2</v>
      </c>
      <c r="R31" s="7">
        <f t="shared" si="0"/>
        <v>2.556818181818182E-2</v>
      </c>
      <c r="S31" s="7">
        <f>+AV_PLAN[[#This Row],[TERMINO PLAN ACUMULADO]]/$G$471</f>
        <v>0</v>
      </c>
      <c r="T31" s="7">
        <f t="shared" si="1"/>
        <v>0</v>
      </c>
      <c r="U31" s="7">
        <f>+(AV_PLAN[[#This Row],[%AVANCE INICIO PLANIFICADO]]+AV_PLAN[[#This Row],[%AVANCE TERMINO PLANIFICADO]])/2</f>
        <v>1.278409090909091E-2</v>
      </c>
    </row>
    <row r="32" spans="1:21" x14ac:dyDescent="0.25">
      <c r="A32" s="1">
        <v>46099</v>
      </c>
      <c r="B32">
        <v>1</v>
      </c>
      <c r="C32">
        <v>19</v>
      </c>
      <c r="D32">
        <v>1</v>
      </c>
      <c r="E32">
        <v>19</v>
      </c>
      <c r="F32">
        <v>0</v>
      </c>
      <c r="G32">
        <v>0</v>
      </c>
      <c r="H32">
        <v>0</v>
      </c>
      <c r="I32">
        <v>0</v>
      </c>
      <c r="J32" t="s">
        <v>811</v>
      </c>
      <c r="K32">
        <f>+WEEKNUM(AV_PLAN[[#This Row],[Días]])</f>
        <v>12</v>
      </c>
      <c r="L32" s="4">
        <f>IFERROR(AV_PLAN[[#This Row],[INICIO REAL ACUMULADO]]/AV_PLAN[[#This Row],[PLAN ACUMULADO]],"")</f>
        <v>1</v>
      </c>
      <c r="M32" s="4" t="str">
        <f>IFERROR(AV_PLAN[[#This Row],[TERMINO REAL ACUMULADO]]/AV_PLAN[[#This Row],[TERMINO PLAN ACUMULADO]],"")</f>
        <v/>
      </c>
      <c r="N32">
        <f>+AV_PLAN[[#This Row],[PLAN ACUMULADO]]-AV_PLAN[[#This Row],[INICIO REAL ACUMULADO]]</f>
        <v>0</v>
      </c>
      <c r="O32">
        <f>+AV_PLAN[[#This Row],[TERMINO PLAN ACUMULADO]]-AV_PLAN[[#This Row],[TERMINO REAL ACUMULADO]]</f>
        <v>0</v>
      </c>
      <c r="P3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2" s="7">
        <f>+AV_PLAN[[#This Row],[PLAN ACUMULADO]]/$C$471</f>
        <v>2.6988636363636364E-2</v>
      </c>
      <c r="R32" s="7">
        <f t="shared" si="0"/>
        <v>2.6988636363636364E-2</v>
      </c>
      <c r="S32" s="7">
        <f>+AV_PLAN[[#This Row],[TERMINO PLAN ACUMULADO]]/$G$471</f>
        <v>0</v>
      </c>
      <c r="T32" s="7">
        <f t="shared" si="1"/>
        <v>0</v>
      </c>
      <c r="U32" s="7">
        <f>+(AV_PLAN[[#This Row],[%AVANCE INICIO PLANIFICADO]]+AV_PLAN[[#This Row],[%AVANCE TERMINO PLANIFICADO]])/2</f>
        <v>1.3494318181818182E-2</v>
      </c>
    </row>
    <row r="33" spans="1:21" x14ac:dyDescent="0.25">
      <c r="A33" s="1">
        <v>46100</v>
      </c>
      <c r="B33">
        <v>1</v>
      </c>
      <c r="C33">
        <v>20</v>
      </c>
      <c r="D33">
        <v>1</v>
      </c>
      <c r="E33">
        <v>20</v>
      </c>
      <c r="F33">
        <v>0</v>
      </c>
      <c r="G33">
        <v>0</v>
      </c>
      <c r="H33">
        <v>0</v>
      </c>
      <c r="I33">
        <v>0</v>
      </c>
      <c r="J33" t="s">
        <v>811</v>
      </c>
      <c r="K33">
        <f>+WEEKNUM(AV_PLAN[[#This Row],[Días]])</f>
        <v>12</v>
      </c>
      <c r="L33" s="4">
        <f>IFERROR(AV_PLAN[[#This Row],[INICIO REAL ACUMULADO]]/AV_PLAN[[#This Row],[PLAN ACUMULADO]],"")</f>
        <v>1</v>
      </c>
      <c r="M33" s="4" t="str">
        <f>IFERROR(AV_PLAN[[#This Row],[TERMINO REAL ACUMULADO]]/AV_PLAN[[#This Row],[TERMINO PLAN ACUMULADO]],"")</f>
        <v/>
      </c>
      <c r="N33">
        <f>+AV_PLAN[[#This Row],[PLAN ACUMULADO]]-AV_PLAN[[#This Row],[INICIO REAL ACUMULADO]]</f>
        <v>0</v>
      </c>
      <c r="O33">
        <f>+AV_PLAN[[#This Row],[TERMINO PLAN ACUMULADO]]-AV_PLAN[[#This Row],[TERMINO REAL ACUMULADO]]</f>
        <v>0</v>
      </c>
      <c r="P3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3" s="7">
        <f>+AV_PLAN[[#This Row],[PLAN ACUMULADO]]/$C$471</f>
        <v>2.8409090909090908E-2</v>
      </c>
      <c r="R33" s="7">
        <f t="shared" si="0"/>
        <v>2.8409090909090908E-2</v>
      </c>
      <c r="S33" s="7">
        <f>+AV_PLAN[[#This Row],[TERMINO PLAN ACUMULADO]]/$G$471</f>
        <v>0</v>
      </c>
      <c r="T33" s="7">
        <f t="shared" si="1"/>
        <v>0</v>
      </c>
      <c r="U33" s="7">
        <f>+(AV_PLAN[[#This Row],[%AVANCE INICIO PLANIFICADO]]+AV_PLAN[[#This Row],[%AVANCE TERMINO PLANIFICADO]])/2</f>
        <v>1.4204545454545454E-2</v>
      </c>
    </row>
    <row r="34" spans="1:21" x14ac:dyDescent="0.25">
      <c r="A34" s="1">
        <v>46101</v>
      </c>
      <c r="B34">
        <v>0</v>
      </c>
      <c r="C34">
        <v>20</v>
      </c>
      <c r="D34">
        <v>0</v>
      </c>
      <c r="E34">
        <v>20</v>
      </c>
      <c r="F34">
        <v>0</v>
      </c>
      <c r="G34">
        <v>0</v>
      </c>
      <c r="H34">
        <v>0</v>
      </c>
      <c r="I34">
        <v>0</v>
      </c>
      <c r="J34" t="s">
        <v>811</v>
      </c>
      <c r="K34">
        <f>+WEEKNUM(AV_PLAN[[#This Row],[Días]])</f>
        <v>12</v>
      </c>
      <c r="L34" s="4">
        <f>IFERROR(AV_PLAN[[#This Row],[INICIO REAL ACUMULADO]]/AV_PLAN[[#This Row],[PLAN ACUMULADO]],"")</f>
        <v>1</v>
      </c>
      <c r="M34" s="4" t="str">
        <f>IFERROR(AV_PLAN[[#This Row],[TERMINO REAL ACUMULADO]]/AV_PLAN[[#This Row],[TERMINO PLAN ACUMULADO]],"")</f>
        <v/>
      </c>
      <c r="N34">
        <f>+AV_PLAN[[#This Row],[PLAN ACUMULADO]]-AV_PLAN[[#This Row],[INICIO REAL ACUMULADO]]</f>
        <v>0</v>
      </c>
      <c r="O34">
        <f>+AV_PLAN[[#This Row],[TERMINO PLAN ACUMULADO]]-AV_PLAN[[#This Row],[TERMINO REAL ACUMULADO]]</f>
        <v>0</v>
      </c>
      <c r="P3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4" s="7">
        <f>+AV_PLAN[[#This Row],[PLAN ACUMULADO]]/$C$471</f>
        <v>2.8409090909090908E-2</v>
      </c>
      <c r="R34" s="7">
        <f t="shared" si="0"/>
        <v>2.8409090909090908E-2</v>
      </c>
      <c r="S34" s="7">
        <f>+AV_PLAN[[#This Row],[TERMINO PLAN ACUMULADO]]/$G$471</f>
        <v>0</v>
      </c>
      <c r="T34" s="7">
        <f t="shared" si="1"/>
        <v>0</v>
      </c>
      <c r="U34" s="7">
        <f>+(AV_PLAN[[#This Row],[%AVANCE INICIO PLANIFICADO]]+AV_PLAN[[#This Row],[%AVANCE TERMINO PLANIFICADO]])/2</f>
        <v>1.4204545454545454E-2</v>
      </c>
    </row>
    <row r="35" spans="1:21" x14ac:dyDescent="0.25">
      <c r="A35" s="1">
        <v>46102</v>
      </c>
      <c r="B35">
        <v>0</v>
      </c>
      <c r="C35">
        <v>20</v>
      </c>
      <c r="D35">
        <v>0</v>
      </c>
      <c r="E35">
        <v>20</v>
      </c>
      <c r="F35">
        <v>0</v>
      </c>
      <c r="G35">
        <v>0</v>
      </c>
      <c r="H35">
        <v>0</v>
      </c>
      <c r="I35">
        <v>0</v>
      </c>
      <c r="J35" t="s">
        <v>811</v>
      </c>
      <c r="K35">
        <f>+WEEKNUM(AV_PLAN[[#This Row],[Días]])</f>
        <v>12</v>
      </c>
      <c r="L35" s="4">
        <f>IFERROR(AV_PLAN[[#This Row],[INICIO REAL ACUMULADO]]/AV_PLAN[[#This Row],[PLAN ACUMULADO]],"")</f>
        <v>1</v>
      </c>
      <c r="M35" s="4" t="str">
        <f>IFERROR(AV_PLAN[[#This Row],[TERMINO REAL ACUMULADO]]/AV_PLAN[[#This Row],[TERMINO PLAN ACUMULADO]],"")</f>
        <v/>
      </c>
      <c r="N35">
        <f>+AV_PLAN[[#This Row],[PLAN ACUMULADO]]-AV_PLAN[[#This Row],[INICIO REAL ACUMULADO]]</f>
        <v>0</v>
      </c>
      <c r="O35">
        <f>+AV_PLAN[[#This Row],[TERMINO PLAN ACUMULADO]]-AV_PLAN[[#This Row],[TERMINO REAL ACUMULADO]]</f>
        <v>0</v>
      </c>
      <c r="P3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5" s="7">
        <f>+AV_PLAN[[#This Row],[PLAN ACUMULADO]]/$C$471</f>
        <v>2.8409090909090908E-2</v>
      </c>
      <c r="R35" s="7">
        <f t="shared" si="0"/>
        <v>2.8409090909090908E-2</v>
      </c>
      <c r="S35" s="7">
        <f>+AV_PLAN[[#This Row],[TERMINO PLAN ACUMULADO]]/$G$471</f>
        <v>0</v>
      </c>
      <c r="T35" s="7">
        <f t="shared" si="1"/>
        <v>0</v>
      </c>
      <c r="U35" s="7">
        <f>+(AV_PLAN[[#This Row],[%AVANCE INICIO PLANIFICADO]]+AV_PLAN[[#This Row],[%AVANCE TERMINO PLANIFICADO]])/2</f>
        <v>1.4204545454545454E-2</v>
      </c>
    </row>
    <row r="36" spans="1:21" x14ac:dyDescent="0.25">
      <c r="A36" s="1">
        <v>46103</v>
      </c>
      <c r="B36">
        <v>0</v>
      </c>
      <c r="C36">
        <v>20</v>
      </c>
      <c r="D36">
        <v>0</v>
      </c>
      <c r="E36">
        <v>20</v>
      </c>
      <c r="F36">
        <v>0</v>
      </c>
      <c r="G36">
        <v>0</v>
      </c>
      <c r="H36">
        <v>0</v>
      </c>
      <c r="I36">
        <v>0</v>
      </c>
      <c r="J36" t="s">
        <v>811</v>
      </c>
      <c r="K36">
        <f>+WEEKNUM(AV_PLAN[[#This Row],[Días]])</f>
        <v>13</v>
      </c>
      <c r="L36" s="4">
        <f>IFERROR(AV_PLAN[[#This Row],[INICIO REAL ACUMULADO]]/AV_PLAN[[#This Row],[PLAN ACUMULADO]],"")</f>
        <v>1</v>
      </c>
      <c r="M36" s="4" t="str">
        <f>IFERROR(AV_PLAN[[#This Row],[TERMINO REAL ACUMULADO]]/AV_PLAN[[#This Row],[TERMINO PLAN ACUMULADO]],"")</f>
        <v/>
      </c>
      <c r="N36">
        <f>+AV_PLAN[[#This Row],[PLAN ACUMULADO]]-AV_PLAN[[#This Row],[INICIO REAL ACUMULADO]]</f>
        <v>0</v>
      </c>
      <c r="O36">
        <f>+AV_PLAN[[#This Row],[TERMINO PLAN ACUMULADO]]-AV_PLAN[[#This Row],[TERMINO REAL ACUMULADO]]</f>
        <v>0</v>
      </c>
      <c r="P3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6" s="7">
        <f>+AV_PLAN[[#This Row],[PLAN ACUMULADO]]/$C$471</f>
        <v>2.8409090909090908E-2</v>
      </c>
      <c r="R36" s="7">
        <f t="shared" si="0"/>
        <v>2.8409090909090908E-2</v>
      </c>
      <c r="S36" s="7">
        <f>+AV_PLAN[[#This Row],[TERMINO PLAN ACUMULADO]]/$G$471</f>
        <v>0</v>
      </c>
      <c r="T36" s="7">
        <f t="shared" si="1"/>
        <v>0</v>
      </c>
      <c r="U36" s="7">
        <f>+(AV_PLAN[[#This Row],[%AVANCE INICIO PLANIFICADO]]+AV_PLAN[[#This Row],[%AVANCE TERMINO PLANIFICADO]])/2</f>
        <v>1.4204545454545454E-2</v>
      </c>
    </row>
    <row r="37" spans="1:21" x14ac:dyDescent="0.25">
      <c r="A37" s="1">
        <v>46104</v>
      </c>
      <c r="B37">
        <v>1</v>
      </c>
      <c r="C37">
        <v>21</v>
      </c>
      <c r="D37">
        <v>1</v>
      </c>
      <c r="E37">
        <v>21</v>
      </c>
      <c r="F37">
        <v>0</v>
      </c>
      <c r="G37">
        <v>0</v>
      </c>
      <c r="H37">
        <v>0</v>
      </c>
      <c r="I37">
        <v>0</v>
      </c>
      <c r="J37" t="s">
        <v>811</v>
      </c>
      <c r="K37">
        <f>+WEEKNUM(AV_PLAN[[#This Row],[Días]])</f>
        <v>13</v>
      </c>
      <c r="L37" s="4">
        <f>IFERROR(AV_PLAN[[#This Row],[INICIO REAL ACUMULADO]]/AV_PLAN[[#This Row],[PLAN ACUMULADO]],"")</f>
        <v>1</v>
      </c>
      <c r="M37" s="4" t="str">
        <f>IFERROR(AV_PLAN[[#This Row],[TERMINO REAL ACUMULADO]]/AV_PLAN[[#This Row],[TERMINO PLAN ACUMULADO]],"")</f>
        <v/>
      </c>
      <c r="N37">
        <f>+AV_PLAN[[#This Row],[PLAN ACUMULADO]]-AV_PLAN[[#This Row],[INICIO REAL ACUMULADO]]</f>
        <v>0</v>
      </c>
      <c r="O37">
        <f>+AV_PLAN[[#This Row],[TERMINO PLAN ACUMULADO]]-AV_PLAN[[#This Row],[TERMINO REAL ACUMULADO]]</f>
        <v>0</v>
      </c>
      <c r="P3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7" s="7">
        <f>+AV_PLAN[[#This Row],[PLAN ACUMULADO]]/$C$471</f>
        <v>2.9829545454545456E-2</v>
      </c>
      <c r="R37" s="7">
        <f t="shared" si="0"/>
        <v>2.9829545454545456E-2</v>
      </c>
      <c r="S37" s="7">
        <f>+AV_PLAN[[#This Row],[TERMINO PLAN ACUMULADO]]/$G$471</f>
        <v>0</v>
      </c>
      <c r="T37" s="7">
        <f t="shared" si="1"/>
        <v>0</v>
      </c>
      <c r="U37" s="7">
        <f>+(AV_PLAN[[#This Row],[%AVANCE INICIO PLANIFICADO]]+AV_PLAN[[#This Row],[%AVANCE TERMINO PLANIFICADO]])/2</f>
        <v>1.4914772727272728E-2</v>
      </c>
    </row>
    <row r="38" spans="1:21" x14ac:dyDescent="0.25">
      <c r="A38" s="1">
        <v>46105</v>
      </c>
      <c r="B38">
        <v>2</v>
      </c>
      <c r="C38">
        <v>23</v>
      </c>
      <c r="D38">
        <v>2</v>
      </c>
      <c r="E38">
        <v>23</v>
      </c>
      <c r="F38">
        <v>0</v>
      </c>
      <c r="G38">
        <v>0</v>
      </c>
      <c r="H38">
        <v>0</v>
      </c>
      <c r="I38">
        <v>0</v>
      </c>
      <c r="J38" t="s">
        <v>811</v>
      </c>
      <c r="K38">
        <f>+WEEKNUM(AV_PLAN[[#This Row],[Días]])</f>
        <v>13</v>
      </c>
      <c r="L38" s="4">
        <f>IFERROR(AV_PLAN[[#This Row],[INICIO REAL ACUMULADO]]/AV_PLAN[[#This Row],[PLAN ACUMULADO]],"")</f>
        <v>1</v>
      </c>
      <c r="M38" s="4" t="str">
        <f>IFERROR(AV_PLAN[[#This Row],[TERMINO REAL ACUMULADO]]/AV_PLAN[[#This Row],[TERMINO PLAN ACUMULADO]],"")</f>
        <v/>
      </c>
      <c r="N38">
        <f>+AV_PLAN[[#This Row],[PLAN ACUMULADO]]-AV_PLAN[[#This Row],[INICIO REAL ACUMULADO]]</f>
        <v>0</v>
      </c>
      <c r="O38">
        <f>+AV_PLAN[[#This Row],[TERMINO PLAN ACUMULADO]]-AV_PLAN[[#This Row],[TERMINO REAL ACUMULADO]]</f>
        <v>0</v>
      </c>
      <c r="P3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8" s="7">
        <f>+AV_PLAN[[#This Row],[PLAN ACUMULADO]]/$C$471</f>
        <v>3.2670454545454544E-2</v>
      </c>
      <c r="R38" s="7">
        <f t="shared" si="0"/>
        <v>3.2670454545454544E-2</v>
      </c>
      <c r="S38" s="7">
        <f>+AV_PLAN[[#This Row],[TERMINO PLAN ACUMULADO]]/$G$471</f>
        <v>0</v>
      </c>
      <c r="T38" s="7">
        <f t="shared" si="1"/>
        <v>0</v>
      </c>
      <c r="U38" s="7">
        <f>+(AV_PLAN[[#This Row],[%AVANCE INICIO PLANIFICADO]]+AV_PLAN[[#This Row],[%AVANCE TERMINO PLANIFICADO]])/2</f>
        <v>1.6335227272727272E-2</v>
      </c>
    </row>
    <row r="39" spans="1:21" x14ac:dyDescent="0.25">
      <c r="A39" s="1">
        <v>46106</v>
      </c>
      <c r="B39">
        <v>1</v>
      </c>
      <c r="C39">
        <v>24</v>
      </c>
      <c r="D39">
        <v>1</v>
      </c>
      <c r="E39">
        <v>24</v>
      </c>
      <c r="F39">
        <v>0</v>
      </c>
      <c r="G39">
        <v>0</v>
      </c>
      <c r="H39">
        <v>0</v>
      </c>
      <c r="I39">
        <v>0</v>
      </c>
      <c r="J39" t="s">
        <v>811</v>
      </c>
      <c r="K39">
        <f>+WEEKNUM(AV_PLAN[[#This Row],[Días]])</f>
        <v>13</v>
      </c>
      <c r="L39" s="4">
        <f>IFERROR(AV_PLAN[[#This Row],[INICIO REAL ACUMULADO]]/AV_PLAN[[#This Row],[PLAN ACUMULADO]],"")</f>
        <v>1</v>
      </c>
      <c r="M39" s="4" t="str">
        <f>IFERROR(AV_PLAN[[#This Row],[TERMINO REAL ACUMULADO]]/AV_PLAN[[#This Row],[TERMINO PLAN ACUMULADO]],"")</f>
        <v/>
      </c>
      <c r="N39">
        <f>+AV_PLAN[[#This Row],[PLAN ACUMULADO]]-AV_PLAN[[#This Row],[INICIO REAL ACUMULADO]]</f>
        <v>0</v>
      </c>
      <c r="O39">
        <f>+AV_PLAN[[#This Row],[TERMINO PLAN ACUMULADO]]-AV_PLAN[[#This Row],[TERMINO REAL ACUMULADO]]</f>
        <v>0</v>
      </c>
      <c r="P3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9" s="7">
        <f>+AV_PLAN[[#This Row],[PLAN ACUMULADO]]/$C$471</f>
        <v>3.4090909090909088E-2</v>
      </c>
      <c r="R39" s="7">
        <f t="shared" si="0"/>
        <v>3.4090909090909088E-2</v>
      </c>
      <c r="S39" s="7">
        <f>+AV_PLAN[[#This Row],[TERMINO PLAN ACUMULADO]]/$G$471</f>
        <v>0</v>
      </c>
      <c r="T39" s="7">
        <f t="shared" si="1"/>
        <v>0</v>
      </c>
      <c r="U39" s="7">
        <f>+(AV_PLAN[[#This Row],[%AVANCE INICIO PLANIFICADO]]+AV_PLAN[[#This Row],[%AVANCE TERMINO PLANIFICADO]])/2</f>
        <v>1.7045454545454544E-2</v>
      </c>
    </row>
    <row r="40" spans="1:21" x14ac:dyDescent="0.25">
      <c r="A40" s="1">
        <v>46107</v>
      </c>
      <c r="B40">
        <v>0</v>
      </c>
      <c r="C40">
        <v>24</v>
      </c>
      <c r="D40">
        <v>0</v>
      </c>
      <c r="E40">
        <v>24</v>
      </c>
      <c r="F40">
        <v>0</v>
      </c>
      <c r="G40">
        <v>0</v>
      </c>
      <c r="H40">
        <v>0</v>
      </c>
      <c r="I40">
        <v>0</v>
      </c>
      <c r="J40" t="s">
        <v>811</v>
      </c>
      <c r="K40">
        <f>+WEEKNUM(AV_PLAN[[#This Row],[Días]])</f>
        <v>13</v>
      </c>
      <c r="L40" s="4">
        <f>IFERROR(AV_PLAN[[#This Row],[INICIO REAL ACUMULADO]]/AV_PLAN[[#This Row],[PLAN ACUMULADO]],"")</f>
        <v>1</v>
      </c>
      <c r="M40" s="4" t="str">
        <f>IFERROR(AV_PLAN[[#This Row],[TERMINO REAL ACUMULADO]]/AV_PLAN[[#This Row],[TERMINO PLAN ACUMULADO]],"")</f>
        <v/>
      </c>
      <c r="N40">
        <f>+AV_PLAN[[#This Row],[PLAN ACUMULADO]]-AV_PLAN[[#This Row],[INICIO REAL ACUMULADO]]</f>
        <v>0</v>
      </c>
      <c r="O40">
        <f>+AV_PLAN[[#This Row],[TERMINO PLAN ACUMULADO]]-AV_PLAN[[#This Row],[TERMINO REAL ACUMULADO]]</f>
        <v>0</v>
      </c>
      <c r="P4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0" s="7">
        <f>+AV_PLAN[[#This Row],[PLAN ACUMULADO]]/$C$471</f>
        <v>3.4090909090909088E-2</v>
      </c>
      <c r="R40" s="7">
        <f t="shared" si="0"/>
        <v>3.4090909090909088E-2</v>
      </c>
      <c r="S40" s="7">
        <f>+AV_PLAN[[#This Row],[TERMINO PLAN ACUMULADO]]/$G$471</f>
        <v>0</v>
      </c>
      <c r="T40" s="7">
        <f t="shared" si="1"/>
        <v>0</v>
      </c>
      <c r="U40" s="7">
        <f>+(AV_PLAN[[#This Row],[%AVANCE INICIO PLANIFICADO]]+AV_PLAN[[#This Row],[%AVANCE TERMINO PLANIFICADO]])/2</f>
        <v>1.7045454545454544E-2</v>
      </c>
    </row>
    <row r="41" spans="1:21" x14ac:dyDescent="0.25">
      <c r="A41" s="1">
        <v>46108</v>
      </c>
      <c r="B41">
        <v>2</v>
      </c>
      <c r="C41">
        <v>26</v>
      </c>
      <c r="D41">
        <v>2</v>
      </c>
      <c r="E41">
        <v>26</v>
      </c>
      <c r="F41">
        <v>0</v>
      </c>
      <c r="G41">
        <v>0</v>
      </c>
      <c r="H41">
        <v>0</v>
      </c>
      <c r="I41">
        <v>0</v>
      </c>
      <c r="J41" t="s">
        <v>811</v>
      </c>
      <c r="K41">
        <f>+WEEKNUM(AV_PLAN[[#This Row],[Días]])</f>
        <v>13</v>
      </c>
      <c r="L41" s="4">
        <f>IFERROR(AV_PLAN[[#This Row],[INICIO REAL ACUMULADO]]/AV_PLAN[[#This Row],[PLAN ACUMULADO]],"")</f>
        <v>1</v>
      </c>
      <c r="M41" s="4" t="str">
        <f>IFERROR(AV_PLAN[[#This Row],[TERMINO REAL ACUMULADO]]/AV_PLAN[[#This Row],[TERMINO PLAN ACUMULADO]],"")</f>
        <v/>
      </c>
      <c r="N41">
        <f>+AV_PLAN[[#This Row],[PLAN ACUMULADO]]-AV_PLAN[[#This Row],[INICIO REAL ACUMULADO]]</f>
        <v>0</v>
      </c>
      <c r="O41">
        <f>+AV_PLAN[[#This Row],[TERMINO PLAN ACUMULADO]]-AV_PLAN[[#This Row],[TERMINO REAL ACUMULADO]]</f>
        <v>0</v>
      </c>
      <c r="P4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" s="7">
        <f>+AV_PLAN[[#This Row],[PLAN ACUMULADO]]/$C$471</f>
        <v>3.6931818181818184E-2</v>
      </c>
      <c r="R41" s="7">
        <f t="shared" si="0"/>
        <v>3.6931818181818184E-2</v>
      </c>
      <c r="S41" s="7">
        <f>+AV_PLAN[[#This Row],[TERMINO PLAN ACUMULADO]]/$G$471</f>
        <v>0</v>
      </c>
      <c r="T41" s="7">
        <f t="shared" si="1"/>
        <v>0</v>
      </c>
      <c r="U41" s="7">
        <f>+(AV_PLAN[[#This Row],[%AVANCE INICIO PLANIFICADO]]+AV_PLAN[[#This Row],[%AVANCE TERMINO PLANIFICADO]])/2</f>
        <v>1.8465909090909092E-2</v>
      </c>
    </row>
    <row r="42" spans="1:21" x14ac:dyDescent="0.25">
      <c r="A42" s="1">
        <v>46109</v>
      </c>
      <c r="B42">
        <v>0</v>
      </c>
      <c r="C42">
        <v>26</v>
      </c>
      <c r="D42">
        <v>0</v>
      </c>
      <c r="E42">
        <v>26</v>
      </c>
      <c r="F42">
        <v>0</v>
      </c>
      <c r="G42">
        <v>0</v>
      </c>
      <c r="H42">
        <v>0</v>
      </c>
      <c r="I42">
        <v>0</v>
      </c>
      <c r="J42" t="s">
        <v>811</v>
      </c>
      <c r="K42">
        <f>+WEEKNUM(AV_PLAN[[#This Row],[Días]])</f>
        <v>13</v>
      </c>
      <c r="L42" s="4">
        <f>IFERROR(AV_PLAN[[#This Row],[INICIO REAL ACUMULADO]]/AV_PLAN[[#This Row],[PLAN ACUMULADO]],"")</f>
        <v>1</v>
      </c>
      <c r="M42" s="4" t="str">
        <f>IFERROR(AV_PLAN[[#This Row],[TERMINO REAL ACUMULADO]]/AV_PLAN[[#This Row],[TERMINO PLAN ACUMULADO]],"")</f>
        <v/>
      </c>
      <c r="N42">
        <f>+AV_PLAN[[#This Row],[PLAN ACUMULADO]]-AV_PLAN[[#This Row],[INICIO REAL ACUMULADO]]</f>
        <v>0</v>
      </c>
      <c r="O42">
        <f>+AV_PLAN[[#This Row],[TERMINO PLAN ACUMULADO]]-AV_PLAN[[#This Row],[TERMINO REAL ACUMULADO]]</f>
        <v>0</v>
      </c>
      <c r="P4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2" s="7">
        <f>+AV_PLAN[[#This Row],[PLAN ACUMULADO]]/$C$471</f>
        <v>3.6931818181818184E-2</v>
      </c>
      <c r="R42" s="7">
        <f t="shared" si="0"/>
        <v>3.6931818181818184E-2</v>
      </c>
      <c r="S42" s="7">
        <f>+AV_PLAN[[#This Row],[TERMINO PLAN ACUMULADO]]/$G$471</f>
        <v>0</v>
      </c>
      <c r="T42" s="7">
        <f t="shared" si="1"/>
        <v>0</v>
      </c>
      <c r="U42" s="7">
        <f>+(AV_PLAN[[#This Row],[%AVANCE INICIO PLANIFICADO]]+AV_PLAN[[#This Row],[%AVANCE TERMINO PLANIFICADO]])/2</f>
        <v>1.8465909090909092E-2</v>
      </c>
    </row>
    <row r="43" spans="1:21" x14ac:dyDescent="0.25">
      <c r="A43" s="1">
        <v>46110</v>
      </c>
      <c r="B43">
        <v>0</v>
      </c>
      <c r="C43">
        <v>26</v>
      </c>
      <c r="D43">
        <v>0</v>
      </c>
      <c r="E43">
        <v>26</v>
      </c>
      <c r="F43">
        <v>0</v>
      </c>
      <c r="G43">
        <v>0</v>
      </c>
      <c r="H43">
        <v>0</v>
      </c>
      <c r="I43">
        <v>0</v>
      </c>
      <c r="J43" t="s">
        <v>811</v>
      </c>
      <c r="K43">
        <f>+WEEKNUM(AV_PLAN[[#This Row],[Días]])</f>
        <v>14</v>
      </c>
      <c r="L43" s="4">
        <f>IFERROR(AV_PLAN[[#This Row],[INICIO REAL ACUMULADO]]/AV_PLAN[[#This Row],[PLAN ACUMULADO]],"")</f>
        <v>1</v>
      </c>
      <c r="M43" s="4" t="str">
        <f>IFERROR(AV_PLAN[[#This Row],[TERMINO REAL ACUMULADO]]/AV_PLAN[[#This Row],[TERMINO PLAN ACUMULADO]],"")</f>
        <v/>
      </c>
      <c r="N43">
        <f>+AV_PLAN[[#This Row],[PLAN ACUMULADO]]-AV_PLAN[[#This Row],[INICIO REAL ACUMULADO]]</f>
        <v>0</v>
      </c>
      <c r="O43">
        <f>+AV_PLAN[[#This Row],[TERMINO PLAN ACUMULADO]]-AV_PLAN[[#This Row],[TERMINO REAL ACUMULADO]]</f>
        <v>0</v>
      </c>
      <c r="P4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3" s="7">
        <f>+AV_PLAN[[#This Row],[PLAN ACUMULADO]]/$C$471</f>
        <v>3.6931818181818184E-2</v>
      </c>
      <c r="R43" s="7">
        <f t="shared" si="0"/>
        <v>3.6931818181818184E-2</v>
      </c>
      <c r="S43" s="7">
        <f>+AV_PLAN[[#This Row],[TERMINO PLAN ACUMULADO]]/$G$471</f>
        <v>0</v>
      </c>
      <c r="T43" s="7">
        <f t="shared" si="1"/>
        <v>0</v>
      </c>
      <c r="U43" s="7">
        <f>+(AV_PLAN[[#This Row],[%AVANCE INICIO PLANIFICADO]]+AV_PLAN[[#This Row],[%AVANCE TERMINO PLANIFICADO]])/2</f>
        <v>1.8465909090909092E-2</v>
      </c>
    </row>
    <row r="44" spans="1:21" x14ac:dyDescent="0.25">
      <c r="A44" s="1">
        <v>46111</v>
      </c>
      <c r="B44">
        <v>3</v>
      </c>
      <c r="C44">
        <v>29</v>
      </c>
      <c r="D44">
        <v>3</v>
      </c>
      <c r="E44">
        <v>29</v>
      </c>
      <c r="F44">
        <v>0</v>
      </c>
      <c r="G44">
        <v>0</v>
      </c>
      <c r="H44">
        <v>0</v>
      </c>
      <c r="I44">
        <v>0</v>
      </c>
      <c r="J44" t="s">
        <v>811</v>
      </c>
      <c r="K44">
        <f>+WEEKNUM(AV_PLAN[[#This Row],[Días]])</f>
        <v>14</v>
      </c>
      <c r="L44" s="4">
        <f>IFERROR(AV_PLAN[[#This Row],[INICIO REAL ACUMULADO]]/AV_PLAN[[#This Row],[PLAN ACUMULADO]],"")</f>
        <v>1</v>
      </c>
      <c r="M44" s="4" t="str">
        <f>IFERROR(AV_PLAN[[#This Row],[TERMINO REAL ACUMULADO]]/AV_PLAN[[#This Row],[TERMINO PLAN ACUMULADO]],"")</f>
        <v/>
      </c>
      <c r="N44">
        <f>+AV_PLAN[[#This Row],[PLAN ACUMULADO]]-AV_PLAN[[#This Row],[INICIO REAL ACUMULADO]]</f>
        <v>0</v>
      </c>
      <c r="O44">
        <f>+AV_PLAN[[#This Row],[TERMINO PLAN ACUMULADO]]-AV_PLAN[[#This Row],[TERMINO REAL ACUMULADO]]</f>
        <v>0</v>
      </c>
      <c r="P4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4" s="7">
        <f>+AV_PLAN[[#This Row],[PLAN ACUMULADO]]/$C$471</f>
        <v>4.1193181818181816E-2</v>
      </c>
      <c r="R44" s="7">
        <f t="shared" si="0"/>
        <v>4.1193181818181816E-2</v>
      </c>
      <c r="S44" s="7">
        <f>+AV_PLAN[[#This Row],[TERMINO PLAN ACUMULADO]]/$G$471</f>
        <v>0</v>
      </c>
      <c r="T44" s="7">
        <f t="shared" si="1"/>
        <v>0</v>
      </c>
      <c r="U44" s="7">
        <f>+(AV_PLAN[[#This Row],[%AVANCE INICIO PLANIFICADO]]+AV_PLAN[[#This Row],[%AVANCE TERMINO PLANIFICADO]])/2</f>
        <v>2.0596590909090908E-2</v>
      </c>
    </row>
    <row r="45" spans="1:21" x14ac:dyDescent="0.25">
      <c r="A45" s="1">
        <v>46112</v>
      </c>
      <c r="B45">
        <v>1</v>
      </c>
      <c r="C45">
        <v>30</v>
      </c>
      <c r="D45">
        <v>1</v>
      </c>
      <c r="E45">
        <v>30</v>
      </c>
      <c r="F45">
        <v>0</v>
      </c>
      <c r="G45">
        <v>0</v>
      </c>
      <c r="H45">
        <v>0</v>
      </c>
      <c r="I45">
        <v>0</v>
      </c>
      <c r="J45" t="s">
        <v>811</v>
      </c>
      <c r="K45">
        <f>+WEEKNUM(AV_PLAN[[#This Row],[Días]])</f>
        <v>14</v>
      </c>
      <c r="L45" s="4">
        <f>IFERROR(AV_PLAN[[#This Row],[INICIO REAL ACUMULADO]]/AV_PLAN[[#This Row],[PLAN ACUMULADO]],"")</f>
        <v>1</v>
      </c>
      <c r="M45" s="4" t="str">
        <f>IFERROR(AV_PLAN[[#This Row],[TERMINO REAL ACUMULADO]]/AV_PLAN[[#This Row],[TERMINO PLAN ACUMULADO]],"")</f>
        <v/>
      </c>
      <c r="N45">
        <f>+AV_PLAN[[#This Row],[PLAN ACUMULADO]]-AV_PLAN[[#This Row],[INICIO REAL ACUMULADO]]</f>
        <v>0</v>
      </c>
      <c r="O45">
        <f>+AV_PLAN[[#This Row],[TERMINO PLAN ACUMULADO]]-AV_PLAN[[#This Row],[TERMINO REAL ACUMULADO]]</f>
        <v>0</v>
      </c>
      <c r="P4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5" s="7">
        <f>+AV_PLAN[[#This Row],[PLAN ACUMULADO]]/$C$471</f>
        <v>4.261363636363636E-2</v>
      </c>
      <c r="R45" s="7">
        <f t="shared" si="0"/>
        <v>4.261363636363636E-2</v>
      </c>
      <c r="S45" s="7">
        <f>+AV_PLAN[[#This Row],[TERMINO PLAN ACUMULADO]]/$G$471</f>
        <v>0</v>
      </c>
      <c r="T45" s="7">
        <f t="shared" si="1"/>
        <v>0</v>
      </c>
      <c r="U45" s="7">
        <f>+(AV_PLAN[[#This Row],[%AVANCE INICIO PLANIFICADO]]+AV_PLAN[[#This Row],[%AVANCE TERMINO PLANIFICADO]])/2</f>
        <v>2.130681818181818E-2</v>
      </c>
    </row>
    <row r="46" spans="1:21" x14ac:dyDescent="0.25">
      <c r="A46" s="1">
        <v>46113</v>
      </c>
      <c r="B46">
        <v>1</v>
      </c>
      <c r="C46">
        <v>31</v>
      </c>
      <c r="D46">
        <v>1</v>
      </c>
      <c r="E46">
        <v>31</v>
      </c>
      <c r="F46">
        <v>0</v>
      </c>
      <c r="G46">
        <v>0</v>
      </c>
      <c r="H46">
        <v>0</v>
      </c>
      <c r="I46">
        <v>0</v>
      </c>
      <c r="J46" t="s">
        <v>812</v>
      </c>
      <c r="K46">
        <f>+WEEKNUM(AV_PLAN[[#This Row],[Días]])</f>
        <v>14</v>
      </c>
      <c r="L46" s="4">
        <f>IFERROR(AV_PLAN[[#This Row],[INICIO REAL ACUMULADO]]/AV_PLAN[[#This Row],[PLAN ACUMULADO]],"")</f>
        <v>1</v>
      </c>
      <c r="M46" s="4" t="str">
        <f>IFERROR(AV_PLAN[[#This Row],[TERMINO REAL ACUMULADO]]/AV_PLAN[[#This Row],[TERMINO PLAN ACUMULADO]],"")</f>
        <v/>
      </c>
      <c r="N46">
        <f>+AV_PLAN[[#This Row],[PLAN ACUMULADO]]-AV_PLAN[[#This Row],[INICIO REAL ACUMULADO]]</f>
        <v>0</v>
      </c>
      <c r="O46">
        <f>+AV_PLAN[[#This Row],[TERMINO PLAN ACUMULADO]]-AV_PLAN[[#This Row],[TERMINO REAL ACUMULADO]]</f>
        <v>0</v>
      </c>
      <c r="P46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6" s="7">
        <f>+AV_PLAN[[#This Row],[PLAN ACUMULADO]]/$C$471</f>
        <v>4.4034090909090912E-2</v>
      </c>
      <c r="R46" s="7">
        <f t="shared" si="0"/>
        <v>4.4034090909090912E-2</v>
      </c>
      <c r="S46" s="7">
        <f>+AV_PLAN[[#This Row],[TERMINO PLAN ACUMULADO]]/$G$471</f>
        <v>0</v>
      </c>
      <c r="T46" s="7">
        <f t="shared" si="1"/>
        <v>0</v>
      </c>
      <c r="U46" s="7">
        <f>+(AV_PLAN[[#This Row],[%AVANCE INICIO PLANIFICADO]]+AV_PLAN[[#This Row],[%AVANCE TERMINO PLANIFICADO]])/2</f>
        <v>2.2017045454545456E-2</v>
      </c>
    </row>
    <row r="47" spans="1:21" x14ac:dyDescent="0.25">
      <c r="A47" s="1">
        <v>46114</v>
      </c>
      <c r="B47">
        <v>1</v>
      </c>
      <c r="C47">
        <v>32</v>
      </c>
      <c r="D47">
        <v>1</v>
      </c>
      <c r="E47">
        <v>32</v>
      </c>
      <c r="F47">
        <v>0</v>
      </c>
      <c r="G47">
        <v>0</v>
      </c>
      <c r="H47">
        <v>0</v>
      </c>
      <c r="I47">
        <v>0</v>
      </c>
      <c r="J47" t="s">
        <v>812</v>
      </c>
      <c r="K47">
        <f>+WEEKNUM(AV_PLAN[[#This Row],[Días]])</f>
        <v>14</v>
      </c>
      <c r="L47" s="4">
        <f>IFERROR(AV_PLAN[[#This Row],[INICIO REAL ACUMULADO]]/AV_PLAN[[#This Row],[PLAN ACUMULADO]],"")</f>
        <v>1</v>
      </c>
      <c r="M47" s="4" t="str">
        <f>IFERROR(AV_PLAN[[#This Row],[TERMINO REAL ACUMULADO]]/AV_PLAN[[#This Row],[TERMINO PLAN ACUMULADO]],"")</f>
        <v/>
      </c>
      <c r="N47">
        <f>+AV_PLAN[[#This Row],[PLAN ACUMULADO]]-AV_PLAN[[#This Row],[INICIO REAL ACUMULADO]]</f>
        <v>0</v>
      </c>
      <c r="O47">
        <f>+AV_PLAN[[#This Row],[TERMINO PLAN ACUMULADO]]-AV_PLAN[[#This Row],[TERMINO REAL ACUMULADO]]</f>
        <v>0</v>
      </c>
      <c r="P4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7" s="7">
        <f>+AV_PLAN[[#This Row],[PLAN ACUMULADO]]/$C$471</f>
        <v>4.5454545454545456E-2</v>
      </c>
      <c r="R47" s="7">
        <f t="shared" si="0"/>
        <v>4.5454545454545456E-2</v>
      </c>
      <c r="S47" s="7">
        <f>+AV_PLAN[[#This Row],[TERMINO PLAN ACUMULADO]]/$G$471</f>
        <v>0</v>
      </c>
      <c r="T47" s="7">
        <f t="shared" si="1"/>
        <v>0</v>
      </c>
      <c r="U47" s="7">
        <f>+(AV_PLAN[[#This Row],[%AVANCE INICIO PLANIFICADO]]+AV_PLAN[[#This Row],[%AVANCE TERMINO PLANIFICADO]])/2</f>
        <v>2.2727272727272728E-2</v>
      </c>
    </row>
    <row r="48" spans="1:21" x14ac:dyDescent="0.25">
      <c r="A48" s="1">
        <v>46115</v>
      </c>
      <c r="B48">
        <v>0</v>
      </c>
      <c r="C48">
        <v>32</v>
      </c>
      <c r="D48">
        <v>0</v>
      </c>
      <c r="E48">
        <v>32</v>
      </c>
      <c r="F48">
        <v>0</v>
      </c>
      <c r="G48">
        <v>0</v>
      </c>
      <c r="H48">
        <v>0</v>
      </c>
      <c r="I48">
        <v>0</v>
      </c>
      <c r="J48" t="s">
        <v>812</v>
      </c>
      <c r="K48">
        <f>+WEEKNUM(AV_PLAN[[#This Row],[Días]])</f>
        <v>14</v>
      </c>
      <c r="L48" s="4">
        <f>IFERROR(AV_PLAN[[#This Row],[INICIO REAL ACUMULADO]]/AV_PLAN[[#This Row],[PLAN ACUMULADO]],"")</f>
        <v>1</v>
      </c>
      <c r="M48" s="4" t="str">
        <f>IFERROR(AV_PLAN[[#This Row],[TERMINO REAL ACUMULADO]]/AV_PLAN[[#This Row],[TERMINO PLAN ACUMULADO]],"")</f>
        <v/>
      </c>
      <c r="N48">
        <f>+AV_PLAN[[#This Row],[PLAN ACUMULADO]]-AV_PLAN[[#This Row],[INICIO REAL ACUMULADO]]</f>
        <v>0</v>
      </c>
      <c r="O48">
        <f>+AV_PLAN[[#This Row],[TERMINO PLAN ACUMULADO]]-AV_PLAN[[#This Row],[TERMINO REAL ACUMULADO]]</f>
        <v>0</v>
      </c>
      <c r="P4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8" s="7">
        <f>+AV_PLAN[[#This Row],[PLAN ACUMULADO]]/$C$471</f>
        <v>4.5454545454545456E-2</v>
      </c>
      <c r="R48" s="7">
        <f t="shared" si="0"/>
        <v>4.5454545454545456E-2</v>
      </c>
      <c r="S48" s="7">
        <f>+AV_PLAN[[#This Row],[TERMINO PLAN ACUMULADO]]/$G$471</f>
        <v>0</v>
      </c>
      <c r="T48" s="7">
        <f t="shared" si="1"/>
        <v>0</v>
      </c>
      <c r="U48" s="7">
        <f>+(AV_PLAN[[#This Row],[%AVANCE INICIO PLANIFICADO]]+AV_PLAN[[#This Row],[%AVANCE TERMINO PLANIFICADO]])/2</f>
        <v>2.2727272727272728E-2</v>
      </c>
    </row>
    <row r="49" spans="1:21" x14ac:dyDescent="0.25">
      <c r="A49" s="1">
        <v>46116</v>
      </c>
      <c r="B49">
        <v>0</v>
      </c>
      <c r="C49">
        <v>32</v>
      </c>
      <c r="D49">
        <v>0</v>
      </c>
      <c r="E49">
        <v>32</v>
      </c>
      <c r="F49">
        <v>0</v>
      </c>
      <c r="G49">
        <v>0</v>
      </c>
      <c r="H49">
        <v>0</v>
      </c>
      <c r="I49">
        <v>0</v>
      </c>
      <c r="J49" t="s">
        <v>812</v>
      </c>
      <c r="K49">
        <f>+WEEKNUM(AV_PLAN[[#This Row],[Días]])</f>
        <v>14</v>
      </c>
      <c r="L49" s="4">
        <f>IFERROR(AV_PLAN[[#This Row],[INICIO REAL ACUMULADO]]/AV_PLAN[[#This Row],[PLAN ACUMULADO]],"")</f>
        <v>1</v>
      </c>
      <c r="M49" s="4" t="str">
        <f>IFERROR(AV_PLAN[[#This Row],[TERMINO REAL ACUMULADO]]/AV_PLAN[[#This Row],[TERMINO PLAN ACUMULADO]],"")</f>
        <v/>
      </c>
      <c r="N49">
        <f>+AV_PLAN[[#This Row],[PLAN ACUMULADO]]-AV_PLAN[[#This Row],[INICIO REAL ACUMULADO]]</f>
        <v>0</v>
      </c>
      <c r="O49">
        <f>+AV_PLAN[[#This Row],[TERMINO PLAN ACUMULADO]]-AV_PLAN[[#This Row],[TERMINO REAL ACUMULADO]]</f>
        <v>0</v>
      </c>
      <c r="P49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9" s="7">
        <f>+AV_PLAN[[#This Row],[PLAN ACUMULADO]]/$C$471</f>
        <v>4.5454545454545456E-2</v>
      </c>
      <c r="R49" s="7">
        <f t="shared" si="0"/>
        <v>4.5454545454545456E-2</v>
      </c>
      <c r="S49" s="7">
        <f>+AV_PLAN[[#This Row],[TERMINO PLAN ACUMULADO]]/$G$471</f>
        <v>0</v>
      </c>
      <c r="T49" s="7">
        <f t="shared" si="1"/>
        <v>0</v>
      </c>
      <c r="U49" s="7">
        <f>+(AV_PLAN[[#This Row],[%AVANCE INICIO PLANIFICADO]]+AV_PLAN[[#This Row],[%AVANCE TERMINO PLANIFICADO]])/2</f>
        <v>2.2727272727272728E-2</v>
      </c>
    </row>
    <row r="50" spans="1:21" x14ac:dyDescent="0.25">
      <c r="A50" s="1">
        <v>46117</v>
      </c>
      <c r="B50">
        <v>0</v>
      </c>
      <c r="C50">
        <v>32</v>
      </c>
      <c r="D50">
        <v>0</v>
      </c>
      <c r="E50">
        <v>32</v>
      </c>
      <c r="F50">
        <v>0</v>
      </c>
      <c r="G50">
        <v>0</v>
      </c>
      <c r="H50">
        <v>0</v>
      </c>
      <c r="I50">
        <v>0</v>
      </c>
      <c r="J50" t="s">
        <v>812</v>
      </c>
      <c r="K50">
        <f>+WEEKNUM(AV_PLAN[[#This Row],[Días]])</f>
        <v>15</v>
      </c>
      <c r="L50" s="4">
        <f>IFERROR(AV_PLAN[[#This Row],[INICIO REAL ACUMULADO]]/AV_PLAN[[#This Row],[PLAN ACUMULADO]],"")</f>
        <v>1</v>
      </c>
      <c r="M50" s="4" t="str">
        <f>IFERROR(AV_PLAN[[#This Row],[TERMINO REAL ACUMULADO]]/AV_PLAN[[#This Row],[TERMINO PLAN ACUMULADO]],"")</f>
        <v/>
      </c>
      <c r="N50">
        <f>+AV_PLAN[[#This Row],[PLAN ACUMULADO]]-AV_PLAN[[#This Row],[INICIO REAL ACUMULADO]]</f>
        <v>0</v>
      </c>
      <c r="O50">
        <f>+AV_PLAN[[#This Row],[TERMINO PLAN ACUMULADO]]-AV_PLAN[[#This Row],[TERMINO REAL ACUMULADO]]</f>
        <v>0</v>
      </c>
      <c r="P5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0" s="7">
        <f>+AV_PLAN[[#This Row],[PLAN ACUMULADO]]/$C$471</f>
        <v>4.5454545454545456E-2</v>
      </c>
      <c r="R50" s="7">
        <f t="shared" si="0"/>
        <v>4.5454545454545456E-2</v>
      </c>
      <c r="S50" s="7">
        <f>+AV_PLAN[[#This Row],[TERMINO PLAN ACUMULADO]]/$G$471</f>
        <v>0</v>
      </c>
      <c r="T50" s="7">
        <f t="shared" si="1"/>
        <v>0</v>
      </c>
      <c r="U50" s="7">
        <f>+(AV_PLAN[[#This Row],[%AVANCE INICIO PLANIFICADO]]+AV_PLAN[[#This Row],[%AVANCE TERMINO PLANIFICADO]])/2</f>
        <v>2.2727272727272728E-2</v>
      </c>
    </row>
    <row r="51" spans="1:21" x14ac:dyDescent="0.25">
      <c r="A51" s="1">
        <v>46118</v>
      </c>
      <c r="B51">
        <v>1</v>
      </c>
      <c r="C51">
        <v>33</v>
      </c>
      <c r="D51">
        <v>1</v>
      </c>
      <c r="E51">
        <v>33</v>
      </c>
      <c r="F51">
        <v>0</v>
      </c>
      <c r="G51">
        <v>0</v>
      </c>
      <c r="H51">
        <v>0</v>
      </c>
      <c r="I51">
        <v>0</v>
      </c>
      <c r="J51" t="s">
        <v>812</v>
      </c>
      <c r="K51">
        <f>+WEEKNUM(AV_PLAN[[#This Row],[Días]])</f>
        <v>15</v>
      </c>
      <c r="L51" s="4">
        <f>IFERROR(AV_PLAN[[#This Row],[INICIO REAL ACUMULADO]]/AV_PLAN[[#This Row],[PLAN ACUMULADO]],"")</f>
        <v>1</v>
      </c>
      <c r="M51" s="4" t="str">
        <f>IFERROR(AV_PLAN[[#This Row],[TERMINO REAL ACUMULADO]]/AV_PLAN[[#This Row],[TERMINO PLAN ACUMULADO]],"")</f>
        <v/>
      </c>
      <c r="N51">
        <f>+AV_PLAN[[#This Row],[PLAN ACUMULADO]]-AV_PLAN[[#This Row],[INICIO REAL ACUMULADO]]</f>
        <v>0</v>
      </c>
      <c r="O51">
        <f>+AV_PLAN[[#This Row],[TERMINO PLAN ACUMULADO]]-AV_PLAN[[#This Row],[TERMINO REAL ACUMULADO]]</f>
        <v>0</v>
      </c>
      <c r="P51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1" s="7">
        <f>+AV_PLAN[[#This Row],[PLAN ACUMULADO]]/$C$471</f>
        <v>4.6875E-2</v>
      </c>
      <c r="R51" s="7">
        <f t="shared" si="0"/>
        <v>4.6875E-2</v>
      </c>
      <c r="S51" s="7">
        <f>+AV_PLAN[[#This Row],[TERMINO PLAN ACUMULADO]]/$G$471</f>
        <v>0</v>
      </c>
      <c r="T51" s="7">
        <f t="shared" si="1"/>
        <v>0</v>
      </c>
      <c r="U51" s="7">
        <f>+(AV_PLAN[[#This Row],[%AVANCE INICIO PLANIFICADO]]+AV_PLAN[[#This Row],[%AVANCE TERMINO PLANIFICADO]])/2</f>
        <v>2.34375E-2</v>
      </c>
    </row>
    <row r="52" spans="1:21" x14ac:dyDescent="0.25">
      <c r="A52" s="1">
        <v>46119</v>
      </c>
      <c r="B52">
        <v>3</v>
      </c>
      <c r="C52">
        <v>36</v>
      </c>
      <c r="D52">
        <v>3</v>
      </c>
      <c r="E52">
        <v>36</v>
      </c>
      <c r="F52">
        <v>0</v>
      </c>
      <c r="G52">
        <v>0</v>
      </c>
      <c r="H52">
        <v>0</v>
      </c>
      <c r="I52">
        <v>0</v>
      </c>
      <c r="J52" t="s">
        <v>812</v>
      </c>
      <c r="K52">
        <f>+WEEKNUM(AV_PLAN[[#This Row],[Días]])</f>
        <v>15</v>
      </c>
      <c r="L52" s="4">
        <f>IFERROR(AV_PLAN[[#This Row],[INICIO REAL ACUMULADO]]/AV_PLAN[[#This Row],[PLAN ACUMULADO]],"")</f>
        <v>1</v>
      </c>
      <c r="M52" s="4" t="str">
        <f>IFERROR(AV_PLAN[[#This Row],[TERMINO REAL ACUMULADO]]/AV_PLAN[[#This Row],[TERMINO PLAN ACUMULADO]],"")</f>
        <v/>
      </c>
      <c r="N52">
        <f>+AV_PLAN[[#This Row],[PLAN ACUMULADO]]-AV_PLAN[[#This Row],[INICIO REAL ACUMULADO]]</f>
        <v>0</v>
      </c>
      <c r="O52">
        <f>+AV_PLAN[[#This Row],[TERMINO PLAN ACUMULADO]]-AV_PLAN[[#This Row],[TERMINO REAL ACUMULADO]]</f>
        <v>0</v>
      </c>
      <c r="P5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2" s="7">
        <f>+AV_PLAN[[#This Row],[PLAN ACUMULADO]]/$C$471</f>
        <v>5.113636363636364E-2</v>
      </c>
      <c r="R52" s="7">
        <f t="shared" si="0"/>
        <v>5.113636363636364E-2</v>
      </c>
      <c r="S52" s="7">
        <f>+AV_PLAN[[#This Row],[TERMINO PLAN ACUMULADO]]/$G$471</f>
        <v>0</v>
      </c>
      <c r="T52" s="7">
        <f t="shared" si="1"/>
        <v>0</v>
      </c>
      <c r="U52" s="7">
        <f>+(AV_PLAN[[#This Row],[%AVANCE INICIO PLANIFICADO]]+AV_PLAN[[#This Row],[%AVANCE TERMINO PLANIFICADO]])/2</f>
        <v>2.556818181818182E-2</v>
      </c>
    </row>
    <row r="53" spans="1:21" x14ac:dyDescent="0.25">
      <c r="A53" s="1">
        <v>46120</v>
      </c>
      <c r="B53">
        <v>0</v>
      </c>
      <c r="C53">
        <v>36</v>
      </c>
      <c r="D53">
        <v>0</v>
      </c>
      <c r="E53">
        <v>36</v>
      </c>
      <c r="F53">
        <v>0</v>
      </c>
      <c r="G53">
        <v>0</v>
      </c>
      <c r="H53">
        <v>0</v>
      </c>
      <c r="I53">
        <v>0</v>
      </c>
      <c r="J53" t="s">
        <v>812</v>
      </c>
      <c r="K53">
        <f>+WEEKNUM(AV_PLAN[[#This Row],[Días]])</f>
        <v>15</v>
      </c>
      <c r="L53" s="4">
        <f>IFERROR(AV_PLAN[[#This Row],[INICIO REAL ACUMULADO]]/AV_PLAN[[#This Row],[PLAN ACUMULADO]],"")</f>
        <v>1</v>
      </c>
      <c r="M53" s="4" t="str">
        <f>IFERROR(AV_PLAN[[#This Row],[TERMINO REAL ACUMULADO]]/AV_PLAN[[#This Row],[TERMINO PLAN ACUMULADO]],"")</f>
        <v/>
      </c>
      <c r="N53">
        <f>+AV_PLAN[[#This Row],[PLAN ACUMULADO]]-AV_PLAN[[#This Row],[INICIO REAL ACUMULADO]]</f>
        <v>0</v>
      </c>
      <c r="O53">
        <f>+AV_PLAN[[#This Row],[TERMINO PLAN ACUMULADO]]-AV_PLAN[[#This Row],[TERMINO REAL ACUMULADO]]</f>
        <v>0</v>
      </c>
      <c r="P5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3" s="7">
        <f>+AV_PLAN[[#This Row],[PLAN ACUMULADO]]/$C$471</f>
        <v>5.113636363636364E-2</v>
      </c>
      <c r="R53" s="7">
        <f t="shared" si="0"/>
        <v>5.113636363636364E-2</v>
      </c>
      <c r="S53" s="7">
        <f>+AV_PLAN[[#This Row],[TERMINO PLAN ACUMULADO]]/$G$471</f>
        <v>0</v>
      </c>
      <c r="T53" s="7">
        <f t="shared" si="1"/>
        <v>0</v>
      </c>
      <c r="U53" s="7">
        <f>+(AV_PLAN[[#This Row],[%AVANCE INICIO PLANIFICADO]]+AV_PLAN[[#This Row],[%AVANCE TERMINO PLANIFICADO]])/2</f>
        <v>2.556818181818182E-2</v>
      </c>
    </row>
    <row r="54" spans="1:21" x14ac:dyDescent="0.25">
      <c r="A54" s="1">
        <v>46121</v>
      </c>
      <c r="B54">
        <v>0</v>
      </c>
      <c r="C54">
        <v>36</v>
      </c>
      <c r="D54">
        <v>0</v>
      </c>
      <c r="E54">
        <v>36</v>
      </c>
      <c r="F54">
        <v>0</v>
      </c>
      <c r="G54">
        <v>0</v>
      </c>
      <c r="H54">
        <v>0</v>
      </c>
      <c r="I54">
        <v>0</v>
      </c>
      <c r="J54" t="s">
        <v>812</v>
      </c>
      <c r="K54">
        <f>+WEEKNUM(AV_PLAN[[#This Row],[Días]])</f>
        <v>15</v>
      </c>
      <c r="L54" s="4">
        <f>IFERROR(AV_PLAN[[#This Row],[INICIO REAL ACUMULADO]]/AV_PLAN[[#This Row],[PLAN ACUMULADO]],"")</f>
        <v>1</v>
      </c>
      <c r="M54" s="4" t="str">
        <f>IFERROR(AV_PLAN[[#This Row],[TERMINO REAL ACUMULADO]]/AV_PLAN[[#This Row],[TERMINO PLAN ACUMULADO]],"")</f>
        <v/>
      </c>
      <c r="N54">
        <f>+AV_PLAN[[#This Row],[PLAN ACUMULADO]]-AV_PLAN[[#This Row],[INICIO REAL ACUMULADO]]</f>
        <v>0</v>
      </c>
      <c r="O54">
        <f>+AV_PLAN[[#This Row],[TERMINO PLAN ACUMULADO]]-AV_PLAN[[#This Row],[TERMINO REAL ACUMULADO]]</f>
        <v>0</v>
      </c>
      <c r="P5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4" s="7">
        <f>+AV_PLAN[[#This Row],[PLAN ACUMULADO]]/$C$471</f>
        <v>5.113636363636364E-2</v>
      </c>
      <c r="R54" s="7">
        <f t="shared" si="0"/>
        <v>5.113636363636364E-2</v>
      </c>
      <c r="S54" s="7">
        <f>+AV_PLAN[[#This Row],[TERMINO PLAN ACUMULADO]]/$G$471</f>
        <v>0</v>
      </c>
      <c r="T54" s="7">
        <f t="shared" si="1"/>
        <v>0</v>
      </c>
      <c r="U54" s="7">
        <f>+(AV_PLAN[[#This Row],[%AVANCE INICIO PLANIFICADO]]+AV_PLAN[[#This Row],[%AVANCE TERMINO PLANIFICADO]])/2</f>
        <v>2.556818181818182E-2</v>
      </c>
    </row>
    <row r="55" spans="1:21" x14ac:dyDescent="0.25">
      <c r="A55" s="1">
        <v>46122</v>
      </c>
      <c r="B55">
        <v>2</v>
      </c>
      <c r="C55">
        <v>38</v>
      </c>
      <c r="D55">
        <v>2</v>
      </c>
      <c r="E55">
        <v>38</v>
      </c>
      <c r="F55">
        <v>0</v>
      </c>
      <c r="G55">
        <v>0</v>
      </c>
      <c r="H55">
        <v>0</v>
      </c>
      <c r="I55">
        <v>0</v>
      </c>
      <c r="J55" t="s">
        <v>812</v>
      </c>
      <c r="K55">
        <f>+WEEKNUM(AV_PLAN[[#This Row],[Días]])</f>
        <v>15</v>
      </c>
      <c r="L55" s="4">
        <f>IFERROR(AV_PLAN[[#This Row],[INICIO REAL ACUMULADO]]/AV_PLAN[[#This Row],[PLAN ACUMULADO]],"")</f>
        <v>1</v>
      </c>
      <c r="M55" s="4" t="str">
        <f>IFERROR(AV_PLAN[[#This Row],[TERMINO REAL ACUMULADO]]/AV_PLAN[[#This Row],[TERMINO PLAN ACUMULADO]],"")</f>
        <v/>
      </c>
      <c r="N55">
        <f>+AV_PLAN[[#This Row],[PLAN ACUMULADO]]-AV_PLAN[[#This Row],[INICIO REAL ACUMULADO]]</f>
        <v>0</v>
      </c>
      <c r="O55">
        <f>+AV_PLAN[[#This Row],[TERMINO PLAN ACUMULADO]]-AV_PLAN[[#This Row],[TERMINO REAL ACUMULADO]]</f>
        <v>0</v>
      </c>
      <c r="P5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5" s="7">
        <f>+AV_PLAN[[#This Row],[PLAN ACUMULADO]]/$C$471</f>
        <v>5.3977272727272728E-2</v>
      </c>
      <c r="R55" s="7">
        <f t="shared" si="0"/>
        <v>5.3977272727272728E-2</v>
      </c>
      <c r="S55" s="7">
        <f>+AV_PLAN[[#This Row],[TERMINO PLAN ACUMULADO]]/$G$471</f>
        <v>0</v>
      </c>
      <c r="T55" s="7">
        <f t="shared" si="1"/>
        <v>0</v>
      </c>
      <c r="U55" s="7">
        <f>+(AV_PLAN[[#This Row],[%AVANCE INICIO PLANIFICADO]]+AV_PLAN[[#This Row],[%AVANCE TERMINO PLANIFICADO]])/2</f>
        <v>2.6988636363636364E-2</v>
      </c>
    </row>
    <row r="56" spans="1:21" x14ac:dyDescent="0.25">
      <c r="A56" s="1">
        <v>46123</v>
      </c>
      <c r="B56">
        <v>2</v>
      </c>
      <c r="C56">
        <v>40</v>
      </c>
      <c r="D56">
        <v>2</v>
      </c>
      <c r="E56">
        <v>40</v>
      </c>
      <c r="F56">
        <v>0</v>
      </c>
      <c r="G56">
        <v>0</v>
      </c>
      <c r="H56">
        <v>0</v>
      </c>
      <c r="I56">
        <v>0</v>
      </c>
      <c r="J56" t="s">
        <v>812</v>
      </c>
      <c r="K56">
        <f>+WEEKNUM(AV_PLAN[[#This Row],[Días]])</f>
        <v>15</v>
      </c>
      <c r="L56" s="4">
        <f>IFERROR(AV_PLAN[[#This Row],[INICIO REAL ACUMULADO]]/AV_PLAN[[#This Row],[PLAN ACUMULADO]],"")</f>
        <v>1</v>
      </c>
      <c r="M56" s="4" t="str">
        <f>IFERROR(AV_PLAN[[#This Row],[TERMINO REAL ACUMULADO]]/AV_PLAN[[#This Row],[TERMINO PLAN ACUMULADO]],"")</f>
        <v/>
      </c>
      <c r="N56">
        <f>+AV_PLAN[[#This Row],[PLAN ACUMULADO]]-AV_PLAN[[#This Row],[INICIO REAL ACUMULADO]]</f>
        <v>0</v>
      </c>
      <c r="O56">
        <f>+AV_PLAN[[#This Row],[TERMINO PLAN ACUMULADO]]-AV_PLAN[[#This Row],[TERMINO REAL ACUMULADO]]</f>
        <v>0</v>
      </c>
      <c r="P5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6" s="7">
        <f>+AV_PLAN[[#This Row],[PLAN ACUMULADO]]/$C$471</f>
        <v>5.6818181818181816E-2</v>
      </c>
      <c r="R56" s="7">
        <f t="shared" si="0"/>
        <v>5.6818181818181816E-2</v>
      </c>
      <c r="S56" s="7">
        <f>+AV_PLAN[[#This Row],[TERMINO PLAN ACUMULADO]]/$G$471</f>
        <v>0</v>
      </c>
      <c r="T56" s="7">
        <f t="shared" si="1"/>
        <v>0</v>
      </c>
      <c r="U56" s="7">
        <f>+(AV_PLAN[[#This Row],[%AVANCE INICIO PLANIFICADO]]+AV_PLAN[[#This Row],[%AVANCE TERMINO PLANIFICADO]])/2</f>
        <v>2.8409090909090908E-2</v>
      </c>
    </row>
    <row r="57" spans="1:21" x14ac:dyDescent="0.25">
      <c r="A57" s="1">
        <v>46124</v>
      </c>
      <c r="B57">
        <v>1</v>
      </c>
      <c r="C57">
        <v>41</v>
      </c>
      <c r="D57">
        <v>1</v>
      </c>
      <c r="E57">
        <v>41</v>
      </c>
      <c r="F57">
        <v>0</v>
      </c>
      <c r="G57">
        <v>0</v>
      </c>
      <c r="H57">
        <v>0</v>
      </c>
      <c r="I57">
        <v>0</v>
      </c>
      <c r="J57" t="s">
        <v>812</v>
      </c>
      <c r="K57">
        <f>+WEEKNUM(AV_PLAN[[#This Row],[Días]])</f>
        <v>16</v>
      </c>
      <c r="L57" s="4">
        <f>IFERROR(AV_PLAN[[#This Row],[INICIO REAL ACUMULADO]]/AV_PLAN[[#This Row],[PLAN ACUMULADO]],"")</f>
        <v>1</v>
      </c>
      <c r="M57" s="4" t="str">
        <f>IFERROR(AV_PLAN[[#This Row],[TERMINO REAL ACUMULADO]]/AV_PLAN[[#This Row],[TERMINO PLAN ACUMULADO]],"")</f>
        <v/>
      </c>
      <c r="N57">
        <f>+AV_PLAN[[#This Row],[PLAN ACUMULADO]]-AV_PLAN[[#This Row],[INICIO REAL ACUMULADO]]</f>
        <v>0</v>
      </c>
      <c r="O57">
        <f>+AV_PLAN[[#This Row],[TERMINO PLAN ACUMULADO]]-AV_PLAN[[#This Row],[TERMINO REAL ACUMULADO]]</f>
        <v>0</v>
      </c>
      <c r="P57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7" s="7">
        <f>+AV_PLAN[[#This Row],[PLAN ACUMULADO]]/$C$471</f>
        <v>5.823863636363636E-2</v>
      </c>
      <c r="R57" s="7">
        <f t="shared" si="0"/>
        <v>5.823863636363636E-2</v>
      </c>
      <c r="S57" s="7">
        <f>+AV_PLAN[[#This Row],[TERMINO PLAN ACUMULADO]]/$G$471</f>
        <v>0</v>
      </c>
      <c r="T57" s="7">
        <f t="shared" si="1"/>
        <v>0</v>
      </c>
      <c r="U57" s="7">
        <f>+(AV_PLAN[[#This Row],[%AVANCE INICIO PLANIFICADO]]+AV_PLAN[[#This Row],[%AVANCE TERMINO PLANIFICADO]])/2</f>
        <v>2.911931818181818E-2</v>
      </c>
    </row>
    <row r="58" spans="1:21" x14ac:dyDescent="0.25">
      <c r="A58" s="1">
        <v>46125</v>
      </c>
      <c r="B58">
        <v>0</v>
      </c>
      <c r="C58">
        <v>41</v>
      </c>
      <c r="D58">
        <v>0</v>
      </c>
      <c r="E58">
        <v>41</v>
      </c>
      <c r="F58">
        <v>0</v>
      </c>
      <c r="G58">
        <v>0</v>
      </c>
      <c r="H58">
        <v>0</v>
      </c>
      <c r="I58">
        <v>0</v>
      </c>
      <c r="J58" t="s">
        <v>812</v>
      </c>
      <c r="K58">
        <f>+WEEKNUM(AV_PLAN[[#This Row],[Días]])</f>
        <v>16</v>
      </c>
      <c r="L58" s="4">
        <f>IFERROR(AV_PLAN[[#This Row],[INICIO REAL ACUMULADO]]/AV_PLAN[[#This Row],[PLAN ACUMULADO]],"")</f>
        <v>1</v>
      </c>
      <c r="M58" s="4" t="str">
        <f>IFERROR(AV_PLAN[[#This Row],[TERMINO REAL ACUMULADO]]/AV_PLAN[[#This Row],[TERMINO PLAN ACUMULADO]],"")</f>
        <v/>
      </c>
      <c r="N58">
        <f>+AV_PLAN[[#This Row],[PLAN ACUMULADO]]-AV_PLAN[[#This Row],[INICIO REAL ACUMULADO]]</f>
        <v>0</v>
      </c>
      <c r="O58">
        <f>+AV_PLAN[[#This Row],[TERMINO PLAN ACUMULADO]]-AV_PLAN[[#This Row],[TERMINO REAL ACUMULADO]]</f>
        <v>0</v>
      </c>
      <c r="P58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8" s="7">
        <f>+AV_PLAN[[#This Row],[PLAN ACUMULADO]]/$C$471</f>
        <v>5.823863636363636E-2</v>
      </c>
      <c r="R58" s="7">
        <f t="shared" si="0"/>
        <v>5.823863636363636E-2</v>
      </c>
      <c r="S58" s="7">
        <f>+AV_PLAN[[#This Row],[TERMINO PLAN ACUMULADO]]/$G$471</f>
        <v>0</v>
      </c>
      <c r="T58" s="7">
        <f t="shared" si="1"/>
        <v>0</v>
      </c>
      <c r="U58" s="7">
        <f>+(AV_PLAN[[#This Row],[%AVANCE INICIO PLANIFICADO]]+AV_PLAN[[#This Row],[%AVANCE TERMINO PLANIFICADO]])/2</f>
        <v>2.911931818181818E-2</v>
      </c>
    </row>
    <row r="59" spans="1:21" x14ac:dyDescent="0.25">
      <c r="A59" s="1">
        <v>46126</v>
      </c>
      <c r="B59">
        <v>2</v>
      </c>
      <c r="C59">
        <v>43</v>
      </c>
      <c r="D59">
        <v>2</v>
      </c>
      <c r="E59">
        <v>43</v>
      </c>
      <c r="F59">
        <v>0</v>
      </c>
      <c r="G59">
        <v>0</v>
      </c>
      <c r="H59">
        <v>0</v>
      </c>
      <c r="I59">
        <v>0</v>
      </c>
      <c r="J59" t="s">
        <v>812</v>
      </c>
      <c r="K59">
        <f>+WEEKNUM(AV_PLAN[[#This Row],[Días]])</f>
        <v>16</v>
      </c>
      <c r="L59" s="4">
        <f>IFERROR(AV_PLAN[[#This Row],[INICIO REAL ACUMULADO]]/AV_PLAN[[#This Row],[PLAN ACUMULADO]],"")</f>
        <v>1</v>
      </c>
      <c r="M59" s="4" t="str">
        <f>IFERROR(AV_PLAN[[#This Row],[TERMINO REAL ACUMULADO]]/AV_PLAN[[#This Row],[TERMINO PLAN ACUMULADO]],"")</f>
        <v/>
      </c>
      <c r="N59">
        <f>+AV_PLAN[[#This Row],[PLAN ACUMULADO]]-AV_PLAN[[#This Row],[INICIO REAL ACUMULADO]]</f>
        <v>0</v>
      </c>
      <c r="O59">
        <f>+AV_PLAN[[#This Row],[TERMINO PLAN ACUMULADO]]-AV_PLAN[[#This Row],[TERMINO REAL ACUMULADO]]</f>
        <v>0</v>
      </c>
      <c r="P59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9" s="7">
        <f>+AV_PLAN[[#This Row],[PLAN ACUMULADO]]/$C$471</f>
        <v>6.1079545454545456E-2</v>
      </c>
      <c r="R59" s="7">
        <f t="shared" si="0"/>
        <v>6.1079545454545456E-2</v>
      </c>
      <c r="S59" s="7">
        <f>+AV_PLAN[[#This Row],[TERMINO PLAN ACUMULADO]]/$G$471</f>
        <v>0</v>
      </c>
      <c r="T59" s="7">
        <f t="shared" si="1"/>
        <v>0</v>
      </c>
      <c r="U59" s="7">
        <f>+(AV_PLAN[[#This Row],[%AVANCE INICIO PLANIFICADO]]+AV_PLAN[[#This Row],[%AVANCE TERMINO PLANIFICADO]])/2</f>
        <v>3.0539772727272728E-2</v>
      </c>
    </row>
    <row r="60" spans="1:21" x14ac:dyDescent="0.25">
      <c r="A60" s="1">
        <v>46127</v>
      </c>
      <c r="B60">
        <v>3</v>
      </c>
      <c r="C60">
        <v>46</v>
      </c>
      <c r="D60">
        <v>3</v>
      </c>
      <c r="E60">
        <v>46</v>
      </c>
      <c r="F60">
        <v>0</v>
      </c>
      <c r="G60">
        <v>0</v>
      </c>
      <c r="H60">
        <v>0</v>
      </c>
      <c r="I60">
        <v>0</v>
      </c>
      <c r="J60" t="s">
        <v>812</v>
      </c>
      <c r="K60">
        <f>+WEEKNUM(AV_PLAN[[#This Row],[Días]])</f>
        <v>16</v>
      </c>
      <c r="L60" s="4">
        <f>IFERROR(AV_PLAN[[#This Row],[INICIO REAL ACUMULADO]]/AV_PLAN[[#This Row],[PLAN ACUMULADO]],"")</f>
        <v>1</v>
      </c>
      <c r="M60" s="4" t="str">
        <f>IFERROR(AV_PLAN[[#This Row],[TERMINO REAL ACUMULADO]]/AV_PLAN[[#This Row],[TERMINO PLAN ACUMULADO]],"")</f>
        <v/>
      </c>
      <c r="N60">
        <f>+AV_PLAN[[#This Row],[PLAN ACUMULADO]]-AV_PLAN[[#This Row],[INICIO REAL ACUMULADO]]</f>
        <v>0</v>
      </c>
      <c r="O60">
        <f>+AV_PLAN[[#This Row],[TERMINO PLAN ACUMULADO]]-AV_PLAN[[#This Row],[TERMINO REAL ACUMULADO]]</f>
        <v>0</v>
      </c>
      <c r="P60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0" s="7">
        <f>+AV_PLAN[[#This Row],[PLAN ACUMULADO]]/$C$471</f>
        <v>6.5340909090909088E-2</v>
      </c>
      <c r="R60" s="7">
        <f t="shared" si="0"/>
        <v>6.5340909090909088E-2</v>
      </c>
      <c r="S60" s="7">
        <f>+AV_PLAN[[#This Row],[TERMINO PLAN ACUMULADO]]/$G$471</f>
        <v>0</v>
      </c>
      <c r="T60" s="7">
        <f t="shared" si="1"/>
        <v>0</v>
      </c>
      <c r="U60" s="7">
        <f>+(AV_PLAN[[#This Row],[%AVANCE INICIO PLANIFICADO]]+AV_PLAN[[#This Row],[%AVANCE TERMINO PLANIFICADO]])/2</f>
        <v>3.2670454545454544E-2</v>
      </c>
    </row>
    <row r="61" spans="1:21" x14ac:dyDescent="0.25">
      <c r="A61" s="1">
        <v>46128</v>
      </c>
      <c r="B61">
        <v>0</v>
      </c>
      <c r="C61">
        <v>46</v>
      </c>
      <c r="D61">
        <v>0</v>
      </c>
      <c r="E61">
        <v>46</v>
      </c>
      <c r="F61">
        <v>0</v>
      </c>
      <c r="G61">
        <v>0</v>
      </c>
      <c r="H61">
        <v>0</v>
      </c>
      <c r="I61">
        <v>0</v>
      </c>
      <c r="J61" t="s">
        <v>812</v>
      </c>
      <c r="K61">
        <f>+WEEKNUM(AV_PLAN[[#This Row],[Días]])</f>
        <v>16</v>
      </c>
      <c r="L61" s="4">
        <f>IFERROR(AV_PLAN[[#This Row],[INICIO REAL ACUMULADO]]/AV_PLAN[[#This Row],[PLAN ACUMULADO]],"")</f>
        <v>1</v>
      </c>
      <c r="M61" s="4" t="str">
        <f>IFERROR(AV_PLAN[[#This Row],[TERMINO REAL ACUMULADO]]/AV_PLAN[[#This Row],[TERMINO PLAN ACUMULADO]],"")</f>
        <v/>
      </c>
      <c r="N61">
        <f>+AV_PLAN[[#This Row],[PLAN ACUMULADO]]-AV_PLAN[[#This Row],[INICIO REAL ACUMULADO]]</f>
        <v>0</v>
      </c>
      <c r="O61">
        <f>+AV_PLAN[[#This Row],[TERMINO PLAN ACUMULADO]]-AV_PLAN[[#This Row],[TERMINO REAL ACUMULADO]]</f>
        <v>0</v>
      </c>
      <c r="P61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1" s="7">
        <f>+AV_PLAN[[#This Row],[PLAN ACUMULADO]]/$C$471</f>
        <v>6.5340909090909088E-2</v>
      </c>
      <c r="R61" s="7">
        <f t="shared" si="0"/>
        <v>6.5340909090909088E-2</v>
      </c>
      <c r="S61" s="7">
        <f>+AV_PLAN[[#This Row],[TERMINO PLAN ACUMULADO]]/$G$471</f>
        <v>0</v>
      </c>
      <c r="T61" s="7">
        <f t="shared" si="1"/>
        <v>0</v>
      </c>
      <c r="U61" s="7">
        <f>+(AV_PLAN[[#This Row],[%AVANCE INICIO PLANIFICADO]]+AV_PLAN[[#This Row],[%AVANCE TERMINO PLANIFICADO]])/2</f>
        <v>3.2670454545454544E-2</v>
      </c>
    </row>
    <row r="62" spans="1:21" x14ac:dyDescent="0.25">
      <c r="A62" s="1">
        <v>46129</v>
      </c>
      <c r="B62">
        <v>1</v>
      </c>
      <c r="C62">
        <v>47</v>
      </c>
      <c r="D62">
        <v>1</v>
      </c>
      <c r="E62">
        <v>47</v>
      </c>
      <c r="F62">
        <v>1</v>
      </c>
      <c r="G62">
        <v>1</v>
      </c>
      <c r="H62">
        <v>0</v>
      </c>
      <c r="I62">
        <v>0</v>
      </c>
      <c r="J62" t="s">
        <v>812</v>
      </c>
      <c r="K62">
        <f>+WEEKNUM(AV_PLAN[[#This Row],[Días]])</f>
        <v>16</v>
      </c>
      <c r="L62" s="4">
        <f>IFERROR(AV_PLAN[[#This Row],[INICIO REAL ACUMULADO]]/AV_PLAN[[#This Row],[PLAN ACUMULADO]],"")</f>
        <v>1</v>
      </c>
      <c r="M62" s="4">
        <f>IFERROR(AV_PLAN[[#This Row],[TERMINO REAL ACUMULADO]]/AV_PLAN[[#This Row],[TERMINO PLAN ACUMULADO]],"")</f>
        <v>0</v>
      </c>
      <c r="N62">
        <f>+AV_PLAN[[#This Row],[PLAN ACUMULADO]]-AV_PLAN[[#This Row],[INICIO REAL ACUMULADO]]</f>
        <v>0</v>
      </c>
      <c r="O62">
        <f>+AV_PLAN[[#This Row],[TERMINO PLAN ACUMULADO]]-AV_PLAN[[#This Row],[TERMINO REAL ACUMULADO]]</f>
        <v>1</v>
      </c>
      <c r="P62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2" s="7">
        <f>+AV_PLAN[[#This Row],[PLAN ACUMULADO]]/$C$471</f>
        <v>6.6761363636363633E-2</v>
      </c>
      <c r="R62" s="7">
        <f t="shared" si="0"/>
        <v>6.6761363636363633E-2</v>
      </c>
      <c r="S62" s="7">
        <f>+AV_PLAN[[#This Row],[TERMINO PLAN ACUMULADO]]/$G$471</f>
        <v>1.4204545454545455E-3</v>
      </c>
      <c r="T62" s="7">
        <f t="shared" si="1"/>
        <v>0</v>
      </c>
      <c r="U62" s="7">
        <f>+(AV_PLAN[[#This Row],[%AVANCE INICIO PLANIFICADO]]+AV_PLAN[[#This Row],[%AVANCE TERMINO PLANIFICADO]])/2</f>
        <v>3.4090909090909088E-2</v>
      </c>
    </row>
    <row r="63" spans="1:21" x14ac:dyDescent="0.25">
      <c r="A63" s="1">
        <v>46130</v>
      </c>
      <c r="B63">
        <v>0</v>
      </c>
      <c r="C63">
        <v>47</v>
      </c>
      <c r="D63">
        <v>0</v>
      </c>
      <c r="E63">
        <v>47</v>
      </c>
      <c r="F63">
        <v>0</v>
      </c>
      <c r="G63">
        <v>1</v>
      </c>
      <c r="H63">
        <v>0</v>
      </c>
      <c r="I63">
        <v>0</v>
      </c>
      <c r="J63" t="s">
        <v>812</v>
      </c>
      <c r="K63">
        <f>+WEEKNUM(AV_PLAN[[#This Row],[Días]])</f>
        <v>16</v>
      </c>
      <c r="L63" s="4">
        <f>IFERROR(AV_PLAN[[#This Row],[INICIO REAL ACUMULADO]]/AV_PLAN[[#This Row],[PLAN ACUMULADO]],"")</f>
        <v>1</v>
      </c>
      <c r="M63" s="4">
        <f>IFERROR(AV_PLAN[[#This Row],[TERMINO REAL ACUMULADO]]/AV_PLAN[[#This Row],[TERMINO PLAN ACUMULADO]],"")</f>
        <v>0</v>
      </c>
      <c r="N63">
        <f>+AV_PLAN[[#This Row],[PLAN ACUMULADO]]-AV_PLAN[[#This Row],[INICIO REAL ACUMULADO]]</f>
        <v>0</v>
      </c>
      <c r="O63">
        <f>+AV_PLAN[[#This Row],[TERMINO PLAN ACUMULADO]]-AV_PLAN[[#This Row],[TERMINO REAL ACUMULADO]]</f>
        <v>1</v>
      </c>
      <c r="P63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3" s="7">
        <f>+AV_PLAN[[#This Row],[PLAN ACUMULADO]]/$C$471</f>
        <v>6.6761363636363633E-2</v>
      </c>
      <c r="R63" s="7">
        <f t="shared" si="0"/>
        <v>6.6761363636363633E-2</v>
      </c>
      <c r="S63" s="7">
        <f>+AV_PLAN[[#This Row],[TERMINO PLAN ACUMULADO]]/$G$471</f>
        <v>1.4204545454545455E-3</v>
      </c>
      <c r="T63" s="7">
        <f t="shared" si="1"/>
        <v>0</v>
      </c>
      <c r="U63" s="7">
        <f>+(AV_PLAN[[#This Row],[%AVANCE INICIO PLANIFICADO]]+AV_PLAN[[#This Row],[%AVANCE TERMINO PLANIFICADO]])/2</f>
        <v>3.4090909090909088E-2</v>
      </c>
    </row>
    <row r="64" spans="1:21" x14ac:dyDescent="0.25">
      <c r="A64" s="1">
        <v>46131</v>
      </c>
      <c r="B64">
        <v>0</v>
      </c>
      <c r="C64">
        <v>47</v>
      </c>
      <c r="D64">
        <v>0</v>
      </c>
      <c r="E64">
        <v>47</v>
      </c>
      <c r="F64">
        <v>0</v>
      </c>
      <c r="G64">
        <v>1</v>
      </c>
      <c r="H64">
        <v>0</v>
      </c>
      <c r="I64">
        <v>0</v>
      </c>
      <c r="J64" t="s">
        <v>812</v>
      </c>
      <c r="K64">
        <f>+WEEKNUM(AV_PLAN[[#This Row],[Días]])</f>
        <v>17</v>
      </c>
      <c r="L64" s="4">
        <f>IFERROR(AV_PLAN[[#This Row],[INICIO REAL ACUMULADO]]/AV_PLAN[[#This Row],[PLAN ACUMULADO]],"")</f>
        <v>1</v>
      </c>
      <c r="M64" s="4">
        <f>IFERROR(AV_PLAN[[#This Row],[TERMINO REAL ACUMULADO]]/AV_PLAN[[#This Row],[TERMINO PLAN ACUMULADO]],"")</f>
        <v>0</v>
      </c>
      <c r="N64">
        <f>+AV_PLAN[[#This Row],[PLAN ACUMULADO]]-AV_PLAN[[#This Row],[INICIO REAL ACUMULADO]]</f>
        <v>0</v>
      </c>
      <c r="O64">
        <f>+AV_PLAN[[#This Row],[TERMINO PLAN ACUMULADO]]-AV_PLAN[[#This Row],[TERMINO REAL ACUMULADO]]</f>
        <v>1</v>
      </c>
      <c r="P6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4" s="7">
        <f>+AV_PLAN[[#This Row],[PLAN ACUMULADO]]/$C$471</f>
        <v>6.6761363636363633E-2</v>
      </c>
      <c r="R64" s="7">
        <f t="shared" si="0"/>
        <v>6.6761363636363633E-2</v>
      </c>
      <c r="S64" s="7">
        <f>+AV_PLAN[[#This Row],[TERMINO PLAN ACUMULADO]]/$G$471</f>
        <v>1.4204545454545455E-3</v>
      </c>
      <c r="T64" s="7">
        <f t="shared" si="1"/>
        <v>0</v>
      </c>
      <c r="U64" s="7">
        <f>+(AV_PLAN[[#This Row],[%AVANCE INICIO PLANIFICADO]]+AV_PLAN[[#This Row],[%AVANCE TERMINO PLANIFICADO]])/2</f>
        <v>3.4090909090909088E-2</v>
      </c>
    </row>
    <row r="65" spans="1:21" x14ac:dyDescent="0.25">
      <c r="A65" s="1">
        <v>46132</v>
      </c>
      <c r="B65">
        <v>1</v>
      </c>
      <c r="C65">
        <v>48</v>
      </c>
      <c r="D65">
        <v>1</v>
      </c>
      <c r="E65">
        <v>48</v>
      </c>
      <c r="F65">
        <v>2</v>
      </c>
      <c r="G65">
        <v>3</v>
      </c>
      <c r="H65">
        <v>0</v>
      </c>
      <c r="I65">
        <v>0</v>
      </c>
      <c r="J65" t="s">
        <v>812</v>
      </c>
      <c r="K65">
        <f>+WEEKNUM(AV_PLAN[[#This Row],[Días]])</f>
        <v>17</v>
      </c>
      <c r="L65" s="4">
        <f>IFERROR(AV_PLAN[[#This Row],[INICIO REAL ACUMULADO]]/AV_PLAN[[#This Row],[PLAN ACUMULADO]],"")</f>
        <v>1</v>
      </c>
      <c r="M65" s="4">
        <f>IFERROR(AV_PLAN[[#This Row],[TERMINO REAL ACUMULADO]]/AV_PLAN[[#This Row],[TERMINO PLAN ACUMULADO]],"")</f>
        <v>0</v>
      </c>
      <c r="N65">
        <f>+AV_PLAN[[#This Row],[PLAN ACUMULADO]]-AV_PLAN[[#This Row],[INICIO REAL ACUMULADO]]</f>
        <v>0</v>
      </c>
      <c r="O65">
        <f>+AV_PLAN[[#This Row],[TERMINO PLAN ACUMULADO]]-AV_PLAN[[#This Row],[TERMINO REAL ACUMULADO]]</f>
        <v>3</v>
      </c>
      <c r="P6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5" s="7">
        <f>+AV_PLAN[[#This Row],[PLAN ACUMULADO]]/$C$471</f>
        <v>6.8181818181818177E-2</v>
      </c>
      <c r="R65" s="7">
        <f t="shared" si="0"/>
        <v>6.8181818181818177E-2</v>
      </c>
      <c r="S65" s="7">
        <f>+AV_PLAN[[#This Row],[TERMINO PLAN ACUMULADO]]/$G$471</f>
        <v>4.261363636363636E-3</v>
      </c>
      <c r="T65" s="7">
        <f t="shared" si="1"/>
        <v>0</v>
      </c>
      <c r="U65" s="7">
        <f>+(AV_PLAN[[#This Row],[%AVANCE INICIO PLANIFICADO]]+AV_PLAN[[#This Row],[%AVANCE TERMINO PLANIFICADO]])/2</f>
        <v>3.6221590909090905E-2</v>
      </c>
    </row>
    <row r="66" spans="1:21" x14ac:dyDescent="0.25">
      <c r="A66" s="1">
        <v>46133</v>
      </c>
      <c r="B66">
        <v>0</v>
      </c>
      <c r="C66">
        <v>48</v>
      </c>
      <c r="D66">
        <v>0</v>
      </c>
      <c r="E66">
        <v>48</v>
      </c>
      <c r="F66">
        <v>2</v>
      </c>
      <c r="G66">
        <v>5</v>
      </c>
      <c r="H66">
        <v>0</v>
      </c>
      <c r="I66">
        <v>0</v>
      </c>
      <c r="J66" t="s">
        <v>812</v>
      </c>
      <c r="K66">
        <f>+WEEKNUM(AV_PLAN[[#This Row],[Días]])</f>
        <v>17</v>
      </c>
      <c r="L66" s="4">
        <f>IFERROR(AV_PLAN[[#This Row],[INICIO REAL ACUMULADO]]/AV_PLAN[[#This Row],[PLAN ACUMULADO]],"")</f>
        <v>1</v>
      </c>
      <c r="M66" s="4">
        <f>IFERROR(AV_PLAN[[#This Row],[TERMINO REAL ACUMULADO]]/AV_PLAN[[#This Row],[TERMINO PLAN ACUMULADO]],"")</f>
        <v>0</v>
      </c>
      <c r="N66">
        <f>+AV_PLAN[[#This Row],[PLAN ACUMULADO]]-AV_PLAN[[#This Row],[INICIO REAL ACUMULADO]]</f>
        <v>0</v>
      </c>
      <c r="O66">
        <f>+AV_PLAN[[#This Row],[TERMINO PLAN ACUMULADO]]-AV_PLAN[[#This Row],[TERMINO REAL ACUMULADO]]</f>
        <v>5</v>
      </c>
      <c r="P6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6" s="7">
        <f>+AV_PLAN[[#This Row],[PLAN ACUMULADO]]/$C$471</f>
        <v>6.8181818181818177E-2</v>
      </c>
      <c r="R66" s="7">
        <f t="shared" ref="R66:R129" si="2">IF(D66="",NA(),E66/$C$471)</f>
        <v>6.8181818181818177E-2</v>
      </c>
      <c r="S66" s="7">
        <f>+AV_PLAN[[#This Row],[TERMINO PLAN ACUMULADO]]/$G$471</f>
        <v>7.102272727272727E-3</v>
      </c>
      <c r="T66" s="7">
        <f t="shared" ref="T66:T129" si="3">IF(H66="",NA(),I66/$G$471)</f>
        <v>0</v>
      </c>
      <c r="U66" s="7">
        <f>+(AV_PLAN[[#This Row],[%AVANCE INICIO PLANIFICADO]]+AV_PLAN[[#This Row],[%AVANCE TERMINO PLANIFICADO]])/2</f>
        <v>3.7642045454545449E-2</v>
      </c>
    </row>
    <row r="67" spans="1:21" x14ac:dyDescent="0.25">
      <c r="A67" s="1">
        <v>46134</v>
      </c>
      <c r="B67">
        <v>3</v>
      </c>
      <c r="C67">
        <v>51</v>
      </c>
      <c r="D67">
        <v>3</v>
      </c>
      <c r="E67">
        <v>51</v>
      </c>
      <c r="F67">
        <v>2</v>
      </c>
      <c r="G67">
        <v>7</v>
      </c>
      <c r="H67">
        <v>0</v>
      </c>
      <c r="I67">
        <v>0</v>
      </c>
      <c r="J67" t="s">
        <v>812</v>
      </c>
      <c r="K67">
        <f>+WEEKNUM(AV_PLAN[[#This Row],[Días]])</f>
        <v>17</v>
      </c>
      <c r="L67" s="4">
        <f>IFERROR(AV_PLAN[[#This Row],[INICIO REAL ACUMULADO]]/AV_PLAN[[#This Row],[PLAN ACUMULADO]],"")</f>
        <v>1</v>
      </c>
      <c r="M67" s="4">
        <f>IFERROR(AV_PLAN[[#This Row],[TERMINO REAL ACUMULADO]]/AV_PLAN[[#This Row],[TERMINO PLAN ACUMULADO]],"")</f>
        <v>0</v>
      </c>
      <c r="N67">
        <f>+AV_PLAN[[#This Row],[PLAN ACUMULADO]]-AV_PLAN[[#This Row],[INICIO REAL ACUMULADO]]</f>
        <v>0</v>
      </c>
      <c r="O67">
        <f>+AV_PLAN[[#This Row],[TERMINO PLAN ACUMULADO]]-AV_PLAN[[#This Row],[TERMINO REAL ACUMULADO]]</f>
        <v>7</v>
      </c>
      <c r="P6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7" s="7">
        <f>+AV_PLAN[[#This Row],[PLAN ACUMULADO]]/$C$471</f>
        <v>7.2443181818181823E-2</v>
      </c>
      <c r="R67" s="7">
        <f t="shared" si="2"/>
        <v>7.2443181818181823E-2</v>
      </c>
      <c r="S67" s="7">
        <f>+AV_PLAN[[#This Row],[TERMINO PLAN ACUMULADO]]/$G$471</f>
        <v>9.943181818181818E-3</v>
      </c>
      <c r="T67" s="7">
        <f t="shared" si="3"/>
        <v>0</v>
      </c>
      <c r="U67" s="7">
        <f>+(AV_PLAN[[#This Row],[%AVANCE INICIO PLANIFICADO]]+AV_PLAN[[#This Row],[%AVANCE TERMINO PLANIFICADO]])/2</f>
        <v>4.1193181818181823E-2</v>
      </c>
    </row>
    <row r="68" spans="1:21" x14ac:dyDescent="0.25">
      <c r="A68" s="1">
        <v>46135</v>
      </c>
      <c r="B68">
        <v>0</v>
      </c>
      <c r="C68">
        <v>51</v>
      </c>
      <c r="D68">
        <v>0</v>
      </c>
      <c r="E68">
        <v>51</v>
      </c>
      <c r="F68">
        <v>0</v>
      </c>
      <c r="G68">
        <v>7</v>
      </c>
      <c r="H68">
        <v>0</v>
      </c>
      <c r="I68">
        <v>0</v>
      </c>
      <c r="J68" t="s">
        <v>812</v>
      </c>
      <c r="K68">
        <f>+WEEKNUM(AV_PLAN[[#This Row],[Días]])</f>
        <v>17</v>
      </c>
      <c r="L68" s="4">
        <f>IFERROR(AV_PLAN[[#This Row],[INICIO REAL ACUMULADO]]/AV_PLAN[[#This Row],[PLAN ACUMULADO]],"")</f>
        <v>1</v>
      </c>
      <c r="M68" s="4">
        <f>IFERROR(AV_PLAN[[#This Row],[TERMINO REAL ACUMULADO]]/AV_PLAN[[#This Row],[TERMINO PLAN ACUMULADO]],"")</f>
        <v>0</v>
      </c>
      <c r="N68">
        <f>+AV_PLAN[[#This Row],[PLAN ACUMULADO]]-AV_PLAN[[#This Row],[INICIO REAL ACUMULADO]]</f>
        <v>0</v>
      </c>
      <c r="O68">
        <f>+AV_PLAN[[#This Row],[TERMINO PLAN ACUMULADO]]-AV_PLAN[[#This Row],[TERMINO REAL ACUMULADO]]</f>
        <v>7</v>
      </c>
      <c r="P6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8" s="7">
        <f>+AV_PLAN[[#This Row],[PLAN ACUMULADO]]/$C$471</f>
        <v>7.2443181818181823E-2</v>
      </c>
      <c r="R68" s="7">
        <f t="shared" si="2"/>
        <v>7.2443181818181823E-2</v>
      </c>
      <c r="S68" s="7">
        <f>+AV_PLAN[[#This Row],[TERMINO PLAN ACUMULADO]]/$G$471</f>
        <v>9.943181818181818E-3</v>
      </c>
      <c r="T68" s="7">
        <f t="shared" si="3"/>
        <v>0</v>
      </c>
      <c r="U68" s="7">
        <f>+(AV_PLAN[[#This Row],[%AVANCE INICIO PLANIFICADO]]+AV_PLAN[[#This Row],[%AVANCE TERMINO PLANIFICADO]])/2</f>
        <v>4.1193181818181823E-2</v>
      </c>
    </row>
    <row r="69" spans="1:21" x14ac:dyDescent="0.25">
      <c r="A69" s="1">
        <v>46136</v>
      </c>
      <c r="B69">
        <v>2</v>
      </c>
      <c r="C69">
        <v>53</v>
      </c>
      <c r="D69">
        <v>2</v>
      </c>
      <c r="E69">
        <v>53</v>
      </c>
      <c r="F69">
        <v>1</v>
      </c>
      <c r="G69">
        <v>8</v>
      </c>
      <c r="H69">
        <v>0</v>
      </c>
      <c r="I69">
        <v>0</v>
      </c>
      <c r="J69" t="s">
        <v>812</v>
      </c>
      <c r="K69">
        <f>+WEEKNUM(AV_PLAN[[#This Row],[Días]])</f>
        <v>17</v>
      </c>
      <c r="L69" s="4">
        <f>IFERROR(AV_PLAN[[#This Row],[INICIO REAL ACUMULADO]]/AV_PLAN[[#This Row],[PLAN ACUMULADO]],"")</f>
        <v>1</v>
      </c>
      <c r="M69" s="4">
        <f>IFERROR(AV_PLAN[[#This Row],[TERMINO REAL ACUMULADO]]/AV_PLAN[[#This Row],[TERMINO PLAN ACUMULADO]],"")</f>
        <v>0</v>
      </c>
      <c r="N69">
        <f>+AV_PLAN[[#This Row],[PLAN ACUMULADO]]-AV_PLAN[[#This Row],[INICIO REAL ACUMULADO]]</f>
        <v>0</v>
      </c>
      <c r="O69">
        <f>+AV_PLAN[[#This Row],[TERMINO PLAN ACUMULADO]]-AV_PLAN[[#This Row],[TERMINO REAL ACUMULADO]]</f>
        <v>8</v>
      </c>
      <c r="P6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9" s="7">
        <f>+AV_PLAN[[#This Row],[PLAN ACUMULADO]]/$C$471</f>
        <v>7.5284090909090912E-2</v>
      </c>
      <c r="R69" s="7">
        <f t="shared" si="2"/>
        <v>7.5284090909090912E-2</v>
      </c>
      <c r="S69" s="7">
        <f>+AV_PLAN[[#This Row],[TERMINO PLAN ACUMULADO]]/$G$471</f>
        <v>1.1363636363636364E-2</v>
      </c>
      <c r="T69" s="7">
        <f t="shared" si="3"/>
        <v>0</v>
      </c>
      <c r="U69" s="7">
        <f>+(AV_PLAN[[#This Row],[%AVANCE INICIO PLANIFICADO]]+AV_PLAN[[#This Row],[%AVANCE TERMINO PLANIFICADO]])/2</f>
        <v>4.332386363636364E-2</v>
      </c>
    </row>
    <row r="70" spans="1:21" x14ac:dyDescent="0.25">
      <c r="A70" s="1">
        <v>46137</v>
      </c>
      <c r="B70">
        <v>0</v>
      </c>
      <c r="C70">
        <v>53</v>
      </c>
      <c r="D70">
        <v>0</v>
      </c>
      <c r="E70">
        <v>53</v>
      </c>
      <c r="F70">
        <v>0</v>
      </c>
      <c r="G70">
        <v>8</v>
      </c>
      <c r="H70">
        <v>0</v>
      </c>
      <c r="I70">
        <v>0</v>
      </c>
      <c r="J70" t="s">
        <v>812</v>
      </c>
      <c r="K70">
        <f>+WEEKNUM(AV_PLAN[[#This Row],[Días]])</f>
        <v>17</v>
      </c>
      <c r="L70" s="4">
        <f>IFERROR(AV_PLAN[[#This Row],[INICIO REAL ACUMULADO]]/AV_PLAN[[#This Row],[PLAN ACUMULADO]],"")</f>
        <v>1</v>
      </c>
      <c r="M70" s="4">
        <f>IFERROR(AV_PLAN[[#This Row],[TERMINO REAL ACUMULADO]]/AV_PLAN[[#This Row],[TERMINO PLAN ACUMULADO]],"")</f>
        <v>0</v>
      </c>
      <c r="N70">
        <f>+AV_PLAN[[#This Row],[PLAN ACUMULADO]]-AV_PLAN[[#This Row],[INICIO REAL ACUMULADO]]</f>
        <v>0</v>
      </c>
      <c r="O70">
        <f>+AV_PLAN[[#This Row],[TERMINO PLAN ACUMULADO]]-AV_PLAN[[#This Row],[TERMINO REAL ACUMULADO]]</f>
        <v>8</v>
      </c>
      <c r="P7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70" s="7">
        <f>+AV_PLAN[[#This Row],[PLAN ACUMULADO]]/$C$471</f>
        <v>7.5284090909090912E-2</v>
      </c>
      <c r="R70" s="7">
        <f t="shared" si="2"/>
        <v>7.5284090909090912E-2</v>
      </c>
      <c r="S70" s="7">
        <f>+AV_PLAN[[#This Row],[TERMINO PLAN ACUMULADO]]/$G$471</f>
        <v>1.1363636363636364E-2</v>
      </c>
      <c r="T70" s="7">
        <f t="shared" si="3"/>
        <v>0</v>
      </c>
      <c r="U70" s="7">
        <f>+(AV_PLAN[[#This Row],[%AVANCE INICIO PLANIFICADO]]+AV_PLAN[[#This Row],[%AVANCE TERMINO PLANIFICADO]])/2</f>
        <v>4.332386363636364E-2</v>
      </c>
    </row>
    <row r="71" spans="1:21" x14ac:dyDescent="0.25">
      <c r="A71" s="1">
        <v>46138</v>
      </c>
      <c r="B71">
        <v>0</v>
      </c>
      <c r="C71">
        <v>53</v>
      </c>
      <c r="D71">
        <v>0</v>
      </c>
      <c r="E71">
        <v>53</v>
      </c>
      <c r="F71">
        <v>0</v>
      </c>
      <c r="G71">
        <v>8</v>
      </c>
      <c r="H71">
        <v>0</v>
      </c>
      <c r="I71">
        <v>0</v>
      </c>
      <c r="J71" t="s">
        <v>812</v>
      </c>
      <c r="K71">
        <f>+WEEKNUM(AV_PLAN[[#This Row],[Días]])</f>
        <v>18</v>
      </c>
      <c r="L71" s="4">
        <f>IFERROR(AV_PLAN[[#This Row],[INICIO REAL ACUMULADO]]/AV_PLAN[[#This Row],[PLAN ACUMULADO]],"")</f>
        <v>1</v>
      </c>
      <c r="M71" s="4">
        <f>IFERROR(AV_PLAN[[#This Row],[TERMINO REAL ACUMULADO]]/AV_PLAN[[#This Row],[TERMINO PLAN ACUMULADO]],"")</f>
        <v>0</v>
      </c>
      <c r="N71">
        <f>+AV_PLAN[[#This Row],[PLAN ACUMULADO]]-AV_PLAN[[#This Row],[INICIO REAL ACUMULADO]]</f>
        <v>0</v>
      </c>
      <c r="O71">
        <f>+AV_PLAN[[#This Row],[TERMINO PLAN ACUMULADO]]-AV_PLAN[[#This Row],[TERMINO REAL ACUMULADO]]</f>
        <v>8</v>
      </c>
      <c r="P7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1" s="7">
        <f>+AV_PLAN[[#This Row],[PLAN ACUMULADO]]/$C$471</f>
        <v>7.5284090909090912E-2</v>
      </c>
      <c r="R71" s="7">
        <f t="shared" si="2"/>
        <v>7.5284090909090912E-2</v>
      </c>
      <c r="S71" s="7">
        <f>+AV_PLAN[[#This Row],[TERMINO PLAN ACUMULADO]]/$G$471</f>
        <v>1.1363636363636364E-2</v>
      </c>
      <c r="T71" s="7">
        <f t="shared" si="3"/>
        <v>0</v>
      </c>
      <c r="U71" s="7">
        <f>+(AV_PLAN[[#This Row],[%AVANCE INICIO PLANIFICADO]]+AV_PLAN[[#This Row],[%AVANCE TERMINO PLANIFICADO]])/2</f>
        <v>4.332386363636364E-2</v>
      </c>
    </row>
    <row r="72" spans="1:21" x14ac:dyDescent="0.25">
      <c r="A72" s="1">
        <v>46139</v>
      </c>
      <c r="B72">
        <v>1</v>
      </c>
      <c r="C72">
        <v>54</v>
      </c>
      <c r="D72">
        <v>1</v>
      </c>
      <c r="E72">
        <v>54</v>
      </c>
      <c r="F72">
        <v>1</v>
      </c>
      <c r="G72">
        <v>9</v>
      </c>
      <c r="H72">
        <v>0</v>
      </c>
      <c r="I72">
        <v>0</v>
      </c>
      <c r="J72" t="s">
        <v>812</v>
      </c>
      <c r="K72">
        <f>+WEEKNUM(AV_PLAN[[#This Row],[Días]])</f>
        <v>18</v>
      </c>
      <c r="L72" s="4">
        <f>IFERROR(AV_PLAN[[#This Row],[INICIO REAL ACUMULADO]]/AV_PLAN[[#This Row],[PLAN ACUMULADO]],"")</f>
        <v>1</v>
      </c>
      <c r="M72" s="4">
        <f>IFERROR(AV_PLAN[[#This Row],[TERMINO REAL ACUMULADO]]/AV_PLAN[[#This Row],[TERMINO PLAN ACUMULADO]],"")</f>
        <v>0</v>
      </c>
      <c r="N72">
        <f>+AV_PLAN[[#This Row],[PLAN ACUMULADO]]-AV_PLAN[[#This Row],[INICIO REAL ACUMULADO]]</f>
        <v>0</v>
      </c>
      <c r="O72">
        <f>+AV_PLAN[[#This Row],[TERMINO PLAN ACUMULADO]]-AV_PLAN[[#This Row],[TERMINO REAL ACUMULADO]]</f>
        <v>9</v>
      </c>
      <c r="P7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2" s="7">
        <f>+AV_PLAN[[#This Row],[PLAN ACUMULADO]]/$C$471</f>
        <v>7.6704545454545456E-2</v>
      </c>
      <c r="R72" s="7">
        <f t="shared" si="2"/>
        <v>7.6704545454545456E-2</v>
      </c>
      <c r="S72" s="7">
        <f>+AV_PLAN[[#This Row],[TERMINO PLAN ACUMULADO]]/$G$471</f>
        <v>1.278409090909091E-2</v>
      </c>
      <c r="T72" s="7">
        <f t="shared" si="3"/>
        <v>0</v>
      </c>
      <c r="U72" s="7">
        <f>+(AV_PLAN[[#This Row],[%AVANCE INICIO PLANIFICADO]]+AV_PLAN[[#This Row],[%AVANCE TERMINO PLANIFICADO]])/2</f>
        <v>4.4744318181818184E-2</v>
      </c>
    </row>
    <row r="73" spans="1:21" x14ac:dyDescent="0.25">
      <c r="A73" s="1">
        <v>46140</v>
      </c>
      <c r="B73">
        <v>1</v>
      </c>
      <c r="C73">
        <v>55</v>
      </c>
      <c r="D73">
        <v>1</v>
      </c>
      <c r="E73">
        <v>55</v>
      </c>
      <c r="F73">
        <v>3</v>
      </c>
      <c r="G73">
        <v>12</v>
      </c>
      <c r="H73">
        <v>0</v>
      </c>
      <c r="I73">
        <v>0</v>
      </c>
      <c r="J73" t="s">
        <v>812</v>
      </c>
      <c r="K73">
        <f>+WEEKNUM(AV_PLAN[[#This Row],[Días]])</f>
        <v>18</v>
      </c>
      <c r="L73" s="4">
        <f>IFERROR(AV_PLAN[[#This Row],[INICIO REAL ACUMULADO]]/AV_PLAN[[#This Row],[PLAN ACUMULADO]],"")</f>
        <v>1</v>
      </c>
      <c r="M73" s="4">
        <f>IFERROR(AV_PLAN[[#This Row],[TERMINO REAL ACUMULADO]]/AV_PLAN[[#This Row],[TERMINO PLAN ACUMULADO]],"")</f>
        <v>0</v>
      </c>
      <c r="N73">
        <f>+AV_PLAN[[#This Row],[PLAN ACUMULADO]]-AV_PLAN[[#This Row],[INICIO REAL ACUMULADO]]</f>
        <v>0</v>
      </c>
      <c r="O73">
        <f>+AV_PLAN[[#This Row],[TERMINO PLAN ACUMULADO]]-AV_PLAN[[#This Row],[TERMINO REAL ACUMULADO]]</f>
        <v>12</v>
      </c>
      <c r="P7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3" s="7">
        <f>+AV_PLAN[[#This Row],[PLAN ACUMULADO]]/$C$471</f>
        <v>7.8125E-2</v>
      </c>
      <c r="R73" s="7">
        <f t="shared" si="2"/>
        <v>7.8125E-2</v>
      </c>
      <c r="S73" s="7">
        <f>+AV_PLAN[[#This Row],[TERMINO PLAN ACUMULADO]]/$G$471</f>
        <v>1.7045454545454544E-2</v>
      </c>
      <c r="T73" s="7">
        <f t="shared" si="3"/>
        <v>0</v>
      </c>
      <c r="U73" s="7">
        <f>+(AV_PLAN[[#This Row],[%AVANCE INICIO PLANIFICADO]]+AV_PLAN[[#This Row],[%AVANCE TERMINO PLANIFICADO]])/2</f>
        <v>4.7585227272727272E-2</v>
      </c>
    </row>
    <row r="74" spans="1:21" x14ac:dyDescent="0.25">
      <c r="A74" s="1">
        <v>46141</v>
      </c>
      <c r="B74">
        <v>1</v>
      </c>
      <c r="C74">
        <v>56</v>
      </c>
      <c r="D74">
        <v>1</v>
      </c>
      <c r="E74">
        <v>56</v>
      </c>
      <c r="F74">
        <v>0</v>
      </c>
      <c r="G74">
        <v>12</v>
      </c>
      <c r="H74">
        <v>0</v>
      </c>
      <c r="I74">
        <v>0</v>
      </c>
      <c r="J74" t="s">
        <v>812</v>
      </c>
      <c r="K74">
        <f>+WEEKNUM(AV_PLAN[[#This Row],[Días]])</f>
        <v>18</v>
      </c>
      <c r="L74" s="4">
        <f>IFERROR(AV_PLAN[[#This Row],[INICIO REAL ACUMULADO]]/AV_PLAN[[#This Row],[PLAN ACUMULADO]],"")</f>
        <v>1</v>
      </c>
      <c r="M74" s="4">
        <f>IFERROR(AV_PLAN[[#This Row],[TERMINO REAL ACUMULADO]]/AV_PLAN[[#This Row],[TERMINO PLAN ACUMULADO]],"")</f>
        <v>0</v>
      </c>
      <c r="N74">
        <f>+AV_PLAN[[#This Row],[PLAN ACUMULADO]]-AV_PLAN[[#This Row],[INICIO REAL ACUMULADO]]</f>
        <v>0</v>
      </c>
      <c r="O74">
        <f>+AV_PLAN[[#This Row],[TERMINO PLAN ACUMULADO]]-AV_PLAN[[#This Row],[TERMINO REAL ACUMULADO]]</f>
        <v>12</v>
      </c>
      <c r="P7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4" s="7">
        <f>+AV_PLAN[[#This Row],[PLAN ACUMULADO]]/$C$471</f>
        <v>7.9545454545454544E-2</v>
      </c>
      <c r="R74" s="7">
        <f t="shared" si="2"/>
        <v>7.9545454545454544E-2</v>
      </c>
      <c r="S74" s="7">
        <f>+AV_PLAN[[#This Row],[TERMINO PLAN ACUMULADO]]/$G$471</f>
        <v>1.7045454545454544E-2</v>
      </c>
      <c r="T74" s="7">
        <f t="shared" si="3"/>
        <v>0</v>
      </c>
      <c r="U74" s="7">
        <f>+(AV_PLAN[[#This Row],[%AVANCE INICIO PLANIFICADO]]+AV_PLAN[[#This Row],[%AVANCE TERMINO PLANIFICADO]])/2</f>
        <v>4.8295454545454544E-2</v>
      </c>
    </row>
    <row r="75" spans="1:21" x14ac:dyDescent="0.25">
      <c r="A75" s="1">
        <v>46142</v>
      </c>
      <c r="B75">
        <v>0</v>
      </c>
      <c r="C75">
        <v>56</v>
      </c>
      <c r="D75">
        <v>0</v>
      </c>
      <c r="E75">
        <v>56</v>
      </c>
      <c r="F75">
        <v>2</v>
      </c>
      <c r="G75">
        <v>14</v>
      </c>
      <c r="H75">
        <v>0</v>
      </c>
      <c r="I75">
        <v>0</v>
      </c>
      <c r="J75" t="s">
        <v>812</v>
      </c>
      <c r="K75">
        <f>+WEEKNUM(AV_PLAN[[#This Row],[Días]])</f>
        <v>18</v>
      </c>
      <c r="L75" s="4">
        <f>IFERROR(AV_PLAN[[#This Row],[INICIO REAL ACUMULADO]]/AV_PLAN[[#This Row],[PLAN ACUMULADO]],"")</f>
        <v>1</v>
      </c>
      <c r="M75" s="4">
        <f>IFERROR(AV_PLAN[[#This Row],[TERMINO REAL ACUMULADO]]/AV_PLAN[[#This Row],[TERMINO PLAN ACUMULADO]],"")</f>
        <v>0</v>
      </c>
      <c r="N75">
        <f>+AV_PLAN[[#This Row],[PLAN ACUMULADO]]-AV_PLAN[[#This Row],[INICIO REAL ACUMULADO]]</f>
        <v>0</v>
      </c>
      <c r="O75">
        <f>+AV_PLAN[[#This Row],[TERMINO PLAN ACUMULADO]]-AV_PLAN[[#This Row],[TERMINO REAL ACUMULADO]]</f>
        <v>14</v>
      </c>
      <c r="P7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5" s="7">
        <f>+AV_PLAN[[#This Row],[PLAN ACUMULADO]]/$C$471</f>
        <v>7.9545454545454544E-2</v>
      </c>
      <c r="R75" s="7">
        <f t="shared" si="2"/>
        <v>7.9545454545454544E-2</v>
      </c>
      <c r="S75" s="7">
        <f>+AV_PLAN[[#This Row],[TERMINO PLAN ACUMULADO]]/$G$471</f>
        <v>1.9886363636363636E-2</v>
      </c>
      <c r="T75" s="7">
        <f t="shared" si="3"/>
        <v>0</v>
      </c>
      <c r="U75" s="7">
        <f>+(AV_PLAN[[#This Row],[%AVANCE INICIO PLANIFICADO]]+AV_PLAN[[#This Row],[%AVANCE TERMINO PLANIFICADO]])/2</f>
        <v>4.9715909090909088E-2</v>
      </c>
    </row>
    <row r="76" spans="1:21" x14ac:dyDescent="0.25">
      <c r="A76" s="1">
        <v>46143</v>
      </c>
      <c r="B76">
        <v>0</v>
      </c>
      <c r="C76">
        <v>56</v>
      </c>
      <c r="D76">
        <v>0</v>
      </c>
      <c r="E76">
        <v>56</v>
      </c>
      <c r="F76">
        <v>0</v>
      </c>
      <c r="G76">
        <v>14</v>
      </c>
      <c r="H76">
        <v>0</v>
      </c>
      <c r="I76">
        <v>0</v>
      </c>
      <c r="J76" t="s">
        <v>813</v>
      </c>
      <c r="K76">
        <f>+WEEKNUM(AV_PLAN[[#This Row],[Días]])</f>
        <v>18</v>
      </c>
      <c r="L76" s="4">
        <f>IFERROR(AV_PLAN[[#This Row],[INICIO REAL ACUMULADO]]/AV_PLAN[[#This Row],[PLAN ACUMULADO]],"")</f>
        <v>1</v>
      </c>
      <c r="M76" s="4">
        <f>IFERROR(AV_PLAN[[#This Row],[TERMINO REAL ACUMULADO]]/AV_PLAN[[#This Row],[TERMINO PLAN ACUMULADO]],"")</f>
        <v>0</v>
      </c>
      <c r="N76">
        <f>+AV_PLAN[[#This Row],[PLAN ACUMULADO]]-AV_PLAN[[#This Row],[INICIO REAL ACUMULADO]]</f>
        <v>0</v>
      </c>
      <c r="O76">
        <f>+AV_PLAN[[#This Row],[TERMINO PLAN ACUMULADO]]-AV_PLAN[[#This Row],[TERMINO REAL ACUMULADO]]</f>
        <v>14</v>
      </c>
      <c r="P7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6" s="7">
        <f>+AV_PLAN[[#This Row],[PLAN ACUMULADO]]/$C$471</f>
        <v>7.9545454545454544E-2</v>
      </c>
      <c r="R76" s="7">
        <f t="shared" si="2"/>
        <v>7.9545454545454544E-2</v>
      </c>
      <c r="S76" s="7">
        <f>+AV_PLAN[[#This Row],[TERMINO PLAN ACUMULADO]]/$G$471</f>
        <v>1.9886363636363636E-2</v>
      </c>
      <c r="T76" s="7">
        <f t="shared" si="3"/>
        <v>0</v>
      </c>
      <c r="U76" s="7">
        <f>+(AV_PLAN[[#This Row],[%AVANCE INICIO PLANIFICADO]]+AV_PLAN[[#This Row],[%AVANCE TERMINO PLANIFICADO]])/2</f>
        <v>4.9715909090909088E-2</v>
      </c>
    </row>
    <row r="77" spans="1:21" x14ac:dyDescent="0.25">
      <c r="A77" s="1">
        <v>46144</v>
      </c>
      <c r="B77">
        <v>0</v>
      </c>
      <c r="C77">
        <v>56</v>
      </c>
      <c r="D77">
        <v>0</v>
      </c>
      <c r="E77">
        <v>56</v>
      </c>
      <c r="F77">
        <v>0</v>
      </c>
      <c r="G77">
        <v>14</v>
      </c>
      <c r="H77">
        <v>0</v>
      </c>
      <c r="I77">
        <v>0</v>
      </c>
      <c r="J77" t="s">
        <v>813</v>
      </c>
      <c r="K77">
        <f>+WEEKNUM(AV_PLAN[[#This Row],[Días]])</f>
        <v>18</v>
      </c>
      <c r="L77" s="4">
        <f>IFERROR(AV_PLAN[[#This Row],[INICIO REAL ACUMULADO]]/AV_PLAN[[#This Row],[PLAN ACUMULADO]],"")</f>
        <v>1</v>
      </c>
      <c r="M77" s="4">
        <f>IFERROR(AV_PLAN[[#This Row],[TERMINO REAL ACUMULADO]]/AV_PLAN[[#This Row],[TERMINO PLAN ACUMULADO]],"")</f>
        <v>0</v>
      </c>
      <c r="N77">
        <f>+AV_PLAN[[#This Row],[PLAN ACUMULADO]]-AV_PLAN[[#This Row],[INICIO REAL ACUMULADO]]</f>
        <v>0</v>
      </c>
      <c r="O77">
        <f>+AV_PLAN[[#This Row],[TERMINO PLAN ACUMULADO]]-AV_PLAN[[#This Row],[TERMINO REAL ACUMULADO]]</f>
        <v>14</v>
      </c>
      <c r="P7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7" s="7">
        <f>+AV_PLAN[[#This Row],[PLAN ACUMULADO]]/$C$471</f>
        <v>7.9545454545454544E-2</v>
      </c>
      <c r="R77" s="7">
        <f t="shared" si="2"/>
        <v>7.9545454545454544E-2</v>
      </c>
      <c r="S77" s="7">
        <f>+AV_PLAN[[#This Row],[TERMINO PLAN ACUMULADO]]/$G$471</f>
        <v>1.9886363636363636E-2</v>
      </c>
      <c r="T77" s="7">
        <f t="shared" si="3"/>
        <v>0</v>
      </c>
      <c r="U77" s="7">
        <f>+(AV_PLAN[[#This Row],[%AVANCE INICIO PLANIFICADO]]+AV_PLAN[[#This Row],[%AVANCE TERMINO PLANIFICADO]])/2</f>
        <v>4.9715909090909088E-2</v>
      </c>
    </row>
    <row r="78" spans="1:21" x14ac:dyDescent="0.25">
      <c r="A78" s="1">
        <v>46145</v>
      </c>
      <c r="B78">
        <v>0</v>
      </c>
      <c r="C78">
        <v>56</v>
      </c>
      <c r="D78">
        <v>0</v>
      </c>
      <c r="E78">
        <v>56</v>
      </c>
      <c r="F78">
        <v>0</v>
      </c>
      <c r="G78">
        <v>14</v>
      </c>
      <c r="H78">
        <v>0</v>
      </c>
      <c r="I78">
        <v>0</v>
      </c>
      <c r="J78" t="s">
        <v>813</v>
      </c>
      <c r="K78">
        <f>+WEEKNUM(AV_PLAN[[#This Row],[Días]])</f>
        <v>19</v>
      </c>
      <c r="L78" s="4">
        <f>IFERROR(AV_PLAN[[#This Row],[INICIO REAL ACUMULADO]]/AV_PLAN[[#This Row],[PLAN ACUMULADO]],"")</f>
        <v>1</v>
      </c>
      <c r="M78" s="4">
        <f>IFERROR(AV_PLAN[[#This Row],[TERMINO REAL ACUMULADO]]/AV_PLAN[[#This Row],[TERMINO PLAN ACUMULADO]],"")</f>
        <v>0</v>
      </c>
      <c r="N78">
        <f>+AV_PLAN[[#This Row],[PLAN ACUMULADO]]-AV_PLAN[[#This Row],[INICIO REAL ACUMULADO]]</f>
        <v>0</v>
      </c>
      <c r="O78">
        <f>+AV_PLAN[[#This Row],[TERMINO PLAN ACUMULADO]]-AV_PLAN[[#This Row],[TERMINO REAL ACUMULADO]]</f>
        <v>14</v>
      </c>
      <c r="P7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8" s="7">
        <f>+AV_PLAN[[#This Row],[PLAN ACUMULADO]]/$C$471</f>
        <v>7.9545454545454544E-2</v>
      </c>
      <c r="R78" s="7">
        <f t="shared" si="2"/>
        <v>7.9545454545454544E-2</v>
      </c>
      <c r="S78" s="7">
        <f>+AV_PLAN[[#This Row],[TERMINO PLAN ACUMULADO]]/$G$471</f>
        <v>1.9886363636363636E-2</v>
      </c>
      <c r="T78" s="7">
        <f t="shared" si="3"/>
        <v>0</v>
      </c>
      <c r="U78" s="7">
        <f>+(AV_PLAN[[#This Row],[%AVANCE INICIO PLANIFICADO]]+AV_PLAN[[#This Row],[%AVANCE TERMINO PLANIFICADO]])/2</f>
        <v>4.9715909090909088E-2</v>
      </c>
    </row>
    <row r="79" spans="1:21" x14ac:dyDescent="0.25">
      <c r="A79" s="1">
        <v>46146</v>
      </c>
      <c r="B79">
        <v>2</v>
      </c>
      <c r="C79">
        <v>58</v>
      </c>
      <c r="D79">
        <v>1</v>
      </c>
      <c r="E79">
        <v>57</v>
      </c>
      <c r="F79">
        <v>2</v>
      </c>
      <c r="G79">
        <v>16</v>
      </c>
      <c r="H79">
        <v>0</v>
      </c>
      <c r="I79">
        <v>0</v>
      </c>
      <c r="J79" t="s">
        <v>813</v>
      </c>
      <c r="K79">
        <f>+WEEKNUM(AV_PLAN[[#This Row],[Días]])</f>
        <v>19</v>
      </c>
      <c r="L79" s="4">
        <f>IFERROR(AV_PLAN[[#This Row],[INICIO REAL ACUMULADO]]/AV_PLAN[[#This Row],[PLAN ACUMULADO]],"")</f>
        <v>0.98275862068965514</v>
      </c>
      <c r="M79" s="4">
        <f>IFERROR(AV_PLAN[[#This Row],[TERMINO REAL ACUMULADO]]/AV_PLAN[[#This Row],[TERMINO PLAN ACUMULADO]],"")</f>
        <v>0</v>
      </c>
      <c r="N79">
        <f>+AV_PLAN[[#This Row],[PLAN ACUMULADO]]-AV_PLAN[[#This Row],[INICIO REAL ACUMULADO]]</f>
        <v>1</v>
      </c>
      <c r="O79">
        <f>+AV_PLAN[[#This Row],[TERMINO PLAN ACUMULADO]]-AV_PLAN[[#This Row],[TERMINO REAL ACUMULADO]]</f>
        <v>16</v>
      </c>
      <c r="P7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9" s="7">
        <f>+AV_PLAN[[#This Row],[PLAN ACUMULADO]]/$C$471</f>
        <v>8.2386363636363633E-2</v>
      </c>
      <c r="R79" s="7">
        <f t="shared" si="2"/>
        <v>8.0965909090909088E-2</v>
      </c>
      <c r="S79" s="7">
        <f>+AV_PLAN[[#This Row],[TERMINO PLAN ACUMULADO]]/$G$471</f>
        <v>2.2727272727272728E-2</v>
      </c>
      <c r="T79" s="7">
        <f t="shared" si="3"/>
        <v>0</v>
      </c>
      <c r="U79" s="7">
        <f>+(AV_PLAN[[#This Row],[%AVANCE INICIO PLANIFICADO]]+AV_PLAN[[#This Row],[%AVANCE TERMINO PLANIFICADO]])/2</f>
        <v>5.2556818181818177E-2</v>
      </c>
    </row>
    <row r="80" spans="1:21" x14ac:dyDescent="0.25">
      <c r="A80" s="1">
        <v>46147</v>
      </c>
      <c r="B80">
        <v>2</v>
      </c>
      <c r="C80">
        <v>60</v>
      </c>
      <c r="D80">
        <v>2</v>
      </c>
      <c r="E80">
        <v>59</v>
      </c>
      <c r="F80">
        <v>3</v>
      </c>
      <c r="G80">
        <v>19</v>
      </c>
      <c r="H80">
        <v>0</v>
      </c>
      <c r="I80">
        <v>0</v>
      </c>
      <c r="J80" t="s">
        <v>813</v>
      </c>
      <c r="K80">
        <f>+WEEKNUM(AV_PLAN[[#This Row],[Días]])</f>
        <v>19</v>
      </c>
      <c r="L80" s="4">
        <f>IFERROR(AV_PLAN[[#This Row],[INICIO REAL ACUMULADO]]/AV_PLAN[[#This Row],[PLAN ACUMULADO]],"")</f>
        <v>0.98333333333333328</v>
      </c>
      <c r="M80" s="4">
        <f>IFERROR(AV_PLAN[[#This Row],[TERMINO REAL ACUMULADO]]/AV_PLAN[[#This Row],[TERMINO PLAN ACUMULADO]],"")</f>
        <v>0</v>
      </c>
      <c r="N80">
        <f>+AV_PLAN[[#This Row],[PLAN ACUMULADO]]-AV_PLAN[[#This Row],[INICIO REAL ACUMULADO]]</f>
        <v>1</v>
      </c>
      <c r="O80">
        <f>+AV_PLAN[[#This Row],[TERMINO PLAN ACUMULADO]]-AV_PLAN[[#This Row],[TERMINO REAL ACUMULADO]]</f>
        <v>19</v>
      </c>
      <c r="P8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0" s="7">
        <f>+AV_PLAN[[#This Row],[PLAN ACUMULADO]]/$C$471</f>
        <v>8.5227272727272721E-2</v>
      </c>
      <c r="R80" s="7">
        <f t="shared" si="2"/>
        <v>8.3806818181818177E-2</v>
      </c>
      <c r="S80" s="7">
        <f>+AV_PLAN[[#This Row],[TERMINO PLAN ACUMULADO]]/$G$471</f>
        <v>2.6988636363636364E-2</v>
      </c>
      <c r="T80" s="7">
        <f t="shared" si="3"/>
        <v>0</v>
      </c>
      <c r="U80" s="7">
        <f>+(AV_PLAN[[#This Row],[%AVANCE INICIO PLANIFICADO]]+AV_PLAN[[#This Row],[%AVANCE TERMINO PLANIFICADO]])/2</f>
        <v>5.6107954545454544E-2</v>
      </c>
    </row>
    <row r="81" spans="1:21" x14ac:dyDescent="0.25">
      <c r="A81" s="1">
        <v>46148</v>
      </c>
      <c r="B81">
        <v>2</v>
      </c>
      <c r="C81">
        <v>62</v>
      </c>
      <c r="D81">
        <v>1</v>
      </c>
      <c r="E81">
        <v>60</v>
      </c>
      <c r="F81">
        <v>3</v>
      </c>
      <c r="G81">
        <v>22</v>
      </c>
      <c r="H81">
        <v>0</v>
      </c>
      <c r="I81">
        <v>0</v>
      </c>
      <c r="J81" t="s">
        <v>813</v>
      </c>
      <c r="K81">
        <f>+WEEKNUM(AV_PLAN[[#This Row],[Días]])</f>
        <v>19</v>
      </c>
      <c r="L81" s="4">
        <f>IFERROR(AV_PLAN[[#This Row],[INICIO REAL ACUMULADO]]/AV_PLAN[[#This Row],[PLAN ACUMULADO]],"")</f>
        <v>0.967741935483871</v>
      </c>
      <c r="M81" s="4">
        <f>IFERROR(AV_PLAN[[#This Row],[TERMINO REAL ACUMULADO]]/AV_PLAN[[#This Row],[TERMINO PLAN ACUMULADO]],"")</f>
        <v>0</v>
      </c>
      <c r="N81">
        <f>+AV_PLAN[[#This Row],[PLAN ACUMULADO]]-AV_PLAN[[#This Row],[INICIO REAL ACUMULADO]]</f>
        <v>2</v>
      </c>
      <c r="O81">
        <f>+AV_PLAN[[#This Row],[TERMINO PLAN ACUMULADO]]-AV_PLAN[[#This Row],[TERMINO REAL ACUMULADO]]</f>
        <v>22</v>
      </c>
      <c r="P8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1" s="7">
        <f>+AV_PLAN[[#This Row],[PLAN ACUMULADO]]/$C$471</f>
        <v>8.8068181818181823E-2</v>
      </c>
      <c r="R81" s="7">
        <f t="shared" si="2"/>
        <v>8.5227272727272721E-2</v>
      </c>
      <c r="S81" s="7">
        <f>+AV_PLAN[[#This Row],[TERMINO PLAN ACUMULADO]]/$G$471</f>
        <v>3.125E-2</v>
      </c>
      <c r="T81" s="7">
        <f t="shared" si="3"/>
        <v>0</v>
      </c>
      <c r="U81" s="7">
        <f>+(AV_PLAN[[#This Row],[%AVANCE INICIO PLANIFICADO]]+AV_PLAN[[#This Row],[%AVANCE TERMINO PLANIFICADO]])/2</f>
        <v>5.9659090909090912E-2</v>
      </c>
    </row>
    <row r="82" spans="1:21" x14ac:dyDescent="0.25">
      <c r="A82" s="1">
        <v>46149</v>
      </c>
      <c r="B82">
        <v>2</v>
      </c>
      <c r="C82">
        <v>64</v>
      </c>
      <c r="D82">
        <v>3</v>
      </c>
      <c r="E82">
        <v>63</v>
      </c>
      <c r="F82">
        <v>2</v>
      </c>
      <c r="G82">
        <v>24</v>
      </c>
      <c r="H82">
        <v>0</v>
      </c>
      <c r="I82">
        <v>0</v>
      </c>
      <c r="J82" t="s">
        <v>813</v>
      </c>
      <c r="K82">
        <f>+WEEKNUM(AV_PLAN[[#This Row],[Días]])</f>
        <v>19</v>
      </c>
      <c r="L82" s="4">
        <f>IFERROR(AV_PLAN[[#This Row],[INICIO REAL ACUMULADO]]/AV_PLAN[[#This Row],[PLAN ACUMULADO]],"")</f>
        <v>0.984375</v>
      </c>
      <c r="M82" s="4">
        <f>IFERROR(AV_PLAN[[#This Row],[TERMINO REAL ACUMULADO]]/AV_PLAN[[#This Row],[TERMINO PLAN ACUMULADO]],"")</f>
        <v>0</v>
      </c>
      <c r="N82">
        <f>+AV_PLAN[[#This Row],[PLAN ACUMULADO]]-AV_PLAN[[#This Row],[INICIO REAL ACUMULADO]]</f>
        <v>1</v>
      </c>
      <c r="O82">
        <f>+AV_PLAN[[#This Row],[TERMINO PLAN ACUMULADO]]-AV_PLAN[[#This Row],[TERMINO REAL ACUMULADO]]</f>
        <v>24</v>
      </c>
      <c r="P8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2" s="7">
        <f>+AV_PLAN[[#This Row],[PLAN ACUMULADO]]/$C$471</f>
        <v>9.0909090909090912E-2</v>
      </c>
      <c r="R82" s="7">
        <f t="shared" si="2"/>
        <v>8.9488636363636367E-2</v>
      </c>
      <c r="S82" s="7">
        <f>+AV_PLAN[[#This Row],[TERMINO PLAN ACUMULADO]]/$G$471</f>
        <v>3.4090909090909088E-2</v>
      </c>
      <c r="T82" s="7">
        <f t="shared" si="3"/>
        <v>0</v>
      </c>
      <c r="U82" s="7">
        <f>+(AV_PLAN[[#This Row],[%AVANCE INICIO PLANIFICADO]]+AV_PLAN[[#This Row],[%AVANCE TERMINO PLANIFICADO]])/2</f>
        <v>6.25E-2</v>
      </c>
    </row>
    <row r="83" spans="1:21" x14ac:dyDescent="0.25">
      <c r="A83" s="1">
        <v>46150</v>
      </c>
      <c r="B83">
        <v>2</v>
      </c>
      <c r="C83">
        <v>66</v>
      </c>
      <c r="D83">
        <v>1</v>
      </c>
      <c r="E83">
        <v>64</v>
      </c>
      <c r="F83">
        <v>2</v>
      </c>
      <c r="G83">
        <v>26</v>
      </c>
      <c r="H83">
        <v>1</v>
      </c>
      <c r="I83">
        <v>1</v>
      </c>
      <c r="J83" t="s">
        <v>813</v>
      </c>
      <c r="K83">
        <f>+WEEKNUM(AV_PLAN[[#This Row],[Días]])</f>
        <v>19</v>
      </c>
      <c r="L83" s="4">
        <f>IFERROR(AV_PLAN[[#This Row],[INICIO REAL ACUMULADO]]/AV_PLAN[[#This Row],[PLAN ACUMULADO]],"")</f>
        <v>0.96969696969696972</v>
      </c>
      <c r="M83" s="4">
        <f>IFERROR(AV_PLAN[[#This Row],[TERMINO REAL ACUMULADO]]/AV_PLAN[[#This Row],[TERMINO PLAN ACUMULADO]],"")</f>
        <v>3.8461538461538464E-2</v>
      </c>
      <c r="N83">
        <f>+AV_PLAN[[#This Row],[PLAN ACUMULADO]]-AV_PLAN[[#This Row],[INICIO REAL ACUMULADO]]</f>
        <v>2</v>
      </c>
      <c r="O83">
        <f>+AV_PLAN[[#This Row],[TERMINO PLAN ACUMULADO]]-AV_PLAN[[#This Row],[TERMINO REAL ACUMULADO]]</f>
        <v>25</v>
      </c>
      <c r="P8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3" s="7">
        <f>+AV_PLAN[[#This Row],[PLAN ACUMULADO]]/$C$471</f>
        <v>9.375E-2</v>
      </c>
      <c r="R83" s="7">
        <f t="shared" si="2"/>
        <v>9.0909090909090912E-2</v>
      </c>
      <c r="S83" s="7">
        <f>+AV_PLAN[[#This Row],[TERMINO PLAN ACUMULADO]]/$G$471</f>
        <v>3.6931818181818184E-2</v>
      </c>
      <c r="T83" s="7">
        <f t="shared" si="3"/>
        <v>1.4204545454545455E-3</v>
      </c>
      <c r="U83" s="7">
        <f>+(AV_PLAN[[#This Row],[%AVANCE INICIO PLANIFICADO]]+AV_PLAN[[#This Row],[%AVANCE TERMINO PLANIFICADO]])/2</f>
        <v>6.5340909090909088E-2</v>
      </c>
    </row>
    <row r="84" spans="1:21" x14ac:dyDescent="0.25">
      <c r="A84" s="1">
        <v>46151</v>
      </c>
      <c r="B84">
        <v>0</v>
      </c>
      <c r="C84">
        <v>66</v>
      </c>
      <c r="D84">
        <v>0</v>
      </c>
      <c r="E84">
        <v>64</v>
      </c>
      <c r="F84">
        <v>0</v>
      </c>
      <c r="G84">
        <v>26</v>
      </c>
      <c r="H84">
        <v>0</v>
      </c>
      <c r="I84">
        <v>1</v>
      </c>
      <c r="J84" t="s">
        <v>813</v>
      </c>
      <c r="K84">
        <f>+WEEKNUM(AV_PLAN[[#This Row],[Días]])</f>
        <v>19</v>
      </c>
      <c r="L84" s="4">
        <f>IFERROR(AV_PLAN[[#This Row],[INICIO REAL ACUMULADO]]/AV_PLAN[[#This Row],[PLAN ACUMULADO]],"")</f>
        <v>0.96969696969696972</v>
      </c>
      <c r="M84" s="4">
        <f>IFERROR(AV_PLAN[[#This Row],[TERMINO REAL ACUMULADO]]/AV_PLAN[[#This Row],[TERMINO PLAN ACUMULADO]],"")</f>
        <v>3.8461538461538464E-2</v>
      </c>
      <c r="N84">
        <f>+AV_PLAN[[#This Row],[PLAN ACUMULADO]]-AV_PLAN[[#This Row],[INICIO REAL ACUMULADO]]</f>
        <v>2</v>
      </c>
      <c r="O84">
        <f>+AV_PLAN[[#This Row],[TERMINO PLAN ACUMULADO]]-AV_PLAN[[#This Row],[TERMINO REAL ACUMULADO]]</f>
        <v>25</v>
      </c>
      <c r="P8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4" s="7">
        <f>+AV_PLAN[[#This Row],[PLAN ACUMULADO]]/$C$471</f>
        <v>9.375E-2</v>
      </c>
      <c r="R84" s="7">
        <f t="shared" si="2"/>
        <v>9.0909090909090912E-2</v>
      </c>
      <c r="S84" s="7">
        <f>+AV_PLAN[[#This Row],[TERMINO PLAN ACUMULADO]]/$G$471</f>
        <v>3.6931818181818184E-2</v>
      </c>
      <c r="T84" s="7">
        <f t="shared" si="3"/>
        <v>1.4204545454545455E-3</v>
      </c>
      <c r="U84" s="7">
        <f>+(AV_PLAN[[#This Row],[%AVANCE INICIO PLANIFICADO]]+AV_PLAN[[#This Row],[%AVANCE TERMINO PLANIFICADO]])/2</f>
        <v>6.5340909090909088E-2</v>
      </c>
    </row>
    <row r="85" spans="1:21" x14ac:dyDescent="0.25">
      <c r="A85" s="1">
        <v>46152</v>
      </c>
      <c r="B85">
        <v>0</v>
      </c>
      <c r="C85">
        <v>66</v>
      </c>
      <c r="D85">
        <v>0</v>
      </c>
      <c r="E85">
        <v>64</v>
      </c>
      <c r="F85">
        <v>0</v>
      </c>
      <c r="G85">
        <v>26</v>
      </c>
      <c r="H85">
        <v>0</v>
      </c>
      <c r="I85">
        <v>1</v>
      </c>
      <c r="J85" t="s">
        <v>813</v>
      </c>
      <c r="K85">
        <f>+WEEKNUM(AV_PLAN[[#This Row],[Días]])</f>
        <v>20</v>
      </c>
      <c r="L85" s="4">
        <f>IFERROR(AV_PLAN[[#This Row],[INICIO REAL ACUMULADO]]/AV_PLAN[[#This Row],[PLAN ACUMULADO]],"")</f>
        <v>0.96969696969696972</v>
      </c>
      <c r="M85" s="4">
        <f>IFERROR(AV_PLAN[[#This Row],[TERMINO REAL ACUMULADO]]/AV_PLAN[[#This Row],[TERMINO PLAN ACUMULADO]],"")</f>
        <v>3.8461538461538464E-2</v>
      </c>
      <c r="N85">
        <f>+AV_PLAN[[#This Row],[PLAN ACUMULADO]]-AV_PLAN[[#This Row],[INICIO REAL ACUMULADO]]</f>
        <v>2</v>
      </c>
      <c r="O85">
        <f>+AV_PLAN[[#This Row],[TERMINO PLAN ACUMULADO]]-AV_PLAN[[#This Row],[TERMINO REAL ACUMULADO]]</f>
        <v>25</v>
      </c>
      <c r="P8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5" s="7">
        <f>+AV_PLAN[[#This Row],[PLAN ACUMULADO]]/$C$471</f>
        <v>9.375E-2</v>
      </c>
      <c r="R85" s="7">
        <f t="shared" si="2"/>
        <v>9.0909090909090912E-2</v>
      </c>
      <c r="S85" s="7">
        <f>+AV_PLAN[[#This Row],[TERMINO PLAN ACUMULADO]]/$G$471</f>
        <v>3.6931818181818184E-2</v>
      </c>
      <c r="T85" s="7">
        <f t="shared" si="3"/>
        <v>1.4204545454545455E-3</v>
      </c>
      <c r="U85" s="7">
        <f>+(AV_PLAN[[#This Row],[%AVANCE INICIO PLANIFICADO]]+AV_PLAN[[#This Row],[%AVANCE TERMINO PLANIFICADO]])/2</f>
        <v>6.5340909090909088E-2</v>
      </c>
    </row>
    <row r="86" spans="1:21" x14ac:dyDescent="0.25">
      <c r="A86" s="1">
        <v>46153</v>
      </c>
      <c r="B86">
        <v>2</v>
      </c>
      <c r="C86">
        <v>68</v>
      </c>
      <c r="D86">
        <v>1</v>
      </c>
      <c r="E86">
        <v>65</v>
      </c>
      <c r="F86">
        <v>2</v>
      </c>
      <c r="G86">
        <v>28</v>
      </c>
      <c r="H86">
        <v>1</v>
      </c>
      <c r="I86">
        <v>2</v>
      </c>
      <c r="J86" t="s">
        <v>813</v>
      </c>
      <c r="K86">
        <f>+WEEKNUM(AV_PLAN[[#This Row],[Días]])</f>
        <v>20</v>
      </c>
      <c r="L86" s="4">
        <f>IFERROR(AV_PLAN[[#This Row],[INICIO REAL ACUMULADO]]/AV_PLAN[[#This Row],[PLAN ACUMULADO]],"")</f>
        <v>0.95588235294117652</v>
      </c>
      <c r="M86" s="4">
        <f>IFERROR(AV_PLAN[[#This Row],[TERMINO REAL ACUMULADO]]/AV_PLAN[[#This Row],[TERMINO PLAN ACUMULADO]],"")</f>
        <v>7.1428571428571425E-2</v>
      </c>
      <c r="N86">
        <f>+AV_PLAN[[#This Row],[PLAN ACUMULADO]]-AV_PLAN[[#This Row],[INICIO REAL ACUMULADO]]</f>
        <v>3</v>
      </c>
      <c r="O86">
        <f>+AV_PLAN[[#This Row],[TERMINO PLAN ACUMULADO]]-AV_PLAN[[#This Row],[TERMINO REAL ACUMULADO]]</f>
        <v>26</v>
      </c>
      <c r="P8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6" s="7">
        <f>+AV_PLAN[[#This Row],[PLAN ACUMULADO]]/$C$471</f>
        <v>9.6590909090909088E-2</v>
      </c>
      <c r="R86" s="7">
        <f t="shared" si="2"/>
        <v>9.2329545454545456E-2</v>
      </c>
      <c r="S86" s="7">
        <f>+AV_PLAN[[#This Row],[TERMINO PLAN ACUMULADO]]/$G$471</f>
        <v>3.9772727272727272E-2</v>
      </c>
      <c r="T86" s="7">
        <f t="shared" si="3"/>
        <v>2.840909090909091E-3</v>
      </c>
      <c r="U86" s="7">
        <f>+(AV_PLAN[[#This Row],[%AVANCE INICIO PLANIFICADO]]+AV_PLAN[[#This Row],[%AVANCE TERMINO PLANIFICADO]])/2</f>
        <v>6.8181818181818177E-2</v>
      </c>
    </row>
    <row r="87" spans="1:21" x14ac:dyDescent="0.25">
      <c r="A87" s="1">
        <v>46154</v>
      </c>
      <c r="B87">
        <v>2</v>
      </c>
      <c r="C87">
        <v>70</v>
      </c>
      <c r="D87">
        <v>2</v>
      </c>
      <c r="E87">
        <v>67</v>
      </c>
      <c r="F87">
        <v>2</v>
      </c>
      <c r="G87">
        <v>30</v>
      </c>
      <c r="H87">
        <v>0</v>
      </c>
      <c r="I87">
        <v>2</v>
      </c>
      <c r="J87" t="s">
        <v>813</v>
      </c>
      <c r="K87">
        <f>+WEEKNUM(AV_PLAN[[#This Row],[Días]])</f>
        <v>20</v>
      </c>
      <c r="L87" s="4">
        <f>IFERROR(AV_PLAN[[#This Row],[INICIO REAL ACUMULADO]]/AV_PLAN[[#This Row],[PLAN ACUMULADO]],"")</f>
        <v>0.95714285714285718</v>
      </c>
      <c r="M87" s="4">
        <f>IFERROR(AV_PLAN[[#This Row],[TERMINO REAL ACUMULADO]]/AV_PLAN[[#This Row],[TERMINO PLAN ACUMULADO]],"")</f>
        <v>6.6666666666666666E-2</v>
      </c>
      <c r="N87">
        <f>+AV_PLAN[[#This Row],[PLAN ACUMULADO]]-AV_PLAN[[#This Row],[INICIO REAL ACUMULADO]]</f>
        <v>3</v>
      </c>
      <c r="O87">
        <f>+AV_PLAN[[#This Row],[TERMINO PLAN ACUMULADO]]-AV_PLAN[[#This Row],[TERMINO REAL ACUMULADO]]</f>
        <v>28</v>
      </c>
      <c r="P8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7" s="7">
        <f>+AV_PLAN[[#This Row],[PLAN ACUMULADO]]/$C$471</f>
        <v>9.9431818181818177E-2</v>
      </c>
      <c r="R87" s="7">
        <f t="shared" si="2"/>
        <v>9.5170454545454544E-2</v>
      </c>
      <c r="S87" s="7">
        <f>+AV_PLAN[[#This Row],[TERMINO PLAN ACUMULADO]]/$G$471</f>
        <v>4.261363636363636E-2</v>
      </c>
      <c r="T87" s="7">
        <f t="shared" si="3"/>
        <v>2.840909090909091E-3</v>
      </c>
      <c r="U87" s="7">
        <f>+(AV_PLAN[[#This Row],[%AVANCE INICIO PLANIFICADO]]+AV_PLAN[[#This Row],[%AVANCE TERMINO PLANIFICADO]])/2</f>
        <v>7.1022727272727265E-2</v>
      </c>
    </row>
    <row r="88" spans="1:21" x14ac:dyDescent="0.25">
      <c r="A88" s="1">
        <v>46155</v>
      </c>
      <c r="B88">
        <v>2</v>
      </c>
      <c r="C88">
        <v>72</v>
      </c>
      <c r="D88">
        <v>0</v>
      </c>
      <c r="E88">
        <v>67</v>
      </c>
      <c r="F88">
        <v>2</v>
      </c>
      <c r="G88">
        <v>32</v>
      </c>
      <c r="H88">
        <v>0</v>
      </c>
      <c r="I88">
        <v>2</v>
      </c>
      <c r="J88" t="s">
        <v>813</v>
      </c>
      <c r="K88">
        <f>+WEEKNUM(AV_PLAN[[#This Row],[Días]])</f>
        <v>20</v>
      </c>
      <c r="L88" s="4">
        <f>IFERROR(AV_PLAN[[#This Row],[INICIO REAL ACUMULADO]]/AV_PLAN[[#This Row],[PLAN ACUMULADO]],"")</f>
        <v>0.93055555555555558</v>
      </c>
      <c r="M88" s="4">
        <f>IFERROR(AV_PLAN[[#This Row],[TERMINO REAL ACUMULADO]]/AV_PLAN[[#This Row],[TERMINO PLAN ACUMULADO]],"")</f>
        <v>6.25E-2</v>
      </c>
      <c r="N88">
        <f>+AV_PLAN[[#This Row],[PLAN ACUMULADO]]-AV_PLAN[[#This Row],[INICIO REAL ACUMULADO]]</f>
        <v>5</v>
      </c>
      <c r="O88">
        <f>+AV_PLAN[[#This Row],[TERMINO PLAN ACUMULADO]]-AV_PLAN[[#This Row],[TERMINO REAL ACUMULADO]]</f>
        <v>30</v>
      </c>
      <c r="P8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8" s="7">
        <f>+AV_PLAN[[#This Row],[PLAN ACUMULADO]]/$C$471</f>
        <v>0.10227272727272728</v>
      </c>
      <c r="R88" s="7">
        <f t="shared" si="2"/>
        <v>9.5170454545454544E-2</v>
      </c>
      <c r="S88" s="7">
        <f>+AV_PLAN[[#This Row],[TERMINO PLAN ACUMULADO]]/$G$471</f>
        <v>4.5454545454545456E-2</v>
      </c>
      <c r="T88" s="7">
        <f t="shared" si="3"/>
        <v>2.840909090909091E-3</v>
      </c>
      <c r="U88" s="7">
        <f>+(AV_PLAN[[#This Row],[%AVANCE INICIO PLANIFICADO]]+AV_PLAN[[#This Row],[%AVANCE TERMINO PLANIFICADO]])/2</f>
        <v>7.3863636363636367E-2</v>
      </c>
    </row>
    <row r="89" spans="1:21" x14ac:dyDescent="0.25">
      <c r="A89" s="1">
        <v>46156</v>
      </c>
      <c r="B89">
        <v>2</v>
      </c>
      <c r="C89">
        <v>74</v>
      </c>
      <c r="D89">
        <v>3</v>
      </c>
      <c r="E89">
        <v>70</v>
      </c>
      <c r="F89">
        <v>2</v>
      </c>
      <c r="G89">
        <v>34</v>
      </c>
      <c r="H89">
        <v>8</v>
      </c>
      <c r="I89">
        <v>10</v>
      </c>
      <c r="J89" t="s">
        <v>813</v>
      </c>
      <c r="K89">
        <f>+WEEKNUM(AV_PLAN[[#This Row],[Días]])</f>
        <v>20</v>
      </c>
      <c r="L89" s="4">
        <f>IFERROR(AV_PLAN[[#This Row],[INICIO REAL ACUMULADO]]/AV_PLAN[[#This Row],[PLAN ACUMULADO]],"")</f>
        <v>0.94594594594594594</v>
      </c>
      <c r="M89" s="4">
        <f>IFERROR(AV_PLAN[[#This Row],[TERMINO REAL ACUMULADO]]/AV_PLAN[[#This Row],[TERMINO PLAN ACUMULADO]],"")</f>
        <v>0.29411764705882354</v>
      </c>
      <c r="N89">
        <f>+AV_PLAN[[#This Row],[PLAN ACUMULADO]]-AV_PLAN[[#This Row],[INICIO REAL ACUMULADO]]</f>
        <v>4</v>
      </c>
      <c r="O89">
        <f>+AV_PLAN[[#This Row],[TERMINO PLAN ACUMULADO]]-AV_PLAN[[#This Row],[TERMINO REAL ACUMULADO]]</f>
        <v>24</v>
      </c>
      <c r="P8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9" s="7">
        <f>+AV_PLAN[[#This Row],[PLAN ACUMULADO]]/$C$471</f>
        <v>0.10511363636363637</v>
      </c>
      <c r="R89" s="7">
        <f t="shared" si="2"/>
        <v>9.9431818181818177E-2</v>
      </c>
      <c r="S89" s="7">
        <f>+AV_PLAN[[#This Row],[TERMINO PLAN ACUMULADO]]/$G$471</f>
        <v>4.8295454545454544E-2</v>
      </c>
      <c r="T89" s="7">
        <f t="shared" si="3"/>
        <v>1.4204545454545454E-2</v>
      </c>
      <c r="U89" s="7">
        <f>+(AV_PLAN[[#This Row],[%AVANCE INICIO PLANIFICADO]]+AV_PLAN[[#This Row],[%AVANCE TERMINO PLANIFICADO]])/2</f>
        <v>7.6704545454545456E-2</v>
      </c>
    </row>
    <row r="90" spans="1:21" x14ac:dyDescent="0.25">
      <c r="A90" s="1">
        <v>46157</v>
      </c>
      <c r="B90">
        <v>2</v>
      </c>
      <c r="C90">
        <v>76</v>
      </c>
      <c r="D90">
        <v>0</v>
      </c>
      <c r="E90">
        <v>70</v>
      </c>
      <c r="F90">
        <v>2</v>
      </c>
      <c r="G90">
        <v>36</v>
      </c>
      <c r="H90">
        <v>2</v>
      </c>
      <c r="I90">
        <v>12</v>
      </c>
      <c r="J90" t="s">
        <v>813</v>
      </c>
      <c r="K90">
        <f>+WEEKNUM(AV_PLAN[[#This Row],[Días]])</f>
        <v>20</v>
      </c>
      <c r="L90" s="4">
        <f>IFERROR(AV_PLAN[[#This Row],[INICIO REAL ACUMULADO]]/AV_PLAN[[#This Row],[PLAN ACUMULADO]],"")</f>
        <v>0.92105263157894735</v>
      </c>
      <c r="M90" s="4">
        <f>IFERROR(AV_PLAN[[#This Row],[TERMINO REAL ACUMULADO]]/AV_PLAN[[#This Row],[TERMINO PLAN ACUMULADO]],"")</f>
        <v>0.33333333333333331</v>
      </c>
      <c r="N90">
        <f>+AV_PLAN[[#This Row],[PLAN ACUMULADO]]-AV_PLAN[[#This Row],[INICIO REAL ACUMULADO]]</f>
        <v>6</v>
      </c>
      <c r="O90">
        <f>+AV_PLAN[[#This Row],[TERMINO PLAN ACUMULADO]]-AV_PLAN[[#This Row],[TERMINO REAL ACUMULADO]]</f>
        <v>24</v>
      </c>
      <c r="P9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0" s="7">
        <f>+AV_PLAN[[#This Row],[PLAN ACUMULADO]]/$C$471</f>
        <v>0.10795454545454546</v>
      </c>
      <c r="R90" s="7">
        <f t="shared" si="2"/>
        <v>9.9431818181818177E-2</v>
      </c>
      <c r="S90" s="7">
        <f>+AV_PLAN[[#This Row],[TERMINO PLAN ACUMULADO]]/$G$471</f>
        <v>5.113636363636364E-2</v>
      </c>
      <c r="T90" s="7">
        <f t="shared" si="3"/>
        <v>1.7045454545454544E-2</v>
      </c>
      <c r="U90" s="7">
        <f>+(AV_PLAN[[#This Row],[%AVANCE INICIO PLANIFICADO]]+AV_PLAN[[#This Row],[%AVANCE TERMINO PLANIFICADO]])/2</f>
        <v>7.9545454545454544E-2</v>
      </c>
    </row>
    <row r="91" spans="1:21" x14ac:dyDescent="0.25">
      <c r="A91" s="1">
        <v>46158</v>
      </c>
      <c r="B91">
        <v>0</v>
      </c>
      <c r="C91">
        <v>76</v>
      </c>
      <c r="D91">
        <v>3</v>
      </c>
      <c r="E91">
        <v>73</v>
      </c>
      <c r="F91">
        <v>0</v>
      </c>
      <c r="G91">
        <v>36</v>
      </c>
      <c r="H91">
        <v>0</v>
      </c>
      <c r="I91">
        <v>12</v>
      </c>
      <c r="J91" t="s">
        <v>813</v>
      </c>
      <c r="K91">
        <f>+WEEKNUM(AV_PLAN[[#This Row],[Días]])</f>
        <v>20</v>
      </c>
      <c r="L91" s="4">
        <f>IFERROR(AV_PLAN[[#This Row],[INICIO REAL ACUMULADO]]/AV_PLAN[[#This Row],[PLAN ACUMULADO]],"")</f>
        <v>0.96052631578947367</v>
      </c>
      <c r="M91" s="4">
        <f>IFERROR(AV_PLAN[[#This Row],[TERMINO REAL ACUMULADO]]/AV_PLAN[[#This Row],[TERMINO PLAN ACUMULADO]],"")</f>
        <v>0.33333333333333331</v>
      </c>
      <c r="N91">
        <f>+AV_PLAN[[#This Row],[PLAN ACUMULADO]]-AV_PLAN[[#This Row],[INICIO REAL ACUMULADO]]</f>
        <v>3</v>
      </c>
      <c r="O91">
        <f>+AV_PLAN[[#This Row],[TERMINO PLAN ACUMULADO]]-AV_PLAN[[#This Row],[TERMINO REAL ACUMULADO]]</f>
        <v>24</v>
      </c>
      <c r="P9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1" s="7">
        <f>+AV_PLAN[[#This Row],[PLAN ACUMULADO]]/$C$471</f>
        <v>0.10795454545454546</v>
      </c>
      <c r="R91" s="7">
        <f t="shared" si="2"/>
        <v>0.10369318181818182</v>
      </c>
      <c r="S91" s="7">
        <f>+AV_PLAN[[#This Row],[TERMINO PLAN ACUMULADO]]/$G$471</f>
        <v>5.113636363636364E-2</v>
      </c>
      <c r="T91" s="7">
        <f t="shared" si="3"/>
        <v>1.7045454545454544E-2</v>
      </c>
      <c r="U91" s="7">
        <f>+(AV_PLAN[[#This Row],[%AVANCE INICIO PLANIFICADO]]+AV_PLAN[[#This Row],[%AVANCE TERMINO PLANIFICADO]])/2</f>
        <v>7.9545454545454544E-2</v>
      </c>
    </row>
    <row r="92" spans="1:21" x14ac:dyDescent="0.25">
      <c r="A92" s="1">
        <v>46159</v>
      </c>
      <c r="B92">
        <v>0</v>
      </c>
      <c r="C92">
        <v>76</v>
      </c>
      <c r="D92">
        <v>0</v>
      </c>
      <c r="E92">
        <v>73</v>
      </c>
      <c r="F92">
        <v>0</v>
      </c>
      <c r="G92">
        <v>36</v>
      </c>
      <c r="H92">
        <v>0</v>
      </c>
      <c r="I92">
        <v>12</v>
      </c>
      <c r="J92" t="s">
        <v>813</v>
      </c>
      <c r="K92">
        <f>+WEEKNUM(AV_PLAN[[#This Row],[Días]])</f>
        <v>21</v>
      </c>
      <c r="L92" s="4">
        <f>IFERROR(AV_PLAN[[#This Row],[INICIO REAL ACUMULADO]]/AV_PLAN[[#This Row],[PLAN ACUMULADO]],"")</f>
        <v>0.96052631578947367</v>
      </c>
      <c r="M92" s="4">
        <f>IFERROR(AV_PLAN[[#This Row],[TERMINO REAL ACUMULADO]]/AV_PLAN[[#This Row],[TERMINO PLAN ACUMULADO]],"")</f>
        <v>0.33333333333333331</v>
      </c>
      <c r="N92">
        <f>+AV_PLAN[[#This Row],[PLAN ACUMULADO]]-AV_PLAN[[#This Row],[INICIO REAL ACUMULADO]]</f>
        <v>3</v>
      </c>
      <c r="O92">
        <f>+AV_PLAN[[#This Row],[TERMINO PLAN ACUMULADO]]-AV_PLAN[[#This Row],[TERMINO REAL ACUMULADO]]</f>
        <v>24</v>
      </c>
      <c r="P9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2" s="7">
        <f>+AV_PLAN[[#This Row],[PLAN ACUMULADO]]/$C$471</f>
        <v>0.10795454545454546</v>
      </c>
      <c r="R92" s="7">
        <f t="shared" si="2"/>
        <v>0.10369318181818182</v>
      </c>
      <c r="S92" s="7">
        <f>+AV_PLAN[[#This Row],[TERMINO PLAN ACUMULADO]]/$G$471</f>
        <v>5.113636363636364E-2</v>
      </c>
      <c r="T92" s="7">
        <f t="shared" si="3"/>
        <v>1.7045454545454544E-2</v>
      </c>
      <c r="U92" s="7">
        <f>+(AV_PLAN[[#This Row],[%AVANCE INICIO PLANIFICADO]]+AV_PLAN[[#This Row],[%AVANCE TERMINO PLANIFICADO]])/2</f>
        <v>7.9545454545454544E-2</v>
      </c>
    </row>
    <row r="93" spans="1:21" x14ac:dyDescent="0.25">
      <c r="A93" s="1">
        <v>46160</v>
      </c>
      <c r="B93">
        <v>2</v>
      </c>
      <c r="C93">
        <v>78</v>
      </c>
      <c r="D93">
        <v>1</v>
      </c>
      <c r="E93">
        <v>74</v>
      </c>
      <c r="F93">
        <v>2</v>
      </c>
      <c r="G93">
        <v>38</v>
      </c>
      <c r="H93">
        <v>2</v>
      </c>
      <c r="I93">
        <v>14</v>
      </c>
      <c r="J93" t="s">
        <v>813</v>
      </c>
      <c r="K93">
        <f>+WEEKNUM(AV_PLAN[[#This Row],[Días]])</f>
        <v>21</v>
      </c>
      <c r="L93" s="4">
        <f>IFERROR(AV_PLAN[[#This Row],[INICIO REAL ACUMULADO]]/AV_PLAN[[#This Row],[PLAN ACUMULADO]],"")</f>
        <v>0.94871794871794868</v>
      </c>
      <c r="M93" s="4">
        <f>IFERROR(AV_PLAN[[#This Row],[TERMINO REAL ACUMULADO]]/AV_PLAN[[#This Row],[TERMINO PLAN ACUMULADO]],"")</f>
        <v>0.36842105263157893</v>
      </c>
      <c r="N93">
        <f>+AV_PLAN[[#This Row],[PLAN ACUMULADO]]-AV_PLAN[[#This Row],[INICIO REAL ACUMULADO]]</f>
        <v>4</v>
      </c>
      <c r="O93">
        <f>+AV_PLAN[[#This Row],[TERMINO PLAN ACUMULADO]]-AV_PLAN[[#This Row],[TERMINO REAL ACUMULADO]]</f>
        <v>24</v>
      </c>
      <c r="P9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3" s="7">
        <f>+AV_PLAN[[#This Row],[PLAN ACUMULADO]]/$C$471</f>
        <v>0.11079545454545454</v>
      </c>
      <c r="R93" s="7">
        <f t="shared" si="2"/>
        <v>0.10511363636363637</v>
      </c>
      <c r="S93" s="7">
        <f>+AV_PLAN[[#This Row],[TERMINO PLAN ACUMULADO]]/$G$471</f>
        <v>5.3977272727272728E-2</v>
      </c>
      <c r="T93" s="7">
        <f t="shared" si="3"/>
        <v>1.9886363636363636E-2</v>
      </c>
      <c r="U93" s="7">
        <f>+(AV_PLAN[[#This Row],[%AVANCE INICIO PLANIFICADO]]+AV_PLAN[[#This Row],[%AVANCE TERMINO PLANIFICADO]])/2</f>
        <v>8.2386363636363633E-2</v>
      </c>
    </row>
    <row r="94" spans="1:21" x14ac:dyDescent="0.25">
      <c r="A94" s="1">
        <v>46161</v>
      </c>
      <c r="B94">
        <v>2</v>
      </c>
      <c r="C94">
        <v>80</v>
      </c>
      <c r="D94">
        <v>1</v>
      </c>
      <c r="E94">
        <v>75</v>
      </c>
      <c r="F94">
        <v>2</v>
      </c>
      <c r="G94">
        <v>40</v>
      </c>
      <c r="H94">
        <v>1</v>
      </c>
      <c r="I94">
        <v>15</v>
      </c>
      <c r="J94" t="s">
        <v>813</v>
      </c>
      <c r="K94">
        <f>+WEEKNUM(AV_PLAN[[#This Row],[Días]])</f>
        <v>21</v>
      </c>
      <c r="L94" s="4">
        <f>IFERROR(AV_PLAN[[#This Row],[INICIO REAL ACUMULADO]]/AV_PLAN[[#This Row],[PLAN ACUMULADO]],"")</f>
        <v>0.9375</v>
      </c>
      <c r="M94" s="4">
        <f>IFERROR(AV_PLAN[[#This Row],[TERMINO REAL ACUMULADO]]/AV_PLAN[[#This Row],[TERMINO PLAN ACUMULADO]],"")</f>
        <v>0.375</v>
      </c>
      <c r="N94">
        <f>+AV_PLAN[[#This Row],[PLAN ACUMULADO]]-AV_PLAN[[#This Row],[INICIO REAL ACUMULADO]]</f>
        <v>5</v>
      </c>
      <c r="O94">
        <f>+AV_PLAN[[#This Row],[TERMINO PLAN ACUMULADO]]-AV_PLAN[[#This Row],[TERMINO REAL ACUMULADO]]</f>
        <v>25</v>
      </c>
      <c r="P9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4" s="7">
        <f>+AV_PLAN[[#This Row],[PLAN ACUMULADO]]/$C$471</f>
        <v>0.11363636363636363</v>
      </c>
      <c r="R94" s="7">
        <f t="shared" si="2"/>
        <v>0.10653409090909091</v>
      </c>
      <c r="S94" s="7">
        <f>+AV_PLAN[[#This Row],[TERMINO PLAN ACUMULADO]]/$G$471</f>
        <v>5.6818181818181816E-2</v>
      </c>
      <c r="T94" s="7">
        <f t="shared" si="3"/>
        <v>2.130681818181818E-2</v>
      </c>
      <c r="U94" s="7">
        <f>+(AV_PLAN[[#This Row],[%AVANCE INICIO PLANIFICADO]]+AV_PLAN[[#This Row],[%AVANCE TERMINO PLANIFICADO]])/2</f>
        <v>8.5227272727272721E-2</v>
      </c>
    </row>
    <row r="95" spans="1:21" x14ac:dyDescent="0.25">
      <c r="A95" s="1">
        <v>46162</v>
      </c>
      <c r="B95">
        <v>2</v>
      </c>
      <c r="C95">
        <v>82</v>
      </c>
      <c r="D95">
        <v>1</v>
      </c>
      <c r="E95">
        <v>76</v>
      </c>
      <c r="F95">
        <v>2</v>
      </c>
      <c r="G95">
        <v>42</v>
      </c>
      <c r="H95">
        <v>2</v>
      </c>
      <c r="I95">
        <v>17</v>
      </c>
      <c r="J95" t="s">
        <v>813</v>
      </c>
      <c r="K95">
        <f>+WEEKNUM(AV_PLAN[[#This Row],[Días]])</f>
        <v>21</v>
      </c>
      <c r="L95" s="4">
        <f>IFERROR(AV_PLAN[[#This Row],[INICIO REAL ACUMULADO]]/AV_PLAN[[#This Row],[PLAN ACUMULADO]],"")</f>
        <v>0.92682926829268297</v>
      </c>
      <c r="M95" s="4">
        <f>IFERROR(AV_PLAN[[#This Row],[TERMINO REAL ACUMULADO]]/AV_PLAN[[#This Row],[TERMINO PLAN ACUMULADO]],"")</f>
        <v>0.40476190476190477</v>
      </c>
      <c r="N95">
        <f>+AV_PLAN[[#This Row],[PLAN ACUMULADO]]-AV_PLAN[[#This Row],[INICIO REAL ACUMULADO]]</f>
        <v>6</v>
      </c>
      <c r="O95">
        <f>+AV_PLAN[[#This Row],[TERMINO PLAN ACUMULADO]]-AV_PLAN[[#This Row],[TERMINO REAL ACUMULADO]]</f>
        <v>25</v>
      </c>
      <c r="P9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5" s="7">
        <f>+AV_PLAN[[#This Row],[PLAN ACUMULADO]]/$C$471</f>
        <v>0.11647727272727272</v>
      </c>
      <c r="R95" s="7">
        <f t="shared" si="2"/>
        <v>0.10795454545454546</v>
      </c>
      <c r="S95" s="7">
        <f>+AV_PLAN[[#This Row],[TERMINO PLAN ACUMULADO]]/$G$471</f>
        <v>5.9659090909090912E-2</v>
      </c>
      <c r="T95" s="7">
        <f t="shared" si="3"/>
        <v>2.4147727272727272E-2</v>
      </c>
      <c r="U95" s="7">
        <f>+(AV_PLAN[[#This Row],[%AVANCE INICIO PLANIFICADO]]+AV_PLAN[[#This Row],[%AVANCE TERMINO PLANIFICADO]])/2</f>
        <v>8.8068181818181823E-2</v>
      </c>
    </row>
    <row r="96" spans="1:21" x14ac:dyDescent="0.25">
      <c r="A96" s="1">
        <v>46163</v>
      </c>
      <c r="B96">
        <v>0</v>
      </c>
      <c r="C96">
        <v>82</v>
      </c>
      <c r="D96">
        <v>0</v>
      </c>
      <c r="E96">
        <v>76</v>
      </c>
      <c r="F96">
        <v>0</v>
      </c>
      <c r="G96">
        <v>42</v>
      </c>
      <c r="H96">
        <v>0</v>
      </c>
      <c r="I96">
        <v>17</v>
      </c>
      <c r="J96" t="s">
        <v>813</v>
      </c>
      <c r="K96">
        <f>+WEEKNUM(AV_PLAN[[#This Row],[Días]])</f>
        <v>21</v>
      </c>
      <c r="L96" s="4">
        <f>IFERROR(AV_PLAN[[#This Row],[INICIO REAL ACUMULADO]]/AV_PLAN[[#This Row],[PLAN ACUMULADO]],"")</f>
        <v>0.92682926829268297</v>
      </c>
      <c r="M96" s="4">
        <f>IFERROR(AV_PLAN[[#This Row],[TERMINO REAL ACUMULADO]]/AV_PLAN[[#This Row],[TERMINO PLAN ACUMULADO]],"")</f>
        <v>0.40476190476190477</v>
      </c>
      <c r="N96">
        <f>+AV_PLAN[[#This Row],[PLAN ACUMULADO]]-AV_PLAN[[#This Row],[INICIO REAL ACUMULADO]]</f>
        <v>6</v>
      </c>
      <c r="O96">
        <f>+AV_PLAN[[#This Row],[TERMINO PLAN ACUMULADO]]-AV_PLAN[[#This Row],[TERMINO REAL ACUMULADO]]</f>
        <v>25</v>
      </c>
      <c r="P9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6" s="7">
        <f>+AV_PLAN[[#This Row],[PLAN ACUMULADO]]/$C$471</f>
        <v>0.11647727272727272</v>
      </c>
      <c r="R96" s="7">
        <f t="shared" si="2"/>
        <v>0.10795454545454546</v>
      </c>
      <c r="S96" s="7">
        <f>+AV_PLAN[[#This Row],[TERMINO PLAN ACUMULADO]]/$G$471</f>
        <v>5.9659090909090912E-2</v>
      </c>
      <c r="T96" s="7">
        <f t="shared" si="3"/>
        <v>2.4147727272727272E-2</v>
      </c>
      <c r="U96" s="7">
        <f>+(AV_PLAN[[#This Row],[%AVANCE INICIO PLANIFICADO]]+AV_PLAN[[#This Row],[%AVANCE TERMINO PLANIFICADO]])/2</f>
        <v>8.8068181818181823E-2</v>
      </c>
    </row>
    <row r="97" spans="1:21" x14ac:dyDescent="0.25">
      <c r="A97" s="1">
        <v>46164</v>
      </c>
      <c r="B97">
        <v>2</v>
      </c>
      <c r="C97">
        <v>84</v>
      </c>
      <c r="D97">
        <v>0</v>
      </c>
      <c r="E97">
        <v>76</v>
      </c>
      <c r="F97">
        <v>2</v>
      </c>
      <c r="G97">
        <v>44</v>
      </c>
      <c r="H97">
        <v>0</v>
      </c>
      <c r="I97">
        <v>17</v>
      </c>
      <c r="J97" t="s">
        <v>813</v>
      </c>
      <c r="K97">
        <f>+WEEKNUM(AV_PLAN[[#This Row],[Días]])</f>
        <v>21</v>
      </c>
      <c r="L97" s="4">
        <f>IFERROR(AV_PLAN[[#This Row],[INICIO REAL ACUMULADO]]/AV_PLAN[[#This Row],[PLAN ACUMULADO]],"")</f>
        <v>0.90476190476190477</v>
      </c>
      <c r="M97" s="4">
        <f>IFERROR(AV_PLAN[[#This Row],[TERMINO REAL ACUMULADO]]/AV_PLAN[[#This Row],[TERMINO PLAN ACUMULADO]],"")</f>
        <v>0.38636363636363635</v>
      </c>
      <c r="N97">
        <f>+AV_PLAN[[#This Row],[PLAN ACUMULADO]]-AV_PLAN[[#This Row],[INICIO REAL ACUMULADO]]</f>
        <v>8</v>
      </c>
      <c r="O97">
        <f>+AV_PLAN[[#This Row],[TERMINO PLAN ACUMULADO]]-AV_PLAN[[#This Row],[TERMINO REAL ACUMULADO]]</f>
        <v>27</v>
      </c>
      <c r="P9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7" s="7">
        <f>+AV_PLAN[[#This Row],[PLAN ACUMULADO]]/$C$471</f>
        <v>0.11931818181818182</v>
      </c>
      <c r="R97" s="7">
        <f t="shared" si="2"/>
        <v>0.10795454545454546</v>
      </c>
      <c r="S97" s="7">
        <f>+AV_PLAN[[#This Row],[TERMINO PLAN ACUMULADO]]/$G$471</f>
        <v>6.25E-2</v>
      </c>
      <c r="T97" s="7">
        <f t="shared" si="3"/>
        <v>2.4147727272727272E-2</v>
      </c>
      <c r="U97" s="7">
        <f>+(AV_PLAN[[#This Row],[%AVANCE INICIO PLANIFICADO]]+AV_PLAN[[#This Row],[%AVANCE TERMINO PLANIFICADO]])/2</f>
        <v>9.0909090909090912E-2</v>
      </c>
    </row>
    <row r="98" spans="1:21" x14ac:dyDescent="0.25">
      <c r="A98" s="1">
        <v>46165</v>
      </c>
      <c r="B98">
        <v>0</v>
      </c>
      <c r="C98">
        <v>84</v>
      </c>
      <c r="D98">
        <v>0</v>
      </c>
      <c r="E98">
        <v>76</v>
      </c>
      <c r="F98">
        <v>0</v>
      </c>
      <c r="G98">
        <v>44</v>
      </c>
      <c r="H98">
        <v>0</v>
      </c>
      <c r="I98">
        <v>17</v>
      </c>
      <c r="J98" t="s">
        <v>813</v>
      </c>
      <c r="K98">
        <f>+WEEKNUM(AV_PLAN[[#This Row],[Días]])</f>
        <v>21</v>
      </c>
      <c r="L98" s="4">
        <f>IFERROR(AV_PLAN[[#This Row],[INICIO REAL ACUMULADO]]/AV_PLAN[[#This Row],[PLAN ACUMULADO]],"")</f>
        <v>0.90476190476190477</v>
      </c>
      <c r="M98" s="4">
        <f>IFERROR(AV_PLAN[[#This Row],[TERMINO REAL ACUMULADO]]/AV_PLAN[[#This Row],[TERMINO PLAN ACUMULADO]],"")</f>
        <v>0.38636363636363635</v>
      </c>
      <c r="N98">
        <f>+AV_PLAN[[#This Row],[PLAN ACUMULADO]]-AV_PLAN[[#This Row],[INICIO REAL ACUMULADO]]</f>
        <v>8</v>
      </c>
      <c r="O98">
        <f>+AV_PLAN[[#This Row],[TERMINO PLAN ACUMULADO]]-AV_PLAN[[#This Row],[TERMINO REAL ACUMULADO]]</f>
        <v>27</v>
      </c>
      <c r="P9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8" s="7">
        <f>+AV_PLAN[[#This Row],[PLAN ACUMULADO]]/$C$471</f>
        <v>0.11931818181818182</v>
      </c>
      <c r="R98" s="7">
        <f t="shared" si="2"/>
        <v>0.10795454545454546</v>
      </c>
      <c r="S98" s="7">
        <f>+AV_PLAN[[#This Row],[TERMINO PLAN ACUMULADO]]/$G$471</f>
        <v>6.25E-2</v>
      </c>
      <c r="T98" s="7">
        <f t="shared" si="3"/>
        <v>2.4147727272727272E-2</v>
      </c>
      <c r="U98" s="7">
        <f>+(AV_PLAN[[#This Row],[%AVANCE INICIO PLANIFICADO]]+AV_PLAN[[#This Row],[%AVANCE TERMINO PLANIFICADO]])/2</f>
        <v>9.0909090909090912E-2</v>
      </c>
    </row>
    <row r="99" spans="1:21" x14ac:dyDescent="0.25">
      <c r="A99" s="1">
        <v>46166</v>
      </c>
      <c r="B99">
        <v>0</v>
      </c>
      <c r="C99">
        <v>84</v>
      </c>
      <c r="D99">
        <v>0</v>
      </c>
      <c r="E99">
        <v>76</v>
      </c>
      <c r="F99">
        <v>0</v>
      </c>
      <c r="G99">
        <v>44</v>
      </c>
      <c r="H99">
        <v>0</v>
      </c>
      <c r="I99">
        <v>17</v>
      </c>
      <c r="J99" t="s">
        <v>813</v>
      </c>
      <c r="K99">
        <f>+WEEKNUM(AV_PLAN[[#This Row],[Días]])</f>
        <v>22</v>
      </c>
      <c r="L99" s="4">
        <f>IFERROR(AV_PLAN[[#This Row],[INICIO REAL ACUMULADO]]/AV_PLAN[[#This Row],[PLAN ACUMULADO]],"")</f>
        <v>0.90476190476190477</v>
      </c>
      <c r="M99" s="4">
        <f>IFERROR(AV_PLAN[[#This Row],[TERMINO REAL ACUMULADO]]/AV_PLAN[[#This Row],[TERMINO PLAN ACUMULADO]],"")</f>
        <v>0.38636363636363635</v>
      </c>
      <c r="N99">
        <f>+AV_PLAN[[#This Row],[PLAN ACUMULADO]]-AV_PLAN[[#This Row],[INICIO REAL ACUMULADO]]</f>
        <v>8</v>
      </c>
      <c r="O99">
        <f>+AV_PLAN[[#This Row],[TERMINO PLAN ACUMULADO]]-AV_PLAN[[#This Row],[TERMINO REAL ACUMULADO]]</f>
        <v>27</v>
      </c>
      <c r="P9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9" s="7">
        <f>+AV_PLAN[[#This Row],[PLAN ACUMULADO]]/$C$471</f>
        <v>0.11931818181818182</v>
      </c>
      <c r="R99" s="7">
        <f t="shared" si="2"/>
        <v>0.10795454545454546</v>
      </c>
      <c r="S99" s="7">
        <f>+AV_PLAN[[#This Row],[TERMINO PLAN ACUMULADO]]/$G$471</f>
        <v>6.25E-2</v>
      </c>
      <c r="T99" s="7">
        <f t="shared" si="3"/>
        <v>2.4147727272727272E-2</v>
      </c>
      <c r="U99" s="7">
        <f>+(AV_PLAN[[#This Row],[%AVANCE INICIO PLANIFICADO]]+AV_PLAN[[#This Row],[%AVANCE TERMINO PLANIFICADO]])/2</f>
        <v>9.0909090909090912E-2</v>
      </c>
    </row>
    <row r="100" spans="1:21" x14ac:dyDescent="0.25">
      <c r="A100" s="1">
        <v>46167</v>
      </c>
      <c r="B100">
        <v>2</v>
      </c>
      <c r="C100">
        <v>86</v>
      </c>
      <c r="D100">
        <v>1</v>
      </c>
      <c r="E100">
        <v>77</v>
      </c>
      <c r="F100">
        <v>2</v>
      </c>
      <c r="G100">
        <v>46</v>
      </c>
      <c r="H100">
        <v>0</v>
      </c>
      <c r="I100">
        <v>17</v>
      </c>
      <c r="J100" t="s">
        <v>813</v>
      </c>
      <c r="K100">
        <f>+WEEKNUM(AV_PLAN[[#This Row],[Días]])</f>
        <v>22</v>
      </c>
      <c r="L100" s="4">
        <f>IFERROR(AV_PLAN[[#This Row],[INICIO REAL ACUMULADO]]/AV_PLAN[[#This Row],[PLAN ACUMULADO]],"")</f>
        <v>0.89534883720930236</v>
      </c>
      <c r="M100" s="4">
        <f>IFERROR(AV_PLAN[[#This Row],[TERMINO REAL ACUMULADO]]/AV_PLAN[[#This Row],[TERMINO PLAN ACUMULADO]],"")</f>
        <v>0.36956521739130432</v>
      </c>
      <c r="N100">
        <f>+AV_PLAN[[#This Row],[PLAN ACUMULADO]]-AV_PLAN[[#This Row],[INICIO REAL ACUMULADO]]</f>
        <v>9</v>
      </c>
      <c r="O100">
        <f>+AV_PLAN[[#This Row],[TERMINO PLAN ACUMULADO]]-AV_PLAN[[#This Row],[TERMINO REAL ACUMULADO]]</f>
        <v>29</v>
      </c>
      <c r="P10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0" s="7">
        <f>+AV_PLAN[[#This Row],[PLAN ACUMULADO]]/$C$471</f>
        <v>0.12215909090909091</v>
      </c>
      <c r="R100" s="7">
        <f t="shared" si="2"/>
        <v>0.109375</v>
      </c>
      <c r="S100" s="7">
        <f>+AV_PLAN[[#This Row],[TERMINO PLAN ACUMULADO]]/$G$471</f>
        <v>6.5340909090909088E-2</v>
      </c>
      <c r="T100" s="7">
        <f t="shared" si="3"/>
        <v>2.4147727272727272E-2</v>
      </c>
      <c r="U100" s="7">
        <f>+(AV_PLAN[[#This Row],[%AVANCE INICIO PLANIFICADO]]+AV_PLAN[[#This Row],[%AVANCE TERMINO PLANIFICADO]])/2</f>
        <v>9.375E-2</v>
      </c>
    </row>
    <row r="101" spans="1:21" x14ac:dyDescent="0.25">
      <c r="A101" s="1">
        <v>46168</v>
      </c>
      <c r="B101">
        <v>2</v>
      </c>
      <c r="C101">
        <v>88</v>
      </c>
      <c r="D101">
        <v>2</v>
      </c>
      <c r="E101">
        <v>79</v>
      </c>
      <c r="F101">
        <v>2</v>
      </c>
      <c r="G101">
        <v>48</v>
      </c>
      <c r="H101">
        <v>0</v>
      </c>
      <c r="I101">
        <v>17</v>
      </c>
      <c r="J101" t="s">
        <v>813</v>
      </c>
      <c r="K101">
        <f>+WEEKNUM(AV_PLAN[[#This Row],[Días]])</f>
        <v>22</v>
      </c>
      <c r="L101" s="4">
        <f>IFERROR(AV_PLAN[[#This Row],[INICIO REAL ACUMULADO]]/AV_PLAN[[#This Row],[PLAN ACUMULADO]],"")</f>
        <v>0.89772727272727271</v>
      </c>
      <c r="M101" s="4">
        <f>IFERROR(AV_PLAN[[#This Row],[TERMINO REAL ACUMULADO]]/AV_PLAN[[#This Row],[TERMINO PLAN ACUMULADO]],"")</f>
        <v>0.35416666666666669</v>
      </c>
      <c r="N101">
        <f>+AV_PLAN[[#This Row],[PLAN ACUMULADO]]-AV_PLAN[[#This Row],[INICIO REAL ACUMULADO]]</f>
        <v>9</v>
      </c>
      <c r="O101">
        <f>+AV_PLAN[[#This Row],[TERMINO PLAN ACUMULADO]]-AV_PLAN[[#This Row],[TERMINO REAL ACUMULADO]]</f>
        <v>31</v>
      </c>
      <c r="P10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1" s="7">
        <f>+AV_PLAN[[#This Row],[PLAN ACUMULADO]]/$C$471</f>
        <v>0.125</v>
      </c>
      <c r="R101" s="7">
        <f t="shared" si="2"/>
        <v>0.11221590909090909</v>
      </c>
      <c r="S101" s="7">
        <f>+AV_PLAN[[#This Row],[TERMINO PLAN ACUMULADO]]/$G$471</f>
        <v>6.8181818181818177E-2</v>
      </c>
      <c r="T101" s="7">
        <f t="shared" si="3"/>
        <v>2.4147727272727272E-2</v>
      </c>
      <c r="U101" s="7">
        <f>+(AV_PLAN[[#This Row],[%AVANCE INICIO PLANIFICADO]]+AV_PLAN[[#This Row],[%AVANCE TERMINO PLANIFICADO]])/2</f>
        <v>9.6590909090909088E-2</v>
      </c>
    </row>
    <row r="102" spans="1:21" x14ac:dyDescent="0.25">
      <c r="A102" s="1">
        <v>46169</v>
      </c>
      <c r="B102">
        <v>2</v>
      </c>
      <c r="C102">
        <v>90</v>
      </c>
      <c r="D102">
        <v>1</v>
      </c>
      <c r="E102">
        <v>80</v>
      </c>
      <c r="F102">
        <v>2</v>
      </c>
      <c r="G102">
        <v>50</v>
      </c>
      <c r="H102">
        <v>4</v>
      </c>
      <c r="I102">
        <v>21</v>
      </c>
      <c r="J102" t="s">
        <v>813</v>
      </c>
      <c r="K102">
        <f>+WEEKNUM(AV_PLAN[[#This Row],[Días]])</f>
        <v>22</v>
      </c>
      <c r="L102" s="4">
        <f>IFERROR(AV_PLAN[[#This Row],[INICIO REAL ACUMULADO]]/AV_PLAN[[#This Row],[PLAN ACUMULADO]],"")</f>
        <v>0.88888888888888884</v>
      </c>
      <c r="M102" s="4">
        <f>IFERROR(AV_PLAN[[#This Row],[TERMINO REAL ACUMULADO]]/AV_PLAN[[#This Row],[TERMINO PLAN ACUMULADO]],"")</f>
        <v>0.42</v>
      </c>
      <c r="N102">
        <f>+AV_PLAN[[#This Row],[PLAN ACUMULADO]]-AV_PLAN[[#This Row],[INICIO REAL ACUMULADO]]</f>
        <v>10</v>
      </c>
      <c r="O102">
        <f>+AV_PLAN[[#This Row],[TERMINO PLAN ACUMULADO]]-AV_PLAN[[#This Row],[TERMINO REAL ACUMULADO]]</f>
        <v>29</v>
      </c>
      <c r="P10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2" s="7">
        <f>+AV_PLAN[[#This Row],[PLAN ACUMULADO]]/$C$471</f>
        <v>0.12784090909090909</v>
      </c>
      <c r="R102" s="7">
        <f t="shared" si="2"/>
        <v>0.11363636363636363</v>
      </c>
      <c r="S102" s="7">
        <f>+AV_PLAN[[#This Row],[TERMINO PLAN ACUMULADO]]/$G$471</f>
        <v>7.1022727272727279E-2</v>
      </c>
      <c r="T102" s="7">
        <f t="shared" si="3"/>
        <v>2.9829545454545456E-2</v>
      </c>
      <c r="U102" s="7">
        <f>+(AV_PLAN[[#This Row],[%AVANCE INICIO PLANIFICADO]]+AV_PLAN[[#This Row],[%AVANCE TERMINO PLANIFICADO]])/2</f>
        <v>9.9431818181818177E-2</v>
      </c>
    </row>
    <row r="103" spans="1:21" x14ac:dyDescent="0.25">
      <c r="A103" s="1">
        <v>46170</v>
      </c>
      <c r="B103">
        <v>2</v>
      </c>
      <c r="C103">
        <v>92</v>
      </c>
      <c r="D103">
        <v>0</v>
      </c>
      <c r="E103">
        <v>80</v>
      </c>
      <c r="F103">
        <v>2</v>
      </c>
      <c r="G103">
        <v>52</v>
      </c>
      <c r="H103">
        <v>0</v>
      </c>
      <c r="I103">
        <v>21</v>
      </c>
      <c r="J103" t="s">
        <v>813</v>
      </c>
      <c r="K103">
        <f>+WEEKNUM(AV_PLAN[[#This Row],[Días]])</f>
        <v>22</v>
      </c>
      <c r="L103" s="4">
        <f>IFERROR(AV_PLAN[[#This Row],[INICIO REAL ACUMULADO]]/AV_PLAN[[#This Row],[PLAN ACUMULADO]],"")</f>
        <v>0.86956521739130432</v>
      </c>
      <c r="M103" s="4">
        <f>IFERROR(AV_PLAN[[#This Row],[TERMINO REAL ACUMULADO]]/AV_PLAN[[#This Row],[TERMINO PLAN ACUMULADO]],"")</f>
        <v>0.40384615384615385</v>
      </c>
      <c r="N103">
        <f>+AV_PLAN[[#This Row],[PLAN ACUMULADO]]-AV_PLAN[[#This Row],[INICIO REAL ACUMULADO]]</f>
        <v>12</v>
      </c>
      <c r="O103">
        <f>+AV_PLAN[[#This Row],[TERMINO PLAN ACUMULADO]]-AV_PLAN[[#This Row],[TERMINO REAL ACUMULADO]]</f>
        <v>31</v>
      </c>
      <c r="P10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3" s="7">
        <f>+AV_PLAN[[#This Row],[PLAN ACUMULADO]]/$C$471</f>
        <v>0.13068181818181818</v>
      </c>
      <c r="R103" s="7">
        <f t="shared" si="2"/>
        <v>0.11363636363636363</v>
      </c>
      <c r="S103" s="7">
        <f>+AV_PLAN[[#This Row],[TERMINO PLAN ACUMULADO]]/$G$471</f>
        <v>7.3863636363636367E-2</v>
      </c>
      <c r="T103" s="7">
        <f t="shared" si="3"/>
        <v>2.9829545454545456E-2</v>
      </c>
      <c r="U103" s="7">
        <f>+(AV_PLAN[[#This Row],[%AVANCE INICIO PLANIFICADO]]+AV_PLAN[[#This Row],[%AVANCE TERMINO PLANIFICADO]])/2</f>
        <v>0.10227272727272727</v>
      </c>
    </row>
    <row r="104" spans="1:21" x14ac:dyDescent="0.25">
      <c r="A104" s="1">
        <v>46171</v>
      </c>
      <c r="B104">
        <v>2</v>
      </c>
      <c r="C104">
        <v>94</v>
      </c>
      <c r="D104">
        <v>6</v>
      </c>
      <c r="E104">
        <v>86</v>
      </c>
      <c r="F104">
        <v>2</v>
      </c>
      <c r="G104">
        <v>54</v>
      </c>
      <c r="H104">
        <v>0</v>
      </c>
      <c r="I104">
        <v>21</v>
      </c>
      <c r="J104" t="s">
        <v>813</v>
      </c>
      <c r="K104">
        <f>+WEEKNUM(AV_PLAN[[#This Row],[Días]])</f>
        <v>22</v>
      </c>
      <c r="L104" s="4">
        <f>IFERROR(AV_PLAN[[#This Row],[INICIO REAL ACUMULADO]]/AV_PLAN[[#This Row],[PLAN ACUMULADO]],"")</f>
        <v>0.91489361702127658</v>
      </c>
      <c r="M104" s="4">
        <f>IFERROR(AV_PLAN[[#This Row],[TERMINO REAL ACUMULADO]]/AV_PLAN[[#This Row],[TERMINO PLAN ACUMULADO]],"")</f>
        <v>0.3888888888888889</v>
      </c>
      <c r="N104">
        <f>+AV_PLAN[[#This Row],[PLAN ACUMULADO]]-AV_PLAN[[#This Row],[INICIO REAL ACUMULADO]]</f>
        <v>8</v>
      </c>
      <c r="O104">
        <f>+AV_PLAN[[#This Row],[TERMINO PLAN ACUMULADO]]-AV_PLAN[[#This Row],[TERMINO REAL ACUMULADO]]</f>
        <v>33</v>
      </c>
      <c r="P10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4" s="7">
        <f>+AV_PLAN[[#This Row],[PLAN ACUMULADO]]/$C$471</f>
        <v>0.13352272727272727</v>
      </c>
      <c r="R104" s="7">
        <f t="shared" si="2"/>
        <v>0.12215909090909091</v>
      </c>
      <c r="S104" s="7">
        <f>+AV_PLAN[[#This Row],[TERMINO PLAN ACUMULADO]]/$G$471</f>
        <v>7.6704545454545456E-2</v>
      </c>
      <c r="T104" s="7">
        <f t="shared" si="3"/>
        <v>2.9829545454545456E-2</v>
      </c>
      <c r="U104" s="7">
        <f>+(AV_PLAN[[#This Row],[%AVANCE INICIO PLANIFICADO]]+AV_PLAN[[#This Row],[%AVANCE TERMINO PLANIFICADO]])/2</f>
        <v>0.10511363636363635</v>
      </c>
    </row>
    <row r="105" spans="1:21" x14ac:dyDescent="0.25">
      <c r="A105" s="1">
        <v>46172</v>
      </c>
      <c r="B105">
        <v>0</v>
      </c>
      <c r="C105">
        <v>94</v>
      </c>
      <c r="D105">
        <v>0</v>
      </c>
      <c r="E105">
        <v>86</v>
      </c>
      <c r="F105">
        <v>0</v>
      </c>
      <c r="G105">
        <v>54</v>
      </c>
      <c r="H105">
        <v>0</v>
      </c>
      <c r="I105">
        <v>21</v>
      </c>
      <c r="J105" t="s">
        <v>813</v>
      </c>
      <c r="K105">
        <f>+WEEKNUM(AV_PLAN[[#This Row],[Días]])</f>
        <v>22</v>
      </c>
      <c r="L105" s="4">
        <f>IFERROR(AV_PLAN[[#This Row],[INICIO REAL ACUMULADO]]/AV_PLAN[[#This Row],[PLAN ACUMULADO]],"")</f>
        <v>0.91489361702127658</v>
      </c>
      <c r="M105" s="4">
        <f>IFERROR(AV_PLAN[[#This Row],[TERMINO REAL ACUMULADO]]/AV_PLAN[[#This Row],[TERMINO PLAN ACUMULADO]],"")</f>
        <v>0.3888888888888889</v>
      </c>
      <c r="N105">
        <f>+AV_PLAN[[#This Row],[PLAN ACUMULADO]]-AV_PLAN[[#This Row],[INICIO REAL ACUMULADO]]</f>
        <v>8</v>
      </c>
      <c r="O105">
        <f>+AV_PLAN[[#This Row],[TERMINO PLAN ACUMULADO]]-AV_PLAN[[#This Row],[TERMINO REAL ACUMULADO]]</f>
        <v>33</v>
      </c>
      <c r="P10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5" s="7">
        <f>+AV_PLAN[[#This Row],[PLAN ACUMULADO]]/$C$471</f>
        <v>0.13352272727272727</v>
      </c>
      <c r="R105" s="7">
        <f t="shared" si="2"/>
        <v>0.12215909090909091</v>
      </c>
      <c r="S105" s="7">
        <f>+AV_PLAN[[#This Row],[TERMINO PLAN ACUMULADO]]/$G$471</f>
        <v>7.6704545454545456E-2</v>
      </c>
      <c r="T105" s="7">
        <f t="shared" si="3"/>
        <v>2.9829545454545456E-2</v>
      </c>
      <c r="U105" s="7">
        <f>+(AV_PLAN[[#This Row],[%AVANCE INICIO PLANIFICADO]]+AV_PLAN[[#This Row],[%AVANCE TERMINO PLANIFICADO]])/2</f>
        <v>0.10511363636363635</v>
      </c>
    </row>
    <row r="106" spans="1:21" x14ac:dyDescent="0.25">
      <c r="A106" s="1">
        <v>46173</v>
      </c>
      <c r="B106">
        <v>0</v>
      </c>
      <c r="C106">
        <v>94</v>
      </c>
      <c r="D106">
        <v>0</v>
      </c>
      <c r="E106">
        <v>86</v>
      </c>
      <c r="F106">
        <v>0</v>
      </c>
      <c r="G106">
        <v>54</v>
      </c>
      <c r="H106">
        <v>0</v>
      </c>
      <c r="I106">
        <v>21</v>
      </c>
      <c r="J106" t="s">
        <v>813</v>
      </c>
      <c r="K106">
        <f>+WEEKNUM(AV_PLAN[[#This Row],[Días]])</f>
        <v>23</v>
      </c>
      <c r="L106" s="4">
        <f>IFERROR(AV_PLAN[[#This Row],[INICIO REAL ACUMULADO]]/AV_PLAN[[#This Row],[PLAN ACUMULADO]],"")</f>
        <v>0.91489361702127658</v>
      </c>
      <c r="M106" s="4">
        <f>IFERROR(AV_PLAN[[#This Row],[TERMINO REAL ACUMULADO]]/AV_PLAN[[#This Row],[TERMINO PLAN ACUMULADO]],"")</f>
        <v>0.3888888888888889</v>
      </c>
      <c r="N106">
        <f>+AV_PLAN[[#This Row],[PLAN ACUMULADO]]-AV_PLAN[[#This Row],[INICIO REAL ACUMULADO]]</f>
        <v>8</v>
      </c>
      <c r="O106">
        <f>+AV_PLAN[[#This Row],[TERMINO PLAN ACUMULADO]]-AV_PLAN[[#This Row],[TERMINO REAL ACUMULADO]]</f>
        <v>33</v>
      </c>
      <c r="P10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06" s="7">
        <f>+AV_PLAN[[#This Row],[PLAN ACUMULADO]]/$C$471</f>
        <v>0.13352272727272727</v>
      </c>
      <c r="R106" s="7">
        <f t="shared" si="2"/>
        <v>0.12215909090909091</v>
      </c>
      <c r="S106" s="7">
        <f>+AV_PLAN[[#This Row],[TERMINO PLAN ACUMULADO]]/$G$471</f>
        <v>7.6704545454545456E-2</v>
      </c>
      <c r="T106" s="7">
        <f t="shared" si="3"/>
        <v>2.9829545454545456E-2</v>
      </c>
      <c r="U106" s="7">
        <f>+(AV_PLAN[[#This Row],[%AVANCE INICIO PLANIFICADO]]+AV_PLAN[[#This Row],[%AVANCE TERMINO PLANIFICADO]])/2</f>
        <v>0.10511363636363635</v>
      </c>
    </row>
    <row r="107" spans="1:21" x14ac:dyDescent="0.25">
      <c r="A107" s="1">
        <v>46174</v>
      </c>
      <c r="B107">
        <v>2</v>
      </c>
      <c r="C107">
        <v>96</v>
      </c>
      <c r="D107">
        <v>1</v>
      </c>
      <c r="E107">
        <v>87</v>
      </c>
      <c r="F107">
        <v>2</v>
      </c>
      <c r="G107">
        <v>56</v>
      </c>
      <c r="H107">
        <v>2</v>
      </c>
      <c r="I107">
        <v>23</v>
      </c>
      <c r="J107" t="s">
        <v>814</v>
      </c>
      <c r="K107">
        <f>+WEEKNUM(AV_PLAN[[#This Row],[Días]])</f>
        <v>23</v>
      </c>
      <c r="L107" s="4">
        <f>IFERROR(AV_PLAN[[#This Row],[INICIO REAL ACUMULADO]]/AV_PLAN[[#This Row],[PLAN ACUMULADO]],"")</f>
        <v>0.90625</v>
      </c>
      <c r="M107" s="4">
        <f>IFERROR(AV_PLAN[[#This Row],[TERMINO REAL ACUMULADO]]/AV_PLAN[[#This Row],[TERMINO PLAN ACUMULADO]],"")</f>
        <v>0.4107142857142857</v>
      </c>
      <c r="N107">
        <f>+AV_PLAN[[#This Row],[PLAN ACUMULADO]]-AV_PLAN[[#This Row],[INICIO REAL ACUMULADO]]</f>
        <v>9</v>
      </c>
      <c r="O107">
        <f>+AV_PLAN[[#This Row],[TERMINO PLAN ACUMULADO]]-AV_PLAN[[#This Row],[TERMINO REAL ACUMULADO]]</f>
        <v>33</v>
      </c>
      <c r="P10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7" s="7">
        <f>+AV_PLAN[[#This Row],[PLAN ACUMULADO]]/$C$471</f>
        <v>0.13636363636363635</v>
      </c>
      <c r="R107" s="7">
        <f t="shared" si="2"/>
        <v>0.12357954545454546</v>
      </c>
      <c r="S107" s="7">
        <f>+AV_PLAN[[#This Row],[TERMINO PLAN ACUMULADO]]/$G$471</f>
        <v>7.9545454545454544E-2</v>
      </c>
      <c r="T107" s="7">
        <f t="shared" si="3"/>
        <v>3.2670454545454544E-2</v>
      </c>
      <c r="U107" s="7">
        <f>+(AV_PLAN[[#This Row],[%AVANCE INICIO PLANIFICADO]]+AV_PLAN[[#This Row],[%AVANCE TERMINO PLANIFICADO]])/2</f>
        <v>0.10795454545454544</v>
      </c>
    </row>
    <row r="108" spans="1:21" x14ac:dyDescent="0.25">
      <c r="A108" s="1">
        <v>46175</v>
      </c>
      <c r="B108">
        <v>2</v>
      </c>
      <c r="C108">
        <v>98</v>
      </c>
      <c r="D108">
        <v>0</v>
      </c>
      <c r="E108">
        <v>87</v>
      </c>
      <c r="F108">
        <v>0</v>
      </c>
      <c r="G108">
        <v>56</v>
      </c>
      <c r="H108">
        <v>0</v>
      </c>
      <c r="I108">
        <v>23</v>
      </c>
      <c r="J108" t="s">
        <v>814</v>
      </c>
      <c r="K108">
        <f>+WEEKNUM(AV_PLAN[[#This Row],[Días]])</f>
        <v>23</v>
      </c>
      <c r="L108" s="4">
        <f>IFERROR(AV_PLAN[[#This Row],[INICIO REAL ACUMULADO]]/AV_PLAN[[#This Row],[PLAN ACUMULADO]],"")</f>
        <v>0.88775510204081631</v>
      </c>
      <c r="M108" s="4">
        <f>IFERROR(AV_PLAN[[#This Row],[TERMINO REAL ACUMULADO]]/AV_PLAN[[#This Row],[TERMINO PLAN ACUMULADO]],"")</f>
        <v>0.4107142857142857</v>
      </c>
      <c r="N108">
        <f>+AV_PLAN[[#This Row],[PLAN ACUMULADO]]-AV_PLAN[[#This Row],[INICIO REAL ACUMULADO]]</f>
        <v>11</v>
      </c>
      <c r="O108">
        <f>+AV_PLAN[[#This Row],[TERMINO PLAN ACUMULADO]]-AV_PLAN[[#This Row],[TERMINO REAL ACUMULADO]]</f>
        <v>33</v>
      </c>
      <c r="P10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8" s="7">
        <f>+AV_PLAN[[#This Row],[PLAN ACUMULADO]]/$C$471</f>
        <v>0.13920454545454544</v>
      </c>
      <c r="R108" s="7">
        <f t="shared" si="2"/>
        <v>0.12357954545454546</v>
      </c>
      <c r="S108" s="7">
        <f>+AV_PLAN[[#This Row],[TERMINO PLAN ACUMULADO]]/$G$471</f>
        <v>7.9545454545454544E-2</v>
      </c>
      <c r="T108" s="7">
        <f t="shared" si="3"/>
        <v>3.2670454545454544E-2</v>
      </c>
      <c r="U108" s="7">
        <f>+(AV_PLAN[[#This Row],[%AVANCE INICIO PLANIFICADO]]+AV_PLAN[[#This Row],[%AVANCE TERMINO PLANIFICADO]])/2</f>
        <v>0.109375</v>
      </c>
    </row>
    <row r="109" spans="1:21" x14ac:dyDescent="0.25">
      <c r="A109" s="1">
        <v>46176</v>
      </c>
      <c r="B109">
        <v>2</v>
      </c>
      <c r="C109">
        <v>100</v>
      </c>
      <c r="D109">
        <v>2</v>
      </c>
      <c r="E109">
        <v>89</v>
      </c>
      <c r="F109">
        <v>1</v>
      </c>
      <c r="G109">
        <v>57</v>
      </c>
      <c r="H109">
        <v>0</v>
      </c>
      <c r="I109">
        <v>23</v>
      </c>
      <c r="J109" t="s">
        <v>814</v>
      </c>
      <c r="K109">
        <f>+WEEKNUM(AV_PLAN[[#This Row],[Días]])</f>
        <v>23</v>
      </c>
      <c r="L109" s="4">
        <f>IFERROR(AV_PLAN[[#This Row],[INICIO REAL ACUMULADO]]/AV_PLAN[[#This Row],[PLAN ACUMULADO]],"")</f>
        <v>0.89</v>
      </c>
      <c r="M109" s="4">
        <f>IFERROR(AV_PLAN[[#This Row],[TERMINO REAL ACUMULADO]]/AV_PLAN[[#This Row],[TERMINO PLAN ACUMULADO]],"")</f>
        <v>0.40350877192982454</v>
      </c>
      <c r="N109">
        <f>+AV_PLAN[[#This Row],[PLAN ACUMULADO]]-AV_PLAN[[#This Row],[INICIO REAL ACUMULADO]]</f>
        <v>11</v>
      </c>
      <c r="O109">
        <f>+AV_PLAN[[#This Row],[TERMINO PLAN ACUMULADO]]-AV_PLAN[[#This Row],[TERMINO REAL ACUMULADO]]</f>
        <v>34</v>
      </c>
      <c r="P10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9" s="7">
        <f>+AV_PLAN[[#This Row],[PLAN ACUMULADO]]/$C$471</f>
        <v>0.14204545454545456</v>
      </c>
      <c r="R109" s="7">
        <f t="shared" si="2"/>
        <v>0.12642045454545456</v>
      </c>
      <c r="S109" s="7">
        <f>+AV_PLAN[[#This Row],[TERMINO PLAN ACUMULADO]]/$G$471</f>
        <v>8.0965909090909088E-2</v>
      </c>
      <c r="T109" s="7">
        <f t="shared" si="3"/>
        <v>3.2670454545454544E-2</v>
      </c>
      <c r="U109" s="7">
        <f>+(AV_PLAN[[#This Row],[%AVANCE INICIO PLANIFICADO]]+AV_PLAN[[#This Row],[%AVANCE TERMINO PLANIFICADO]])/2</f>
        <v>0.11150568181818182</v>
      </c>
    </row>
    <row r="110" spans="1:21" x14ac:dyDescent="0.25">
      <c r="A110" s="1">
        <v>46177</v>
      </c>
      <c r="B110">
        <v>2</v>
      </c>
      <c r="C110">
        <v>102</v>
      </c>
      <c r="D110">
        <v>2</v>
      </c>
      <c r="E110">
        <v>91</v>
      </c>
      <c r="F110">
        <v>0</v>
      </c>
      <c r="G110">
        <v>57</v>
      </c>
      <c r="H110">
        <v>1</v>
      </c>
      <c r="I110">
        <v>24</v>
      </c>
      <c r="J110" t="s">
        <v>814</v>
      </c>
      <c r="K110">
        <f>+WEEKNUM(AV_PLAN[[#This Row],[Días]])</f>
        <v>23</v>
      </c>
      <c r="L110" s="4">
        <f>IFERROR(AV_PLAN[[#This Row],[INICIO REAL ACUMULADO]]/AV_PLAN[[#This Row],[PLAN ACUMULADO]],"")</f>
        <v>0.89215686274509809</v>
      </c>
      <c r="M110" s="4">
        <f>IFERROR(AV_PLAN[[#This Row],[TERMINO REAL ACUMULADO]]/AV_PLAN[[#This Row],[TERMINO PLAN ACUMULADO]],"")</f>
        <v>0.42105263157894735</v>
      </c>
      <c r="N110">
        <f>+AV_PLAN[[#This Row],[PLAN ACUMULADO]]-AV_PLAN[[#This Row],[INICIO REAL ACUMULADO]]</f>
        <v>11</v>
      </c>
      <c r="O110">
        <f>+AV_PLAN[[#This Row],[TERMINO PLAN ACUMULADO]]-AV_PLAN[[#This Row],[TERMINO REAL ACUMULADO]]</f>
        <v>33</v>
      </c>
      <c r="P11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0" s="7">
        <f>+AV_PLAN[[#This Row],[PLAN ACUMULADO]]/$C$471</f>
        <v>0.14488636363636365</v>
      </c>
      <c r="R110" s="7">
        <f t="shared" si="2"/>
        <v>0.12926136363636365</v>
      </c>
      <c r="S110" s="7">
        <f>+AV_PLAN[[#This Row],[TERMINO PLAN ACUMULADO]]/$G$471</f>
        <v>8.0965909090909088E-2</v>
      </c>
      <c r="T110" s="7">
        <f t="shared" si="3"/>
        <v>3.4090909090909088E-2</v>
      </c>
      <c r="U110" s="7">
        <f>+(AV_PLAN[[#This Row],[%AVANCE INICIO PLANIFICADO]]+AV_PLAN[[#This Row],[%AVANCE TERMINO PLANIFICADO]])/2</f>
        <v>0.11292613636363637</v>
      </c>
    </row>
    <row r="111" spans="1:21" x14ac:dyDescent="0.25">
      <c r="A111" s="1">
        <v>46178</v>
      </c>
      <c r="B111">
        <v>2</v>
      </c>
      <c r="C111">
        <v>104</v>
      </c>
      <c r="D111">
        <v>1</v>
      </c>
      <c r="E111">
        <v>92</v>
      </c>
      <c r="F111">
        <v>0</v>
      </c>
      <c r="G111">
        <v>57</v>
      </c>
      <c r="H111">
        <v>2</v>
      </c>
      <c r="I111">
        <v>26</v>
      </c>
      <c r="J111" t="s">
        <v>814</v>
      </c>
      <c r="K111">
        <f>+WEEKNUM(AV_PLAN[[#This Row],[Días]])</f>
        <v>23</v>
      </c>
      <c r="L111" s="4">
        <f>IFERROR(AV_PLAN[[#This Row],[INICIO REAL ACUMULADO]]/AV_PLAN[[#This Row],[PLAN ACUMULADO]],"")</f>
        <v>0.88461538461538458</v>
      </c>
      <c r="M111" s="4">
        <f>IFERROR(AV_PLAN[[#This Row],[TERMINO REAL ACUMULADO]]/AV_PLAN[[#This Row],[TERMINO PLAN ACUMULADO]],"")</f>
        <v>0.45614035087719296</v>
      </c>
      <c r="N111">
        <f>+AV_PLAN[[#This Row],[PLAN ACUMULADO]]-AV_PLAN[[#This Row],[INICIO REAL ACUMULADO]]</f>
        <v>12</v>
      </c>
      <c r="O111">
        <f>+AV_PLAN[[#This Row],[TERMINO PLAN ACUMULADO]]-AV_PLAN[[#This Row],[TERMINO REAL ACUMULADO]]</f>
        <v>31</v>
      </c>
      <c r="P11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1" s="7">
        <f>+AV_PLAN[[#This Row],[PLAN ACUMULADO]]/$C$471</f>
        <v>0.14772727272727273</v>
      </c>
      <c r="R111" s="7">
        <f t="shared" si="2"/>
        <v>0.13068181818181818</v>
      </c>
      <c r="S111" s="7">
        <f>+AV_PLAN[[#This Row],[TERMINO PLAN ACUMULADO]]/$G$471</f>
        <v>8.0965909090909088E-2</v>
      </c>
      <c r="T111" s="7">
        <f t="shared" si="3"/>
        <v>3.6931818181818184E-2</v>
      </c>
      <c r="U111" s="7">
        <f>+(AV_PLAN[[#This Row],[%AVANCE INICIO PLANIFICADO]]+AV_PLAN[[#This Row],[%AVANCE TERMINO PLANIFICADO]])/2</f>
        <v>0.11434659090909091</v>
      </c>
    </row>
    <row r="112" spans="1:21" x14ac:dyDescent="0.25">
      <c r="A112" s="1">
        <v>46179</v>
      </c>
      <c r="B112">
        <v>0</v>
      </c>
      <c r="C112">
        <v>104</v>
      </c>
      <c r="D112">
        <v>0</v>
      </c>
      <c r="E112">
        <v>92</v>
      </c>
      <c r="F112">
        <v>1</v>
      </c>
      <c r="G112">
        <v>58</v>
      </c>
      <c r="H112">
        <v>0</v>
      </c>
      <c r="I112">
        <v>26</v>
      </c>
      <c r="J112" t="s">
        <v>814</v>
      </c>
      <c r="K112">
        <f>+WEEKNUM(AV_PLAN[[#This Row],[Días]])</f>
        <v>23</v>
      </c>
      <c r="L112" s="4">
        <f>IFERROR(AV_PLAN[[#This Row],[INICIO REAL ACUMULADO]]/AV_PLAN[[#This Row],[PLAN ACUMULADO]],"")</f>
        <v>0.88461538461538458</v>
      </c>
      <c r="M112" s="4">
        <f>IFERROR(AV_PLAN[[#This Row],[TERMINO REAL ACUMULADO]]/AV_PLAN[[#This Row],[TERMINO PLAN ACUMULADO]],"")</f>
        <v>0.44827586206896552</v>
      </c>
      <c r="N112">
        <f>+AV_PLAN[[#This Row],[PLAN ACUMULADO]]-AV_PLAN[[#This Row],[INICIO REAL ACUMULADO]]</f>
        <v>12</v>
      </c>
      <c r="O112">
        <f>+AV_PLAN[[#This Row],[TERMINO PLAN ACUMULADO]]-AV_PLAN[[#This Row],[TERMINO REAL ACUMULADO]]</f>
        <v>32</v>
      </c>
      <c r="P11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2" s="7">
        <f>+AV_PLAN[[#This Row],[PLAN ACUMULADO]]/$C$471</f>
        <v>0.14772727272727273</v>
      </c>
      <c r="R112" s="7">
        <f t="shared" si="2"/>
        <v>0.13068181818181818</v>
      </c>
      <c r="S112" s="7">
        <f>+AV_PLAN[[#This Row],[TERMINO PLAN ACUMULADO]]/$G$471</f>
        <v>8.2386363636363633E-2</v>
      </c>
      <c r="T112" s="7">
        <f t="shared" si="3"/>
        <v>3.6931818181818184E-2</v>
      </c>
      <c r="U112" s="7">
        <f>+(AV_PLAN[[#This Row],[%AVANCE INICIO PLANIFICADO]]+AV_PLAN[[#This Row],[%AVANCE TERMINO PLANIFICADO]])/2</f>
        <v>0.11505681818181818</v>
      </c>
    </row>
    <row r="113" spans="1:21" x14ac:dyDescent="0.25">
      <c r="A113" s="1">
        <v>46180</v>
      </c>
      <c r="B113">
        <v>0</v>
      </c>
      <c r="C113">
        <v>104</v>
      </c>
      <c r="D113">
        <v>0</v>
      </c>
      <c r="E113">
        <v>92</v>
      </c>
      <c r="F113">
        <v>1</v>
      </c>
      <c r="G113">
        <v>59</v>
      </c>
      <c r="H113">
        <v>0</v>
      </c>
      <c r="I113">
        <v>26</v>
      </c>
      <c r="J113" t="s">
        <v>814</v>
      </c>
      <c r="K113">
        <f>+WEEKNUM(AV_PLAN[[#This Row],[Días]])</f>
        <v>24</v>
      </c>
      <c r="L113" s="4">
        <f>IFERROR(AV_PLAN[[#This Row],[INICIO REAL ACUMULADO]]/AV_PLAN[[#This Row],[PLAN ACUMULADO]],"")</f>
        <v>0.88461538461538458</v>
      </c>
      <c r="M113" s="4">
        <f>IFERROR(AV_PLAN[[#This Row],[TERMINO REAL ACUMULADO]]/AV_PLAN[[#This Row],[TERMINO PLAN ACUMULADO]],"")</f>
        <v>0.44067796610169491</v>
      </c>
      <c r="N113">
        <f>+AV_PLAN[[#This Row],[PLAN ACUMULADO]]-AV_PLAN[[#This Row],[INICIO REAL ACUMULADO]]</f>
        <v>12</v>
      </c>
      <c r="O113">
        <f>+AV_PLAN[[#This Row],[TERMINO PLAN ACUMULADO]]-AV_PLAN[[#This Row],[TERMINO REAL ACUMULADO]]</f>
        <v>33</v>
      </c>
      <c r="P11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3" s="7">
        <f>+AV_PLAN[[#This Row],[PLAN ACUMULADO]]/$C$471</f>
        <v>0.14772727272727273</v>
      </c>
      <c r="R113" s="7">
        <f t="shared" si="2"/>
        <v>0.13068181818181818</v>
      </c>
      <c r="S113" s="7">
        <f>+AV_PLAN[[#This Row],[TERMINO PLAN ACUMULADO]]/$G$471</f>
        <v>8.3806818181818177E-2</v>
      </c>
      <c r="T113" s="7">
        <f t="shared" si="3"/>
        <v>3.6931818181818184E-2</v>
      </c>
      <c r="U113" s="7">
        <f>+(AV_PLAN[[#This Row],[%AVANCE INICIO PLANIFICADO]]+AV_PLAN[[#This Row],[%AVANCE TERMINO PLANIFICADO]])/2</f>
        <v>0.11576704545454546</v>
      </c>
    </row>
    <row r="114" spans="1:21" x14ac:dyDescent="0.25">
      <c r="A114" s="1">
        <v>46181</v>
      </c>
      <c r="B114">
        <v>2</v>
      </c>
      <c r="C114">
        <v>106</v>
      </c>
      <c r="D114">
        <v>2</v>
      </c>
      <c r="E114">
        <v>94</v>
      </c>
      <c r="F114">
        <v>1</v>
      </c>
      <c r="G114">
        <v>60</v>
      </c>
      <c r="H114">
        <v>4</v>
      </c>
      <c r="I114">
        <v>30</v>
      </c>
      <c r="J114" t="s">
        <v>814</v>
      </c>
      <c r="K114">
        <f>+WEEKNUM(AV_PLAN[[#This Row],[Días]])</f>
        <v>24</v>
      </c>
      <c r="L114" s="4">
        <f>IFERROR(AV_PLAN[[#This Row],[INICIO REAL ACUMULADO]]/AV_PLAN[[#This Row],[PLAN ACUMULADO]],"")</f>
        <v>0.8867924528301887</v>
      </c>
      <c r="M114" s="4">
        <f>IFERROR(AV_PLAN[[#This Row],[TERMINO REAL ACUMULADO]]/AV_PLAN[[#This Row],[TERMINO PLAN ACUMULADO]],"")</f>
        <v>0.5</v>
      </c>
      <c r="N114">
        <f>+AV_PLAN[[#This Row],[PLAN ACUMULADO]]-AV_PLAN[[#This Row],[INICIO REAL ACUMULADO]]</f>
        <v>12</v>
      </c>
      <c r="O114">
        <f>+AV_PLAN[[#This Row],[TERMINO PLAN ACUMULADO]]-AV_PLAN[[#This Row],[TERMINO REAL ACUMULADO]]</f>
        <v>30</v>
      </c>
      <c r="P11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4" s="7">
        <f>+AV_PLAN[[#This Row],[PLAN ACUMULADO]]/$C$471</f>
        <v>0.15056818181818182</v>
      </c>
      <c r="R114" s="7">
        <f t="shared" si="2"/>
        <v>0.13352272727272727</v>
      </c>
      <c r="S114" s="7">
        <f>+AV_PLAN[[#This Row],[TERMINO PLAN ACUMULADO]]/$G$471</f>
        <v>8.5227272727272721E-2</v>
      </c>
      <c r="T114" s="7">
        <f t="shared" si="3"/>
        <v>4.261363636363636E-2</v>
      </c>
      <c r="U114" s="7">
        <f>+(AV_PLAN[[#This Row],[%AVANCE INICIO PLANIFICADO]]+AV_PLAN[[#This Row],[%AVANCE TERMINO PLANIFICADO]])/2</f>
        <v>0.11789772727272727</v>
      </c>
    </row>
    <row r="115" spans="1:21" x14ac:dyDescent="0.25">
      <c r="A115" s="1">
        <v>46182</v>
      </c>
      <c r="B115">
        <v>2</v>
      </c>
      <c r="C115">
        <v>108</v>
      </c>
      <c r="D115">
        <v>0</v>
      </c>
      <c r="E115">
        <v>94</v>
      </c>
      <c r="F115">
        <v>1</v>
      </c>
      <c r="G115">
        <v>61</v>
      </c>
      <c r="H115">
        <v>2</v>
      </c>
      <c r="I115">
        <v>32</v>
      </c>
      <c r="J115" t="s">
        <v>814</v>
      </c>
      <c r="K115">
        <f>+WEEKNUM(AV_PLAN[[#This Row],[Días]])</f>
        <v>24</v>
      </c>
      <c r="L115" s="4">
        <f>IFERROR(AV_PLAN[[#This Row],[INICIO REAL ACUMULADO]]/AV_PLAN[[#This Row],[PLAN ACUMULADO]],"")</f>
        <v>0.87037037037037035</v>
      </c>
      <c r="M115" s="4">
        <f>IFERROR(AV_PLAN[[#This Row],[TERMINO REAL ACUMULADO]]/AV_PLAN[[#This Row],[TERMINO PLAN ACUMULADO]],"")</f>
        <v>0.52459016393442626</v>
      </c>
      <c r="N115">
        <f>+AV_PLAN[[#This Row],[PLAN ACUMULADO]]-AV_PLAN[[#This Row],[INICIO REAL ACUMULADO]]</f>
        <v>14</v>
      </c>
      <c r="O115">
        <f>+AV_PLAN[[#This Row],[TERMINO PLAN ACUMULADO]]-AV_PLAN[[#This Row],[TERMINO REAL ACUMULADO]]</f>
        <v>29</v>
      </c>
      <c r="P11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5" s="7">
        <f>+AV_PLAN[[#This Row],[PLAN ACUMULADO]]/$C$471</f>
        <v>0.15340909090909091</v>
      </c>
      <c r="R115" s="7">
        <f t="shared" si="2"/>
        <v>0.13352272727272727</v>
      </c>
      <c r="S115" s="7">
        <f>+AV_PLAN[[#This Row],[TERMINO PLAN ACUMULADO]]/$G$471</f>
        <v>8.6647727272727279E-2</v>
      </c>
      <c r="T115" s="7">
        <f t="shared" si="3"/>
        <v>4.5454545454545456E-2</v>
      </c>
      <c r="U115" s="7">
        <f>+(AV_PLAN[[#This Row],[%AVANCE INICIO PLANIFICADO]]+AV_PLAN[[#This Row],[%AVANCE TERMINO PLANIFICADO]])/2</f>
        <v>0.12002840909090909</v>
      </c>
    </row>
    <row r="116" spans="1:21" x14ac:dyDescent="0.25">
      <c r="A116" s="1">
        <v>46183</v>
      </c>
      <c r="B116">
        <v>2</v>
      </c>
      <c r="C116">
        <v>110</v>
      </c>
      <c r="D116">
        <v>0</v>
      </c>
      <c r="E116">
        <v>94</v>
      </c>
      <c r="F116">
        <v>3</v>
      </c>
      <c r="G116">
        <v>64</v>
      </c>
      <c r="H116">
        <v>0</v>
      </c>
      <c r="I116">
        <v>32</v>
      </c>
      <c r="J116" t="s">
        <v>814</v>
      </c>
      <c r="K116">
        <f>+WEEKNUM(AV_PLAN[[#This Row],[Días]])</f>
        <v>24</v>
      </c>
      <c r="L116" s="4">
        <f>IFERROR(AV_PLAN[[#This Row],[INICIO REAL ACUMULADO]]/AV_PLAN[[#This Row],[PLAN ACUMULADO]],"")</f>
        <v>0.8545454545454545</v>
      </c>
      <c r="M116" s="4">
        <f>IFERROR(AV_PLAN[[#This Row],[TERMINO REAL ACUMULADO]]/AV_PLAN[[#This Row],[TERMINO PLAN ACUMULADO]],"")</f>
        <v>0.5</v>
      </c>
      <c r="N116">
        <f>+AV_PLAN[[#This Row],[PLAN ACUMULADO]]-AV_PLAN[[#This Row],[INICIO REAL ACUMULADO]]</f>
        <v>16</v>
      </c>
      <c r="O116">
        <f>+AV_PLAN[[#This Row],[TERMINO PLAN ACUMULADO]]-AV_PLAN[[#This Row],[TERMINO REAL ACUMULADO]]</f>
        <v>32</v>
      </c>
      <c r="P11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6" s="7">
        <f>+AV_PLAN[[#This Row],[PLAN ACUMULADO]]/$C$471</f>
        <v>0.15625</v>
      </c>
      <c r="R116" s="7">
        <f t="shared" si="2"/>
        <v>0.13352272727272727</v>
      </c>
      <c r="S116" s="7">
        <f>+AV_PLAN[[#This Row],[TERMINO PLAN ACUMULADO]]/$G$471</f>
        <v>9.0909090909090912E-2</v>
      </c>
      <c r="T116" s="7">
        <f t="shared" si="3"/>
        <v>4.5454545454545456E-2</v>
      </c>
      <c r="U116" s="7">
        <f>+(AV_PLAN[[#This Row],[%AVANCE INICIO PLANIFICADO]]+AV_PLAN[[#This Row],[%AVANCE TERMINO PLANIFICADO]])/2</f>
        <v>0.12357954545454546</v>
      </c>
    </row>
    <row r="117" spans="1:21" x14ac:dyDescent="0.25">
      <c r="A117" s="1">
        <v>46184</v>
      </c>
      <c r="B117">
        <v>2</v>
      </c>
      <c r="C117">
        <v>112</v>
      </c>
      <c r="D117">
        <v>6</v>
      </c>
      <c r="E117">
        <v>100</v>
      </c>
      <c r="F117">
        <v>2</v>
      </c>
      <c r="G117">
        <v>66</v>
      </c>
      <c r="H117">
        <v>1</v>
      </c>
      <c r="I117">
        <v>33</v>
      </c>
      <c r="J117" t="s">
        <v>814</v>
      </c>
      <c r="K117">
        <f>+WEEKNUM(AV_PLAN[[#This Row],[Días]])</f>
        <v>24</v>
      </c>
      <c r="L117" s="4">
        <f>IFERROR(AV_PLAN[[#This Row],[INICIO REAL ACUMULADO]]/AV_PLAN[[#This Row],[PLAN ACUMULADO]],"")</f>
        <v>0.8928571428571429</v>
      </c>
      <c r="M117" s="4">
        <f>IFERROR(AV_PLAN[[#This Row],[TERMINO REAL ACUMULADO]]/AV_PLAN[[#This Row],[TERMINO PLAN ACUMULADO]],"")</f>
        <v>0.5</v>
      </c>
      <c r="N117">
        <f>+AV_PLAN[[#This Row],[PLAN ACUMULADO]]-AV_PLAN[[#This Row],[INICIO REAL ACUMULADO]]</f>
        <v>12</v>
      </c>
      <c r="O117">
        <f>+AV_PLAN[[#This Row],[TERMINO PLAN ACUMULADO]]-AV_PLAN[[#This Row],[TERMINO REAL ACUMULADO]]</f>
        <v>33</v>
      </c>
      <c r="P11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7" s="7">
        <f>+AV_PLAN[[#This Row],[PLAN ACUMULADO]]/$C$471</f>
        <v>0.15909090909090909</v>
      </c>
      <c r="R117" s="7">
        <f t="shared" si="2"/>
        <v>0.14204545454545456</v>
      </c>
      <c r="S117" s="7">
        <f>+AV_PLAN[[#This Row],[TERMINO PLAN ACUMULADO]]/$G$471</f>
        <v>9.375E-2</v>
      </c>
      <c r="T117" s="7">
        <f t="shared" si="3"/>
        <v>4.6875E-2</v>
      </c>
      <c r="U117" s="7">
        <f>+(AV_PLAN[[#This Row],[%AVANCE INICIO PLANIFICADO]]+AV_PLAN[[#This Row],[%AVANCE TERMINO PLANIFICADO]])/2</f>
        <v>0.12642045454545453</v>
      </c>
    </row>
    <row r="118" spans="1:21" x14ac:dyDescent="0.25">
      <c r="A118" s="1">
        <v>46185</v>
      </c>
      <c r="B118">
        <v>2</v>
      </c>
      <c r="C118">
        <v>114</v>
      </c>
      <c r="D118">
        <v>0</v>
      </c>
      <c r="E118">
        <v>100</v>
      </c>
      <c r="F118">
        <v>2</v>
      </c>
      <c r="G118">
        <v>68</v>
      </c>
      <c r="H118">
        <v>5</v>
      </c>
      <c r="I118">
        <v>38</v>
      </c>
      <c r="J118" t="s">
        <v>814</v>
      </c>
      <c r="K118">
        <f>+WEEKNUM(AV_PLAN[[#This Row],[Días]])</f>
        <v>24</v>
      </c>
      <c r="L118" s="4">
        <f>IFERROR(AV_PLAN[[#This Row],[INICIO REAL ACUMULADO]]/AV_PLAN[[#This Row],[PLAN ACUMULADO]],"")</f>
        <v>0.8771929824561403</v>
      </c>
      <c r="M118" s="4">
        <f>IFERROR(AV_PLAN[[#This Row],[TERMINO REAL ACUMULADO]]/AV_PLAN[[#This Row],[TERMINO PLAN ACUMULADO]],"")</f>
        <v>0.55882352941176472</v>
      </c>
      <c r="N118">
        <f>+AV_PLAN[[#This Row],[PLAN ACUMULADO]]-AV_PLAN[[#This Row],[INICIO REAL ACUMULADO]]</f>
        <v>14</v>
      </c>
      <c r="O118">
        <f>+AV_PLAN[[#This Row],[TERMINO PLAN ACUMULADO]]-AV_PLAN[[#This Row],[TERMINO REAL ACUMULADO]]</f>
        <v>30</v>
      </c>
      <c r="P11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8" s="7">
        <f>+AV_PLAN[[#This Row],[PLAN ACUMULADO]]/$C$471</f>
        <v>0.16193181818181818</v>
      </c>
      <c r="R118" s="7">
        <f t="shared" si="2"/>
        <v>0.14204545454545456</v>
      </c>
      <c r="S118" s="7">
        <f>+AV_PLAN[[#This Row],[TERMINO PLAN ACUMULADO]]/$G$471</f>
        <v>9.6590909090909088E-2</v>
      </c>
      <c r="T118" s="7">
        <f t="shared" si="3"/>
        <v>5.3977272727272728E-2</v>
      </c>
      <c r="U118" s="7">
        <f>+(AV_PLAN[[#This Row],[%AVANCE INICIO PLANIFICADO]]+AV_PLAN[[#This Row],[%AVANCE TERMINO PLANIFICADO]])/2</f>
        <v>0.12926136363636365</v>
      </c>
    </row>
    <row r="119" spans="1:21" x14ac:dyDescent="0.25">
      <c r="A119" s="1">
        <v>46186</v>
      </c>
      <c r="B119">
        <v>0</v>
      </c>
      <c r="C119">
        <v>114</v>
      </c>
      <c r="D119">
        <v>0</v>
      </c>
      <c r="E119">
        <v>100</v>
      </c>
      <c r="F119">
        <v>4</v>
      </c>
      <c r="G119">
        <v>72</v>
      </c>
      <c r="H119">
        <v>0</v>
      </c>
      <c r="I119">
        <v>38</v>
      </c>
      <c r="J119" t="s">
        <v>814</v>
      </c>
      <c r="K119">
        <f>+WEEKNUM(AV_PLAN[[#This Row],[Días]])</f>
        <v>24</v>
      </c>
      <c r="L119" s="4">
        <f>IFERROR(AV_PLAN[[#This Row],[INICIO REAL ACUMULADO]]/AV_PLAN[[#This Row],[PLAN ACUMULADO]],"")</f>
        <v>0.8771929824561403</v>
      </c>
      <c r="M119" s="4">
        <f>IFERROR(AV_PLAN[[#This Row],[TERMINO REAL ACUMULADO]]/AV_PLAN[[#This Row],[TERMINO PLAN ACUMULADO]],"")</f>
        <v>0.52777777777777779</v>
      </c>
      <c r="N119">
        <f>+AV_PLAN[[#This Row],[PLAN ACUMULADO]]-AV_PLAN[[#This Row],[INICIO REAL ACUMULADO]]</f>
        <v>14</v>
      </c>
      <c r="O119">
        <f>+AV_PLAN[[#This Row],[TERMINO PLAN ACUMULADO]]-AV_PLAN[[#This Row],[TERMINO REAL ACUMULADO]]</f>
        <v>34</v>
      </c>
      <c r="P11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9" s="7">
        <f>+AV_PLAN[[#This Row],[PLAN ACUMULADO]]/$C$471</f>
        <v>0.16193181818181818</v>
      </c>
      <c r="R119" s="7">
        <f t="shared" si="2"/>
        <v>0.14204545454545456</v>
      </c>
      <c r="S119" s="7">
        <f>+AV_PLAN[[#This Row],[TERMINO PLAN ACUMULADO]]/$G$471</f>
        <v>0.10227272727272728</v>
      </c>
      <c r="T119" s="7">
        <f t="shared" si="3"/>
        <v>5.3977272727272728E-2</v>
      </c>
      <c r="U119" s="7">
        <f>+(AV_PLAN[[#This Row],[%AVANCE INICIO PLANIFICADO]]+AV_PLAN[[#This Row],[%AVANCE TERMINO PLANIFICADO]])/2</f>
        <v>0.13210227272727273</v>
      </c>
    </row>
    <row r="120" spans="1:21" x14ac:dyDescent="0.25">
      <c r="A120" s="1">
        <v>46187</v>
      </c>
      <c r="B120">
        <v>0</v>
      </c>
      <c r="C120">
        <v>114</v>
      </c>
      <c r="D120">
        <v>0</v>
      </c>
      <c r="E120">
        <v>100</v>
      </c>
      <c r="F120">
        <v>1</v>
      </c>
      <c r="G120">
        <v>73</v>
      </c>
      <c r="H120">
        <v>0</v>
      </c>
      <c r="I120">
        <v>38</v>
      </c>
      <c r="J120" t="s">
        <v>814</v>
      </c>
      <c r="K120">
        <f>+WEEKNUM(AV_PLAN[[#This Row],[Días]])</f>
        <v>25</v>
      </c>
      <c r="L120" s="4">
        <f>IFERROR(AV_PLAN[[#This Row],[INICIO REAL ACUMULADO]]/AV_PLAN[[#This Row],[PLAN ACUMULADO]],"")</f>
        <v>0.8771929824561403</v>
      </c>
      <c r="M120" s="4">
        <f>IFERROR(AV_PLAN[[#This Row],[TERMINO REAL ACUMULADO]]/AV_PLAN[[#This Row],[TERMINO PLAN ACUMULADO]],"")</f>
        <v>0.52054794520547942</v>
      </c>
      <c r="N120">
        <f>+AV_PLAN[[#This Row],[PLAN ACUMULADO]]-AV_PLAN[[#This Row],[INICIO REAL ACUMULADO]]</f>
        <v>14</v>
      </c>
      <c r="O120">
        <f>+AV_PLAN[[#This Row],[TERMINO PLAN ACUMULADO]]-AV_PLAN[[#This Row],[TERMINO REAL ACUMULADO]]</f>
        <v>35</v>
      </c>
      <c r="P12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0" s="7">
        <f>+AV_PLAN[[#This Row],[PLAN ACUMULADO]]/$C$471</f>
        <v>0.16193181818181818</v>
      </c>
      <c r="R120" s="7">
        <f t="shared" si="2"/>
        <v>0.14204545454545456</v>
      </c>
      <c r="S120" s="7">
        <f>+AV_PLAN[[#This Row],[TERMINO PLAN ACUMULADO]]/$G$471</f>
        <v>0.10369318181818182</v>
      </c>
      <c r="T120" s="7">
        <f t="shared" si="3"/>
        <v>5.3977272727272728E-2</v>
      </c>
      <c r="U120" s="7">
        <f>+(AV_PLAN[[#This Row],[%AVANCE INICIO PLANIFICADO]]+AV_PLAN[[#This Row],[%AVANCE TERMINO PLANIFICADO]])/2</f>
        <v>0.1328125</v>
      </c>
    </row>
    <row r="121" spans="1:21" x14ac:dyDescent="0.25">
      <c r="A121" s="1">
        <v>46188</v>
      </c>
      <c r="B121">
        <v>2</v>
      </c>
      <c r="C121">
        <v>116</v>
      </c>
      <c r="D121">
        <v>1</v>
      </c>
      <c r="E121">
        <v>101</v>
      </c>
      <c r="F121">
        <v>1</v>
      </c>
      <c r="G121">
        <v>74</v>
      </c>
      <c r="H121">
        <v>0</v>
      </c>
      <c r="I121">
        <v>38</v>
      </c>
      <c r="J121" t="s">
        <v>814</v>
      </c>
      <c r="K121">
        <f>+WEEKNUM(AV_PLAN[[#This Row],[Días]])</f>
        <v>25</v>
      </c>
      <c r="L121" s="4">
        <f>IFERROR(AV_PLAN[[#This Row],[INICIO REAL ACUMULADO]]/AV_PLAN[[#This Row],[PLAN ACUMULADO]],"")</f>
        <v>0.87068965517241381</v>
      </c>
      <c r="M121" s="4">
        <f>IFERROR(AV_PLAN[[#This Row],[TERMINO REAL ACUMULADO]]/AV_PLAN[[#This Row],[TERMINO PLAN ACUMULADO]],"")</f>
        <v>0.51351351351351349</v>
      </c>
      <c r="N121">
        <f>+AV_PLAN[[#This Row],[PLAN ACUMULADO]]-AV_PLAN[[#This Row],[INICIO REAL ACUMULADO]]</f>
        <v>15</v>
      </c>
      <c r="O121">
        <f>+AV_PLAN[[#This Row],[TERMINO PLAN ACUMULADO]]-AV_PLAN[[#This Row],[TERMINO REAL ACUMULADO]]</f>
        <v>36</v>
      </c>
      <c r="P12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1" s="7">
        <f>+AV_PLAN[[#This Row],[PLAN ACUMULADO]]/$C$471</f>
        <v>0.16477272727272727</v>
      </c>
      <c r="R121" s="7">
        <f t="shared" si="2"/>
        <v>0.14346590909090909</v>
      </c>
      <c r="S121" s="7">
        <f>+AV_PLAN[[#This Row],[TERMINO PLAN ACUMULADO]]/$G$471</f>
        <v>0.10511363636363637</v>
      </c>
      <c r="T121" s="7">
        <f t="shared" si="3"/>
        <v>5.3977272727272728E-2</v>
      </c>
      <c r="U121" s="7">
        <f>+(AV_PLAN[[#This Row],[%AVANCE INICIO PLANIFICADO]]+AV_PLAN[[#This Row],[%AVANCE TERMINO PLANIFICADO]])/2</f>
        <v>0.13494318181818182</v>
      </c>
    </row>
    <row r="122" spans="1:21" x14ac:dyDescent="0.25">
      <c r="A122" s="1">
        <v>46189</v>
      </c>
      <c r="B122">
        <v>2</v>
      </c>
      <c r="C122">
        <v>118</v>
      </c>
      <c r="D122">
        <v>0</v>
      </c>
      <c r="E122">
        <v>101</v>
      </c>
      <c r="F122">
        <v>1</v>
      </c>
      <c r="G122">
        <v>75</v>
      </c>
      <c r="H122">
        <v>0</v>
      </c>
      <c r="I122">
        <v>38</v>
      </c>
      <c r="J122" t="s">
        <v>814</v>
      </c>
      <c r="K122">
        <f>+WEEKNUM(AV_PLAN[[#This Row],[Días]])</f>
        <v>25</v>
      </c>
      <c r="L122" s="4">
        <f>IFERROR(AV_PLAN[[#This Row],[INICIO REAL ACUMULADO]]/AV_PLAN[[#This Row],[PLAN ACUMULADO]],"")</f>
        <v>0.85593220338983056</v>
      </c>
      <c r="M122" s="4">
        <f>IFERROR(AV_PLAN[[#This Row],[TERMINO REAL ACUMULADO]]/AV_PLAN[[#This Row],[TERMINO PLAN ACUMULADO]],"")</f>
        <v>0.50666666666666671</v>
      </c>
      <c r="N122">
        <f>+AV_PLAN[[#This Row],[PLAN ACUMULADO]]-AV_PLAN[[#This Row],[INICIO REAL ACUMULADO]]</f>
        <v>17</v>
      </c>
      <c r="O122">
        <f>+AV_PLAN[[#This Row],[TERMINO PLAN ACUMULADO]]-AV_PLAN[[#This Row],[TERMINO REAL ACUMULADO]]</f>
        <v>37</v>
      </c>
      <c r="P12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2" s="7">
        <f>+AV_PLAN[[#This Row],[PLAN ACUMULADO]]/$C$471</f>
        <v>0.16761363636363635</v>
      </c>
      <c r="R122" s="7">
        <f t="shared" si="2"/>
        <v>0.14346590909090909</v>
      </c>
      <c r="S122" s="7">
        <f>+AV_PLAN[[#This Row],[TERMINO PLAN ACUMULADO]]/$G$471</f>
        <v>0.10653409090909091</v>
      </c>
      <c r="T122" s="7">
        <f t="shared" si="3"/>
        <v>5.3977272727272728E-2</v>
      </c>
      <c r="U122" s="7">
        <f>+(AV_PLAN[[#This Row],[%AVANCE INICIO PLANIFICADO]]+AV_PLAN[[#This Row],[%AVANCE TERMINO PLANIFICADO]])/2</f>
        <v>0.13707386363636365</v>
      </c>
    </row>
    <row r="123" spans="1:21" x14ac:dyDescent="0.25">
      <c r="A123" s="1">
        <v>46190</v>
      </c>
      <c r="B123">
        <v>2</v>
      </c>
      <c r="C123">
        <v>120</v>
      </c>
      <c r="D123">
        <v>0</v>
      </c>
      <c r="E123">
        <v>101</v>
      </c>
      <c r="F123">
        <v>2</v>
      </c>
      <c r="G123">
        <v>77</v>
      </c>
      <c r="H123">
        <v>0</v>
      </c>
      <c r="I123">
        <v>38</v>
      </c>
      <c r="J123" t="s">
        <v>814</v>
      </c>
      <c r="K123">
        <f>+WEEKNUM(AV_PLAN[[#This Row],[Días]])</f>
        <v>25</v>
      </c>
      <c r="L123" s="4">
        <f>IFERROR(AV_PLAN[[#This Row],[INICIO REAL ACUMULADO]]/AV_PLAN[[#This Row],[PLAN ACUMULADO]],"")</f>
        <v>0.84166666666666667</v>
      </c>
      <c r="M123" s="4">
        <f>IFERROR(AV_PLAN[[#This Row],[TERMINO REAL ACUMULADO]]/AV_PLAN[[#This Row],[TERMINO PLAN ACUMULADO]],"")</f>
        <v>0.4935064935064935</v>
      </c>
      <c r="N123">
        <f>+AV_PLAN[[#This Row],[PLAN ACUMULADO]]-AV_PLAN[[#This Row],[INICIO REAL ACUMULADO]]</f>
        <v>19</v>
      </c>
      <c r="O123">
        <f>+AV_PLAN[[#This Row],[TERMINO PLAN ACUMULADO]]-AV_PLAN[[#This Row],[TERMINO REAL ACUMULADO]]</f>
        <v>39</v>
      </c>
      <c r="P12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3" s="7">
        <f>+AV_PLAN[[#This Row],[PLAN ACUMULADO]]/$C$471</f>
        <v>0.17045454545454544</v>
      </c>
      <c r="R123" s="7">
        <f t="shared" si="2"/>
        <v>0.14346590909090909</v>
      </c>
      <c r="S123" s="7">
        <f>+AV_PLAN[[#This Row],[TERMINO PLAN ACUMULADO]]/$G$471</f>
        <v>0.109375</v>
      </c>
      <c r="T123" s="7">
        <f t="shared" si="3"/>
        <v>5.3977272727272728E-2</v>
      </c>
      <c r="U123" s="7">
        <f>+(AV_PLAN[[#This Row],[%AVANCE INICIO PLANIFICADO]]+AV_PLAN[[#This Row],[%AVANCE TERMINO PLANIFICADO]])/2</f>
        <v>0.13991477272727271</v>
      </c>
    </row>
    <row r="124" spans="1:21" x14ac:dyDescent="0.25">
      <c r="A124" s="1">
        <v>46191</v>
      </c>
      <c r="B124">
        <v>2</v>
      </c>
      <c r="C124">
        <v>122</v>
      </c>
      <c r="D124">
        <v>0</v>
      </c>
      <c r="E124">
        <v>101</v>
      </c>
      <c r="F124">
        <v>1</v>
      </c>
      <c r="G124">
        <v>78</v>
      </c>
      <c r="H124">
        <v>0</v>
      </c>
      <c r="I124">
        <v>38</v>
      </c>
      <c r="J124" t="s">
        <v>814</v>
      </c>
      <c r="K124">
        <f>+WEEKNUM(AV_PLAN[[#This Row],[Días]])</f>
        <v>25</v>
      </c>
      <c r="L124" s="4">
        <f>IFERROR(AV_PLAN[[#This Row],[INICIO REAL ACUMULADO]]/AV_PLAN[[#This Row],[PLAN ACUMULADO]],"")</f>
        <v>0.82786885245901642</v>
      </c>
      <c r="M124" s="4">
        <f>IFERROR(AV_PLAN[[#This Row],[TERMINO REAL ACUMULADO]]/AV_PLAN[[#This Row],[TERMINO PLAN ACUMULADO]],"")</f>
        <v>0.48717948717948717</v>
      </c>
      <c r="N124">
        <f>+AV_PLAN[[#This Row],[PLAN ACUMULADO]]-AV_PLAN[[#This Row],[INICIO REAL ACUMULADO]]</f>
        <v>21</v>
      </c>
      <c r="O124">
        <f>+AV_PLAN[[#This Row],[TERMINO PLAN ACUMULADO]]-AV_PLAN[[#This Row],[TERMINO REAL ACUMULADO]]</f>
        <v>40</v>
      </c>
      <c r="P12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4" s="7">
        <f>+AV_PLAN[[#This Row],[PLAN ACUMULADO]]/$C$471</f>
        <v>0.17329545454545456</v>
      </c>
      <c r="R124" s="7">
        <f t="shared" si="2"/>
        <v>0.14346590909090909</v>
      </c>
      <c r="S124" s="7">
        <f>+AV_PLAN[[#This Row],[TERMINO PLAN ACUMULADO]]/$G$471</f>
        <v>0.11079545454545454</v>
      </c>
      <c r="T124" s="7">
        <f t="shared" si="3"/>
        <v>5.3977272727272728E-2</v>
      </c>
      <c r="U124" s="7">
        <f>+(AV_PLAN[[#This Row],[%AVANCE INICIO PLANIFICADO]]+AV_PLAN[[#This Row],[%AVANCE TERMINO PLANIFICADO]])/2</f>
        <v>0.14204545454545456</v>
      </c>
    </row>
    <row r="125" spans="1:21" x14ac:dyDescent="0.25">
      <c r="A125" s="1">
        <v>46192</v>
      </c>
      <c r="B125">
        <v>2</v>
      </c>
      <c r="C125">
        <v>124</v>
      </c>
      <c r="D125">
        <v>0</v>
      </c>
      <c r="E125">
        <v>101</v>
      </c>
      <c r="F125">
        <v>1</v>
      </c>
      <c r="G125">
        <v>79</v>
      </c>
      <c r="H125">
        <v>0</v>
      </c>
      <c r="I125">
        <v>38</v>
      </c>
      <c r="J125" t="s">
        <v>814</v>
      </c>
      <c r="K125">
        <f>+WEEKNUM(AV_PLAN[[#This Row],[Días]])</f>
        <v>25</v>
      </c>
      <c r="L125" s="4">
        <f>IFERROR(AV_PLAN[[#This Row],[INICIO REAL ACUMULADO]]/AV_PLAN[[#This Row],[PLAN ACUMULADO]],"")</f>
        <v>0.81451612903225812</v>
      </c>
      <c r="M125" s="4">
        <f>IFERROR(AV_PLAN[[#This Row],[TERMINO REAL ACUMULADO]]/AV_PLAN[[#This Row],[TERMINO PLAN ACUMULADO]],"")</f>
        <v>0.48101265822784811</v>
      </c>
      <c r="N125">
        <f>+AV_PLAN[[#This Row],[PLAN ACUMULADO]]-AV_PLAN[[#This Row],[INICIO REAL ACUMULADO]]</f>
        <v>23</v>
      </c>
      <c r="O125">
        <f>+AV_PLAN[[#This Row],[TERMINO PLAN ACUMULADO]]-AV_PLAN[[#This Row],[TERMINO REAL ACUMULADO]]</f>
        <v>41</v>
      </c>
      <c r="P12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5" s="7">
        <f>+AV_PLAN[[#This Row],[PLAN ACUMULADO]]/$C$471</f>
        <v>0.17613636363636365</v>
      </c>
      <c r="R125" s="7">
        <f t="shared" si="2"/>
        <v>0.14346590909090909</v>
      </c>
      <c r="S125" s="7">
        <f>+AV_PLAN[[#This Row],[TERMINO PLAN ACUMULADO]]/$G$471</f>
        <v>0.11221590909090909</v>
      </c>
      <c r="T125" s="7">
        <f t="shared" si="3"/>
        <v>5.3977272727272728E-2</v>
      </c>
      <c r="U125" s="7">
        <f>+(AV_PLAN[[#This Row],[%AVANCE INICIO PLANIFICADO]]+AV_PLAN[[#This Row],[%AVANCE TERMINO PLANIFICADO]])/2</f>
        <v>0.14417613636363635</v>
      </c>
    </row>
    <row r="126" spans="1:21" x14ac:dyDescent="0.25">
      <c r="A126" s="1">
        <v>46193</v>
      </c>
      <c r="B126">
        <v>0</v>
      </c>
      <c r="C126">
        <v>124</v>
      </c>
      <c r="D126">
        <v>0</v>
      </c>
      <c r="E126">
        <v>101</v>
      </c>
      <c r="F126">
        <v>2</v>
      </c>
      <c r="G126">
        <v>81</v>
      </c>
      <c r="H126">
        <v>0</v>
      </c>
      <c r="I126">
        <v>38</v>
      </c>
      <c r="J126" t="s">
        <v>814</v>
      </c>
      <c r="K126">
        <f>+WEEKNUM(AV_PLAN[[#This Row],[Días]])</f>
        <v>25</v>
      </c>
      <c r="L126" s="4">
        <f>IFERROR(AV_PLAN[[#This Row],[INICIO REAL ACUMULADO]]/AV_PLAN[[#This Row],[PLAN ACUMULADO]],"")</f>
        <v>0.81451612903225812</v>
      </c>
      <c r="M126" s="4">
        <f>IFERROR(AV_PLAN[[#This Row],[TERMINO REAL ACUMULADO]]/AV_PLAN[[#This Row],[TERMINO PLAN ACUMULADO]],"")</f>
        <v>0.46913580246913578</v>
      </c>
      <c r="N126">
        <f>+AV_PLAN[[#This Row],[PLAN ACUMULADO]]-AV_PLAN[[#This Row],[INICIO REAL ACUMULADO]]</f>
        <v>23</v>
      </c>
      <c r="O126">
        <f>+AV_PLAN[[#This Row],[TERMINO PLAN ACUMULADO]]-AV_PLAN[[#This Row],[TERMINO REAL ACUMULADO]]</f>
        <v>43</v>
      </c>
      <c r="P12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6" s="7">
        <f>+AV_PLAN[[#This Row],[PLAN ACUMULADO]]/$C$471</f>
        <v>0.17613636363636365</v>
      </c>
      <c r="R126" s="7">
        <f t="shared" si="2"/>
        <v>0.14346590909090909</v>
      </c>
      <c r="S126" s="7">
        <f>+AV_PLAN[[#This Row],[TERMINO PLAN ACUMULADO]]/$G$471</f>
        <v>0.11505681818181818</v>
      </c>
      <c r="T126" s="7">
        <f t="shared" si="3"/>
        <v>5.3977272727272728E-2</v>
      </c>
      <c r="U126" s="7">
        <f>+(AV_PLAN[[#This Row],[%AVANCE INICIO PLANIFICADO]]+AV_PLAN[[#This Row],[%AVANCE TERMINO PLANIFICADO]])/2</f>
        <v>0.14559659090909091</v>
      </c>
    </row>
    <row r="127" spans="1:21" x14ac:dyDescent="0.25">
      <c r="A127" s="1">
        <v>46194</v>
      </c>
      <c r="B127">
        <v>0</v>
      </c>
      <c r="C127">
        <v>124</v>
      </c>
      <c r="D127">
        <v>0</v>
      </c>
      <c r="E127">
        <v>101</v>
      </c>
      <c r="F127">
        <v>1</v>
      </c>
      <c r="G127">
        <v>82</v>
      </c>
      <c r="H127">
        <v>0</v>
      </c>
      <c r="I127">
        <v>38</v>
      </c>
      <c r="J127" t="s">
        <v>814</v>
      </c>
      <c r="K127">
        <f>+WEEKNUM(AV_PLAN[[#This Row],[Días]])</f>
        <v>26</v>
      </c>
      <c r="L127" s="4">
        <f>IFERROR(AV_PLAN[[#This Row],[INICIO REAL ACUMULADO]]/AV_PLAN[[#This Row],[PLAN ACUMULADO]],"")</f>
        <v>0.81451612903225812</v>
      </c>
      <c r="M127" s="4">
        <f>IFERROR(AV_PLAN[[#This Row],[TERMINO REAL ACUMULADO]]/AV_PLAN[[#This Row],[TERMINO PLAN ACUMULADO]],"")</f>
        <v>0.46341463414634149</v>
      </c>
      <c r="N127">
        <f>+AV_PLAN[[#This Row],[PLAN ACUMULADO]]-AV_PLAN[[#This Row],[INICIO REAL ACUMULADO]]</f>
        <v>23</v>
      </c>
      <c r="O127">
        <f>+AV_PLAN[[#This Row],[TERMINO PLAN ACUMULADO]]-AV_PLAN[[#This Row],[TERMINO REAL ACUMULADO]]</f>
        <v>44</v>
      </c>
      <c r="P127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7" s="7">
        <f>+AV_PLAN[[#This Row],[PLAN ACUMULADO]]/$C$471</f>
        <v>0.17613636363636365</v>
      </c>
      <c r="R127" s="7">
        <f t="shared" si="2"/>
        <v>0.14346590909090909</v>
      </c>
      <c r="S127" s="7">
        <f>+AV_PLAN[[#This Row],[TERMINO PLAN ACUMULADO]]/$G$471</f>
        <v>0.11647727272727272</v>
      </c>
      <c r="T127" s="7">
        <f t="shared" si="3"/>
        <v>5.3977272727272728E-2</v>
      </c>
      <c r="U127" s="7">
        <f>+(AV_PLAN[[#This Row],[%AVANCE INICIO PLANIFICADO]]+AV_PLAN[[#This Row],[%AVANCE TERMINO PLANIFICADO]])/2</f>
        <v>0.14630681818181818</v>
      </c>
    </row>
    <row r="128" spans="1:21" x14ac:dyDescent="0.25">
      <c r="A128" s="1">
        <v>46195</v>
      </c>
      <c r="B128">
        <v>2</v>
      </c>
      <c r="C128">
        <v>126</v>
      </c>
      <c r="D128">
        <v>0</v>
      </c>
      <c r="E128">
        <v>101</v>
      </c>
      <c r="F128">
        <v>1</v>
      </c>
      <c r="G128">
        <v>83</v>
      </c>
      <c r="H128">
        <v>0</v>
      </c>
      <c r="I128">
        <v>38</v>
      </c>
      <c r="J128" t="s">
        <v>814</v>
      </c>
      <c r="K128">
        <f>+WEEKNUM(AV_PLAN[[#This Row],[Días]])</f>
        <v>26</v>
      </c>
      <c r="L128" s="4">
        <f>IFERROR(AV_PLAN[[#This Row],[INICIO REAL ACUMULADO]]/AV_PLAN[[#This Row],[PLAN ACUMULADO]],"")</f>
        <v>0.80158730158730163</v>
      </c>
      <c r="M128" s="4">
        <f>IFERROR(AV_PLAN[[#This Row],[TERMINO REAL ACUMULADO]]/AV_PLAN[[#This Row],[TERMINO PLAN ACUMULADO]],"")</f>
        <v>0.45783132530120479</v>
      </c>
      <c r="N128">
        <f>+AV_PLAN[[#This Row],[PLAN ACUMULADO]]-AV_PLAN[[#This Row],[INICIO REAL ACUMULADO]]</f>
        <v>25</v>
      </c>
      <c r="O128">
        <f>+AV_PLAN[[#This Row],[TERMINO PLAN ACUMULADO]]-AV_PLAN[[#This Row],[TERMINO REAL ACUMULADO]]</f>
        <v>45</v>
      </c>
      <c r="P128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8" s="7">
        <f>+AV_PLAN[[#This Row],[PLAN ACUMULADO]]/$C$471</f>
        <v>0.17897727272727273</v>
      </c>
      <c r="R128" s="7">
        <f t="shared" si="2"/>
        <v>0.14346590909090909</v>
      </c>
      <c r="S128" s="7">
        <f>+AV_PLAN[[#This Row],[TERMINO PLAN ACUMULADO]]/$G$471</f>
        <v>0.11789772727272728</v>
      </c>
      <c r="T128" s="7">
        <f t="shared" si="3"/>
        <v>5.3977272727272728E-2</v>
      </c>
      <c r="U128" s="7">
        <f>+(AV_PLAN[[#This Row],[%AVANCE INICIO PLANIFICADO]]+AV_PLAN[[#This Row],[%AVANCE TERMINO PLANIFICADO]])/2</f>
        <v>0.1484375</v>
      </c>
    </row>
    <row r="129" spans="1:21" x14ac:dyDescent="0.25">
      <c r="A129" s="1">
        <v>46196</v>
      </c>
      <c r="B129">
        <v>2</v>
      </c>
      <c r="C129">
        <v>128</v>
      </c>
      <c r="D129">
        <v>0</v>
      </c>
      <c r="E129">
        <v>101</v>
      </c>
      <c r="F129">
        <v>2</v>
      </c>
      <c r="G129">
        <v>85</v>
      </c>
      <c r="H129">
        <v>0</v>
      </c>
      <c r="I129">
        <v>38</v>
      </c>
      <c r="J129" t="s">
        <v>814</v>
      </c>
      <c r="K129">
        <f>+WEEKNUM(AV_PLAN[[#This Row],[Días]])</f>
        <v>26</v>
      </c>
      <c r="L129" s="4">
        <f>IFERROR(AV_PLAN[[#This Row],[INICIO REAL ACUMULADO]]/AV_PLAN[[#This Row],[PLAN ACUMULADO]],"")</f>
        <v>0.7890625</v>
      </c>
      <c r="M129" s="4">
        <f>IFERROR(AV_PLAN[[#This Row],[TERMINO REAL ACUMULADO]]/AV_PLAN[[#This Row],[TERMINO PLAN ACUMULADO]],"")</f>
        <v>0.44705882352941179</v>
      </c>
      <c r="N129">
        <f>+AV_PLAN[[#This Row],[PLAN ACUMULADO]]-AV_PLAN[[#This Row],[INICIO REAL ACUMULADO]]</f>
        <v>27</v>
      </c>
      <c r="O129">
        <f>+AV_PLAN[[#This Row],[TERMINO PLAN ACUMULADO]]-AV_PLAN[[#This Row],[TERMINO REAL ACUMULADO]]</f>
        <v>47</v>
      </c>
      <c r="P129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9" s="7">
        <f>+AV_PLAN[[#This Row],[PLAN ACUMULADO]]/$C$471</f>
        <v>0.18181818181818182</v>
      </c>
      <c r="R129" s="7">
        <f t="shared" si="2"/>
        <v>0.14346590909090909</v>
      </c>
      <c r="S129" s="7">
        <f>+AV_PLAN[[#This Row],[TERMINO PLAN ACUMULADO]]/$G$471</f>
        <v>0.12073863636363637</v>
      </c>
      <c r="T129" s="7">
        <f t="shared" si="3"/>
        <v>5.3977272727272728E-2</v>
      </c>
      <c r="U129" s="7">
        <f>+(AV_PLAN[[#This Row],[%AVANCE INICIO PLANIFICADO]]+AV_PLAN[[#This Row],[%AVANCE TERMINO PLANIFICADO]])/2</f>
        <v>0.15127840909090909</v>
      </c>
    </row>
    <row r="130" spans="1:21" x14ac:dyDescent="0.25">
      <c r="A130" s="1">
        <v>46197</v>
      </c>
      <c r="B130">
        <v>2</v>
      </c>
      <c r="C130">
        <v>130</v>
      </c>
      <c r="D130">
        <v>0</v>
      </c>
      <c r="E130">
        <v>101</v>
      </c>
      <c r="F130">
        <v>2</v>
      </c>
      <c r="G130">
        <v>87</v>
      </c>
      <c r="H130">
        <v>0</v>
      </c>
      <c r="I130">
        <v>38</v>
      </c>
      <c r="J130" t="s">
        <v>814</v>
      </c>
      <c r="K130">
        <f>+WEEKNUM(AV_PLAN[[#This Row],[Días]])</f>
        <v>26</v>
      </c>
      <c r="L130" s="4">
        <f>IFERROR(AV_PLAN[[#This Row],[INICIO REAL ACUMULADO]]/AV_PLAN[[#This Row],[PLAN ACUMULADO]],"")</f>
        <v>0.77692307692307694</v>
      </c>
      <c r="M130" s="4">
        <f>IFERROR(AV_PLAN[[#This Row],[TERMINO REAL ACUMULADO]]/AV_PLAN[[#This Row],[TERMINO PLAN ACUMULADO]],"")</f>
        <v>0.43678160919540232</v>
      </c>
      <c r="N130">
        <f>+AV_PLAN[[#This Row],[PLAN ACUMULADO]]-AV_PLAN[[#This Row],[INICIO REAL ACUMULADO]]</f>
        <v>29</v>
      </c>
      <c r="O130">
        <f>+AV_PLAN[[#This Row],[TERMINO PLAN ACUMULADO]]-AV_PLAN[[#This Row],[TERMINO REAL ACUMULADO]]</f>
        <v>49</v>
      </c>
      <c r="P130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0" s="7">
        <f>+AV_PLAN[[#This Row],[PLAN ACUMULADO]]/$C$471</f>
        <v>0.18465909090909091</v>
      </c>
      <c r="R130" s="7">
        <f t="shared" ref="R130:R193" si="4">IF(D130="",NA(),E130/$C$471)</f>
        <v>0.14346590909090909</v>
      </c>
      <c r="S130" s="7">
        <f>+AV_PLAN[[#This Row],[TERMINO PLAN ACUMULADO]]/$G$471</f>
        <v>0.12357954545454546</v>
      </c>
      <c r="T130" s="7">
        <f t="shared" ref="T130:T193" si="5">IF(H130="",NA(),I130/$G$471)</f>
        <v>5.3977272727272728E-2</v>
      </c>
      <c r="U130" s="7">
        <f>+(AV_PLAN[[#This Row],[%AVANCE INICIO PLANIFICADO]]+AV_PLAN[[#This Row],[%AVANCE TERMINO PLANIFICADO]])/2</f>
        <v>0.15411931818181818</v>
      </c>
    </row>
    <row r="131" spans="1:21" x14ac:dyDescent="0.25">
      <c r="A131" s="1">
        <v>46198</v>
      </c>
      <c r="B131">
        <v>3</v>
      </c>
      <c r="C131">
        <v>133</v>
      </c>
      <c r="D131">
        <v>0</v>
      </c>
      <c r="E131">
        <v>101</v>
      </c>
      <c r="F131">
        <v>1</v>
      </c>
      <c r="G131">
        <v>88</v>
      </c>
      <c r="H131">
        <v>0</v>
      </c>
      <c r="I131">
        <v>38</v>
      </c>
      <c r="J131" t="s">
        <v>814</v>
      </c>
      <c r="K131">
        <f>+WEEKNUM(AV_PLAN[[#This Row],[Días]])</f>
        <v>26</v>
      </c>
      <c r="L131" s="4">
        <f>IFERROR(AV_PLAN[[#This Row],[INICIO REAL ACUMULADO]]/AV_PLAN[[#This Row],[PLAN ACUMULADO]],"")</f>
        <v>0.75939849624060152</v>
      </c>
      <c r="M131" s="4">
        <f>IFERROR(AV_PLAN[[#This Row],[TERMINO REAL ACUMULADO]]/AV_PLAN[[#This Row],[TERMINO PLAN ACUMULADO]],"")</f>
        <v>0.43181818181818182</v>
      </c>
      <c r="N131">
        <f>+AV_PLAN[[#This Row],[PLAN ACUMULADO]]-AV_PLAN[[#This Row],[INICIO REAL ACUMULADO]]</f>
        <v>32</v>
      </c>
      <c r="O131">
        <f>+AV_PLAN[[#This Row],[TERMINO PLAN ACUMULADO]]-AV_PLAN[[#This Row],[TERMINO REAL ACUMULADO]]</f>
        <v>50</v>
      </c>
      <c r="P131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1" s="7">
        <f>+AV_PLAN[[#This Row],[PLAN ACUMULADO]]/$C$471</f>
        <v>0.18892045454545456</v>
      </c>
      <c r="R131" s="7">
        <f t="shared" si="4"/>
        <v>0.14346590909090909</v>
      </c>
      <c r="S131" s="7">
        <f>+AV_PLAN[[#This Row],[TERMINO PLAN ACUMULADO]]/$G$471</f>
        <v>0.125</v>
      </c>
      <c r="T131" s="7">
        <f t="shared" si="5"/>
        <v>5.3977272727272728E-2</v>
      </c>
      <c r="U131" s="7">
        <f>+(AV_PLAN[[#This Row],[%AVANCE INICIO PLANIFICADO]]+AV_PLAN[[#This Row],[%AVANCE TERMINO PLANIFICADO]])/2</f>
        <v>0.15696022727272729</v>
      </c>
    </row>
    <row r="132" spans="1:21" x14ac:dyDescent="0.25">
      <c r="A132" s="1">
        <v>46199</v>
      </c>
      <c r="B132">
        <v>2</v>
      </c>
      <c r="C132">
        <v>135</v>
      </c>
      <c r="D132">
        <v>0</v>
      </c>
      <c r="E132">
        <v>101</v>
      </c>
      <c r="F132">
        <v>1</v>
      </c>
      <c r="G132">
        <v>89</v>
      </c>
      <c r="H132">
        <v>0</v>
      </c>
      <c r="I132">
        <v>38</v>
      </c>
      <c r="J132" t="s">
        <v>814</v>
      </c>
      <c r="K132">
        <f>+WEEKNUM(AV_PLAN[[#This Row],[Días]])</f>
        <v>26</v>
      </c>
      <c r="L132" s="4">
        <f>IFERROR(AV_PLAN[[#This Row],[INICIO REAL ACUMULADO]]/AV_PLAN[[#This Row],[PLAN ACUMULADO]],"")</f>
        <v>0.74814814814814812</v>
      </c>
      <c r="M132" s="4">
        <f>IFERROR(AV_PLAN[[#This Row],[TERMINO REAL ACUMULADO]]/AV_PLAN[[#This Row],[TERMINO PLAN ACUMULADO]],"")</f>
        <v>0.42696629213483145</v>
      </c>
      <c r="N132">
        <f>+AV_PLAN[[#This Row],[PLAN ACUMULADO]]-AV_PLAN[[#This Row],[INICIO REAL ACUMULADO]]</f>
        <v>34</v>
      </c>
      <c r="O132">
        <f>+AV_PLAN[[#This Row],[TERMINO PLAN ACUMULADO]]-AV_PLAN[[#This Row],[TERMINO REAL ACUMULADO]]</f>
        <v>51</v>
      </c>
      <c r="P132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2" s="7">
        <f>+AV_PLAN[[#This Row],[PLAN ACUMULADO]]/$C$471</f>
        <v>0.19176136363636365</v>
      </c>
      <c r="R132" s="7">
        <f t="shared" si="4"/>
        <v>0.14346590909090909</v>
      </c>
      <c r="S132" s="7">
        <f>+AV_PLAN[[#This Row],[TERMINO PLAN ACUMULADO]]/$G$471</f>
        <v>0.12642045454545456</v>
      </c>
      <c r="T132" s="7">
        <f t="shared" si="5"/>
        <v>5.3977272727272728E-2</v>
      </c>
      <c r="U132" s="7">
        <f>+(AV_PLAN[[#This Row],[%AVANCE INICIO PLANIFICADO]]+AV_PLAN[[#This Row],[%AVANCE TERMINO PLANIFICADO]])/2</f>
        <v>0.15909090909090912</v>
      </c>
    </row>
    <row r="133" spans="1:21" x14ac:dyDescent="0.25">
      <c r="A133" s="1">
        <v>46200</v>
      </c>
      <c r="B133">
        <v>0</v>
      </c>
      <c r="C133">
        <v>135</v>
      </c>
      <c r="D133">
        <v>0</v>
      </c>
      <c r="E133">
        <v>101</v>
      </c>
      <c r="F133">
        <v>3</v>
      </c>
      <c r="G133">
        <v>92</v>
      </c>
      <c r="H133">
        <v>0</v>
      </c>
      <c r="I133">
        <v>38</v>
      </c>
      <c r="J133" t="s">
        <v>814</v>
      </c>
      <c r="K133">
        <f>+WEEKNUM(AV_PLAN[[#This Row],[Días]])</f>
        <v>26</v>
      </c>
      <c r="L133" s="4">
        <f>IFERROR(AV_PLAN[[#This Row],[INICIO REAL ACUMULADO]]/AV_PLAN[[#This Row],[PLAN ACUMULADO]],"")</f>
        <v>0.74814814814814812</v>
      </c>
      <c r="M133" s="4">
        <f>IFERROR(AV_PLAN[[#This Row],[TERMINO REAL ACUMULADO]]/AV_PLAN[[#This Row],[TERMINO PLAN ACUMULADO]],"")</f>
        <v>0.41304347826086957</v>
      </c>
      <c r="N133">
        <f>+AV_PLAN[[#This Row],[PLAN ACUMULADO]]-AV_PLAN[[#This Row],[INICIO REAL ACUMULADO]]</f>
        <v>34</v>
      </c>
      <c r="O133">
        <f>+AV_PLAN[[#This Row],[TERMINO PLAN ACUMULADO]]-AV_PLAN[[#This Row],[TERMINO REAL ACUMULADO]]</f>
        <v>54</v>
      </c>
      <c r="P133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3" s="7">
        <f>+AV_PLAN[[#This Row],[PLAN ACUMULADO]]/$C$471</f>
        <v>0.19176136363636365</v>
      </c>
      <c r="R133" s="7">
        <f t="shared" si="4"/>
        <v>0.14346590909090909</v>
      </c>
      <c r="S133" s="7">
        <f>+AV_PLAN[[#This Row],[TERMINO PLAN ACUMULADO]]/$G$471</f>
        <v>0.13068181818181818</v>
      </c>
      <c r="T133" s="7">
        <f t="shared" si="5"/>
        <v>5.3977272727272728E-2</v>
      </c>
      <c r="U133" s="7">
        <f>+(AV_PLAN[[#This Row],[%AVANCE INICIO PLANIFICADO]]+AV_PLAN[[#This Row],[%AVANCE TERMINO PLANIFICADO]])/2</f>
        <v>0.16122159090909091</v>
      </c>
    </row>
    <row r="134" spans="1:21" x14ac:dyDescent="0.25">
      <c r="A134" s="1">
        <v>46201</v>
      </c>
      <c r="B134">
        <v>0</v>
      </c>
      <c r="C134">
        <v>135</v>
      </c>
      <c r="D134">
        <v>0</v>
      </c>
      <c r="E134">
        <v>101</v>
      </c>
      <c r="F134">
        <v>1</v>
      </c>
      <c r="G134">
        <v>93</v>
      </c>
      <c r="H134">
        <v>0</v>
      </c>
      <c r="I134">
        <v>38</v>
      </c>
      <c r="J134" t="s">
        <v>814</v>
      </c>
      <c r="K134">
        <f>+WEEKNUM(AV_PLAN[[#This Row],[Días]])</f>
        <v>27</v>
      </c>
      <c r="L134" s="4">
        <f>IFERROR(AV_PLAN[[#This Row],[INICIO REAL ACUMULADO]]/AV_PLAN[[#This Row],[PLAN ACUMULADO]],"")</f>
        <v>0.74814814814814812</v>
      </c>
      <c r="M134" s="4">
        <f>IFERROR(AV_PLAN[[#This Row],[TERMINO REAL ACUMULADO]]/AV_PLAN[[#This Row],[TERMINO PLAN ACUMULADO]],"")</f>
        <v>0.40860215053763443</v>
      </c>
      <c r="N134">
        <f>+AV_PLAN[[#This Row],[PLAN ACUMULADO]]-AV_PLAN[[#This Row],[INICIO REAL ACUMULADO]]</f>
        <v>34</v>
      </c>
      <c r="O134">
        <f>+AV_PLAN[[#This Row],[TERMINO PLAN ACUMULADO]]-AV_PLAN[[#This Row],[TERMINO REAL ACUMULADO]]</f>
        <v>55</v>
      </c>
      <c r="P13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4" s="7">
        <f>+AV_PLAN[[#This Row],[PLAN ACUMULADO]]/$C$471</f>
        <v>0.19176136363636365</v>
      </c>
      <c r="R134" s="7">
        <f t="shared" si="4"/>
        <v>0.14346590909090909</v>
      </c>
      <c r="S134" s="7">
        <f>+AV_PLAN[[#This Row],[TERMINO PLAN ACUMULADO]]/$G$471</f>
        <v>0.13210227272727273</v>
      </c>
      <c r="T134" s="7">
        <f t="shared" si="5"/>
        <v>5.3977272727272728E-2</v>
      </c>
      <c r="U134" s="7">
        <f>+(AV_PLAN[[#This Row],[%AVANCE INICIO PLANIFICADO]]+AV_PLAN[[#This Row],[%AVANCE TERMINO PLANIFICADO]])/2</f>
        <v>0.16193181818181818</v>
      </c>
    </row>
    <row r="135" spans="1:21" x14ac:dyDescent="0.25">
      <c r="A135" s="1">
        <v>46202</v>
      </c>
      <c r="B135">
        <v>3</v>
      </c>
      <c r="C135">
        <v>138</v>
      </c>
      <c r="D135">
        <v>0</v>
      </c>
      <c r="E135">
        <v>101</v>
      </c>
      <c r="F135">
        <v>1</v>
      </c>
      <c r="G135">
        <v>94</v>
      </c>
      <c r="H135">
        <v>0</v>
      </c>
      <c r="I135">
        <v>38</v>
      </c>
      <c r="J135" t="s">
        <v>814</v>
      </c>
      <c r="K135">
        <f>+WEEKNUM(AV_PLAN[[#This Row],[Días]])</f>
        <v>27</v>
      </c>
      <c r="L135" s="4">
        <f>IFERROR(AV_PLAN[[#This Row],[INICIO REAL ACUMULADO]]/AV_PLAN[[#This Row],[PLAN ACUMULADO]],"")</f>
        <v>0.73188405797101452</v>
      </c>
      <c r="M135" s="4">
        <f>IFERROR(AV_PLAN[[#This Row],[TERMINO REAL ACUMULADO]]/AV_PLAN[[#This Row],[TERMINO PLAN ACUMULADO]],"")</f>
        <v>0.40425531914893614</v>
      </c>
      <c r="N135">
        <f>+AV_PLAN[[#This Row],[PLAN ACUMULADO]]-AV_PLAN[[#This Row],[INICIO REAL ACUMULADO]]</f>
        <v>37</v>
      </c>
      <c r="O135">
        <f>+AV_PLAN[[#This Row],[TERMINO PLAN ACUMULADO]]-AV_PLAN[[#This Row],[TERMINO REAL ACUMULADO]]</f>
        <v>56</v>
      </c>
      <c r="P13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5" s="7">
        <f>+AV_PLAN[[#This Row],[PLAN ACUMULADO]]/$C$471</f>
        <v>0.19602272727272727</v>
      </c>
      <c r="R135" s="7">
        <f t="shared" si="4"/>
        <v>0.14346590909090909</v>
      </c>
      <c r="S135" s="7">
        <f>+AV_PLAN[[#This Row],[TERMINO PLAN ACUMULADO]]/$G$471</f>
        <v>0.13352272727272727</v>
      </c>
      <c r="T135" s="7">
        <f t="shared" si="5"/>
        <v>5.3977272727272728E-2</v>
      </c>
      <c r="U135" s="7">
        <f>+(AV_PLAN[[#This Row],[%AVANCE INICIO PLANIFICADO]]+AV_PLAN[[#This Row],[%AVANCE TERMINO PLANIFICADO]])/2</f>
        <v>0.16477272727272727</v>
      </c>
    </row>
    <row r="136" spans="1:21" x14ac:dyDescent="0.25">
      <c r="A136" s="1">
        <v>46203</v>
      </c>
      <c r="B136">
        <v>2</v>
      </c>
      <c r="C136">
        <v>140</v>
      </c>
      <c r="D136">
        <v>0</v>
      </c>
      <c r="E136">
        <v>101</v>
      </c>
      <c r="F136">
        <v>1</v>
      </c>
      <c r="G136">
        <v>95</v>
      </c>
      <c r="H136">
        <v>0</v>
      </c>
      <c r="I136">
        <v>38</v>
      </c>
      <c r="J136" t="s">
        <v>814</v>
      </c>
      <c r="K136">
        <f>+WEEKNUM(AV_PLAN[[#This Row],[Días]])</f>
        <v>27</v>
      </c>
      <c r="L136" s="4">
        <f>IFERROR(AV_PLAN[[#This Row],[INICIO REAL ACUMULADO]]/AV_PLAN[[#This Row],[PLAN ACUMULADO]],"")</f>
        <v>0.72142857142857142</v>
      </c>
      <c r="M136" s="4">
        <f>IFERROR(AV_PLAN[[#This Row],[TERMINO REAL ACUMULADO]]/AV_PLAN[[#This Row],[TERMINO PLAN ACUMULADO]],"")</f>
        <v>0.4</v>
      </c>
      <c r="N136">
        <f>+AV_PLAN[[#This Row],[PLAN ACUMULADO]]-AV_PLAN[[#This Row],[INICIO REAL ACUMULADO]]</f>
        <v>39</v>
      </c>
      <c r="O136">
        <f>+AV_PLAN[[#This Row],[TERMINO PLAN ACUMULADO]]-AV_PLAN[[#This Row],[TERMINO REAL ACUMULADO]]</f>
        <v>57</v>
      </c>
      <c r="P13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6" s="7">
        <f>+AV_PLAN[[#This Row],[PLAN ACUMULADO]]/$C$471</f>
        <v>0.19886363636363635</v>
      </c>
      <c r="R136" s="7">
        <f t="shared" si="4"/>
        <v>0.14346590909090909</v>
      </c>
      <c r="S136" s="7">
        <f>+AV_PLAN[[#This Row],[TERMINO PLAN ACUMULADO]]/$G$471</f>
        <v>0.13494318181818182</v>
      </c>
      <c r="T136" s="7">
        <f t="shared" si="5"/>
        <v>5.3977272727272728E-2</v>
      </c>
      <c r="U136" s="7">
        <f>+(AV_PLAN[[#This Row],[%AVANCE INICIO PLANIFICADO]]+AV_PLAN[[#This Row],[%AVANCE TERMINO PLANIFICADO]])/2</f>
        <v>0.16690340909090909</v>
      </c>
    </row>
    <row r="137" spans="1:21" x14ac:dyDescent="0.25">
      <c r="A137" s="1">
        <v>46204</v>
      </c>
      <c r="B137">
        <v>3</v>
      </c>
      <c r="C137">
        <v>143</v>
      </c>
      <c r="D137">
        <v>0</v>
      </c>
      <c r="E137">
        <v>101</v>
      </c>
      <c r="F137">
        <v>1</v>
      </c>
      <c r="G137">
        <v>96</v>
      </c>
      <c r="H137">
        <v>0</v>
      </c>
      <c r="I137">
        <v>38</v>
      </c>
      <c r="J137" t="s">
        <v>815</v>
      </c>
      <c r="K137">
        <f>+WEEKNUM(AV_PLAN[[#This Row],[Días]])</f>
        <v>27</v>
      </c>
      <c r="L137" s="4">
        <f>IFERROR(AV_PLAN[[#This Row],[INICIO REAL ACUMULADO]]/AV_PLAN[[#This Row],[PLAN ACUMULADO]],"")</f>
        <v>0.70629370629370625</v>
      </c>
      <c r="M137" s="4">
        <f>IFERROR(AV_PLAN[[#This Row],[TERMINO REAL ACUMULADO]]/AV_PLAN[[#This Row],[TERMINO PLAN ACUMULADO]],"")</f>
        <v>0.39583333333333331</v>
      </c>
      <c r="N137">
        <f>+AV_PLAN[[#This Row],[PLAN ACUMULADO]]-AV_PLAN[[#This Row],[INICIO REAL ACUMULADO]]</f>
        <v>42</v>
      </c>
      <c r="O137">
        <f>+AV_PLAN[[#This Row],[TERMINO PLAN ACUMULADO]]-AV_PLAN[[#This Row],[TERMINO REAL ACUMULADO]]</f>
        <v>58</v>
      </c>
      <c r="P13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7" s="7">
        <f>+AV_PLAN[[#This Row],[PLAN ACUMULADO]]/$C$471</f>
        <v>0.203125</v>
      </c>
      <c r="R137" s="7">
        <f t="shared" si="4"/>
        <v>0.14346590909090909</v>
      </c>
      <c r="S137" s="7">
        <f>+AV_PLAN[[#This Row],[TERMINO PLAN ACUMULADO]]/$G$471</f>
        <v>0.13636363636363635</v>
      </c>
      <c r="T137" s="7">
        <f t="shared" si="5"/>
        <v>5.3977272727272728E-2</v>
      </c>
      <c r="U137" s="7">
        <f>+(AV_PLAN[[#This Row],[%AVANCE INICIO PLANIFICADO]]+AV_PLAN[[#This Row],[%AVANCE TERMINO PLANIFICADO]])/2</f>
        <v>0.16974431818181818</v>
      </c>
    </row>
    <row r="138" spans="1:21" x14ac:dyDescent="0.25">
      <c r="A138" s="1">
        <v>46205</v>
      </c>
      <c r="B138">
        <v>2</v>
      </c>
      <c r="C138">
        <v>145</v>
      </c>
      <c r="D138">
        <v>0</v>
      </c>
      <c r="E138">
        <v>101</v>
      </c>
      <c r="F138">
        <v>2</v>
      </c>
      <c r="G138">
        <v>98</v>
      </c>
      <c r="H138">
        <v>0</v>
      </c>
      <c r="I138">
        <v>38</v>
      </c>
      <c r="J138" t="s">
        <v>815</v>
      </c>
      <c r="K138">
        <f>+WEEKNUM(AV_PLAN[[#This Row],[Días]])</f>
        <v>27</v>
      </c>
      <c r="L138" s="4">
        <f>IFERROR(AV_PLAN[[#This Row],[INICIO REAL ACUMULADO]]/AV_PLAN[[#This Row],[PLAN ACUMULADO]],"")</f>
        <v>0.69655172413793098</v>
      </c>
      <c r="M138" s="4">
        <f>IFERROR(AV_PLAN[[#This Row],[TERMINO REAL ACUMULADO]]/AV_PLAN[[#This Row],[TERMINO PLAN ACUMULADO]],"")</f>
        <v>0.38775510204081631</v>
      </c>
      <c r="N138">
        <f>+AV_PLAN[[#This Row],[PLAN ACUMULADO]]-AV_PLAN[[#This Row],[INICIO REAL ACUMULADO]]</f>
        <v>44</v>
      </c>
      <c r="O138">
        <f>+AV_PLAN[[#This Row],[TERMINO PLAN ACUMULADO]]-AV_PLAN[[#This Row],[TERMINO REAL ACUMULADO]]</f>
        <v>60</v>
      </c>
      <c r="P13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8" s="7">
        <f>+AV_PLAN[[#This Row],[PLAN ACUMULADO]]/$C$471</f>
        <v>0.20596590909090909</v>
      </c>
      <c r="R138" s="7">
        <f t="shared" si="4"/>
        <v>0.14346590909090909</v>
      </c>
      <c r="S138" s="7">
        <f>+AV_PLAN[[#This Row],[TERMINO PLAN ACUMULADO]]/$G$471</f>
        <v>0.13920454545454544</v>
      </c>
      <c r="T138" s="7">
        <f t="shared" si="5"/>
        <v>5.3977272727272728E-2</v>
      </c>
      <c r="U138" s="7">
        <f>+(AV_PLAN[[#This Row],[%AVANCE INICIO PLANIFICADO]]+AV_PLAN[[#This Row],[%AVANCE TERMINO PLANIFICADO]])/2</f>
        <v>0.17258522727272727</v>
      </c>
    </row>
    <row r="139" spans="1:21" x14ac:dyDescent="0.25">
      <c r="A139" s="1">
        <v>46206</v>
      </c>
      <c r="B139">
        <v>3</v>
      </c>
      <c r="C139">
        <v>148</v>
      </c>
      <c r="D139">
        <v>0</v>
      </c>
      <c r="E139">
        <v>101</v>
      </c>
      <c r="F139">
        <v>2</v>
      </c>
      <c r="G139">
        <v>100</v>
      </c>
      <c r="H139">
        <v>0</v>
      </c>
      <c r="I139">
        <v>38</v>
      </c>
      <c r="J139" t="s">
        <v>815</v>
      </c>
      <c r="K139">
        <f>+WEEKNUM(AV_PLAN[[#This Row],[Días]])</f>
        <v>27</v>
      </c>
      <c r="L139" s="4">
        <f>IFERROR(AV_PLAN[[#This Row],[INICIO REAL ACUMULADO]]/AV_PLAN[[#This Row],[PLAN ACUMULADO]],"")</f>
        <v>0.68243243243243246</v>
      </c>
      <c r="M139" s="4">
        <f>IFERROR(AV_PLAN[[#This Row],[TERMINO REAL ACUMULADO]]/AV_PLAN[[#This Row],[TERMINO PLAN ACUMULADO]],"")</f>
        <v>0.38</v>
      </c>
      <c r="N139">
        <f>+AV_PLAN[[#This Row],[PLAN ACUMULADO]]-AV_PLAN[[#This Row],[INICIO REAL ACUMULADO]]</f>
        <v>47</v>
      </c>
      <c r="O139">
        <f>+AV_PLAN[[#This Row],[TERMINO PLAN ACUMULADO]]-AV_PLAN[[#This Row],[TERMINO REAL ACUMULADO]]</f>
        <v>62</v>
      </c>
      <c r="P139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9" s="7">
        <f>+AV_PLAN[[#This Row],[PLAN ACUMULADO]]/$C$471</f>
        <v>0.21022727272727273</v>
      </c>
      <c r="R139" s="7">
        <f t="shared" si="4"/>
        <v>0.14346590909090909</v>
      </c>
      <c r="S139" s="7">
        <f>+AV_PLAN[[#This Row],[TERMINO PLAN ACUMULADO]]/$G$471</f>
        <v>0.14204545454545456</v>
      </c>
      <c r="T139" s="7">
        <f t="shared" si="5"/>
        <v>5.3977272727272728E-2</v>
      </c>
      <c r="U139" s="7">
        <f>+(AV_PLAN[[#This Row],[%AVANCE INICIO PLANIFICADO]]+AV_PLAN[[#This Row],[%AVANCE TERMINO PLANIFICADO]])/2</f>
        <v>0.17613636363636365</v>
      </c>
    </row>
    <row r="140" spans="1:21" x14ac:dyDescent="0.25">
      <c r="A140" s="1">
        <v>46207</v>
      </c>
      <c r="B140">
        <v>0</v>
      </c>
      <c r="C140">
        <v>148</v>
      </c>
      <c r="D140">
        <v>0</v>
      </c>
      <c r="E140">
        <v>101</v>
      </c>
      <c r="F140">
        <v>2</v>
      </c>
      <c r="G140">
        <v>102</v>
      </c>
      <c r="H140">
        <v>0</v>
      </c>
      <c r="I140">
        <v>38</v>
      </c>
      <c r="J140" t="s">
        <v>815</v>
      </c>
      <c r="K140">
        <f>+WEEKNUM(AV_PLAN[[#This Row],[Días]])</f>
        <v>27</v>
      </c>
      <c r="L140" s="4">
        <f>IFERROR(AV_PLAN[[#This Row],[INICIO REAL ACUMULADO]]/AV_PLAN[[#This Row],[PLAN ACUMULADO]],"")</f>
        <v>0.68243243243243246</v>
      </c>
      <c r="M140" s="4">
        <f>IFERROR(AV_PLAN[[#This Row],[TERMINO REAL ACUMULADO]]/AV_PLAN[[#This Row],[TERMINO PLAN ACUMULADO]],"")</f>
        <v>0.37254901960784315</v>
      </c>
      <c r="N140">
        <f>+AV_PLAN[[#This Row],[PLAN ACUMULADO]]-AV_PLAN[[#This Row],[INICIO REAL ACUMULADO]]</f>
        <v>47</v>
      </c>
      <c r="O140">
        <f>+AV_PLAN[[#This Row],[TERMINO PLAN ACUMULADO]]-AV_PLAN[[#This Row],[TERMINO REAL ACUMULADO]]</f>
        <v>64</v>
      </c>
      <c r="P14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40" s="7">
        <f>+AV_PLAN[[#This Row],[PLAN ACUMULADO]]/$C$471</f>
        <v>0.21022727272727273</v>
      </c>
      <c r="R140" s="7">
        <f t="shared" si="4"/>
        <v>0.14346590909090909</v>
      </c>
      <c r="S140" s="7">
        <f>+AV_PLAN[[#This Row],[TERMINO PLAN ACUMULADO]]/$G$471</f>
        <v>0.14488636363636365</v>
      </c>
      <c r="T140" s="7">
        <f t="shared" si="5"/>
        <v>5.3977272727272728E-2</v>
      </c>
      <c r="U140" s="7">
        <f>+(AV_PLAN[[#This Row],[%AVANCE INICIO PLANIFICADO]]+AV_PLAN[[#This Row],[%AVANCE TERMINO PLANIFICADO]])/2</f>
        <v>0.17755681818181818</v>
      </c>
    </row>
    <row r="141" spans="1:21" x14ac:dyDescent="0.25">
      <c r="A141" s="1">
        <v>46208</v>
      </c>
      <c r="B141">
        <v>0</v>
      </c>
      <c r="C141">
        <v>148</v>
      </c>
      <c r="D141">
        <v>0</v>
      </c>
      <c r="E141">
        <v>101</v>
      </c>
      <c r="F141">
        <v>1</v>
      </c>
      <c r="G141">
        <v>103</v>
      </c>
      <c r="H141">
        <v>0</v>
      </c>
      <c r="I141">
        <v>38</v>
      </c>
      <c r="J141" t="s">
        <v>815</v>
      </c>
      <c r="K141">
        <f>+WEEKNUM(AV_PLAN[[#This Row],[Días]])</f>
        <v>28</v>
      </c>
      <c r="L141" s="4">
        <f>IFERROR(AV_PLAN[[#This Row],[INICIO REAL ACUMULADO]]/AV_PLAN[[#This Row],[PLAN ACUMULADO]],"")</f>
        <v>0.68243243243243246</v>
      </c>
      <c r="M141" s="4">
        <f>IFERROR(AV_PLAN[[#This Row],[TERMINO REAL ACUMULADO]]/AV_PLAN[[#This Row],[TERMINO PLAN ACUMULADO]],"")</f>
        <v>0.36893203883495146</v>
      </c>
      <c r="N141">
        <f>+AV_PLAN[[#This Row],[PLAN ACUMULADO]]-AV_PLAN[[#This Row],[INICIO REAL ACUMULADO]]</f>
        <v>47</v>
      </c>
      <c r="O141">
        <f>+AV_PLAN[[#This Row],[TERMINO PLAN ACUMULADO]]-AV_PLAN[[#This Row],[TERMINO REAL ACUMULADO]]</f>
        <v>65</v>
      </c>
      <c r="P14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1" s="7">
        <f>+AV_PLAN[[#This Row],[PLAN ACUMULADO]]/$C$471</f>
        <v>0.21022727272727273</v>
      </c>
      <c r="R141" s="7">
        <f t="shared" si="4"/>
        <v>0.14346590909090909</v>
      </c>
      <c r="S141" s="7">
        <f>+AV_PLAN[[#This Row],[TERMINO PLAN ACUMULADO]]/$G$471</f>
        <v>0.14630681818181818</v>
      </c>
      <c r="T141" s="7">
        <f t="shared" si="5"/>
        <v>5.3977272727272728E-2</v>
      </c>
      <c r="U141" s="7">
        <f>+(AV_PLAN[[#This Row],[%AVANCE INICIO PLANIFICADO]]+AV_PLAN[[#This Row],[%AVANCE TERMINO PLANIFICADO]])/2</f>
        <v>0.17826704545454547</v>
      </c>
    </row>
    <row r="142" spans="1:21" x14ac:dyDescent="0.25">
      <c r="A142" s="1">
        <v>46209</v>
      </c>
      <c r="B142">
        <v>2</v>
      </c>
      <c r="C142">
        <v>150</v>
      </c>
      <c r="D142">
        <v>0</v>
      </c>
      <c r="E142">
        <v>101</v>
      </c>
      <c r="F142">
        <v>2</v>
      </c>
      <c r="G142">
        <v>105</v>
      </c>
      <c r="H142">
        <v>0</v>
      </c>
      <c r="I142">
        <v>38</v>
      </c>
      <c r="J142" t="s">
        <v>815</v>
      </c>
      <c r="K142">
        <f>+WEEKNUM(AV_PLAN[[#This Row],[Días]])</f>
        <v>28</v>
      </c>
      <c r="L142" s="4">
        <f>IFERROR(AV_PLAN[[#This Row],[INICIO REAL ACUMULADO]]/AV_PLAN[[#This Row],[PLAN ACUMULADO]],"")</f>
        <v>0.67333333333333334</v>
      </c>
      <c r="M142" s="4">
        <f>IFERROR(AV_PLAN[[#This Row],[TERMINO REAL ACUMULADO]]/AV_PLAN[[#This Row],[TERMINO PLAN ACUMULADO]],"")</f>
        <v>0.3619047619047619</v>
      </c>
      <c r="N142">
        <f>+AV_PLAN[[#This Row],[PLAN ACUMULADO]]-AV_PLAN[[#This Row],[INICIO REAL ACUMULADO]]</f>
        <v>49</v>
      </c>
      <c r="O142">
        <f>+AV_PLAN[[#This Row],[TERMINO PLAN ACUMULADO]]-AV_PLAN[[#This Row],[TERMINO REAL ACUMULADO]]</f>
        <v>67</v>
      </c>
      <c r="P14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2" s="7">
        <f>+AV_PLAN[[#This Row],[PLAN ACUMULADO]]/$C$471</f>
        <v>0.21306818181818182</v>
      </c>
      <c r="R142" s="7">
        <f t="shared" si="4"/>
        <v>0.14346590909090909</v>
      </c>
      <c r="S142" s="7">
        <f>+AV_PLAN[[#This Row],[TERMINO PLAN ACUMULADO]]/$G$471</f>
        <v>0.14914772727272727</v>
      </c>
      <c r="T142" s="7">
        <f t="shared" si="5"/>
        <v>5.3977272727272728E-2</v>
      </c>
      <c r="U142" s="7">
        <f>+(AV_PLAN[[#This Row],[%AVANCE INICIO PLANIFICADO]]+AV_PLAN[[#This Row],[%AVANCE TERMINO PLANIFICADO]])/2</f>
        <v>0.18110795454545453</v>
      </c>
    </row>
    <row r="143" spans="1:21" x14ac:dyDescent="0.25">
      <c r="A143" s="1">
        <v>46210</v>
      </c>
      <c r="B143">
        <v>3</v>
      </c>
      <c r="C143">
        <v>153</v>
      </c>
      <c r="D143">
        <v>0</v>
      </c>
      <c r="E143">
        <v>101</v>
      </c>
      <c r="F143">
        <v>2</v>
      </c>
      <c r="G143">
        <v>107</v>
      </c>
      <c r="H143">
        <v>0</v>
      </c>
      <c r="I143">
        <v>38</v>
      </c>
      <c r="J143" t="s">
        <v>815</v>
      </c>
      <c r="K143">
        <f>+WEEKNUM(AV_PLAN[[#This Row],[Días]])</f>
        <v>28</v>
      </c>
      <c r="L143" s="4">
        <f>IFERROR(AV_PLAN[[#This Row],[INICIO REAL ACUMULADO]]/AV_PLAN[[#This Row],[PLAN ACUMULADO]],"")</f>
        <v>0.66013071895424835</v>
      </c>
      <c r="M143" s="4">
        <f>IFERROR(AV_PLAN[[#This Row],[TERMINO REAL ACUMULADO]]/AV_PLAN[[#This Row],[TERMINO PLAN ACUMULADO]],"")</f>
        <v>0.35514018691588783</v>
      </c>
      <c r="N143">
        <f>+AV_PLAN[[#This Row],[PLAN ACUMULADO]]-AV_PLAN[[#This Row],[INICIO REAL ACUMULADO]]</f>
        <v>52</v>
      </c>
      <c r="O143">
        <f>+AV_PLAN[[#This Row],[TERMINO PLAN ACUMULADO]]-AV_PLAN[[#This Row],[TERMINO REAL ACUMULADO]]</f>
        <v>69</v>
      </c>
      <c r="P14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3" s="7">
        <f>+AV_PLAN[[#This Row],[PLAN ACUMULADO]]/$C$471</f>
        <v>0.21732954545454544</v>
      </c>
      <c r="R143" s="7">
        <f t="shared" si="4"/>
        <v>0.14346590909090909</v>
      </c>
      <c r="S143" s="7">
        <f>+AV_PLAN[[#This Row],[TERMINO PLAN ACUMULADO]]/$G$471</f>
        <v>0.15198863636363635</v>
      </c>
      <c r="T143" s="7">
        <f t="shared" si="5"/>
        <v>5.3977272727272728E-2</v>
      </c>
      <c r="U143" s="7">
        <f>+(AV_PLAN[[#This Row],[%AVANCE INICIO PLANIFICADO]]+AV_PLAN[[#This Row],[%AVANCE TERMINO PLANIFICADO]])/2</f>
        <v>0.18465909090909088</v>
      </c>
    </row>
    <row r="144" spans="1:21" x14ac:dyDescent="0.25">
      <c r="A144" s="1">
        <v>46211</v>
      </c>
      <c r="B144">
        <v>2</v>
      </c>
      <c r="C144">
        <v>155</v>
      </c>
      <c r="D144">
        <v>0</v>
      </c>
      <c r="E144">
        <v>101</v>
      </c>
      <c r="F144">
        <v>1</v>
      </c>
      <c r="G144">
        <v>108</v>
      </c>
      <c r="H144">
        <v>0</v>
      </c>
      <c r="I144">
        <v>38</v>
      </c>
      <c r="J144" t="s">
        <v>815</v>
      </c>
      <c r="K144">
        <f>+WEEKNUM(AV_PLAN[[#This Row],[Días]])</f>
        <v>28</v>
      </c>
      <c r="L144" s="4">
        <f>IFERROR(AV_PLAN[[#This Row],[INICIO REAL ACUMULADO]]/AV_PLAN[[#This Row],[PLAN ACUMULADO]],"")</f>
        <v>0.65161290322580645</v>
      </c>
      <c r="M144" s="4">
        <f>IFERROR(AV_PLAN[[#This Row],[TERMINO REAL ACUMULADO]]/AV_PLAN[[#This Row],[TERMINO PLAN ACUMULADO]],"")</f>
        <v>0.35185185185185186</v>
      </c>
      <c r="N144">
        <f>+AV_PLAN[[#This Row],[PLAN ACUMULADO]]-AV_PLAN[[#This Row],[INICIO REAL ACUMULADO]]</f>
        <v>54</v>
      </c>
      <c r="O144">
        <f>+AV_PLAN[[#This Row],[TERMINO PLAN ACUMULADO]]-AV_PLAN[[#This Row],[TERMINO REAL ACUMULADO]]</f>
        <v>70</v>
      </c>
      <c r="P14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4" s="7">
        <f>+AV_PLAN[[#This Row],[PLAN ACUMULADO]]/$C$471</f>
        <v>0.22017045454545456</v>
      </c>
      <c r="R144" s="7">
        <f t="shared" si="4"/>
        <v>0.14346590909090909</v>
      </c>
      <c r="S144" s="7">
        <f>+AV_PLAN[[#This Row],[TERMINO PLAN ACUMULADO]]/$G$471</f>
        <v>0.15340909090909091</v>
      </c>
      <c r="T144" s="7">
        <f t="shared" si="5"/>
        <v>5.3977272727272728E-2</v>
      </c>
      <c r="U144" s="7">
        <f>+(AV_PLAN[[#This Row],[%AVANCE INICIO PLANIFICADO]]+AV_PLAN[[#This Row],[%AVANCE TERMINO PLANIFICADO]])/2</f>
        <v>0.18678977272727273</v>
      </c>
    </row>
    <row r="145" spans="1:21" x14ac:dyDescent="0.25">
      <c r="A145" s="1">
        <v>46212</v>
      </c>
      <c r="B145">
        <v>3</v>
      </c>
      <c r="C145">
        <v>158</v>
      </c>
      <c r="D145">
        <v>0</v>
      </c>
      <c r="E145">
        <v>101</v>
      </c>
      <c r="F145">
        <v>2</v>
      </c>
      <c r="G145">
        <v>110</v>
      </c>
      <c r="H145">
        <v>0</v>
      </c>
      <c r="I145">
        <v>38</v>
      </c>
      <c r="J145" t="s">
        <v>815</v>
      </c>
      <c r="K145">
        <f>+WEEKNUM(AV_PLAN[[#This Row],[Días]])</f>
        <v>28</v>
      </c>
      <c r="L145" s="4">
        <f>IFERROR(AV_PLAN[[#This Row],[INICIO REAL ACUMULADO]]/AV_PLAN[[#This Row],[PLAN ACUMULADO]],"")</f>
        <v>0.63924050632911389</v>
      </c>
      <c r="M145" s="4">
        <f>IFERROR(AV_PLAN[[#This Row],[TERMINO REAL ACUMULADO]]/AV_PLAN[[#This Row],[TERMINO PLAN ACUMULADO]],"")</f>
        <v>0.34545454545454546</v>
      </c>
      <c r="N145">
        <f>+AV_PLAN[[#This Row],[PLAN ACUMULADO]]-AV_PLAN[[#This Row],[INICIO REAL ACUMULADO]]</f>
        <v>57</v>
      </c>
      <c r="O145">
        <f>+AV_PLAN[[#This Row],[TERMINO PLAN ACUMULADO]]-AV_PLAN[[#This Row],[TERMINO REAL ACUMULADO]]</f>
        <v>72</v>
      </c>
      <c r="P14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5" s="7">
        <f>+AV_PLAN[[#This Row],[PLAN ACUMULADO]]/$C$471</f>
        <v>0.22443181818181818</v>
      </c>
      <c r="R145" s="7">
        <f t="shared" si="4"/>
        <v>0.14346590909090909</v>
      </c>
      <c r="S145" s="7">
        <f>+AV_PLAN[[#This Row],[TERMINO PLAN ACUMULADO]]/$G$471</f>
        <v>0.15625</v>
      </c>
      <c r="T145" s="7">
        <f t="shared" si="5"/>
        <v>5.3977272727272728E-2</v>
      </c>
      <c r="U145" s="7">
        <f>+(AV_PLAN[[#This Row],[%AVANCE INICIO PLANIFICADO]]+AV_PLAN[[#This Row],[%AVANCE TERMINO PLANIFICADO]])/2</f>
        <v>0.19034090909090909</v>
      </c>
    </row>
    <row r="146" spans="1:21" x14ac:dyDescent="0.25">
      <c r="A146" s="1">
        <v>46213</v>
      </c>
      <c r="B146">
        <v>2</v>
      </c>
      <c r="C146">
        <v>160</v>
      </c>
      <c r="D146">
        <v>0</v>
      </c>
      <c r="E146">
        <v>101</v>
      </c>
      <c r="F146">
        <v>1</v>
      </c>
      <c r="G146">
        <v>111</v>
      </c>
      <c r="H146">
        <v>0</v>
      </c>
      <c r="I146">
        <v>38</v>
      </c>
      <c r="J146" t="s">
        <v>815</v>
      </c>
      <c r="K146">
        <f>+WEEKNUM(AV_PLAN[[#This Row],[Días]])</f>
        <v>28</v>
      </c>
      <c r="L146" s="4">
        <f>IFERROR(AV_PLAN[[#This Row],[INICIO REAL ACUMULADO]]/AV_PLAN[[#This Row],[PLAN ACUMULADO]],"")</f>
        <v>0.63124999999999998</v>
      </c>
      <c r="M146" s="4">
        <f>IFERROR(AV_PLAN[[#This Row],[TERMINO REAL ACUMULADO]]/AV_PLAN[[#This Row],[TERMINO PLAN ACUMULADO]],"")</f>
        <v>0.34234234234234234</v>
      </c>
      <c r="N146">
        <f>+AV_PLAN[[#This Row],[PLAN ACUMULADO]]-AV_PLAN[[#This Row],[INICIO REAL ACUMULADO]]</f>
        <v>59</v>
      </c>
      <c r="O146">
        <f>+AV_PLAN[[#This Row],[TERMINO PLAN ACUMULADO]]-AV_PLAN[[#This Row],[TERMINO REAL ACUMULADO]]</f>
        <v>73</v>
      </c>
      <c r="P14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6" s="7">
        <f>+AV_PLAN[[#This Row],[PLAN ACUMULADO]]/$C$471</f>
        <v>0.22727272727272727</v>
      </c>
      <c r="R146" s="7">
        <f t="shared" si="4"/>
        <v>0.14346590909090909</v>
      </c>
      <c r="S146" s="7">
        <f>+AV_PLAN[[#This Row],[TERMINO PLAN ACUMULADO]]/$G$471</f>
        <v>0.15767045454545456</v>
      </c>
      <c r="T146" s="7">
        <f t="shared" si="5"/>
        <v>5.3977272727272728E-2</v>
      </c>
      <c r="U146" s="7">
        <f>+(AV_PLAN[[#This Row],[%AVANCE INICIO PLANIFICADO]]+AV_PLAN[[#This Row],[%AVANCE TERMINO PLANIFICADO]])/2</f>
        <v>0.19247159090909091</v>
      </c>
    </row>
    <row r="147" spans="1:21" x14ac:dyDescent="0.25">
      <c r="A147" s="1">
        <v>46214</v>
      </c>
      <c r="B147">
        <v>0</v>
      </c>
      <c r="C147">
        <v>160</v>
      </c>
      <c r="D147">
        <v>0</v>
      </c>
      <c r="E147">
        <v>101</v>
      </c>
      <c r="F147">
        <v>1</v>
      </c>
      <c r="G147">
        <v>112</v>
      </c>
      <c r="H147">
        <v>0</v>
      </c>
      <c r="I147">
        <v>38</v>
      </c>
      <c r="J147" t="s">
        <v>815</v>
      </c>
      <c r="K147">
        <f>+WEEKNUM(AV_PLAN[[#This Row],[Días]])</f>
        <v>28</v>
      </c>
      <c r="L147" s="4">
        <f>IFERROR(AV_PLAN[[#This Row],[INICIO REAL ACUMULADO]]/AV_PLAN[[#This Row],[PLAN ACUMULADO]],"")</f>
        <v>0.63124999999999998</v>
      </c>
      <c r="M147" s="4">
        <f>IFERROR(AV_PLAN[[#This Row],[TERMINO REAL ACUMULADO]]/AV_PLAN[[#This Row],[TERMINO PLAN ACUMULADO]],"")</f>
        <v>0.3392857142857143</v>
      </c>
      <c r="N147">
        <f>+AV_PLAN[[#This Row],[PLAN ACUMULADO]]-AV_PLAN[[#This Row],[INICIO REAL ACUMULADO]]</f>
        <v>59</v>
      </c>
      <c r="O147">
        <f>+AV_PLAN[[#This Row],[TERMINO PLAN ACUMULADO]]-AV_PLAN[[#This Row],[TERMINO REAL ACUMULADO]]</f>
        <v>74</v>
      </c>
      <c r="P14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7" s="7">
        <f>+AV_PLAN[[#This Row],[PLAN ACUMULADO]]/$C$471</f>
        <v>0.22727272727272727</v>
      </c>
      <c r="R147" s="7">
        <f t="shared" si="4"/>
        <v>0.14346590909090909</v>
      </c>
      <c r="S147" s="7">
        <f>+AV_PLAN[[#This Row],[TERMINO PLAN ACUMULADO]]/$G$471</f>
        <v>0.15909090909090909</v>
      </c>
      <c r="T147" s="7">
        <f t="shared" si="5"/>
        <v>5.3977272727272728E-2</v>
      </c>
      <c r="U147" s="7">
        <f>+(AV_PLAN[[#This Row],[%AVANCE INICIO PLANIFICADO]]+AV_PLAN[[#This Row],[%AVANCE TERMINO PLANIFICADO]])/2</f>
        <v>0.19318181818181818</v>
      </c>
    </row>
    <row r="148" spans="1:21" x14ac:dyDescent="0.25">
      <c r="A148" s="1">
        <v>46215</v>
      </c>
      <c r="B148">
        <v>0</v>
      </c>
      <c r="C148">
        <v>160</v>
      </c>
      <c r="D148">
        <v>0</v>
      </c>
      <c r="E148">
        <v>101</v>
      </c>
      <c r="F148">
        <v>2</v>
      </c>
      <c r="G148">
        <v>114</v>
      </c>
      <c r="H148">
        <v>0</v>
      </c>
      <c r="I148">
        <v>38</v>
      </c>
      <c r="J148" t="s">
        <v>815</v>
      </c>
      <c r="K148">
        <f>+WEEKNUM(AV_PLAN[[#This Row],[Días]])</f>
        <v>29</v>
      </c>
      <c r="L148" s="4">
        <f>IFERROR(AV_PLAN[[#This Row],[INICIO REAL ACUMULADO]]/AV_PLAN[[#This Row],[PLAN ACUMULADO]],"")</f>
        <v>0.63124999999999998</v>
      </c>
      <c r="M148" s="4">
        <f>IFERROR(AV_PLAN[[#This Row],[TERMINO REAL ACUMULADO]]/AV_PLAN[[#This Row],[TERMINO PLAN ACUMULADO]],"")</f>
        <v>0.33333333333333331</v>
      </c>
      <c r="N148">
        <f>+AV_PLAN[[#This Row],[PLAN ACUMULADO]]-AV_PLAN[[#This Row],[INICIO REAL ACUMULADO]]</f>
        <v>59</v>
      </c>
      <c r="O148">
        <f>+AV_PLAN[[#This Row],[TERMINO PLAN ACUMULADO]]-AV_PLAN[[#This Row],[TERMINO REAL ACUMULADO]]</f>
        <v>76</v>
      </c>
      <c r="P14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8" s="7">
        <f>+AV_PLAN[[#This Row],[PLAN ACUMULADO]]/$C$471</f>
        <v>0.22727272727272727</v>
      </c>
      <c r="R148" s="7">
        <f t="shared" si="4"/>
        <v>0.14346590909090909</v>
      </c>
      <c r="S148" s="7">
        <f>+AV_PLAN[[#This Row],[TERMINO PLAN ACUMULADO]]/$G$471</f>
        <v>0.16193181818181818</v>
      </c>
      <c r="T148" s="7">
        <f t="shared" si="5"/>
        <v>5.3977272727272728E-2</v>
      </c>
      <c r="U148" s="7">
        <f>+(AV_PLAN[[#This Row],[%AVANCE INICIO PLANIFICADO]]+AV_PLAN[[#This Row],[%AVANCE TERMINO PLANIFICADO]])/2</f>
        <v>0.19460227272727271</v>
      </c>
    </row>
    <row r="149" spans="1:21" x14ac:dyDescent="0.25">
      <c r="A149" s="1">
        <v>46216</v>
      </c>
      <c r="B149">
        <v>3</v>
      </c>
      <c r="C149">
        <v>163</v>
      </c>
      <c r="D149">
        <v>0</v>
      </c>
      <c r="E149">
        <v>101</v>
      </c>
      <c r="F149">
        <v>2</v>
      </c>
      <c r="G149">
        <v>116</v>
      </c>
      <c r="H149">
        <v>0</v>
      </c>
      <c r="I149">
        <v>38</v>
      </c>
      <c r="J149" t="s">
        <v>815</v>
      </c>
      <c r="K149">
        <f>+WEEKNUM(AV_PLAN[[#This Row],[Días]])</f>
        <v>29</v>
      </c>
      <c r="L149" s="4">
        <f>IFERROR(AV_PLAN[[#This Row],[INICIO REAL ACUMULADO]]/AV_PLAN[[#This Row],[PLAN ACUMULADO]],"")</f>
        <v>0.61963190184049077</v>
      </c>
      <c r="M149" s="4">
        <f>IFERROR(AV_PLAN[[#This Row],[TERMINO REAL ACUMULADO]]/AV_PLAN[[#This Row],[TERMINO PLAN ACUMULADO]],"")</f>
        <v>0.32758620689655171</v>
      </c>
      <c r="N149">
        <f>+AV_PLAN[[#This Row],[PLAN ACUMULADO]]-AV_PLAN[[#This Row],[INICIO REAL ACUMULADO]]</f>
        <v>62</v>
      </c>
      <c r="O149">
        <f>+AV_PLAN[[#This Row],[TERMINO PLAN ACUMULADO]]-AV_PLAN[[#This Row],[TERMINO REAL ACUMULADO]]</f>
        <v>78</v>
      </c>
      <c r="P14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9" s="7">
        <f>+AV_PLAN[[#This Row],[PLAN ACUMULADO]]/$C$471</f>
        <v>0.23153409090909091</v>
      </c>
      <c r="R149" s="7">
        <f t="shared" si="4"/>
        <v>0.14346590909090909</v>
      </c>
      <c r="S149" s="7">
        <f>+AV_PLAN[[#This Row],[TERMINO PLAN ACUMULADO]]/$G$471</f>
        <v>0.16477272727272727</v>
      </c>
      <c r="T149" s="7">
        <f t="shared" si="5"/>
        <v>5.3977272727272728E-2</v>
      </c>
      <c r="U149" s="7">
        <f>+(AV_PLAN[[#This Row],[%AVANCE INICIO PLANIFICADO]]+AV_PLAN[[#This Row],[%AVANCE TERMINO PLANIFICADO]])/2</f>
        <v>0.19815340909090909</v>
      </c>
    </row>
    <row r="150" spans="1:21" x14ac:dyDescent="0.25">
      <c r="A150" s="1">
        <v>46217</v>
      </c>
      <c r="B150">
        <v>2</v>
      </c>
      <c r="C150">
        <v>165</v>
      </c>
      <c r="D150">
        <v>0</v>
      </c>
      <c r="E150">
        <v>101</v>
      </c>
      <c r="F150">
        <v>1</v>
      </c>
      <c r="G150">
        <v>117</v>
      </c>
      <c r="H150">
        <v>0</v>
      </c>
      <c r="I150">
        <v>38</v>
      </c>
      <c r="J150" t="s">
        <v>815</v>
      </c>
      <c r="K150">
        <f>+WEEKNUM(AV_PLAN[[#This Row],[Días]])</f>
        <v>29</v>
      </c>
      <c r="L150" s="4">
        <f>IFERROR(AV_PLAN[[#This Row],[INICIO REAL ACUMULADO]]/AV_PLAN[[#This Row],[PLAN ACUMULADO]],"")</f>
        <v>0.61212121212121207</v>
      </c>
      <c r="M150" s="4">
        <f>IFERROR(AV_PLAN[[#This Row],[TERMINO REAL ACUMULADO]]/AV_PLAN[[#This Row],[TERMINO PLAN ACUMULADO]],"")</f>
        <v>0.3247863247863248</v>
      </c>
      <c r="N150">
        <f>+AV_PLAN[[#This Row],[PLAN ACUMULADO]]-AV_PLAN[[#This Row],[INICIO REAL ACUMULADO]]</f>
        <v>64</v>
      </c>
      <c r="O150">
        <f>+AV_PLAN[[#This Row],[TERMINO PLAN ACUMULADO]]-AV_PLAN[[#This Row],[TERMINO REAL ACUMULADO]]</f>
        <v>79</v>
      </c>
      <c r="P15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0" s="7">
        <f>+AV_PLAN[[#This Row],[PLAN ACUMULADO]]/$C$471</f>
        <v>0.234375</v>
      </c>
      <c r="R150" s="7">
        <f t="shared" si="4"/>
        <v>0.14346590909090909</v>
      </c>
      <c r="S150" s="7">
        <f>+AV_PLAN[[#This Row],[TERMINO PLAN ACUMULADO]]/$G$471</f>
        <v>0.16619318181818182</v>
      </c>
      <c r="T150" s="7">
        <f t="shared" si="5"/>
        <v>5.3977272727272728E-2</v>
      </c>
      <c r="U150" s="7">
        <f>+(AV_PLAN[[#This Row],[%AVANCE INICIO PLANIFICADO]]+AV_PLAN[[#This Row],[%AVANCE TERMINO PLANIFICADO]])/2</f>
        <v>0.20028409090909091</v>
      </c>
    </row>
    <row r="151" spans="1:21" x14ac:dyDescent="0.25">
      <c r="A151" s="1">
        <v>46218</v>
      </c>
      <c r="B151">
        <v>3</v>
      </c>
      <c r="C151">
        <v>168</v>
      </c>
      <c r="D151">
        <v>0</v>
      </c>
      <c r="E151">
        <v>101</v>
      </c>
      <c r="F151">
        <v>1</v>
      </c>
      <c r="G151">
        <v>118</v>
      </c>
      <c r="H151">
        <v>0</v>
      </c>
      <c r="I151">
        <v>38</v>
      </c>
      <c r="J151" t="s">
        <v>815</v>
      </c>
      <c r="K151">
        <f>+WEEKNUM(AV_PLAN[[#This Row],[Días]])</f>
        <v>29</v>
      </c>
      <c r="L151" s="4">
        <f>IFERROR(AV_PLAN[[#This Row],[INICIO REAL ACUMULADO]]/AV_PLAN[[#This Row],[PLAN ACUMULADO]],"")</f>
        <v>0.60119047619047616</v>
      </c>
      <c r="M151" s="4">
        <f>IFERROR(AV_PLAN[[#This Row],[TERMINO REAL ACUMULADO]]/AV_PLAN[[#This Row],[TERMINO PLAN ACUMULADO]],"")</f>
        <v>0.32203389830508472</v>
      </c>
      <c r="N151">
        <f>+AV_PLAN[[#This Row],[PLAN ACUMULADO]]-AV_PLAN[[#This Row],[INICIO REAL ACUMULADO]]</f>
        <v>67</v>
      </c>
      <c r="O151">
        <f>+AV_PLAN[[#This Row],[TERMINO PLAN ACUMULADO]]-AV_PLAN[[#This Row],[TERMINO REAL ACUMULADO]]</f>
        <v>80</v>
      </c>
      <c r="P15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1" s="7">
        <f>+AV_PLAN[[#This Row],[PLAN ACUMULADO]]/$C$471</f>
        <v>0.23863636363636365</v>
      </c>
      <c r="R151" s="7">
        <f t="shared" si="4"/>
        <v>0.14346590909090909</v>
      </c>
      <c r="S151" s="7">
        <f>+AV_PLAN[[#This Row],[TERMINO PLAN ACUMULADO]]/$G$471</f>
        <v>0.16761363636363635</v>
      </c>
      <c r="T151" s="7">
        <f t="shared" si="5"/>
        <v>5.3977272727272728E-2</v>
      </c>
      <c r="U151" s="7">
        <f>+(AV_PLAN[[#This Row],[%AVANCE INICIO PLANIFICADO]]+AV_PLAN[[#This Row],[%AVANCE TERMINO PLANIFICADO]])/2</f>
        <v>0.203125</v>
      </c>
    </row>
    <row r="152" spans="1:21" x14ac:dyDescent="0.25">
      <c r="A152" s="1">
        <v>46219</v>
      </c>
      <c r="B152">
        <v>2</v>
      </c>
      <c r="C152">
        <v>170</v>
      </c>
      <c r="D152">
        <v>0</v>
      </c>
      <c r="E152">
        <v>101</v>
      </c>
      <c r="F152">
        <v>3</v>
      </c>
      <c r="G152">
        <v>121</v>
      </c>
      <c r="H152">
        <v>0</v>
      </c>
      <c r="I152">
        <v>38</v>
      </c>
      <c r="J152" t="s">
        <v>815</v>
      </c>
      <c r="K152">
        <f>+WEEKNUM(AV_PLAN[[#This Row],[Días]])</f>
        <v>29</v>
      </c>
      <c r="L152" s="4">
        <f>IFERROR(AV_PLAN[[#This Row],[INICIO REAL ACUMULADO]]/AV_PLAN[[#This Row],[PLAN ACUMULADO]],"")</f>
        <v>0.59411764705882353</v>
      </c>
      <c r="M152" s="4">
        <f>IFERROR(AV_PLAN[[#This Row],[TERMINO REAL ACUMULADO]]/AV_PLAN[[#This Row],[TERMINO PLAN ACUMULADO]],"")</f>
        <v>0.31404958677685951</v>
      </c>
      <c r="N152">
        <f>+AV_PLAN[[#This Row],[PLAN ACUMULADO]]-AV_PLAN[[#This Row],[INICIO REAL ACUMULADO]]</f>
        <v>69</v>
      </c>
      <c r="O152">
        <f>+AV_PLAN[[#This Row],[TERMINO PLAN ACUMULADO]]-AV_PLAN[[#This Row],[TERMINO REAL ACUMULADO]]</f>
        <v>83</v>
      </c>
      <c r="P15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2" s="7">
        <f>+AV_PLAN[[#This Row],[PLAN ACUMULADO]]/$C$471</f>
        <v>0.24147727272727273</v>
      </c>
      <c r="R152" s="7">
        <f t="shared" si="4"/>
        <v>0.14346590909090909</v>
      </c>
      <c r="S152" s="7">
        <f>+AV_PLAN[[#This Row],[TERMINO PLAN ACUMULADO]]/$G$471</f>
        <v>0.171875</v>
      </c>
      <c r="T152" s="7">
        <f t="shared" si="5"/>
        <v>5.3977272727272728E-2</v>
      </c>
      <c r="U152" s="7">
        <f>+(AV_PLAN[[#This Row],[%AVANCE INICIO PLANIFICADO]]+AV_PLAN[[#This Row],[%AVANCE TERMINO PLANIFICADO]])/2</f>
        <v>0.20667613636363635</v>
      </c>
    </row>
    <row r="153" spans="1:21" x14ac:dyDescent="0.25">
      <c r="A153" s="1">
        <v>46220</v>
      </c>
      <c r="B153">
        <v>3</v>
      </c>
      <c r="C153">
        <v>173</v>
      </c>
      <c r="D153">
        <v>0</v>
      </c>
      <c r="E153">
        <v>101</v>
      </c>
      <c r="F153">
        <v>3</v>
      </c>
      <c r="G153">
        <v>124</v>
      </c>
      <c r="H153">
        <v>0</v>
      </c>
      <c r="I153">
        <v>38</v>
      </c>
      <c r="J153" t="s">
        <v>815</v>
      </c>
      <c r="K153">
        <f>+WEEKNUM(AV_PLAN[[#This Row],[Días]])</f>
        <v>29</v>
      </c>
      <c r="L153" s="4">
        <f>IFERROR(AV_PLAN[[#This Row],[INICIO REAL ACUMULADO]]/AV_PLAN[[#This Row],[PLAN ACUMULADO]],"")</f>
        <v>0.58381502890173409</v>
      </c>
      <c r="M153" s="4">
        <f>IFERROR(AV_PLAN[[#This Row],[TERMINO REAL ACUMULADO]]/AV_PLAN[[#This Row],[TERMINO PLAN ACUMULADO]],"")</f>
        <v>0.30645161290322581</v>
      </c>
      <c r="N153">
        <f>+AV_PLAN[[#This Row],[PLAN ACUMULADO]]-AV_PLAN[[#This Row],[INICIO REAL ACUMULADO]]</f>
        <v>72</v>
      </c>
      <c r="O153">
        <f>+AV_PLAN[[#This Row],[TERMINO PLAN ACUMULADO]]-AV_PLAN[[#This Row],[TERMINO REAL ACUMULADO]]</f>
        <v>86</v>
      </c>
      <c r="P15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3" s="7">
        <f>+AV_PLAN[[#This Row],[PLAN ACUMULADO]]/$C$471</f>
        <v>0.24573863636363635</v>
      </c>
      <c r="R153" s="7">
        <f t="shared" si="4"/>
        <v>0.14346590909090909</v>
      </c>
      <c r="S153" s="7">
        <f>+AV_PLAN[[#This Row],[TERMINO PLAN ACUMULADO]]/$G$471</f>
        <v>0.17613636363636365</v>
      </c>
      <c r="T153" s="7">
        <f t="shared" si="5"/>
        <v>5.3977272727272728E-2</v>
      </c>
      <c r="U153" s="7">
        <f>+(AV_PLAN[[#This Row],[%AVANCE INICIO PLANIFICADO]]+AV_PLAN[[#This Row],[%AVANCE TERMINO PLANIFICADO]])/2</f>
        <v>0.2109375</v>
      </c>
    </row>
    <row r="154" spans="1:21" x14ac:dyDescent="0.25">
      <c r="A154" s="1">
        <v>46221</v>
      </c>
      <c r="B154">
        <v>0</v>
      </c>
      <c r="C154">
        <v>173</v>
      </c>
      <c r="D154">
        <v>0</v>
      </c>
      <c r="E154">
        <v>101</v>
      </c>
      <c r="F154">
        <v>0</v>
      </c>
      <c r="G154">
        <v>124</v>
      </c>
      <c r="H154">
        <v>0</v>
      </c>
      <c r="I154">
        <v>38</v>
      </c>
      <c r="J154" t="s">
        <v>815</v>
      </c>
      <c r="K154">
        <f>+WEEKNUM(AV_PLAN[[#This Row],[Días]])</f>
        <v>29</v>
      </c>
      <c r="L154" s="4">
        <f>IFERROR(AV_PLAN[[#This Row],[INICIO REAL ACUMULADO]]/AV_PLAN[[#This Row],[PLAN ACUMULADO]],"")</f>
        <v>0.58381502890173409</v>
      </c>
      <c r="M154" s="4">
        <f>IFERROR(AV_PLAN[[#This Row],[TERMINO REAL ACUMULADO]]/AV_PLAN[[#This Row],[TERMINO PLAN ACUMULADO]],"")</f>
        <v>0.30645161290322581</v>
      </c>
      <c r="N154">
        <f>+AV_PLAN[[#This Row],[PLAN ACUMULADO]]-AV_PLAN[[#This Row],[INICIO REAL ACUMULADO]]</f>
        <v>72</v>
      </c>
      <c r="O154">
        <f>+AV_PLAN[[#This Row],[TERMINO PLAN ACUMULADO]]-AV_PLAN[[#This Row],[TERMINO REAL ACUMULADO]]</f>
        <v>86</v>
      </c>
      <c r="P15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4" s="7">
        <f>+AV_PLAN[[#This Row],[PLAN ACUMULADO]]/$C$471</f>
        <v>0.24573863636363635</v>
      </c>
      <c r="R154" s="7">
        <f t="shared" si="4"/>
        <v>0.14346590909090909</v>
      </c>
      <c r="S154" s="7">
        <f>+AV_PLAN[[#This Row],[TERMINO PLAN ACUMULADO]]/$G$471</f>
        <v>0.17613636363636365</v>
      </c>
      <c r="T154" s="7">
        <f t="shared" si="5"/>
        <v>5.3977272727272728E-2</v>
      </c>
      <c r="U154" s="7">
        <f>+(AV_PLAN[[#This Row],[%AVANCE INICIO PLANIFICADO]]+AV_PLAN[[#This Row],[%AVANCE TERMINO PLANIFICADO]])/2</f>
        <v>0.2109375</v>
      </c>
    </row>
    <row r="155" spans="1:21" x14ac:dyDescent="0.25">
      <c r="A155" s="1">
        <v>46222</v>
      </c>
      <c r="B155">
        <v>0</v>
      </c>
      <c r="C155">
        <v>173</v>
      </c>
      <c r="D155">
        <v>0</v>
      </c>
      <c r="E155">
        <v>101</v>
      </c>
      <c r="F155">
        <v>1</v>
      </c>
      <c r="G155">
        <v>125</v>
      </c>
      <c r="H155">
        <v>0</v>
      </c>
      <c r="I155">
        <v>38</v>
      </c>
      <c r="J155" t="s">
        <v>815</v>
      </c>
      <c r="K155">
        <f>+WEEKNUM(AV_PLAN[[#This Row],[Días]])</f>
        <v>30</v>
      </c>
      <c r="L155" s="4">
        <f>IFERROR(AV_PLAN[[#This Row],[INICIO REAL ACUMULADO]]/AV_PLAN[[#This Row],[PLAN ACUMULADO]],"")</f>
        <v>0.58381502890173409</v>
      </c>
      <c r="M155" s="4">
        <f>IFERROR(AV_PLAN[[#This Row],[TERMINO REAL ACUMULADO]]/AV_PLAN[[#This Row],[TERMINO PLAN ACUMULADO]],"")</f>
        <v>0.30399999999999999</v>
      </c>
      <c r="N155">
        <f>+AV_PLAN[[#This Row],[PLAN ACUMULADO]]-AV_PLAN[[#This Row],[INICIO REAL ACUMULADO]]</f>
        <v>72</v>
      </c>
      <c r="O155">
        <f>+AV_PLAN[[#This Row],[TERMINO PLAN ACUMULADO]]-AV_PLAN[[#This Row],[TERMINO REAL ACUMULADO]]</f>
        <v>87</v>
      </c>
      <c r="P15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5" s="7">
        <f>+AV_PLAN[[#This Row],[PLAN ACUMULADO]]/$C$471</f>
        <v>0.24573863636363635</v>
      </c>
      <c r="R155" s="7">
        <f t="shared" si="4"/>
        <v>0.14346590909090909</v>
      </c>
      <c r="S155" s="7">
        <f>+AV_PLAN[[#This Row],[TERMINO PLAN ACUMULADO]]/$G$471</f>
        <v>0.17755681818181818</v>
      </c>
      <c r="T155" s="7">
        <f t="shared" si="5"/>
        <v>5.3977272727272728E-2</v>
      </c>
      <c r="U155" s="7">
        <f>+(AV_PLAN[[#This Row],[%AVANCE INICIO PLANIFICADO]]+AV_PLAN[[#This Row],[%AVANCE TERMINO PLANIFICADO]])/2</f>
        <v>0.21164772727272727</v>
      </c>
    </row>
    <row r="156" spans="1:21" x14ac:dyDescent="0.25">
      <c r="A156" s="1">
        <v>46223</v>
      </c>
      <c r="B156">
        <v>2</v>
      </c>
      <c r="C156">
        <v>175</v>
      </c>
      <c r="D156">
        <v>0</v>
      </c>
      <c r="E156">
        <v>101</v>
      </c>
      <c r="F156">
        <v>1</v>
      </c>
      <c r="G156">
        <v>126</v>
      </c>
      <c r="H156">
        <v>0</v>
      </c>
      <c r="I156">
        <v>38</v>
      </c>
      <c r="J156" t="s">
        <v>815</v>
      </c>
      <c r="K156">
        <f>+WEEKNUM(AV_PLAN[[#This Row],[Días]])</f>
        <v>30</v>
      </c>
      <c r="L156" s="4">
        <f>IFERROR(AV_PLAN[[#This Row],[INICIO REAL ACUMULADO]]/AV_PLAN[[#This Row],[PLAN ACUMULADO]],"")</f>
        <v>0.57714285714285718</v>
      </c>
      <c r="M156" s="4">
        <f>IFERROR(AV_PLAN[[#This Row],[TERMINO REAL ACUMULADO]]/AV_PLAN[[#This Row],[TERMINO PLAN ACUMULADO]],"")</f>
        <v>0.30158730158730157</v>
      </c>
      <c r="N156">
        <f>+AV_PLAN[[#This Row],[PLAN ACUMULADO]]-AV_PLAN[[#This Row],[INICIO REAL ACUMULADO]]</f>
        <v>74</v>
      </c>
      <c r="O156">
        <f>+AV_PLAN[[#This Row],[TERMINO PLAN ACUMULADO]]-AV_PLAN[[#This Row],[TERMINO REAL ACUMULADO]]</f>
        <v>88</v>
      </c>
      <c r="P15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6" s="7">
        <f>+AV_PLAN[[#This Row],[PLAN ACUMULADO]]/$C$471</f>
        <v>0.24857954545454544</v>
      </c>
      <c r="R156" s="7">
        <f t="shared" si="4"/>
        <v>0.14346590909090909</v>
      </c>
      <c r="S156" s="7">
        <f>+AV_PLAN[[#This Row],[TERMINO PLAN ACUMULADO]]/$G$471</f>
        <v>0.17897727272727273</v>
      </c>
      <c r="T156" s="7">
        <f t="shared" si="5"/>
        <v>5.3977272727272728E-2</v>
      </c>
      <c r="U156" s="7">
        <f>+(AV_PLAN[[#This Row],[%AVANCE INICIO PLANIFICADO]]+AV_PLAN[[#This Row],[%AVANCE TERMINO PLANIFICADO]])/2</f>
        <v>0.21377840909090909</v>
      </c>
    </row>
    <row r="157" spans="1:21" x14ac:dyDescent="0.25">
      <c r="A157" s="1">
        <v>46224</v>
      </c>
      <c r="B157">
        <v>3</v>
      </c>
      <c r="C157">
        <v>178</v>
      </c>
      <c r="D157">
        <v>0</v>
      </c>
      <c r="E157">
        <v>101</v>
      </c>
      <c r="F157">
        <v>3</v>
      </c>
      <c r="G157">
        <v>129</v>
      </c>
      <c r="H157">
        <v>0</v>
      </c>
      <c r="I157">
        <v>38</v>
      </c>
      <c r="J157" t="s">
        <v>815</v>
      </c>
      <c r="K157">
        <f>+WEEKNUM(AV_PLAN[[#This Row],[Días]])</f>
        <v>30</v>
      </c>
      <c r="L157" s="4">
        <f>IFERROR(AV_PLAN[[#This Row],[INICIO REAL ACUMULADO]]/AV_PLAN[[#This Row],[PLAN ACUMULADO]],"")</f>
        <v>0.56741573033707871</v>
      </c>
      <c r="M157" s="4">
        <f>IFERROR(AV_PLAN[[#This Row],[TERMINO REAL ACUMULADO]]/AV_PLAN[[#This Row],[TERMINO PLAN ACUMULADO]],"")</f>
        <v>0.29457364341085274</v>
      </c>
      <c r="N157">
        <f>+AV_PLAN[[#This Row],[PLAN ACUMULADO]]-AV_PLAN[[#This Row],[INICIO REAL ACUMULADO]]</f>
        <v>77</v>
      </c>
      <c r="O157">
        <f>+AV_PLAN[[#This Row],[TERMINO PLAN ACUMULADO]]-AV_PLAN[[#This Row],[TERMINO REAL ACUMULADO]]</f>
        <v>91</v>
      </c>
      <c r="P15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7" s="7">
        <f>+AV_PLAN[[#This Row],[PLAN ACUMULADO]]/$C$471</f>
        <v>0.25284090909090912</v>
      </c>
      <c r="R157" s="7">
        <f t="shared" si="4"/>
        <v>0.14346590909090909</v>
      </c>
      <c r="S157" s="7">
        <f>+AV_PLAN[[#This Row],[TERMINO PLAN ACUMULADO]]/$G$471</f>
        <v>0.18323863636363635</v>
      </c>
      <c r="T157" s="7">
        <f t="shared" si="5"/>
        <v>5.3977272727272728E-2</v>
      </c>
      <c r="U157" s="7">
        <f>+(AV_PLAN[[#This Row],[%AVANCE INICIO PLANIFICADO]]+AV_PLAN[[#This Row],[%AVANCE TERMINO PLANIFICADO]])/2</f>
        <v>0.21803977272727273</v>
      </c>
    </row>
    <row r="158" spans="1:21" x14ac:dyDescent="0.25">
      <c r="A158" s="1">
        <v>46225</v>
      </c>
      <c r="B158">
        <v>2</v>
      </c>
      <c r="C158">
        <v>180</v>
      </c>
      <c r="D158">
        <v>0</v>
      </c>
      <c r="E158">
        <v>101</v>
      </c>
      <c r="F158">
        <v>2</v>
      </c>
      <c r="G158">
        <v>131</v>
      </c>
      <c r="H158">
        <v>0</v>
      </c>
      <c r="I158">
        <v>38</v>
      </c>
      <c r="J158" t="s">
        <v>815</v>
      </c>
      <c r="K158">
        <f>+WEEKNUM(AV_PLAN[[#This Row],[Días]])</f>
        <v>30</v>
      </c>
      <c r="L158" s="4">
        <f>IFERROR(AV_PLAN[[#This Row],[INICIO REAL ACUMULADO]]/AV_PLAN[[#This Row],[PLAN ACUMULADO]],"")</f>
        <v>0.56111111111111112</v>
      </c>
      <c r="M158" s="4">
        <f>IFERROR(AV_PLAN[[#This Row],[TERMINO REAL ACUMULADO]]/AV_PLAN[[#This Row],[TERMINO PLAN ACUMULADO]],"")</f>
        <v>0.29007633587786258</v>
      </c>
      <c r="N158">
        <f>+AV_PLAN[[#This Row],[PLAN ACUMULADO]]-AV_PLAN[[#This Row],[INICIO REAL ACUMULADO]]</f>
        <v>79</v>
      </c>
      <c r="O158">
        <f>+AV_PLAN[[#This Row],[TERMINO PLAN ACUMULADO]]-AV_PLAN[[#This Row],[TERMINO REAL ACUMULADO]]</f>
        <v>93</v>
      </c>
      <c r="P15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8" s="7">
        <f>+AV_PLAN[[#This Row],[PLAN ACUMULADO]]/$C$471</f>
        <v>0.25568181818181818</v>
      </c>
      <c r="R158" s="7">
        <f t="shared" si="4"/>
        <v>0.14346590909090909</v>
      </c>
      <c r="S158" s="7">
        <f>+AV_PLAN[[#This Row],[TERMINO PLAN ACUMULADO]]/$G$471</f>
        <v>0.18607954545454544</v>
      </c>
      <c r="T158" s="7">
        <f t="shared" si="5"/>
        <v>5.3977272727272728E-2</v>
      </c>
      <c r="U158" s="7">
        <f>+(AV_PLAN[[#This Row],[%AVANCE INICIO PLANIFICADO]]+AV_PLAN[[#This Row],[%AVANCE TERMINO PLANIFICADO]])/2</f>
        <v>0.22088068181818182</v>
      </c>
    </row>
    <row r="159" spans="1:21" x14ac:dyDescent="0.25">
      <c r="A159" s="1">
        <v>46226</v>
      </c>
      <c r="B159">
        <v>3</v>
      </c>
      <c r="C159">
        <v>183</v>
      </c>
      <c r="D159">
        <v>0</v>
      </c>
      <c r="E159">
        <v>101</v>
      </c>
      <c r="F159">
        <v>2</v>
      </c>
      <c r="G159">
        <v>133</v>
      </c>
      <c r="H159">
        <v>0</v>
      </c>
      <c r="I159">
        <v>38</v>
      </c>
      <c r="J159" t="s">
        <v>815</v>
      </c>
      <c r="K159">
        <f>+WEEKNUM(AV_PLAN[[#This Row],[Días]])</f>
        <v>30</v>
      </c>
      <c r="L159" s="4">
        <f>IFERROR(AV_PLAN[[#This Row],[INICIO REAL ACUMULADO]]/AV_PLAN[[#This Row],[PLAN ACUMULADO]],"")</f>
        <v>0.55191256830601088</v>
      </c>
      <c r="M159" s="4">
        <f>IFERROR(AV_PLAN[[#This Row],[TERMINO REAL ACUMULADO]]/AV_PLAN[[#This Row],[TERMINO PLAN ACUMULADO]],"")</f>
        <v>0.2857142857142857</v>
      </c>
      <c r="N159">
        <f>+AV_PLAN[[#This Row],[PLAN ACUMULADO]]-AV_PLAN[[#This Row],[INICIO REAL ACUMULADO]]</f>
        <v>82</v>
      </c>
      <c r="O159">
        <f>+AV_PLAN[[#This Row],[TERMINO PLAN ACUMULADO]]-AV_PLAN[[#This Row],[TERMINO REAL ACUMULADO]]</f>
        <v>95</v>
      </c>
      <c r="P15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9" s="7">
        <f>+AV_PLAN[[#This Row],[PLAN ACUMULADO]]/$C$471</f>
        <v>0.25994318181818182</v>
      </c>
      <c r="R159" s="7">
        <f t="shared" si="4"/>
        <v>0.14346590909090909</v>
      </c>
      <c r="S159" s="7">
        <f>+AV_PLAN[[#This Row],[TERMINO PLAN ACUMULADO]]/$G$471</f>
        <v>0.18892045454545456</v>
      </c>
      <c r="T159" s="7">
        <f t="shared" si="5"/>
        <v>5.3977272727272728E-2</v>
      </c>
      <c r="U159" s="7">
        <f>+(AV_PLAN[[#This Row],[%AVANCE INICIO PLANIFICADO]]+AV_PLAN[[#This Row],[%AVANCE TERMINO PLANIFICADO]])/2</f>
        <v>0.22443181818181818</v>
      </c>
    </row>
    <row r="160" spans="1:21" x14ac:dyDescent="0.25">
      <c r="A160" s="1">
        <v>46227</v>
      </c>
      <c r="B160">
        <v>2</v>
      </c>
      <c r="C160">
        <v>185</v>
      </c>
      <c r="D160">
        <v>0</v>
      </c>
      <c r="E160">
        <v>101</v>
      </c>
      <c r="F160">
        <v>2</v>
      </c>
      <c r="G160">
        <v>135</v>
      </c>
      <c r="H160">
        <v>0</v>
      </c>
      <c r="I160">
        <v>38</v>
      </c>
      <c r="J160" t="s">
        <v>815</v>
      </c>
      <c r="K160">
        <f>+WEEKNUM(AV_PLAN[[#This Row],[Días]])</f>
        <v>30</v>
      </c>
      <c r="L160" s="4">
        <f>IFERROR(AV_PLAN[[#This Row],[INICIO REAL ACUMULADO]]/AV_PLAN[[#This Row],[PLAN ACUMULADO]],"")</f>
        <v>0.54594594594594592</v>
      </c>
      <c r="M160" s="4">
        <f>IFERROR(AV_PLAN[[#This Row],[TERMINO REAL ACUMULADO]]/AV_PLAN[[#This Row],[TERMINO PLAN ACUMULADO]],"")</f>
        <v>0.2814814814814815</v>
      </c>
      <c r="N160">
        <f>+AV_PLAN[[#This Row],[PLAN ACUMULADO]]-AV_PLAN[[#This Row],[INICIO REAL ACUMULADO]]</f>
        <v>84</v>
      </c>
      <c r="O160">
        <f>+AV_PLAN[[#This Row],[TERMINO PLAN ACUMULADO]]-AV_PLAN[[#This Row],[TERMINO REAL ACUMULADO]]</f>
        <v>97</v>
      </c>
      <c r="P16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0" s="7">
        <f>+AV_PLAN[[#This Row],[PLAN ACUMULADO]]/$C$471</f>
        <v>0.26278409090909088</v>
      </c>
      <c r="R160" s="7">
        <f t="shared" si="4"/>
        <v>0.14346590909090909</v>
      </c>
      <c r="S160" s="7">
        <f>+AV_PLAN[[#This Row],[TERMINO PLAN ACUMULADO]]/$G$471</f>
        <v>0.19176136363636365</v>
      </c>
      <c r="T160" s="7">
        <f t="shared" si="5"/>
        <v>5.3977272727272728E-2</v>
      </c>
      <c r="U160" s="7">
        <f>+(AV_PLAN[[#This Row],[%AVANCE INICIO PLANIFICADO]]+AV_PLAN[[#This Row],[%AVANCE TERMINO PLANIFICADO]])/2</f>
        <v>0.22727272727272727</v>
      </c>
    </row>
    <row r="161" spans="1:21" x14ac:dyDescent="0.25">
      <c r="A161" s="1">
        <v>46228</v>
      </c>
      <c r="B161">
        <v>0</v>
      </c>
      <c r="C161">
        <v>185</v>
      </c>
      <c r="D161">
        <v>0</v>
      </c>
      <c r="E161">
        <v>101</v>
      </c>
      <c r="F161">
        <v>1</v>
      </c>
      <c r="G161">
        <v>136</v>
      </c>
      <c r="H161">
        <v>0</v>
      </c>
      <c r="I161">
        <v>38</v>
      </c>
      <c r="J161" t="s">
        <v>815</v>
      </c>
      <c r="K161">
        <f>+WEEKNUM(AV_PLAN[[#This Row],[Días]])</f>
        <v>30</v>
      </c>
      <c r="L161" s="4">
        <f>IFERROR(AV_PLAN[[#This Row],[INICIO REAL ACUMULADO]]/AV_PLAN[[#This Row],[PLAN ACUMULADO]],"")</f>
        <v>0.54594594594594592</v>
      </c>
      <c r="M161" s="4">
        <f>IFERROR(AV_PLAN[[#This Row],[TERMINO REAL ACUMULADO]]/AV_PLAN[[#This Row],[TERMINO PLAN ACUMULADO]],"")</f>
        <v>0.27941176470588236</v>
      </c>
      <c r="N161">
        <f>+AV_PLAN[[#This Row],[PLAN ACUMULADO]]-AV_PLAN[[#This Row],[INICIO REAL ACUMULADO]]</f>
        <v>84</v>
      </c>
      <c r="O161">
        <f>+AV_PLAN[[#This Row],[TERMINO PLAN ACUMULADO]]-AV_PLAN[[#This Row],[TERMINO REAL ACUMULADO]]</f>
        <v>98</v>
      </c>
      <c r="P16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1" s="7">
        <f>+AV_PLAN[[#This Row],[PLAN ACUMULADO]]/$C$471</f>
        <v>0.26278409090909088</v>
      </c>
      <c r="R161" s="7">
        <f t="shared" si="4"/>
        <v>0.14346590909090909</v>
      </c>
      <c r="S161" s="7">
        <f>+AV_PLAN[[#This Row],[TERMINO PLAN ACUMULADO]]/$G$471</f>
        <v>0.19318181818181818</v>
      </c>
      <c r="T161" s="7">
        <f t="shared" si="5"/>
        <v>5.3977272727272728E-2</v>
      </c>
      <c r="U161" s="7">
        <f>+(AV_PLAN[[#This Row],[%AVANCE INICIO PLANIFICADO]]+AV_PLAN[[#This Row],[%AVANCE TERMINO PLANIFICADO]])/2</f>
        <v>0.22798295454545453</v>
      </c>
    </row>
    <row r="162" spans="1:21" x14ac:dyDescent="0.25">
      <c r="A162" s="1">
        <v>46229</v>
      </c>
      <c r="B162">
        <v>0</v>
      </c>
      <c r="C162">
        <v>185</v>
      </c>
      <c r="D162">
        <v>0</v>
      </c>
      <c r="E162">
        <v>101</v>
      </c>
      <c r="F162">
        <v>2</v>
      </c>
      <c r="G162">
        <v>138</v>
      </c>
      <c r="H162">
        <v>0</v>
      </c>
      <c r="I162">
        <v>38</v>
      </c>
      <c r="J162" t="s">
        <v>815</v>
      </c>
      <c r="K162">
        <f>+WEEKNUM(AV_PLAN[[#This Row],[Días]])</f>
        <v>31</v>
      </c>
      <c r="L162" s="4">
        <f>IFERROR(AV_PLAN[[#This Row],[INICIO REAL ACUMULADO]]/AV_PLAN[[#This Row],[PLAN ACUMULADO]],"")</f>
        <v>0.54594594594594592</v>
      </c>
      <c r="M162" s="4">
        <f>IFERROR(AV_PLAN[[#This Row],[TERMINO REAL ACUMULADO]]/AV_PLAN[[#This Row],[TERMINO PLAN ACUMULADO]],"")</f>
        <v>0.27536231884057971</v>
      </c>
      <c r="N162">
        <f>+AV_PLAN[[#This Row],[PLAN ACUMULADO]]-AV_PLAN[[#This Row],[INICIO REAL ACUMULADO]]</f>
        <v>84</v>
      </c>
      <c r="O162">
        <f>+AV_PLAN[[#This Row],[TERMINO PLAN ACUMULADO]]-AV_PLAN[[#This Row],[TERMINO REAL ACUMULADO]]</f>
        <v>100</v>
      </c>
      <c r="P16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2" s="7">
        <f>+AV_PLAN[[#This Row],[PLAN ACUMULADO]]/$C$471</f>
        <v>0.26278409090909088</v>
      </c>
      <c r="R162" s="7">
        <f t="shared" si="4"/>
        <v>0.14346590909090909</v>
      </c>
      <c r="S162" s="7">
        <f>+AV_PLAN[[#This Row],[TERMINO PLAN ACUMULADO]]/$G$471</f>
        <v>0.19602272727272727</v>
      </c>
      <c r="T162" s="7">
        <f t="shared" si="5"/>
        <v>5.3977272727272728E-2</v>
      </c>
      <c r="U162" s="7">
        <f>+(AV_PLAN[[#This Row],[%AVANCE INICIO PLANIFICADO]]+AV_PLAN[[#This Row],[%AVANCE TERMINO PLANIFICADO]])/2</f>
        <v>0.22940340909090906</v>
      </c>
    </row>
    <row r="163" spans="1:21" x14ac:dyDescent="0.25">
      <c r="A163" s="1">
        <v>46230</v>
      </c>
      <c r="B163">
        <v>3</v>
      </c>
      <c r="C163">
        <v>188</v>
      </c>
      <c r="D163">
        <v>0</v>
      </c>
      <c r="E163">
        <v>101</v>
      </c>
      <c r="F163">
        <v>2</v>
      </c>
      <c r="G163">
        <v>140</v>
      </c>
      <c r="H163">
        <v>0</v>
      </c>
      <c r="I163">
        <v>38</v>
      </c>
      <c r="J163" t="s">
        <v>815</v>
      </c>
      <c r="K163">
        <f>+WEEKNUM(AV_PLAN[[#This Row],[Días]])</f>
        <v>31</v>
      </c>
      <c r="L163" s="4">
        <f>IFERROR(AV_PLAN[[#This Row],[INICIO REAL ACUMULADO]]/AV_PLAN[[#This Row],[PLAN ACUMULADO]],"")</f>
        <v>0.53723404255319152</v>
      </c>
      <c r="M163" s="4">
        <f>IFERROR(AV_PLAN[[#This Row],[TERMINO REAL ACUMULADO]]/AV_PLAN[[#This Row],[TERMINO PLAN ACUMULADO]],"")</f>
        <v>0.27142857142857141</v>
      </c>
      <c r="N163">
        <f>+AV_PLAN[[#This Row],[PLAN ACUMULADO]]-AV_PLAN[[#This Row],[INICIO REAL ACUMULADO]]</f>
        <v>87</v>
      </c>
      <c r="O163">
        <f>+AV_PLAN[[#This Row],[TERMINO PLAN ACUMULADO]]-AV_PLAN[[#This Row],[TERMINO REAL ACUMULADO]]</f>
        <v>102</v>
      </c>
      <c r="P16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3" s="7">
        <f>+AV_PLAN[[#This Row],[PLAN ACUMULADO]]/$C$471</f>
        <v>0.26704545454545453</v>
      </c>
      <c r="R163" s="7">
        <f t="shared" si="4"/>
        <v>0.14346590909090909</v>
      </c>
      <c r="S163" s="7">
        <f>+AV_PLAN[[#This Row],[TERMINO PLAN ACUMULADO]]/$G$471</f>
        <v>0.19886363636363635</v>
      </c>
      <c r="T163" s="7">
        <f t="shared" si="5"/>
        <v>5.3977272727272728E-2</v>
      </c>
      <c r="U163" s="7">
        <f>+(AV_PLAN[[#This Row],[%AVANCE INICIO PLANIFICADO]]+AV_PLAN[[#This Row],[%AVANCE TERMINO PLANIFICADO]])/2</f>
        <v>0.23295454545454544</v>
      </c>
    </row>
    <row r="164" spans="1:21" x14ac:dyDescent="0.25">
      <c r="A164" s="1">
        <v>46231</v>
      </c>
      <c r="B164">
        <v>2</v>
      </c>
      <c r="C164">
        <v>190</v>
      </c>
      <c r="D164">
        <v>0</v>
      </c>
      <c r="E164">
        <v>101</v>
      </c>
      <c r="F164">
        <v>3</v>
      </c>
      <c r="G164">
        <v>143</v>
      </c>
      <c r="H164">
        <v>0</v>
      </c>
      <c r="I164">
        <v>38</v>
      </c>
      <c r="J164" t="s">
        <v>815</v>
      </c>
      <c r="K164">
        <f>+WEEKNUM(AV_PLAN[[#This Row],[Días]])</f>
        <v>31</v>
      </c>
      <c r="L164" s="4">
        <f>IFERROR(AV_PLAN[[#This Row],[INICIO REAL ACUMULADO]]/AV_PLAN[[#This Row],[PLAN ACUMULADO]],"")</f>
        <v>0.53157894736842104</v>
      </c>
      <c r="M164" s="4">
        <f>IFERROR(AV_PLAN[[#This Row],[TERMINO REAL ACUMULADO]]/AV_PLAN[[#This Row],[TERMINO PLAN ACUMULADO]],"")</f>
        <v>0.26573426573426573</v>
      </c>
      <c r="N164">
        <f>+AV_PLAN[[#This Row],[PLAN ACUMULADO]]-AV_PLAN[[#This Row],[INICIO REAL ACUMULADO]]</f>
        <v>89</v>
      </c>
      <c r="O164">
        <f>+AV_PLAN[[#This Row],[TERMINO PLAN ACUMULADO]]-AV_PLAN[[#This Row],[TERMINO REAL ACUMULADO]]</f>
        <v>105</v>
      </c>
      <c r="P16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4" s="7">
        <f>+AV_PLAN[[#This Row],[PLAN ACUMULADO]]/$C$471</f>
        <v>0.26988636363636365</v>
      </c>
      <c r="R164" s="7">
        <f t="shared" si="4"/>
        <v>0.14346590909090909</v>
      </c>
      <c r="S164" s="7">
        <f>+AV_PLAN[[#This Row],[TERMINO PLAN ACUMULADO]]/$G$471</f>
        <v>0.203125</v>
      </c>
      <c r="T164" s="7">
        <f t="shared" si="5"/>
        <v>5.3977272727272728E-2</v>
      </c>
      <c r="U164" s="7">
        <f>+(AV_PLAN[[#This Row],[%AVANCE INICIO PLANIFICADO]]+AV_PLAN[[#This Row],[%AVANCE TERMINO PLANIFICADO]])/2</f>
        <v>0.23650568181818182</v>
      </c>
    </row>
    <row r="165" spans="1:21" x14ac:dyDescent="0.25">
      <c r="A165" s="1">
        <v>46232</v>
      </c>
      <c r="B165">
        <v>3</v>
      </c>
      <c r="C165">
        <v>193</v>
      </c>
      <c r="D165">
        <v>0</v>
      </c>
      <c r="E165">
        <v>101</v>
      </c>
      <c r="F165">
        <v>2</v>
      </c>
      <c r="G165">
        <v>145</v>
      </c>
      <c r="H165">
        <v>0</v>
      </c>
      <c r="I165">
        <v>38</v>
      </c>
      <c r="J165" t="s">
        <v>815</v>
      </c>
      <c r="K165">
        <f>+WEEKNUM(AV_PLAN[[#This Row],[Días]])</f>
        <v>31</v>
      </c>
      <c r="L165" s="4">
        <f>IFERROR(AV_PLAN[[#This Row],[INICIO REAL ACUMULADO]]/AV_PLAN[[#This Row],[PLAN ACUMULADO]],"")</f>
        <v>0.52331606217616577</v>
      </c>
      <c r="M165" s="4">
        <f>IFERROR(AV_PLAN[[#This Row],[TERMINO REAL ACUMULADO]]/AV_PLAN[[#This Row],[TERMINO PLAN ACUMULADO]],"")</f>
        <v>0.2620689655172414</v>
      </c>
      <c r="N165">
        <f>+AV_PLAN[[#This Row],[PLAN ACUMULADO]]-AV_PLAN[[#This Row],[INICIO REAL ACUMULADO]]</f>
        <v>92</v>
      </c>
      <c r="O165">
        <f>+AV_PLAN[[#This Row],[TERMINO PLAN ACUMULADO]]-AV_PLAN[[#This Row],[TERMINO REAL ACUMULADO]]</f>
        <v>107</v>
      </c>
      <c r="P16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5" s="7">
        <f>+AV_PLAN[[#This Row],[PLAN ACUMULADO]]/$C$471</f>
        <v>0.27414772727272729</v>
      </c>
      <c r="R165" s="7">
        <f t="shared" si="4"/>
        <v>0.14346590909090909</v>
      </c>
      <c r="S165" s="7">
        <f>+AV_PLAN[[#This Row],[TERMINO PLAN ACUMULADO]]/$G$471</f>
        <v>0.20596590909090909</v>
      </c>
      <c r="T165" s="7">
        <f t="shared" si="5"/>
        <v>5.3977272727272728E-2</v>
      </c>
      <c r="U165" s="7">
        <f>+(AV_PLAN[[#This Row],[%AVANCE INICIO PLANIFICADO]]+AV_PLAN[[#This Row],[%AVANCE TERMINO PLANIFICADO]])/2</f>
        <v>0.24005681818181818</v>
      </c>
    </row>
    <row r="166" spans="1:21" x14ac:dyDescent="0.25">
      <c r="A166" s="1">
        <v>46233</v>
      </c>
      <c r="B166">
        <v>2</v>
      </c>
      <c r="C166">
        <v>195</v>
      </c>
      <c r="D166">
        <v>0</v>
      </c>
      <c r="E166">
        <v>101</v>
      </c>
      <c r="F166">
        <v>0</v>
      </c>
      <c r="G166">
        <v>145</v>
      </c>
      <c r="H166">
        <v>0</v>
      </c>
      <c r="I166">
        <v>38</v>
      </c>
      <c r="J166" t="s">
        <v>815</v>
      </c>
      <c r="K166">
        <f>+WEEKNUM(AV_PLAN[[#This Row],[Días]])</f>
        <v>31</v>
      </c>
      <c r="L166" s="4">
        <f>IFERROR(AV_PLAN[[#This Row],[INICIO REAL ACUMULADO]]/AV_PLAN[[#This Row],[PLAN ACUMULADO]],"")</f>
        <v>0.517948717948718</v>
      </c>
      <c r="M166" s="4">
        <f>IFERROR(AV_PLAN[[#This Row],[TERMINO REAL ACUMULADO]]/AV_PLAN[[#This Row],[TERMINO PLAN ACUMULADO]],"")</f>
        <v>0.2620689655172414</v>
      </c>
      <c r="N166">
        <f>+AV_PLAN[[#This Row],[PLAN ACUMULADO]]-AV_PLAN[[#This Row],[INICIO REAL ACUMULADO]]</f>
        <v>94</v>
      </c>
      <c r="O166">
        <f>+AV_PLAN[[#This Row],[TERMINO PLAN ACUMULADO]]-AV_PLAN[[#This Row],[TERMINO REAL ACUMULADO]]</f>
        <v>107</v>
      </c>
      <c r="P16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6" s="7">
        <f>+AV_PLAN[[#This Row],[PLAN ACUMULADO]]/$C$471</f>
        <v>0.27698863636363635</v>
      </c>
      <c r="R166" s="7">
        <f t="shared" si="4"/>
        <v>0.14346590909090909</v>
      </c>
      <c r="S166" s="7">
        <f>+AV_PLAN[[#This Row],[TERMINO PLAN ACUMULADO]]/$G$471</f>
        <v>0.20596590909090909</v>
      </c>
      <c r="T166" s="7">
        <f t="shared" si="5"/>
        <v>5.3977272727272728E-2</v>
      </c>
      <c r="U166" s="7">
        <f>+(AV_PLAN[[#This Row],[%AVANCE INICIO PLANIFICADO]]+AV_PLAN[[#This Row],[%AVANCE TERMINO PLANIFICADO]])/2</f>
        <v>0.24147727272727271</v>
      </c>
    </row>
    <row r="167" spans="1:21" x14ac:dyDescent="0.25">
      <c r="A167" s="1">
        <v>46234</v>
      </c>
      <c r="B167">
        <v>3</v>
      </c>
      <c r="C167">
        <v>198</v>
      </c>
      <c r="D167">
        <v>0</v>
      </c>
      <c r="E167">
        <v>101</v>
      </c>
      <c r="F167">
        <v>3</v>
      </c>
      <c r="G167">
        <v>148</v>
      </c>
      <c r="H167">
        <v>0</v>
      </c>
      <c r="I167">
        <v>38</v>
      </c>
      <c r="J167" t="s">
        <v>815</v>
      </c>
      <c r="K167">
        <f>+WEEKNUM(AV_PLAN[[#This Row],[Días]])</f>
        <v>31</v>
      </c>
      <c r="L167" s="4">
        <f>IFERROR(AV_PLAN[[#This Row],[INICIO REAL ACUMULADO]]/AV_PLAN[[#This Row],[PLAN ACUMULADO]],"")</f>
        <v>0.51010101010101006</v>
      </c>
      <c r="M167" s="4">
        <f>IFERROR(AV_PLAN[[#This Row],[TERMINO REAL ACUMULADO]]/AV_PLAN[[#This Row],[TERMINO PLAN ACUMULADO]],"")</f>
        <v>0.25675675675675674</v>
      </c>
      <c r="N167">
        <f>+AV_PLAN[[#This Row],[PLAN ACUMULADO]]-AV_PLAN[[#This Row],[INICIO REAL ACUMULADO]]</f>
        <v>97</v>
      </c>
      <c r="O167">
        <f>+AV_PLAN[[#This Row],[TERMINO PLAN ACUMULADO]]-AV_PLAN[[#This Row],[TERMINO REAL ACUMULADO]]</f>
        <v>110</v>
      </c>
      <c r="P16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7" s="7">
        <f>+AV_PLAN[[#This Row],[PLAN ACUMULADO]]/$C$471</f>
        <v>0.28125</v>
      </c>
      <c r="R167" s="7">
        <f t="shared" si="4"/>
        <v>0.14346590909090909</v>
      </c>
      <c r="S167" s="7">
        <f>+AV_PLAN[[#This Row],[TERMINO PLAN ACUMULADO]]/$G$471</f>
        <v>0.21022727272727273</v>
      </c>
      <c r="T167" s="7">
        <f t="shared" si="5"/>
        <v>5.3977272727272728E-2</v>
      </c>
      <c r="U167" s="7">
        <f>+(AV_PLAN[[#This Row],[%AVANCE INICIO PLANIFICADO]]+AV_PLAN[[#This Row],[%AVANCE TERMINO PLANIFICADO]])/2</f>
        <v>0.24573863636363635</v>
      </c>
    </row>
    <row r="168" spans="1:21" x14ac:dyDescent="0.25">
      <c r="A168" s="1">
        <v>46235</v>
      </c>
      <c r="B168">
        <v>0</v>
      </c>
      <c r="C168">
        <v>198</v>
      </c>
      <c r="D168">
        <v>0</v>
      </c>
      <c r="E168">
        <v>101</v>
      </c>
      <c r="F168">
        <v>2</v>
      </c>
      <c r="G168">
        <v>150</v>
      </c>
      <c r="H168">
        <v>0</v>
      </c>
      <c r="I168">
        <v>38</v>
      </c>
      <c r="J168" t="s">
        <v>816</v>
      </c>
      <c r="K168">
        <f>+WEEKNUM(AV_PLAN[[#This Row],[Días]])</f>
        <v>31</v>
      </c>
      <c r="L168" s="4">
        <f>IFERROR(AV_PLAN[[#This Row],[INICIO REAL ACUMULADO]]/AV_PLAN[[#This Row],[PLAN ACUMULADO]],"")</f>
        <v>0.51010101010101006</v>
      </c>
      <c r="M168" s="4">
        <f>IFERROR(AV_PLAN[[#This Row],[TERMINO REAL ACUMULADO]]/AV_PLAN[[#This Row],[TERMINO PLAN ACUMULADO]],"")</f>
        <v>0.25333333333333335</v>
      </c>
      <c r="N168">
        <f>+AV_PLAN[[#This Row],[PLAN ACUMULADO]]-AV_PLAN[[#This Row],[INICIO REAL ACUMULADO]]</f>
        <v>97</v>
      </c>
      <c r="O168">
        <f>+AV_PLAN[[#This Row],[TERMINO PLAN ACUMULADO]]-AV_PLAN[[#This Row],[TERMINO REAL ACUMULADO]]</f>
        <v>112</v>
      </c>
      <c r="P1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68" s="7">
        <f>+AV_PLAN[[#This Row],[PLAN ACUMULADO]]/$C$471</f>
        <v>0.28125</v>
      </c>
      <c r="R168" s="7">
        <f t="shared" si="4"/>
        <v>0.14346590909090909</v>
      </c>
      <c r="S168" s="7">
        <f>+AV_PLAN[[#This Row],[TERMINO PLAN ACUMULADO]]/$G$471</f>
        <v>0.21306818181818182</v>
      </c>
      <c r="T168" s="7">
        <f t="shared" si="5"/>
        <v>5.3977272727272728E-2</v>
      </c>
      <c r="U168" s="7">
        <f>+(AV_PLAN[[#This Row],[%AVANCE INICIO PLANIFICADO]]+AV_PLAN[[#This Row],[%AVANCE TERMINO PLANIFICADO]])/2</f>
        <v>0.24715909090909091</v>
      </c>
    </row>
    <row r="169" spans="1:21" x14ac:dyDescent="0.25">
      <c r="A169" s="1">
        <v>46236</v>
      </c>
      <c r="B169">
        <v>0</v>
      </c>
      <c r="C169">
        <v>198</v>
      </c>
      <c r="D169">
        <v>0</v>
      </c>
      <c r="E169">
        <v>101</v>
      </c>
      <c r="F169">
        <v>3</v>
      </c>
      <c r="G169">
        <v>153</v>
      </c>
      <c r="H169">
        <v>0</v>
      </c>
      <c r="I169">
        <v>38</v>
      </c>
      <c r="J169" t="s">
        <v>816</v>
      </c>
      <c r="K169">
        <f>+WEEKNUM(AV_PLAN[[#This Row],[Días]])</f>
        <v>32</v>
      </c>
      <c r="L169" s="4">
        <f>IFERROR(AV_PLAN[[#This Row],[INICIO REAL ACUMULADO]]/AV_PLAN[[#This Row],[PLAN ACUMULADO]],"")</f>
        <v>0.51010101010101006</v>
      </c>
      <c r="M169" s="4">
        <f>IFERROR(AV_PLAN[[#This Row],[TERMINO REAL ACUMULADO]]/AV_PLAN[[#This Row],[TERMINO PLAN ACUMULADO]],"")</f>
        <v>0.24836601307189543</v>
      </c>
      <c r="N169">
        <f>+AV_PLAN[[#This Row],[PLAN ACUMULADO]]-AV_PLAN[[#This Row],[INICIO REAL ACUMULADO]]</f>
        <v>97</v>
      </c>
      <c r="O169">
        <f>+AV_PLAN[[#This Row],[TERMINO PLAN ACUMULADO]]-AV_PLAN[[#This Row],[TERMINO REAL ACUMULADO]]</f>
        <v>115</v>
      </c>
      <c r="P16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9" s="7">
        <f>+AV_PLAN[[#This Row],[PLAN ACUMULADO]]/$C$471</f>
        <v>0.28125</v>
      </c>
      <c r="R169" s="7">
        <f t="shared" si="4"/>
        <v>0.14346590909090909</v>
      </c>
      <c r="S169" s="7">
        <f>+AV_PLAN[[#This Row],[TERMINO PLAN ACUMULADO]]/$G$471</f>
        <v>0.21732954545454544</v>
      </c>
      <c r="T169" s="7">
        <f t="shared" si="5"/>
        <v>5.3977272727272728E-2</v>
      </c>
      <c r="U169" s="7">
        <f>+(AV_PLAN[[#This Row],[%AVANCE INICIO PLANIFICADO]]+AV_PLAN[[#This Row],[%AVANCE TERMINO PLANIFICADO]])/2</f>
        <v>0.24928977272727271</v>
      </c>
    </row>
    <row r="170" spans="1:21" x14ac:dyDescent="0.25">
      <c r="A170" s="1">
        <v>46237</v>
      </c>
      <c r="B170">
        <v>2</v>
      </c>
      <c r="C170">
        <v>200</v>
      </c>
      <c r="D170">
        <v>0</v>
      </c>
      <c r="E170">
        <v>101</v>
      </c>
      <c r="F170">
        <v>2</v>
      </c>
      <c r="G170">
        <v>155</v>
      </c>
      <c r="H170">
        <v>0</v>
      </c>
      <c r="I170">
        <v>38</v>
      </c>
      <c r="J170" t="s">
        <v>816</v>
      </c>
      <c r="K170">
        <f>+WEEKNUM(AV_PLAN[[#This Row],[Días]])</f>
        <v>32</v>
      </c>
      <c r="L170" s="4">
        <f>IFERROR(AV_PLAN[[#This Row],[INICIO REAL ACUMULADO]]/AV_PLAN[[#This Row],[PLAN ACUMULADO]],"")</f>
        <v>0.505</v>
      </c>
      <c r="M170" s="4">
        <f>IFERROR(AV_PLAN[[#This Row],[TERMINO REAL ACUMULADO]]/AV_PLAN[[#This Row],[TERMINO PLAN ACUMULADO]],"")</f>
        <v>0.24516129032258063</v>
      </c>
      <c r="N170">
        <f>+AV_PLAN[[#This Row],[PLAN ACUMULADO]]-AV_PLAN[[#This Row],[INICIO REAL ACUMULADO]]</f>
        <v>99</v>
      </c>
      <c r="O170">
        <f>+AV_PLAN[[#This Row],[TERMINO PLAN ACUMULADO]]-AV_PLAN[[#This Row],[TERMINO REAL ACUMULADO]]</f>
        <v>117</v>
      </c>
      <c r="P17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0" s="7">
        <f>+AV_PLAN[[#This Row],[PLAN ACUMULADO]]/$C$471</f>
        <v>0.28409090909090912</v>
      </c>
      <c r="R170" s="7">
        <f t="shared" si="4"/>
        <v>0.14346590909090909</v>
      </c>
      <c r="S170" s="7">
        <f>+AV_PLAN[[#This Row],[TERMINO PLAN ACUMULADO]]/$G$471</f>
        <v>0.22017045454545456</v>
      </c>
      <c r="T170" s="7">
        <f t="shared" si="5"/>
        <v>5.3977272727272728E-2</v>
      </c>
      <c r="U170" s="7">
        <f>+(AV_PLAN[[#This Row],[%AVANCE INICIO PLANIFICADO]]+AV_PLAN[[#This Row],[%AVANCE TERMINO PLANIFICADO]])/2</f>
        <v>0.25213068181818182</v>
      </c>
    </row>
    <row r="171" spans="1:21" x14ac:dyDescent="0.25">
      <c r="A171" s="1">
        <v>46238</v>
      </c>
      <c r="B171">
        <v>3</v>
      </c>
      <c r="C171">
        <v>203</v>
      </c>
      <c r="D171">
        <v>0</v>
      </c>
      <c r="E171">
        <v>101</v>
      </c>
      <c r="F171">
        <v>3</v>
      </c>
      <c r="G171">
        <v>158</v>
      </c>
      <c r="H171">
        <v>0</v>
      </c>
      <c r="I171">
        <v>38</v>
      </c>
      <c r="J171" t="s">
        <v>816</v>
      </c>
      <c r="K171">
        <f>+WEEKNUM(AV_PLAN[[#This Row],[Días]])</f>
        <v>32</v>
      </c>
      <c r="L171" s="4">
        <f>IFERROR(AV_PLAN[[#This Row],[INICIO REAL ACUMULADO]]/AV_PLAN[[#This Row],[PLAN ACUMULADO]],"")</f>
        <v>0.49753694581280788</v>
      </c>
      <c r="M171" s="4">
        <f>IFERROR(AV_PLAN[[#This Row],[TERMINO REAL ACUMULADO]]/AV_PLAN[[#This Row],[TERMINO PLAN ACUMULADO]],"")</f>
        <v>0.24050632911392406</v>
      </c>
      <c r="N171">
        <f>+AV_PLAN[[#This Row],[PLAN ACUMULADO]]-AV_PLAN[[#This Row],[INICIO REAL ACUMULADO]]</f>
        <v>102</v>
      </c>
      <c r="O171">
        <f>+AV_PLAN[[#This Row],[TERMINO PLAN ACUMULADO]]-AV_PLAN[[#This Row],[TERMINO REAL ACUMULADO]]</f>
        <v>120</v>
      </c>
      <c r="P17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1" s="7">
        <f>+AV_PLAN[[#This Row],[PLAN ACUMULADO]]/$C$471</f>
        <v>0.28835227272727271</v>
      </c>
      <c r="R171" s="7">
        <f t="shared" si="4"/>
        <v>0.14346590909090909</v>
      </c>
      <c r="S171" s="7">
        <f>+AV_PLAN[[#This Row],[TERMINO PLAN ACUMULADO]]/$G$471</f>
        <v>0.22443181818181818</v>
      </c>
      <c r="T171" s="7">
        <f t="shared" si="5"/>
        <v>5.3977272727272728E-2</v>
      </c>
      <c r="U171" s="7">
        <f>+(AV_PLAN[[#This Row],[%AVANCE INICIO PLANIFICADO]]+AV_PLAN[[#This Row],[%AVANCE TERMINO PLANIFICADO]])/2</f>
        <v>0.25639204545454541</v>
      </c>
    </row>
    <row r="172" spans="1:21" x14ac:dyDescent="0.25">
      <c r="A172" s="1">
        <v>46239</v>
      </c>
      <c r="B172">
        <v>2</v>
      </c>
      <c r="C172">
        <v>205</v>
      </c>
      <c r="D172">
        <v>0</v>
      </c>
      <c r="E172">
        <v>101</v>
      </c>
      <c r="F172">
        <v>1</v>
      </c>
      <c r="G172">
        <v>159</v>
      </c>
      <c r="H172">
        <v>0</v>
      </c>
      <c r="I172">
        <v>38</v>
      </c>
      <c r="J172" t="s">
        <v>816</v>
      </c>
      <c r="K172">
        <f>+WEEKNUM(AV_PLAN[[#This Row],[Días]])</f>
        <v>32</v>
      </c>
      <c r="L172" s="4">
        <f>IFERROR(AV_PLAN[[#This Row],[INICIO REAL ACUMULADO]]/AV_PLAN[[#This Row],[PLAN ACUMULADO]],"")</f>
        <v>0.49268292682926829</v>
      </c>
      <c r="M172" s="4">
        <f>IFERROR(AV_PLAN[[#This Row],[TERMINO REAL ACUMULADO]]/AV_PLAN[[#This Row],[TERMINO PLAN ACUMULADO]],"")</f>
        <v>0.2389937106918239</v>
      </c>
      <c r="N172">
        <f>+AV_PLAN[[#This Row],[PLAN ACUMULADO]]-AV_PLAN[[#This Row],[INICIO REAL ACUMULADO]]</f>
        <v>104</v>
      </c>
      <c r="O172">
        <f>+AV_PLAN[[#This Row],[TERMINO PLAN ACUMULADO]]-AV_PLAN[[#This Row],[TERMINO REAL ACUMULADO]]</f>
        <v>121</v>
      </c>
      <c r="P17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2" s="7">
        <f>+AV_PLAN[[#This Row],[PLAN ACUMULADO]]/$C$471</f>
        <v>0.29119318181818182</v>
      </c>
      <c r="R172" s="7">
        <f t="shared" si="4"/>
        <v>0.14346590909090909</v>
      </c>
      <c r="S172" s="7">
        <f>+AV_PLAN[[#This Row],[TERMINO PLAN ACUMULADO]]/$G$471</f>
        <v>0.22585227272727273</v>
      </c>
      <c r="T172" s="7">
        <f t="shared" si="5"/>
        <v>5.3977272727272728E-2</v>
      </c>
      <c r="U172" s="7">
        <f>+(AV_PLAN[[#This Row],[%AVANCE INICIO PLANIFICADO]]+AV_PLAN[[#This Row],[%AVANCE TERMINO PLANIFICADO]])/2</f>
        <v>0.25852272727272729</v>
      </c>
    </row>
    <row r="173" spans="1:21" x14ac:dyDescent="0.25">
      <c r="A173" s="1">
        <v>46240</v>
      </c>
      <c r="B173">
        <v>3</v>
      </c>
      <c r="C173">
        <v>208</v>
      </c>
      <c r="D173">
        <v>0</v>
      </c>
      <c r="E173">
        <v>101</v>
      </c>
      <c r="F173">
        <v>2</v>
      </c>
      <c r="G173">
        <v>161</v>
      </c>
      <c r="H173">
        <v>0</v>
      </c>
      <c r="I173">
        <v>38</v>
      </c>
      <c r="J173" t="s">
        <v>816</v>
      </c>
      <c r="K173">
        <f>+WEEKNUM(AV_PLAN[[#This Row],[Días]])</f>
        <v>32</v>
      </c>
      <c r="L173" s="4">
        <f>IFERROR(AV_PLAN[[#This Row],[INICIO REAL ACUMULADO]]/AV_PLAN[[#This Row],[PLAN ACUMULADO]],"")</f>
        <v>0.48557692307692307</v>
      </c>
      <c r="M173" s="4">
        <f>IFERROR(AV_PLAN[[#This Row],[TERMINO REAL ACUMULADO]]/AV_PLAN[[#This Row],[TERMINO PLAN ACUMULADO]],"")</f>
        <v>0.2360248447204969</v>
      </c>
      <c r="N173">
        <f>+AV_PLAN[[#This Row],[PLAN ACUMULADO]]-AV_PLAN[[#This Row],[INICIO REAL ACUMULADO]]</f>
        <v>107</v>
      </c>
      <c r="O173">
        <f>+AV_PLAN[[#This Row],[TERMINO PLAN ACUMULADO]]-AV_PLAN[[#This Row],[TERMINO REAL ACUMULADO]]</f>
        <v>123</v>
      </c>
      <c r="P17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3" s="7">
        <f>+AV_PLAN[[#This Row],[PLAN ACUMULADO]]/$C$471</f>
        <v>0.29545454545454547</v>
      </c>
      <c r="R173" s="7">
        <f t="shared" si="4"/>
        <v>0.14346590909090909</v>
      </c>
      <c r="S173" s="7">
        <f>+AV_PLAN[[#This Row],[TERMINO PLAN ACUMULADO]]/$G$471</f>
        <v>0.22869318181818182</v>
      </c>
      <c r="T173" s="7">
        <f t="shared" si="5"/>
        <v>5.3977272727272728E-2</v>
      </c>
      <c r="U173" s="7">
        <f>+(AV_PLAN[[#This Row],[%AVANCE INICIO PLANIFICADO]]+AV_PLAN[[#This Row],[%AVANCE TERMINO PLANIFICADO]])/2</f>
        <v>0.26207386363636365</v>
      </c>
    </row>
    <row r="174" spans="1:21" x14ac:dyDescent="0.25">
      <c r="A174" s="1">
        <v>46241</v>
      </c>
      <c r="B174">
        <v>2</v>
      </c>
      <c r="C174">
        <v>210</v>
      </c>
      <c r="D174">
        <v>0</v>
      </c>
      <c r="E174">
        <v>101</v>
      </c>
      <c r="F174">
        <v>1</v>
      </c>
      <c r="G174">
        <v>162</v>
      </c>
      <c r="H174">
        <v>0</v>
      </c>
      <c r="I174">
        <v>38</v>
      </c>
      <c r="J174" t="s">
        <v>816</v>
      </c>
      <c r="K174">
        <f>+WEEKNUM(AV_PLAN[[#This Row],[Días]])</f>
        <v>32</v>
      </c>
      <c r="L174" s="4">
        <f>IFERROR(AV_PLAN[[#This Row],[INICIO REAL ACUMULADO]]/AV_PLAN[[#This Row],[PLAN ACUMULADO]],"")</f>
        <v>0.48095238095238096</v>
      </c>
      <c r="M174" s="4">
        <f>IFERROR(AV_PLAN[[#This Row],[TERMINO REAL ACUMULADO]]/AV_PLAN[[#This Row],[TERMINO PLAN ACUMULADO]],"")</f>
        <v>0.23456790123456789</v>
      </c>
      <c r="N174">
        <f>+AV_PLAN[[#This Row],[PLAN ACUMULADO]]-AV_PLAN[[#This Row],[INICIO REAL ACUMULADO]]</f>
        <v>109</v>
      </c>
      <c r="O174">
        <f>+AV_PLAN[[#This Row],[TERMINO PLAN ACUMULADO]]-AV_PLAN[[#This Row],[TERMINO REAL ACUMULADO]]</f>
        <v>124</v>
      </c>
      <c r="P17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4" s="7">
        <f>+AV_PLAN[[#This Row],[PLAN ACUMULADO]]/$C$471</f>
        <v>0.29829545454545453</v>
      </c>
      <c r="R174" s="7">
        <f t="shared" si="4"/>
        <v>0.14346590909090909</v>
      </c>
      <c r="S174" s="7">
        <f>+AV_PLAN[[#This Row],[TERMINO PLAN ACUMULADO]]/$G$471</f>
        <v>0.23011363636363635</v>
      </c>
      <c r="T174" s="7">
        <f t="shared" si="5"/>
        <v>5.3977272727272728E-2</v>
      </c>
      <c r="U174" s="7">
        <f>+(AV_PLAN[[#This Row],[%AVANCE INICIO PLANIFICADO]]+AV_PLAN[[#This Row],[%AVANCE TERMINO PLANIFICADO]])/2</f>
        <v>0.26420454545454541</v>
      </c>
    </row>
    <row r="175" spans="1:21" x14ac:dyDescent="0.25">
      <c r="A175" s="1">
        <v>46242</v>
      </c>
      <c r="B175">
        <v>0</v>
      </c>
      <c r="C175">
        <v>210</v>
      </c>
      <c r="D175">
        <v>0</v>
      </c>
      <c r="E175">
        <v>101</v>
      </c>
      <c r="F175">
        <v>1</v>
      </c>
      <c r="G175">
        <v>163</v>
      </c>
      <c r="H175">
        <v>0</v>
      </c>
      <c r="I175">
        <v>38</v>
      </c>
      <c r="J175" t="s">
        <v>816</v>
      </c>
      <c r="K175">
        <f>+WEEKNUM(AV_PLAN[[#This Row],[Días]])</f>
        <v>32</v>
      </c>
      <c r="L175" s="4">
        <f>IFERROR(AV_PLAN[[#This Row],[INICIO REAL ACUMULADO]]/AV_PLAN[[#This Row],[PLAN ACUMULADO]],"")</f>
        <v>0.48095238095238096</v>
      </c>
      <c r="M175" s="4">
        <f>IFERROR(AV_PLAN[[#This Row],[TERMINO REAL ACUMULADO]]/AV_PLAN[[#This Row],[TERMINO PLAN ACUMULADO]],"")</f>
        <v>0.23312883435582821</v>
      </c>
      <c r="N175">
        <f>+AV_PLAN[[#This Row],[PLAN ACUMULADO]]-AV_PLAN[[#This Row],[INICIO REAL ACUMULADO]]</f>
        <v>109</v>
      </c>
      <c r="O175">
        <f>+AV_PLAN[[#This Row],[TERMINO PLAN ACUMULADO]]-AV_PLAN[[#This Row],[TERMINO REAL ACUMULADO]]</f>
        <v>125</v>
      </c>
      <c r="P17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5" s="7">
        <f>+AV_PLAN[[#This Row],[PLAN ACUMULADO]]/$C$471</f>
        <v>0.29829545454545453</v>
      </c>
      <c r="R175" s="7">
        <f t="shared" si="4"/>
        <v>0.14346590909090909</v>
      </c>
      <c r="S175" s="7">
        <f>+AV_PLAN[[#This Row],[TERMINO PLAN ACUMULADO]]/$G$471</f>
        <v>0.23153409090909091</v>
      </c>
      <c r="T175" s="7">
        <f t="shared" si="5"/>
        <v>5.3977272727272728E-2</v>
      </c>
      <c r="U175" s="7">
        <f>+(AV_PLAN[[#This Row],[%AVANCE INICIO PLANIFICADO]]+AV_PLAN[[#This Row],[%AVANCE TERMINO PLANIFICADO]])/2</f>
        <v>0.26491477272727271</v>
      </c>
    </row>
    <row r="176" spans="1:21" x14ac:dyDescent="0.25">
      <c r="A176" s="1">
        <v>46243</v>
      </c>
      <c r="B176">
        <v>0</v>
      </c>
      <c r="C176">
        <v>210</v>
      </c>
      <c r="D176">
        <v>0</v>
      </c>
      <c r="E176">
        <v>101</v>
      </c>
      <c r="F176">
        <v>2</v>
      </c>
      <c r="G176">
        <v>165</v>
      </c>
      <c r="H176">
        <v>0</v>
      </c>
      <c r="I176">
        <v>38</v>
      </c>
      <c r="J176" t="s">
        <v>816</v>
      </c>
      <c r="K176">
        <f>+WEEKNUM(AV_PLAN[[#This Row],[Días]])</f>
        <v>33</v>
      </c>
      <c r="L176" s="4">
        <f>IFERROR(AV_PLAN[[#This Row],[INICIO REAL ACUMULADO]]/AV_PLAN[[#This Row],[PLAN ACUMULADO]],"")</f>
        <v>0.48095238095238096</v>
      </c>
      <c r="M176" s="4">
        <f>IFERROR(AV_PLAN[[#This Row],[TERMINO REAL ACUMULADO]]/AV_PLAN[[#This Row],[TERMINO PLAN ACUMULADO]],"")</f>
        <v>0.23030303030303031</v>
      </c>
      <c r="N176">
        <f>+AV_PLAN[[#This Row],[PLAN ACUMULADO]]-AV_PLAN[[#This Row],[INICIO REAL ACUMULADO]]</f>
        <v>109</v>
      </c>
      <c r="O176">
        <f>+AV_PLAN[[#This Row],[TERMINO PLAN ACUMULADO]]-AV_PLAN[[#This Row],[TERMINO REAL ACUMULADO]]</f>
        <v>127</v>
      </c>
      <c r="P17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6" s="7">
        <f>+AV_PLAN[[#This Row],[PLAN ACUMULADO]]/$C$471</f>
        <v>0.29829545454545453</v>
      </c>
      <c r="R176" s="7">
        <f t="shared" si="4"/>
        <v>0.14346590909090909</v>
      </c>
      <c r="S176" s="7">
        <f>+AV_PLAN[[#This Row],[TERMINO PLAN ACUMULADO]]/$G$471</f>
        <v>0.234375</v>
      </c>
      <c r="T176" s="7">
        <f t="shared" si="5"/>
        <v>5.3977272727272728E-2</v>
      </c>
      <c r="U176" s="7">
        <f>+(AV_PLAN[[#This Row],[%AVANCE INICIO PLANIFICADO]]+AV_PLAN[[#This Row],[%AVANCE TERMINO PLANIFICADO]])/2</f>
        <v>0.26633522727272729</v>
      </c>
    </row>
    <row r="177" spans="1:21" x14ac:dyDescent="0.25">
      <c r="A177" s="1">
        <v>46244</v>
      </c>
      <c r="B177">
        <v>3</v>
      </c>
      <c r="C177">
        <v>213</v>
      </c>
      <c r="D177">
        <v>0</v>
      </c>
      <c r="E177">
        <v>101</v>
      </c>
      <c r="F177">
        <v>3</v>
      </c>
      <c r="G177">
        <v>168</v>
      </c>
      <c r="H177">
        <v>0</v>
      </c>
      <c r="I177">
        <v>38</v>
      </c>
      <c r="J177" t="s">
        <v>816</v>
      </c>
      <c r="K177">
        <f>+WEEKNUM(AV_PLAN[[#This Row],[Días]])</f>
        <v>33</v>
      </c>
      <c r="L177" s="4">
        <f>IFERROR(AV_PLAN[[#This Row],[INICIO REAL ACUMULADO]]/AV_PLAN[[#This Row],[PLAN ACUMULADO]],"")</f>
        <v>0.47417840375586856</v>
      </c>
      <c r="M177" s="4">
        <f>IFERROR(AV_PLAN[[#This Row],[TERMINO REAL ACUMULADO]]/AV_PLAN[[#This Row],[TERMINO PLAN ACUMULADO]],"")</f>
        <v>0.22619047619047619</v>
      </c>
      <c r="N177">
        <f>+AV_PLAN[[#This Row],[PLAN ACUMULADO]]-AV_PLAN[[#This Row],[INICIO REAL ACUMULADO]]</f>
        <v>112</v>
      </c>
      <c r="O177">
        <f>+AV_PLAN[[#This Row],[TERMINO PLAN ACUMULADO]]-AV_PLAN[[#This Row],[TERMINO REAL ACUMULADO]]</f>
        <v>130</v>
      </c>
      <c r="P17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7" s="7">
        <f>+AV_PLAN[[#This Row],[PLAN ACUMULADO]]/$C$471</f>
        <v>0.30255681818181818</v>
      </c>
      <c r="R177" s="7">
        <f t="shared" si="4"/>
        <v>0.14346590909090909</v>
      </c>
      <c r="S177" s="7">
        <f>+AV_PLAN[[#This Row],[TERMINO PLAN ACUMULADO]]/$G$471</f>
        <v>0.23863636363636365</v>
      </c>
      <c r="T177" s="7">
        <f t="shared" si="5"/>
        <v>5.3977272727272728E-2</v>
      </c>
      <c r="U177" s="7">
        <f>+(AV_PLAN[[#This Row],[%AVANCE INICIO PLANIFICADO]]+AV_PLAN[[#This Row],[%AVANCE TERMINO PLANIFICADO]])/2</f>
        <v>0.27059659090909094</v>
      </c>
    </row>
    <row r="178" spans="1:21" x14ac:dyDescent="0.25">
      <c r="A178" s="1">
        <v>46245</v>
      </c>
      <c r="B178">
        <v>2</v>
      </c>
      <c r="C178">
        <v>215</v>
      </c>
      <c r="D178">
        <v>0</v>
      </c>
      <c r="E178">
        <v>101</v>
      </c>
      <c r="F178">
        <v>2</v>
      </c>
      <c r="G178">
        <v>170</v>
      </c>
      <c r="H178">
        <v>0</v>
      </c>
      <c r="I178">
        <v>38</v>
      </c>
      <c r="J178" t="s">
        <v>816</v>
      </c>
      <c r="K178">
        <f>+WEEKNUM(AV_PLAN[[#This Row],[Días]])</f>
        <v>33</v>
      </c>
      <c r="L178" s="4">
        <f>IFERROR(AV_PLAN[[#This Row],[INICIO REAL ACUMULADO]]/AV_PLAN[[#This Row],[PLAN ACUMULADO]],"")</f>
        <v>0.4697674418604651</v>
      </c>
      <c r="M178" s="4">
        <f>IFERROR(AV_PLAN[[#This Row],[TERMINO REAL ACUMULADO]]/AV_PLAN[[#This Row],[TERMINO PLAN ACUMULADO]],"")</f>
        <v>0.22352941176470589</v>
      </c>
      <c r="N178">
        <f>+AV_PLAN[[#This Row],[PLAN ACUMULADO]]-AV_PLAN[[#This Row],[INICIO REAL ACUMULADO]]</f>
        <v>114</v>
      </c>
      <c r="O178">
        <f>+AV_PLAN[[#This Row],[TERMINO PLAN ACUMULADO]]-AV_PLAN[[#This Row],[TERMINO REAL ACUMULADO]]</f>
        <v>132</v>
      </c>
      <c r="P17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8" s="7">
        <f>+AV_PLAN[[#This Row],[PLAN ACUMULADO]]/$C$471</f>
        <v>0.30539772727272729</v>
      </c>
      <c r="R178" s="7">
        <f t="shared" si="4"/>
        <v>0.14346590909090909</v>
      </c>
      <c r="S178" s="7">
        <f>+AV_PLAN[[#This Row],[TERMINO PLAN ACUMULADO]]/$G$471</f>
        <v>0.24147727272727273</v>
      </c>
      <c r="T178" s="7">
        <f t="shared" si="5"/>
        <v>5.3977272727272728E-2</v>
      </c>
      <c r="U178" s="7">
        <f>+(AV_PLAN[[#This Row],[%AVANCE INICIO PLANIFICADO]]+AV_PLAN[[#This Row],[%AVANCE TERMINO PLANIFICADO]])/2</f>
        <v>0.2734375</v>
      </c>
    </row>
    <row r="179" spans="1:21" x14ac:dyDescent="0.25">
      <c r="A179" s="1">
        <v>46246</v>
      </c>
      <c r="B179">
        <v>3</v>
      </c>
      <c r="C179">
        <v>218</v>
      </c>
      <c r="D179">
        <v>0</v>
      </c>
      <c r="E179">
        <v>101</v>
      </c>
      <c r="F179">
        <v>3</v>
      </c>
      <c r="G179">
        <v>173</v>
      </c>
      <c r="H179">
        <v>0</v>
      </c>
      <c r="I179">
        <v>38</v>
      </c>
      <c r="J179" t="s">
        <v>816</v>
      </c>
      <c r="K179">
        <f>+WEEKNUM(AV_PLAN[[#This Row],[Días]])</f>
        <v>33</v>
      </c>
      <c r="L179" s="4">
        <f>IFERROR(AV_PLAN[[#This Row],[INICIO REAL ACUMULADO]]/AV_PLAN[[#This Row],[PLAN ACUMULADO]],"")</f>
        <v>0.46330275229357798</v>
      </c>
      <c r="M179" s="4">
        <f>IFERROR(AV_PLAN[[#This Row],[TERMINO REAL ACUMULADO]]/AV_PLAN[[#This Row],[TERMINO PLAN ACUMULADO]],"")</f>
        <v>0.21965317919075145</v>
      </c>
      <c r="N179">
        <f>+AV_PLAN[[#This Row],[PLAN ACUMULADO]]-AV_PLAN[[#This Row],[INICIO REAL ACUMULADO]]</f>
        <v>117</v>
      </c>
      <c r="O179">
        <f>+AV_PLAN[[#This Row],[TERMINO PLAN ACUMULADO]]-AV_PLAN[[#This Row],[TERMINO REAL ACUMULADO]]</f>
        <v>135</v>
      </c>
      <c r="P17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9" s="7">
        <f>+AV_PLAN[[#This Row],[PLAN ACUMULADO]]/$C$471</f>
        <v>0.30965909090909088</v>
      </c>
      <c r="R179" s="7">
        <f t="shared" si="4"/>
        <v>0.14346590909090909</v>
      </c>
      <c r="S179" s="7">
        <f>+AV_PLAN[[#This Row],[TERMINO PLAN ACUMULADO]]/$G$471</f>
        <v>0.24573863636363635</v>
      </c>
      <c r="T179" s="7">
        <f t="shared" si="5"/>
        <v>5.3977272727272728E-2</v>
      </c>
      <c r="U179" s="7">
        <f>+(AV_PLAN[[#This Row],[%AVANCE INICIO PLANIFICADO]]+AV_PLAN[[#This Row],[%AVANCE TERMINO PLANIFICADO]])/2</f>
        <v>0.27769886363636365</v>
      </c>
    </row>
    <row r="180" spans="1:21" x14ac:dyDescent="0.25">
      <c r="A180" s="1">
        <v>46247</v>
      </c>
      <c r="B180">
        <v>2</v>
      </c>
      <c r="C180">
        <v>220</v>
      </c>
      <c r="D180">
        <v>0</v>
      </c>
      <c r="E180">
        <v>101</v>
      </c>
      <c r="F180">
        <v>2</v>
      </c>
      <c r="G180">
        <v>175</v>
      </c>
      <c r="H180">
        <v>0</v>
      </c>
      <c r="I180">
        <v>38</v>
      </c>
      <c r="J180" t="s">
        <v>816</v>
      </c>
      <c r="K180">
        <f>+WEEKNUM(AV_PLAN[[#This Row],[Días]])</f>
        <v>33</v>
      </c>
      <c r="L180" s="4">
        <f>IFERROR(AV_PLAN[[#This Row],[INICIO REAL ACUMULADO]]/AV_PLAN[[#This Row],[PLAN ACUMULADO]],"")</f>
        <v>0.45909090909090911</v>
      </c>
      <c r="M180" s="4">
        <f>IFERROR(AV_PLAN[[#This Row],[TERMINO REAL ACUMULADO]]/AV_PLAN[[#This Row],[TERMINO PLAN ACUMULADO]],"")</f>
        <v>0.21714285714285714</v>
      </c>
      <c r="N180">
        <f>+AV_PLAN[[#This Row],[PLAN ACUMULADO]]-AV_PLAN[[#This Row],[INICIO REAL ACUMULADO]]</f>
        <v>119</v>
      </c>
      <c r="O180">
        <f>+AV_PLAN[[#This Row],[TERMINO PLAN ACUMULADO]]-AV_PLAN[[#This Row],[TERMINO REAL ACUMULADO]]</f>
        <v>137</v>
      </c>
      <c r="P18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0" s="7">
        <f>+AV_PLAN[[#This Row],[PLAN ACUMULADO]]/$C$471</f>
        <v>0.3125</v>
      </c>
      <c r="R180" s="7">
        <f t="shared" si="4"/>
        <v>0.14346590909090909</v>
      </c>
      <c r="S180" s="7">
        <f>+AV_PLAN[[#This Row],[TERMINO PLAN ACUMULADO]]/$G$471</f>
        <v>0.24857954545454544</v>
      </c>
      <c r="T180" s="7">
        <f t="shared" si="5"/>
        <v>5.3977272727272728E-2</v>
      </c>
      <c r="U180" s="7">
        <f>+(AV_PLAN[[#This Row],[%AVANCE INICIO PLANIFICADO]]+AV_PLAN[[#This Row],[%AVANCE TERMINO PLANIFICADO]])/2</f>
        <v>0.28053977272727271</v>
      </c>
    </row>
    <row r="181" spans="1:21" x14ac:dyDescent="0.25">
      <c r="A181" s="1">
        <v>46248</v>
      </c>
      <c r="B181">
        <v>3</v>
      </c>
      <c r="C181">
        <v>223</v>
      </c>
      <c r="D181">
        <v>0</v>
      </c>
      <c r="E181">
        <v>101</v>
      </c>
      <c r="F181">
        <v>2</v>
      </c>
      <c r="G181">
        <v>177</v>
      </c>
      <c r="H181">
        <v>0</v>
      </c>
      <c r="I181">
        <v>38</v>
      </c>
      <c r="J181" t="s">
        <v>816</v>
      </c>
      <c r="K181">
        <f>+WEEKNUM(AV_PLAN[[#This Row],[Días]])</f>
        <v>33</v>
      </c>
      <c r="L181" s="4">
        <f>IFERROR(AV_PLAN[[#This Row],[INICIO REAL ACUMULADO]]/AV_PLAN[[#This Row],[PLAN ACUMULADO]],"")</f>
        <v>0.452914798206278</v>
      </c>
      <c r="M181" s="4">
        <f>IFERROR(AV_PLAN[[#This Row],[TERMINO REAL ACUMULADO]]/AV_PLAN[[#This Row],[TERMINO PLAN ACUMULADO]],"")</f>
        <v>0.21468926553672316</v>
      </c>
      <c r="N181">
        <f>+AV_PLAN[[#This Row],[PLAN ACUMULADO]]-AV_PLAN[[#This Row],[INICIO REAL ACUMULADO]]</f>
        <v>122</v>
      </c>
      <c r="O181">
        <f>+AV_PLAN[[#This Row],[TERMINO PLAN ACUMULADO]]-AV_PLAN[[#This Row],[TERMINO REAL ACUMULADO]]</f>
        <v>139</v>
      </c>
      <c r="P18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1" s="7">
        <f>+AV_PLAN[[#This Row],[PLAN ACUMULADO]]/$C$471</f>
        <v>0.31676136363636365</v>
      </c>
      <c r="R181" s="7">
        <f t="shared" si="4"/>
        <v>0.14346590909090909</v>
      </c>
      <c r="S181" s="7">
        <f>+AV_PLAN[[#This Row],[TERMINO PLAN ACUMULADO]]/$G$471</f>
        <v>0.25142045454545453</v>
      </c>
      <c r="T181" s="7">
        <f t="shared" si="5"/>
        <v>5.3977272727272728E-2</v>
      </c>
      <c r="U181" s="7">
        <f>+(AV_PLAN[[#This Row],[%AVANCE INICIO PLANIFICADO]]+AV_PLAN[[#This Row],[%AVANCE TERMINO PLANIFICADO]])/2</f>
        <v>0.28409090909090906</v>
      </c>
    </row>
    <row r="182" spans="1:21" x14ac:dyDescent="0.25">
      <c r="A182" s="1">
        <v>46249</v>
      </c>
      <c r="B182">
        <v>0</v>
      </c>
      <c r="C182">
        <v>223</v>
      </c>
      <c r="D182">
        <v>0</v>
      </c>
      <c r="E182">
        <v>101</v>
      </c>
      <c r="F182">
        <v>1</v>
      </c>
      <c r="G182">
        <v>178</v>
      </c>
      <c r="H182">
        <v>0</v>
      </c>
      <c r="I182">
        <v>38</v>
      </c>
      <c r="J182" t="s">
        <v>816</v>
      </c>
      <c r="K182">
        <f>+WEEKNUM(AV_PLAN[[#This Row],[Días]])</f>
        <v>33</v>
      </c>
      <c r="L182" s="4">
        <f>IFERROR(AV_PLAN[[#This Row],[INICIO REAL ACUMULADO]]/AV_PLAN[[#This Row],[PLAN ACUMULADO]],"")</f>
        <v>0.452914798206278</v>
      </c>
      <c r="M182" s="4">
        <f>IFERROR(AV_PLAN[[#This Row],[TERMINO REAL ACUMULADO]]/AV_PLAN[[#This Row],[TERMINO PLAN ACUMULADO]],"")</f>
        <v>0.21348314606741572</v>
      </c>
      <c r="N182">
        <f>+AV_PLAN[[#This Row],[PLAN ACUMULADO]]-AV_PLAN[[#This Row],[INICIO REAL ACUMULADO]]</f>
        <v>122</v>
      </c>
      <c r="O182">
        <f>+AV_PLAN[[#This Row],[TERMINO PLAN ACUMULADO]]-AV_PLAN[[#This Row],[TERMINO REAL ACUMULADO]]</f>
        <v>140</v>
      </c>
      <c r="P18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2" s="7">
        <f>+AV_PLAN[[#This Row],[PLAN ACUMULADO]]/$C$471</f>
        <v>0.31676136363636365</v>
      </c>
      <c r="R182" s="7">
        <f t="shared" si="4"/>
        <v>0.14346590909090909</v>
      </c>
      <c r="S182" s="7">
        <f>+AV_PLAN[[#This Row],[TERMINO PLAN ACUMULADO]]/$G$471</f>
        <v>0.25284090909090912</v>
      </c>
      <c r="T182" s="7">
        <f t="shared" si="5"/>
        <v>5.3977272727272728E-2</v>
      </c>
      <c r="U182" s="7">
        <f>+(AV_PLAN[[#This Row],[%AVANCE INICIO PLANIFICADO]]+AV_PLAN[[#This Row],[%AVANCE TERMINO PLANIFICADO]])/2</f>
        <v>0.28480113636363635</v>
      </c>
    </row>
    <row r="183" spans="1:21" x14ac:dyDescent="0.25">
      <c r="A183" s="1">
        <v>46250</v>
      </c>
      <c r="B183">
        <v>0</v>
      </c>
      <c r="C183">
        <v>223</v>
      </c>
      <c r="D183">
        <v>0</v>
      </c>
      <c r="E183">
        <v>101</v>
      </c>
      <c r="F183">
        <v>2</v>
      </c>
      <c r="G183">
        <v>180</v>
      </c>
      <c r="H183">
        <v>0</v>
      </c>
      <c r="I183">
        <v>38</v>
      </c>
      <c r="J183" t="s">
        <v>816</v>
      </c>
      <c r="K183">
        <f>+WEEKNUM(AV_PLAN[[#This Row],[Días]])</f>
        <v>34</v>
      </c>
      <c r="L183" s="4">
        <f>IFERROR(AV_PLAN[[#This Row],[INICIO REAL ACUMULADO]]/AV_PLAN[[#This Row],[PLAN ACUMULADO]],"")</f>
        <v>0.452914798206278</v>
      </c>
      <c r="M183" s="4">
        <f>IFERROR(AV_PLAN[[#This Row],[TERMINO REAL ACUMULADO]]/AV_PLAN[[#This Row],[TERMINO PLAN ACUMULADO]],"")</f>
        <v>0.21111111111111111</v>
      </c>
      <c r="N183">
        <f>+AV_PLAN[[#This Row],[PLAN ACUMULADO]]-AV_PLAN[[#This Row],[INICIO REAL ACUMULADO]]</f>
        <v>122</v>
      </c>
      <c r="O183">
        <f>+AV_PLAN[[#This Row],[TERMINO PLAN ACUMULADO]]-AV_PLAN[[#This Row],[TERMINO REAL ACUMULADO]]</f>
        <v>142</v>
      </c>
      <c r="P18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3" s="7">
        <f>+AV_PLAN[[#This Row],[PLAN ACUMULADO]]/$C$471</f>
        <v>0.31676136363636365</v>
      </c>
      <c r="R183" s="7">
        <f t="shared" si="4"/>
        <v>0.14346590909090909</v>
      </c>
      <c r="S183" s="7">
        <f>+AV_PLAN[[#This Row],[TERMINO PLAN ACUMULADO]]/$G$471</f>
        <v>0.25568181818181818</v>
      </c>
      <c r="T183" s="7">
        <f t="shared" si="5"/>
        <v>5.3977272727272728E-2</v>
      </c>
      <c r="U183" s="7">
        <f>+(AV_PLAN[[#This Row],[%AVANCE INICIO PLANIFICADO]]+AV_PLAN[[#This Row],[%AVANCE TERMINO PLANIFICADO]])/2</f>
        <v>0.28622159090909094</v>
      </c>
    </row>
    <row r="184" spans="1:21" x14ac:dyDescent="0.25">
      <c r="A184" s="1">
        <v>46251</v>
      </c>
      <c r="B184">
        <v>2</v>
      </c>
      <c r="C184">
        <v>225</v>
      </c>
      <c r="D184">
        <v>0</v>
      </c>
      <c r="E184">
        <v>101</v>
      </c>
      <c r="F184">
        <v>1</v>
      </c>
      <c r="G184">
        <v>181</v>
      </c>
      <c r="H184">
        <v>0</v>
      </c>
      <c r="I184">
        <v>38</v>
      </c>
      <c r="J184" t="s">
        <v>816</v>
      </c>
      <c r="K184">
        <f>+WEEKNUM(AV_PLAN[[#This Row],[Días]])</f>
        <v>34</v>
      </c>
      <c r="L184" s="4">
        <f>IFERROR(AV_PLAN[[#This Row],[INICIO REAL ACUMULADO]]/AV_PLAN[[#This Row],[PLAN ACUMULADO]],"")</f>
        <v>0.44888888888888889</v>
      </c>
      <c r="M184" s="4">
        <f>IFERROR(AV_PLAN[[#This Row],[TERMINO REAL ACUMULADO]]/AV_PLAN[[#This Row],[TERMINO PLAN ACUMULADO]],"")</f>
        <v>0.20994475138121546</v>
      </c>
      <c r="N184">
        <f>+AV_PLAN[[#This Row],[PLAN ACUMULADO]]-AV_PLAN[[#This Row],[INICIO REAL ACUMULADO]]</f>
        <v>124</v>
      </c>
      <c r="O184">
        <f>+AV_PLAN[[#This Row],[TERMINO PLAN ACUMULADO]]-AV_PLAN[[#This Row],[TERMINO REAL ACUMULADO]]</f>
        <v>143</v>
      </c>
      <c r="P18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4" s="7">
        <f>+AV_PLAN[[#This Row],[PLAN ACUMULADO]]/$C$471</f>
        <v>0.31960227272727271</v>
      </c>
      <c r="R184" s="7">
        <f t="shared" si="4"/>
        <v>0.14346590909090909</v>
      </c>
      <c r="S184" s="7">
        <f>+AV_PLAN[[#This Row],[TERMINO PLAN ACUMULADO]]/$G$471</f>
        <v>0.25710227272727271</v>
      </c>
      <c r="T184" s="7">
        <f t="shared" si="5"/>
        <v>5.3977272727272728E-2</v>
      </c>
      <c r="U184" s="7">
        <f>+(AV_PLAN[[#This Row],[%AVANCE INICIO PLANIFICADO]]+AV_PLAN[[#This Row],[%AVANCE TERMINO PLANIFICADO]])/2</f>
        <v>0.28835227272727271</v>
      </c>
    </row>
    <row r="185" spans="1:21" x14ac:dyDescent="0.25">
      <c r="A185" s="1">
        <v>46252</v>
      </c>
      <c r="B185">
        <v>3</v>
      </c>
      <c r="C185">
        <v>228</v>
      </c>
      <c r="D185">
        <v>0</v>
      </c>
      <c r="E185">
        <v>101</v>
      </c>
      <c r="F185">
        <v>2</v>
      </c>
      <c r="G185">
        <v>183</v>
      </c>
      <c r="H185">
        <v>0</v>
      </c>
      <c r="I185">
        <v>38</v>
      </c>
      <c r="J185" t="s">
        <v>816</v>
      </c>
      <c r="K185">
        <f>+WEEKNUM(AV_PLAN[[#This Row],[Días]])</f>
        <v>34</v>
      </c>
      <c r="L185" s="4">
        <f>IFERROR(AV_PLAN[[#This Row],[INICIO REAL ACUMULADO]]/AV_PLAN[[#This Row],[PLAN ACUMULADO]],"")</f>
        <v>0.44298245614035087</v>
      </c>
      <c r="M185" s="4">
        <f>IFERROR(AV_PLAN[[#This Row],[TERMINO REAL ACUMULADO]]/AV_PLAN[[#This Row],[TERMINO PLAN ACUMULADO]],"")</f>
        <v>0.20765027322404372</v>
      </c>
      <c r="N185">
        <f>+AV_PLAN[[#This Row],[PLAN ACUMULADO]]-AV_PLAN[[#This Row],[INICIO REAL ACUMULADO]]</f>
        <v>127</v>
      </c>
      <c r="O185">
        <f>+AV_PLAN[[#This Row],[TERMINO PLAN ACUMULADO]]-AV_PLAN[[#This Row],[TERMINO REAL ACUMULADO]]</f>
        <v>145</v>
      </c>
      <c r="P18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5" s="7">
        <f>+AV_PLAN[[#This Row],[PLAN ACUMULADO]]/$C$471</f>
        <v>0.32386363636363635</v>
      </c>
      <c r="R185" s="7">
        <f t="shared" si="4"/>
        <v>0.14346590909090909</v>
      </c>
      <c r="S185" s="7">
        <f>+AV_PLAN[[#This Row],[TERMINO PLAN ACUMULADO]]/$G$471</f>
        <v>0.25994318181818182</v>
      </c>
      <c r="T185" s="7">
        <f t="shared" si="5"/>
        <v>5.3977272727272728E-2</v>
      </c>
      <c r="U185" s="7">
        <f>+(AV_PLAN[[#This Row],[%AVANCE INICIO PLANIFICADO]]+AV_PLAN[[#This Row],[%AVANCE TERMINO PLANIFICADO]])/2</f>
        <v>0.29190340909090906</v>
      </c>
    </row>
    <row r="186" spans="1:21" x14ac:dyDescent="0.25">
      <c r="A186" s="1">
        <v>46253</v>
      </c>
      <c r="B186">
        <v>2</v>
      </c>
      <c r="C186">
        <v>230</v>
      </c>
      <c r="D186">
        <v>0</v>
      </c>
      <c r="E186">
        <v>101</v>
      </c>
      <c r="F186">
        <v>2</v>
      </c>
      <c r="G186">
        <v>185</v>
      </c>
      <c r="H186">
        <v>0</v>
      </c>
      <c r="I186">
        <v>38</v>
      </c>
      <c r="J186" t="s">
        <v>816</v>
      </c>
      <c r="K186">
        <f>+WEEKNUM(AV_PLAN[[#This Row],[Días]])</f>
        <v>34</v>
      </c>
      <c r="L186" s="4">
        <f>IFERROR(AV_PLAN[[#This Row],[INICIO REAL ACUMULADO]]/AV_PLAN[[#This Row],[PLAN ACUMULADO]],"")</f>
        <v>0.43913043478260871</v>
      </c>
      <c r="M186" s="4">
        <f>IFERROR(AV_PLAN[[#This Row],[TERMINO REAL ACUMULADO]]/AV_PLAN[[#This Row],[TERMINO PLAN ACUMULADO]],"")</f>
        <v>0.20540540540540542</v>
      </c>
      <c r="N186">
        <f>+AV_PLAN[[#This Row],[PLAN ACUMULADO]]-AV_PLAN[[#This Row],[INICIO REAL ACUMULADO]]</f>
        <v>129</v>
      </c>
      <c r="O186">
        <f>+AV_PLAN[[#This Row],[TERMINO PLAN ACUMULADO]]-AV_PLAN[[#This Row],[TERMINO REAL ACUMULADO]]</f>
        <v>147</v>
      </c>
      <c r="P18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6" s="7">
        <f>+AV_PLAN[[#This Row],[PLAN ACUMULADO]]/$C$471</f>
        <v>0.32670454545454547</v>
      </c>
      <c r="R186" s="7">
        <f t="shared" si="4"/>
        <v>0.14346590909090909</v>
      </c>
      <c r="S186" s="7">
        <f>+AV_PLAN[[#This Row],[TERMINO PLAN ACUMULADO]]/$G$471</f>
        <v>0.26278409090909088</v>
      </c>
      <c r="T186" s="7">
        <f t="shared" si="5"/>
        <v>5.3977272727272728E-2</v>
      </c>
      <c r="U186" s="7">
        <f>+(AV_PLAN[[#This Row],[%AVANCE INICIO PLANIFICADO]]+AV_PLAN[[#This Row],[%AVANCE TERMINO PLANIFICADO]])/2</f>
        <v>0.29474431818181818</v>
      </c>
    </row>
    <row r="187" spans="1:21" x14ac:dyDescent="0.25">
      <c r="A187" s="1">
        <v>46254</v>
      </c>
      <c r="B187">
        <v>3</v>
      </c>
      <c r="C187">
        <v>233</v>
      </c>
      <c r="D187">
        <v>0</v>
      </c>
      <c r="E187">
        <v>101</v>
      </c>
      <c r="F187">
        <v>3</v>
      </c>
      <c r="G187">
        <v>188</v>
      </c>
      <c r="H187">
        <v>0</v>
      </c>
      <c r="I187">
        <v>38</v>
      </c>
      <c r="J187" t="s">
        <v>816</v>
      </c>
      <c r="K187">
        <f>+WEEKNUM(AV_PLAN[[#This Row],[Días]])</f>
        <v>34</v>
      </c>
      <c r="L187" s="4">
        <f>IFERROR(AV_PLAN[[#This Row],[INICIO REAL ACUMULADO]]/AV_PLAN[[#This Row],[PLAN ACUMULADO]],"")</f>
        <v>0.4334763948497854</v>
      </c>
      <c r="M187" s="4">
        <f>IFERROR(AV_PLAN[[#This Row],[TERMINO REAL ACUMULADO]]/AV_PLAN[[#This Row],[TERMINO PLAN ACUMULADO]],"")</f>
        <v>0.20212765957446807</v>
      </c>
      <c r="N187">
        <f>+AV_PLAN[[#This Row],[PLAN ACUMULADO]]-AV_PLAN[[#This Row],[INICIO REAL ACUMULADO]]</f>
        <v>132</v>
      </c>
      <c r="O187">
        <f>+AV_PLAN[[#This Row],[TERMINO PLAN ACUMULADO]]-AV_PLAN[[#This Row],[TERMINO REAL ACUMULADO]]</f>
        <v>150</v>
      </c>
      <c r="P18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7" s="7">
        <f>+AV_PLAN[[#This Row],[PLAN ACUMULADO]]/$C$471</f>
        <v>0.33096590909090912</v>
      </c>
      <c r="R187" s="7">
        <f t="shared" si="4"/>
        <v>0.14346590909090909</v>
      </c>
      <c r="S187" s="7">
        <f>+AV_PLAN[[#This Row],[TERMINO PLAN ACUMULADO]]/$G$471</f>
        <v>0.26704545454545453</v>
      </c>
      <c r="T187" s="7">
        <f t="shared" si="5"/>
        <v>5.3977272727272728E-2</v>
      </c>
      <c r="U187" s="7">
        <f>+(AV_PLAN[[#This Row],[%AVANCE INICIO PLANIFICADO]]+AV_PLAN[[#This Row],[%AVANCE TERMINO PLANIFICADO]])/2</f>
        <v>0.29900568181818182</v>
      </c>
    </row>
    <row r="188" spans="1:21" x14ac:dyDescent="0.25">
      <c r="A188" s="1">
        <v>46255</v>
      </c>
      <c r="B188">
        <v>2</v>
      </c>
      <c r="C188">
        <v>235</v>
      </c>
      <c r="D188">
        <v>0</v>
      </c>
      <c r="E188">
        <v>101</v>
      </c>
      <c r="F188">
        <v>1</v>
      </c>
      <c r="G188">
        <v>189</v>
      </c>
      <c r="H188">
        <v>0</v>
      </c>
      <c r="I188">
        <v>38</v>
      </c>
      <c r="J188" t="s">
        <v>816</v>
      </c>
      <c r="K188">
        <f>+WEEKNUM(AV_PLAN[[#This Row],[Días]])</f>
        <v>34</v>
      </c>
      <c r="L188" s="4">
        <f>IFERROR(AV_PLAN[[#This Row],[INICIO REAL ACUMULADO]]/AV_PLAN[[#This Row],[PLAN ACUMULADO]],"")</f>
        <v>0.4297872340425532</v>
      </c>
      <c r="M188" s="4">
        <f>IFERROR(AV_PLAN[[#This Row],[TERMINO REAL ACUMULADO]]/AV_PLAN[[#This Row],[TERMINO PLAN ACUMULADO]],"")</f>
        <v>0.20105820105820105</v>
      </c>
      <c r="N188">
        <f>+AV_PLAN[[#This Row],[PLAN ACUMULADO]]-AV_PLAN[[#This Row],[INICIO REAL ACUMULADO]]</f>
        <v>134</v>
      </c>
      <c r="O188">
        <f>+AV_PLAN[[#This Row],[TERMINO PLAN ACUMULADO]]-AV_PLAN[[#This Row],[TERMINO REAL ACUMULADO]]</f>
        <v>151</v>
      </c>
      <c r="P18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8" s="7">
        <f>+AV_PLAN[[#This Row],[PLAN ACUMULADO]]/$C$471</f>
        <v>0.33380681818181818</v>
      </c>
      <c r="R188" s="7">
        <f t="shared" si="4"/>
        <v>0.14346590909090909</v>
      </c>
      <c r="S188" s="7">
        <f>+AV_PLAN[[#This Row],[TERMINO PLAN ACUMULADO]]/$G$471</f>
        <v>0.26846590909090912</v>
      </c>
      <c r="T188" s="7">
        <f t="shared" si="5"/>
        <v>5.3977272727272728E-2</v>
      </c>
      <c r="U188" s="7">
        <f>+(AV_PLAN[[#This Row],[%AVANCE INICIO PLANIFICADO]]+AV_PLAN[[#This Row],[%AVANCE TERMINO PLANIFICADO]])/2</f>
        <v>0.30113636363636365</v>
      </c>
    </row>
    <row r="189" spans="1:21" x14ac:dyDescent="0.25">
      <c r="A189" s="1">
        <v>46256</v>
      </c>
      <c r="B189">
        <v>0</v>
      </c>
      <c r="C189">
        <v>235</v>
      </c>
      <c r="D189">
        <v>0</v>
      </c>
      <c r="E189">
        <v>101</v>
      </c>
      <c r="F189">
        <v>2</v>
      </c>
      <c r="G189">
        <v>191</v>
      </c>
      <c r="H189">
        <v>0</v>
      </c>
      <c r="I189">
        <v>38</v>
      </c>
      <c r="J189" t="s">
        <v>816</v>
      </c>
      <c r="K189">
        <f>+WEEKNUM(AV_PLAN[[#This Row],[Días]])</f>
        <v>34</v>
      </c>
      <c r="L189" s="4">
        <f>IFERROR(AV_PLAN[[#This Row],[INICIO REAL ACUMULADO]]/AV_PLAN[[#This Row],[PLAN ACUMULADO]],"")</f>
        <v>0.4297872340425532</v>
      </c>
      <c r="M189" s="4">
        <f>IFERROR(AV_PLAN[[#This Row],[TERMINO REAL ACUMULADO]]/AV_PLAN[[#This Row],[TERMINO PLAN ACUMULADO]],"")</f>
        <v>0.19895287958115182</v>
      </c>
      <c r="N189">
        <f>+AV_PLAN[[#This Row],[PLAN ACUMULADO]]-AV_PLAN[[#This Row],[INICIO REAL ACUMULADO]]</f>
        <v>134</v>
      </c>
      <c r="O189">
        <f>+AV_PLAN[[#This Row],[TERMINO PLAN ACUMULADO]]-AV_PLAN[[#This Row],[TERMINO REAL ACUMULADO]]</f>
        <v>153</v>
      </c>
      <c r="P18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9" s="7">
        <f>+AV_PLAN[[#This Row],[PLAN ACUMULADO]]/$C$471</f>
        <v>0.33380681818181818</v>
      </c>
      <c r="R189" s="7">
        <f t="shared" si="4"/>
        <v>0.14346590909090909</v>
      </c>
      <c r="S189" s="7">
        <f>+AV_PLAN[[#This Row],[TERMINO PLAN ACUMULADO]]/$G$471</f>
        <v>0.27130681818181818</v>
      </c>
      <c r="T189" s="7">
        <f t="shared" si="5"/>
        <v>5.3977272727272728E-2</v>
      </c>
      <c r="U189" s="7">
        <f>+(AV_PLAN[[#This Row],[%AVANCE INICIO PLANIFICADO]]+AV_PLAN[[#This Row],[%AVANCE TERMINO PLANIFICADO]])/2</f>
        <v>0.30255681818181818</v>
      </c>
    </row>
    <row r="190" spans="1:21" x14ac:dyDescent="0.25">
      <c r="A190" s="1">
        <v>46257</v>
      </c>
      <c r="B190">
        <v>0</v>
      </c>
      <c r="C190">
        <v>235</v>
      </c>
      <c r="D190">
        <v>0</v>
      </c>
      <c r="E190">
        <v>101</v>
      </c>
      <c r="F190">
        <v>1</v>
      </c>
      <c r="G190">
        <v>192</v>
      </c>
      <c r="H190">
        <v>0</v>
      </c>
      <c r="I190">
        <v>38</v>
      </c>
      <c r="J190" t="s">
        <v>816</v>
      </c>
      <c r="K190">
        <f>+WEEKNUM(AV_PLAN[[#This Row],[Días]])</f>
        <v>35</v>
      </c>
      <c r="L190" s="4">
        <f>IFERROR(AV_PLAN[[#This Row],[INICIO REAL ACUMULADO]]/AV_PLAN[[#This Row],[PLAN ACUMULADO]],"")</f>
        <v>0.4297872340425532</v>
      </c>
      <c r="M190" s="4">
        <f>IFERROR(AV_PLAN[[#This Row],[TERMINO REAL ACUMULADO]]/AV_PLAN[[#This Row],[TERMINO PLAN ACUMULADO]],"")</f>
        <v>0.19791666666666666</v>
      </c>
      <c r="N190">
        <f>+AV_PLAN[[#This Row],[PLAN ACUMULADO]]-AV_PLAN[[#This Row],[INICIO REAL ACUMULADO]]</f>
        <v>134</v>
      </c>
      <c r="O190">
        <f>+AV_PLAN[[#This Row],[TERMINO PLAN ACUMULADO]]-AV_PLAN[[#This Row],[TERMINO REAL ACUMULADO]]</f>
        <v>154</v>
      </c>
      <c r="P19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0" s="7">
        <f>+AV_PLAN[[#This Row],[PLAN ACUMULADO]]/$C$471</f>
        <v>0.33380681818181818</v>
      </c>
      <c r="R190" s="7">
        <f t="shared" si="4"/>
        <v>0.14346590909090909</v>
      </c>
      <c r="S190" s="7">
        <f>+AV_PLAN[[#This Row],[TERMINO PLAN ACUMULADO]]/$G$471</f>
        <v>0.27272727272727271</v>
      </c>
      <c r="T190" s="7">
        <f t="shared" si="5"/>
        <v>5.3977272727272728E-2</v>
      </c>
      <c r="U190" s="7">
        <f>+(AV_PLAN[[#This Row],[%AVANCE INICIO PLANIFICADO]]+AV_PLAN[[#This Row],[%AVANCE TERMINO PLANIFICADO]])/2</f>
        <v>0.30326704545454541</v>
      </c>
    </row>
    <row r="191" spans="1:21" x14ac:dyDescent="0.25">
      <c r="A191" s="1">
        <v>46258</v>
      </c>
      <c r="B191">
        <v>3</v>
      </c>
      <c r="C191">
        <v>238</v>
      </c>
      <c r="D191">
        <v>0</v>
      </c>
      <c r="E191">
        <v>101</v>
      </c>
      <c r="F191">
        <v>1</v>
      </c>
      <c r="G191">
        <v>193</v>
      </c>
      <c r="H191">
        <v>0</v>
      </c>
      <c r="I191">
        <v>38</v>
      </c>
      <c r="J191" t="s">
        <v>816</v>
      </c>
      <c r="K191">
        <f>+WEEKNUM(AV_PLAN[[#This Row],[Días]])</f>
        <v>35</v>
      </c>
      <c r="L191" s="4">
        <f>IFERROR(AV_PLAN[[#This Row],[INICIO REAL ACUMULADO]]/AV_PLAN[[#This Row],[PLAN ACUMULADO]],"")</f>
        <v>0.42436974789915966</v>
      </c>
      <c r="M191" s="4">
        <f>IFERROR(AV_PLAN[[#This Row],[TERMINO REAL ACUMULADO]]/AV_PLAN[[#This Row],[TERMINO PLAN ACUMULADO]],"")</f>
        <v>0.19689119170984457</v>
      </c>
      <c r="N191">
        <f>+AV_PLAN[[#This Row],[PLAN ACUMULADO]]-AV_PLAN[[#This Row],[INICIO REAL ACUMULADO]]</f>
        <v>137</v>
      </c>
      <c r="O191">
        <f>+AV_PLAN[[#This Row],[TERMINO PLAN ACUMULADO]]-AV_PLAN[[#This Row],[TERMINO REAL ACUMULADO]]</f>
        <v>155</v>
      </c>
      <c r="P19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1" s="7">
        <f>+AV_PLAN[[#This Row],[PLAN ACUMULADO]]/$C$471</f>
        <v>0.33806818181818182</v>
      </c>
      <c r="R191" s="7">
        <f t="shared" si="4"/>
        <v>0.14346590909090909</v>
      </c>
      <c r="S191" s="7">
        <f>+AV_PLAN[[#This Row],[TERMINO PLAN ACUMULADO]]/$G$471</f>
        <v>0.27414772727272729</v>
      </c>
      <c r="T191" s="7">
        <f t="shared" si="5"/>
        <v>5.3977272727272728E-2</v>
      </c>
      <c r="U191" s="7">
        <f>+(AV_PLAN[[#This Row],[%AVANCE INICIO PLANIFICADO]]+AV_PLAN[[#This Row],[%AVANCE TERMINO PLANIFICADO]])/2</f>
        <v>0.30610795454545459</v>
      </c>
    </row>
    <row r="192" spans="1:21" x14ac:dyDescent="0.25">
      <c r="A192" s="1">
        <v>46259</v>
      </c>
      <c r="B192">
        <v>2</v>
      </c>
      <c r="C192">
        <v>240</v>
      </c>
      <c r="D192">
        <v>0</v>
      </c>
      <c r="E192">
        <v>101</v>
      </c>
      <c r="F192">
        <v>2</v>
      </c>
      <c r="G192">
        <v>195</v>
      </c>
      <c r="H192">
        <v>0</v>
      </c>
      <c r="I192">
        <v>38</v>
      </c>
      <c r="J192" t="s">
        <v>816</v>
      </c>
      <c r="K192">
        <f>+WEEKNUM(AV_PLAN[[#This Row],[Días]])</f>
        <v>35</v>
      </c>
      <c r="L192" s="4">
        <f>IFERROR(AV_PLAN[[#This Row],[INICIO REAL ACUMULADO]]/AV_PLAN[[#This Row],[PLAN ACUMULADO]],"")</f>
        <v>0.42083333333333334</v>
      </c>
      <c r="M192" s="4">
        <f>IFERROR(AV_PLAN[[#This Row],[TERMINO REAL ACUMULADO]]/AV_PLAN[[#This Row],[TERMINO PLAN ACUMULADO]],"")</f>
        <v>0.19487179487179487</v>
      </c>
      <c r="N192">
        <f>+AV_PLAN[[#This Row],[PLAN ACUMULADO]]-AV_PLAN[[#This Row],[INICIO REAL ACUMULADO]]</f>
        <v>139</v>
      </c>
      <c r="O192">
        <f>+AV_PLAN[[#This Row],[TERMINO PLAN ACUMULADO]]-AV_PLAN[[#This Row],[TERMINO REAL ACUMULADO]]</f>
        <v>157</v>
      </c>
      <c r="P19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2" s="7">
        <f>+AV_PLAN[[#This Row],[PLAN ACUMULADO]]/$C$471</f>
        <v>0.34090909090909088</v>
      </c>
      <c r="R192" s="7">
        <f t="shared" si="4"/>
        <v>0.14346590909090909</v>
      </c>
      <c r="S192" s="7">
        <f>+AV_PLAN[[#This Row],[TERMINO PLAN ACUMULADO]]/$G$471</f>
        <v>0.27698863636363635</v>
      </c>
      <c r="T192" s="7">
        <f t="shared" si="5"/>
        <v>5.3977272727272728E-2</v>
      </c>
      <c r="U192" s="7">
        <f>+(AV_PLAN[[#This Row],[%AVANCE INICIO PLANIFICADO]]+AV_PLAN[[#This Row],[%AVANCE TERMINO PLANIFICADO]])/2</f>
        <v>0.30894886363636365</v>
      </c>
    </row>
    <row r="193" spans="1:21" x14ac:dyDescent="0.25">
      <c r="A193" s="1">
        <v>46260</v>
      </c>
      <c r="B193">
        <v>3</v>
      </c>
      <c r="C193">
        <v>243</v>
      </c>
      <c r="D193">
        <v>0</v>
      </c>
      <c r="E193">
        <v>101</v>
      </c>
      <c r="F193">
        <v>3</v>
      </c>
      <c r="G193">
        <v>198</v>
      </c>
      <c r="H193">
        <v>0</v>
      </c>
      <c r="I193">
        <v>38</v>
      </c>
      <c r="J193" t="s">
        <v>816</v>
      </c>
      <c r="K193">
        <f>+WEEKNUM(AV_PLAN[[#This Row],[Días]])</f>
        <v>35</v>
      </c>
      <c r="L193" s="4">
        <f>IFERROR(AV_PLAN[[#This Row],[INICIO REAL ACUMULADO]]/AV_PLAN[[#This Row],[PLAN ACUMULADO]],"")</f>
        <v>0.41563786008230452</v>
      </c>
      <c r="M193" s="4">
        <f>IFERROR(AV_PLAN[[#This Row],[TERMINO REAL ACUMULADO]]/AV_PLAN[[#This Row],[TERMINO PLAN ACUMULADO]],"")</f>
        <v>0.19191919191919191</v>
      </c>
      <c r="N193">
        <f>+AV_PLAN[[#This Row],[PLAN ACUMULADO]]-AV_PLAN[[#This Row],[INICIO REAL ACUMULADO]]</f>
        <v>142</v>
      </c>
      <c r="O193">
        <f>+AV_PLAN[[#This Row],[TERMINO PLAN ACUMULADO]]-AV_PLAN[[#This Row],[TERMINO REAL ACUMULADO]]</f>
        <v>160</v>
      </c>
      <c r="P19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3" s="7">
        <f>+AV_PLAN[[#This Row],[PLAN ACUMULADO]]/$C$471</f>
        <v>0.34517045454545453</v>
      </c>
      <c r="R193" s="7">
        <f t="shared" si="4"/>
        <v>0.14346590909090909</v>
      </c>
      <c r="S193" s="7">
        <f>+AV_PLAN[[#This Row],[TERMINO PLAN ACUMULADO]]/$G$471</f>
        <v>0.28125</v>
      </c>
      <c r="T193" s="7">
        <f t="shared" si="5"/>
        <v>5.3977272727272728E-2</v>
      </c>
      <c r="U193" s="7">
        <f>+(AV_PLAN[[#This Row],[%AVANCE INICIO PLANIFICADO]]+AV_PLAN[[#This Row],[%AVANCE TERMINO PLANIFICADO]])/2</f>
        <v>0.31321022727272729</v>
      </c>
    </row>
    <row r="194" spans="1:21" x14ac:dyDescent="0.25">
      <c r="A194" s="1">
        <v>46261</v>
      </c>
      <c r="B194">
        <v>2</v>
      </c>
      <c r="C194">
        <v>245</v>
      </c>
      <c r="D194">
        <v>0</v>
      </c>
      <c r="E194">
        <v>101</v>
      </c>
      <c r="F194">
        <v>2</v>
      </c>
      <c r="G194">
        <v>200</v>
      </c>
      <c r="H194">
        <v>0</v>
      </c>
      <c r="I194">
        <v>38</v>
      </c>
      <c r="J194" t="s">
        <v>816</v>
      </c>
      <c r="K194">
        <f>+WEEKNUM(AV_PLAN[[#This Row],[Días]])</f>
        <v>35</v>
      </c>
      <c r="L194" s="4">
        <f>IFERROR(AV_PLAN[[#This Row],[INICIO REAL ACUMULADO]]/AV_PLAN[[#This Row],[PLAN ACUMULADO]],"")</f>
        <v>0.41224489795918368</v>
      </c>
      <c r="M194" s="4">
        <f>IFERROR(AV_PLAN[[#This Row],[TERMINO REAL ACUMULADO]]/AV_PLAN[[#This Row],[TERMINO PLAN ACUMULADO]],"")</f>
        <v>0.19</v>
      </c>
      <c r="N194">
        <f>+AV_PLAN[[#This Row],[PLAN ACUMULADO]]-AV_PLAN[[#This Row],[INICIO REAL ACUMULADO]]</f>
        <v>144</v>
      </c>
      <c r="O194">
        <f>+AV_PLAN[[#This Row],[TERMINO PLAN ACUMULADO]]-AV_PLAN[[#This Row],[TERMINO REAL ACUMULADO]]</f>
        <v>162</v>
      </c>
      <c r="P19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4" s="7">
        <f>+AV_PLAN[[#This Row],[PLAN ACUMULADO]]/$C$471</f>
        <v>0.34801136363636365</v>
      </c>
      <c r="R194" s="7">
        <f t="shared" ref="R194:R257" si="6">IF(D194="",NA(),E194/$C$471)</f>
        <v>0.14346590909090909</v>
      </c>
      <c r="S194" s="7">
        <f>+AV_PLAN[[#This Row],[TERMINO PLAN ACUMULADO]]/$G$471</f>
        <v>0.28409090909090912</v>
      </c>
      <c r="T194" s="7">
        <f t="shared" ref="T194:T257" si="7">IF(H194="",NA(),I194/$G$471)</f>
        <v>5.3977272727272728E-2</v>
      </c>
      <c r="U194" s="7">
        <f>+(AV_PLAN[[#This Row],[%AVANCE INICIO PLANIFICADO]]+AV_PLAN[[#This Row],[%AVANCE TERMINO PLANIFICADO]])/2</f>
        <v>0.31605113636363635</v>
      </c>
    </row>
    <row r="195" spans="1:21" x14ac:dyDescent="0.25">
      <c r="A195" s="1">
        <v>46262</v>
      </c>
      <c r="B195">
        <v>3</v>
      </c>
      <c r="C195">
        <v>248</v>
      </c>
      <c r="D195">
        <v>0</v>
      </c>
      <c r="E195">
        <v>101</v>
      </c>
      <c r="F195">
        <v>1</v>
      </c>
      <c r="G195">
        <v>201</v>
      </c>
      <c r="H195">
        <v>0</v>
      </c>
      <c r="I195">
        <v>38</v>
      </c>
      <c r="J195" t="s">
        <v>816</v>
      </c>
      <c r="K195">
        <f>+WEEKNUM(AV_PLAN[[#This Row],[Días]])</f>
        <v>35</v>
      </c>
      <c r="L195" s="4">
        <f>IFERROR(AV_PLAN[[#This Row],[INICIO REAL ACUMULADO]]/AV_PLAN[[#This Row],[PLAN ACUMULADO]],"")</f>
        <v>0.40725806451612906</v>
      </c>
      <c r="M195" s="4">
        <f>IFERROR(AV_PLAN[[#This Row],[TERMINO REAL ACUMULADO]]/AV_PLAN[[#This Row],[TERMINO PLAN ACUMULADO]],"")</f>
        <v>0.1890547263681592</v>
      </c>
      <c r="N195">
        <f>+AV_PLAN[[#This Row],[PLAN ACUMULADO]]-AV_PLAN[[#This Row],[INICIO REAL ACUMULADO]]</f>
        <v>147</v>
      </c>
      <c r="O195">
        <f>+AV_PLAN[[#This Row],[TERMINO PLAN ACUMULADO]]-AV_PLAN[[#This Row],[TERMINO REAL ACUMULADO]]</f>
        <v>163</v>
      </c>
      <c r="P19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5" s="7">
        <f>+AV_PLAN[[#This Row],[PLAN ACUMULADO]]/$C$471</f>
        <v>0.35227272727272729</v>
      </c>
      <c r="R195" s="7">
        <f t="shared" si="6"/>
        <v>0.14346590909090909</v>
      </c>
      <c r="S195" s="7">
        <f>+AV_PLAN[[#This Row],[TERMINO PLAN ACUMULADO]]/$G$471</f>
        <v>0.28551136363636365</v>
      </c>
      <c r="T195" s="7">
        <f t="shared" si="7"/>
        <v>5.3977272727272728E-2</v>
      </c>
      <c r="U195" s="7">
        <f>+(AV_PLAN[[#This Row],[%AVANCE INICIO PLANIFICADO]]+AV_PLAN[[#This Row],[%AVANCE TERMINO PLANIFICADO]])/2</f>
        <v>0.31889204545454547</v>
      </c>
    </row>
    <row r="196" spans="1:21" x14ac:dyDescent="0.25">
      <c r="A196" s="1">
        <v>46263</v>
      </c>
      <c r="B196">
        <v>0</v>
      </c>
      <c r="C196">
        <v>248</v>
      </c>
      <c r="D196">
        <v>0</v>
      </c>
      <c r="E196">
        <v>101</v>
      </c>
      <c r="F196">
        <v>2</v>
      </c>
      <c r="G196">
        <v>203</v>
      </c>
      <c r="H196">
        <v>0</v>
      </c>
      <c r="I196">
        <v>38</v>
      </c>
      <c r="J196" t="s">
        <v>816</v>
      </c>
      <c r="K196">
        <f>+WEEKNUM(AV_PLAN[[#This Row],[Días]])</f>
        <v>35</v>
      </c>
      <c r="L196" s="4">
        <f>IFERROR(AV_PLAN[[#This Row],[INICIO REAL ACUMULADO]]/AV_PLAN[[#This Row],[PLAN ACUMULADO]],"")</f>
        <v>0.40725806451612906</v>
      </c>
      <c r="M196" s="4">
        <f>IFERROR(AV_PLAN[[#This Row],[TERMINO REAL ACUMULADO]]/AV_PLAN[[#This Row],[TERMINO PLAN ACUMULADO]],"")</f>
        <v>0.18719211822660098</v>
      </c>
      <c r="N196">
        <f>+AV_PLAN[[#This Row],[PLAN ACUMULADO]]-AV_PLAN[[#This Row],[INICIO REAL ACUMULADO]]</f>
        <v>147</v>
      </c>
      <c r="O196">
        <f>+AV_PLAN[[#This Row],[TERMINO PLAN ACUMULADO]]-AV_PLAN[[#This Row],[TERMINO REAL ACUMULADO]]</f>
        <v>165</v>
      </c>
      <c r="P19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6" s="7">
        <f>+AV_PLAN[[#This Row],[PLAN ACUMULADO]]/$C$471</f>
        <v>0.35227272727272729</v>
      </c>
      <c r="R196" s="7">
        <f t="shared" si="6"/>
        <v>0.14346590909090909</v>
      </c>
      <c r="S196" s="7">
        <f>+AV_PLAN[[#This Row],[TERMINO PLAN ACUMULADO]]/$G$471</f>
        <v>0.28835227272727271</v>
      </c>
      <c r="T196" s="7">
        <f t="shared" si="7"/>
        <v>5.3977272727272728E-2</v>
      </c>
      <c r="U196" s="7">
        <f>+(AV_PLAN[[#This Row],[%AVANCE INICIO PLANIFICADO]]+AV_PLAN[[#This Row],[%AVANCE TERMINO PLANIFICADO]])/2</f>
        <v>0.3203125</v>
      </c>
    </row>
    <row r="197" spans="1:21" x14ac:dyDescent="0.25">
      <c r="A197" s="1">
        <v>46264</v>
      </c>
      <c r="B197">
        <v>0</v>
      </c>
      <c r="C197">
        <v>248</v>
      </c>
      <c r="D197">
        <v>0</v>
      </c>
      <c r="E197">
        <v>101</v>
      </c>
      <c r="F197">
        <v>3</v>
      </c>
      <c r="G197">
        <v>206</v>
      </c>
      <c r="H197">
        <v>0</v>
      </c>
      <c r="I197">
        <v>38</v>
      </c>
      <c r="J197" t="s">
        <v>816</v>
      </c>
      <c r="K197">
        <f>+WEEKNUM(AV_PLAN[[#This Row],[Días]])</f>
        <v>36</v>
      </c>
      <c r="L197" s="4">
        <f>IFERROR(AV_PLAN[[#This Row],[INICIO REAL ACUMULADO]]/AV_PLAN[[#This Row],[PLAN ACUMULADO]],"")</f>
        <v>0.40725806451612906</v>
      </c>
      <c r="M197" s="4">
        <f>IFERROR(AV_PLAN[[#This Row],[TERMINO REAL ACUMULADO]]/AV_PLAN[[#This Row],[TERMINO PLAN ACUMULADO]],"")</f>
        <v>0.18446601941747573</v>
      </c>
      <c r="N197">
        <f>+AV_PLAN[[#This Row],[PLAN ACUMULADO]]-AV_PLAN[[#This Row],[INICIO REAL ACUMULADO]]</f>
        <v>147</v>
      </c>
      <c r="O197">
        <f>+AV_PLAN[[#This Row],[TERMINO PLAN ACUMULADO]]-AV_PLAN[[#This Row],[TERMINO REAL ACUMULADO]]</f>
        <v>168</v>
      </c>
      <c r="P19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7" s="7">
        <f>+AV_PLAN[[#This Row],[PLAN ACUMULADO]]/$C$471</f>
        <v>0.35227272727272729</v>
      </c>
      <c r="R197" s="7">
        <f t="shared" si="6"/>
        <v>0.14346590909090909</v>
      </c>
      <c r="S197" s="7">
        <f>+AV_PLAN[[#This Row],[TERMINO PLAN ACUMULADO]]/$G$471</f>
        <v>0.29261363636363635</v>
      </c>
      <c r="T197" s="7">
        <f t="shared" si="7"/>
        <v>5.3977272727272728E-2</v>
      </c>
      <c r="U197" s="7">
        <f>+(AV_PLAN[[#This Row],[%AVANCE INICIO PLANIFICADO]]+AV_PLAN[[#This Row],[%AVANCE TERMINO PLANIFICADO]])/2</f>
        <v>0.32244318181818182</v>
      </c>
    </row>
    <row r="198" spans="1:21" x14ac:dyDescent="0.25">
      <c r="A198" s="1">
        <v>46265</v>
      </c>
      <c r="B198">
        <v>2</v>
      </c>
      <c r="C198">
        <v>250</v>
      </c>
      <c r="D198">
        <v>0</v>
      </c>
      <c r="E198">
        <v>101</v>
      </c>
      <c r="F198">
        <v>0</v>
      </c>
      <c r="G198">
        <v>206</v>
      </c>
      <c r="H198">
        <v>0</v>
      </c>
      <c r="I198">
        <v>38</v>
      </c>
      <c r="J198" t="s">
        <v>816</v>
      </c>
      <c r="K198">
        <f>+WEEKNUM(AV_PLAN[[#This Row],[Días]])</f>
        <v>36</v>
      </c>
      <c r="L198" s="4">
        <f>IFERROR(AV_PLAN[[#This Row],[INICIO REAL ACUMULADO]]/AV_PLAN[[#This Row],[PLAN ACUMULADO]],"")</f>
        <v>0.40400000000000003</v>
      </c>
      <c r="M198" s="4">
        <f>IFERROR(AV_PLAN[[#This Row],[TERMINO REAL ACUMULADO]]/AV_PLAN[[#This Row],[TERMINO PLAN ACUMULADO]],"")</f>
        <v>0.18446601941747573</v>
      </c>
      <c r="N198">
        <f>+AV_PLAN[[#This Row],[PLAN ACUMULADO]]-AV_PLAN[[#This Row],[INICIO REAL ACUMULADO]]</f>
        <v>149</v>
      </c>
      <c r="O198">
        <f>+AV_PLAN[[#This Row],[TERMINO PLAN ACUMULADO]]-AV_PLAN[[#This Row],[TERMINO REAL ACUMULADO]]</f>
        <v>168</v>
      </c>
      <c r="P19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8" s="7">
        <f>+AV_PLAN[[#This Row],[PLAN ACUMULADO]]/$C$471</f>
        <v>0.35511363636363635</v>
      </c>
      <c r="R198" s="7">
        <f t="shared" si="6"/>
        <v>0.14346590909090909</v>
      </c>
      <c r="S198" s="7">
        <f>+AV_PLAN[[#This Row],[TERMINO PLAN ACUMULADO]]/$G$471</f>
        <v>0.29261363636363635</v>
      </c>
      <c r="T198" s="7">
        <f t="shared" si="7"/>
        <v>5.3977272727272728E-2</v>
      </c>
      <c r="U198" s="7">
        <f>+(AV_PLAN[[#This Row],[%AVANCE INICIO PLANIFICADO]]+AV_PLAN[[#This Row],[%AVANCE TERMINO PLANIFICADO]])/2</f>
        <v>0.32386363636363635</v>
      </c>
    </row>
    <row r="199" spans="1:21" x14ac:dyDescent="0.25">
      <c r="A199" s="1">
        <v>46266</v>
      </c>
      <c r="B199">
        <v>3</v>
      </c>
      <c r="C199">
        <v>253</v>
      </c>
      <c r="D199">
        <v>0</v>
      </c>
      <c r="E199">
        <v>101</v>
      </c>
      <c r="F199">
        <v>2</v>
      </c>
      <c r="G199">
        <v>208</v>
      </c>
      <c r="H199">
        <v>0</v>
      </c>
      <c r="I199">
        <v>38</v>
      </c>
      <c r="J199" t="s">
        <v>817</v>
      </c>
      <c r="K199">
        <f>+WEEKNUM(AV_PLAN[[#This Row],[Días]])</f>
        <v>36</v>
      </c>
      <c r="L199" s="4">
        <f>IFERROR(AV_PLAN[[#This Row],[INICIO REAL ACUMULADO]]/AV_PLAN[[#This Row],[PLAN ACUMULADO]],"")</f>
        <v>0.39920948616600793</v>
      </c>
      <c r="M199" s="4">
        <f>IFERROR(AV_PLAN[[#This Row],[TERMINO REAL ACUMULADO]]/AV_PLAN[[#This Row],[TERMINO PLAN ACUMULADO]],"")</f>
        <v>0.18269230769230768</v>
      </c>
      <c r="N199">
        <f>+AV_PLAN[[#This Row],[PLAN ACUMULADO]]-AV_PLAN[[#This Row],[INICIO REAL ACUMULADO]]</f>
        <v>152</v>
      </c>
      <c r="O199">
        <f>+AV_PLAN[[#This Row],[TERMINO PLAN ACUMULADO]]-AV_PLAN[[#This Row],[TERMINO REAL ACUMULADO]]</f>
        <v>170</v>
      </c>
      <c r="P1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99" s="7">
        <f>+AV_PLAN[[#This Row],[PLAN ACUMULADO]]/$C$471</f>
        <v>0.359375</v>
      </c>
      <c r="R199" s="7">
        <f t="shared" si="6"/>
        <v>0.14346590909090909</v>
      </c>
      <c r="S199" s="7">
        <f>+AV_PLAN[[#This Row],[TERMINO PLAN ACUMULADO]]/$G$471</f>
        <v>0.29545454545454547</v>
      </c>
      <c r="T199" s="7">
        <f t="shared" si="7"/>
        <v>5.3977272727272728E-2</v>
      </c>
      <c r="U199" s="7">
        <f>+(AV_PLAN[[#This Row],[%AVANCE INICIO PLANIFICADO]]+AV_PLAN[[#This Row],[%AVANCE TERMINO PLANIFICADO]])/2</f>
        <v>0.32741477272727271</v>
      </c>
    </row>
    <row r="200" spans="1:21" x14ac:dyDescent="0.25">
      <c r="A200" s="1">
        <v>46267</v>
      </c>
      <c r="B200">
        <v>3</v>
      </c>
      <c r="C200">
        <v>256</v>
      </c>
      <c r="D200">
        <v>0</v>
      </c>
      <c r="E200">
        <v>101</v>
      </c>
      <c r="F200">
        <v>2</v>
      </c>
      <c r="G200">
        <v>210</v>
      </c>
      <c r="H200">
        <v>0</v>
      </c>
      <c r="I200">
        <v>38</v>
      </c>
      <c r="J200" t="s">
        <v>817</v>
      </c>
      <c r="K200">
        <f>+WEEKNUM(AV_PLAN[[#This Row],[Días]])</f>
        <v>36</v>
      </c>
      <c r="L200" s="4">
        <f>IFERROR(AV_PLAN[[#This Row],[INICIO REAL ACUMULADO]]/AV_PLAN[[#This Row],[PLAN ACUMULADO]],"")</f>
        <v>0.39453125</v>
      </c>
      <c r="M200" s="4">
        <f>IFERROR(AV_PLAN[[#This Row],[TERMINO REAL ACUMULADO]]/AV_PLAN[[#This Row],[TERMINO PLAN ACUMULADO]],"")</f>
        <v>0.18095238095238095</v>
      </c>
      <c r="N200">
        <f>+AV_PLAN[[#This Row],[PLAN ACUMULADO]]-AV_PLAN[[#This Row],[INICIO REAL ACUMULADO]]</f>
        <v>155</v>
      </c>
      <c r="O200">
        <f>+AV_PLAN[[#This Row],[TERMINO PLAN ACUMULADO]]-AV_PLAN[[#This Row],[TERMINO REAL ACUMULADO]]</f>
        <v>172</v>
      </c>
      <c r="P2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0" s="7">
        <f>+AV_PLAN[[#This Row],[PLAN ACUMULADO]]/$C$471</f>
        <v>0.36363636363636365</v>
      </c>
      <c r="R200" s="7">
        <f t="shared" si="6"/>
        <v>0.14346590909090909</v>
      </c>
      <c r="S200" s="7">
        <f>+AV_PLAN[[#This Row],[TERMINO PLAN ACUMULADO]]/$G$471</f>
        <v>0.29829545454545453</v>
      </c>
      <c r="T200" s="7">
        <f t="shared" si="7"/>
        <v>5.3977272727272728E-2</v>
      </c>
      <c r="U200" s="7">
        <f>+(AV_PLAN[[#This Row],[%AVANCE INICIO PLANIFICADO]]+AV_PLAN[[#This Row],[%AVANCE TERMINO PLANIFICADO]])/2</f>
        <v>0.33096590909090906</v>
      </c>
    </row>
    <row r="201" spans="1:21" x14ac:dyDescent="0.25">
      <c r="A201" s="1">
        <v>46268</v>
      </c>
      <c r="B201">
        <v>3</v>
      </c>
      <c r="C201">
        <v>259</v>
      </c>
      <c r="D201">
        <v>0</v>
      </c>
      <c r="E201">
        <v>101</v>
      </c>
      <c r="F201">
        <v>3</v>
      </c>
      <c r="G201">
        <v>213</v>
      </c>
      <c r="H201">
        <v>0</v>
      </c>
      <c r="I201">
        <v>38</v>
      </c>
      <c r="J201" t="s">
        <v>817</v>
      </c>
      <c r="K201">
        <f>+WEEKNUM(AV_PLAN[[#This Row],[Días]])</f>
        <v>36</v>
      </c>
      <c r="L201" s="4">
        <f>IFERROR(AV_PLAN[[#This Row],[INICIO REAL ACUMULADO]]/AV_PLAN[[#This Row],[PLAN ACUMULADO]],"")</f>
        <v>0.38996138996138996</v>
      </c>
      <c r="M201" s="4">
        <f>IFERROR(AV_PLAN[[#This Row],[TERMINO REAL ACUMULADO]]/AV_PLAN[[#This Row],[TERMINO PLAN ACUMULADO]],"")</f>
        <v>0.17840375586854459</v>
      </c>
      <c r="N201">
        <f>+AV_PLAN[[#This Row],[PLAN ACUMULADO]]-AV_PLAN[[#This Row],[INICIO REAL ACUMULADO]]</f>
        <v>158</v>
      </c>
      <c r="O201">
        <f>+AV_PLAN[[#This Row],[TERMINO PLAN ACUMULADO]]-AV_PLAN[[#This Row],[TERMINO REAL ACUMULADO]]</f>
        <v>175</v>
      </c>
      <c r="P2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1" s="7">
        <f>+AV_PLAN[[#This Row],[PLAN ACUMULADO]]/$C$471</f>
        <v>0.36789772727272729</v>
      </c>
      <c r="R201" s="7">
        <f t="shared" si="6"/>
        <v>0.14346590909090909</v>
      </c>
      <c r="S201" s="7">
        <f>+AV_PLAN[[#This Row],[TERMINO PLAN ACUMULADO]]/$G$471</f>
        <v>0.30255681818181818</v>
      </c>
      <c r="T201" s="7">
        <f t="shared" si="7"/>
        <v>5.3977272727272728E-2</v>
      </c>
      <c r="U201" s="7">
        <f>+(AV_PLAN[[#This Row],[%AVANCE INICIO PLANIFICADO]]+AV_PLAN[[#This Row],[%AVANCE TERMINO PLANIFICADO]])/2</f>
        <v>0.33522727272727271</v>
      </c>
    </row>
    <row r="202" spans="1:21" x14ac:dyDescent="0.25">
      <c r="A202" s="1">
        <v>46269</v>
      </c>
      <c r="B202">
        <v>3</v>
      </c>
      <c r="C202">
        <v>262</v>
      </c>
      <c r="D202">
        <v>0</v>
      </c>
      <c r="E202">
        <v>101</v>
      </c>
      <c r="F202">
        <v>0</v>
      </c>
      <c r="G202">
        <v>213</v>
      </c>
      <c r="H202">
        <v>0</v>
      </c>
      <c r="I202">
        <v>38</v>
      </c>
      <c r="J202" t="s">
        <v>817</v>
      </c>
      <c r="K202">
        <f>+WEEKNUM(AV_PLAN[[#This Row],[Días]])</f>
        <v>36</v>
      </c>
      <c r="L202" s="4">
        <f>IFERROR(AV_PLAN[[#This Row],[INICIO REAL ACUMULADO]]/AV_PLAN[[#This Row],[PLAN ACUMULADO]],"")</f>
        <v>0.38549618320610685</v>
      </c>
      <c r="M202" s="4">
        <f>IFERROR(AV_PLAN[[#This Row],[TERMINO REAL ACUMULADO]]/AV_PLAN[[#This Row],[TERMINO PLAN ACUMULADO]],"")</f>
        <v>0.17840375586854459</v>
      </c>
      <c r="N202">
        <f>+AV_PLAN[[#This Row],[PLAN ACUMULADO]]-AV_PLAN[[#This Row],[INICIO REAL ACUMULADO]]</f>
        <v>161</v>
      </c>
      <c r="O202">
        <f>+AV_PLAN[[#This Row],[TERMINO PLAN ACUMULADO]]-AV_PLAN[[#This Row],[TERMINO REAL ACUMULADO]]</f>
        <v>175</v>
      </c>
      <c r="P20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2" s="7">
        <f>+AV_PLAN[[#This Row],[PLAN ACUMULADO]]/$C$471</f>
        <v>0.37215909090909088</v>
      </c>
      <c r="R202" s="7">
        <f t="shared" si="6"/>
        <v>0.14346590909090909</v>
      </c>
      <c r="S202" s="7">
        <f>+AV_PLAN[[#This Row],[TERMINO PLAN ACUMULADO]]/$G$471</f>
        <v>0.30255681818181818</v>
      </c>
      <c r="T202" s="7">
        <f t="shared" si="7"/>
        <v>5.3977272727272728E-2</v>
      </c>
      <c r="U202" s="7">
        <f>+(AV_PLAN[[#This Row],[%AVANCE INICIO PLANIFICADO]]+AV_PLAN[[#This Row],[%AVANCE TERMINO PLANIFICADO]])/2</f>
        <v>0.33735795454545453</v>
      </c>
    </row>
    <row r="203" spans="1:21" x14ac:dyDescent="0.25">
      <c r="A203" s="1">
        <v>46270</v>
      </c>
      <c r="B203">
        <v>0</v>
      </c>
      <c r="C203">
        <v>262</v>
      </c>
      <c r="D203">
        <v>0</v>
      </c>
      <c r="E203">
        <v>101</v>
      </c>
      <c r="F203">
        <v>2</v>
      </c>
      <c r="G203">
        <v>215</v>
      </c>
      <c r="H203">
        <v>0</v>
      </c>
      <c r="I203">
        <v>38</v>
      </c>
      <c r="J203" t="s">
        <v>817</v>
      </c>
      <c r="K203">
        <f>+WEEKNUM(AV_PLAN[[#This Row],[Días]])</f>
        <v>36</v>
      </c>
      <c r="L203" s="4">
        <f>IFERROR(AV_PLAN[[#This Row],[INICIO REAL ACUMULADO]]/AV_PLAN[[#This Row],[PLAN ACUMULADO]],"")</f>
        <v>0.38549618320610685</v>
      </c>
      <c r="M203" s="4">
        <f>IFERROR(AV_PLAN[[#This Row],[TERMINO REAL ACUMULADO]]/AV_PLAN[[#This Row],[TERMINO PLAN ACUMULADO]],"")</f>
        <v>0.17674418604651163</v>
      </c>
      <c r="N203">
        <f>+AV_PLAN[[#This Row],[PLAN ACUMULADO]]-AV_PLAN[[#This Row],[INICIO REAL ACUMULADO]]</f>
        <v>161</v>
      </c>
      <c r="O203">
        <f>+AV_PLAN[[#This Row],[TERMINO PLAN ACUMULADO]]-AV_PLAN[[#This Row],[TERMINO REAL ACUMULADO]]</f>
        <v>177</v>
      </c>
      <c r="P20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3" s="7">
        <f>+AV_PLAN[[#This Row],[PLAN ACUMULADO]]/$C$471</f>
        <v>0.37215909090909088</v>
      </c>
      <c r="R203" s="7">
        <f t="shared" si="6"/>
        <v>0.14346590909090909</v>
      </c>
      <c r="S203" s="7">
        <f>+AV_PLAN[[#This Row],[TERMINO PLAN ACUMULADO]]/$G$471</f>
        <v>0.30539772727272729</v>
      </c>
      <c r="T203" s="7">
        <f t="shared" si="7"/>
        <v>5.3977272727272728E-2</v>
      </c>
      <c r="U203" s="7">
        <f>+(AV_PLAN[[#This Row],[%AVANCE INICIO PLANIFICADO]]+AV_PLAN[[#This Row],[%AVANCE TERMINO PLANIFICADO]])/2</f>
        <v>0.33877840909090906</v>
      </c>
    </row>
    <row r="204" spans="1:21" x14ac:dyDescent="0.25">
      <c r="A204" s="1">
        <v>46271</v>
      </c>
      <c r="B204">
        <v>0</v>
      </c>
      <c r="C204">
        <v>262</v>
      </c>
      <c r="D204">
        <v>0</v>
      </c>
      <c r="E204">
        <v>101</v>
      </c>
      <c r="F204">
        <v>3</v>
      </c>
      <c r="G204">
        <v>218</v>
      </c>
      <c r="H204">
        <v>0</v>
      </c>
      <c r="I204">
        <v>38</v>
      </c>
      <c r="J204" t="s">
        <v>817</v>
      </c>
      <c r="K204">
        <f>+WEEKNUM(AV_PLAN[[#This Row],[Días]])</f>
        <v>37</v>
      </c>
      <c r="L204" s="4">
        <f>IFERROR(AV_PLAN[[#This Row],[INICIO REAL ACUMULADO]]/AV_PLAN[[#This Row],[PLAN ACUMULADO]],"")</f>
        <v>0.38549618320610685</v>
      </c>
      <c r="M204" s="4">
        <f>IFERROR(AV_PLAN[[#This Row],[TERMINO REAL ACUMULADO]]/AV_PLAN[[#This Row],[TERMINO PLAN ACUMULADO]],"")</f>
        <v>0.1743119266055046</v>
      </c>
      <c r="N204">
        <f>+AV_PLAN[[#This Row],[PLAN ACUMULADO]]-AV_PLAN[[#This Row],[INICIO REAL ACUMULADO]]</f>
        <v>161</v>
      </c>
      <c r="O204">
        <f>+AV_PLAN[[#This Row],[TERMINO PLAN ACUMULADO]]-AV_PLAN[[#This Row],[TERMINO REAL ACUMULADO]]</f>
        <v>180</v>
      </c>
      <c r="P2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4" s="7">
        <f>+AV_PLAN[[#This Row],[PLAN ACUMULADO]]/$C$471</f>
        <v>0.37215909090909088</v>
      </c>
      <c r="R204" s="7">
        <f t="shared" si="6"/>
        <v>0.14346590909090909</v>
      </c>
      <c r="S204" s="7">
        <f>+AV_PLAN[[#This Row],[TERMINO PLAN ACUMULADO]]/$G$471</f>
        <v>0.30965909090909088</v>
      </c>
      <c r="T204" s="7">
        <f t="shared" si="7"/>
        <v>5.3977272727272728E-2</v>
      </c>
      <c r="U204" s="7">
        <f>+(AV_PLAN[[#This Row],[%AVANCE INICIO PLANIFICADO]]+AV_PLAN[[#This Row],[%AVANCE TERMINO PLANIFICADO]])/2</f>
        <v>0.34090909090909088</v>
      </c>
    </row>
    <row r="205" spans="1:21" x14ac:dyDescent="0.25">
      <c r="A205" s="1">
        <v>46272</v>
      </c>
      <c r="B205">
        <v>3</v>
      </c>
      <c r="C205">
        <v>265</v>
      </c>
      <c r="D205">
        <v>0</v>
      </c>
      <c r="E205">
        <v>101</v>
      </c>
      <c r="F205">
        <v>1</v>
      </c>
      <c r="G205">
        <v>219</v>
      </c>
      <c r="H205">
        <v>0</v>
      </c>
      <c r="I205">
        <v>38</v>
      </c>
      <c r="J205" t="s">
        <v>817</v>
      </c>
      <c r="K205">
        <f>+WEEKNUM(AV_PLAN[[#This Row],[Días]])</f>
        <v>37</v>
      </c>
      <c r="L205" s="4">
        <f>IFERROR(AV_PLAN[[#This Row],[INICIO REAL ACUMULADO]]/AV_PLAN[[#This Row],[PLAN ACUMULADO]],"")</f>
        <v>0.38113207547169814</v>
      </c>
      <c r="M205" s="4">
        <f>IFERROR(AV_PLAN[[#This Row],[TERMINO REAL ACUMULADO]]/AV_PLAN[[#This Row],[TERMINO PLAN ACUMULADO]],"")</f>
        <v>0.17351598173515981</v>
      </c>
      <c r="N205">
        <f>+AV_PLAN[[#This Row],[PLAN ACUMULADO]]-AV_PLAN[[#This Row],[INICIO REAL ACUMULADO]]</f>
        <v>164</v>
      </c>
      <c r="O205">
        <f>+AV_PLAN[[#This Row],[TERMINO PLAN ACUMULADO]]-AV_PLAN[[#This Row],[TERMINO REAL ACUMULADO]]</f>
        <v>181</v>
      </c>
      <c r="P2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5" s="7">
        <f>+AV_PLAN[[#This Row],[PLAN ACUMULADO]]/$C$471</f>
        <v>0.37642045454545453</v>
      </c>
      <c r="R205" s="7">
        <f t="shared" si="6"/>
        <v>0.14346590909090909</v>
      </c>
      <c r="S205" s="7">
        <f>+AV_PLAN[[#This Row],[TERMINO PLAN ACUMULADO]]/$G$471</f>
        <v>0.31107954545454547</v>
      </c>
      <c r="T205" s="7">
        <f t="shared" si="7"/>
        <v>5.3977272727272728E-2</v>
      </c>
      <c r="U205" s="7">
        <f>+(AV_PLAN[[#This Row],[%AVANCE INICIO PLANIFICADO]]+AV_PLAN[[#This Row],[%AVANCE TERMINO PLANIFICADO]])/2</f>
        <v>0.34375</v>
      </c>
    </row>
    <row r="206" spans="1:21" x14ac:dyDescent="0.25">
      <c r="A206" s="1">
        <v>46273</v>
      </c>
      <c r="B206">
        <v>3</v>
      </c>
      <c r="C206">
        <v>268</v>
      </c>
      <c r="D206">
        <v>0</v>
      </c>
      <c r="E206">
        <v>101</v>
      </c>
      <c r="F206">
        <v>1</v>
      </c>
      <c r="G206">
        <v>220</v>
      </c>
      <c r="H206">
        <v>0</v>
      </c>
      <c r="I206">
        <v>38</v>
      </c>
      <c r="J206" t="s">
        <v>817</v>
      </c>
      <c r="K206">
        <f>+WEEKNUM(AV_PLAN[[#This Row],[Días]])</f>
        <v>37</v>
      </c>
      <c r="L206" s="4">
        <f>IFERROR(AV_PLAN[[#This Row],[INICIO REAL ACUMULADO]]/AV_PLAN[[#This Row],[PLAN ACUMULADO]],"")</f>
        <v>0.37686567164179102</v>
      </c>
      <c r="M206" s="4">
        <f>IFERROR(AV_PLAN[[#This Row],[TERMINO REAL ACUMULADO]]/AV_PLAN[[#This Row],[TERMINO PLAN ACUMULADO]],"")</f>
        <v>0.17272727272727273</v>
      </c>
      <c r="N206">
        <f>+AV_PLAN[[#This Row],[PLAN ACUMULADO]]-AV_PLAN[[#This Row],[INICIO REAL ACUMULADO]]</f>
        <v>167</v>
      </c>
      <c r="O206">
        <f>+AV_PLAN[[#This Row],[TERMINO PLAN ACUMULADO]]-AV_PLAN[[#This Row],[TERMINO REAL ACUMULADO]]</f>
        <v>182</v>
      </c>
      <c r="P2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6" s="7">
        <f>+AV_PLAN[[#This Row],[PLAN ACUMULADO]]/$C$471</f>
        <v>0.38068181818181818</v>
      </c>
      <c r="R206" s="7">
        <f t="shared" si="6"/>
        <v>0.14346590909090909</v>
      </c>
      <c r="S206" s="7">
        <f>+AV_PLAN[[#This Row],[TERMINO PLAN ACUMULADO]]/$G$471</f>
        <v>0.3125</v>
      </c>
      <c r="T206" s="7">
        <f t="shared" si="7"/>
        <v>5.3977272727272728E-2</v>
      </c>
      <c r="U206" s="7">
        <f>+(AV_PLAN[[#This Row],[%AVANCE INICIO PLANIFICADO]]+AV_PLAN[[#This Row],[%AVANCE TERMINO PLANIFICADO]])/2</f>
        <v>0.34659090909090906</v>
      </c>
    </row>
    <row r="207" spans="1:21" x14ac:dyDescent="0.25">
      <c r="A207" s="1">
        <v>46274</v>
      </c>
      <c r="B207">
        <v>3</v>
      </c>
      <c r="C207">
        <v>271</v>
      </c>
      <c r="D207">
        <v>0</v>
      </c>
      <c r="E207">
        <v>101</v>
      </c>
      <c r="F207">
        <v>3</v>
      </c>
      <c r="G207">
        <v>223</v>
      </c>
      <c r="H207">
        <v>0</v>
      </c>
      <c r="I207">
        <v>38</v>
      </c>
      <c r="J207" t="s">
        <v>817</v>
      </c>
      <c r="K207">
        <f>+WEEKNUM(AV_PLAN[[#This Row],[Días]])</f>
        <v>37</v>
      </c>
      <c r="L207" s="4">
        <f>IFERROR(AV_PLAN[[#This Row],[INICIO REAL ACUMULADO]]/AV_PLAN[[#This Row],[PLAN ACUMULADO]],"")</f>
        <v>0.37269372693726938</v>
      </c>
      <c r="M207" s="4">
        <f>IFERROR(AV_PLAN[[#This Row],[TERMINO REAL ACUMULADO]]/AV_PLAN[[#This Row],[TERMINO PLAN ACUMULADO]],"")</f>
        <v>0.17040358744394618</v>
      </c>
      <c r="N207">
        <f>+AV_PLAN[[#This Row],[PLAN ACUMULADO]]-AV_PLAN[[#This Row],[INICIO REAL ACUMULADO]]</f>
        <v>170</v>
      </c>
      <c r="O207">
        <f>+AV_PLAN[[#This Row],[TERMINO PLAN ACUMULADO]]-AV_PLAN[[#This Row],[TERMINO REAL ACUMULADO]]</f>
        <v>185</v>
      </c>
      <c r="P2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7" s="7">
        <f>+AV_PLAN[[#This Row],[PLAN ACUMULADO]]/$C$471</f>
        <v>0.38494318181818182</v>
      </c>
      <c r="R207" s="7">
        <f t="shared" si="6"/>
        <v>0.14346590909090909</v>
      </c>
      <c r="S207" s="7">
        <f>+AV_PLAN[[#This Row],[TERMINO PLAN ACUMULADO]]/$G$471</f>
        <v>0.31676136363636365</v>
      </c>
      <c r="T207" s="7">
        <f t="shared" si="7"/>
        <v>5.3977272727272728E-2</v>
      </c>
      <c r="U207" s="7">
        <f>+(AV_PLAN[[#This Row],[%AVANCE INICIO PLANIFICADO]]+AV_PLAN[[#This Row],[%AVANCE TERMINO PLANIFICADO]])/2</f>
        <v>0.35085227272727271</v>
      </c>
    </row>
    <row r="208" spans="1:21" x14ac:dyDescent="0.25">
      <c r="A208" s="1">
        <v>46275</v>
      </c>
      <c r="B208">
        <v>3</v>
      </c>
      <c r="C208">
        <v>274</v>
      </c>
      <c r="D208">
        <v>0</v>
      </c>
      <c r="E208">
        <v>101</v>
      </c>
      <c r="F208">
        <v>2</v>
      </c>
      <c r="G208">
        <v>225</v>
      </c>
      <c r="H208">
        <v>0</v>
      </c>
      <c r="I208">
        <v>38</v>
      </c>
      <c r="J208" t="s">
        <v>817</v>
      </c>
      <c r="K208">
        <f>+WEEKNUM(AV_PLAN[[#This Row],[Días]])</f>
        <v>37</v>
      </c>
      <c r="L208" s="4">
        <f>IFERROR(AV_PLAN[[#This Row],[INICIO REAL ACUMULADO]]/AV_PLAN[[#This Row],[PLAN ACUMULADO]],"")</f>
        <v>0.36861313868613138</v>
      </c>
      <c r="M208" s="4">
        <f>IFERROR(AV_PLAN[[#This Row],[TERMINO REAL ACUMULADO]]/AV_PLAN[[#This Row],[TERMINO PLAN ACUMULADO]],"")</f>
        <v>0.16888888888888889</v>
      </c>
      <c r="N208">
        <f>+AV_PLAN[[#This Row],[PLAN ACUMULADO]]-AV_PLAN[[#This Row],[INICIO REAL ACUMULADO]]</f>
        <v>173</v>
      </c>
      <c r="O208">
        <f>+AV_PLAN[[#This Row],[TERMINO PLAN ACUMULADO]]-AV_PLAN[[#This Row],[TERMINO REAL ACUMULADO]]</f>
        <v>187</v>
      </c>
      <c r="P2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8" s="7">
        <f>+AV_PLAN[[#This Row],[PLAN ACUMULADO]]/$C$471</f>
        <v>0.38920454545454547</v>
      </c>
      <c r="R208" s="7">
        <f t="shared" si="6"/>
        <v>0.14346590909090909</v>
      </c>
      <c r="S208" s="7">
        <f>+AV_PLAN[[#This Row],[TERMINO PLAN ACUMULADO]]/$G$471</f>
        <v>0.31960227272727271</v>
      </c>
      <c r="T208" s="7">
        <f t="shared" si="7"/>
        <v>5.3977272727272728E-2</v>
      </c>
      <c r="U208" s="7">
        <f>+(AV_PLAN[[#This Row],[%AVANCE INICIO PLANIFICADO]]+AV_PLAN[[#This Row],[%AVANCE TERMINO PLANIFICADO]])/2</f>
        <v>0.35440340909090906</v>
      </c>
    </row>
    <row r="209" spans="1:21" x14ac:dyDescent="0.25">
      <c r="A209" s="1">
        <v>46276</v>
      </c>
      <c r="B209">
        <v>3</v>
      </c>
      <c r="C209">
        <v>277</v>
      </c>
      <c r="D209">
        <v>0</v>
      </c>
      <c r="E209">
        <v>101</v>
      </c>
      <c r="F209">
        <v>1</v>
      </c>
      <c r="G209">
        <v>226</v>
      </c>
      <c r="H209">
        <v>0</v>
      </c>
      <c r="I209">
        <v>38</v>
      </c>
      <c r="J209" t="s">
        <v>817</v>
      </c>
      <c r="K209">
        <f>+WEEKNUM(AV_PLAN[[#This Row],[Días]])</f>
        <v>37</v>
      </c>
      <c r="L209" s="4">
        <f>IFERROR(AV_PLAN[[#This Row],[INICIO REAL ACUMULADO]]/AV_PLAN[[#This Row],[PLAN ACUMULADO]],"")</f>
        <v>0.36462093862815886</v>
      </c>
      <c r="M209" s="4">
        <f>IFERROR(AV_PLAN[[#This Row],[TERMINO REAL ACUMULADO]]/AV_PLAN[[#This Row],[TERMINO PLAN ACUMULADO]],"")</f>
        <v>0.16814159292035399</v>
      </c>
      <c r="N209">
        <f>+AV_PLAN[[#This Row],[PLAN ACUMULADO]]-AV_PLAN[[#This Row],[INICIO REAL ACUMULADO]]</f>
        <v>176</v>
      </c>
      <c r="O209">
        <f>+AV_PLAN[[#This Row],[TERMINO PLAN ACUMULADO]]-AV_PLAN[[#This Row],[TERMINO REAL ACUMULADO]]</f>
        <v>188</v>
      </c>
      <c r="P20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9" s="7">
        <f>+AV_PLAN[[#This Row],[PLAN ACUMULADO]]/$C$471</f>
        <v>0.39346590909090912</v>
      </c>
      <c r="R209" s="7">
        <f t="shared" si="6"/>
        <v>0.14346590909090909</v>
      </c>
      <c r="S209" s="7">
        <f>+AV_PLAN[[#This Row],[TERMINO PLAN ACUMULADO]]/$G$471</f>
        <v>0.32102272727272729</v>
      </c>
      <c r="T209" s="7">
        <f t="shared" si="7"/>
        <v>5.3977272727272728E-2</v>
      </c>
      <c r="U209" s="7">
        <f>+(AV_PLAN[[#This Row],[%AVANCE INICIO PLANIFICADO]]+AV_PLAN[[#This Row],[%AVANCE TERMINO PLANIFICADO]])/2</f>
        <v>0.35724431818181823</v>
      </c>
    </row>
    <row r="210" spans="1:21" x14ac:dyDescent="0.25">
      <c r="A210" s="1">
        <v>46277</v>
      </c>
      <c r="B210">
        <v>0</v>
      </c>
      <c r="C210">
        <v>277</v>
      </c>
      <c r="D210">
        <v>0</v>
      </c>
      <c r="E210">
        <v>101</v>
      </c>
      <c r="F210">
        <v>1</v>
      </c>
      <c r="G210">
        <v>227</v>
      </c>
      <c r="H210">
        <v>0</v>
      </c>
      <c r="I210">
        <v>38</v>
      </c>
      <c r="J210" t="s">
        <v>817</v>
      </c>
      <c r="K210">
        <f>+WEEKNUM(AV_PLAN[[#This Row],[Días]])</f>
        <v>37</v>
      </c>
      <c r="L210" s="4">
        <f>IFERROR(AV_PLAN[[#This Row],[INICIO REAL ACUMULADO]]/AV_PLAN[[#This Row],[PLAN ACUMULADO]],"")</f>
        <v>0.36462093862815886</v>
      </c>
      <c r="M210" s="4">
        <f>IFERROR(AV_PLAN[[#This Row],[TERMINO REAL ACUMULADO]]/AV_PLAN[[#This Row],[TERMINO PLAN ACUMULADO]],"")</f>
        <v>0.16740088105726872</v>
      </c>
      <c r="N210">
        <f>+AV_PLAN[[#This Row],[PLAN ACUMULADO]]-AV_PLAN[[#This Row],[INICIO REAL ACUMULADO]]</f>
        <v>176</v>
      </c>
      <c r="O210">
        <f>+AV_PLAN[[#This Row],[TERMINO PLAN ACUMULADO]]-AV_PLAN[[#This Row],[TERMINO REAL ACUMULADO]]</f>
        <v>189</v>
      </c>
      <c r="P21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0" s="7">
        <f>+AV_PLAN[[#This Row],[PLAN ACUMULADO]]/$C$471</f>
        <v>0.39346590909090912</v>
      </c>
      <c r="R210" s="7">
        <f t="shared" si="6"/>
        <v>0.14346590909090909</v>
      </c>
      <c r="S210" s="7">
        <f>+AV_PLAN[[#This Row],[TERMINO PLAN ACUMULADO]]/$G$471</f>
        <v>0.32244318181818182</v>
      </c>
      <c r="T210" s="7">
        <f t="shared" si="7"/>
        <v>5.3977272727272728E-2</v>
      </c>
      <c r="U210" s="7">
        <f>+(AV_PLAN[[#This Row],[%AVANCE INICIO PLANIFICADO]]+AV_PLAN[[#This Row],[%AVANCE TERMINO PLANIFICADO]])/2</f>
        <v>0.35795454545454547</v>
      </c>
    </row>
    <row r="211" spans="1:21" x14ac:dyDescent="0.25">
      <c r="A211" s="1">
        <v>46278</v>
      </c>
      <c r="B211">
        <v>0</v>
      </c>
      <c r="C211">
        <v>277</v>
      </c>
      <c r="D211">
        <v>0</v>
      </c>
      <c r="E211">
        <v>101</v>
      </c>
      <c r="F211">
        <v>4</v>
      </c>
      <c r="G211">
        <v>231</v>
      </c>
      <c r="H211">
        <v>0</v>
      </c>
      <c r="I211">
        <v>38</v>
      </c>
      <c r="J211" t="s">
        <v>817</v>
      </c>
      <c r="K211">
        <f>+WEEKNUM(AV_PLAN[[#This Row],[Días]])</f>
        <v>38</v>
      </c>
      <c r="L211" s="4">
        <f>IFERROR(AV_PLAN[[#This Row],[INICIO REAL ACUMULADO]]/AV_PLAN[[#This Row],[PLAN ACUMULADO]],"")</f>
        <v>0.36462093862815886</v>
      </c>
      <c r="M211" s="4">
        <f>IFERROR(AV_PLAN[[#This Row],[TERMINO REAL ACUMULADO]]/AV_PLAN[[#This Row],[TERMINO PLAN ACUMULADO]],"")</f>
        <v>0.16450216450216451</v>
      </c>
      <c r="N211">
        <f>+AV_PLAN[[#This Row],[PLAN ACUMULADO]]-AV_PLAN[[#This Row],[INICIO REAL ACUMULADO]]</f>
        <v>176</v>
      </c>
      <c r="O211">
        <f>+AV_PLAN[[#This Row],[TERMINO PLAN ACUMULADO]]-AV_PLAN[[#This Row],[TERMINO REAL ACUMULADO]]</f>
        <v>193</v>
      </c>
      <c r="P2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1" s="7">
        <f>+AV_PLAN[[#This Row],[PLAN ACUMULADO]]/$C$471</f>
        <v>0.39346590909090912</v>
      </c>
      <c r="R211" s="7">
        <f t="shared" si="6"/>
        <v>0.14346590909090909</v>
      </c>
      <c r="S211" s="7">
        <f>+AV_PLAN[[#This Row],[TERMINO PLAN ACUMULADO]]/$G$471</f>
        <v>0.328125</v>
      </c>
      <c r="T211" s="7">
        <f t="shared" si="7"/>
        <v>5.3977272727272728E-2</v>
      </c>
      <c r="U211" s="7">
        <f>+(AV_PLAN[[#This Row],[%AVANCE INICIO PLANIFICADO]]+AV_PLAN[[#This Row],[%AVANCE TERMINO PLANIFICADO]])/2</f>
        <v>0.36079545454545459</v>
      </c>
    </row>
    <row r="212" spans="1:21" x14ac:dyDescent="0.25">
      <c r="A212" s="1">
        <v>46279</v>
      </c>
      <c r="B212">
        <v>3</v>
      </c>
      <c r="C212">
        <v>280</v>
      </c>
      <c r="D212">
        <v>0</v>
      </c>
      <c r="E212">
        <v>101</v>
      </c>
      <c r="F212">
        <v>1</v>
      </c>
      <c r="G212">
        <v>232</v>
      </c>
      <c r="H212">
        <v>0</v>
      </c>
      <c r="I212">
        <v>38</v>
      </c>
      <c r="J212" t="s">
        <v>817</v>
      </c>
      <c r="K212">
        <f>+WEEKNUM(AV_PLAN[[#This Row],[Días]])</f>
        <v>38</v>
      </c>
      <c r="L212" s="4">
        <f>IFERROR(AV_PLAN[[#This Row],[INICIO REAL ACUMULADO]]/AV_PLAN[[#This Row],[PLAN ACUMULADO]],"")</f>
        <v>0.36071428571428571</v>
      </c>
      <c r="M212" s="4">
        <f>IFERROR(AV_PLAN[[#This Row],[TERMINO REAL ACUMULADO]]/AV_PLAN[[#This Row],[TERMINO PLAN ACUMULADO]],"")</f>
        <v>0.16379310344827586</v>
      </c>
      <c r="N212">
        <f>+AV_PLAN[[#This Row],[PLAN ACUMULADO]]-AV_PLAN[[#This Row],[INICIO REAL ACUMULADO]]</f>
        <v>179</v>
      </c>
      <c r="O212">
        <f>+AV_PLAN[[#This Row],[TERMINO PLAN ACUMULADO]]-AV_PLAN[[#This Row],[TERMINO REAL ACUMULADO]]</f>
        <v>194</v>
      </c>
      <c r="P2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2" s="7">
        <f>+AV_PLAN[[#This Row],[PLAN ACUMULADO]]/$C$471</f>
        <v>0.39772727272727271</v>
      </c>
      <c r="R212" s="7">
        <f t="shared" si="6"/>
        <v>0.14346590909090909</v>
      </c>
      <c r="S212" s="7">
        <f>+AV_PLAN[[#This Row],[TERMINO PLAN ACUMULADO]]/$G$471</f>
        <v>0.32954545454545453</v>
      </c>
      <c r="T212" s="7">
        <f t="shared" si="7"/>
        <v>5.3977272727272728E-2</v>
      </c>
      <c r="U212" s="7">
        <f>+(AV_PLAN[[#This Row],[%AVANCE INICIO PLANIFICADO]]+AV_PLAN[[#This Row],[%AVANCE TERMINO PLANIFICADO]])/2</f>
        <v>0.36363636363636365</v>
      </c>
    </row>
    <row r="213" spans="1:21" x14ac:dyDescent="0.25">
      <c r="A213" s="1">
        <v>46280</v>
      </c>
      <c r="B213">
        <v>3</v>
      </c>
      <c r="C213">
        <v>283</v>
      </c>
      <c r="D213">
        <v>0</v>
      </c>
      <c r="E213">
        <v>101</v>
      </c>
      <c r="F213">
        <v>1</v>
      </c>
      <c r="G213">
        <v>233</v>
      </c>
      <c r="H213">
        <v>0</v>
      </c>
      <c r="I213">
        <v>38</v>
      </c>
      <c r="J213" t="s">
        <v>817</v>
      </c>
      <c r="K213">
        <f>+WEEKNUM(AV_PLAN[[#This Row],[Días]])</f>
        <v>38</v>
      </c>
      <c r="L213" s="4">
        <f>IFERROR(AV_PLAN[[#This Row],[INICIO REAL ACUMULADO]]/AV_PLAN[[#This Row],[PLAN ACUMULADO]],"")</f>
        <v>0.35689045936395758</v>
      </c>
      <c r="M213" s="4">
        <f>IFERROR(AV_PLAN[[#This Row],[TERMINO REAL ACUMULADO]]/AV_PLAN[[#This Row],[TERMINO PLAN ACUMULADO]],"")</f>
        <v>0.1630901287553648</v>
      </c>
      <c r="N213">
        <f>+AV_PLAN[[#This Row],[PLAN ACUMULADO]]-AV_PLAN[[#This Row],[INICIO REAL ACUMULADO]]</f>
        <v>182</v>
      </c>
      <c r="O213">
        <f>+AV_PLAN[[#This Row],[TERMINO PLAN ACUMULADO]]-AV_PLAN[[#This Row],[TERMINO REAL ACUMULADO]]</f>
        <v>195</v>
      </c>
      <c r="P2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3" s="7">
        <f>+AV_PLAN[[#This Row],[PLAN ACUMULADO]]/$C$471</f>
        <v>0.40198863636363635</v>
      </c>
      <c r="R213" s="7">
        <f t="shared" si="6"/>
        <v>0.14346590909090909</v>
      </c>
      <c r="S213" s="7">
        <f>+AV_PLAN[[#This Row],[TERMINO PLAN ACUMULADO]]/$G$471</f>
        <v>0.33096590909090912</v>
      </c>
      <c r="T213" s="7">
        <f t="shared" si="7"/>
        <v>5.3977272727272728E-2</v>
      </c>
      <c r="U213" s="7">
        <f>+(AV_PLAN[[#This Row],[%AVANCE INICIO PLANIFICADO]]+AV_PLAN[[#This Row],[%AVANCE TERMINO PLANIFICADO]])/2</f>
        <v>0.36647727272727271</v>
      </c>
    </row>
    <row r="214" spans="1:21" x14ac:dyDescent="0.25">
      <c r="A214" s="1">
        <v>46281</v>
      </c>
      <c r="B214">
        <v>0</v>
      </c>
      <c r="C214">
        <v>283</v>
      </c>
      <c r="D214">
        <v>0</v>
      </c>
      <c r="E214">
        <v>101</v>
      </c>
      <c r="F214">
        <v>2</v>
      </c>
      <c r="G214">
        <v>235</v>
      </c>
      <c r="H214">
        <v>0</v>
      </c>
      <c r="I214">
        <v>38</v>
      </c>
      <c r="J214" t="s">
        <v>817</v>
      </c>
      <c r="K214">
        <f>+WEEKNUM(AV_PLAN[[#This Row],[Días]])</f>
        <v>38</v>
      </c>
      <c r="L214" s="4">
        <f>IFERROR(AV_PLAN[[#This Row],[INICIO REAL ACUMULADO]]/AV_PLAN[[#This Row],[PLAN ACUMULADO]],"")</f>
        <v>0.35689045936395758</v>
      </c>
      <c r="M214" s="4">
        <f>IFERROR(AV_PLAN[[#This Row],[TERMINO REAL ACUMULADO]]/AV_PLAN[[#This Row],[TERMINO PLAN ACUMULADO]],"")</f>
        <v>0.16170212765957448</v>
      </c>
      <c r="N214">
        <f>+AV_PLAN[[#This Row],[PLAN ACUMULADO]]-AV_PLAN[[#This Row],[INICIO REAL ACUMULADO]]</f>
        <v>182</v>
      </c>
      <c r="O214">
        <f>+AV_PLAN[[#This Row],[TERMINO PLAN ACUMULADO]]-AV_PLAN[[#This Row],[TERMINO REAL ACUMULADO]]</f>
        <v>197</v>
      </c>
      <c r="P21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4" s="7">
        <f>+AV_PLAN[[#This Row],[PLAN ACUMULADO]]/$C$471</f>
        <v>0.40198863636363635</v>
      </c>
      <c r="R214" s="7">
        <f t="shared" si="6"/>
        <v>0.14346590909090909</v>
      </c>
      <c r="S214" s="7">
        <f>+AV_PLAN[[#This Row],[TERMINO PLAN ACUMULADO]]/$G$471</f>
        <v>0.33380681818181818</v>
      </c>
      <c r="T214" s="7">
        <f t="shared" si="7"/>
        <v>5.3977272727272728E-2</v>
      </c>
      <c r="U214" s="7">
        <f>+(AV_PLAN[[#This Row],[%AVANCE INICIO PLANIFICADO]]+AV_PLAN[[#This Row],[%AVANCE TERMINO PLANIFICADO]])/2</f>
        <v>0.36789772727272729</v>
      </c>
    </row>
    <row r="215" spans="1:21" x14ac:dyDescent="0.25">
      <c r="A215" s="1">
        <v>46282</v>
      </c>
      <c r="B215">
        <v>0</v>
      </c>
      <c r="C215">
        <v>283</v>
      </c>
      <c r="D215">
        <v>0</v>
      </c>
      <c r="E215">
        <v>101</v>
      </c>
      <c r="F215">
        <v>3</v>
      </c>
      <c r="G215">
        <v>238</v>
      </c>
      <c r="H215">
        <v>0</v>
      </c>
      <c r="I215">
        <v>38</v>
      </c>
      <c r="J215" t="s">
        <v>817</v>
      </c>
      <c r="K215">
        <f>+WEEKNUM(AV_PLAN[[#This Row],[Días]])</f>
        <v>38</v>
      </c>
      <c r="L215" s="4">
        <f>IFERROR(AV_PLAN[[#This Row],[INICIO REAL ACUMULADO]]/AV_PLAN[[#This Row],[PLAN ACUMULADO]],"")</f>
        <v>0.35689045936395758</v>
      </c>
      <c r="M215" s="4">
        <f>IFERROR(AV_PLAN[[#This Row],[TERMINO REAL ACUMULADO]]/AV_PLAN[[#This Row],[TERMINO PLAN ACUMULADO]],"")</f>
        <v>0.15966386554621848</v>
      </c>
      <c r="N215">
        <f>+AV_PLAN[[#This Row],[PLAN ACUMULADO]]-AV_PLAN[[#This Row],[INICIO REAL ACUMULADO]]</f>
        <v>182</v>
      </c>
      <c r="O215">
        <f>+AV_PLAN[[#This Row],[TERMINO PLAN ACUMULADO]]-AV_PLAN[[#This Row],[TERMINO REAL ACUMULADO]]</f>
        <v>200</v>
      </c>
      <c r="P21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5" s="7">
        <f>+AV_PLAN[[#This Row],[PLAN ACUMULADO]]/$C$471</f>
        <v>0.40198863636363635</v>
      </c>
      <c r="R215" s="7">
        <f t="shared" si="6"/>
        <v>0.14346590909090909</v>
      </c>
      <c r="S215" s="7">
        <f>+AV_PLAN[[#This Row],[TERMINO PLAN ACUMULADO]]/$G$471</f>
        <v>0.33806818181818182</v>
      </c>
      <c r="T215" s="7">
        <f t="shared" si="7"/>
        <v>5.3977272727272728E-2</v>
      </c>
      <c r="U215" s="7">
        <f>+(AV_PLAN[[#This Row],[%AVANCE INICIO PLANIFICADO]]+AV_PLAN[[#This Row],[%AVANCE TERMINO PLANIFICADO]])/2</f>
        <v>0.37002840909090906</v>
      </c>
    </row>
    <row r="216" spans="1:21" x14ac:dyDescent="0.25">
      <c r="A216" s="1">
        <v>46283</v>
      </c>
      <c r="B216">
        <v>0</v>
      </c>
      <c r="C216">
        <v>283</v>
      </c>
      <c r="D216">
        <v>0</v>
      </c>
      <c r="E216">
        <v>101</v>
      </c>
      <c r="F216">
        <v>1</v>
      </c>
      <c r="G216">
        <v>239</v>
      </c>
      <c r="H216">
        <v>0</v>
      </c>
      <c r="I216">
        <v>38</v>
      </c>
      <c r="J216" t="s">
        <v>817</v>
      </c>
      <c r="K216">
        <f>+WEEKNUM(AV_PLAN[[#This Row],[Días]])</f>
        <v>38</v>
      </c>
      <c r="L216" s="4">
        <f>IFERROR(AV_PLAN[[#This Row],[INICIO REAL ACUMULADO]]/AV_PLAN[[#This Row],[PLAN ACUMULADO]],"")</f>
        <v>0.35689045936395758</v>
      </c>
      <c r="M216" s="4">
        <f>IFERROR(AV_PLAN[[#This Row],[TERMINO REAL ACUMULADO]]/AV_PLAN[[#This Row],[TERMINO PLAN ACUMULADO]],"")</f>
        <v>0.15899581589958159</v>
      </c>
      <c r="N216">
        <f>+AV_PLAN[[#This Row],[PLAN ACUMULADO]]-AV_PLAN[[#This Row],[INICIO REAL ACUMULADO]]</f>
        <v>182</v>
      </c>
      <c r="O216">
        <f>+AV_PLAN[[#This Row],[TERMINO PLAN ACUMULADO]]-AV_PLAN[[#This Row],[TERMINO REAL ACUMULADO]]</f>
        <v>201</v>
      </c>
      <c r="P21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6" s="7">
        <f>+AV_PLAN[[#This Row],[PLAN ACUMULADO]]/$C$471</f>
        <v>0.40198863636363635</v>
      </c>
      <c r="R216" s="7">
        <f t="shared" si="6"/>
        <v>0.14346590909090909</v>
      </c>
      <c r="S216" s="7">
        <f>+AV_PLAN[[#This Row],[TERMINO PLAN ACUMULADO]]/$G$471</f>
        <v>0.33948863636363635</v>
      </c>
      <c r="T216" s="7">
        <f t="shared" si="7"/>
        <v>5.3977272727272728E-2</v>
      </c>
      <c r="U216" s="7">
        <f>+(AV_PLAN[[#This Row],[%AVANCE INICIO PLANIFICADO]]+AV_PLAN[[#This Row],[%AVANCE TERMINO PLANIFICADO]])/2</f>
        <v>0.37073863636363635</v>
      </c>
    </row>
    <row r="217" spans="1:21" x14ac:dyDescent="0.25">
      <c r="A217" s="1">
        <v>46284</v>
      </c>
      <c r="B217">
        <v>0</v>
      </c>
      <c r="C217">
        <v>283</v>
      </c>
      <c r="D217">
        <v>0</v>
      </c>
      <c r="E217">
        <v>101</v>
      </c>
      <c r="F217">
        <v>1</v>
      </c>
      <c r="G217">
        <v>240</v>
      </c>
      <c r="H217">
        <v>0</v>
      </c>
      <c r="I217">
        <v>38</v>
      </c>
      <c r="J217" t="s">
        <v>817</v>
      </c>
      <c r="K217">
        <f>+WEEKNUM(AV_PLAN[[#This Row],[Días]])</f>
        <v>38</v>
      </c>
      <c r="L217" s="4">
        <f>IFERROR(AV_PLAN[[#This Row],[INICIO REAL ACUMULADO]]/AV_PLAN[[#This Row],[PLAN ACUMULADO]],"")</f>
        <v>0.35689045936395758</v>
      </c>
      <c r="M217" s="4">
        <f>IFERROR(AV_PLAN[[#This Row],[TERMINO REAL ACUMULADO]]/AV_PLAN[[#This Row],[TERMINO PLAN ACUMULADO]],"")</f>
        <v>0.15833333333333333</v>
      </c>
      <c r="N217">
        <f>+AV_PLAN[[#This Row],[PLAN ACUMULADO]]-AV_PLAN[[#This Row],[INICIO REAL ACUMULADO]]</f>
        <v>182</v>
      </c>
      <c r="O217">
        <f>+AV_PLAN[[#This Row],[TERMINO PLAN ACUMULADO]]-AV_PLAN[[#This Row],[TERMINO REAL ACUMULADO]]</f>
        <v>202</v>
      </c>
      <c r="P21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7" s="7">
        <f>+AV_PLAN[[#This Row],[PLAN ACUMULADO]]/$C$471</f>
        <v>0.40198863636363635</v>
      </c>
      <c r="R217" s="7">
        <f t="shared" si="6"/>
        <v>0.14346590909090909</v>
      </c>
      <c r="S217" s="7">
        <f>+AV_PLAN[[#This Row],[TERMINO PLAN ACUMULADO]]/$G$471</f>
        <v>0.34090909090909088</v>
      </c>
      <c r="T217" s="7">
        <f t="shared" si="7"/>
        <v>5.3977272727272728E-2</v>
      </c>
      <c r="U217" s="7">
        <f>+(AV_PLAN[[#This Row],[%AVANCE INICIO PLANIFICADO]]+AV_PLAN[[#This Row],[%AVANCE TERMINO PLANIFICADO]])/2</f>
        <v>0.37144886363636365</v>
      </c>
    </row>
    <row r="218" spans="1:21" x14ac:dyDescent="0.25">
      <c r="A218" s="1">
        <v>46285</v>
      </c>
      <c r="B218">
        <v>0</v>
      </c>
      <c r="C218">
        <v>283</v>
      </c>
      <c r="D218">
        <v>0</v>
      </c>
      <c r="E218">
        <v>101</v>
      </c>
      <c r="F218">
        <v>3</v>
      </c>
      <c r="G218">
        <v>243</v>
      </c>
      <c r="H218">
        <v>0</v>
      </c>
      <c r="I218">
        <v>38</v>
      </c>
      <c r="J218" t="s">
        <v>817</v>
      </c>
      <c r="K218">
        <f>+WEEKNUM(AV_PLAN[[#This Row],[Días]])</f>
        <v>39</v>
      </c>
      <c r="L218" s="4">
        <f>IFERROR(AV_PLAN[[#This Row],[INICIO REAL ACUMULADO]]/AV_PLAN[[#This Row],[PLAN ACUMULADO]],"")</f>
        <v>0.35689045936395758</v>
      </c>
      <c r="M218" s="4">
        <f>IFERROR(AV_PLAN[[#This Row],[TERMINO REAL ACUMULADO]]/AV_PLAN[[#This Row],[TERMINO PLAN ACUMULADO]],"")</f>
        <v>0.15637860082304528</v>
      </c>
      <c r="N218">
        <f>+AV_PLAN[[#This Row],[PLAN ACUMULADO]]-AV_PLAN[[#This Row],[INICIO REAL ACUMULADO]]</f>
        <v>182</v>
      </c>
      <c r="O218">
        <f>+AV_PLAN[[#This Row],[TERMINO PLAN ACUMULADO]]-AV_PLAN[[#This Row],[TERMINO REAL ACUMULADO]]</f>
        <v>205</v>
      </c>
      <c r="P2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8" s="7">
        <f>+AV_PLAN[[#This Row],[PLAN ACUMULADO]]/$C$471</f>
        <v>0.40198863636363635</v>
      </c>
      <c r="R218" s="7">
        <f t="shared" si="6"/>
        <v>0.14346590909090909</v>
      </c>
      <c r="S218" s="7">
        <f>+AV_PLAN[[#This Row],[TERMINO PLAN ACUMULADO]]/$G$471</f>
        <v>0.34517045454545453</v>
      </c>
      <c r="T218" s="7">
        <f t="shared" si="7"/>
        <v>5.3977272727272728E-2</v>
      </c>
      <c r="U218" s="7">
        <f>+(AV_PLAN[[#This Row],[%AVANCE INICIO PLANIFICADO]]+AV_PLAN[[#This Row],[%AVANCE TERMINO PLANIFICADO]])/2</f>
        <v>0.37357954545454541</v>
      </c>
    </row>
    <row r="219" spans="1:21" x14ac:dyDescent="0.25">
      <c r="A219" s="1">
        <v>46286</v>
      </c>
      <c r="B219">
        <v>3</v>
      </c>
      <c r="C219">
        <v>286</v>
      </c>
      <c r="D219">
        <v>0</v>
      </c>
      <c r="E219">
        <v>101</v>
      </c>
      <c r="F219">
        <v>2</v>
      </c>
      <c r="G219">
        <v>245</v>
      </c>
      <c r="H219">
        <v>0</v>
      </c>
      <c r="I219">
        <v>38</v>
      </c>
      <c r="J219" t="s">
        <v>817</v>
      </c>
      <c r="K219">
        <f>+WEEKNUM(AV_PLAN[[#This Row],[Días]])</f>
        <v>39</v>
      </c>
      <c r="L219" s="4">
        <f>IFERROR(AV_PLAN[[#This Row],[INICIO REAL ACUMULADO]]/AV_PLAN[[#This Row],[PLAN ACUMULADO]],"")</f>
        <v>0.35314685314685312</v>
      </c>
      <c r="M219" s="4">
        <f>IFERROR(AV_PLAN[[#This Row],[TERMINO REAL ACUMULADO]]/AV_PLAN[[#This Row],[TERMINO PLAN ACUMULADO]],"")</f>
        <v>0.15510204081632653</v>
      </c>
      <c r="N219">
        <f>+AV_PLAN[[#This Row],[PLAN ACUMULADO]]-AV_PLAN[[#This Row],[INICIO REAL ACUMULADO]]</f>
        <v>185</v>
      </c>
      <c r="O219">
        <f>+AV_PLAN[[#This Row],[TERMINO PLAN ACUMULADO]]-AV_PLAN[[#This Row],[TERMINO REAL ACUMULADO]]</f>
        <v>207</v>
      </c>
      <c r="P2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9" s="7">
        <f>+AV_PLAN[[#This Row],[PLAN ACUMULADO]]/$C$471</f>
        <v>0.40625</v>
      </c>
      <c r="R219" s="7">
        <f t="shared" si="6"/>
        <v>0.14346590909090909</v>
      </c>
      <c r="S219" s="7">
        <f>+AV_PLAN[[#This Row],[TERMINO PLAN ACUMULADO]]/$G$471</f>
        <v>0.34801136363636365</v>
      </c>
      <c r="T219" s="7">
        <f t="shared" si="7"/>
        <v>5.3977272727272728E-2</v>
      </c>
      <c r="U219" s="7">
        <f>+(AV_PLAN[[#This Row],[%AVANCE INICIO PLANIFICADO]]+AV_PLAN[[#This Row],[%AVANCE TERMINO PLANIFICADO]])/2</f>
        <v>0.37713068181818182</v>
      </c>
    </row>
    <row r="220" spans="1:21" x14ac:dyDescent="0.25">
      <c r="A220" s="1">
        <v>46287</v>
      </c>
      <c r="B220">
        <v>3</v>
      </c>
      <c r="C220">
        <v>289</v>
      </c>
      <c r="D220">
        <v>0</v>
      </c>
      <c r="E220">
        <v>101</v>
      </c>
      <c r="F220">
        <v>1</v>
      </c>
      <c r="G220">
        <v>246</v>
      </c>
      <c r="H220">
        <v>0</v>
      </c>
      <c r="I220">
        <v>38</v>
      </c>
      <c r="J220" t="s">
        <v>817</v>
      </c>
      <c r="K220">
        <f>+WEEKNUM(AV_PLAN[[#This Row],[Días]])</f>
        <v>39</v>
      </c>
      <c r="L220" s="4">
        <f>IFERROR(AV_PLAN[[#This Row],[INICIO REAL ACUMULADO]]/AV_PLAN[[#This Row],[PLAN ACUMULADO]],"")</f>
        <v>0.34948096885813151</v>
      </c>
      <c r="M220" s="4">
        <f>IFERROR(AV_PLAN[[#This Row],[TERMINO REAL ACUMULADO]]/AV_PLAN[[#This Row],[TERMINO PLAN ACUMULADO]],"")</f>
        <v>0.15447154471544716</v>
      </c>
      <c r="N220">
        <f>+AV_PLAN[[#This Row],[PLAN ACUMULADO]]-AV_PLAN[[#This Row],[INICIO REAL ACUMULADO]]</f>
        <v>188</v>
      </c>
      <c r="O220">
        <f>+AV_PLAN[[#This Row],[TERMINO PLAN ACUMULADO]]-AV_PLAN[[#This Row],[TERMINO REAL ACUMULADO]]</f>
        <v>208</v>
      </c>
      <c r="P2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0" s="7">
        <f>+AV_PLAN[[#This Row],[PLAN ACUMULADO]]/$C$471</f>
        <v>0.41051136363636365</v>
      </c>
      <c r="R220" s="7">
        <f t="shared" si="6"/>
        <v>0.14346590909090909</v>
      </c>
      <c r="S220" s="7">
        <f>+AV_PLAN[[#This Row],[TERMINO PLAN ACUMULADO]]/$G$471</f>
        <v>0.34943181818181818</v>
      </c>
      <c r="T220" s="7">
        <f t="shared" si="7"/>
        <v>5.3977272727272728E-2</v>
      </c>
      <c r="U220" s="7">
        <f>+(AV_PLAN[[#This Row],[%AVANCE INICIO PLANIFICADO]]+AV_PLAN[[#This Row],[%AVANCE TERMINO PLANIFICADO]])/2</f>
        <v>0.37997159090909094</v>
      </c>
    </row>
    <row r="221" spans="1:21" x14ac:dyDescent="0.25">
      <c r="A221" s="1">
        <v>46288</v>
      </c>
      <c r="B221">
        <v>3</v>
      </c>
      <c r="C221">
        <v>292</v>
      </c>
      <c r="D221">
        <v>0</v>
      </c>
      <c r="E221">
        <v>101</v>
      </c>
      <c r="F221">
        <v>2</v>
      </c>
      <c r="G221">
        <v>248</v>
      </c>
      <c r="H221">
        <v>0</v>
      </c>
      <c r="I221">
        <v>38</v>
      </c>
      <c r="J221" t="s">
        <v>817</v>
      </c>
      <c r="K221">
        <f>+WEEKNUM(AV_PLAN[[#This Row],[Días]])</f>
        <v>39</v>
      </c>
      <c r="L221" s="4">
        <f>IFERROR(AV_PLAN[[#This Row],[INICIO REAL ACUMULADO]]/AV_PLAN[[#This Row],[PLAN ACUMULADO]],"")</f>
        <v>0.3458904109589041</v>
      </c>
      <c r="M221" s="4">
        <f>IFERROR(AV_PLAN[[#This Row],[TERMINO REAL ACUMULADO]]/AV_PLAN[[#This Row],[TERMINO PLAN ACUMULADO]],"")</f>
        <v>0.15322580645161291</v>
      </c>
      <c r="N221">
        <f>+AV_PLAN[[#This Row],[PLAN ACUMULADO]]-AV_PLAN[[#This Row],[INICIO REAL ACUMULADO]]</f>
        <v>191</v>
      </c>
      <c r="O221">
        <f>+AV_PLAN[[#This Row],[TERMINO PLAN ACUMULADO]]-AV_PLAN[[#This Row],[TERMINO REAL ACUMULADO]]</f>
        <v>210</v>
      </c>
      <c r="P22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1" s="7">
        <f>+AV_PLAN[[#This Row],[PLAN ACUMULADO]]/$C$471</f>
        <v>0.41477272727272729</v>
      </c>
      <c r="R221" s="7">
        <f t="shared" si="6"/>
        <v>0.14346590909090909</v>
      </c>
      <c r="S221" s="7">
        <f>+AV_PLAN[[#This Row],[TERMINO PLAN ACUMULADO]]/$G$471</f>
        <v>0.35227272727272729</v>
      </c>
      <c r="T221" s="7">
        <f t="shared" si="7"/>
        <v>5.3977272727272728E-2</v>
      </c>
      <c r="U221" s="7">
        <f>+(AV_PLAN[[#This Row],[%AVANCE INICIO PLANIFICADO]]+AV_PLAN[[#This Row],[%AVANCE TERMINO PLANIFICADO]])/2</f>
        <v>0.38352272727272729</v>
      </c>
    </row>
    <row r="222" spans="1:21" x14ac:dyDescent="0.25">
      <c r="A222" s="1">
        <v>46289</v>
      </c>
      <c r="B222">
        <v>3</v>
      </c>
      <c r="C222">
        <v>295</v>
      </c>
      <c r="D222">
        <v>0</v>
      </c>
      <c r="E222">
        <v>101</v>
      </c>
      <c r="F222">
        <v>3</v>
      </c>
      <c r="G222">
        <v>251</v>
      </c>
      <c r="H222">
        <v>0</v>
      </c>
      <c r="I222">
        <v>38</v>
      </c>
      <c r="J222" t="s">
        <v>817</v>
      </c>
      <c r="K222">
        <f>+WEEKNUM(AV_PLAN[[#This Row],[Días]])</f>
        <v>39</v>
      </c>
      <c r="L222" s="4">
        <f>IFERROR(AV_PLAN[[#This Row],[INICIO REAL ACUMULADO]]/AV_PLAN[[#This Row],[PLAN ACUMULADO]],"")</f>
        <v>0.34237288135593219</v>
      </c>
      <c r="M222" s="4">
        <f>IFERROR(AV_PLAN[[#This Row],[TERMINO REAL ACUMULADO]]/AV_PLAN[[#This Row],[TERMINO PLAN ACUMULADO]],"")</f>
        <v>0.15139442231075698</v>
      </c>
      <c r="N222">
        <f>+AV_PLAN[[#This Row],[PLAN ACUMULADO]]-AV_PLAN[[#This Row],[INICIO REAL ACUMULADO]]</f>
        <v>194</v>
      </c>
      <c r="O222">
        <f>+AV_PLAN[[#This Row],[TERMINO PLAN ACUMULADO]]-AV_PLAN[[#This Row],[TERMINO REAL ACUMULADO]]</f>
        <v>213</v>
      </c>
      <c r="P22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2" s="7">
        <f>+AV_PLAN[[#This Row],[PLAN ACUMULADO]]/$C$471</f>
        <v>0.41903409090909088</v>
      </c>
      <c r="R222" s="7">
        <f t="shared" si="6"/>
        <v>0.14346590909090909</v>
      </c>
      <c r="S222" s="7">
        <f>+AV_PLAN[[#This Row],[TERMINO PLAN ACUMULADO]]/$G$471</f>
        <v>0.35653409090909088</v>
      </c>
      <c r="T222" s="7">
        <f t="shared" si="7"/>
        <v>5.3977272727272728E-2</v>
      </c>
      <c r="U222" s="7">
        <f>+(AV_PLAN[[#This Row],[%AVANCE INICIO PLANIFICADO]]+AV_PLAN[[#This Row],[%AVANCE TERMINO PLANIFICADO]])/2</f>
        <v>0.38778409090909088</v>
      </c>
    </row>
    <row r="223" spans="1:21" x14ac:dyDescent="0.25">
      <c r="A223" s="1">
        <v>46290</v>
      </c>
      <c r="B223">
        <v>3</v>
      </c>
      <c r="C223">
        <v>298</v>
      </c>
      <c r="D223">
        <v>0</v>
      </c>
      <c r="E223">
        <v>101</v>
      </c>
      <c r="F223">
        <v>2</v>
      </c>
      <c r="G223">
        <v>253</v>
      </c>
      <c r="H223">
        <v>0</v>
      </c>
      <c r="I223">
        <v>38</v>
      </c>
      <c r="J223" t="s">
        <v>817</v>
      </c>
      <c r="K223">
        <f>+WEEKNUM(AV_PLAN[[#This Row],[Días]])</f>
        <v>39</v>
      </c>
      <c r="L223" s="4">
        <f>IFERROR(AV_PLAN[[#This Row],[INICIO REAL ACUMULADO]]/AV_PLAN[[#This Row],[PLAN ACUMULADO]],"")</f>
        <v>0.33892617449664431</v>
      </c>
      <c r="M223" s="4">
        <f>IFERROR(AV_PLAN[[#This Row],[TERMINO REAL ACUMULADO]]/AV_PLAN[[#This Row],[TERMINO PLAN ACUMULADO]],"")</f>
        <v>0.15019762845849802</v>
      </c>
      <c r="N223">
        <f>+AV_PLAN[[#This Row],[PLAN ACUMULADO]]-AV_PLAN[[#This Row],[INICIO REAL ACUMULADO]]</f>
        <v>197</v>
      </c>
      <c r="O223">
        <f>+AV_PLAN[[#This Row],[TERMINO PLAN ACUMULADO]]-AV_PLAN[[#This Row],[TERMINO REAL ACUMULADO]]</f>
        <v>215</v>
      </c>
      <c r="P2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3" s="7">
        <f>+AV_PLAN[[#This Row],[PLAN ACUMULADO]]/$C$471</f>
        <v>0.42329545454545453</v>
      </c>
      <c r="R223" s="7">
        <f t="shared" si="6"/>
        <v>0.14346590909090909</v>
      </c>
      <c r="S223" s="7">
        <f>+AV_PLAN[[#This Row],[TERMINO PLAN ACUMULADO]]/$G$471</f>
        <v>0.359375</v>
      </c>
      <c r="T223" s="7">
        <f t="shared" si="7"/>
        <v>5.3977272727272728E-2</v>
      </c>
      <c r="U223" s="7">
        <f>+(AV_PLAN[[#This Row],[%AVANCE INICIO PLANIFICADO]]+AV_PLAN[[#This Row],[%AVANCE TERMINO PLANIFICADO]])/2</f>
        <v>0.39133522727272729</v>
      </c>
    </row>
    <row r="224" spans="1:21" x14ac:dyDescent="0.25">
      <c r="A224" s="1">
        <v>46291</v>
      </c>
      <c r="B224">
        <v>0</v>
      </c>
      <c r="C224">
        <v>298</v>
      </c>
      <c r="D224">
        <v>0</v>
      </c>
      <c r="E224">
        <v>101</v>
      </c>
      <c r="F224">
        <v>0</v>
      </c>
      <c r="G224">
        <v>253</v>
      </c>
      <c r="H224">
        <v>0</v>
      </c>
      <c r="I224">
        <v>38</v>
      </c>
      <c r="J224" t="s">
        <v>817</v>
      </c>
      <c r="K224">
        <f>+WEEKNUM(AV_PLAN[[#This Row],[Días]])</f>
        <v>39</v>
      </c>
      <c r="L224" s="4">
        <f>IFERROR(AV_PLAN[[#This Row],[INICIO REAL ACUMULADO]]/AV_PLAN[[#This Row],[PLAN ACUMULADO]],"")</f>
        <v>0.33892617449664431</v>
      </c>
      <c r="M224" s="4">
        <f>IFERROR(AV_PLAN[[#This Row],[TERMINO REAL ACUMULADO]]/AV_PLAN[[#This Row],[TERMINO PLAN ACUMULADO]],"")</f>
        <v>0.15019762845849802</v>
      </c>
      <c r="N224">
        <f>+AV_PLAN[[#This Row],[PLAN ACUMULADO]]-AV_PLAN[[#This Row],[INICIO REAL ACUMULADO]]</f>
        <v>197</v>
      </c>
      <c r="O224">
        <f>+AV_PLAN[[#This Row],[TERMINO PLAN ACUMULADO]]-AV_PLAN[[#This Row],[TERMINO REAL ACUMULADO]]</f>
        <v>215</v>
      </c>
      <c r="P2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4" s="7">
        <f>+AV_PLAN[[#This Row],[PLAN ACUMULADO]]/$C$471</f>
        <v>0.42329545454545453</v>
      </c>
      <c r="R224" s="7">
        <f t="shared" si="6"/>
        <v>0.14346590909090909</v>
      </c>
      <c r="S224" s="7">
        <f>+AV_PLAN[[#This Row],[TERMINO PLAN ACUMULADO]]/$G$471</f>
        <v>0.359375</v>
      </c>
      <c r="T224" s="7">
        <f t="shared" si="7"/>
        <v>5.3977272727272728E-2</v>
      </c>
      <c r="U224" s="7">
        <f>+(AV_PLAN[[#This Row],[%AVANCE INICIO PLANIFICADO]]+AV_PLAN[[#This Row],[%AVANCE TERMINO PLANIFICADO]])/2</f>
        <v>0.39133522727272729</v>
      </c>
    </row>
    <row r="225" spans="1:21" x14ac:dyDescent="0.25">
      <c r="A225" s="1">
        <v>46292</v>
      </c>
      <c r="B225">
        <v>0</v>
      </c>
      <c r="C225">
        <v>298</v>
      </c>
      <c r="D225">
        <v>0</v>
      </c>
      <c r="E225">
        <v>101</v>
      </c>
      <c r="F225">
        <v>4</v>
      </c>
      <c r="G225">
        <v>257</v>
      </c>
      <c r="H225">
        <v>0</v>
      </c>
      <c r="I225">
        <v>38</v>
      </c>
      <c r="J225" t="s">
        <v>817</v>
      </c>
      <c r="K225">
        <f>+WEEKNUM(AV_PLAN[[#This Row],[Días]])</f>
        <v>40</v>
      </c>
      <c r="L225" s="4">
        <f>IFERROR(AV_PLAN[[#This Row],[INICIO REAL ACUMULADO]]/AV_PLAN[[#This Row],[PLAN ACUMULADO]],"")</f>
        <v>0.33892617449664431</v>
      </c>
      <c r="M225" s="4">
        <f>IFERROR(AV_PLAN[[#This Row],[TERMINO REAL ACUMULADO]]/AV_PLAN[[#This Row],[TERMINO PLAN ACUMULADO]],"")</f>
        <v>0.14785992217898833</v>
      </c>
      <c r="N225">
        <f>+AV_PLAN[[#This Row],[PLAN ACUMULADO]]-AV_PLAN[[#This Row],[INICIO REAL ACUMULADO]]</f>
        <v>197</v>
      </c>
      <c r="O225">
        <f>+AV_PLAN[[#This Row],[TERMINO PLAN ACUMULADO]]-AV_PLAN[[#This Row],[TERMINO REAL ACUMULADO]]</f>
        <v>219</v>
      </c>
      <c r="P22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5" s="7">
        <f>+AV_PLAN[[#This Row],[PLAN ACUMULADO]]/$C$471</f>
        <v>0.42329545454545453</v>
      </c>
      <c r="R225" s="7">
        <f t="shared" si="6"/>
        <v>0.14346590909090909</v>
      </c>
      <c r="S225" s="7">
        <f>+AV_PLAN[[#This Row],[TERMINO PLAN ACUMULADO]]/$G$471</f>
        <v>0.36505681818181818</v>
      </c>
      <c r="T225" s="7">
        <f t="shared" si="7"/>
        <v>5.3977272727272728E-2</v>
      </c>
      <c r="U225" s="7">
        <f>+(AV_PLAN[[#This Row],[%AVANCE INICIO PLANIFICADO]]+AV_PLAN[[#This Row],[%AVANCE TERMINO PLANIFICADO]])/2</f>
        <v>0.39417613636363635</v>
      </c>
    </row>
    <row r="226" spans="1:21" x14ac:dyDescent="0.25">
      <c r="A226" s="1">
        <v>46293</v>
      </c>
      <c r="B226">
        <v>3</v>
      </c>
      <c r="C226">
        <v>301</v>
      </c>
      <c r="D226">
        <v>0</v>
      </c>
      <c r="E226">
        <v>101</v>
      </c>
      <c r="F226">
        <v>1</v>
      </c>
      <c r="G226">
        <v>258</v>
      </c>
      <c r="H226">
        <v>0</v>
      </c>
      <c r="I226">
        <v>38</v>
      </c>
      <c r="J226" t="s">
        <v>817</v>
      </c>
      <c r="K226">
        <f>+WEEKNUM(AV_PLAN[[#This Row],[Días]])</f>
        <v>40</v>
      </c>
      <c r="L226" s="4">
        <f>IFERROR(AV_PLAN[[#This Row],[INICIO REAL ACUMULADO]]/AV_PLAN[[#This Row],[PLAN ACUMULADO]],"")</f>
        <v>0.33554817275747506</v>
      </c>
      <c r="M226" s="4">
        <f>IFERROR(AV_PLAN[[#This Row],[TERMINO REAL ACUMULADO]]/AV_PLAN[[#This Row],[TERMINO PLAN ACUMULADO]],"")</f>
        <v>0.14728682170542637</v>
      </c>
      <c r="N226">
        <f>+AV_PLAN[[#This Row],[PLAN ACUMULADO]]-AV_PLAN[[#This Row],[INICIO REAL ACUMULADO]]</f>
        <v>200</v>
      </c>
      <c r="O226">
        <f>+AV_PLAN[[#This Row],[TERMINO PLAN ACUMULADO]]-AV_PLAN[[#This Row],[TERMINO REAL ACUMULADO]]</f>
        <v>220</v>
      </c>
      <c r="P22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6" s="7">
        <f>+AV_PLAN[[#This Row],[PLAN ACUMULADO]]/$C$471</f>
        <v>0.42755681818181818</v>
      </c>
      <c r="R226" s="7">
        <f t="shared" si="6"/>
        <v>0.14346590909090909</v>
      </c>
      <c r="S226" s="7">
        <f>+AV_PLAN[[#This Row],[TERMINO PLAN ACUMULADO]]/$G$471</f>
        <v>0.36647727272727271</v>
      </c>
      <c r="T226" s="7">
        <f t="shared" si="7"/>
        <v>5.3977272727272728E-2</v>
      </c>
      <c r="U226" s="7">
        <f>+(AV_PLAN[[#This Row],[%AVANCE INICIO PLANIFICADO]]+AV_PLAN[[#This Row],[%AVANCE TERMINO PLANIFICADO]])/2</f>
        <v>0.39701704545454541</v>
      </c>
    </row>
    <row r="227" spans="1:21" x14ac:dyDescent="0.25">
      <c r="A227" s="1">
        <v>46294</v>
      </c>
      <c r="B227">
        <v>3</v>
      </c>
      <c r="C227">
        <v>304</v>
      </c>
      <c r="D227">
        <v>0</v>
      </c>
      <c r="E227">
        <v>101</v>
      </c>
      <c r="F227">
        <v>1</v>
      </c>
      <c r="G227">
        <v>259</v>
      </c>
      <c r="H227">
        <v>0</v>
      </c>
      <c r="I227">
        <v>38</v>
      </c>
      <c r="J227" t="s">
        <v>817</v>
      </c>
      <c r="K227">
        <f>+WEEKNUM(AV_PLAN[[#This Row],[Días]])</f>
        <v>40</v>
      </c>
      <c r="L227" s="4">
        <f>IFERROR(AV_PLAN[[#This Row],[INICIO REAL ACUMULADO]]/AV_PLAN[[#This Row],[PLAN ACUMULADO]],"")</f>
        <v>0.33223684210526316</v>
      </c>
      <c r="M227" s="4">
        <f>IFERROR(AV_PLAN[[#This Row],[TERMINO REAL ACUMULADO]]/AV_PLAN[[#This Row],[TERMINO PLAN ACUMULADO]],"")</f>
        <v>0.14671814671814673</v>
      </c>
      <c r="N227">
        <f>+AV_PLAN[[#This Row],[PLAN ACUMULADO]]-AV_PLAN[[#This Row],[INICIO REAL ACUMULADO]]</f>
        <v>203</v>
      </c>
      <c r="O227">
        <f>+AV_PLAN[[#This Row],[TERMINO PLAN ACUMULADO]]-AV_PLAN[[#This Row],[TERMINO REAL ACUMULADO]]</f>
        <v>221</v>
      </c>
      <c r="P22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7" s="7">
        <f>+AV_PLAN[[#This Row],[PLAN ACUMULADO]]/$C$471</f>
        <v>0.43181818181818182</v>
      </c>
      <c r="R227" s="7">
        <f t="shared" si="6"/>
        <v>0.14346590909090909</v>
      </c>
      <c r="S227" s="7">
        <f>+AV_PLAN[[#This Row],[TERMINO PLAN ACUMULADO]]/$G$471</f>
        <v>0.36789772727272729</v>
      </c>
      <c r="T227" s="7">
        <f t="shared" si="7"/>
        <v>5.3977272727272728E-2</v>
      </c>
      <c r="U227" s="7">
        <f>+(AV_PLAN[[#This Row],[%AVANCE INICIO PLANIFICADO]]+AV_PLAN[[#This Row],[%AVANCE TERMINO PLANIFICADO]])/2</f>
        <v>0.39985795454545459</v>
      </c>
    </row>
    <row r="228" spans="1:21" x14ac:dyDescent="0.25">
      <c r="A228" s="1">
        <v>46295</v>
      </c>
      <c r="B228">
        <v>3</v>
      </c>
      <c r="C228">
        <v>307</v>
      </c>
      <c r="D228">
        <v>0</v>
      </c>
      <c r="E228">
        <v>101</v>
      </c>
      <c r="F228">
        <v>3</v>
      </c>
      <c r="G228">
        <v>262</v>
      </c>
      <c r="H228">
        <v>0</v>
      </c>
      <c r="I228">
        <v>38</v>
      </c>
      <c r="J228" t="s">
        <v>817</v>
      </c>
      <c r="K228">
        <f>+WEEKNUM(AV_PLAN[[#This Row],[Días]])</f>
        <v>40</v>
      </c>
      <c r="L228" s="4">
        <f>IFERROR(AV_PLAN[[#This Row],[INICIO REAL ACUMULADO]]/AV_PLAN[[#This Row],[PLAN ACUMULADO]],"")</f>
        <v>0.3289902280130293</v>
      </c>
      <c r="M228" s="4">
        <f>IFERROR(AV_PLAN[[#This Row],[TERMINO REAL ACUMULADO]]/AV_PLAN[[#This Row],[TERMINO PLAN ACUMULADO]],"")</f>
        <v>0.14503816793893129</v>
      </c>
      <c r="N228">
        <f>+AV_PLAN[[#This Row],[PLAN ACUMULADO]]-AV_PLAN[[#This Row],[INICIO REAL ACUMULADO]]</f>
        <v>206</v>
      </c>
      <c r="O228">
        <f>+AV_PLAN[[#This Row],[TERMINO PLAN ACUMULADO]]-AV_PLAN[[#This Row],[TERMINO REAL ACUMULADO]]</f>
        <v>224</v>
      </c>
      <c r="P22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8" s="7">
        <f>+AV_PLAN[[#This Row],[PLAN ACUMULADO]]/$C$471</f>
        <v>0.43607954545454547</v>
      </c>
      <c r="R228" s="7">
        <f t="shared" si="6"/>
        <v>0.14346590909090909</v>
      </c>
      <c r="S228" s="7">
        <f>+AV_PLAN[[#This Row],[TERMINO PLAN ACUMULADO]]/$G$471</f>
        <v>0.37215909090909088</v>
      </c>
      <c r="T228" s="7">
        <f t="shared" si="7"/>
        <v>5.3977272727272728E-2</v>
      </c>
      <c r="U228" s="7">
        <f>+(AV_PLAN[[#This Row],[%AVANCE INICIO PLANIFICADO]]+AV_PLAN[[#This Row],[%AVANCE TERMINO PLANIFICADO]])/2</f>
        <v>0.40411931818181818</v>
      </c>
    </row>
    <row r="229" spans="1:21" x14ac:dyDescent="0.25">
      <c r="A229" s="1">
        <v>46296</v>
      </c>
      <c r="B229">
        <v>3</v>
      </c>
      <c r="C229">
        <v>310</v>
      </c>
      <c r="D229">
        <v>0</v>
      </c>
      <c r="E229">
        <v>101</v>
      </c>
      <c r="F229">
        <v>3</v>
      </c>
      <c r="G229">
        <v>265</v>
      </c>
      <c r="H229">
        <v>0</v>
      </c>
      <c r="I229">
        <v>38</v>
      </c>
      <c r="J229" t="s">
        <v>818</v>
      </c>
      <c r="K229">
        <f>+WEEKNUM(AV_PLAN[[#This Row],[Días]])</f>
        <v>40</v>
      </c>
      <c r="L229" s="4">
        <f>IFERROR(AV_PLAN[[#This Row],[INICIO REAL ACUMULADO]]/AV_PLAN[[#This Row],[PLAN ACUMULADO]],"")</f>
        <v>0.32580645161290323</v>
      </c>
      <c r="M229" s="4">
        <f>IFERROR(AV_PLAN[[#This Row],[TERMINO REAL ACUMULADO]]/AV_PLAN[[#This Row],[TERMINO PLAN ACUMULADO]],"")</f>
        <v>0.14339622641509434</v>
      </c>
      <c r="N229">
        <f>+AV_PLAN[[#This Row],[PLAN ACUMULADO]]-AV_PLAN[[#This Row],[INICIO REAL ACUMULADO]]</f>
        <v>209</v>
      </c>
      <c r="O229">
        <f>+AV_PLAN[[#This Row],[TERMINO PLAN ACUMULADO]]-AV_PLAN[[#This Row],[TERMINO REAL ACUMULADO]]</f>
        <v>227</v>
      </c>
      <c r="P22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29" s="7">
        <f>+AV_PLAN[[#This Row],[PLAN ACUMULADO]]/$C$471</f>
        <v>0.44034090909090912</v>
      </c>
      <c r="R229" s="7">
        <f t="shared" si="6"/>
        <v>0.14346590909090909</v>
      </c>
      <c r="S229" s="7">
        <f>+AV_PLAN[[#This Row],[TERMINO PLAN ACUMULADO]]/$G$471</f>
        <v>0.37642045454545453</v>
      </c>
      <c r="T229" s="7">
        <f t="shared" si="7"/>
        <v>5.3977272727272728E-2</v>
      </c>
      <c r="U229" s="7">
        <f>+(AV_PLAN[[#This Row],[%AVANCE INICIO PLANIFICADO]]+AV_PLAN[[#This Row],[%AVANCE TERMINO PLANIFICADO]])/2</f>
        <v>0.40838068181818182</v>
      </c>
    </row>
    <row r="230" spans="1:21" x14ac:dyDescent="0.25">
      <c r="A230" s="1">
        <v>46297</v>
      </c>
      <c r="B230">
        <v>3</v>
      </c>
      <c r="C230">
        <v>313</v>
      </c>
      <c r="D230">
        <v>0</v>
      </c>
      <c r="E230">
        <v>101</v>
      </c>
      <c r="F230">
        <v>2</v>
      </c>
      <c r="G230">
        <v>267</v>
      </c>
      <c r="H230">
        <v>0</v>
      </c>
      <c r="I230">
        <v>38</v>
      </c>
      <c r="J230" t="s">
        <v>818</v>
      </c>
      <c r="K230">
        <f>+WEEKNUM(AV_PLAN[[#This Row],[Días]])</f>
        <v>40</v>
      </c>
      <c r="L230" s="4">
        <f>IFERROR(AV_PLAN[[#This Row],[INICIO REAL ACUMULADO]]/AV_PLAN[[#This Row],[PLAN ACUMULADO]],"")</f>
        <v>0.32268370607028751</v>
      </c>
      <c r="M230" s="4">
        <f>IFERROR(AV_PLAN[[#This Row],[TERMINO REAL ACUMULADO]]/AV_PLAN[[#This Row],[TERMINO PLAN ACUMULADO]],"")</f>
        <v>0.14232209737827714</v>
      </c>
      <c r="N230">
        <f>+AV_PLAN[[#This Row],[PLAN ACUMULADO]]-AV_PLAN[[#This Row],[INICIO REAL ACUMULADO]]</f>
        <v>212</v>
      </c>
      <c r="O230">
        <f>+AV_PLAN[[#This Row],[TERMINO PLAN ACUMULADO]]-AV_PLAN[[#This Row],[TERMINO REAL ACUMULADO]]</f>
        <v>229</v>
      </c>
      <c r="P23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0" s="7">
        <f>+AV_PLAN[[#This Row],[PLAN ACUMULADO]]/$C$471</f>
        <v>0.44460227272727271</v>
      </c>
      <c r="R230" s="7">
        <f t="shared" si="6"/>
        <v>0.14346590909090909</v>
      </c>
      <c r="S230" s="7">
        <f>+AV_PLAN[[#This Row],[TERMINO PLAN ACUMULADO]]/$G$471</f>
        <v>0.37926136363636365</v>
      </c>
      <c r="T230" s="7">
        <f t="shared" si="7"/>
        <v>5.3977272727272728E-2</v>
      </c>
      <c r="U230" s="7">
        <f>+(AV_PLAN[[#This Row],[%AVANCE INICIO PLANIFICADO]]+AV_PLAN[[#This Row],[%AVANCE TERMINO PLANIFICADO]])/2</f>
        <v>0.41193181818181818</v>
      </c>
    </row>
    <row r="231" spans="1:21" x14ac:dyDescent="0.25">
      <c r="A231" s="1">
        <v>46298</v>
      </c>
      <c r="B231">
        <v>0</v>
      </c>
      <c r="C231">
        <v>313</v>
      </c>
      <c r="D231">
        <v>0</v>
      </c>
      <c r="E231">
        <v>101</v>
      </c>
      <c r="F231">
        <v>2</v>
      </c>
      <c r="G231">
        <v>269</v>
      </c>
      <c r="H231">
        <v>0</v>
      </c>
      <c r="I231">
        <v>38</v>
      </c>
      <c r="J231" t="s">
        <v>818</v>
      </c>
      <c r="K231">
        <f>+WEEKNUM(AV_PLAN[[#This Row],[Días]])</f>
        <v>40</v>
      </c>
      <c r="L231" s="4">
        <f>IFERROR(AV_PLAN[[#This Row],[INICIO REAL ACUMULADO]]/AV_PLAN[[#This Row],[PLAN ACUMULADO]],"")</f>
        <v>0.32268370607028751</v>
      </c>
      <c r="M231" s="4">
        <f>IFERROR(AV_PLAN[[#This Row],[TERMINO REAL ACUMULADO]]/AV_PLAN[[#This Row],[TERMINO PLAN ACUMULADO]],"")</f>
        <v>0.14126394052044611</v>
      </c>
      <c r="N231">
        <f>+AV_PLAN[[#This Row],[PLAN ACUMULADO]]-AV_PLAN[[#This Row],[INICIO REAL ACUMULADO]]</f>
        <v>212</v>
      </c>
      <c r="O231">
        <f>+AV_PLAN[[#This Row],[TERMINO PLAN ACUMULADO]]-AV_PLAN[[#This Row],[TERMINO REAL ACUMULADO]]</f>
        <v>231</v>
      </c>
      <c r="P23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1" s="7">
        <f>+AV_PLAN[[#This Row],[PLAN ACUMULADO]]/$C$471</f>
        <v>0.44460227272727271</v>
      </c>
      <c r="R231" s="7">
        <f t="shared" si="6"/>
        <v>0.14346590909090909</v>
      </c>
      <c r="S231" s="7">
        <f>+AV_PLAN[[#This Row],[TERMINO PLAN ACUMULADO]]/$G$471</f>
        <v>0.38210227272727271</v>
      </c>
      <c r="T231" s="7">
        <f t="shared" si="7"/>
        <v>5.3977272727272728E-2</v>
      </c>
      <c r="U231" s="7">
        <f>+(AV_PLAN[[#This Row],[%AVANCE INICIO PLANIFICADO]]+AV_PLAN[[#This Row],[%AVANCE TERMINO PLANIFICADO]])/2</f>
        <v>0.41335227272727271</v>
      </c>
    </row>
    <row r="232" spans="1:21" x14ac:dyDescent="0.25">
      <c r="A232" s="1">
        <v>46299</v>
      </c>
      <c r="B232">
        <v>0</v>
      </c>
      <c r="C232">
        <v>313</v>
      </c>
      <c r="D232">
        <v>0</v>
      </c>
      <c r="E232">
        <v>101</v>
      </c>
      <c r="F232">
        <v>2</v>
      </c>
      <c r="G232">
        <v>271</v>
      </c>
      <c r="H232">
        <v>0</v>
      </c>
      <c r="I232">
        <v>38</v>
      </c>
      <c r="J232" t="s">
        <v>818</v>
      </c>
      <c r="K232">
        <f>+WEEKNUM(AV_PLAN[[#This Row],[Días]])</f>
        <v>41</v>
      </c>
      <c r="L232" s="4">
        <f>IFERROR(AV_PLAN[[#This Row],[INICIO REAL ACUMULADO]]/AV_PLAN[[#This Row],[PLAN ACUMULADO]],"")</f>
        <v>0.32268370607028751</v>
      </c>
      <c r="M232" s="4">
        <f>IFERROR(AV_PLAN[[#This Row],[TERMINO REAL ACUMULADO]]/AV_PLAN[[#This Row],[TERMINO PLAN ACUMULADO]],"")</f>
        <v>0.14022140221402213</v>
      </c>
      <c r="N232">
        <f>+AV_PLAN[[#This Row],[PLAN ACUMULADO]]-AV_PLAN[[#This Row],[INICIO REAL ACUMULADO]]</f>
        <v>212</v>
      </c>
      <c r="O232">
        <f>+AV_PLAN[[#This Row],[TERMINO PLAN ACUMULADO]]-AV_PLAN[[#This Row],[TERMINO REAL ACUMULADO]]</f>
        <v>233</v>
      </c>
      <c r="P2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2" s="7">
        <f>+AV_PLAN[[#This Row],[PLAN ACUMULADO]]/$C$471</f>
        <v>0.44460227272727271</v>
      </c>
      <c r="R232" s="7">
        <f t="shared" si="6"/>
        <v>0.14346590909090909</v>
      </c>
      <c r="S232" s="7">
        <f>+AV_PLAN[[#This Row],[TERMINO PLAN ACUMULADO]]/$G$471</f>
        <v>0.38494318181818182</v>
      </c>
      <c r="T232" s="7">
        <f t="shared" si="7"/>
        <v>5.3977272727272728E-2</v>
      </c>
      <c r="U232" s="7">
        <f>+(AV_PLAN[[#This Row],[%AVANCE INICIO PLANIFICADO]]+AV_PLAN[[#This Row],[%AVANCE TERMINO PLANIFICADO]])/2</f>
        <v>0.41477272727272729</v>
      </c>
    </row>
    <row r="233" spans="1:21" x14ac:dyDescent="0.25">
      <c r="A233" s="1">
        <v>46300</v>
      </c>
      <c r="B233">
        <v>3</v>
      </c>
      <c r="C233">
        <v>316</v>
      </c>
      <c r="D233">
        <v>0</v>
      </c>
      <c r="E233">
        <v>101</v>
      </c>
      <c r="F233">
        <v>1</v>
      </c>
      <c r="G233">
        <v>272</v>
      </c>
      <c r="H233">
        <v>0</v>
      </c>
      <c r="I233">
        <v>38</v>
      </c>
      <c r="J233" t="s">
        <v>818</v>
      </c>
      <c r="K233">
        <f>+WEEKNUM(AV_PLAN[[#This Row],[Días]])</f>
        <v>41</v>
      </c>
      <c r="L233" s="4">
        <f>IFERROR(AV_PLAN[[#This Row],[INICIO REAL ACUMULADO]]/AV_PLAN[[#This Row],[PLAN ACUMULADO]],"")</f>
        <v>0.31962025316455694</v>
      </c>
      <c r="M233" s="4">
        <f>IFERROR(AV_PLAN[[#This Row],[TERMINO REAL ACUMULADO]]/AV_PLAN[[#This Row],[TERMINO PLAN ACUMULADO]],"")</f>
        <v>0.13970588235294118</v>
      </c>
      <c r="N233">
        <f>+AV_PLAN[[#This Row],[PLAN ACUMULADO]]-AV_PLAN[[#This Row],[INICIO REAL ACUMULADO]]</f>
        <v>215</v>
      </c>
      <c r="O233">
        <f>+AV_PLAN[[#This Row],[TERMINO PLAN ACUMULADO]]-AV_PLAN[[#This Row],[TERMINO REAL ACUMULADO]]</f>
        <v>234</v>
      </c>
      <c r="P2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3" s="7">
        <f>+AV_PLAN[[#This Row],[PLAN ACUMULADO]]/$C$471</f>
        <v>0.44886363636363635</v>
      </c>
      <c r="R233" s="7">
        <f t="shared" si="6"/>
        <v>0.14346590909090909</v>
      </c>
      <c r="S233" s="7">
        <f>+AV_PLAN[[#This Row],[TERMINO PLAN ACUMULADO]]/$G$471</f>
        <v>0.38636363636363635</v>
      </c>
      <c r="T233" s="7">
        <f t="shared" si="7"/>
        <v>5.3977272727272728E-2</v>
      </c>
      <c r="U233" s="7">
        <f>+(AV_PLAN[[#This Row],[%AVANCE INICIO PLANIFICADO]]+AV_PLAN[[#This Row],[%AVANCE TERMINO PLANIFICADO]])/2</f>
        <v>0.41761363636363635</v>
      </c>
    </row>
    <row r="234" spans="1:21" x14ac:dyDescent="0.25">
      <c r="A234" s="1">
        <v>46301</v>
      </c>
      <c r="B234">
        <v>3</v>
      </c>
      <c r="C234">
        <v>319</v>
      </c>
      <c r="D234">
        <v>0</v>
      </c>
      <c r="E234">
        <v>101</v>
      </c>
      <c r="F234">
        <v>0</v>
      </c>
      <c r="G234">
        <v>272</v>
      </c>
      <c r="H234">
        <v>0</v>
      </c>
      <c r="I234">
        <v>38</v>
      </c>
      <c r="J234" t="s">
        <v>818</v>
      </c>
      <c r="K234">
        <f>+WEEKNUM(AV_PLAN[[#This Row],[Días]])</f>
        <v>41</v>
      </c>
      <c r="L234" s="4">
        <f>IFERROR(AV_PLAN[[#This Row],[INICIO REAL ACUMULADO]]/AV_PLAN[[#This Row],[PLAN ACUMULADO]],"")</f>
        <v>0.31661442006269591</v>
      </c>
      <c r="M234" s="4">
        <f>IFERROR(AV_PLAN[[#This Row],[TERMINO REAL ACUMULADO]]/AV_PLAN[[#This Row],[TERMINO PLAN ACUMULADO]],"")</f>
        <v>0.13970588235294118</v>
      </c>
      <c r="N234">
        <f>+AV_PLAN[[#This Row],[PLAN ACUMULADO]]-AV_PLAN[[#This Row],[INICIO REAL ACUMULADO]]</f>
        <v>218</v>
      </c>
      <c r="O234">
        <f>+AV_PLAN[[#This Row],[TERMINO PLAN ACUMULADO]]-AV_PLAN[[#This Row],[TERMINO REAL ACUMULADO]]</f>
        <v>234</v>
      </c>
      <c r="P2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4" s="7">
        <f>+AV_PLAN[[#This Row],[PLAN ACUMULADO]]/$C$471</f>
        <v>0.453125</v>
      </c>
      <c r="R234" s="7">
        <f t="shared" si="6"/>
        <v>0.14346590909090909</v>
      </c>
      <c r="S234" s="7">
        <f>+AV_PLAN[[#This Row],[TERMINO PLAN ACUMULADO]]/$G$471</f>
        <v>0.38636363636363635</v>
      </c>
      <c r="T234" s="7">
        <f t="shared" si="7"/>
        <v>5.3977272727272728E-2</v>
      </c>
      <c r="U234" s="7">
        <f>+(AV_PLAN[[#This Row],[%AVANCE INICIO PLANIFICADO]]+AV_PLAN[[#This Row],[%AVANCE TERMINO PLANIFICADO]])/2</f>
        <v>0.41974431818181818</v>
      </c>
    </row>
    <row r="235" spans="1:21" x14ac:dyDescent="0.25">
      <c r="A235" s="1">
        <v>46302</v>
      </c>
      <c r="B235">
        <v>3</v>
      </c>
      <c r="C235">
        <v>322</v>
      </c>
      <c r="D235">
        <v>0</v>
      </c>
      <c r="E235">
        <v>101</v>
      </c>
      <c r="F235">
        <v>1</v>
      </c>
      <c r="G235">
        <v>273</v>
      </c>
      <c r="H235">
        <v>0</v>
      </c>
      <c r="I235">
        <v>38</v>
      </c>
      <c r="J235" t="s">
        <v>818</v>
      </c>
      <c r="K235">
        <f>+WEEKNUM(AV_PLAN[[#This Row],[Días]])</f>
        <v>41</v>
      </c>
      <c r="L235" s="4">
        <f>IFERROR(AV_PLAN[[#This Row],[INICIO REAL ACUMULADO]]/AV_PLAN[[#This Row],[PLAN ACUMULADO]],"")</f>
        <v>0.31366459627329191</v>
      </c>
      <c r="M235" s="4">
        <f>IFERROR(AV_PLAN[[#This Row],[TERMINO REAL ACUMULADO]]/AV_PLAN[[#This Row],[TERMINO PLAN ACUMULADO]],"")</f>
        <v>0.1391941391941392</v>
      </c>
      <c r="N235">
        <f>+AV_PLAN[[#This Row],[PLAN ACUMULADO]]-AV_PLAN[[#This Row],[INICIO REAL ACUMULADO]]</f>
        <v>221</v>
      </c>
      <c r="O235">
        <f>+AV_PLAN[[#This Row],[TERMINO PLAN ACUMULADO]]-AV_PLAN[[#This Row],[TERMINO REAL ACUMULADO]]</f>
        <v>235</v>
      </c>
      <c r="P2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5" s="7">
        <f>+AV_PLAN[[#This Row],[PLAN ACUMULADO]]/$C$471</f>
        <v>0.45738636363636365</v>
      </c>
      <c r="R235" s="7">
        <f t="shared" si="6"/>
        <v>0.14346590909090909</v>
      </c>
      <c r="S235" s="7">
        <f>+AV_PLAN[[#This Row],[TERMINO PLAN ACUMULADO]]/$G$471</f>
        <v>0.38778409090909088</v>
      </c>
      <c r="T235" s="7">
        <f t="shared" si="7"/>
        <v>5.3977272727272728E-2</v>
      </c>
      <c r="U235" s="7">
        <f>+(AV_PLAN[[#This Row],[%AVANCE INICIO PLANIFICADO]]+AV_PLAN[[#This Row],[%AVANCE TERMINO PLANIFICADO]])/2</f>
        <v>0.42258522727272729</v>
      </c>
    </row>
    <row r="236" spans="1:21" x14ac:dyDescent="0.25">
      <c r="A236" s="1">
        <v>46303</v>
      </c>
      <c r="B236">
        <v>3</v>
      </c>
      <c r="C236">
        <v>325</v>
      </c>
      <c r="D236">
        <v>0</v>
      </c>
      <c r="E236">
        <v>101</v>
      </c>
      <c r="F236">
        <v>2</v>
      </c>
      <c r="G236">
        <v>275</v>
      </c>
      <c r="H236">
        <v>0</v>
      </c>
      <c r="I236">
        <v>38</v>
      </c>
      <c r="J236" t="s">
        <v>818</v>
      </c>
      <c r="K236">
        <f>+WEEKNUM(AV_PLAN[[#This Row],[Días]])</f>
        <v>41</v>
      </c>
      <c r="L236" s="4">
        <f>IFERROR(AV_PLAN[[#This Row],[INICIO REAL ACUMULADO]]/AV_PLAN[[#This Row],[PLAN ACUMULADO]],"")</f>
        <v>0.31076923076923074</v>
      </c>
      <c r="M236" s="4">
        <f>IFERROR(AV_PLAN[[#This Row],[TERMINO REAL ACUMULADO]]/AV_PLAN[[#This Row],[TERMINO PLAN ACUMULADO]],"")</f>
        <v>0.13818181818181818</v>
      </c>
      <c r="N236">
        <f>+AV_PLAN[[#This Row],[PLAN ACUMULADO]]-AV_PLAN[[#This Row],[INICIO REAL ACUMULADO]]</f>
        <v>224</v>
      </c>
      <c r="O236">
        <f>+AV_PLAN[[#This Row],[TERMINO PLAN ACUMULADO]]-AV_PLAN[[#This Row],[TERMINO REAL ACUMULADO]]</f>
        <v>237</v>
      </c>
      <c r="P2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6" s="7">
        <f>+AV_PLAN[[#This Row],[PLAN ACUMULADO]]/$C$471</f>
        <v>0.46164772727272729</v>
      </c>
      <c r="R236" s="7">
        <f t="shared" si="6"/>
        <v>0.14346590909090909</v>
      </c>
      <c r="S236" s="7">
        <f>+AV_PLAN[[#This Row],[TERMINO PLAN ACUMULADO]]/$G$471</f>
        <v>0.390625</v>
      </c>
      <c r="T236" s="7">
        <f t="shared" si="7"/>
        <v>5.3977272727272728E-2</v>
      </c>
      <c r="U236" s="7">
        <f>+(AV_PLAN[[#This Row],[%AVANCE INICIO PLANIFICADO]]+AV_PLAN[[#This Row],[%AVANCE TERMINO PLANIFICADO]])/2</f>
        <v>0.42613636363636365</v>
      </c>
    </row>
    <row r="237" spans="1:21" x14ac:dyDescent="0.25">
      <c r="A237" s="1">
        <v>46304</v>
      </c>
      <c r="B237">
        <v>3</v>
      </c>
      <c r="C237">
        <v>328</v>
      </c>
      <c r="D237">
        <v>0</v>
      </c>
      <c r="E237">
        <v>101</v>
      </c>
      <c r="F237">
        <v>2</v>
      </c>
      <c r="G237">
        <v>277</v>
      </c>
      <c r="H237">
        <v>0</v>
      </c>
      <c r="I237">
        <v>38</v>
      </c>
      <c r="J237" t="s">
        <v>818</v>
      </c>
      <c r="K237">
        <f>+WEEKNUM(AV_PLAN[[#This Row],[Días]])</f>
        <v>41</v>
      </c>
      <c r="L237" s="4">
        <f>IFERROR(AV_PLAN[[#This Row],[INICIO REAL ACUMULADO]]/AV_PLAN[[#This Row],[PLAN ACUMULADO]],"")</f>
        <v>0.30792682926829268</v>
      </c>
      <c r="M237" s="4">
        <f>IFERROR(AV_PLAN[[#This Row],[TERMINO REAL ACUMULADO]]/AV_PLAN[[#This Row],[TERMINO PLAN ACUMULADO]],"")</f>
        <v>0.13718411552346571</v>
      </c>
      <c r="N237">
        <f>+AV_PLAN[[#This Row],[PLAN ACUMULADO]]-AV_PLAN[[#This Row],[INICIO REAL ACUMULADO]]</f>
        <v>227</v>
      </c>
      <c r="O237">
        <f>+AV_PLAN[[#This Row],[TERMINO PLAN ACUMULADO]]-AV_PLAN[[#This Row],[TERMINO REAL ACUMULADO]]</f>
        <v>239</v>
      </c>
      <c r="P2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7" s="7">
        <f>+AV_PLAN[[#This Row],[PLAN ACUMULADO]]/$C$471</f>
        <v>0.46590909090909088</v>
      </c>
      <c r="R237" s="7">
        <f t="shared" si="6"/>
        <v>0.14346590909090909</v>
      </c>
      <c r="S237" s="7">
        <f>+AV_PLAN[[#This Row],[TERMINO PLAN ACUMULADO]]/$G$471</f>
        <v>0.39346590909090912</v>
      </c>
      <c r="T237" s="7">
        <f t="shared" si="7"/>
        <v>5.3977272727272728E-2</v>
      </c>
      <c r="U237" s="7">
        <f>+(AV_PLAN[[#This Row],[%AVANCE INICIO PLANIFICADO]]+AV_PLAN[[#This Row],[%AVANCE TERMINO PLANIFICADO]])/2</f>
        <v>0.4296875</v>
      </c>
    </row>
    <row r="238" spans="1:21" x14ac:dyDescent="0.25">
      <c r="A238" s="1">
        <v>46305</v>
      </c>
      <c r="B238">
        <v>0</v>
      </c>
      <c r="C238">
        <v>328</v>
      </c>
      <c r="D238">
        <v>0</v>
      </c>
      <c r="E238">
        <v>101</v>
      </c>
      <c r="F238">
        <v>1</v>
      </c>
      <c r="G238">
        <v>278</v>
      </c>
      <c r="H238">
        <v>0</v>
      </c>
      <c r="I238">
        <v>38</v>
      </c>
      <c r="J238" t="s">
        <v>818</v>
      </c>
      <c r="K238">
        <f>+WEEKNUM(AV_PLAN[[#This Row],[Días]])</f>
        <v>41</v>
      </c>
      <c r="L238" s="4">
        <f>IFERROR(AV_PLAN[[#This Row],[INICIO REAL ACUMULADO]]/AV_PLAN[[#This Row],[PLAN ACUMULADO]],"")</f>
        <v>0.30792682926829268</v>
      </c>
      <c r="M238" s="4">
        <f>IFERROR(AV_PLAN[[#This Row],[TERMINO REAL ACUMULADO]]/AV_PLAN[[#This Row],[TERMINO PLAN ACUMULADO]],"")</f>
        <v>0.1366906474820144</v>
      </c>
      <c r="N238">
        <f>+AV_PLAN[[#This Row],[PLAN ACUMULADO]]-AV_PLAN[[#This Row],[INICIO REAL ACUMULADO]]</f>
        <v>227</v>
      </c>
      <c r="O238">
        <f>+AV_PLAN[[#This Row],[TERMINO PLAN ACUMULADO]]-AV_PLAN[[#This Row],[TERMINO REAL ACUMULADO]]</f>
        <v>240</v>
      </c>
      <c r="P2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8" s="7">
        <f>+AV_PLAN[[#This Row],[PLAN ACUMULADO]]/$C$471</f>
        <v>0.46590909090909088</v>
      </c>
      <c r="R238" s="7">
        <f t="shared" si="6"/>
        <v>0.14346590909090909</v>
      </c>
      <c r="S238" s="7">
        <f>+AV_PLAN[[#This Row],[TERMINO PLAN ACUMULADO]]/$G$471</f>
        <v>0.39488636363636365</v>
      </c>
      <c r="T238" s="7">
        <f t="shared" si="7"/>
        <v>5.3977272727272728E-2</v>
      </c>
      <c r="U238" s="7">
        <f>+(AV_PLAN[[#This Row],[%AVANCE INICIO PLANIFICADO]]+AV_PLAN[[#This Row],[%AVANCE TERMINO PLANIFICADO]])/2</f>
        <v>0.43039772727272729</v>
      </c>
    </row>
    <row r="239" spans="1:21" x14ac:dyDescent="0.25">
      <c r="A239" s="1">
        <v>46306</v>
      </c>
      <c r="B239">
        <v>0</v>
      </c>
      <c r="C239">
        <v>328</v>
      </c>
      <c r="D239">
        <v>0</v>
      </c>
      <c r="E239">
        <v>101</v>
      </c>
      <c r="F239">
        <v>3</v>
      </c>
      <c r="G239">
        <v>281</v>
      </c>
      <c r="H239">
        <v>0</v>
      </c>
      <c r="I239">
        <v>38</v>
      </c>
      <c r="J239" t="s">
        <v>818</v>
      </c>
      <c r="K239">
        <f>+WEEKNUM(AV_PLAN[[#This Row],[Días]])</f>
        <v>42</v>
      </c>
      <c r="L239" s="4">
        <f>IFERROR(AV_PLAN[[#This Row],[INICIO REAL ACUMULADO]]/AV_PLAN[[#This Row],[PLAN ACUMULADO]],"")</f>
        <v>0.30792682926829268</v>
      </c>
      <c r="M239" s="4">
        <f>IFERROR(AV_PLAN[[#This Row],[TERMINO REAL ACUMULADO]]/AV_PLAN[[#This Row],[TERMINO PLAN ACUMULADO]],"")</f>
        <v>0.13523131672597866</v>
      </c>
      <c r="N239">
        <f>+AV_PLAN[[#This Row],[PLAN ACUMULADO]]-AV_PLAN[[#This Row],[INICIO REAL ACUMULADO]]</f>
        <v>227</v>
      </c>
      <c r="O239">
        <f>+AV_PLAN[[#This Row],[TERMINO PLAN ACUMULADO]]-AV_PLAN[[#This Row],[TERMINO REAL ACUMULADO]]</f>
        <v>243</v>
      </c>
      <c r="P2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9" s="7">
        <f>+AV_PLAN[[#This Row],[PLAN ACUMULADO]]/$C$471</f>
        <v>0.46590909090909088</v>
      </c>
      <c r="R239" s="7">
        <f t="shared" si="6"/>
        <v>0.14346590909090909</v>
      </c>
      <c r="S239" s="7">
        <f>+AV_PLAN[[#This Row],[TERMINO PLAN ACUMULADO]]/$G$471</f>
        <v>0.39914772727272729</v>
      </c>
      <c r="T239" s="7">
        <f t="shared" si="7"/>
        <v>5.3977272727272728E-2</v>
      </c>
      <c r="U239" s="7">
        <f>+(AV_PLAN[[#This Row],[%AVANCE INICIO PLANIFICADO]]+AV_PLAN[[#This Row],[%AVANCE TERMINO PLANIFICADO]])/2</f>
        <v>0.43252840909090906</v>
      </c>
    </row>
    <row r="240" spans="1:21" x14ac:dyDescent="0.25">
      <c r="A240" s="1">
        <v>46307</v>
      </c>
      <c r="B240">
        <v>3</v>
      </c>
      <c r="C240">
        <v>331</v>
      </c>
      <c r="D240">
        <v>0</v>
      </c>
      <c r="E240">
        <v>101</v>
      </c>
      <c r="F240">
        <v>2</v>
      </c>
      <c r="G240">
        <v>283</v>
      </c>
      <c r="H240">
        <v>0</v>
      </c>
      <c r="I240">
        <v>38</v>
      </c>
      <c r="J240" t="s">
        <v>818</v>
      </c>
      <c r="K240">
        <f>+WEEKNUM(AV_PLAN[[#This Row],[Días]])</f>
        <v>42</v>
      </c>
      <c r="L240" s="4">
        <f>IFERROR(AV_PLAN[[#This Row],[INICIO REAL ACUMULADO]]/AV_PLAN[[#This Row],[PLAN ACUMULADO]],"")</f>
        <v>0.30513595166163143</v>
      </c>
      <c r="M240" s="4">
        <f>IFERROR(AV_PLAN[[#This Row],[TERMINO REAL ACUMULADO]]/AV_PLAN[[#This Row],[TERMINO PLAN ACUMULADO]],"")</f>
        <v>0.13427561837455831</v>
      </c>
      <c r="N240">
        <f>+AV_PLAN[[#This Row],[PLAN ACUMULADO]]-AV_PLAN[[#This Row],[INICIO REAL ACUMULADO]]</f>
        <v>230</v>
      </c>
      <c r="O240">
        <f>+AV_PLAN[[#This Row],[TERMINO PLAN ACUMULADO]]-AV_PLAN[[#This Row],[TERMINO REAL ACUMULADO]]</f>
        <v>245</v>
      </c>
      <c r="P2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0" s="7">
        <f>+AV_PLAN[[#This Row],[PLAN ACUMULADO]]/$C$471</f>
        <v>0.47017045454545453</v>
      </c>
      <c r="R240" s="7">
        <f t="shared" si="6"/>
        <v>0.14346590909090909</v>
      </c>
      <c r="S240" s="7">
        <f>+AV_PLAN[[#This Row],[TERMINO PLAN ACUMULADO]]/$G$471</f>
        <v>0.40198863636363635</v>
      </c>
      <c r="T240" s="7">
        <f t="shared" si="7"/>
        <v>5.3977272727272728E-2</v>
      </c>
      <c r="U240" s="7">
        <f>+(AV_PLAN[[#This Row],[%AVANCE INICIO PLANIFICADO]]+AV_PLAN[[#This Row],[%AVANCE TERMINO PLANIFICADO]])/2</f>
        <v>0.43607954545454541</v>
      </c>
    </row>
    <row r="241" spans="1:21" x14ac:dyDescent="0.25">
      <c r="A241" s="1">
        <v>46308</v>
      </c>
      <c r="B241">
        <v>3</v>
      </c>
      <c r="C241">
        <v>334</v>
      </c>
      <c r="D241">
        <v>0</v>
      </c>
      <c r="E241">
        <v>101</v>
      </c>
      <c r="F241">
        <v>1</v>
      </c>
      <c r="G241">
        <v>284</v>
      </c>
      <c r="H241">
        <v>0</v>
      </c>
      <c r="I241">
        <v>38</v>
      </c>
      <c r="J241" t="s">
        <v>818</v>
      </c>
      <c r="K241">
        <f>+WEEKNUM(AV_PLAN[[#This Row],[Días]])</f>
        <v>42</v>
      </c>
      <c r="L241" s="4">
        <f>IFERROR(AV_PLAN[[#This Row],[INICIO REAL ACUMULADO]]/AV_PLAN[[#This Row],[PLAN ACUMULADO]],"")</f>
        <v>0.30239520958083832</v>
      </c>
      <c r="M241" s="4">
        <f>IFERROR(AV_PLAN[[#This Row],[TERMINO REAL ACUMULADO]]/AV_PLAN[[#This Row],[TERMINO PLAN ACUMULADO]],"")</f>
        <v>0.13380281690140844</v>
      </c>
      <c r="N241">
        <f>+AV_PLAN[[#This Row],[PLAN ACUMULADO]]-AV_PLAN[[#This Row],[INICIO REAL ACUMULADO]]</f>
        <v>233</v>
      </c>
      <c r="O241">
        <f>+AV_PLAN[[#This Row],[TERMINO PLAN ACUMULADO]]-AV_PLAN[[#This Row],[TERMINO REAL ACUMULADO]]</f>
        <v>246</v>
      </c>
      <c r="P2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1" s="7">
        <f>+AV_PLAN[[#This Row],[PLAN ACUMULADO]]/$C$471</f>
        <v>0.47443181818181818</v>
      </c>
      <c r="R241" s="7">
        <f t="shared" si="6"/>
        <v>0.14346590909090909</v>
      </c>
      <c r="S241" s="7">
        <f>+AV_PLAN[[#This Row],[TERMINO PLAN ACUMULADO]]/$G$471</f>
        <v>0.40340909090909088</v>
      </c>
      <c r="T241" s="7">
        <f t="shared" si="7"/>
        <v>5.3977272727272728E-2</v>
      </c>
      <c r="U241" s="7">
        <f>+(AV_PLAN[[#This Row],[%AVANCE INICIO PLANIFICADO]]+AV_PLAN[[#This Row],[%AVANCE TERMINO PLANIFICADO]])/2</f>
        <v>0.43892045454545453</v>
      </c>
    </row>
    <row r="242" spans="1:21" x14ac:dyDescent="0.25">
      <c r="A242" s="1">
        <v>46309</v>
      </c>
      <c r="B242">
        <v>3</v>
      </c>
      <c r="C242">
        <v>337</v>
      </c>
      <c r="D242">
        <v>0</v>
      </c>
      <c r="E242">
        <v>101</v>
      </c>
      <c r="F242">
        <v>3</v>
      </c>
      <c r="G242">
        <v>287</v>
      </c>
      <c r="H242">
        <v>0</v>
      </c>
      <c r="I242">
        <v>38</v>
      </c>
      <c r="J242" t="s">
        <v>818</v>
      </c>
      <c r="K242">
        <f>+WEEKNUM(AV_PLAN[[#This Row],[Días]])</f>
        <v>42</v>
      </c>
      <c r="L242" s="4">
        <f>IFERROR(AV_PLAN[[#This Row],[INICIO REAL ACUMULADO]]/AV_PLAN[[#This Row],[PLAN ACUMULADO]],"")</f>
        <v>0.29970326409495551</v>
      </c>
      <c r="M242" s="4">
        <f>IFERROR(AV_PLAN[[#This Row],[TERMINO REAL ACUMULADO]]/AV_PLAN[[#This Row],[TERMINO PLAN ACUMULADO]],"")</f>
        <v>0.13240418118466898</v>
      </c>
      <c r="N242">
        <f>+AV_PLAN[[#This Row],[PLAN ACUMULADO]]-AV_PLAN[[#This Row],[INICIO REAL ACUMULADO]]</f>
        <v>236</v>
      </c>
      <c r="O242">
        <f>+AV_PLAN[[#This Row],[TERMINO PLAN ACUMULADO]]-AV_PLAN[[#This Row],[TERMINO REAL ACUMULADO]]</f>
        <v>249</v>
      </c>
      <c r="P2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2" s="7">
        <f>+AV_PLAN[[#This Row],[PLAN ACUMULADO]]/$C$471</f>
        <v>0.47869318181818182</v>
      </c>
      <c r="R242" s="7">
        <f t="shared" si="6"/>
        <v>0.14346590909090909</v>
      </c>
      <c r="S242" s="7">
        <f>+AV_PLAN[[#This Row],[TERMINO PLAN ACUMULADO]]/$G$471</f>
        <v>0.40767045454545453</v>
      </c>
      <c r="T242" s="7">
        <f t="shared" si="7"/>
        <v>5.3977272727272728E-2</v>
      </c>
      <c r="U242" s="7">
        <f>+(AV_PLAN[[#This Row],[%AVANCE INICIO PLANIFICADO]]+AV_PLAN[[#This Row],[%AVANCE TERMINO PLANIFICADO]])/2</f>
        <v>0.44318181818181818</v>
      </c>
    </row>
    <row r="243" spans="1:21" x14ac:dyDescent="0.25">
      <c r="A243" s="1">
        <v>46310</v>
      </c>
      <c r="B243">
        <v>3</v>
      </c>
      <c r="C243">
        <v>340</v>
      </c>
      <c r="D243">
        <v>0</v>
      </c>
      <c r="E243">
        <v>101</v>
      </c>
      <c r="F243">
        <v>4</v>
      </c>
      <c r="G243">
        <v>291</v>
      </c>
      <c r="H243">
        <v>0</v>
      </c>
      <c r="I243">
        <v>38</v>
      </c>
      <c r="J243" t="s">
        <v>818</v>
      </c>
      <c r="K243">
        <f>+WEEKNUM(AV_PLAN[[#This Row],[Días]])</f>
        <v>42</v>
      </c>
      <c r="L243" s="4">
        <f>IFERROR(AV_PLAN[[#This Row],[INICIO REAL ACUMULADO]]/AV_PLAN[[#This Row],[PLAN ACUMULADO]],"")</f>
        <v>0.29705882352941176</v>
      </c>
      <c r="M243" s="4">
        <f>IFERROR(AV_PLAN[[#This Row],[TERMINO REAL ACUMULADO]]/AV_PLAN[[#This Row],[TERMINO PLAN ACUMULADO]],"")</f>
        <v>0.13058419243986255</v>
      </c>
      <c r="N243">
        <f>+AV_PLAN[[#This Row],[PLAN ACUMULADO]]-AV_PLAN[[#This Row],[INICIO REAL ACUMULADO]]</f>
        <v>239</v>
      </c>
      <c r="O243">
        <f>+AV_PLAN[[#This Row],[TERMINO PLAN ACUMULADO]]-AV_PLAN[[#This Row],[TERMINO REAL ACUMULADO]]</f>
        <v>253</v>
      </c>
      <c r="P2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3" s="7">
        <f>+AV_PLAN[[#This Row],[PLAN ACUMULADO]]/$C$471</f>
        <v>0.48295454545454547</v>
      </c>
      <c r="R243" s="7">
        <f t="shared" si="6"/>
        <v>0.14346590909090909</v>
      </c>
      <c r="S243" s="7">
        <f>+AV_PLAN[[#This Row],[TERMINO PLAN ACUMULADO]]/$G$471</f>
        <v>0.41335227272727271</v>
      </c>
      <c r="T243" s="7">
        <f t="shared" si="7"/>
        <v>5.3977272727272728E-2</v>
      </c>
      <c r="U243" s="7">
        <f>+(AV_PLAN[[#This Row],[%AVANCE INICIO PLANIFICADO]]+AV_PLAN[[#This Row],[%AVANCE TERMINO PLANIFICADO]])/2</f>
        <v>0.44815340909090906</v>
      </c>
    </row>
    <row r="244" spans="1:21" x14ac:dyDescent="0.25">
      <c r="A244" s="1">
        <v>46311</v>
      </c>
      <c r="B244">
        <v>3</v>
      </c>
      <c r="C244">
        <v>343</v>
      </c>
      <c r="D244">
        <v>0</v>
      </c>
      <c r="E244">
        <v>101</v>
      </c>
      <c r="F244">
        <v>0</v>
      </c>
      <c r="G244">
        <v>291</v>
      </c>
      <c r="H244">
        <v>0</v>
      </c>
      <c r="I244">
        <v>38</v>
      </c>
      <c r="J244" t="s">
        <v>818</v>
      </c>
      <c r="K244">
        <f>+WEEKNUM(AV_PLAN[[#This Row],[Días]])</f>
        <v>42</v>
      </c>
      <c r="L244" s="4">
        <f>IFERROR(AV_PLAN[[#This Row],[INICIO REAL ACUMULADO]]/AV_PLAN[[#This Row],[PLAN ACUMULADO]],"")</f>
        <v>0.29446064139941691</v>
      </c>
      <c r="M244" s="4">
        <f>IFERROR(AV_PLAN[[#This Row],[TERMINO REAL ACUMULADO]]/AV_PLAN[[#This Row],[TERMINO PLAN ACUMULADO]],"")</f>
        <v>0.13058419243986255</v>
      </c>
      <c r="N244">
        <f>+AV_PLAN[[#This Row],[PLAN ACUMULADO]]-AV_PLAN[[#This Row],[INICIO REAL ACUMULADO]]</f>
        <v>242</v>
      </c>
      <c r="O244">
        <f>+AV_PLAN[[#This Row],[TERMINO PLAN ACUMULADO]]-AV_PLAN[[#This Row],[TERMINO REAL ACUMULADO]]</f>
        <v>253</v>
      </c>
      <c r="P2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4" s="7">
        <f>+AV_PLAN[[#This Row],[PLAN ACUMULADO]]/$C$471</f>
        <v>0.48721590909090912</v>
      </c>
      <c r="R244" s="7">
        <f t="shared" si="6"/>
        <v>0.14346590909090909</v>
      </c>
      <c r="S244" s="7">
        <f>+AV_PLAN[[#This Row],[TERMINO PLAN ACUMULADO]]/$G$471</f>
        <v>0.41335227272727271</v>
      </c>
      <c r="T244" s="7">
        <f t="shared" si="7"/>
        <v>5.3977272727272728E-2</v>
      </c>
      <c r="U244" s="7">
        <f>+(AV_PLAN[[#This Row],[%AVANCE INICIO PLANIFICADO]]+AV_PLAN[[#This Row],[%AVANCE TERMINO PLANIFICADO]])/2</f>
        <v>0.45028409090909094</v>
      </c>
    </row>
    <row r="245" spans="1:21" x14ac:dyDescent="0.25">
      <c r="A245" s="1">
        <v>46312</v>
      </c>
      <c r="B245">
        <v>0</v>
      </c>
      <c r="C245">
        <v>343</v>
      </c>
      <c r="D245">
        <v>0</v>
      </c>
      <c r="E245">
        <v>101</v>
      </c>
      <c r="F245">
        <v>0</v>
      </c>
      <c r="G245">
        <v>291</v>
      </c>
      <c r="H245">
        <v>0</v>
      </c>
      <c r="I245">
        <v>38</v>
      </c>
      <c r="J245" t="s">
        <v>818</v>
      </c>
      <c r="K245">
        <f>+WEEKNUM(AV_PLAN[[#This Row],[Días]])</f>
        <v>42</v>
      </c>
      <c r="L245" s="4">
        <f>IFERROR(AV_PLAN[[#This Row],[INICIO REAL ACUMULADO]]/AV_PLAN[[#This Row],[PLAN ACUMULADO]],"")</f>
        <v>0.29446064139941691</v>
      </c>
      <c r="M245" s="4">
        <f>IFERROR(AV_PLAN[[#This Row],[TERMINO REAL ACUMULADO]]/AV_PLAN[[#This Row],[TERMINO PLAN ACUMULADO]],"")</f>
        <v>0.13058419243986255</v>
      </c>
      <c r="N245">
        <f>+AV_PLAN[[#This Row],[PLAN ACUMULADO]]-AV_PLAN[[#This Row],[INICIO REAL ACUMULADO]]</f>
        <v>242</v>
      </c>
      <c r="O245">
        <f>+AV_PLAN[[#This Row],[TERMINO PLAN ACUMULADO]]-AV_PLAN[[#This Row],[TERMINO REAL ACUMULADO]]</f>
        <v>253</v>
      </c>
      <c r="P2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5" s="7">
        <f>+AV_PLAN[[#This Row],[PLAN ACUMULADO]]/$C$471</f>
        <v>0.48721590909090912</v>
      </c>
      <c r="R245" s="7">
        <f t="shared" si="6"/>
        <v>0.14346590909090909</v>
      </c>
      <c r="S245" s="7">
        <f>+AV_PLAN[[#This Row],[TERMINO PLAN ACUMULADO]]/$G$471</f>
        <v>0.41335227272727271</v>
      </c>
      <c r="T245" s="7">
        <f t="shared" si="7"/>
        <v>5.3977272727272728E-2</v>
      </c>
      <c r="U245" s="7">
        <f>+(AV_PLAN[[#This Row],[%AVANCE INICIO PLANIFICADO]]+AV_PLAN[[#This Row],[%AVANCE TERMINO PLANIFICADO]])/2</f>
        <v>0.45028409090909094</v>
      </c>
    </row>
    <row r="246" spans="1:21" x14ac:dyDescent="0.25">
      <c r="A246" s="1">
        <v>46313</v>
      </c>
      <c r="B246">
        <v>0</v>
      </c>
      <c r="C246">
        <v>343</v>
      </c>
      <c r="D246">
        <v>0</v>
      </c>
      <c r="E246">
        <v>101</v>
      </c>
      <c r="F246">
        <v>2</v>
      </c>
      <c r="G246">
        <v>293</v>
      </c>
      <c r="H246">
        <v>0</v>
      </c>
      <c r="I246">
        <v>38</v>
      </c>
      <c r="J246" t="s">
        <v>818</v>
      </c>
      <c r="K246">
        <f>+WEEKNUM(AV_PLAN[[#This Row],[Días]])</f>
        <v>43</v>
      </c>
      <c r="L246" s="4">
        <f>IFERROR(AV_PLAN[[#This Row],[INICIO REAL ACUMULADO]]/AV_PLAN[[#This Row],[PLAN ACUMULADO]],"")</f>
        <v>0.29446064139941691</v>
      </c>
      <c r="M246" s="4">
        <f>IFERROR(AV_PLAN[[#This Row],[TERMINO REAL ACUMULADO]]/AV_PLAN[[#This Row],[TERMINO PLAN ACUMULADO]],"")</f>
        <v>0.12969283276450511</v>
      </c>
      <c r="N246">
        <f>+AV_PLAN[[#This Row],[PLAN ACUMULADO]]-AV_PLAN[[#This Row],[INICIO REAL ACUMULADO]]</f>
        <v>242</v>
      </c>
      <c r="O246">
        <f>+AV_PLAN[[#This Row],[TERMINO PLAN ACUMULADO]]-AV_PLAN[[#This Row],[TERMINO REAL ACUMULADO]]</f>
        <v>255</v>
      </c>
      <c r="P2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6" s="7">
        <f>+AV_PLAN[[#This Row],[PLAN ACUMULADO]]/$C$471</f>
        <v>0.48721590909090912</v>
      </c>
      <c r="R246" s="7">
        <f t="shared" si="6"/>
        <v>0.14346590909090909</v>
      </c>
      <c r="S246" s="7">
        <f>+AV_PLAN[[#This Row],[TERMINO PLAN ACUMULADO]]/$G$471</f>
        <v>0.41619318181818182</v>
      </c>
      <c r="T246" s="7">
        <f t="shared" si="7"/>
        <v>5.3977272727272728E-2</v>
      </c>
      <c r="U246" s="7">
        <f>+(AV_PLAN[[#This Row],[%AVANCE INICIO PLANIFICADO]]+AV_PLAN[[#This Row],[%AVANCE TERMINO PLANIFICADO]])/2</f>
        <v>0.45170454545454547</v>
      </c>
    </row>
    <row r="247" spans="1:21" x14ac:dyDescent="0.25">
      <c r="A247" s="1">
        <v>46314</v>
      </c>
      <c r="B247">
        <v>3</v>
      </c>
      <c r="C247">
        <v>346</v>
      </c>
      <c r="D247">
        <v>0</v>
      </c>
      <c r="E247">
        <v>101</v>
      </c>
      <c r="F247">
        <v>1</v>
      </c>
      <c r="G247">
        <v>294</v>
      </c>
      <c r="H247">
        <v>0</v>
      </c>
      <c r="I247">
        <v>38</v>
      </c>
      <c r="J247" t="s">
        <v>818</v>
      </c>
      <c r="K247">
        <f>+WEEKNUM(AV_PLAN[[#This Row],[Días]])</f>
        <v>43</v>
      </c>
      <c r="L247" s="4">
        <f>IFERROR(AV_PLAN[[#This Row],[INICIO REAL ACUMULADO]]/AV_PLAN[[#This Row],[PLAN ACUMULADO]],"")</f>
        <v>0.29190751445086704</v>
      </c>
      <c r="M247" s="4">
        <f>IFERROR(AV_PLAN[[#This Row],[TERMINO REAL ACUMULADO]]/AV_PLAN[[#This Row],[TERMINO PLAN ACUMULADO]],"")</f>
        <v>0.12925170068027211</v>
      </c>
      <c r="N247">
        <f>+AV_PLAN[[#This Row],[PLAN ACUMULADO]]-AV_PLAN[[#This Row],[INICIO REAL ACUMULADO]]</f>
        <v>245</v>
      </c>
      <c r="O247">
        <f>+AV_PLAN[[#This Row],[TERMINO PLAN ACUMULADO]]-AV_PLAN[[#This Row],[TERMINO REAL ACUMULADO]]</f>
        <v>256</v>
      </c>
      <c r="P2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7" s="7">
        <f>+AV_PLAN[[#This Row],[PLAN ACUMULADO]]/$C$471</f>
        <v>0.49147727272727271</v>
      </c>
      <c r="R247" s="7">
        <f t="shared" si="6"/>
        <v>0.14346590909090909</v>
      </c>
      <c r="S247" s="7">
        <f>+AV_PLAN[[#This Row],[TERMINO PLAN ACUMULADO]]/$G$471</f>
        <v>0.41761363636363635</v>
      </c>
      <c r="T247" s="7">
        <f t="shared" si="7"/>
        <v>5.3977272727272728E-2</v>
      </c>
      <c r="U247" s="7">
        <f>+(AV_PLAN[[#This Row],[%AVANCE INICIO PLANIFICADO]]+AV_PLAN[[#This Row],[%AVANCE TERMINO PLANIFICADO]])/2</f>
        <v>0.45454545454545453</v>
      </c>
    </row>
    <row r="248" spans="1:21" x14ac:dyDescent="0.25">
      <c r="A248" s="1">
        <v>46315</v>
      </c>
      <c r="B248">
        <v>3</v>
      </c>
      <c r="C248">
        <v>349</v>
      </c>
      <c r="D248">
        <v>0</v>
      </c>
      <c r="E248">
        <v>101</v>
      </c>
      <c r="F248">
        <v>1</v>
      </c>
      <c r="G248">
        <v>295</v>
      </c>
      <c r="H248">
        <v>0</v>
      </c>
      <c r="I248">
        <v>38</v>
      </c>
      <c r="J248" t="s">
        <v>818</v>
      </c>
      <c r="K248">
        <f>+WEEKNUM(AV_PLAN[[#This Row],[Días]])</f>
        <v>43</v>
      </c>
      <c r="L248" s="4">
        <f>IFERROR(AV_PLAN[[#This Row],[INICIO REAL ACUMULADO]]/AV_PLAN[[#This Row],[PLAN ACUMULADO]],"")</f>
        <v>0.28939828080229224</v>
      </c>
      <c r="M248" s="4">
        <f>IFERROR(AV_PLAN[[#This Row],[TERMINO REAL ACUMULADO]]/AV_PLAN[[#This Row],[TERMINO PLAN ACUMULADO]],"")</f>
        <v>0.12881355932203389</v>
      </c>
      <c r="N248">
        <f>+AV_PLAN[[#This Row],[PLAN ACUMULADO]]-AV_PLAN[[#This Row],[INICIO REAL ACUMULADO]]</f>
        <v>248</v>
      </c>
      <c r="O248">
        <f>+AV_PLAN[[#This Row],[TERMINO PLAN ACUMULADO]]-AV_PLAN[[#This Row],[TERMINO REAL ACUMULADO]]</f>
        <v>257</v>
      </c>
      <c r="P2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8" s="7">
        <f>+AV_PLAN[[#This Row],[PLAN ACUMULADO]]/$C$471</f>
        <v>0.49573863636363635</v>
      </c>
      <c r="R248" s="7">
        <f t="shared" si="6"/>
        <v>0.14346590909090909</v>
      </c>
      <c r="S248" s="7">
        <f>+AV_PLAN[[#This Row],[TERMINO PLAN ACUMULADO]]/$G$471</f>
        <v>0.41903409090909088</v>
      </c>
      <c r="T248" s="7">
        <f t="shared" si="7"/>
        <v>5.3977272727272728E-2</v>
      </c>
      <c r="U248" s="7">
        <f>+(AV_PLAN[[#This Row],[%AVANCE INICIO PLANIFICADO]]+AV_PLAN[[#This Row],[%AVANCE TERMINO PLANIFICADO]])/2</f>
        <v>0.45738636363636365</v>
      </c>
    </row>
    <row r="249" spans="1:21" x14ac:dyDescent="0.25">
      <c r="A249" s="1">
        <v>46316</v>
      </c>
      <c r="B249">
        <v>3</v>
      </c>
      <c r="C249">
        <v>352</v>
      </c>
      <c r="D249">
        <v>0</v>
      </c>
      <c r="E249">
        <v>101</v>
      </c>
      <c r="F249">
        <v>3</v>
      </c>
      <c r="G249">
        <v>298</v>
      </c>
      <c r="H249">
        <v>0</v>
      </c>
      <c r="I249">
        <v>38</v>
      </c>
      <c r="J249" t="s">
        <v>818</v>
      </c>
      <c r="K249">
        <f>+WEEKNUM(AV_PLAN[[#This Row],[Días]])</f>
        <v>43</v>
      </c>
      <c r="L249" s="4">
        <f>IFERROR(AV_PLAN[[#This Row],[INICIO REAL ACUMULADO]]/AV_PLAN[[#This Row],[PLAN ACUMULADO]],"")</f>
        <v>0.28693181818181818</v>
      </c>
      <c r="M249" s="4">
        <f>IFERROR(AV_PLAN[[#This Row],[TERMINO REAL ACUMULADO]]/AV_PLAN[[#This Row],[TERMINO PLAN ACUMULADO]],"")</f>
        <v>0.12751677852348994</v>
      </c>
      <c r="N249">
        <f>+AV_PLAN[[#This Row],[PLAN ACUMULADO]]-AV_PLAN[[#This Row],[INICIO REAL ACUMULADO]]</f>
        <v>251</v>
      </c>
      <c r="O249">
        <f>+AV_PLAN[[#This Row],[TERMINO PLAN ACUMULADO]]-AV_PLAN[[#This Row],[TERMINO REAL ACUMULADO]]</f>
        <v>260</v>
      </c>
      <c r="P2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9" s="7">
        <f>+AV_PLAN[[#This Row],[PLAN ACUMULADO]]/$C$471</f>
        <v>0.5</v>
      </c>
      <c r="R249" s="7">
        <f t="shared" si="6"/>
        <v>0.14346590909090909</v>
      </c>
      <c r="S249" s="7">
        <f>+AV_PLAN[[#This Row],[TERMINO PLAN ACUMULADO]]/$G$471</f>
        <v>0.42329545454545453</v>
      </c>
      <c r="T249" s="7">
        <f t="shared" si="7"/>
        <v>5.3977272727272728E-2</v>
      </c>
      <c r="U249" s="7">
        <f>+(AV_PLAN[[#This Row],[%AVANCE INICIO PLANIFICADO]]+AV_PLAN[[#This Row],[%AVANCE TERMINO PLANIFICADO]])/2</f>
        <v>0.46164772727272729</v>
      </c>
    </row>
    <row r="250" spans="1:21" x14ac:dyDescent="0.25">
      <c r="A250" s="1">
        <v>46317</v>
      </c>
      <c r="B250">
        <v>3</v>
      </c>
      <c r="C250">
        <v>355</v>
      </c>
      <c r="D250">
        <v>0</v>
      </c>
      <c r="E250">
        <v>101</v>
      </c>
      <c r="F250">
        <v>3</v>
      </c>
      <c r="G250">
        <v>301</v>
      </c>
      <c r="H250">
        <v>0</v>
      </c>
      <c r="I250">
        <v>38</v>
      </c>
      <c r="J250" t="s">
        <v>818</v>
      </c>
      <c r="K250">
        <f>+WEEKNUM(AV_PLAN[[#This Row],[Días]])</f>
        <v>43</v>
      </c>
      <c r="L250" s="4">
        <f>IFERROR(AV_PLAN[[#This Row],[INICIO REAL ACUMULADO]]/AV_PLAN[[#This Row],[PLAN ACUMULADO]],"")</f>
        <v>0.28450704225352114</v>
      </c>
      <c r="M250" s="4">
        <f>IFERROR(AV_PLAN[[#This Row],[TERMINO REAL ACUMULADO]]/AV_PLAN[[#This Row],[TERMINO PLAN ACUMULADO]],"")</f>
        <v>0.12624584717607973</v>
      </c>
      <c r="N250">
        <f>+AV_PLAN[[#This Row],[PLAN ACUMULADO]]-AV_PLAN[[#This Row],[INICIO REAL ACUMULADO]]</f>
        <v>254</v>
      </c>
      <c r="O250">
        <f>+AV_PLAN[[#This Row],[TERMINO PLAN ACUMULADO]]-AV_PLAN[[#This Row],[TERMINO REAL ACUMULADO]]</f>
        <v>263</v>
      </c>
      <c r="P2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0" s="7">
        <f>+AV_PLAN[[#This Row],[PLAN ACUMULADO]]/$C$471</f>
        <v>0.50426136363636365</v>
      </c>
      <c r="R250" s="7">
        <f t="shared" si="6"/>
        <v>0.14346590909090909</v>
      </c>
      <c r="S250" s="7">
        <f>+AV_PLAN[[#This Row],[TERMINO PLAN ACUMULADO]]/$G$471</f>
        <v>0.42755681818181818</v>
      </c>
      <c r="T250" s="7">
        <f t="shared" si="7"/>
        <v>5.3977272727272728E-2</v>
      </c>
      <c r="U250" s="7">
        <f>+(AV_PLAN[[#This Row],[%AVANCE INICIO PLANIFICADO]]+AV_PLAN[[#This Row],[%AVANCE TERMINO PLANIFICADO]])/2</f>
        <v>0.46590909090909094</v>
      </c>
    </row>
    <row r="251" spans="1:21" x14ac:dyDescent="0.25">
      <c r="A251" s="1">
        <v>46318</v>
      </c>
      <c r="B251">
        <v>3</v>
      </c>
      <c r="C251">
        <v>358</v>
      </c>
      <c r="D251">
        <v>0</v>
      </c>
      <c r="E251">
        <v>101</v>
      </c>
      <c r="F251">
        <v>2</v>
      </c>
      <c r="G251">
        <v>303</v>
      </c>
      <c r="H251">
        <v>0</v>
      </c>
      <c r="I251">
        <v>38</v>
      </c>
      <c r="J251" t="s">
        <v>818</v>
      </c>
      <c r="K251">
        <f>+WEEKNUM(AV_PLAN[[#This Row],[Días]])</f>
        <v>43</v>
      </c>
      <c r="L251" s="4">
        <f>IFERROR(AV_PLAN[[#This Row],[INICIO REAL ACUMULADO]]/AV_PLAN[[#This Row],[PLAN ACUMULADO]],"")</f>
        <v>0.28212290502793297</v>
      </c>
      <c r="M251" s="4">
        <f>IFERROR(AV_PLAN[[#This Row],[TERMINO REAL ACUMULADO]]/AV_PLAN[[#This Row],[TERMINO PLAN ACUMULADO]],"")</f>
        <v>0.1254125412541254</v>
      </c>
      <c r="N251">
        <f>+AV_PLAN[[#This Row],[PLAN ACUMULADO]]-AV_PLAN[[#This Row],[INICIO REAL ACUMULADO]]</f>
        <v>257</v>
      </c>
      <c r="O251">
        <f>+AV_PLAN[[#This Row],[TERMINO PLAN ACUMULADO]]-AV_PLAN[[#This Row],[TERMINO REAL ACUMULADO]]</f>
        <v>265</v>
      </c>
      <c r="P25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1" s="7">
        <f>+AV_PLAN[[#This Row],[PLAN ACUMULADO]]/$C$471</f>
        <v>0.50852272727272729</v>
      </c>
      <c r="R251" s="7">
        <f t="shared" si="6"/>
        <v>0.14346590909090909</v>
      </c>
      <c r="S251" s="7">
        <f>+AV_PLAN[[#This Row],[TERMINO PLAN ACUMULADO]]/$G$471</f>
        <v>0.43039772727272729</v>
      </c>
      <c r="T251" s="7">
        <f t="shared" si="7"/>
        <v>5.3977272727272728E-2</v>
      </c>
      <c r="U251" s="7">
        <f>+(AV_PLAN[[#This Row],[%AVANCE INICIO PLANIFICADO]]+AV_PLAN[[#This Row],[%AVANCE TERMINO PLANIFICADO]])/2</f>
        <v>0.46946022727272729</v>
      </c>
    </row>
    <row r="252" spans="1:21" x14ac:dyDescent="0.25">
      <c r="A252" s="1">
        <v>46319</v>
      </c>
      <c r="B252">
        <v>0</v>
      </c>
      <c r="C252">
        <v>358</v>
      </c>
      <c r="D252">
        <v>0</v>
      </c>
      <c r="E252">
        <v>101</v>
      </c>
      <c r="F252">
        <v>2</v>
      </c>
      <c r="G252">
        <v>305</v>
      </c>
      <c r="H252">
        <v>0</v>
      </c>
      <c r="I252">
        <v>38</v>
      </c>
      <c r="J252" t="s">
        <v>818</v>
      </c>
      <c r="K252">
        <f>+WEEKNUM(AV_PLAN[[#This Row],[Días]])</f>
        <v>43</v>
      </c>
      <c r="L252" s="4">
        <f>IFERROR(AV_PLAN[[#This Row],[INICIO REAL ACUMULADO]]/AV_PLAN[[#This Row],[PLAN ACUMULADO]],"")</f>
        <v>0.28212290502793297</v>
      </c>
      <c r="M252" s="4">
        <f>IFERROR(AV_PLAN[[#This Row],[TERMINO REAL ACUMULADO]]/AV_PLAN[[#This Row],[TERMINO PLAN ACUMULADO]],"")</f>
        <v>0.12459016393442623</v>
      </c>
      <c r="N252">
        <f>+AV_PLAN[[#This Row],[PLAN ACUMULADO]]-AV_PLAN[[#This Row],[INICIO REAL ACUMULADO]]</f>
        <v>257</v>
      </c>
      <c r="O252">
        <f>+AV_PLAN[[#This Row],[TERMINO PLAN ACUMULADO]]-AV_PLAN[[#This Row],[TERMINO REAL ACUMULADO]]</f>
        <v>267</v>
      </c>
      <c r="P2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2" s="7">
        <f>+AV_PLAN[[#This Row],[PLAN ACUMULADO]]/$C$471</f>
        <v>0.50852272727272729</v>
      </c>
      <c r="R252" s="7">
        <f t="shared" si="6"/>
        <v>0.14346590909090909</v>
      </c>
      <c r="S252" s="7">
        <f>+AV_PLAN[[#This Row],[TERMINO PLAN ACUMULADO]]/$G$471</f>
        <v>0.43323863636363635</v>
      </c>
      <c r="T252" s="7">
        <f t="shared" si="7"/>
        <v>5.3977272727272728E-2</v>
      </c>
      <c r="U252" s="7">
        <f>+(AV_PLAN[[#This Row],[%AVANCE INICIO PLANIFICADO]]+AV_PLAN[[#This Row],[%AVANCE TERMINO PLANIFICADO]])/2</f>
        <v>0.47088068181818182</v>
      </c>
    </row>
    <row r="253" spans="1:21" x14ac:dyDescent="0.25">
      <c r="A253" s="1">
        <v>46320</v>
      </c>
      <c r="B253">
        <v>0</v>
      </c>
      <c r="C253">
        <v>358</v>
      </c>
      <c r="D253">
        <v>0</v>
      </c>
      <c r="E253">
        <v>101</v>
      </c>
      <c r="F253">
        <v>2</v>
      </c>
      <c r="G253">
        <v>307</v>
      </c>
      <c r="H253">
        <v>0</v>
      </c>
      <c r="I253">
        <v>38</v>
      </c>
      <c r="J253" t="s">
        <v>818</v>
      </c>
      <c r="K253">
        <f>+WEEKNUM(AV_PLAN[[#This Row],[Días]])</f>
        <v>44</v>
      </c>
      <c r="L253" s="4">
        <f>IFERROR(AV_PLAN[[#This Row],[INICIO REAL ACUMULADO]]/AV_PLAN[[#This Row],[PLAN ACUMULADO]],"")</f>
        <v>0.28212290502793297</v>
      </c>
      <c r="M253" s="4">
        <f>IFERROR(AV_PLAN[[#This Row],[TERMINO REAL ACUMULADO]]/AV_PLAN[[#This Row],[TERMINO PLAN ACUMULADO]],"")</f>
        <v>0.12377850162866449</v>
      </c>
      <c r="N253">
        <f>+AV_PLAN[[#This Row],[PLAN ACUMULADO]]-AV_PLAN[[#This Row],[INICIO REAL ACUMULADO]]</f>
        <v>257</v>
      </c>
      <c r="O253">
        <f>+AV_PLAN[[#This Row],[TERMINO PLAN ACUMULADO]]-AV_PLAN[[#This Row],[TERMINO REAL ACUMULADO]]</f>
        <v>269</v>
      </c>
      <c r="P2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3" s="7">
        <f>+AV_PLAN[[#This Row],[PLAN ACUMULADO]]/$C$471</f>
        <v>0.50852272727272729</v>
      </c>
      <c r="R253" s="7">
        <f t="shared" si="6"/>
        <v>0.14346590909090909</v>
      </c>
      <c r="S253" s="7">
        <f>+AV_PLAN[[#This Row],[TERMINO PLAN ACUMULADO]]/$G$471</f>
        <v>0.43607954545454547</v>
      </c>
      <c r="T253" s="7">
        <f t="shared" si="7"/>
        <v>5.3977272727272728E-2</v>
      </c>
      <c r="U253" s="7">
        <f>+(AV_PLAN[[#This Row],[%AVANCE INICIO PLANIFICADO]]+AV_PLAN[[#This Row],[%AVANCE TERMINO PLANIFICADO]])/2</f>
        <v>0.47230113636363635</v>
      </c>
    </row>
    <row r="254" spans="1:21" x14ac:dyDescent="0.25">
      <c r="A254" s="1">
        <v>46321</v>
      </c>
      <c r="B254">
        <v>3</v>
      </c>
      <c r="C254">
        <v>361</v>
      </c>
      <c r="D254">
        <v>0</v>
      </c>
      <c r="E254">
        <v>101</v>
      </c>
      <c r="F254">
        <v>1</v>
      </c>
      <c r="G254">
        <v>308</v>
      </c>
      <c r="H254">
        <v>0</v>
      </c>
      <c r="I254">
        <v>38</v>
      </c>
      <c r="J254" t="s">
        <v>818</v>
      </c>
      <c r="K254">
        <f>+WEEKNUM(AV_PLAN[[#This Row],[Días]])</f>
        <v>44</v>
      </c>
      <c r="L254" s="4">
        <f>IFERROR(AV_PLAN[[#This Row],[INICIO REAL ACUMULADO]]/AV_PLAN[[#This Row],[PLAN ACUMULADO]],"")</f>
        <v>0.27977839335180055</v>
      </c>
      <c r="M254" s="4">
        <f>IFERROR(AV_PLAN[[#This Row],[TERMINO REAL ACUMULADO]]/AV_PLAN[[#This Row],[TERMINO PLAN ACUMULADO]],"")</f>
        <v>0.12337662337662338</v>
      </c>
      <c r="N254">
        <f>+AV_PLAN[[#This Row],[PLAN ACUMULADO]]-AV_PLAN[[#This Row],[INICIO REAL ACUMULADO]]</f>
        <v>260</v>
      </c>
      <c r="O254">
        <f>+AV_PLAN[[#This Row],[TERMINO PLAN ACUMULADO]]-AV_PLAN[[#This Row],[TERMINO REAL ACUMULADO]]</f>
        <v>270</v>
      </c>
      <c r="P2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4" s="7">
        <f>+AV_PLAN[[#This Row],[PLAN ACUMULADO]]/$C$471</f>
        <v>0.51278409090909094</v>
      </c>
      <c r="R254" s="7">
        <f t="shared" si="6"/>
        <v>0.14346590909090909</v>
      </c>
      <c r="S254" s="7">
        <f>+AV_PLAN[[#This Row],[TERMINO PLAN ACUMULADO]]/$G$471</f>
        <v>0.4375</v>
      </c>
      <c r="T254" s="7">
        <f t="shared" si="7"/>
        <v>5.3977272727272728E-2</v>
      </c>
      <c r="U254" s="7">
        <f>+(AV_PLAN[[#This Row],[%AVANCE INICIO PLANIFICADO]]+AV_PLAN[[#This Row],[%AVANCE TERMINO PLANIFICADO]])/2</f>
        <v>0.47514204545454547</v>
      </c>
    </row>
    <row r="255" spans="1:21" x14ac:dyDescent="0.25">
      <c r="A255" s="1">
        <v>46322</v>
      </c>
      <c r="B255">
        <v>3</v>
      </c>
      <c r="C255">
        <v>364</v>
      </c>
      <c r="D255">
        <v>0</v>
      </c>
      <c r="E255">
        <v>101</v>
      </c>
      <c r="F255">
        <v>2</v>
      </c>
      <c r="G255">
        <v>310</v>
      </c>
      <c r="H255">
        <v>0</v>
      </c>
      <c r="I255">
        <v>38</v>
      </c>
      <c r="J255" t="s">
        <v>818</v>
      </c>
      <c r="K255">
        <f>+WEEKNUM(AV_PLAN[[#This Row],[Días]])</f>
        <v>44</v>
      </c>
      <c r="L255" s="4">
        <f>IFERROR(AV_PLAN[[#This Row],[INICIO REAL ACUMULADO]]/AV_PLAN[[#This Row],[PLAN ACUMULADO]],"")</f>
        <v>0.27747252747252749</v>
      </c>
      <c r="M255" s="4">
        <f>IFERROR(AV_PLAN[[#This Row],[TERMINO REAL ACUMULADO]]/AV_PLAN[[#This Row],[TERMINO PLAN ACUMULADO]],"")</f>
        <v>0.12258064516129032</v>
      </c>
      <c r="N255">
        <f>+AV_PLAN[[#This Row],[PLAN ACUMULADO]]-AV_PLAN[[#This Row],[INICIO REAL ACUMULADO]]</f>
        <v>263</v>
      </c>
      <c r="O255">
        <f>+AV_PLAN[[#This Row],[TERMINO PLAN ACUMULADO]]-AV_PLAN[[#This Row],[TERMINO REAL ACUMULADO]]</f>
        <v>272</v>
      </c>
      <c r="P2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5" s="7">
        <f>+AV_PLAN[[#This Row],[PLAN ACUMULADO]]/$C$471</f>
        <v>0.51704545454545459</v>
      </c>
      <c r="R255" s="7">
        <f t="shared" si="6"/>
        <v>0.14346590909090909</v>
      </c>
      <c r="S255" s="7">
        <f>+AV_PLAN[[#This Row],[TERMINO PLAN ACUMULADO]]/$G$471</f>
        <v>0.44034090909090912</v>
      </c>
      <c r="T255" s="7">
        <f t="shared" si="7"/>
        <v>5.3977272727272728E-2</v>
      </c>
      <c r="U255" s="7">
        <f>+(AV_PLAN[[#This Row],[%AVANCE INICIO PLANIFICADO]]+AV_PLAN[[#This Row],[%AVANCE TERMINO PLANIFICADO]])/2</f>
        <v>0.47869318181818188</v>
      </c>
    </row>
    <row r="256" spans="1:21" x14ac:dyDescent="0.25">
      <c r="A256" s="1">
        <v>46323</v>
      </c>
      <c r="B256">
        <v>3</v>
      </c>
      <c r="C256">
        <v>367</v>
      </c>
      <c r="D256">
        <v>0</v>
      </c>
      <c r="E256">
        <v>101</v>
      </c>
      <c r="F256">
        <v>3</v>
      </c>
      <c r="G256">
        <v>313</v>
      </c>
      <c r="H256">
        <v>0</v>
      </c>
      <c r="I256">
        <v>38</v>
      </c>
      <c r="J256" t="s">
        <v>818</v>
      </c>
      <c r="K256">
        <f>+WEEKNUM(AV_PLAN[[#This Row],[Días]])</f>
        <v>44</v>
      </c>
      <c r="L256" s="4">
        <f>IFERROR(AV_PLAN[[#This Row],[INICIO REAL ACUMULADO]]/AV_PLAN[[#This Row],[PLAN ACUMULADO]],"")</f>
        <v>0.27520435967302453</v>
      </c>
      <c r="M256" s="4">
        <f>IFERROR(AV_PLAN[[#This Row],[TERMINO REAL ACUMULADO]]/AV_PLAN[[#This Row],[TERMINO PLAN ACUMULADO]],"")</f>
        <v>0.12140575079872204</v>
      </c>
      <c r="N256">
        <f>+AV_PLAN[[#This Row],[PLAN ACUMULADO]]-AV_PLAN[[#This Row],[INICIO REAL ACUMULADO]]</f>
        <v>266</v>
      </c>
      <c r="O256">
        <f>+AV_PLAN[[#This Row],[TERMINO PLAN ACUMULADO]]-AV_PLAN[[#This Row],[TERMINO REAL ACUMULADO]]</f>
        <v>275</v>
      </c>
      <c r="P2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6" s="7">
        <f>+AV_PLAN[[#This Row],[PLAN ACUMULADO]]/$C$471</f>
        <v>0.52130681818181823</v>
      </c>
      <c r="R256" s="7">
        <f t="shared" si="6"/>
        <v>0.14346590909090909</v>
      </c>
      <c r="S256" s="7">
        <f>+AV_PLAN[[#This Row],[TERMINO PLAN ACUMULADO]]/$G$471</f>
        <v>0.44460227272727271</v>
      </c>
      <c r="T256" s="7">
        <f t="shared" si="7"/>
        <v>5.3977272727272728E-2</v>
      </c>
      <c r="U256" s="7">
        <f>+(AV_PLAN[[#This Row],[%AVANCE INICIO PLANIFICADO]]+AV_PLAN[[#This Row],[%AVANCE TERMINO PLANIFICADO]])/2</f>
        <v>0.48295454545454547</v>
      </c>
    </row>
    <row r="257" spans="1:21" x14ac:dyDescent="0.25">
      <c r="A257" s="1">
        <v>46324</v>
      </c>
      <c r="B257">
        <v>3</v>
      </c>
      <c r="C257">
        <v>370</v>
      </c>
      <c r="D257">
        <v>0</v>
      </c>
      <c r="E257">
        <v>101</v>
      </c>
      <c r="F257">
        <v>3</v>
      </c>
      <c r="G257">
        <v>316</v>
      </c>
      <c r="H257">
        <v>0</v>
      </c>
      <c r="I257">
        <v>38</v>
      </c>
      <c r="J257" t="s">
        <v>818</v>
      </c>
      <c r="K257">
        <f>+WEEKNUM(AV_PLAN[[#This Row],[Días]])</f>
        <v>44</v>
      </c>
      <c r="L257" s="4">
        <f>IFERROR(AV_PLAN[[#This Row],[INICIO REAL ACUMULADO]]/AV_PLAN[[#This Row],[PLAN ACUMULADO]],"")</f>
        <v>0.27297297297297296</v>
      </c>
      <c r="M257" s="4">
        <f>IFERROR(AV_PLAN[[#This Row],[TERMINO REAL ACUMULADO]]/AV_PLAN[[#This Row],[TERMINO PLAN ACUMULADO]],"")</f>
        <v>0.12025316455696203</v>
      </c>
      <c r="N257">
        <f>+AV_PLAN[[#This Row],[PLAN ACUMULADO]]-AV_PLAN[[#This Row],[INICIO REAL ACUMULADO]]</f>
        <v>269</v>
      </c>
      <c r="O257">
        <f>+AV_PLAN[[#This Row],[TERMINO PLAN ACUMULADO]]-AV_PLAN[[#This Row],[TERMINO REAL ACUMULADO]]</f>
        <v>278</v>
      </c>
      <c r="P2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7" s="7">
        <f>+AV_PLAN[[#This Row],[PLAN ACUMULADO]]/$C$471</f>
        <v>0.52556818181818177</v>
      </c>
      <c r="R257" s="7">
        <f t="shared" si="6"/>
        <v>0.14346590909090909</v>
      </c>
      <c r="S257" s="7">
        <f>+AV_PLAN[[#This Row],[TERMINO PLAN ACUMULADO]]/$G$471</f>
        <v>0.44886363636363635</v>
      </c>
      <c r="T257" s="7">
        <f t="shared" si="7"/>
        <v>5.3977272727272728E-2</v>
      </c>
      <c r="U257" s="7">
        <f>+(AV_PLAN[[#This Row],[%AVANCE INICIO PLANIFICADO]]+AV_PLAN[[#This Row],[%AVANCE TERMINO PLANIFICADO]])/2</f>
        <v>0.48721590909090906</v>
      </c>
    </row>
    <row r="258" spans="1:21" x14ac:dyDescent="0.25">
      <c r="A258" s="1">
        <v>46325</v>
      </c>
      <c r="B258">
        <v>3</v>
      </c>
      <c r="C258">
        <v>373</v>
      </c>
      <c r="D258">
        <v>0</v>
      </c>
      <c r="E258">
        <v>101</v>
      </c>
      <c r="F258">
        <v>2</v>
      </c>
      <c r="G258">
        <v>318</v>
      </c>
      <c r="H258">
        <v>0</v>
      </c>
      <c r="I258">
        <v>38</v>
      </c>
      <c r="J258" t="s">
        <v>818</v>
      </c>
      <c r="K258">
        <f>+WEEKNUM(AV_PLAN[[#This Row],[Días]])</f>
        <v>44</v>
      </c>
      <c r="L258" s="4">
        <f>IFERROR(AV_PLAN[[#This Row],[INICIO REAL ACUMULADO]]/AV_PLAN[[#This Row],[PLAN ACUMULADO]],"")</f>
        <v>0.27077747989276141</v>
      </c>
      <c r="M258" s="4">
        <f>IFERROR(AV_PLAN[[#This Row],[TERMINO REAL ACUMULADO]]/AV_PLAN[[#This Row],[TERMINO PLAN ACUMULADO]],"")</f>
        <v>0.11949685534591195</v>
      </c>
      <c r="N258">
        <f>+AV_PLAN[[#This Row],[PLAN ACUMULADO]]-AV_PLAN[[#This Row],[INICIO REAL ACUMULADO]]</f>
        <v>272</v>
      </c>
      <c r="O258">
        <f>+AV_PLAN[[#This Row],[TERMINO PLAN ACUMULADO]]-AV_PLAN[[#This Row],[TERMINO REAL ACUMULADO]]</f>
        <v>280</v>
      </c>
      <c r="P2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8" s="7">
        <f>+AV_PLAN[[#This Row],[PLAN ACUMULADO]]/$C$471</f>
        <v>0.52982954545454541</v>
      </c>
      <c r="R258" s="7">
        <f t="shared" ref="R258:R321" si="8">IF(D258="",NA(),E258/$C$471)</f>
        <v>0.14346590909090909</v>
      </c>
      <c r="S258" s="7">
        <f>+AV_PLAN[[#This Row],[TERMINO PLAN ACUMULADO]]/$G$471</f>
        <v>0.45170454545454547</v>
      </c>
      <c r="T258" s="7">
        <f t="shared" ref="T258:T321" si="9">IF(H258="",NA(),I258/$G$471)</f>
        <v>5.3977272727272728E-2</v>
      </c>
      <c r="U258" s="7">
        <f>+(AV_PLAN[[#This Row],[%AVANCE INICIO PLANIFICADO]]+AV_PLAN[[#This Row],[%AVANCE TERMINO PLANIFICADO]])/2</f>
        <v>0.49076704545454541</v>
      </c>
    </row>
    <row r="259" spans="1:21" x14ac:dyDescent="0.25">
      <c r="A259" s="1">
        <v>46326</v>
      </c>
      <c r="B259">
        <v>0</v>
      </c>
      <c r="C259">
        <v>373</v>
      </c>
      <c r="D259">
        <v>0</v>
      </c>
      <c r="E259">
        <v>101</v>
      </c>
      <c r="F259">
        <v>1</v>
      </c>
      <c r="G259">
        <v>319</v>
      </c>
      <c r="H259">
        <v>0</v>
      </c>
      <c r="I259">
        <v>38</v>
      </c>
      <c r="J259" t="s">
        <v>818</v>
      </c>
      <c r="K259">
        <f>+WEEKNUM(AV_PLAN[[#This Row],[Días]])</f>
        <v>44</v>
      </c>
      <c r="L259" s="4">
        <f>IFERROR(AV_PLAN[[#This Row],[INICIO REAL ACUMULADO]]/AV_PLAN[[#This Row],[PLAN ACUMULADO]],"")</f>
        <v>0.27077747989276141</v>
      </c>
      <c r="M259" s="4">
        <f>IFERROR(AV_PLAN[[#This Row],[TERMINO REAL ACUMULADO]]/AV_PLAN[[#This Row],[TERMINO PLAN ACUMULADO]],"")</f>
        <v>0.11912225705329153</v>
      </c>
      <c r="N259">
        <f>+AV_PLAN[[#This Row],[PLAN ACUMULADO]]-AV_PLAN[[#This Row],[INICIO REAL ACUMULADO]]</f>
        <v>272</v>
      </c>
      <c r="O259">
        <f>+AV_PLAN[[#This Row],[TERMINO PLAN ACUMULADO]]-AV_PLAN[[#This Row],[TERMINO REAL ACUMULADO]]</f>
        <v>281</v>
      </c>
      <c r="P2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9" s="7">
        <f>+AV_PLAN[[#This Row],[PLAN ACUMULADO]]/$C$471</f>
        <v>0.52982954545454541</v>
      </c>
      <c r="R259" s="7">
        <f t="shared" si="8"/>
        <v>0.14346590909090909</v>
      </c>
      <c r="S259" s="7">
        <f>+AV_PLAN[[#This Row],[TERMINO PLAN ACUMULADO]]/$G$471</f>
        <v>0.453125</v>
      </c>
      <c r="T259" s="7">
        <f t="shared" si="9"/>
        <v>5.3977272727272728E-2</v>
      </c>
      <c r="U259" s="7">
        <f>+(AV_PLAN[[#This Row],[%AVANCE INICIO PLANIFICADO]]+AV_PLAN[[#This Row],[%AVANCE TERMINO PLANIFICADO]])/2</f>
        <v>0.49147727272727271</v>
      </c>
    </row>
    <row r="260" spans="1:21" x14ac:dyDescent="0.25">
      <c r="A260" s="1">
        <v>46327</v>
      </c>
      <c r="B260">
        <v>0</v>
      </c>
      <c r="C260">
        <v>373</v>
      </c>
      <c r="D260">
        <v>0</v>
      </c>
      <c r="E260">
        <v>101</v>
      </c>
      <c r="F260">
        <v>2</v>
      </c>
      <c r="G260">
        <v>321</v>
      </c>
      <c r="H260">
        <v>0</v>
      </c>
      <c r="I260">
        <v>38</v>
      </c>
      <c r="J260" t="s">
        <v>819</v>
      </c>
      <c r="K260">
        <f>+WEEKNUM(AV_PLAN[[#This Row],[Días]])</f>
        <v>45</v>
      </c>
      <c r="L260" s="4">
        <f>IFERROR(AV_PLAN[[#This Row],[INICIO REAL ACUMULADO]]/AV_PLAN[[#This Row],[PLAN ACUMULADO]],"")</f>
        <v>0.27077747989276141</v>
      </c>
      <c r="M260" s="4">
        <f>IFERROR(AV_PLAN[[#This Row],[TERMINO REAL ACUMULADO]]/AV_PLAN[[#This Row],[TERMINO PLAN ACUMULADO]],"")</f>
        <v>0.11838006230529595</v>
      </c>
      <c r="N260">
        <f>+AV_PLAN[[#This Row],[PLAN ACUMULADO]]-AV_PLAN[[#This Row],[INICIO REAL ACUMULADO]]</f>
        <v>272</v>
      </c>
      <c r="O260">
        <f>+AV_PLAN[[#This Row],[TERMINO PLAN ACUMULADO]]-AV_PLAN[[#This Row],[TERMINO REAL ACUMULADO]]</f>
        <v>283</v>
      </c>
      <c r="P2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0" s="7">
        <f>+AV_PLAN[[#This Row],[PLAN ACUMULADO]]/$C$471</f>
        <v>0.52982954545454541</v>
      </c>
      <c r="R260" s="7">
        <f t="shared" si="8"/>
        <v>0.14346590909090909</v>
      </c>
      <c r="S260" s="7">
        <f>+AV_PLAN[[#This Row],[TERMINO PLAN ACUMULADO]]/$G$471</f>
        <v>0.45596590909090912</v>
      </c>
      <c r="T260" s="7">
        <f t="shared" si="9"/>
        <v>5.3977272727272728E-2</v>
      </c>
      <c r="U260" s="7">
        <f>+(AV_PLAN[[#This Row],[%AVANCE INICIO PLANIFICADO]]+AV_PLAN[[#This Row],[%AVANCE TERMINO PLANIFICADO]])/2</f>
        <v>0.49289772727272729</v>
      </c>
    </row>
    <row r="261" spans="1:21" x14ac:dyDescent="0.25">
      <c r="A261" s="1">
        <v>46328</v>
      </c>
      <c r="B261">
        <v>3</v>
      </c>
      <c r="C261">
        <v>376</v>
      </c>
      <c r="D261">
        <v>0</v>
      </c>
      <c r="E261">
        <v>101</v>
      </c>
      <c r="F261">
        <v>2</v>
      </c>
      <c r="G261">
        <v>323</v>
      </c>
      <c r="H261">
        <v>0</v>
      </c>
      <c r="I261">
        <v>38</v>
      </c>
      <c r="J261" t="s">
        <v>819</v>
      </c>
      <c r="K261">
        <f>+WEEKNUM(AV_PLAN[[#This Row],[Días]])</f>
        <v>45</v>
      </c>
      <c r="L261" s="4">
        <f>IFERROR(AV_PLAN[[#This Row],[INICIO REAL ACUMULADO]]/AV_PLAN[[#This Row],[PLAN ACUMULADO]],"")</f>
        <v>0.26861702127659576</v>
      </c>
      <c r="M261" s="4">
        <f>IFERROR(AV_PLAN[[#This Row],[TERMINO REAL ACUMULADO]]/AV_PLAN[[#This Row],[TERMINO PLAN ACUMULADO]],"")</f>
        <v>0.11764705882352941</v>
      </c>
      <c r="N261">
        <f>+AV_PLAN[[#This Row],[PLAN ACUMULADO]]-AV_PLAN[[#This Row],[INICIO REAL ACUMULADO]]</f>
        <v>275</v>
      </c>
      <c r="O261">
        <f>+AV_PLAN[[#This Row],[TERMINO PLAN ACUMULADO]]-AV_PLAN[[#This Row],[TERMINO REAL ACUMULADO]]</f>
        <v>285</v>
      </c>
      <c r="P2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1" s="7">
        <f>+AV_PLAN[[#This Row],[PLAN ACUMULADO]]/$C$471</f>
        <v>0.53409090909090906</v>
      </c>
      <c r="R261" s="7">
        <f t="shared" si="8"/>
        <v>0.14346590909090909</v>
      </c>
      <c r="S261" s="7">
        <f>+AV_PLAN[[#This Row],[TERMINO PLAN ACUMULADO]]/$G$471</f>
        <v>0.45880681818181818</v>
      </c>
      <c r="T261" s="7">
        <f t="shared" si="9"/>
        <v>5.3977272727272728E-2</v>
      </c>
      <c r="U261" s="7">
        <f>+(AV_PLAN[[#This Row],[%AVANCE INICIO PLANIFICADO]]+AV_PLAN[[#This Row],[%AVANCE TERMINO PLANIFICADO]])/2</f>
        <v>0.49644886363636365</v>
      </c>
    </row>
    <row r="262" spans="1:21" x14ac:dyDescent="0.25">
      <c r="A262" s="1">
        <v>46329</v>
      </c>
      <c r="B262">
        <v>3</v>
      </c>
      <c r="C262">
        <v>379</v>
      </c>
      <c r="D262">
        <v>0</v>
      </c>
      <c r="E262">
        <v>101</v>
      </c>
      <c r="F262">
        <v>2</v>
      </c>
      <c r="G262">
        <v>325</v>
      </c>
      <c r="H262">
        <v>0</v>
      </c>
      <c r="I262">
        <v>38</v>
      </c>
      <c r="J262" t="s">
        <v>819</v>
      </c>
      <c r="K262">
        <f>+WEEKNUM(AV_PLAN[[#This Row],[Días]])</f>
        <v>45</v>
      </c>
      <c r="L262" s="4">
        <f>IFERROR(AV_PLAN[[#This Row],[INICIO REAL ACUMULADO]]/AV_PLAN[[#This Row],[PLAN ACUMULADO]],"")</f>
        <v>0.26649076517150394</v>
      </c>
      <c r="M262" s="4">
        <f>IFERROR(AV_PLAN[[#This Row],[TERMINO REAL ACUMULADO]]/AV_PLAN[[#This Row],[TERMINO PLAN ACUMULADO]],"")</f>
        <v>0.11692307692307692</v>
      </c>
      <c r="N262">
        <f>+AV_PLAN[[#This Row],[PLAN ACUMULADO]]-AV_PLAN[[#This Row],[INICIO REAL ACUMULADO]]</f>
        <v>278</v>
      </c>
      <c r="O262">
        <f>+AV_PLAN[[#This Row],[TERMINO PLAN ACUMULADO]]-AV_PLAN[[#This Row],[TERMINO REAL ACUMULADO]]</f>
        <v>287</v>
      </c>
      <c r="P2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2" s="7">
        <f>+AV_PLAN[[#This Row],[PLAN ACUMULADO]]/$C$471</f>
        <v>0.53835227272727271</v>
      </c>
      <c r="R262" s="7">
        <f t="shared" si="8"/>
        <v>0.14346590909090909</v>
      </c>
      <c r="S262" s="7">
        <f>+AV_PLAN[[#This Row],[TERMINO PLAN ACUMULADO]]/$G$471</f>
        <v>0.46164772727272729</v>
      </c>
      <c r="T262" s="7">
        <f t="shared" si="9"/>
        <v>5.3977272727272728E-2</v>
      </c>
      <c r="U262" s="7">
        <f>+(AV_PLAN[[#This Row],[%AVANCE INICIO PLANIFICADO]]+AV_PLAN[[#This Row],[%AVANCE TERMINO PLANIFICADO]])/2</f>
        <v>0.5</v>
      </c>
    </row>
    <row r="263" spans="1:21" x14ac:dyDescent="0.25">
      <c r="A263" s="1">
        <v>46330</v>
      </c>
      <c r="B263">
        <v>3</v>
      </c>
      <c r="C263">
        <v>382</v>
      </c>
      <c r="D263">
        <v>0</v>
      </c>
      <c r="E263">
        <v>101</v>
      </c>
      <c r="F263">
        <v>3</v>
      </c>
      <c r="G263">
        <v>328</v>
      </c>
      <c r="H263">
        <v>0</v>
      </c>
      <c r="I263">
        <v>38</v>
      </c>
      <c r="J263" t="s">
        <v>819</v>
      </c>
      <c r="K263">
        <f>+WEEKNUM(AV_PLAN[[#This Row],[Días]])</f>
        <v>45</v>
      </c>
      <c r="L263" s="4">
        <f>IFERROR(AV_PLAN[[#This Row],[INICIO REAL ACUMULADO]]/AV_PLAN[[#This Row],[PLAN ACUMULADO]],"")</f>
        <v>0.26439790575916228</v>
      </c>
      <c r="M263" s="4">
        <f>IFERROR(AV_PLAN[[#This Row],[TERMINO REAL ACUMULADO]]/AV_PLAN[[#This Row],[TERMINO PLAN ACUMULADO]],"")</f>
        <v>0.11585365853658537</v>
      </c>
      <c r="N263">
        <f>+AV_PLAN[[#This Row],[PLAN ACUMULADO]]-AV_PLAN[[#This Row],[INICIO REAL ACUMULADO]]</f>
        <v>281</v>
      </c>
      <c r="O263">
        <f>+AV_PLAN[[#This Row],[TERMINO PLAN ACUMULADO]]-AV_PLAN[[#This Row],[TERMINO REAL ACUMULADO]]</f>
        <v>290</v>
      </c>
      <c r="P2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3" s="7">
        <f>+AV_PLAN[[#This Row],[PLAN ACUMULADO]]/$C$471</f>
        <v>0.54261363636363635</v>
      </c>
      <c r="R263" s="7">
        <f t="shared" si="8"/>
        <v>0.14346590909090909</v>
      </c>
      <c r="S263" s="7">
        <f>+AV_PLAN[[#This Row],[TERMINO PLAN ACUMULADO]]/$G$471</f>
        <v>0.46590909090909088</v>
      </c>
      <c r="T263" s="7">
        <f t="shared" si="9"/>
        <v>5.3977272727272728E-2</v>
      </c>
      <c r="U263" s="7">
        <f>+(AV_PLAN[[#This Row],[%AVANCE INICIO PLANIFICADO]]+AV_PLAN[[#This Row],[%AVANCE TERMINO PLANIFICADO]])/2</f>
        <v>0.50426136363636365</v>
      </c>
    </row>
    <row r="264" spans="1:21" x14ac:dyDescent="0.25">
      <c r="A264" s="1">
        <v>46331</v>
      </c>
      <c r="B264">
        <v>3</v>
      </c>
      <c r="C264">
        <v>385</v>
      </c>
      <c r="D264">
        <v>0</v>
      </c>
      <c r="E264">
        <v>101</v>
      </c>
      <c r="F264">
        <v>3</v>
      </c>
      <c r="G264">
        <v>331</v>
      </c>
      <c r="H264">
        <v>0</v>
      </c>
      <c r="I264">
        <v>38</v>
      </c>
      <c r="J264" t="s">
        <v>819</v>
      </c>
      <c r="K264">
        <f>+WEEKNUM(AV_PLAN[[#This Row],[Días]])</f>
        <v>45</v>
      </c>
      <c r="L264" s="4">
        <f>IFERROR(AV_PLAN[[#This Row],[INICIO REAL ACUMULADO]]/AV_PLAN[[#This Row],[PLAN ACUMULADO]],"")</f>
        <v>0.26233766233766231</v>
      </c>
      <c r="M264" s="4">
        <f>IFERROR(AV_PLAN[[#This Row],[TERMINO REAL ACUMULADO]]/AV_PLAN[[#This Row],[TERMINO PLAN ACUMULADO]],"")</f>
        <v>0.11480362537764351</v>
      </c>
      <c r="N264">
        <f>+AV_PLAN[[#This Row],[PLAN ACUMULADO]]-AV_PLAN[[#This Row],[INICIO REAL ACUMULADO]]</f>
        <v>284</v>
      </c>
      <c r="O264">
        <f>+AV_PLAN[[#This Row],[TERMINO PLAN ACUMULADO]]-AV_PLAN[[#This Row],[TERMINO REAL ACUMULADO]]</f>
        <v>293</v>
      </c>
      <c r="P2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4" s="7">
        <f>+AV_PLAN[[#This Row],[PLAN ACUMULADO]]/$C$471</f>
        <v>0.546875</v>
      </c>
      <c r="R264" s="7">
        <f t="shared" si="8"/>
        <v>0.14346590909090909</v>
      </c>
      <c r="S264" s="7">
        <f>+AV_PLAN[[#This Row],[TERMINO PLAN ACUMULADO]]/$G$471</f>
        <v>0.47017045454545453</v>
      </c>
      <c r="T264" s="7">
        <f t="shared" si="9"/>
        <v>5.3977272727272728E-2</v>
      </c>
      <c r="U264" s="7">
        <f>+(AV_PLAN[[#This Row],[%AVANCE INICIO PLANIFICADO]]+AV_PLAN[[#This Row],[%AVANCE TERMINO PLANIFICADO]])/2</f>
        <v>0.50852272727272729</v>
      </c>
    </row>
    <row r="265" spans="1:21" x14ac:dyDescent="0.25">
      <c r="A265" s="1">
        <v>46332</v>
      </c>
      <c r="B265">
        <v>3</v>
      </c>
      <c r="C265">
        <v>388</v>
      </c>
      <c r="D265">
        <v>0</v>
      </c>
      <c r="E265">
        <v>101</v>
      </c>
      <c r="F265">
        <v>1</v>
      </c>
      <c r="G265">
        <v>332</v>
      </c>
      <c r="H265">
        <v>0</v>
      </c>
      <c r="I265">
        <v>38</v>
      </c>
      <c r="J265" t="s">
        <v>819</v>
      </c>
      <c r="K265">
        <f>+WEEKNUM(AV_PLAN[[#This Row],[Días]])</f>
        <v>45</v>
      </c>
      <c r="L265" s="4">
        <f>IFERROR(AV_PLAN[[#This Row],[INICIO REAL ACUMULADO]]/AV_PLAN[[#This Row],[PLAN ACUMULADO]],"")</f>
        <v>0.26030927835051548</v>
      </c>
      <c r="M265" s="4">
        <f>IFERROR(AV_PLAN[[#This Row],[TERMINO REAL ACUMULADO]]/AV_PLAN[[#This Row],[TERMINO PLAN ACUMULADO]],"")</f>
        <v>0.1144578313253012</v>
      </c>
      <c r="N265">
        <f>+AV_PLAN[[#This Row],[PLAN ACUMULADO]]-AV_PLAN[[#This Row],[INICIO REAL ACUMULADO]]</f>
        <v>287</v>
      </c>
      <c r="O265">
        <f>+AV_PLAN[[#This Row],[TERMINO PLAN ACUMULADO]]-AV_PLAN[[#This Row],[TERMINO REAL ACUMULADO]]</f>
        <v>294</v>
      </c>
      <c r="P2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5" s="7">
        <f>+AV_PLAN[[#This Row],[PLAN ACUMULADO]]/$C$471</f>
        <v>0.55113636363636365</v>
      </c>
      <c r="R265" s="7">
        <f t="shared" si="8"/>
        <v>0.14346590909090909</v>
      </c>
      <c r="S265" s="7">
        <f>+AV_PLAN[[#This Row],[TERMINO PLAN ACUMULADO]]/$G$471</f>
        <v>0.47159090909090912</v>
      </c>
      <c r="T265" s="7">
        <f t="shared" si="9"/>
        <v>5.3977272727272728E-2</v>
      </c>
      <c r="U265" s="7">
        <f>+(AV_PLAN[[#This Row],[%AVANCE INICIO PLANIFICADO]]+AV_PLAN[[#This Row],[%AVANCE TERMINO PLANIFICADO]])/2</f>
        <v>0.51136363636363635</v>
      </c>
    </row>
    <row r="266" spans="1:21" x14ac:dyDescent="0.25">
      <c r="A266" s="1">
        <v>46333</v>
      </c>
      <c r="B266">
        <v>0</v>
      </c>
      <c r="C266">
        <v>388</v>
      </c>
      <c r="D266">
        <v>0</v>
      </c>
      <c r="E266">
        <v>101</v>
      </c>
      <c r="F266">
        <v>1</v>
      </c>
      <c r="G266">
        <v>333</v>
      </c>
      <c r="H266">
        <v>0</v>
      </c>
      <c r="I266">
        <v>38</v>
      </c>
      <c r="J266" t="s">
        <v>819</v>
      </c>
      <c r="K266">
        <f>+WEEKNUM(AV_PLAN[[#This Row],[Días]])</f>
        <v>45</v>
      </c>
      <c r="L266" s="4">
        <f>IFERROR(AV_PLAN[[#This Row],[INICIO REAL ACUMULADO]]/AV_PLAN[[#This Row],[PLAN ACUMULADO]],"")</f>
        <v>0.26030927835051548</v>
      </c>
      <c r="M266" s="4">
        <f>IFERROR(AV_PLAN[[#This Row],[TERMINO REAL ACUMULADO]]/AV_PLAN[[#This Row],[TERMINO PLAN ACUMULADO]],"")</f>
        <v>0.11411411411411411</v>
      </c>
      <c r="N266">
        <f>+AV_PLAN[[#This Row],[PLAN ACUMULADO]]-AV_PLAN[[#This Row],[INICIO REAL ACUMULADO]]</f>
        <v>287</v>
      </c>
      <c r="O266">
        <f>+AV_PLAN[[#This Row],[TERMINO PLAN ACUMULADO]]-AV_PLAN[[#This Row],[TERMINO REAL ACUMULADO]]</f>
        <v>295</v>
      </c>
      <c r="P2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6" s="7">
        <f>+AV_PLAN[[#This Row],[PLAN ACUMULADO]]/$C$471</f>
        <v>0.55113636363636365</v>
      </c>
      <c r="R266" s="7">
        <f t="shared" si="8"/>
        <v>0.14346590909090909</v>
      </c>
      <c r="S266" s="7">
        <f>+AV_PLAN[[#This Row],[TERMINO PLAN ACUMULADO]]/$G$471</f>
        <v>0.47301136363636365</v>
      </c>
      <c r="T266" s="7">
        <f t="shared" si="9"/>
        <v>5.3977272727272728E-2</v>
      </c>
      <c r="U266" s="7">
        <f>+(AV_PLAN[[#This Row],[%AVANCE INICIO PLANIFICADO]]+AV_PLAN[[#This Row],[%AVANCE TERMINO PLANIFICADO]])/2</f>
        <v>0.51207386363636365</v>
      </c>
    </row>
    <row r="267" spans="1:21" x14ac:dyDescent="0.25">
      <c r="A267" s="1">
        <v>46334</v>
      </c>
      <c r="B267">
        <v>0</v>
      </c>
      <c r="C267">
        <v>388</v>
      </c>
      <c r="D267">
        <v>0</v>
      </c>
      <c r="E267">
        <v>101</v>
      </c>
      <c r="F267">
        <v>4</v>
      </c>
      <c r="G267">
        <v>337</v>
      </c>
      <c r="H267">
        <v>0</v>
      </c>
      <c r="I267">
        <v>38</v>
      </c>
      <c r="J267" t="s">
        <v>819</v>
      </c>
      <c r="K267">
        <f>+WEEKNUM(AV_PLAN[[#This Row],[Días]])</f>
        <v>46</v>
      </c>
      <c r="L267" s="4">
        <f>IFERROR(AV_PLAN[[#This Row],[INICIO REAL ACUMULADO]]/AV_PLAN[[#This Row],[PLAN ACUMULADO]],"")</f>
        <v>0.26030927835051548</v>
      </c>
      <c r="M267" s="4">
        <f>IFERROR(AV_PLAN[[#This Row],[TERMINO REAL ACUMULADO]]/AV_PLAN[[#This Row],[TERMINO PLAN ACUMULADO]],"")</f>
        <v>0.11275964391691394</v>
      </c>
      <c r="N267">
        <f>+AV_PLAN[[#This Row],[PLAN ACUMULADO]]-AV_PLAN[[#This Row],[INICIO REAL ACUMULADO]]</f>
        <v>287</v>
      </c>
      <c r="O267">
        <f>+AV_PLAN[[#This Row],[TERMINO PLAN ACUMULADO]]-AV_PLAN[[#This Row],[TERMINO REAL ACUMULADO]]</f>
        <v>299</v>
      </c>
      <c r="P2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7" s="7">
        <f>+AV_PLAN[[#This Row],[PLAN ACUMULADO]]/$C$471</f>
        <v>0.55113636363636365</v>
      </c>
      <c r="R267" s="7">
        <f t="shared" si="8"/>
        <v>0.14346590909090909</v>
      </c>
      <c r="S267" s="7">
        <f>+AV_PLAN[[#This Row],[TERMINO PLAN ACUMULADO]]/$G$471</f>
        <v>0.47869318181818182</v>
      </c>
      <c r="T267" s="7">
        <f t="shared" si="9"/>
        <v>5.3977272727272728E-2</v>
      </c>
      <c r="U267" s="7">
        <f>+(AV_PLAN[[#This Row],[%AVANCE INICIO PLANIFICADO]]+AV_PLAN[[#This Row],[%AVANCE TERMINO PLANIFICADO]])/2</f>
        <v>0.51491477272727271</v>
      </c>
    </row>
    <row r="268" spans="1:21" x14ac:dyDescent="0.25">
      <c r="A268" s="1">
        <v>46335</v>
      </c>
      <c r="B268">
        <v>3</v>
      </c>
      <c r="C268">
        <v>391</v>
      </c>
      <c r="D268">
        <v>0</v>
      </c>
      <c r="E268">
        <v>101</v>
      </c>
      <c r="F268">
        <v>2</v>
      </c>
      <c r="G268">
        <v>339</v>
      </c>
      <c r="H268">
        <v>0</v>
      </c>
      <c r="I268">
        <v>38</v>
      </c>
      <c r="J268" t="s">
        <v>819</v>
      </c>
      <c r="K268">
        <f>+WEEKNUM(AV_PLAN[[#This Row],[Días]])</f>
        <v>46</v>
      </c>
      <c r="L268" s="4">
        <f>IFERROR(AV_PLAN[[#This Row],[INICIO REAL ACUMULADO]]/AV_PLAN[[#This Row],[PLAN ACUMULADO]],"")</f>
        <v>0.25831202046035806</v>
      </c>
      <c r="M268" s="4">
        <f>IFERROR(AV_PLAN[[#This Row],[TERMINO REAL ACUMULADO]]/AV_PLAN[[#This Row],[TERMINO PLAN ACUMULADO]],"")</f>
        <v>0.11209439528023599</v>
      </c>
      <c r="N268">
        <f>+AV_PLAN[[#This Row],[PLAN ACUMULADO]]-AV_PLAN[[#This Row],[INICIO REAL ACUMULADO]]</f>
        <v>290</v>
      </c>
      <c r="O268">
        <f>+AV_PLAN[[#This Row],[TERMINO PLAN ACUMULADO]]-AV_PLAN[[#This Row],[TERMINO REAL ACUMULADO]]</f>
        <v>301</v>
      </c>
      <c r="P2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8" s="7">
        <f>+AV_PLAN[[#This Row],[PLAN ACUMULADO]]/$C$471</f>
        <v>0.55539772727272729</v>
      </c>
      <c r="R268" s="7">
        <f t="shared" si="8"/>
        <v>0.14346590909090909</v>
      </c>
      <c r="S268" s="7">
        <f>+AV_PLAN[[#This Row],[TERMINO PLAN ACUMULADO]]/$G$471</f>
        <v>0.48153409090909088</v>
      </c>
      <c r="T268" s="7">
        <f t="shared" si="9"/>
        <v>5.3977272727272728E-2</v>
      </c>
      <c r="U268" s="7">
        <f>+(AV_PLAN[[#This Row],[%AVANCE INICIO PLANIFICADO]]+AV_PLAN[[#This Row],[%AVANCE TERMINO PLANIFICADO]])/2</f>
        <v>0.51846590909090906</v>
      </c>
    </row>
    <row r="269" spans="1:21" x14ac:dyDescent="0.25">
      <c r="A269" s="1">
        <v>46336</v>
      </c>
      <c r="B269">
        <v>3</v>
      </c>
      <c r="C269">
        <v>394</v>
      </c>
      <c r="D269">
        <v>0</v>
      </c>
      <c r="E269">
        <v>101</v>
      </c>
      <c r="F269">
        <v>1</v>
      </c>
      <c r="G269">
        <v>340</v>
      </c>
      <c r="H269">
        <v>0</v>
      </c>
      <c r="I269">
        <v>38</v>
      </c>
      <c r="J269" t="s">
        <v>819</v>
      </c>
      <c r="K269">
        <f>+WEEKNUM(AV_PLAN[[#This Row],[Días]])</f>
        <v>46</v>
      </c>
      <c r="L269" s="4">
        <f>IFERROR(AV_PLAN[[#This Row],[INICIO REAL ACUMULADO]]/AV_PLAN[[#This Row],[PLAN ACUMULADO]],"")</f>
        <v>0.25634517766497461</v>
      </c>
      <c r="M269" s="4">
        <f>IFERROR(AV_PLAN[[#This Row],[TERMINO REAL ACUMULADO]]/AV_PLAN[[#This Row],[TERMINO PLAN ACUMULADO]],"")</f>
        <v>0.11176470588235295</v>
      </c>
      <c r="N269">
        <f>+AV_PLAN[[#This Row],[PLAN ACUMULADO]]-AV_PLAN[[#This Row],[INICIO REAL ACUMULADO]]</f>
        <v>293</v>
      </c>
      <c r="O269">
        <f>+AV_PLAN[[#This Row],[TERMINO PLAN ACUMULADO]]-AV_PLAN[[#This Row],[TERMINO REAL ACUMULADO]]</f>
        <v>302</v>
      </c>
      <c r="P2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9" s="7">
        <f>+AV_PLAN[[#This Row],[PLAN ACUMULADO]]/$C$471</f>
        <v>0.55965909090909094</v>
      </c>
      <c r="R269" s="7">
        <f t="shared" si="8"/>
        <v>0.14346590909090909</v>
      </c>
      <c r="S269" s="7">
        <f>+AV_PLAN[[#This Row],[TERMINO PLAN ACUMULADO]]/$G$471</f>
        <v>0.48295454545454547</v>
      </c>
      <c r="T269" s="7">
        <f t="shared" si="9"/>
        <v>5.3977272727272728E-2</v>
      </c>
      <c r="U269" s="7">
        <f>+(AV_PLAN[[#This Row],[%AVANCE INICIO PLANIFICADO]]+AV_PLAN[[#This Row],[%AVANCE TERMINO PLANIFICADO]])/2</f>
        <v>0.52130681818181823</v>
      </c>
    </row>
    <row r="270" spans="1:21" x14ac:dyDescent="0.25">
      <c r="A270" s="1">
        <v>46337</v>
      </c>
      <c r="B270">
        <v>3</v>
      </c>
      <c r="C270">
        <v>397</v>
      </c>
      <c r="D270">
        <v>0</v>
      </c>
      <c r="E270">
        <v>101</v>
      </c>
      <c r="F270">
        <v>3</v>
      </c>
      <c r="G270">
        <v>343</v>
      </c>
      <c r="H270">
        <v>0</v>
      </c>
      <c r="I270">
        <v>38</v>
      </c>
      <c r="J270" t="s">
        <v>819</v>
      </c>
      <c r="K270">
        <f>+WEEKNUM(AV_PLAN[[#This Row],[Días]])</f>
        <v>46</v>
      </c>
      <c r="L270" s="4">
        <f>IFERROR(AV_PLAN[[#This Row],[INICIO REAL ACUMULADO]]/AV_PLAN[[#This Row],[PLAN ACUMULADO]],"")</f>
        <v>0.25440806045340053</v>
      </c>
      <c r="M270" s="4">
        <f>IFERROR(AV_PLAN[[#This Row],[TERMINO REAL ACUMULADO]]/AV_PLAN[[#This Row],[TERMINO PLAN ACUMULADO]],"")</f>
        <v>0.11078717201166181</v>
      </c>
      <c r="N270">
        <f>+AV_PLAN[[#This Row],[PLAN ACUMULADO]]-AV_PLAN[[#This Row],[INICIO REAL ACUMULADO]]</f>
        <v>296</v>
      </c>
      <c r="O270">
        <f>+AV_PLAN[[#This Row],[TERMINO PLAN ACUMULADO]]-AV_PLAN[[#This Row],[TERMINO REAL ACUMULADO]]</f>
        <v>305</v>
      </c>
      <c r="P2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0" s="7">
        <f>+AV_PLAN[[#This Row],[PLAN ACUMULADO]]/$C$471</f>
        <v>0.56392045454545459</v>
      </c>
      <c r="R270" s="7">
        <f t="shared" si="8"/>
        <v>0.14346590909090909</v>
      </c>
      <c r="S270" s="7">
        <f>+AV_PLAN[[#This Row],[TERMINO PLAN ACUMULADO]]/$G$471</f>
        <v>0.48721590909090912</v>
      </c>
      <c r="T270" s="7">
        <f t="shared" si="9"/>
        <v>5.3977272727272728E-2</v>
      </c>
      <c r="U270" s="7">
        <f>+(AV_PLAN[[#This Row],[%AVANCE INICIO PLANIFICADO]]+AV_PLAN[[#This Row],[%AVANCE TERMINO PLANIFICADO]])/2</f>
        <v>0.52556818181818188</v>
      </c>
    </row>
    <row r="271" spans="1:21" x14ac:dyDescent="0.25">
      <c r="A271" s="1">
        <v>46338</v>
      </c>
      <c r="B271">
        <v>3</v>
      </c>
      <c r="C271">
        <v>400</v>
      </c>
      <c r="D271">
        <v>0</v>
      </c>
      <c r="E271">
        <v>101</v>
      </c>
      <c r="F271">
        <v>3</v>
      </c>
      <c r="G271">
        <v>346</v>
      </c>
      <c r="H271">
        <v>0</v>
      </c>
      <c r="I271">
        <v>38</v>
      </c>
      <c r="J271" t="s">
        <v>819</v>
      </c>
      <c r="K271">
        <f>+WEEKNUM(AV_PLAN[[#This Row],[Días]])</f>
        <v>46</v>
      </c>
      <c r="L271" s="4">
        <f>IFERROR(AV_PLAN[[#This Row],[INICIO REAL ACUMULADO]]/AV_PLAN[[#This Row],[PLAN ACUMULADO]],"")</f>
        <v>0.2525</v>
      </c>
      <c r="M271" s="4">
        <f>IFERROR(AV_PLAN[[#This Row],[TERMINO REAL ACUMULADO]]/AV_PLAN[[#This Row],[TERMINO PLAN ACUMULADO]],"")</f>
        <v>0.10982658959537572</v>
      </c>
      <c r="N271">
        <f>+AV_PLAN[[#This Row],[PLAN ACUMULADO]]-AV_PLAN[[#This Row],[INICIO REAL ACUMULADO]]</f>
        <v>299</v>
      </c>
      <c r="O271">
        <f>+AV_PLAN[[#This Row],[TERMINO PLAN ACUMULADO]]-AV_PLAN[[#This Row],[TERMINO REAL ACUMULADO]]</f>
        <v>308</v>
      </c>
      <c r="P2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1" s="7">
        <f>+AV_PLAN[[#This Row],[PLAN ACUMULADO]]/$C$471</f>
        <v>0.56818181818181823</v>
      </c>
      <c r="R271" s="7">
        <f t="shared" si="8"/>
        <v>0.14346590909090909</v>
      </c>
      <c r="S271" s="7">
        <f>+AV_PLAN[[#This Row],[TERMINO PLAN ACUMULADO]]/$G$471</f>
        <v>0.49147727272727271</v>
      </c>
      <c r="T271" s="7">
        <f t="shared" si="9"/>
        <v>5.3977272727272728E-2</v>
      </c>
      <c r="U271" s="7">
        <f>+(AV_PLAN[[#This Row],[%AVANCE INICIO PLANIFICADO]]+AV_PLAN[[#This Row],[%AVANCE TERMINO PLANIFICADO]])/2</f>
        <v>0.52982954545454541</v>
      </c>
    </row>
    <row r="272" spans="1:21" x14ac:dyDescent="0.25">
      <c r="A272" s="1">
        <v>46339</v>
      </c>
      <c r="B272">
        <v>3</v>
      </c>
      <c r="C272">
        <v>403</v>
      </c>
      <c r="D272">
        <v>0</v>
      </c>
      <c r="E272">
        <v>101</v>
      </c>
      <c r="F272">
        <v>1</v>
      </c>
      <c r="G272">
        <v>347</v>
      </c>
      <c r="H272">
        <v>0</v>
      </c>
      <c r="I272">
        <v>38</v>
      </c>
      <c r="J272" t="s">
        <v>819</v>
      </c>
      <c r="K272">
        <f>+WEEKNUM(AV_PLAN[[#This Row],[Días]])</f>
        <v>46</v>
      </c>
      <c r="L272" s="4">
        <f>IFERROR(AV_PLAN[[#This Row],[INICIO REAL ACUMULADO]]/AV_PLAN[[#This Row],[PLAN ACUMULADO]],"")</f>
        <v>0.25062034739454092</v>
      </c>
      <c r="M272" s="4">
        <f>IFERROR(AV_PLAN[[#This Row],[TERMINO REAL ACUMULADO]]/AV_PLAN[[#This Row],[TERMINO PLAN ACUMULADO]],"")</f>
        <v>0.10951008645533142</v>
      </c>
      <c r="N272">
        <f>+AV_PLAN[[#This Row],[PLAN ACUMULADO]]-AV_PLAN[[#This Row],[INICIO REAL ACUMULADO]]</f>
        <v>302</v>
      </c>
      <c r="O272">
        <f>+AV_PLAN[[#This Row],[TERMINO PLAN ACUMULADO]]-AV_PLAN[[#This Row],[TERMINO REAL ACUMULADO]]</f>
        <v>309</v>
      </c>
      <c r="P2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2" s="7">
        <f>+AV_PLAN[[#This Row],[PLAN ACUMULADO]]/$C$471</f>
        <v>0.57244318181818177</v>
      </c>
      <c r="R272" s="7">
        <f t="shared" si="8"/>
        <v>0.14346590909090909</v>
      </c>
      <c r="S272" s="7">
        <f>+AV_PLAN[[#This Row],[TERMINO PLAN ACUMULADO]]/$G$471</f>
        <v>0.49289772727272729</v>
      </c>
      <c r="T272" s="7">
        <f t="shared" si="9"/>
        <v>5.3977272727272728E-2</v>
      </c>
      <c r="U272" s="7">
        <f>+(AV_PLAN[[#This Row],[%AVANCE INICIO PLANIFICADO]]+AV_PLAN[[#This Row],[%AVANCE TERMINO PLANIFICADO]])/2</f>
        <v>0.53267045454545459</v>
      </c>
    </row>
    <row r="273" spans="1:21" x14ac:dyDescent="0.25">
      <c r="A273" s="1">
        <v>46340</v>
      </c>
      <c r="B273">
        <v>0</v>
      </c>
      <c r="C273">
        <v>403</v>
      </c>
      <c r="D273">
        <v>0</v>
      </c>
      <c r="E273">
        <v>101</v>
      </c>
      <c r="F273">
        <v>2</v>
      </c>
      <c r="G273">
        <v>349</v>
      </c>
      <c r="H273">
        <v>0</v>
      </c>
      <c r="I273">
        <v>38</v>
      </c>
      <c r="J273" t="s">
        <v>819</v>
      </c>
      <c r="K273">
        <f>+WEEKNUM(AV_PLAN[[#This Row],[Días]])</f>
        <v>46</v>
      </c>
      <c r="L273" s="4">
        <f>IFERROR(AV_PLAN[[#This Row],[INICIO REAL ACUMULADO]]/AV_PLAN[[#This Row],[PLAN ACUMULADO]],"")</f>
        <v>0.25062034739454092</v>
      </c>
      <c r="M273" s="4">
        <f>IFERROR(AV_PLAN[[#This Row],[TERMINO REAL ACUMULADO]]/AV_PLAN[[#This Row],[TERMINO PLAN ACUMULADO]],"")</f>
        <v>0.10888252148997135</v>
      </c>
      <c r="N273">
        <f>+AV_PLAN[[#This Row],[PLAN ACUMULADO]]-AV_PLAN[[#This Row],[INICIO REAL ACUMULADO]]</f>
        <v>302</v>
      </c>
      <c r="O273">
        <f>+AV_PLAN[[#This Row],[TERMINO PLAN ACUMULADO]]-AV_PLAN[[#This Row],[TERMINO REAL ACUMULADO]]</f>
        <v>311</v>
      </c>
      <c r="P2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3" s="7">
        <f>+AV_PLAN[[#This Row],[PLAN ACUMULADO]]/$C$471</f>
        <v>0.57244318181818177</v>
      </c>
      <c r="R273" s="7">
        <f t="shared" si="8"/>
        <v>0.14346590909090909</v>
      </c>
      <c r="S273" s="7">
        <f>+AV_PLAN[[#This Row],[TERMINO PLAN ACUMULADO]]/$G$471</f>
        <v>0.49573863636363635</v>
      </c>
      <c r="T273" s="7">
        <f t="shared" si="9"/>
        <v>5.3977272727272728E-2</v>
      </c>
      <c r="U273" s="7">
        <f>+(AV_PLAN[[#This Row],[%AVANCE INICIO PLANIFICADO]]+AV_PLAN[[#This Row],[%AVANCE TERMINO PLANIFICADO]])/2</f>
        <v>0.53409090909090906</v>
      </c>
    </row>
    <row r="274" spans="1:21" x14ac:dyDescent="0.25">
      <c r="A274" s="1">
        <v>46341</v>
      </c>
      <c r="B274">
        <v>0</v>
      </c>
      <c r="C274">
        <v>403</v>
      </c>
      <c r="D274">
        <v>0</v>
      </c>
      <c r="E274">
        <v>101</v>
      </c>
      <c r="F274">
        <v>4</v>
      </c>
      <c r="G274">
        <v>353</v>
      </c>
      <c r="H274">
        <v>0</v>
      </c>
      <c r="I274">
        <v>38</v>
      </c>
      <c r="J274" t="s">
        <v>819</v>
      </c>
      <c r="K274">
        <f>+WEEKNUM(AV_PLAN[[#This Row],[Días]])</f>
        <v>47</v>
      </c>
      <c r="L274" s="4">
        <f>IFERROR(AV_PLAN[[#This Row],[INICIO REAL ACUMULADO]]/AV_PLAN[[#This Row],[PLAN ACUMULADO]],"")</f>
        <v>0.25062034739454092</v>
      </c>
      <c r="M274" s="4">
        <f>IFERROR(AV_PLAN[[#This Row],[TERMINO REAL ACUMULADO]]/AV_PLAN[[#This Row],[TERMINO PLAN ACUMULADO]],"")</f>
        <v>0.10764872521246459</v>
      </c>
      <c r="N274">
        <f>+AV_PLAN[[#This Row],[PLAN ACUMULADO]]-AV_PLAN[[#This Row],[INICIO REAL ACUMULADO]]</f>
        <v>302</v>
      </c>
      <c r="O274">
        <f>+AV_PLAN[[#This Row],[TERMINO PLAN ACUMULADO]]-AV_PLAN[[#This Row],[TERMINO REAL ACUMULADO]]</f>
        <v>315</v>
      </c>
      <c r="P2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4" s="7">
        <f>+AV_PLAN[[#This Row],[PLAN ACUMULADO]]/$C$471</f>
        <v>0.57244318181818177</v>
      </c>
      <c r="R274" s="7">
        <f t="shared" si="8"/>
        <v>0.14346590909090909</v>
      </c>
      <c r="S274" s="7">
        <f>+AV_PLAN[[#This Row],[TERMINO PLAN ACUMULADO]]/$G$471</f>
        <v>0.50142045454545459</v>
      </c>
      <c r="T274" s="7">
        <f t="shared" si="9"/>
        <v>5.3977272727272728E-2</v>
      </c>
      <c r="U274" s="7">
        <f>+(AV_PLAN[[#This Row],[%AVANCE INICIO PLANIFICADO]]+AV_PLAN[[#This Row],[%AVANCE TERMINO PLANIFICADO]])/2</f>
        <v>0.53693181818181812</v>
      </c>
    </row>
    <row r="275" spans="1:21" x14ac:dyDescent="0.25">
      <c r="A275" s="1">
        <v>46342</v>
      </c>
      <c r="B275">
        <v>3</v>
      </c>
      <c r="C275">
        <v>406</v>
      </c>
      <c r="D275">
        <v>0</v>
      </c>
      <c r="E275">
        <v>101</v>
      </c>
      <c r="F275">
        <v>1</v>
      </c>
      <c r="G275">
        <v>354</v>
      </c>
      <c r="H275">
        <v>0</v>
      </c>
      <c r="I275">
        <v>38</v>
      </c>
      <c r="J275" t="s">
        <v>819</v>
      </c>
      <c r="K275">
        <f>+WEEKNUM(AV_PLAN[[#This Row],[Días]])</f>
        <v>47</v>
      </c>
      <c r="L275" s="4">
        <f>IFERROR(AV_PLAN[[#This Row],[INICIO REAL ACUMULADO]]/AV_PLAN[[#This Row],[PLAN ACUMULADO]],"")</f>
        <v>0.24876847290640394</v>
      </c>
      <c r="M275" s="4">
        <f>IFERROR(AV_PLAN[[#This Row],[TERMINO REAL ACUMULADO]]/AV_PLAN[[#This Row],[TERMINO PLAN ACUMULADO]],"")</f>
        <v>0.10734463276836158</v>
      </c>
      <c r="N275">
        <f>+AV_PLAN[[#This Row],[PLAN ACUMULADO]]-AV_PLAN[[#This Row],[INICIO REAL ACUMULADO]]</f>
        <v>305</v>
      </c>
      <c r="O275">
        <f>+AV_PLAN[[#This Row],[TERMINO PLAN ACUMULADO]]-AV_PLAN[[#This Row],[TERMINO REAL ACUMULADO]]</f>
        <v>316</v>
      </c>
      <c r="P2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5" s="7">
        <f>+AV_PLAN[[#This Row],[PLAN ACUMULADO]]/$C$471</f>
        <v>0.57670454545454541</v>
      </c>
      <c r="R275" s="7">
        <f t="shared" si="8"/>
        <v>0.14346590909090909</v>
      </c>
      <c r="S275" s="7">
        <f>+AV_PLAN[[#This Row],[TERMINO PLAN ACUMULADO]]/$G$471</f>
        <v>0.50284090909090906</v>
      </c>
      <c r="T275" s="7">
        <f t="shared" si="9"/>
        <v>5.3977272727272728E-2</v>
      </c>
      <c r="U275" s="7">
        <f>+(AV_PLAN[[#This Row],[%AVANCE INICIO PLANIFICADO]]+AV_PLAN[[#This Row],[%AVANCE TERMINO PLANIFICADO]])/2</f>
        <v>0.53977272727272729</v>
      </c>
    </row>
    <row r="276" spans="1:21" x14ac:dyDescent="0.25">
      <c r="A276" s="1">
        <v>46343</v>
      </c>
      <c r="B276">
        <v>3</v>
      </c>
      <c r="C276">
        <v>409</v>
      </c>
      <c r="D276">
        <v>0</v>
      </c>
      <c r="E276">
        <v>101</v>
      </c>
      <c r="F276">
        <v>1</v>
      </c>
      <c r="G276">
        <v>355</v>
      </c>
      <c r="H276">
        <v>0</v>
      </c>
      <c r="I276">
        <v>38</v>
      </c>
      <c r="J276" t="s">
        <v>819</v>
      </c>
      <c r="K276">
        <f>+WEEKNUM(AV_PLAN[[#This Row],[Días]])</f>
        <v>47</v>
      </c>
      <c r="L276" s="4">
        <f>IFERROR(AV_PLAN[[#This Row],[INICIO REAL ACUMULADO]]/AV_PLAN[[#This Row],[PLAN ACUMULADO]],"")</f>
        <v>0.24694376528117359</v>
      </c>
      <c r="M276" s="4">
        <f>IFERROR(AV_PLAN[[#This Row],[TERMINO REAL ACUMULADO]]/AV_PLAN[[#This Row],[TERMINO PLAN ACUMULADO]],"")</f>
        <v>0.10704225352112676</v>
      </c>
      <c r="N276">
        <f>+AV_PLAN[[#This Row],[PLAN ACUMULADO]]-AV_PLAN[[#This Row],[INICIO REAL ACUMULADO]]</f>
        <v>308</v>
      </c>
      <c r="O276">
        <f>+AV_PLAN[[#This Row],[TERMINO PLAN ACUMULADO]]-AV_PLAN[[#This Row],[TERMINO REAL ACUMULADO]]</f>
        <v>317</v>
      </c>
      <c r="P2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6" s="7">
        <f>+AV_PLAN[[#This Row],[PLAN ACUMULADO]]/$C$471</f>
        <v>0.58096590909090906</v>
      </c>
      <c r="R276" s="7">
        <f t="shared" si="8"/>
        <v>0.14346590909090909</v>
      </c>
      <c r="S276" s="7">
        <f>+AV_PLAN[[#This Row],[TERMINO PLAN ACUMULADO]]/$G$471</f>
        <v>0.50426136363636365</v>
      </c>
      <c r="T276" s="7">
        <f t="shared" si="9"/>
        <v>5.3977272727272728E-2</v>
      </c>
      <c r="U276" s="7">
        <f>+(AV_PLAN[[#This Row],[%AVANCE INICIO PLANIFICADO]]+AV_PLAN[[#This Row],[%AVANCE TERMINO PLANIFICADO]])/2</f>
        <v>0.54261363636363635</v>
      </c>
    </row>
    <row r="277" spans="1:21" x14ac:dyDescent="0.25">
      <c r="A277" s="1">
        <v>46344</v>
      </c>
      <c r="B277">
        <v>3</v>
      </c>
      <c r="C277">
        <v>412</v>
      </c>
      <c r="D277">
        <v>0</v>
      </c>
      <c r="E277">
        <v>101</v>
      </c>
      <c r="F277">
        <v>3</v>
      </c>
      <c r="G277">
        <v>358</v>
      </c>
      <c r="H277">
        <v>0</v>
      </c>
      <c r="I277">
        <v>38</v>
      </c>
      <c r="J277" t="s">
        <v>819</v>
      </c>
      <c r="K277">
        <f>+WEEKNUM(AV_PLAN[[#This Row],[Días]])</f>
        <v>47</v>
      </c>
      <c r="L277" s="4">
        <f>IFERROR(AV_PLAN[[#This Row],[INICIO REAL ACUMULADO]]/AV_PLAN[[#This Row],[PLAN ACUMULADO]],"")</f>
        <v>0.24514563106796117</v>
      </c>
      <c r="M277" s="4">
        <f>IFERROR(AV_PLAN[[#This Row],[TERMINO REAL ACUMULADO]]/AV_PLAN[[#This Row],[TERMINO PLAN ACUMULADO]],"")</f>
        <v>0.10614525139664804</v>
      </c>
      <c r="N277">
        <f>+AV_PLAN[[#This Row],[PLAN ACUMULADO]]-AV_PLAN[[#This Row],[INICIO REAL ACUMULADO]]</f>
        <v>311</v>
      </c>
      <c r="O277">
        <f>+AV_PLAN[[#This Row],[TERMINO PLAN ACUMULADO]]-AV_PLAN[[#This Row],[TERMINO REAL ACUMULADO]]</f>
        <v>320</v>
      </c>
      <c r="P2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7" s="7">
        <f>+AV_PLAN[[#This Row],[PLAN ACUMULADO]]/$C$471</f>
        <v>0.58522727272727271</v>
      </c>
      <c r="R277" s="7">
        <f t="shared" si="8"/>
        <v>0.14346590909090909</v>
      </c>
      <c r="S277" s="7">
        <f>+AV_PLAN[[#This Row],[TERMINO PLAN ACUMULADO]]/$G$471</f>
        <v>0.50852272727272729</v>
      </c>
      <c r="T277" s="7">
        <f t="shared" si="9"/>
        <v>5.3977272727272728E-2</v>
      </c>
      <c r="U277" s="7">
        <f>+(AV_PLAN[[#This Row],[%AVANCE INICIO PLANIFICADO]]+AV_PLAN[[#This Row],[%AVANCE TERMINO PLANIFICADO]])/2</f>
        <v>0.546875</v>
      </c>
    </row>
    <row r="278" spans="1:21" x14ac:dyDescent="0.25">
      <c r="A278" s="1">
        <v>46345</v>
      </c>
      <c r="B278">
        <v>3</v>
      </c>
      <c r="C278">
        <v>415</v>
      </c>
      <c r="D278">
        <v>0</v>
      </c>
      <c r="E278">
        <v>101</v>
      </c>
      <c r="F278">
        <v>3</v>
      </c>
      <c r="G278">
        <v>361</v>
      </c>
      <c r="H278">
        <v>0</v>
      </c>
      <c r="I278">
        <v>38</v>
      </c>
      <c r="J278" t="s">
        <v>819</v>
      </c>
      <c r="K278">
        <f>+WEEKNUM(AV_PLAN[[#This Row],[Días]])</f>
        <v>47</v>
      </c>
      <c r="L278" s="4">
        <f>IFERROR(AV_PLAN[[#This Row],[INICIO REAL ACUMULADO]]/AV_PLAN[[#This Row],[PLAN ACUMULADO]],"")</f>
        <v>0.2433734939759036</v>
      </c>
      <c r="M278" s="4">
        <f>IFERROR(AV_PLAN[[#This Row],[TERMINO REAL ACUMULADO]]/AV_PLAN[[#This Row],[TERMINO PLAN ACUMULADO]],"")</f>
        <v>0.10526315789473684</v>
      </c>
      <c r="N278">
        <f>+AV_PLAN[[#This Row],[PLAN ACUMULADO]]-AV_PLAN[[#This Row],[INICIO REAL ACUMULADO]]</f>
        <v>314</v>
      </c>
      <c r="O278">
        <f>+AV_PLAN[[#This Row],[TERMINO PLAN ACUMULADO]]-AV_PLAN[[#This Row],[TERMINO REAL ACUMULADO]]</f>
        <v>323</v>
      </c>
      <c r="P2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8" s="7">
        <f>+AV_PLAN[[#This Row],[PLAN ACUMULADO]]/$C$471</f>
        <v>0.58948863636363635</v>
      </c>
      <c r="R278" s="7">
        <f t="shared" si="8"/>
        <v>0.14346590909090909</v>
      </c>
      <c r="S278" s="7">
        <f>+AV_PLAN[[#This Row],[TERMINO PLAN ACUMULADO]]/$G$471</f>
        <v>0.51278409090909094</v>
      </c>
      <c r="T278" s="7">
        <f t="shared" si="9"/>
        <v>5.3977272727272728E-2</v>
      </c>
      <c r="U278" s="7">
        <f>+(AV_PLAN[[#This Row],[%AVANCE INICIO PLANIFICADO]]+AV_PLAN[[#This Row],[%AVANCE TERMINO PLANIFICADO]])/2</f>
        <v>0.55113636363636365</v>
      </c>
    </row>
    <row r="279" spans="1:21" x14ac:dyDescent="0.25">
      <c r="A279" s="1">
        <v>46346</v>
      </c>
      <c r="B279">
        <v>3</v>
      </c>
      <c r="C279">
        <v>418</v>
      </c>
      <c r="D279">
        <v>0</v>
      </c>
      <c r="E279">
        <v>101</v>
      </c>
      <c r="F279">
        <v>2</v>
      </c>
      <c r="G279">
        <v>363</v>
      </c>
      <c r="H279">
        <v>0</v>
      </c>
      <c r="I279">
        <v>38</v>
      </c>
      <c r="J279" t="s">
        <v>819</v>
      </c>
      <c r="K279">
        <f>+WEEKNUM(AV_PLAN[[#This Row],[Días]])</f>
        <v>47</v>
      </c>
      <c r="L279" s="4">
        <f>IFERROR(AV_PLAN[[#This Row],[INICIO REAL ACUMULADO]]/AV_PLAN[[#This Row],[PLAN ACUMULADO]],"")</f>
        <v>0.24162679425837322</v>
      </c>
      <c r="M279" s="4">
        <f>IFERROR(AV_PLAN[[#This Row],[TERMINO REAL ACUMULADO]]/AV_PLAN[[#This Row],[TERMINO PLAN ACUMULADO]],"")</f>
        <v>0.1046831955922865</v>
      </c>
      <c r="N279">
        <f>+AV_PLAN[[#This Row],[PLAN ACUMULADO]]-AV_PLAN[[#This Row],[INICIO REAL ACUMULADO]]</f>
        <v>317</v>
      </c>
      <c r="O279">
        <f>+AV_PLAN[[#This Row],[TERMINO PLAN ACUMULADO]]-AV_PLAN[[#This Row],[TERMINO REAL ACUMULADO]]</f>
        <v>325</v>
      </c>
      <c r="P27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9" s="7">
        <f>+AV_PLAN[[#This Row],[PLAN ACUMULADO]]/$C$471</f>
        <v>0.59375</v>
      </c>
      <c r="R279" s="7">
        <f t="shared" si="8"/>
        <v>0.14346590909090909</v>
      </c>
      <c r="S279" s="7">
        <f>+AV_PLAN[[#This Row],[TERMINO PLAN ACUMULADO]]/$G$471</f>
        <v>0.515625</v>
      </c>
      <c r="T279" s="7">
        <f t="shared" si="9"/>
        <v>5.3977272727272728E-2</v>
      </c>
      <c r="U279" s="7">
        <f>+(AV_PLAN[[#This Row],[%AVANCE INICIO PLANIFICADO]]+AV_PLAN[[#This Row],[%AVANCE TERMINO PLANIFICADO]])/2</f>
        <v>0.5546875</v>
      </c>
    </row>
    <row r="280" spans="1:21" x14ac:dyDescent="0.25">
      <c r="A280" s="1">
        <v>46347</v>
      </c>
      <c r="B280">
        <v>0</v>
      </c>
      <c r="C280">
        <v>418</v>
      </c>
      <c r="D280">
        <v>0</v>
      </c>
      <c r="E280">
        <v>101</v>
      </c>
      <c r="F280">
        <v>2</v>
      </c>
      <c r="G280">
        <v>365</v>
      </c>
      <c r="H280">
        <v>0</v>
      </c>
      <c r="I280">
        <v>38</v>
      </c>
      <c r="J280" t="s">
        <v>819</v>
      </c>
      <c r="K280">
        <f>+WEEKNUM(AV_PLAN[[#This Row],[Días]])</f>
        <v>47</v>
      </c>
      <c r="L280" s="4">
        <f>IFERROR(AV_PLAN[[#This Row],[INICIO REAL ACUMULADO]]/AV_PLAN[[#This Row],[PLAN ACUMULADO]],"")</f>
        <v>0.24162679425837322</v>
      </c>
      <c r="M280" s="4">
        <f>IFERROR(AV_PLAN[[#This Row],[TERMINO REAL ACUMULADO]]/AV_PLAN[[#This Row],[TERMINO PLAN ACUMULADO]],"")</f>
        <v>0.10410958904109589</v>
      </c>
      <c r="N280">
        <f>+AV_PLAN[[#This Row],[PLAN ACUMULADO]]-AV_PLAN[[#This Row],[INICIO REAL ACUMULADO]]</f>
        <v>317</v>
      </c>
      <c r="O280">
        <f>+AV_PLAN[[#This Row],[TERMINO PLAN ACUMULADO]]-AV_PLAN[[#This Row],[TERMINO REAL ACUMULADO]]</f>
        <v>327</v>
      </c>
      <c r="P2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0" s="7">
        <f>+AV_PLAN[[#This Row],[PLAN ACUMULADO]]/$C$471</f>
        <v>0.59375</v>
      </c>
      <c r="R280" s="7">
        <f t="shared" si="8"/>
        <v>0.14346590909090909</v>
      </c>
      <c r="S280" s="7">
        <f>+AV_PLAN[[#This Row],[TERMINO PLAN ACUMULADO]]/$G$471</f>
        <v>0.51846590909090906</v>
      </c>
      <c r="T280" s="7">
        <f t="shared" si="9"/>
        <v>5.3977272727272728E-2</v>
      </c>
      <c r="U280" s="7">
        <f>+(AV_PLAN[[#This Row],[%AVANCE INICIO PLANIFICADO]]+AV_PLAN[[#This Row],[%AVANCE TERMINO PLANIFICADO]])/2</f>
        <v>0.55610795454545459</v>
      </c>
    </row>
    <row r="281" spans="1:21" x14ac:dyDescent="0.25">
      <c r="A281" s="1">
        <v>46348</v>
      </c>
      <c r="B281">
        <v>0</v>
      </c>
      <c r="C281">
        <v>418</v>
      </c>
      <c r="D281">
        <v>0</v>
      </c>
      <c r="E281">
        <v>101</v>
      </c>
      <c r="F281">
        <v>2</v>
      </c>
      <c r="G281">
        <v>367</v>
      </c>
      <c r="H281">
        <v>0</v>
      </c>
      <c r="I281">
        <v>38</v>
      </c>
      <c r="J281" t="s">
        <v>819</v>
      </c>
      <c r="K281">
        <f>+WEEKNUM(AV_PLAN[[#This Row],[Días]])</f>
        <v>48</v>
      </c>
      <c r="L281" s="4">
        <f>IFERROR(AV_PLAN[[#This Row],[INICIO REAL ACUMULADO]]/AV_PLAN[[#This Row],[PLAN ACUMULADO]],"")</f>
        <v>0.24162679425837322</v>
      </c>
      <c r="M281" s="4">
        <f>IFERROR(AV_PLAN[[#This Row],[TERMINO REAL ACUMULADO]]/AV_PLAN[[#This Row],[TERMINO PLAN ACUMULADO]],"")</f>
        <v>0.10354223433242507</v>
      </c>
      <c r="N281">
        <f>+AV_PLAN[[#This Row],[PLAN ACUMULADO]]-AV_PLAN[[#This Row],[INICIO REAL ACUMULADO]]</f>
        <v>317</v>
      </c>
      <c r="O281">
        <f>+AV_PLAN[[#This Row],[TERMINO PLAN ACUMULADO]]-AV_PLAN[[#This Row],[TERMINO REAL ACUMULADO]]</f>
        <v>329</v>
      </c>
      <c r="P2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1" s="7">
        <f>+AV_PLAN[[#This Row],[PLAN ACUMULADO]]/$C$471</f>
        <v>0.59375</v>
      </c>
      <c r="R281" s="7">
        <f t="shared" si="8"/>
        <v>0.14346590909090909</v>
      </c>
      <c r="S281" s="7">
        <f>+AV_PLAN[[#This Row],[TERMINO PLAN ACUMULADO]]/$G$471</f>
        <v>0.52130681818181823</v>
      </c>
      <c r="T281" s="7">
        <f t="shared" si="9"/>
        <v>5.3977272727272728E-2</v>
      </c>
      <c r="U281" s="7">
        <f>+(AV_PLAN[[#This Row],[%AVANCE INICIO PLANIFICADO]]+AV_PLAN[[#This Row],[%AVANCE TERMINO PLANIFICADO]])/2</f>
        <v>0.55752840909090917</v>
      </c>
    </row>
    <row r="282" spans="1:21" x14ac:dyDescent="0.25">
      <c r="A282" s="1">
        <v>46349</v>
      </c>
      <c r="B282">
        <v>3</v>
      </c>
      <c r="C282">
        <v>421</v>
      </c>
      <c r="D282">
        <v>0</v>
      </c>
      <c r="E282">
        <v>101</v>
      </c>
      <c r="F282">
        <v>1</v>
      </c>
      <c r="G282">
        <v>368</v>
      </c>
      <c r="H282">
        <v>0</v>
      </c>
      <c r="I282">
        <v>38</v>
      </c>
      <c r="J282" t="s">
        <v>819</v>
      </c>
      <c r="K282">
        <f>+WEEKNUM(AV_PLAN[[#This Row],[Días]])</f>
        <v>48</v>
      </c>
      <c r="L282" s="4">
        <f>IFERROR(AV_PLAN[[#This Row],[INICIO REAL ACUMULADO]]/AV_PLAN[[#This Row],[PLAN ACUMULADO]],"")</f>
        <v>0.23990498812351543</v>
      </c>
      <c r="M282" s="4">
        <f>IFERROR(AV_PLAN[[#This Row],[TERMINO REAL ACUMULADO]]/AV_PLAN[[#This Row],[TERMINO PLAN ACUMULADO]],"")</f>
        <v>0.10326086956521739</v>
      </c>
      <c r="N282">
        <f>+AV_PLAN[[#This Row],[PLAN ACUMULADO]]-AV_PLAN[[#This Row],[INICIO REAL ACUMULADO]]</f>
        <v>320</v>
      </c>
      <c r="O282">
        <f>+AV_PLAN[[#This Row],[TERMINO PLAN ACUMULADO]]-AV_PLAN[[#This Row],[TERMINO REAL ACUMULADO]]</f>
        <v>330</v>
      </c>
      <c r="P2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2" s="7">
        <f>+AV_PLAN[[#This Row],[PLAN ACUMULADO]]/$C$471</f>
        <v>0.59801136363636365</v>
      </c>
      <c r="R282" s="7">
        <f t="shared" si="8"/>
        <v>0.14346590909090909</v>
      </c>
      <c r="S282" s="7">
        <f>+AV_PLAN[[#This Row],[TERMINO PLAN ACUMULADO]]/$G$471</f>
        <v>0.52272727272727271</v>
      </c>
      <c r="T282" s="7">
        <f t="shared" si="9"/>
        <v>5.3977272727272728E-2</v>
      </c>
      <c r="U282" s="7">
        <f>+(AV_PLAN[[#This Row],[%AVANCE INICIO PLANIFICADO]]+AV_PLAN[[#This Row],[%AVANCE TERMINO PLANIFICADO]])/2</f>
        <v>0.56036931818181812</v>
      </c>
    </row>
    <row r="283" spans="1:21" x14ac:dyDescent="0.25">
      <c r="A283" s="1">
        <v>46350</v>
      </c>
      <c r="B283">
        <v>3</v>
      </c>
      <c r="C283">
        <v>424</v>
      </c>
      <c r="D283">
        <v>0</v>
      </c>
      <c r="E283">
        <v>101</v>
      </c>
      <c r="F283">
        <v>2</v>
      </c>
      <c r="G283">
        <v>370</v>
      </c>
      <c r="H283">
        <v>0</v>
      </c>
      <c r="I283">
        <v>38</v>
      </c>
      <c r="J283" t="s">
        <v>819</v>
      </c>
      <c r="K283">
        <f>+WEEKNUM(AV_PLAN[[#This Row],[Días]])</f>
        <v>48</v>
      </c>
      <c r="L283" s="4">
        <f>IFERROR(AV_PLAN[[#This Row],[INICIO REAL ACUMULADO]]/AV_PLAN[[#This Row],[PLAN ACUMULADO]],"")</f>
        <v>0.23820754716981132</v>
      </c>
      <c r="M283" s="4">
        <f>IFERROR(AV_PLAN[[#This Row],[TERMINO REAL ACUMULADO]]/AV_PLAN[[#This Row],[TERMINO PLAN ACUMULADO]],"")</f>
        <v>0.10270270270270271</v>
      </c>
      <c r="N283">
        <f>+AV_PLAN[[#This Row],[PLAN ACUMULADO]]-AV_PLAN[[#This Row],[INICIO REAL ACUMULADO]]</f>
        <v>323</v>
      </c>
      <c r="O283">
        <f>+AV_PLAN[[#This Row],[TERMINO PLAN ACUMULADO]]-AV_PLAN[[#This Row],[TERMINO REAL ACUMULADO]]</f>
        <v>332</v>
      </c>
      <c r="P2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3" s="7">
        <f>+AV_PLAN[[#This Row],[PLAN ACUMULADO]]/$C$471</f>
        <v>0.60227272727272729</v>
      </c>
      <c r="R283" s="7">
        <f t="shared" si="8"/>
        <v>0.14346590909090909</v>
      </c>
      <c r="S283" s="7">
        <f>+AV_PLAN[[#This Row],[TERMINO PLAN ACUMULADO]]/$G$471</f>
        <v>0.52556818181818177</v>
      </c>
      <c r="T283" s="7">
        <f t="shared" si="9"/>
        <v>5.3977272727272728E-2</v>
      </c>
      <c r="U283" s="7">
        <f>+(AV_PLAN[[#This Row],[%AVANCE INICIO PLANIFICADO]]+AV_PLAN[[#This Row],[%AVANCE TERMINO PLANIFICADO]])/2</f>
        <v>0.56392045454545459</v>
      </c>
    </row>
    <row r="284" spans="1:21" x14ac:dyDescent="0.25">
      <c r="A284" s="1">
        <v>46351</v>
      </c>
      <c r="B284">
        <v>3</v>
      </c>
      <c r="C284">
        <v>427</v>
      </c>
      <c r="D284">
        <v>0</v>
      </c>
      <c r="E284">
        <v>101</v>
      </c>
      <c r="F284">
        <v>3</v>
      </c>
      <c r="G284">
        <v>373</v>
      </c>
      <c r="H284">
        <v>0</v>
      </c>
      <c r="I284">
        <v>38</v>
      </c>
      <c r="J284" t="s">
        <v>819</v>
      </c>
      <c r="K284">
        <f>+WEEKNUM(AV_PLAN[[#This Row],[Días]])</f>
        <v>48</v>
      </c>
      <c r="L284" s="4">
        <f>IFERROR(AV_PLAN[[#This Row],[INICIO REAL ACUMULADO]]/AV_PLAN[[#This Row],[PLAN ACUMULADO]],"")</f>
        <v>0.23653395784543327</v>
      </c>
      <c r="M284" s="4">
        <f>IFERROR(AV_PLAN[[#This Row],[TERMINO REAL ACUMULADO]]/AV_PLAN[[#This Row],[TERMINO PLAN ACUMULADO]],"")</f>
        <v>0.10187667560321716</v>
      </c>
      <c r="N284">
        <f>+AV_PLAN[[#This Row],[PLAN ACUMULADO]]-AV_PLAN[[#This Row],[INICIO REAL ACUMULADO]]</f>
        <v>326</v>
      </c>
      <c r="O284">
        <f>+AV_PLAN[[#This Row],[TERMINO PLAN ACUMULADO]]-AV_PLAN[[#This Row],[TERMINO REAL ACUMULADO]]</f>
        <v>335</v>
      </c>
      <c r="P2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4" s="7">
        <f>+AV_PLAN[[#This Row],[PLAN ACUMULADO]]/$C$471</f>
        <v>0.60653409090909094</v>
      </c>
      <c r="R284" s="7">
        <f t="shared" si="8"/>
        <v>0.14346590909090909</v>
      </c>
      <c r="S284" s="7">
        <f>+AV_PLAN[[#This Row],[TERMINO PLAN ACUMULADO]]/$G$471</f>
        <v>0.52982954545454541</v>
      </c>
      <c r="T284" s="7">
        <f t="shared" si="9"/>
        <v>5.3977272727272728E-2</v>
      </c>
      <c r="U284" s="7">
        <f>+(AV_PLAN[[#This Row],[%AVANCE INICIO PLANIFICADO]]+AV_PLAN[[#This Row],[%AVANCE TERMINO PLANIFICADO]])/2</f>
        <v>0.56818181818181812</v>
      </c>
    </row>
    <row r="285" spans="1:21" x14ac:dyDescent="0.25">
      <c r="A285" s="1">
        <v>46352</v>
      </c>
      <c r="B285">
        <v>3</v>
      </c>
      <c r="C285">
        <v>430</v>
      </c>
      <c r="D285">
        <v>0</v>
      </c>
      <c r="E285">
        <v>101</v>
      </c>
      <c r="F285">
        <v>3</v>
      </c>
      <c r="G285">
        <v>376</v>
      </c>
      <c r="H285">
        <v>0</v>
      </c>
      <c r="I285">
        <v>38</v>
      </c>
      <c r="J285" t="s">
        <v>819</v>
      </c>
      <c r="K285">
        <f>+WEEKNUM(AV_PLAN[[#This Row],[Días]])</f>
        <v>48</v>
      </c>
      <c r="L285" s="4">
        <f>IFERROR(AV_PLAN[[#This Row],[INICIO REAL ACUMULADO]]/AV_PLAN[[#This Row],[PLAN ACUMULADO]],"")</f>
        <v>0.23488372093023255</v>
      </c>
      <c r="M285" s="4">
        <f>IFERROR(AV_PLAN[[#This Row],[TERMINO REAL ACUMULADO]]/AV_PLAN[[#This Row],[TERMINO PLAN ACUMULADO]],"")</f>
        <v>0.10106382978723404</v>
      </c>
      <c r="N285">
        <f>+AV_PLAN[[#This Row],[PLAN ACUMULADO]]-AV_PLAN[[#This Row],[INICIO REAL ACUMULADO]]</f>
        <v>329</v>
      </c>
      <c r="O285">
        <f>+AV_PLAN[[#This Row],[TERMINO PLAN ACUMULADO]]-AV_PLAN[[#This Row],[TERMINO REAL ACUMULADO]]</f>
        <v>338</v>
      </c>
      <c r="P2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5" s="7">
        <f>+AV_PLAN[[#This Row],[PLAN ACUMULADO]]/$C$471</f>
        <v>0.61079545454545459</v>
      </c>
      <c r="R285" s="7">
        <f t="shared" si="8"/>
        <v>0.14346590909090909</v>
      </c>
      <c r="S285" s="7">
        <f>+AV_PLAN[[#This Row],[TERMINO PLAN ACUMULADO]]/$G$471</f>
        <v>0.53409090909090906</v>
      </c>
      <c r="T285" s="7">
        <f t="shared" si="9"/>
        <v>5.3977272727272728E-2</v>
      </c>
      <c r="U285" s="7">
        <f>+(AV_PLAN[[#This Row],[%AVANCE INICIO PLANIFICADO]]+AV_PLAN[[#This Row],[%AVANCE TERMINO PLANIFICADO]])/2</f>
        <v>0.57244318181818188</v>
      </c>
    </row>
    <row r="286" spans="1:21" x14ac:dyDescent="0.25">
      <c r="A286" s="1">
        <v>46353</v>
      </c>
      <c r="B286">
        <v>3</v>
      </c>
      <c r="C286">
        <v>433</v>
      </c>
      <c r="D286">
        <v>0</v>
      </c>
      <c r="E286">
        <v>101</v>
      </c>
      <c r="F286">
        <v>2</v>
      </c>
      <c r="G286">
        <v>378</v>
      </c>
      <c r="H286">
        <v>0</v>
      </c>
      <c r="I286">
        <v>38</v>
      </c>
      <c r="J286" t="s">
        <v>819</v>
      </c>
      <c r="K286">
        <f>+WEEKNUM(AV_PLAN[[#This Row],[Días]])</f>
        <v>48</v>
      </c>
      <c r="L286" s="4">
        <f>IFERROR(AV_PLAN[[#This Row],[INICIO REAL ACUMULADO]]/AV_PLAN[[#This Row],[PLAN ACUMULADO]],"")</f>
        <v>0.23325635103926096</v>
      </c>
      <c r="M286" s="4">
        <f>IFERROR(AV_PLAN[[#This Row],[TERMINO REAL ACUMULADO]]/AV_PLAN[[#This Row],[TERMINO PLAN ACUMULADO]],"")</f>
        <v>0.10052910052910052</v>
      </c>
      <c r="N286">
        <f>+AV_PLAN[[#This Row],[PLAN ACUMULADO]]-AV_PLAN[[#This Row],[INICIO REAL ACUMULADO]]</f>
        <v>332</v>
      </c>
      <c r="O286">
        <f>+AV_PLAN[[#This Row],[TERMINO PLAN ACUMULADO]]-AV_PLAN[[#This Row],[TERMINO REAL ACUMULADO]]</f>
        <v>340</v>
      </c>
      <c r="P2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6" s="7">
        <f>+AV_PLAN[[#This Row],[PLAN ACUMULADO]]/$C$471</f>
        <v>0.61505681818181823</v>
      </c>
      <c r="R286" s="7">
        <f t="shared" si="8"/>
        <v>0.14346590909090909</v>
      </c>
      <c r="S286" s="7">
        <f>+AV_PLAN[[#This Row],[TERMINO PLAN ACUMULADO]]/$G$471</f>
        <v>0.53693181818181823</v>
      </c>
      <c r="T286" s="7">
        <f t="shared" si="9"/>
        <v>5.3977272727272728E-2</v>
      </c>
      <c r="U286" s="7">
        <f>+(AV_PLAN[[#This Row],[%AVANCE INICIO PLANIFICADO]]+AV_PLAN[[#This Row],[%AVANCE TERMINO PLANIFICADO]])/2</f>
        <v>0.57599431818181823</v>
      </c>
    </row>
    <row r="287" spans="1:21" x14ac:dyDescent="0.25">
      <c r="A287" s="1">
        <v>46354</v>
      </c>
      <c r="B287">
        <v>0</v>
      </c>
      <c r="C287">
        <v>433</v>
      </c>
      <c r="D287">
        <v>0</v>
      </c>
      <c r="E287">
        <v>101</v>
      </c>
      <c r="F287">
        <v>1</v>
      </c>
      <c r="G287">
        <v>379</v>
      </c>
      <c r="H287">
        <v>0</v>
      </c>
      <c r="I287">
        <v>38</v>
      </c>
      <c r="J287" t="s">
        <v>819</v>
      </c>
      <c r="K287">
        <f>+WEEKNUM(AV_PLAN[[#This Row],[Días]])</f>
        <v>48</v>
      </c>
      <c r="L287" s="4">
        <f>IFERROR(AV_PLAN[[#This Row],[INICIO REAL ACUMULADO]]/AV_PLAN[[#This Row],[PLAN ACUMULADO]],"")</f>
        <v>0.23325635103926096</v>
      </c>
      <c r="M287" s="4">
        <f>IFERROR(AV_PLAN[[#This Row],[TERMINO REAL ACUMULADO]]/AV_PLAN[[#This Row],[TERMINO PLAN ACUMULADO]],"")</f>
        <v>0.10026385224274406</v>
      </c>
      <c r="N287">
        <f>+AV_PLAN[[#This Row],[PLAN ACUMULADO]]-AV_PLAN[[#This Row],[INICIO REAL ACUMULADO]]</f>
        <v>332</v>
      </c>
      <c r="O287">
        <f>+AV_PLAN[[#This Row],[TERMINO PLAN ACUMULADO]]-AV_PLAN[[#This Row],[TERMINO REAL ACUMULADO]]</f>
        <v>341</v>
      </c>
      <c r="P2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7" s="7">
        <f>+AV_PLAN[[#This Row],[PLAN ACUMULADO]]/$C$471</f>
        <v>0.61505681818181823</v>
      </c>
      <c r="R287" s="7">
        <f t="shared" si="8"/>
        <v>0.14346590909090909</v>
      </c>
      <c r="S287" s="7">
        <f>+AV_PLAN[[#This Row],[TERMINO PLAN ACUMULADO]]/$G$471</f>
        <v>0.53835227272727271</v>
      </c>
      <c r="T287" s="7">
        <f t="shared" si="9"/>
        <v>5.3977272727272728E-2</v>
      </c>
      <c r="U287" s="7">
        <f>+(AV_PLAN[[#This Row],[%AVANCE INICIO PLANIFICADO]]+AV_PLAN[[#This Row],[%AVANCE TERMINO PLANIFICADO]])/2</f>
        <v>0.57670454545454541</v>
      </c>
    </row>
    <row r="288" spans="1:21" x14ac:dyDescent="0.25">
      <c r="A288" s="1">
        <v>46355</v>
      </c>
      <c r="B288">
        <v>0</v>
      </c>
      <c r="C288">
        <v>433</v>
      </c>
      <c r="D288">
        <v>0</v>
      </c>
      <c r="E288">
        <v>101</v>
      </c>
      <c r="F288">
        <v>2</v>
      </c>
      <c r="G288">
        <v>381</v>
      </c>
      <c r="H288">
        <v>0</v>
      </c>
      <c r="I288">
        <v>38</v>
      </c>
      <c r="J288" t="s">
        <v>819</v>
      </c>
      <c r="K288">
        <f>+WEEKNUM(AV_PLAN[[#This Row],[Días]])</f>
        <v>49</v>
      </c>
      <c r="L288" s="4">
        <f>IFERROR(AV_PLAN[[#This Row],[INICIO REAL ACUMULADO]]/AV_PLAN[[#This Row],[PLAN ACUMULADO]],"")</f>
        <v>0.23325635103926096</v>
      </c>
      <c r="M288" s="4">
        <f>IFERROR(AV_PLAN[[#This Row],[TERMINO REAL ACUMULADO]]/AV_PLAN[[#This Row],[TERMINO PLAN ACUMULADO]],"")</f>
        <v>9.9737532808398949E-2</v>
      </c>
      <c r="N288">
        <f>+AV_PLAN[[#This Row],[PLAN ACUMULADO]]-AV_PLAN[[#This Row],[INICIO REAL ACUMULADO]]</f>
        <v>332</v>
      </c>
      <c r="O288">
        <f>+AV_PLAN[[#This Row],[TERMINO PLAN ACUMULADO]]-AV_PLAN[[#This Row],[TERMINO REAL ACUMULADO]]</f>
        <v>343</v>
      </c>
      <c r="P28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8" s="7">
        <f>+AV_PLAN[[#This Row],[PLAN ACUMULADO]]/$C$471</f>
        <v>0.61505681818181823</v>
      </c>
      <c r="R288" s="7">
        <f t="shared" si="8"/>
        <v>0.14346590909090909</v>
      </c>
      <c r="S288" s="7">
        <f>+AV_PLAN[[#This Row],[TERMINO PLAN ACUMULADO]]/$G$471</f>
        <v>0.54119318181818177</v>
      </c>
      <c r="T288" s="7">
        <f t="shared" si="9"/>
        <v>5.3977272727272728E-2</v>
      </c>
      <c r="U288" s="7">
        <f>+(AV_PLAN[[#This Row],[%AVANCE INICIO PLANIFICADO]]+AV_PLAN[[#This Row],[%AVANCE TERMINO PLANIFICADO]])/2</f>
        <v>0.578125</v>
      </c>
    </row>
    <row r="289" spans="1:21" x14ac:dyDescent="0.25">
      <c r="A289" s="1">
        <v>46356</v>
      </c>
      <c r="B289">
        <v>3</v>
      </c>
      <c r="C289">
        <v>436</v>
      </c>
      <c r="D289">
        <v>0</v>
      </c>
      <c r="E289">
        <v>101</v>
      </c>
      <c r="F289">
        <v>2</v>
      </c>
      <c r="G289">
        <v>383</v>
      </c>
      <c r="H289">
        <v>0</v>
      </c>
      <c r="I289">
        <v>38</v>
      </c>
      <c r="J289" t="s">
        <v>819</v>
      </c>
      <c r="K289">
        <f>+WEEKNUM(AV_PLAN[[#This Row],[Días]])</f>
        <v>49</v>
      </c>
      <c r="L289" s="4">
        <f>IFERROR(AV_PLAN[[#This Row],[INICIO REAL ACUMULADO]]/AV_PLAN[[#This Row],[PLAN ACUMULADO]],"")</f>
        <v>0.23165137614678899</v>
      </c>
      <c r="M289" s="4">
        <f>IFERROR(AV_PLAN[[#This Row],[TERMINO REAL ACUMULADO]]/AV_PLAN[[#This Row],[TERMINO PLAN ACUMULADO]],"")</f>
        <v>9.921671018276762E-2</v>
      </c>
      <c r="N289">
        <f>+AV_PLAN[[#This Row],[PLAN ACUMULADO]]-AV_PLAN[[#This Row],[INICIO REAL ACUMULADO]]</f>
        <v>335</v>
      </c>
      <c r="O289">
        <f>+AV_PLAN[[#This Row],[TERMINO PLAN ACUMULADO]]-AV_PLAN[[#This Row],[TERMINO REAL ACUMULADO]]</f>
        <v>345</v>
      </c>
      <c r="P28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9" s="7">
        <f>+AV_PLAN[[#This Row],[PLAN ACUMULADO]]/$C$471</f>
        <v>0.61931818181818177</v>
      </c>
      <c r="R289" s="7">
        <f t="shared" si="8"/>
        <v>0.14346590909090909</v>
      </c>
      <c r="S289" s="7">
        <f>+AV_PLAN[[#This Row],[TERMINO PLAN ACUMULADO]]/$G$471</f>
        <v>0.54403409090909094</v>
      </c>
      <c r="T289" s="7">
        <f t="shared" si="9"/>
        <v>5.3977272727272728E-2</v>
      </c>
      <c r="U289" s="7">
        <f>+(AV_PLAN[[#This Row],[%AVANCE INICIO PLANIFICADO]]+AV_PLAN[[#This Row],[%AVANCE TERMINO PLANIFICADO]])/2</f>
        <v>0.58167613636363635</v>
      </c>
    </row>
    <row r="290" spans="1:21" x14ac:dyDescent="0.25">
      <c r="A290" s="1">
        <v>46357</v>
      </c>
      <c r="B290">
        <v>3</v>
      </c>
      <c r="C290">
        <v>439</v>
      </c>
      <c r="D290">
        <v>0</v>
      </c>
      <c r="E290">
        <v>101</v>
      </c>
      <c r="F290">
        <v>2</v>
      </c>
      <c r="G290">
        <v>385</v>
      </c>
      <c r="H290">
        <v>0</v>
      </c>
      <c r="I290">
        <v>38</v>
      </c>
      <c r="J290" t="s">
        <v>820</v>
      </c>
      <c r="K290">
        <f>+WEEKNUM(AV_PLAN[[#This Row],[Días]])</f>
        <v>49</v>
      </c>
      <c r="L290" s="4">
        <f>IFERROR(AV_PLAN[[#This Row],[INICIO REAL ACUMULADO]]/AV_PLAN[[#This Row],[PLAN ACUMULADO]],"")</f>
        <v>0.23006833712984054</v>
      </c>
      <c r="M290" s="4">
        <f>IFERROR(AV_PLAN[[#This Row],[TERMINO REAL ACUMULADO]]/AV_PLAN[[#This Row],[TERMINO PLAN ACUMULADO]],"")</f>
        <v>9.8701298701298706E-2</v>
      </c>
      <c r="N290">
        <f>+AV_PLAN[[#This Row],[PLAN ACUMULADO]]-AV_PLAN[[#This Row],[INICIO REAL ACUMULADO]]</f>
        <v>338</v>
      </c>
      <c r="O290">
        <f>+AV_PLAN[[#This Row],[TERMINO PLAN ACUMULADO]]-AV_PLAN[[#This Row],[TERMINO REAL ACUMULADO]]</f>
        <v>347</v>
      </c>
      <c r="P29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0" s="7">
        <f>+AV_PLAN[[#This Row],[PLAN ACUMULADO]]/$C$471</f>
        <v>0.62357954545454541</v>
      </c>
      <c r="R290" s="7">
        <f t="shared" si="8"/>
        <v>0.14346590909090909</v>
      </c>
      <c r="S290" s="7">
        <f>+AV_PLAN[[#This Row],[TERMINO PLAN ACUMULADO]]/$G$471</f>
        <v>0.546875</v>
      </c>
      <c r="T290" s="7">
        <f t="shared" si="9"/>
        <v>5.3977272727272728E-2</v>
      </c>
      <c r="U290" s="7">
        <f>+(AV_PLAN[[#This Row],[%AVANCE INICIO PLANIFICADO]]+AV_PLAN[[#This Row],[%AVANCE TERMINO PLANIFICADO]])/2</f>
        <v>0.58522727272727271</v>
      </c>
    </row>
    <row r="291" spans="1:21" x14ac:dyDescent="0.25">
      <c r="A291" s="1">
        <v>46358</v>
      </c>
      <c r="B291">
        <v>3</v>
      </c>
      <c r="C291">
        <v>442</v>
      </c>
      <c r="D291">
        <v>0</v>
      </c>
      <c r="E291">
        <v>101</v>
      </c>
      <c r="F291">
        <v>3</v>
      </c>
      <c r="G291">
        <v>388</v>
      </c>
      <c r="H291">
        <v>0</v>
      </c>
      <c r="I291">
        <v>38</v>
      </c>
      <c r="J291" t="s">
        <v>820</v>
      </c>
      <c r="K291">
        <f>+WEEKNUM(AV_PLAN[[#This Row],[Días]])</f>
        <v>49</v>
      </c>
      <c r="L291" s="4">
        <f>IFERROR(AV_PLAN[[#This Row],[INICIO REAL ACUMULADO]]/AV_PLAN[[#This Row],[PLAN ACUMULADO]],"")</f>
        <v>0.22850678733031674</v>
      </c>
      <c r="M291" s="4">
        <f>IFERROR(AV_PLAN[[#This Row],[TERMINO REAL ACUMULADO]]/AV_PLAN[[#This Row],[TERMINO PLAN ACUMULADO]],"")</f>
        <v>9.7938144329896906E-2</v>
      </c>
      <c r="N291">
        <f>+AV_PLAN[[#This Row],[PLAN ACUMULADO]]-AV_PLAN[[#This Row],[INICIO REAL ACUMULADO]]</f>
        <v>341</v>
      </c>
      <c r="O291">
        <f>+AV_PLAN[[#This Row],[TERMINO PLAN ACUMULADO]]-AV_PLAN[[#This Row],[TERMINO REAL ACUMULADO]]</f>
        <v>350</v>
      </c>
      <c r="P29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1" s="7">
        <f>+AV_PLAN[[#This Row],[PLAN ACUMULADO]]/$C$471</f>
        <v>0.62784090909090906</v>
      </c>
      <c r="R291" s="7">
        <f t="shared" si="8"/>
        <v>0.14346590909090909</v>
      </c>
      <c r="S291" s="7">
        <f>+AV_PLAN[[#This Row],[TERMINO PLAN ACUMULADO]]/$G$471</f>
        <v>0.55113636363636365</v>
      </c>
      <c r="T291" s="7">
        <f t="shared" si="9"/>
        <v>5.3977272727272728E-2</v>
      </c>
      <c r="U291" s="7">
        <f>+(AV_PLAN[[#This Row],[%AVANCE INICIO PLANIFICADO]]+AV_PLAN[[#This Row],[%AVANCE TERMINO PLANIFICADO]])/2</f>
        <v>0.58948863636363635</v>
      </c>
    </row>
    <row r="292" spans="1:21" x14ac:dyDescent="0.25">
      <c r="A292" s="1">
        <v>46359</v>
      </c>
      <c r="B292">
        <v>3</v>
      </c>
      <c r="C292">
        <v>445</v>
      </c>
      <c r="D292">
        <v>0</v>
      </c>
      <c r="E292">
        <v>101</v>
      </c>
      <c r="F292">
        <v>3</v>
      </c>
      <c r="G292">
        <v>391</v>
      </c>
      <c r="H292">
        <v>0</v>
      </c>
      <c r="I292">
        <v>38</v>
      </c>
      <c r="J292" t="s">
        <v>820</v>
      </c>
      <c r="K292">
        <f>+WEEKNUM(AV_PLAN[[#This Row],[Días]])</f>
        <v>49</v>
      </c>
      <c r="L292" s="4">
        <f>IFERROR(AV_PLAN[[#This Row],[INICIO REAL ACUMULADO]]/AV_PLAN[[#This Row],[PLAN ACUMULADO]],"")</f>
        <v>0.22696629213483147</v>
      </c>
      <c r="M292" s="4">
        <f>IFERROR(AV_PLAN[[#This Row],[TERMINO REAL ACUMULADO]]/AV_PLAN[[#This Row],[TERMINO PLAN ACUMULADO]],"")</f>
        <v>9.718670076726342E-2</v>
      </c>
      <c r="N292">
        <f>+AV_PLAN[[#This Row],[PLAN ACUMULADO]]-AV_PLAN[[#This Row],[INICIO REAL ACUMULADO]]</f>
        <v>344</v>
      </c>
      <c r="O292">
        <f>+AV_PLAN[[#This Row],[TERMINO PLAN ACUMULADO]]-AV_PLAN[[#This Row],[TERMINO REAL ACUMULADO]]</f>
        <v>353</v>
      </c>
      <c r="P29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2" s="7">
        <f>+AV_PLAN[[#This Row],[PLAN ACUMULADO]]/$C$471</f>
        <v>0.63210227272727271</v>
      </c>
      <c r="R292" s="7">
        <f t="shared" si="8"/>
        <v>0.14346590909090909</v>
      </c>
      <c r="S292" s="7">
        <f>+AV_PLAN[[#This Row],[TERMINO PLAN ACUMULADO]]/$G$471</f>
        <v>0.55539772727272729</v>
      </c>
      <c r="T292" s="7">
        <f t="shared" si="9"/>
        <v>5.3977272727272728E-2</v>
      </c>
      <c r="U292" s="7">
        <f>+(AV_PLAN[[#This Row],[%AVANCE INICIO PLANIFICADO]]+AV_PLAN[[#This Row],[%AVANCE TERMINO PLANIFICADO]])/2</f>
        <v>0.59375</v>
      </c>
    </row>
    <row r="293" spans="1:21" x14ac:dyDescent="0.25">
      <c r="A293" s="1">
        <v>46360</v>
      </c>
      <c r="B293">
        <v>3</v>
      </c>
      <c r="C293">
        <v>448</v>
      </c>
      <c r="D293">
        <v>0</v>
      </c>
      <c r="E293">
        <v>101</v>
      </c>
      <c r="F293">
        <v>1</v>
      </c>
      <c r="G293">
        <v>392</v>
      </c>
      <c r="H293">
        <v>0</v>
      </c>
      <c r="I293">
        <v>38</v>
      </c>
      <c r="J293" t="s">
        <v>820</v>
      </c>
      <c r="K293">
        <f>+WEEKNUM(AV_PLAN[[#This Row],[Días]])</f>
        <v>49</v>
      </c>
      <c r="L293" s="4">
        <f>IFERROR(AV_PLAN[[#This Row],[INICIO REAL ACUMULADO]]/AV_PLAN[[#This Row],[PLAN ACUMULADO]],"")</f>
        <v>0.22544642857142858</v>
      </c>
      <c r="M293" s="4">
        <f>IFERROR(AV_PLAN[[#This Row],[TERMINO REAL ACUMULADO]]/AV_PLAN[[#This Row],[TERMINO PLAN ACUMULADO]],"")</f>
        <v>9.6938775510204078E-2</v>
      </c>
      <c r="N293">
        <f>+AV_PLAN[[#This Row],[PLAN ACUMULADO]]-AV_PLAN[[#This Row],[INICIO REAL ACUMULADO]]</f>
        <v>347</v>
      </c>
      <c r="O293">
        <f>+AV_PLAN[[#This Row],[TERMINO PLAN ACUMULADO]]-AV_PLAN[[#This Row],[TERMINO REAL ACUMULADO]]</f>
        <v>354</v>
      </c>
      <c r="P29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3" s="7">
        <f>+AV_PLAN[[#This Row],[PLAN ACUMULADO]]/$C$471</f>
        <v>0.63636363636363635</v>
      </c>
      <c r="R293" s="7">
        <f t="shared" si="8"/>
        <v>0.14346590909090909</v>
      </c>
      <c r="S293" s="7">
        <f>+AV_PLAN[[#This Row],[TERMINO PLAN ACUMULADO]]/$G$471</f>
        <v>0.55681818181818177</v>
      </c>
      <c r="T293" s="7">
        <f t="shared" si="9"/>
        <v>5.3977272727272728E-2</v>
      </c>
      <c r="U293" s="7">
        <f>+(AV_PLAN[[#This Row],[%AVANCE INICIO PLANIFICADO]]+AV_PLAN[[#This Row],[%AVANCE TERMINO PLANIFICADO]])/2</f>
        <v>0.59659090909090906</v>
      </c>
    </row>
    <row r="294" spans="1:21" x14ac:dyDescent="0.25">
      <c r="A294" s="1">
        <v>46361</v>
      </c>
      <c r="B294">
        <v>0</v>
      </c>
      <c r="C294">
        <v>448</v>
      </c>
      <c r="D294">
        <v>0</v>
      </c>
      <c r="E294">
        <v>101</v>
      </c>
      <c r="F294">
        <v>1</v>
      </c>
      <c r="G294">
        <v>393</v>
      </c>
      <c r="H294">
        <v>0</v>
      </c>
      <c r="I294">
        <v>38</v>
      </c>
      <c r="J294" t="s">
        <v>820</v>
      </c>
      <c r="K294">
        <f>+WEEKNUM(AV_PLAN[[#This Row],[Días]])</f>
        <v>49</v>
      </c>
      <c r="L294" s="4">
        <f>IFERROR(AV_PLAN[[#This Row],[INICIO REAL ACUMULADO]]/AV_PLAN[[#This Row],[PLAN ACUMULADO]],"")</f>
        <v>0.22544642857142858</v>
      </c>
      <c r="M294" s="4">
        <f>IFERROR(AV_PLAN[[#This Row],[TERMINO REAL ACUMULADO]]/AV_PLAN[[#This Row],[TERMINO PLAN ACUMULADO]],"")</f>
        <v>9.6692111959287536E-2</v>
      </c>
      <c r="N294">
        <f>+AV_PLAN[[#This Row],[PLAN ACUMULADO]]-AV_PLAN[[#This Row],[INICIO REAL ACUMULADO]]</f>
        <v>347</v>
      </c>
      <c r="O294">
        <f>+AV_PLAN[[#This Row],[TERMINO PLAN ACUMULADO]]-AV_PLAN[[#This Row],[TERMINO REAL ACUMULADO]]</f>
        <v>355</v>
      </c>
      <c r="P29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4" s="7">
        <f>+AV_PLAN[[#This Row],[PLAN ACUMULADO]]/$C$471</f>
        <v>0.63636363636363635</v>
      </c>
      <c r="R294" s="7">
        <f t="shared" si="8"/>
        <v>0.14346590909090909</v>
      </c>
      <c r="S294" s="7">
        <f>+AV_PLAN[[#This Row],[TERMINO PLAN ACUMULADO]]/$G$471</f>
        <v>0.55823863636363635</v>
      </c>
      <c r="T294" s="7">
        <f t="shared" si="9"/>
        <v>5.3977272727272728E-2</v>
      </c>
      <c r="U294" s="7">
        <f>+(AV_PLAN[[#This Row],[%AVANCE INICIO PLANIFICADO]]+AV_PLAN[[#This Row],[%AVANCE TERMINO PLANIFICADO]])/2</f>
        <v>0.59730113636363635</v>
      </c>
    </row>
    <row r="295" spans="1:21" x14ac:dyDescent="0.25">
      <c r="A295" s="1">
        <v>46362</v>
      </c>
      <c r="B295">
        <v>0</v>
      </c>
      <c r="C295">
        <v>448</v>
      </c>
      <c r="D295">
        <v>0</v>
      </c>
      <c r="E295">
        <v>101</v>
      </c>
      <c r="F295">
        <v>4</v>
      </c>
      <c r="G295">
        <v>397</v>
      </c>
      <c r="H295">
        <v>0</v>
      </c>
      <c r="I295">
        <v>38</v>
      </c>
      <c r="J295" t="s">
        <v>820</v>
      </c>
      <c r="K295">
        <f>+WEEKNUM(AV_PLAN[[#This Row],[Días]])</f>
        <v>50</v>
      </c>
      <c r="L295" s="4">
        <f>IFERROR(AV_PLAN[[#This Row],[INICIO REAL ACUMULADO]]/AV_PLAN[[#This Row],[PLAN ACUMULADO]],"")</f>
        <v>0.22544642857142858</v>
      </c>
      <c r="M295" s="4">
        <f>IFERROR(AV_PLAN[[#This Row],[TERMINO REAL ACUMULADO]]/AV_PLAN[[#This Row],[TERMINO PLAN ACUMULADO]],"")</f>
        <v>9.5717884130982367E-2</v>
      </c>
      <c r="N295">
        <f>+AV_PLAN[[#This Row],[PLAN ACUMULADO]]-AV_PLAN[[#This Row],[INICIO REAL ACUMULADO]]</f>
        <v>347</v>
      </c>
      <c r="O295">
        <f>+AV_PLAN[[#This Row],[TERMINO PLAN ACUMULADO]]-AV_PLAN[[#This Row],[TERMINO REAL ACUMULADO]]</f>
        <v>359</v>
      </c>
      <c r="P29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5" s="7">
        <f>+AV_PLAN[[#This Row],[PLAN ACUMULADO]]/$C$471</f>
        <v>0.63636363636363635</v>
      </c>
      <c r="R295" s="7">
        <f t="shared" si="8"/>
        <v>0.14346590909090909</v>
      </c>
      <c r="S295" s="7">
        <f>+AV_PLAN[[#This Row],[TERMINO PLAN ACUMULADO]]/$G$471</f>
        <v>0.56392045454545459</v>
      </c>
      <c r="T295" s="7">
        <f t="shared" si="9"/>
        <v>5.3977272727272728E-2</v>
      </c>
      <c r="U295" s="7">
        <f>+(AV_PLAN[[#This Row],[%AVANCE INICIO PLANIFICADO]]+AV_PLAN[[#This Row],[%AVANCE TERMINO PLANIFICADO]])/2</f>
        <v>0.60014204545454541</v>
      </c>
    </row>
    <row r="296" spans="1:21" x14ac:dyDescent="0.25">
      <c r="A296" s="1">
        <v>46363</v>
      </c>
      <c r="B296">
        <v>3</v>
      </c>
      <c r="C296">
        <v>451</v>
      </c>
      <c r="D296">
        <v>0</v>
      </c>
      <c r="E296">
        <v>101</v>
      </c>
      <c r="F296">
        <v>2</v>
      </c>
      <c r="G296">
        <v>399</v>
      </c>
      <c r="H296">
        <v>0</v>
      </c>
      <c r="I296">
        <v>38</v>
      </c>
      <c r="J296" t="s">
        <v>820</v>
      </c>
      <c r="K296">
        <f>+WEEKNUM(AV_PLAN[[#This Row],[Días]])</f>
        <v>50</v>
      </c>
      <c r="L296" s="4">
        <f>IFERROR(AV_PLAN[[#This Row],[INICIO REAL ACUMULADO]]/AV_PLAN[[#This Row],[PLAN ACUMULADO]],"")</f>
        <v>0.22394678492239467</v>
      </c>
      <c r="M296" s="4">
        <f>IFERROR(AV_PLAN[[#This Row],[TERMINO REAL ACUMULADO]]/AV_PLAN[[#This Row],[TERMINO PLAN ACUMULADO]],"")</f>
        <v>9.5238095238095233E-2</v>
      </c>
      <c r="N296">
        <f>+AV_PLAN[[#This Row],[PLAN ACUMULADO]]-AV_PLAN[[#This Row],[INICIO REAL ACUMULADO]]</f>
        <v>350</v>
      </c>
      <c r="O296">
        <f>+AV_PLAN[[#This Row],[TERMINO PLAN ACUMULADO]]-AV_PLAN[[#This Row],[TERMINO REAL ACUMULADO]]</f>
        <v>361</v>
      </c>
      <c r="P29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6" s="7">
        <f>+AV_PLAN[[#This Row],[PLAN ACUMULADO]]/$C$471</f>
        <v>0.640625</v>
      </c>
      <c r="R296" s="7">
        <f t="shared" si="8"/>
        <v>0.14346590909090909</v>
      </c>
      <c r="S296" s="7">
        <f>+AV_PLAN[[#This Row],[TERMINO PLAN ACUMULADO]]/$G$471</f>
        <v>0.56676136363636365</v>
      </c>
      <c r="T296" s="7">
        <f t="shared" si="9"/>
        <v>5.3977272727272728E-2</v>
      </c>
      <c r="U296" s="7">
        <f>+(AV_PLAN[[#This Row],[%AVANCE INICIO PLANIFICADO]]+AV_PLAN[[#This Row],[%AVANCE TERMINO PLANIFICADO]])/2</f>
        <v>0.60369318181818188</v>
      </c>
    </row>
    <row r="297" spans="1:21" x14ac:dyDescent="0.25">
      <c r="A297" s="1">
        <v>46364</v>
      </c>
      <c r="B297">
        <v>0</v>
      </c>
      <c r="C297">
        <v>451</v>
      </c>
      <c r="D297">
        <v>0</v>
      </c>
      <c r="E297">
        <v>101</v>
      </c>
      <c r="F297">
        <v>1</v>
      </c>
      <c r="G297">
        <v>400</v>
      </c>
      <c r="H297">
        <v>0</v>
      </c>
      <c r="I297">
        <v>38</v>
      </c>
      <c r="J297" t="s">
        <v>820</v>
      </c>
      <c r="K297">
        <f>+WEEKNUM(AV_PLAN[[#This Row],[Días]])</f>
        <v>50</v>
      </c>
      <c r="L297" s="4">
        <f>IFERROR(AV_PLAN[[#This Row],[INICIO REAL ACUMULADO]]/AV_PLAN[[#This Row],[PLAN ACUMULADO]],"")</f>
        <v>0.22394678492239467</v>
      </c>
      <c r="M297" s="4">
        <f>IFERROR(AV_PLAN[[#This Row],[TERMINO REAL ACUMULADO]]/AV_PLAN[[#This Row],[TERMINO PLAN ACUMULADO]],"")</f>
        <v>9.5000000000000001E-2</v>
      </c>
      <c r="N297">
        <f>+AV_PLAN[[#This Row],[PLAN ACUMULADO]]-AV_PLAN[[#This Row],[INICIO REAL ACUMULADO]]</f>
        <v>350</v>
      </c>
      <c r="O297">
        <f>+AV_PLAN[[#This Row],[TERMINO PLAN ACUMULADO]]-AV_PLAN[[#This Row],[TERMINO REAL ACUMULADO]]</f>
        <v>362</v>
      </c>
      <c r="P29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7" s="7">
        <f>+AV_PLAN[[#This Row],[PLAN ACUMULADO]]/$C$471</f>
        <v>0.640625</v>
      </c>
      <c r="R297" s="7">
        <f t="shared" si="8"/>
        <v>0.14346590909090909</v>
      </c>
      <c r="S297" s="7">
        <f>+AV_PLAN[[#This Row],[TERMINO PLAN ACUMULADO]]/$G$471</f>
        <v>0.56818181818181823</v>
      </c>
      <c r="T297" s="7">
        <f t="shared" si="9"/>
        <v>5.3977272727272728E-2</v>
      </c>
      <c r="U297" s="7">
        <f>+(AV_PLAN[[#This Row],[%AVANCE INICIO PLANIFICADO]]+AV_PLAN[[#This Row],[%AVANCE TERMINO PLANIFICADO]])/2</f>
        <v>0.60440340909090917</v>
      </c>
    </row>
    <row r="298" spans="1:21" x14ac:dyDescent="0.25">
      <c r="A298" s="1">
        <v>46365</v>
      </c>
      <c r="B298">
        <v>3</v>
      </c>
      <c r="C298">
        <v>454</v>
      </c>
      <c r="D298">
        <v>0</v>
      </c>
      <c r="E298">
        <v>101</v>
      </c>
      <c r="F298">
        <v>3</v>
      </c>
      <c r="G298">
        <v>403</v>
      </c>
      <c r="H298">
        <v>0</v>
      </c>
      <c r="I298">
        <v>38</v>
      </c>
      <c r="J298" t="s">
        <v>820</v>
      </c>
      <c r="K298">
        <f>+WEEKNUM(AV_PLAN[[#This Row],[Días]])</f>
        <v>50</v>
      </c>
      <c r="L298" s="4">
        <f>IFERROR(AV_PLAN[[#This Row],[INICIO REAL ACUMULADO]]/AV_PLAN[[#This Row],[PLAN ACUMULADO]],"")</f>
        <v>0.22246696035242292</v>
      </c>
      <c r="M298" s="4">
        <f>IFERROR(AV_PLAN[[#This Row],[TERMINO REAL ACUMULADO]]/AV_PLAN[[#This Row],[TERMINO PLAN ACUMULADO]],"")</f>
        <v>9.4292803970223327E-2</v>
      </c>
      <c r="N298">
        <f>+AV_PLAN[[#This Row],[PLAN ACUMULADO]]-AV_PLAN[[#This Row],[INICIO REAL ACUMULADO]]</f>
        <v>353</v>
      </c>
      <c r="O298">
        <f>+AV_PLAN[[#This Row],[TERMINO PLAN ACUMULADO]]-AV_PLAN[[#This Row],[TERMINO REAL ACUMULADO]]</f>
        <v>365</v>
      </c>
      <c r="P29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8" s="7">
        <f>+AV_PLAN[[#This Row],[PLAN ACUMULADO]]/$C$471</f>
        <v>0.64488636363636365</v>
      </c>
      <c r="R298" s="7">
        <f t="shared" si="8"/>
        <v>0.14346590909090909</v>
      </c>
      <c r="S298" s="7">
        <f>+AV_PLAN[[#This Row],[TERMINO PLAN ACUMULADO]]/$G$471</f>
        <v>0.57244318181818177</v>
      </c>
      <c r="T298" s="7">
        <f t="shared" si="9"/>
        <v>5.3977272727272728E-2</v>
      </c>
      <c r="U298" s="7">
        <f>+(AV_PLAN[[#This Row],[%AVANCE INICIO PLANIFICADO]]+AV_PLAN[[#This Row],[%AVANCE TERMINO PLANIFICADO]])/2</f>
        <v>0.60866477272727271</v>
      </c>
    </row>
    <row r="299" spans="1:21" x14ac:dyDescent="0.25">
      <c r="A299" s="1">
        <v>46366</v>
      </c>
      <c r="B299">
        <v>3</v>
      </c>
      <c r="C299">
        <v>457</v>
      </c>
      <c r="D299">
        <v>0</v>
      </c>
      <c r="E299">
        <v>101</v>
      </c>
      <c r="F299">
        <v>3</v>
      </c>
      <c r="G299">
        <v>406</v>
      </c>
      <c r="H299">
        <v>0</v>
      </c>
      <c r="I299">
        <v>38</v>
      </c>
      <c r="J299" t="s">
        <v>820</v>
      </c>
      <c r="K299">
        <f>+WEEKNUM(AV_PLAN[[#This Row],[Días]])</f>
        <v>50</v>
      </c>
      <c r="L299" s="4">
        <f>IFERROR(AV_PLAN[[#This Row],[INICIO REAL ACUMULADO]]/AV_PLAN[[#This Row],[PLAN ACUMULADO]],"")</f>
        <v>0.22100656455142231</v>
      </c>
      <c r="M299" s="4">
        <f>IFERROR(AV_PLAN[[#This Row],[TERMINO REAL ACUMULADO]]/AV_PLAN[[#This Row],[TERMINO PLAN ACUMULADO]],"")</f>
        <v>9.3596059113300489E-2</v>
      </c>
      <c r="N299">
        <f>+AV_PLAN[[#This Row],[PLAN ACUMULADO]]-AV_PLAN[[#This Row],[INICIO REAL ACUMULADO]]</f>
        <v>356</v>
      </c>
      <c r="O299">
        <f>+AV_PLAN[[#This Row],[TERMINO PLAN ACUMULADO]]-AV_PLAN[[#This Row],[TERMINO REAL ACUMULADO]]</f>
        <v>368</v>
      </c>
      <c r="P2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9" s="7">
        <f>+AV_PLAN[[#This Row],[PLAN ACUMULADO]]/$C$471</f>
        <v>0.64914772727272729</v>
      </c>
      <c r="R299" s="7">
        <f t="shared" si="8"/>
        <v>0.14346590909090909</v>
      </c>
      <c r="S299" s="7">
        <f>+AV_PLAN[[#This Row],[TERMINO PLAN ACUMULADO]]/$G$471</f>
        <v>0.57670454545454541</v>
      </c>
      <c r="T299" s="7">
        <f t="shared" si="9"/>
        <v>5.3977272727272728E-2</v>
      </c>
      <c r="U299" s="7">
        <f>+(AV_PLAN[[#This Row],[%AVANCE INICIO PLANIFICADO]]+AV_PLAN[[#This Row],[%AVANCE TERMINO PLANIFICADO]])/2</f>
        <v>0.61292613636363635</v>
      </c>
    </row>
    <row r="300" spans="1:21" x14ac:dyDescent="0.25">
      <c r="A300" s="1">
        <v>46367</v>
      </c>
      <c r="B300">
        <v>3</v>
      </c>
      <c r="C300">
        <v>460</v>
      </c>
      <c r="D300">
        <v>0</v>
      </c>
      <c r="E300">
        <v>101</v>
      </c>
      <c r="F300">
        <v>1</v>
      </c>
      <c r="G300">
        <v>407</v>
      </c>
      <c r="H300">
        <v>0</v>
      </c>
      <c r="I300">
        <v>38</v>
      </c>
      <c r="J300" t="s">
        <v>820</v>
      </c>
      <c r="K300">
        <f>+WEEKNUM(AV_PLAN[[#This Row],[Días]])</f>
        <v>50</v>
      </c>
      <c r="L300" s="4">
        <f>IFERROR(AV_PLAN[[#This Row],[INICIO REAL ACUMULADO]]/AV_PLAN[[#This Row],[PLAN ACUMULADO]],"")</f>
        <v>0.21956521739130436</v>
      </c>
      <c r="M300" s="4">
        <f>IFERROR(AV_PLAN[[#This Row],[TERMINO REAL ACUMULADO]]/AV_PLAN[[#This Row],[TERMINO PLAN ACUMULADO]],"")</f>
        <v>9.3366093366093361E-2</v>
      </c>
      <c r="N300">
        <f>+AV_PLAN[[#This Row],[PLAN ACUMULADO]]-AV_PLAN[[#This Row],[INICIO REAL ACUMULADO]]</f>
        <v>359</v>
      </c>
      <c r="O300">
        <f>+AV_PLAN[[#This Row],[TERMINO PLAN ACUMULADO]]-AV_PLAN[[#This Row],[TERMINO REAL ACUMULADO]]</f>
        <v>369</v>
      </c>
      <c r="P3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0" s="7">
        <f>+AV_PLAN[[#This Row],[PLAN ACUMULADO]]/$C$471</f>
        <v>0.65340909090909094</v>
      </c>
      <c r="R300" s="7">
        <f t="shared" si="8"/>
        <v>0.14346590909090909</v>
      </c>
      <c r="S300" s="7">
        <f>+AV_PLAN[[#This Row],[TERMINO PLAN ACUMULADO]]/$G$471</f>
        <v>0.578125</v>
      </c>
      <c r="T300" s="7">
        <f t="shared" si="9"/>
        <v>5.3977272727272728E-2</v>
      </c>
      <c r="U300" s="7">
        <f>+(AV_PLAN[[#This Row],[%AVANCE INICIO PLANIFICADO]]+AV_PLAN[[#This Row],[%AVANCE TERMINO PLANIFICADO]])/2</f>
        <v>0.61576704545454541</v>
      </c>
    </row>
    <row r="301" spans="1:21" x14ac:dyDescent="0.25">
      <c r="A301" s="1">
        <v>46368</v>
      </c>
      <c r="B301">
        <v>0</v>
      </c>
      <c r="C301">
        <v>460</v>
      </c>
      <c r="D301">
        <v>0</v>
      </c>
      <c r="E301">
        <v>101</v>
      </c>
      <c r="F301">
        <v>2</v>
      </c>
      <c r="G301">
        <v>409</v>
      </c>
      <c r="H301">
        <v>0</v>
      </c>
      <c r="I301">
        <v>38</v>
      </c>
      <c r="J301" t="s">
        <v>820</v>
      </c>
      <c r="K301">
        <f>+WEEKNUM(AV_PLAN[[#This Row],[Días]])</f>
        <v>50</v>
      </c>
      <c r="L301" s="4">
        <f>IFERROR(AV_PLAN[[#This Row],[INICIO REAL ACUMULADO]]/AV_PLAN[[#This Row],[PLAN ACUMULADO]],"")</f>
        <v>0.21956521739130436</v>
      </c>
      <c r="M301" s="4">
        <f>IFERROR(AV_PLAN[[#This Row],[TERMINO REAL ACUMULADO]]/AV_PLAN[[#This Row],[TERMINO PLAN ACUMULADO]],"")</f>
        <v>9.2909535452322736E-2</v>
      </c>
      <c r="N301">
        <f>+AV_PLAN[[#This Row],[PLAN ACUMULADO]]-AV_PLAN[[#This Row],[INICIO REAL ACUMULADO]]</f>
        <v>359</v>
      </c>
      <c r="O301">
        <f>+AV_PLAN[[#This Row],[TERMINO PLAN ACUMULADO]]-AV_PLAN[[#This Row],[TERMINO REAL ACUMULADO]]</f>
        <v>371</v>
      </c>
      <c r="P3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1" s="7">
        <f>+AV_PLAN[[#This Row],[PLAN ACUMULADO]]/$C$471</f>
        <v>0.65340909090909094</v>
      </c>
      <c r="R301" s="7">
        <f t="shared" si="8"/>
        <v>0.14346590909090909</v>
      </c>
      <c r="S301" s="7">
        <f>+AV_PLAN[[#This Row],[TERMINO PLAN ACUMULADO]]/$G$471</f>
        <v>0.58096590909090906</v>
      </c>
      <c r="T301" s="7">
        <f t="shared" si="9"/>
        <v>5.3977272727272728E-2</v>
      </c>
      <c r="U301" s="7">
        <f>+(AV_PLAN[[#This Row],[%AVANCE INICIO PLANIFICADO]]+AV_PLAN[[#This Row],[%AVANCE TERMINO PLANIFICADO]])/2</f>
        <v>0.6171875</v>
      </c>
    </row>
    <row r="302" spans="1:21" x14ac:dyDescent="0.25">
      <c r="A302" s="1">
        <v>46369</v>
      </c>
      <c r="B302">
        <v>0</v>
      </c>
      <c r="C302">
        <v>460</v>
      </c>
      <c r="D302">
        <v>0</v>
      </c>
      <c r="E302">
        <v>101</v>
      </c>
      <c r="F302">
        <v>4</v>
      </c>
      <c r="G302">
        <v>413</v>
      </c>
      <c r="H302">
        <v>0</v>
      </c>
      <c r="I302">
        <v>38</v>
      </c>
      <c r="J302" t="s">
        <v>820</v>
      </c>
      <c r="K302">
        <f>+WEEKNUM(AV_PLAN[[#This Row],[Días]])</f>
        <v>51</v>
      </c>
      <c r="L302" s="4">
        <f>IFERROR(AV_PLAN[[#This Row],[INICIO REAL ACUMULADO]]/AV_PLAN[[#This Row],[PLAN ACUMULADO]],"")</f>
        <v>0.21956521739130436</v>
      </c>
      <c r="M302" s="4">
        <f>IFERROR(AV_PLAN[[#This Row],[TERMINO REAL ACUMULADO]]/AV_PLAN[[#This Row],[TERMINO PLAN ACUMULADO]],"")</f>
        <v>9.2009685230024216E-2</v>
      </c>
      <c r="N302">
        <f>+AV_PLAN[[#This Row],[PLAN ACUMULADO]]-AV_PLAN[[#This Row],[INICIO REAL ACUMULADO]]</f>
        <v>359</v>
      </c>
      <c r="O302">
        <f>+AV_PLAN[[#This Row],[TERMINO PLAN ACUMULADO]]-AV_PLAN[[#This Row],[TERMINO REAL ACUMULADO]]</f>
        <v>375</v>
      </c>
      <c r="P3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2" s="7">
        <f>+AV_PLAN[[#This Row],[PLAN ACUMULADO]]/$C$471</f>
        <v>0.65340909090909094</v>
      </c>
      <c r="R302" s="7">
        <f t="shared" si="8"/>
        <v>0.14346590909090909</v>
      </c>
      <c r="S302" s="7">
        <f>+AV_PLAN[[#This Row],[TERMINO PLAN ACUMULADO]]/$G$471</f>
        <v>0.58664772727272729</v>
      </c>
      <c r="T302" s="7">
        <f t="shared" si="9"/>
        <v>5.3977272727272728E-2</v>
      </c>
      <c r="U302" s="7">
        <f>+(AV_PLAN[[#This Row],[%AVANCE INICIO PLANIFICADO]]+AV_PLAN[[#This Row],[%AVANCE TERMINO PLANIFICADO]])/2</f>
        <v>0.62002840909090917</v>
      </c>
    </row>
    <row r="303" spans="1:21" x14ac:dyDescent="0.25">
      <c r="A303" s="1">
        <v>46370</v>
      </c>
      <c r="B303">
        <v>3</v>
      </c>
      <c r="C303">
        <v>463</v>
      </c>
      <c r="D303">
        <v>0</v>
      </c>
      <c r="E303">
        <v>101</v>
      </c>
      <c r="F303">
        <v>1</v>
      </c>
      <c r="G303">
        <v>414</v>
      </c>
      <c r="H303">
        <v>0</v>
      </c>
      <c r="I303">
        <v>38</v>
      </c>
      <c r="J303" t="s">
        <v>820</v>
      </c>
      <c r="K303">
        <f>+WEEKNUM(AV_PLAN[[#This Row],[Días]])</f>
        <v>51</v>
      </c>
      <c r="L303" s="4">
        <f>IFERROR(AV_PLAN[[#This Row],[INICIO REAL ACUMULADO]]/AV_PLAN[[#This Row],[PLAN ACUMULADO]],"")</f>
        <v>0.21814254859611232</v>
      </c>
      <c r="M303" s="4">
        <f>IFERROR(AV_PLAN[[#This Row],[TERMINO REAL ACUMULADO]]/AV_PLAN[[#This Row],[TERMINO PLAN ACUMULADO]],"")</f>
        <v>9.1787439613526575E-2</v>
      </c>
      <c r="N303">
        <f>+AV_PLAN[[#This Row],[PLAN ACUMULADO]]-AV_PLAN[[#This Row],[INICIO REAL ACUMULADO]]</f>
        <v>362</v>
      </c>
      <c r="O303">
        <f>+AV_PLAN[[#This Row],[TERMINO PLAN ACUMULADO]]-AV_PLAN[[#This Row],[TERMINO REAL ACUMULADO]]</f>
        <v>376</v>
      </c>
      <c r="P3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3" s="7">
        <f>+AV_PLAN[[#This Row],[PLAN ACUMULADO]]/$C$471</f>
        <v>0.65767045454545459</v>
      </c>
      <c r="R303" s="7">
        <f t="shared" si="8"/>
        <v>0.14346590909090909</v>
      </c>
      <c r="S303" s="7">
        <f>+AV_PLAN[[#This Row],[TERMINO PLAN ACUMULADO]]/$G$471</f>
        <v>0.58806818181818177</v>
      </c>
      <c r="T303" s="7">
        <f t="shared" si="9"/>
        <v>5.3977272727272728E-2</v>
      </c>
      <c r="U303" s="7">
        <f>+(AV_PLAN[[#This Row],[%AVANCE INICIO PLANIFICADO]]+AV_PLAN[[#This Row],[%AVANCE TERMINO PLANIFICADO]])/2</f>
        <v>0.62286931818181812</v>
      </c>
    </row>
    <row r="304" spans="1:21" x14ac:dyDescent="0.25">
      <c r="A304" s="1">
        <v>46371</v>
      </c>
      <c r="B304">
        <v>3</v>
      </c>
      <c r="C304">
        <v>466</v>
      </c>
      <c r="D304">
        <v>0</v>
      </c>
      <c r="E304">
        <v>101</v>
      </c>
      <c r="F304">
        <v>1</v>
      </c>
      <c r="G304">
        <v>415</v>
      </c>
      <c r="H304">
        <v>0</v>
      </c>
      <c r="I304">
        <v>38</v>
      </c>
      <c r="J304" t="s">
        <v>820</v>
      </c>
      <c r="K304">
        <f>+WEEKNUM(AV_PLAN[[#This Row],[Días]])</f>
        <v>51</v>
      </c>
      <c r="L304" s="4">
        <f>IFERROR(AV_PLAN[[#This Row],[INICIO REAL ACUMULADO]]/AV_PLAN[[#This Row],[PLAN ACUMULADO]],"")</f>
        <v>0.2167381974248927</v>
      </c>
      <c r="M304" s="4">
        <f>IFERROR(AV_PLAN[[#This Row],[TERMINO REAL ACUMULADO]]/AV_PLAN[[#This Row],[TERMINO PLAN ACUMULADO]],"")</f>
        <v>9.1566265060240959E-2</v>
      </c>
      <c r="N304">
        <f>+AV_PLAN[[#This Row],[PLAN ACUMULADO]]-AV_PLAN[[#This Row],[INICIO REAL ACUMULADO]]</f>
        <v>365</v>
      </c>
      <c r="O304">
        <f>+AV_PLAN[[#This Row],[TERMINO PLAN ACUMULADO]]-AV_PLAN[[#This Row],[TERMINO REAL ACUMULADO]]</f>
        <v>377</v>
      </c>
      <c r="P3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4" s="7">
        <f>+AV_PLAN[[#This Row],[PLAN ACUMULADO]]/$C$471</f>
        <v>0.66193181818181823</v>
      </c>
      <c r="R304" s="7">
        <f t="shared" si="8"/>
        <v>0.14346590909090909</v>
      </c>
      <c r="S304" s="7">
        <f>+AV_PLAN[[#This Row],[TERMINO PLAN ACUMULADO]]/$G$471</f>
        <v>0.58948863636363635</v>
      </c>
      <c r="T304" s="7">
        <f t="shared" si="9"/>
        <v>5.3977272727272728E-2</v>
      </c>
      <c r="U304" s="7">
        <f>+(AV_PLAN[[#This Row],[%AVANCE INICIO PLANIFICADO]]+AV_PLAN[[#This Row],[%AVANCE TERMINO PLANIFICADO]])/2</f>
        <v>0.62571022727272729</v>
      </c>
    </row>
    <row r="305" spans="1:21" x14ac:dyDescent="0.25">
      <c r="A305" s="1">
        <v>46372</v>
      </c>
      <c r="B305">
        <v>3</v>
      </c>
      <c r="C305">
        <v>469</v>
      </c>
      <c r="D305">
        <v>0</v>
      </c>
      <c r="E305">
        <v>101</v>
      </c>
      <c r="F305">
        <v>3</v>
      </c>
      <c r="G305">
        <v>418</v>
      </c>
      <c r="H305">
        <v>0</v>
      </c>
      <c r="I305">
        <v>38</v>
      </c>
      <c r="J305" t="s">
        <v>820</v>
      </c>
      <c r="K305">
        <f>+WEEKNUM(AV_PLAN[[#This Row],[Días]])</f>
        <v>51</v>
      </c>
      <c r="L305" s="4">
        <f>IFERROR(AV_PLAN[[#This Row],[INICIO REAL ACUMULADO]]/AV_PLAN[[#This Row],[PLAN ACUMULADO]],"")</f>
        <v>0.21535181236673773</v>
      </c>
      <c r="M305" s="4">
        <f>IFERROR(AV_PLAN[[#This Row],[TERMINO REAL ACUMULADO]]/AV_PLAN[[#This Row],[TERMINO PLAN ACUMULADO]],"")</f>
        <v>9.0909090909090912E-2</v>
      </c>
      <c r="N305">
        <f>+AV_PLAN[[#This Row],[PLAN ACUMULADO]]-AV_PLAN[[#This Row],[INICIO REAL ACUMULADO]]</f>
        <v>368</v>
      </c>
      <c r="O305">
        <f>+AV_PLAN[[#This Row],[TERMINO PLAN ACUMULADO]]-AV_PLAN[[#This Row],[TERMINO REAL ACUMULADO]]</f>
        <v>380</v>
      </c>
      <c r="P3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5" s="7">
        <f>+AV_PLAN[[#This Row],[PLAN ACUMULADO]]/$C$471</f>
        <v>0.66619318181818177</v>
      </c>
      <c r="R305" s="7">
        <f t="shared" si="8"/>
        <v>0.14346590909090909</v>
      </c>
      <c r="S305" s="7">
        <f>+AV_PLAN[[#This Row],[TERMINO PLAN ACUMULADO]]/$G$471</f>
        <v>0.59375</v>
      </c>
      <c r="T305" s="7">
        <f t="shared" si="9"/>
        <v>5.3977272727272728E-2</v>
      </c>
      <c r="U305" s="7">
        <f>+(AV_PLAN[[#This Row],[%AVANCE INICIO PLANIFICADO]]+AV_PLAN[[#This Row],[%AVANCE TERMINO PLANIFICADO]])/2</f>
        <v>0.62997159090909083</v>
      </c>
    </row>
    <row r="306" spans="1:21" x14ac:dyDescent="0.25">
      <c r="A306" s="1">
        <v>46373</v>
      </c>
      <c r="B306">
        <v>3</v>
      </c>
      <c r="C306">
        <v>472</v>
      </c>
      <c r="D306">
        <v>0</v>
      </c>
      <c r="E306">
        <v>101</v>
      </c>
      <c r="F306">
        <v>3</v>
      </c>
      <c r="G306">
        <v>421</v>
      </c>
      <c r="H306">
        <v>0</v>
      </c>
      <c r="I306">
        <v>38</v>
      </c>
      <c r="J306" t="s">
        <v>820</v>
      </c>
      <c r="K306">
        <f>+WEEKNUM(AV_PLAN[[#This Row],[Días]])</f>
        <v>51</v>
      </c>
      <c r="L306" s="4">
        <f>IFERROR(AV_PLAN[[#This Row],[INICIO REAL ACUMULADO]]/AV_PLAN[[#This Row],[PLAN ACUMULADO]],"")</f>
        <v>0.21398305084745764</v>
      </c>
      <c r="M306" s="4">
        <f>IFERROR(AV_PLAN[[#This Row],[TERMINO REAL ACUMULADO]]/AV_PLAN[[#This Row],[TERMINO PLAN ACUMULADO]],"")</f>
        <v>9.0261282660332537E-2</v>
      </c>
      <c r="N306">
        <f>+AV_PLAN[[#This Row],[PLAN ACUMULADO]]-AV_PLAN[[#This Row],[INICIO REAL ACUMULADO]]</f>
        <v>371</v>
      </c>
      <c r="O306">
        <f>+AV_PLAN[[#This Row],[TERMINO PLAN ACUMULADO]]-AV_PLAN[[#This Row],[TERMINO REAL ACUMULADO]]</f>
        <v>383</v>
      </c>
      <c r="P3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6" s="7">
        <f>+AV_PLAN[[#This Row],[PLAN ACUMULADO]]/$C$471</f>
        <v>0.67045454545454541</v>
      </c>
      <c r="R306" s="7">
        <f t="shared" si="8"/>
        <v>0.14346590909090909</v>
      </c>
      <c r="S306" s="7">
        <f>+AV_PLAN[[#This Row],[TERMINO PLAN ACUMULADO]]/$G$471</f>
        <v>0.59801136363636365</v>
      </c>
      <c r="T306" s="7">
        <f t="shared" si="9"/>
        <v>5.3977272727272728E-2</v>
      </c>
      <c r="U306" s="7">
        <f>+(AV_PLAN[[#This Row],[%AVANCE INICIO PLANIFICADO]]+AV_PLAN[[#This Row],[%AVANCE TERMINO PLANIFICADO]])/2</f>
        <v>0.63423295454545459</v>
      </c>
    </row>
    <row r="307" spans="1:21" x14ac:dyDescent="0.25">
      <c r="A307" s="1">
        <v>46374</v>
      </c>
      <c r="B307">
        <v>3</v>
      </c>
      <c r="C307">
        <v>475</v>
      </c>
      <c r="D307">
        <v>0</v>
      </c>
      <c r="E307">
        <v>101</v>
      </c>
      <c r="F307">
        <v>2</v>
      </c>
      <c r="G307">
        <v>423</v>
      </c>
      <c r="H307">
        <v>0</v>
      </c>
      <c r="I307">
        <v>38</v>
      </c>
      <c r="J307" t="s">
        <v>820</v>
      </c>
      <c r="K307">
        <f>+WEEKNUM(AV_PLAN[[#This Row],[Días]])</f>
        <v>51</v>
      </c>
      <c r="L307" s="4">
        <f>IFERROR(AV_PLAN[[#This Row],[INICIO REAL ACUMULADO]]/AV_PLAN[[#This Row],[PLAN ACUMULADO]],"")</f>
        <v>0.21263157894736842</v>
      </c>
      <c r="M307" s="4">
        <f>IFERROR(AV_PLAN[[#This Row],[TERMINO REAL ACUMULADO]]/AV_PLAN[[#This Row],[TERMINO PLAN ACUMULADO]],"")</f>
        <v>8.9834515366430265E-2</v>
      </c>
      <c r="N307">
        <f>+AV_PLAN[[#This Row],[PLAN ACUMULADO]]-AV_PLAN[[#This Row],[INICIO REAL ACUMULADO]]</f>
        <v>374</v>
      </c>
      <c r="O307">
        <f>+AV_PLAN[[#This Row],[TERMINO PLAN ACUMULADO]]-AV_PLAN[[#This Row],[TERMINO REAL ACUMULADO]]</f>
        <v>385</v>
      </c>
      <c r="P3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7" s="7">
        <f>+AV_PLAN[[#This Row],[PLAN ACUMULADO]]/$C$471</f>
        <v>0.67471590909090906</v>
      </c>
      <c r="R307" s="7">
        <f t="shared" si="8"/>
        <v>0.14346590909090909</v>
      </c>
      <c r="S307" s="7">
        <f>+AV_PLAN[[#This Row],[TERMINO PLAN ACUMULADO]]/$G$471</f>
        <v>0.60085227272727271</v>
      </c>
      <c r="T307" s="7">
        <f t="shared" si="9"/>
        <v>5.3977272727272728E-2</v>
      </c>
      <c r="U307" s="7">
        <f>+(AV_PLAN[[#This Row],[%AVANCE INICIO PLANIFICADO]]+AV_PLAN[[#This Row],[%AVANCE TERMINO PLANIFICADO]])/2</f>
        <v>0.63778409090909083</v>
      </c>
    </row>
    <row r="308" spans="1:21" x14ac:dyDescent="0.25">
      <c r="A308" s="1">
        <v>46375</v>
      </c>
      <c r="B308">
        <v>0</v>
      </c>
      <c r="C308">
        <v>475</v>
      </c>
      <c r="D308">
        <v>0</v>
      </c>
      <c r="E308">
        <v>101</v>
      </c>
      <c r="F308">
        <v>2</v>
      </c>
      <c r="G308">
        <v>425</v>
      </c>
      <c r="H308">
        <v>0</v>
      </c>
      <c r="I308">
        <v>38</v>
      </c>
      <c r="J308" t="s">
        <v>820</v>
      </c>
      <c r="K308">
        <f>+WEEKNUM(AV_PLAN[[#This Row],[Días]])</f>
        <v>51</v>
      </c>
      <c r="L308" s="4">
        <f>IFERROR(AV_PLAN[[#This Row],[INICIO REAL ACUMULADO]]/AV_PLAN[[#This Row],[PLAN ACUMULADO]],"")</f>
        <v>0.21263157894736842</v>
      </c>
      <c r="M308" s="4">
        <f>IFERROR(AV_PLAN[[#This Row],[TERMINO REAL ACUMULADO]]/AV_PLAN[[#This Row],[TERMINO PLAN ACUMULADO]],"")</f>
        <v>8.9411764705882357E-2</v>
      </c>
      <c r="N308">
        <f>+AV_PLAN[[#This Row],[PLAN ACUMULADO]]-AV_PLAN[[#This Row],[INICIO REAL ACUMULADO]]</f>
        <v>374</v>
      </c>
      <c r="O308">
        <f>+AV_PLAN[[#This Row],[TERMINO PLAN ACUMULADO]]-AV_PLAN[[#This Row],[TERMINO REAL ACUMULADO]]</f>
        <v>387</v>
      </c>
      <c r="P3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8" s="7">
        <f>+AV_PLAN[[#This Row],[PLAN ACUMULADO]]/$C$471</f>
        <v>0.67471590909090906</v>
      </c>
      <c r="R308" s="7">
        <f t="shared" si="8"/>
        <v>0.14346590909090909</v>
      </c>
      <c r="S308" s="7">
        <f>+AV_PLAN[[#This Row],[TERMINO PLAN ACUMULADO]]/$G$471</f>
        <v>0.60369318181818177</v>
      </c>
      <c r="T308" s="7">
        <f t="shared" si="9"/>
        <v>5.3977272727272728E-2</v>
      </c>
      <c r="U308" s="7">
        <f>+(AV_PLAN[[#This Row],[%AVANCE INICIO PLANIFICADO]]+AV_PLAN[[#This Row],[%AVANCE TERMINO PLANIFICADO]])/2</f>
        <v>0.63920454545454541</v>
      </c>
    </row>
    <row r="309" spans="1:21" x14ac:dyDescent="0.25">
      <c r="A309" s="1">
        <v>46376</v>
      </c>
      <c r="B309">
        <v>0</v>
      </c>
      <c r="C309">
        <v>475</v>
      </c>
      <c r="D309">
        <v>0</v>
      </c>
      <c r="E309">
        <v>101</v>
      </c>
      <c r="F309">
        <v>2</v>
      </c>
      <c r="G309">
        <v>427</v>
      </c>
      <c r="H309">
        <v>0</v>
      </c>
      <c r="I309">
        <v>38</v>
      </c>
      <c r="J309" t="s">
        <v>820</v>
      </c>
      <c r="K309">
        <f>+WEEKNUM(AV_PLAN[[#This Row],[Días]])</f>
        <v>52</v>
      </c>
      <c r="L309" s="4">
        <f>IFERROR(AV_PLAN[[#This Row],[INICIO REAL ACUMULADO]]/AV_PLAN[[#This Row],[PLAN ACUMULADO]],"")</f>
        <v>0.21263157894736842</v>
      </c>
      <c r="M309" s="4">
        <f>IFERROR(AV_PLAN[[#This Row],[TERMINO REAL ACUMULADO]]/AV_PLAN[[#This Row],[TERMINO PLAN ACUMULADO]],"")</f>
        <v>8.899297423887588E-2</v>
      </c>
      <c r="N309">
        <f>+AV_PLAN[[#This Row],[PLAN ACUMULADO]]-AV_PLAN[[#This Row],[INICIO REAL ACUMULADO]]</f>
        <v>374</v>
      </c>
      <c r="O309">
        <f>+AV_PLAN[[#This Row],[TERMINO PLAN ACUMULADO]]-AV_PLAN[[#This Row],[TERMINO REAL ACUMULADO]]</f>
        <v>389</v>
      </c>
      <c r="P3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09" s="7">
        <f>+AV_PLAN[[#This Row],[PLAN ACUMULADO]]/$C$471</f>
        <v>0.67471590909090906</v>
      </c>
      <c r="R309" s="7">
        <f t="shared" si="8"/>
        <v>0.14346590909090909</v>
      </c>
      <c r="S309" s="7">
        <f>+AV_PLAN[[#This Row],[TERMINO PLAN ACUMULADO]]/$G$471</f>
        <v>0.60653409090909094</v>
      </c>
      <c r="T309" s="7">
        <f t="shared" si="9"/>
        <v>5.3977272727272728E-2</v>
      </c>
      <c r="U309" s="7">
        <f>+(AV_PLAN[[#This Row],[%AVANCE INICIO PLANIFICADO]]+AV_PLAN[[#This Row],[%AVANCE TERMINO PLANIFICADO]])/2</f>
        <v>0.640625</v>
      </c>
    </row>
    <row r="310" spans="1:21" x14ac:dyDescent="0.25">
      <c r="A310" s="1">
        <v>46377</v>
      </c>
      <c r="B310">
        <v>3</v>
      </c>
      <c r="C310">
        <v>478</v>
      </c>
      <c r="D310">
        <v>0</v>
      </c>
      <c r="E310">
        <v>101</v>
      </c>
      <c r="F310">
        <v>1</v>
      </c>
      <c r="G310">
        <v>428</v>
      </c>
      <c r="H310">
        <v>0</v>
      </c>
      <c r="I310">
        <v>38</v>
      </c>
      <c r="J310" t="s">
        <v>820</v>
      </c>
      <c r="K310">
        <f>+WEEKNUM(AV_PLAN[[#This Row],[Días]])</f>
        <v>52</v>
      </c>
      <c r="L310" s="4">
        <f>IFERROR(AV_PLAN[[#This Row],[INICIO REAL ACUMULADO]]/AV_PLAN[[#This Row],[PLAN ACUMULADO]],"")</f>
        <v>0.21129707112970711</v>
      </c>
      <c r="M310" s="4">
        <f>IFERROR(AV_PLAN[[#This Row],[TERMINO REAL ACUMULADO]]/AV_PLAN[[#This Row],[TERMINO PLAN ACUMULADO]],"")</f>
        <v>8.8785046728971959E-2</v>
      </c>
      <c r="N310">
        <f>+AV_PLAN[[#This Row],[PLAN ACUMULADO]]-AV_PLAN[[#This Row],[INICIO REAL ACUMULADO]]</f>
        <v>377</v>
      </c>
      <c r="O310">
        <f>+AV_PLAN[[#This Row],[TERMINO PLAN ACUMULADO]]-AV_PLAN[[#This Row],[TERMINO REAL ACUMULADO]]</f>
        <v>390</v>
      </c>
      <c r="P3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0" s="7">
        <f>+AV_PLAN[[#This Row],[PLAN ACUMULADO]]/$C$471</f>
        <v>0.67897727272727271</v>
      </c>
      <c r="R310" s="7">
        <f t="shared" si="8"/>
        <v>0.14346590909090909</v>
      </c>
      <c r="S310" s="7">
        <f>+AV_PLAN[[#This Row],[TERMINO PLAN ACUMULADO]]/$G$471</f>
        <v>0.60795454545454541</v>
      </c>
      <c r="T310" s="7">
        <f t="shared" si="9"/>
        <v>5.3977272727272728E-2</v>
      </c>
      <c r="U310" s="7">
        <f>+(AV_PLAN[[#This Row],[%AVANCE INICIO PLANIFICADO]]+AV_PLAN[[#This Row],[%AVANCE TERMINO PLANIFICADO]])/2</f>
        <v>0.64346590909090906</v>
      </c>
    </row>
    <row r="311" spans="1:21" x14ac:dyDescent="0.25">
      <c r="A311" s="1">
        <v>46378</v>
      </c>
      <c r="B311">
        <v>3</v>
      </c>
      <c r="C311">
        <v>481</v>
      </c>
      <c r="D311">
        <v>0</v>
      </c>
      <c r="E311">
        <v>101</v>
      </c>
      <c r="F311">
        <v>2</v>
      </c>
      <c r="G311">
        <v>430</v>
      </c>
      <c r="H311">
        <v>0</v>
      </c>
      <c r="I311">
        <v>38</v>
      </c>
      <c r="J311" t="s">
        <v>820</v>
      </c>
      <c r="K311">
        <f>+WEEKNUM(AV_PLAN[[#This Row],[Días]])</f>
        <v>52</v>
      </c>
      <c r="L311" s="4">
        <f>IFERROR(AV_PLAN[[#This Row],[INICIO REAL ACUMULADO]]/AV_PLAN[[#This Row],[PLAN ACUMULADO]],"")</f>
        <v>0.20997920997920999</v>
      </c>
      <c r="M311" s="4">
        <f>IFERROR(AV_PLAN[[#This Row],[TERMINO REAL ACUMULADO]]/AV_PLAN[[#This Row],[TERMINO PLAN ACUMULADO]],"")</f>
        <v>8.8372093023255813E-2</v>
      </c>
      <c r="N311">
        <f>+AV_PLAN[[#This Row],[PLAN ACUMULADO]]-AV_PLAN[[#This Row],[INICIO REAL ACUMULADO]]</f>
        <v>380</v>
      </c>
      <c r="O311">
        <f>+AV_PLAN[[#This Row],[TERMINO PLAN ACUMULADO]]-AV_PLAN[[#This Row],[TERMINO REAL ACUMULADO]]</f>
        <v>392</v>
      </c>
      <c r="P311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1" s="7">
        <f>+AV_PLAN[[#This Row],[PLAN ACUMULADO]]/$C$471</f>
        <v>0.68323863636363635</v>
      </c>
      <c r="R311" s="7">
        <f t="shared" si="8"/>
        <v>0.14346590909090909</v>
      </c>
      <c r="S311" s="7">
        <f>+AV_PLAN[[#This Row],[TERMINO PLAN ACUMULADO]]/$G$471</f>
        <v>0.61079545454545459</v>
      </c>
      <c r="T311" s="7">
        <f t="shared" si="9"/>
        <v>5.3977272727272728E-2</v>
      </c>
      <c r="U311" s="7">
        <f>+(AV_PLAN[[#This Row],[%AVANCE INICIO PLANIFICADO]]+AV_PLAN[[#This Row],[%AVANCE TERMINO PLANIFICADO]])/2</f>
        <v>0.64701704545454541</v>
      </c>
    </row>
    <row r="312" spans="1:21" x14ac:dyDescent="0.25">
      <c r="A312" s="1">
        <v>46379</v>
      </c>
      <c r="B312">
        <v>3</v>
      </c>
      <c r="C312">
        <v>484</v>
      </c>
      <c r="D312">
        <v>0</v>
      </c>
      <c r="E312">
        <v>101</v>
      </c>
      <c r="F312">
        <v>3</v>
      </c>
      <c r="G312">
        <v>433</v>
      </c>
      <c r="H312">
        <v>0</v>
      </c>
      <c r="I312">
        <v>38</v>
      </c>
      <c r="J312" t="s">
        <v>820</v>
      </c>
      <c r="K312">
        <f>+WEEKNUM(AV_PLAN[[#This Row],[Días]])</f>
        <v>52</v>
      </c>
      <c r="L312" s="4">
        <f>IFERROR(AV_PLAN[[#This Row],[INICIO REAL ACUMULADO]]/AV_PLAN[[#This Row],[PLAN ACUMULADO]],"")</f>
        <v>0.20867768595041322</v>
      </c>
      <c r="M312" s="4">
        <f>IFERROR(AV_PLAN[[#This Row],[TERMINO REAL ACUMULADO]]/AV_PLAN[[#This Row],[TERMINO PLAN ACUMULADO]],"")</f>
        <v>8.7759815242494224E-2</v>
      </c>
      <c r="N312">
        <f>+AV_PLAN[[#This Row],[PLAN ACUMULADO]]-AV_PLAN[[#This Row],[INICIO REAL ACUMULADO]]</f>
        <v>383</v>
      </c>
      <c r="O312">
        <f>+AV_PLAN[[#This Row],[TERMINO PLAN ACUMULADO]]-AV_PLAN[[#This Row],[TERMINO REAL ACUMULADO]]</f>
        <v>395</v>
      </c>
      <c r="P312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2" s="7">
        <f>+AV_PLAN[[#This Row],[PLAN ACUMULADO]]/$C$471</f>
        <v>0.6875</v>
      </c>
      <c r="R312" s="7">
        <f t="shared" si="8"/>
        <v>0.14346590909090909</v>
      </c>
      <c r="S312" s="7">
        <f>+AV_PLAN[[#This Row],[TERMINO PLAN ACUMULADO]]/$G$471</f>
        <v>0.61505681818181823</v>
      </c>
      <c r="T312" s="7">
        <f t="shared" si="9"/>
        <v>5.3977272727272728E-2</v>
      </c>
      <c r="U312" s="7">
        <f>+(AV_PLAN[[#This Row],[%AVANCE INICIO PLANIFICADO]]+AV_PLAN[[#This Row],[%AVANCE TERMINO PLANIFICADO]])/2</f>
        <v>0.65127840909090917</v>
      </c>
    </row>
    <row r="313" spans="1:21" x14ac:dyDescent="0.25">
      <c r="A313" s="1">
        <v>46380</v>
      </c>
      <c r="B313">
        <v>0</v>
      </c>
      <c r="C313">
        <v>484</v>
      </c>
      <c r="D313">
        <v>0</v>
      </c>
      <c r="E313">
        <v>101</v>
      </c>
      <c r="F313">
        <v>3</v>
      </c>
      <c r="G313">
        <v>436</v>
      </c>
      <c r="H313">
        <v>0</v>
      </c>
      <c r="I313">
        <v>38</v>
      </c>
      <c r="J313" t="s">
        <v>820</v>
      </c>
      <c r="K313">
        <f>+WEEKNUM(AV_PLAN[[#This Row],[Días]])</f>
        <v>52</v>
      </c>
      <c r="L313" s="4">
        <f>IFERROR(AV_PLAN[[#This Row],[INICIO REAL ACUMULADO]]/AV_PLAN[[#This Row],[PLAN ACUMULADO]],"")</f>
        <v>0.20867768595041322</v>
      </c>
      <c r="M313" s="4">
        <f>IFERROR(AV_PLAN[[#This Row],[TERMINO REAL ACUMULADO]]/AV_PLAN[[#This Row],[TERMINO PLAN ACUMULADO]],"")</f>
        <v>8.7155963302752298E-2</v>
      </c>
      <c r="N313">
        <f>+AV_PLAN[[#This Row],[PLAN ACUMULADO]]-AV_PLAN[[#This Row],[INICIO REAL ACUMULADO]]</f>
        <v>383</v>
      </c>
      <c r="O313">
        <f>+AV_PLAN[[#This Row],[TERMINO PLAN ACUMULADO]]-AV_PLAN[[#This Row],[TERMINO REAL ACUMULADO]]</f>
        <v>398</v>
      </c>
      <c r="P313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3" s="7">
        <f>+AV_PLAN[[#This Row],[PLAN ACUMULADO]]/$C$471</f>
        <v>0.6875</v>
      </c>
      <c r="R313" s="7">
        <f t="shared" si="8"/>
        <v>0.14346590909090909</v>
      </c>
      <c r="S313" s="7">
        <f>+AV_PLAN[[#This Row],[TERMINO PLAN ACUMULADO]]/$G$471</f>
        <v>0.61931818181818177</v>
      </c>
      <c r="T313" s="7">
        <f t="shared" si="9"/>
        <v>5.3977272727272728E-2</v>
      </c>
      <c r="U313" s="7">
        <f>+(AV_PLAN[[#This Row],[%AVANCE INICIO PLANIFICADO]]+AV_PLAN[[#This Row],[%AVANCE TERMINO PLANIFICADO]])/2</f>
        <v>0.65340909090909083</v>
      </c>
    </row>
    <row r="314" spans="1:21" x14ac:dyDescent="0.25">
      <c r="A314" s="1">
        <v>46381</v>
      </c>
      <c r="B314">
        <v>0</v>
      </c>
      <c r="C314">
        <v>484</v>
      </c>
      <c r="D314">
        <v>0</v>
      </c>
      <c r="E314">
        <v>101</v>
      </c>
      <c r="F314">
        <v>2</v>
      </c>
      <c r="G314">
        <v>438</v>
      </c>
      <c r="H314">
        <v>0</v>
      </c>
      <c r="I314">
        <v>38</v>
      </c>
      <c r="J314" t="s">
        <v>820</v>
      </c>
      <c r="K314">
        <f>+WEEKNUM(AV_PLAN[[#This Row],[Días]])</f>
        <v>52</v>
      </c>
      <c r="L314" s="4">
        <f>IFERROR(AV_PLAN[[#This Row],[INICIO REAL ACUMULADO]]/AV_PLAN[[#This Row],[PLAN ACUMULADO]],"")</f>
        <v>0.20867768595041322</v>
      </c>
      <c r="M314" s="4">
        <f>IFERROR(AV_PLAN[[#This Row],[TERMINO REAL ACUMULADO]]/AV_PLAN[[#This Row],[TERMINO PLAN ACUMULADO]],"")</f>
        <v>8.6757990867579904E-2</v>
      </c>
      <c r="N314">
        <f>+AV_PLAN[[#This Row],[PLAN ACUMULADO]]-AV_PLAN[[#This Row],[INICIO REAL ACUMULADO]]</f>
        <v>383</v>
      </c>
      <c r="O314">
        <f>+AV_PLAN[[#This Row],[TERMINO PLAN ACUMULADO]]-AV_PLAN[[#This Row],[TERMINO REAL ACUMULADO]]</f>
        <v>400</v>
      </c>
      <c r="P314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4" s="7">
        <f>+AV_PLAN[[#This Row],[PLAN ACUMULADO]]/$C$471</f>
        <v>0.6875</v>
      </c>
      <c r="R314" s="7">
        <f t="shared" si="8"/>
        <v>0.14346590909090909</v>
      </c>
      <c r="S314" s="7">
        <f>+AV_PLAN[[#This Row],[TERMINO PLAN ACUMULADO]]/$G$471</f>
        <v>0.62215909090909094</v>
      </c>
      <c r="T314" s="7">
        <f t="shared" si="9"/>
        <v>5.3977272727272728E-2</v>
      </c>
      <c r="U314" s="7">
        <f>+(AV_PLAN[[#This Row],[%AVANCE INICIO PLANIFICADO]]+AV_PLAN[[#This Row],[%AVANCE TERMINO PLANIFICADO]])/2</f>
        <v>0.65482954545454541</v>
      </c>
    </row>
    <row r="315" spans="1:21" x14ac:dyDescent="0.25">
      <c r="A315" s="1">
        <v>46382</v>
      </c>
      <c r="B315">
        <v>0</v>
      </c>
      <c r="C315">
        <v>484</v>
      </c>
      <c r="D315">
        <v>0</v>
      </c>
      <c r="E315">
        <v>101</v>
      </c>
      <c r="F315">
        <v>1</v>
      </c>
      <c r="G315">
        <v>439</v>
      </c>
      <c r="H315">
        <v>0</v>
      </c>
      <c r="I315">
        <v>38</v>
      </c>
      <c r="J315" t="s">
        <v>820</v>
      </c>
      <c r="K315">
        <f>+WEEKNUM(AV_PLAN[[#This Row],[Días]])</f>
        <v>52</v>
      </c>
      <c r="L315" s="4">
        <f>IFERROR(AV_PLAN[[#This Row],[INICIO REAL ACUMULADO]]/AV_PLAN[[#This Row],[PLAN ACUMULADO]],"")</f>
        <v>0.20867768595041322</v>
      </c>
      <c r="M315" s="4">
        <f>IFERROR(AV_PLAN[[#This Row],[TERMINO REAL ACUMULADO]]/AV_PLAN[[#This Row],[TERMINO PLAN ACUMULADO]],"")</f>
        <v>8.656036446469248E-2</v>
      </c>
      <c r="N315">
        <f>+AV_PLAN[[#This Row],[PLAN ACUMULADO]]-AV_PLAN[[#This Row],[INICIO REAL ACUMULADO]]</f>
        <v>383</v>
      </c>
      <c r="O315">
        <f>+AV_PLAN[[#This Row],[TERMINO PLAN ACUMULADO]]-AV_PLAN[[#This Row],[TERMINO REAL ACUMULADO]]</f>
        <v>401</v>
      </c>
      <c r="P31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5" s="7">
        <f>+AV_PLAN[[#This Row],[PLAN ACUMULADO]]/$C$471</f>
        <v>0.6875</v>
      </c>
      <c r="R315" s="7">
        <f t="shared" si="8"/>
        <v>0.14346590909090909</v>
      </c>
      <c r="S315" s="7">
        <f>+AV_PLAN[[#This Row],[TERMINO PLAN ACUMULADO]]/$G$471</f>
        <v>0.62357954545454541</v>
      </c>
      <c r="T315" s="7">
        <f t="shared" si="9"/>
        <v>5.3977272727272728E-2</v>
      </c>
      <c r="U315" s="7">
        <f>+(AV_PLAN[[#This Row],[%AVANCE INICIO PLANIFICADO]]+AV_PLAN[[#This Row],[%AVANCE TERMINO PLANIFICADO]])/2</f>
        <v>0.65553977272727271</v>
      </c>
    </row>
    <row r="316" spans="1:21" x14ac:dyDescent="0.25">
      <c r="A316" s="1">
        <v>46383</v>
      </c>
      <c r="B316">
        <v>0</v>
      </c>
      <c r="C316">
        <v>484</v>
      </c>
      <c r="D316">
        <v>0</v>
      </c>
      <c r="E316">
        <v>101</v>
      </c>
      <c r="F316">
        <v>2</v>
      </c>
      <c r="G316">
        <v>441</v>
      </c>
      <c r="H316">
        <v>0</v>
      </c>
      <c r="I316">
        <v>38</v>
      </c>
      <c r="J316" t="s">
        <v>820</v>
      </c>
      <c r="K316">
        <f>+WEEKNUM(AV_PLAN[[#This Row],[Días]])</f>
        <v>53</v>
      </c>
      <c r="L316" s="4">
        <f>IFERROR(AV_PLAN[[#This Row],[INICIO REAL ACUMULADO]]/AV_PLAN[[#This Row],[PLAN ACUMULADO]],"")</f>
        <v>0.20867768595041322</v>
      </c>
      <c r="M316" s="4">
        <f>IFERROR(AV_PLAN[[#This Row],[TERMINO REAL ACUMULADO]]/AV_PLAN[[#This Row],[TERMINO PLAN ACUMULADO]],"")</f>
        <v>8.6167800453514742E-2</v>
      </c>
      <c r="N316">
        <f>+AV_PLAN[[#This Row],[PLAN ACUMULADO]]-AV_PLAN[[#This Row],[INICIO REAL ACUMULADO]]</f>
        <v>383</v>
      </c>
      <c r="O316">
        <f>+AV_PLAN[[#This Row],[TERMINO PLAN ACUMULADO]]-AV_PLAN[[#This Row],[TERMINO REAL ACUMULADO]]</f>
        <v>403</v>
      </c>
      <c r="P31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6" s="7">
        <f>+AV_PLAN[[#This Row],[PLAN ACUMULADO]]/$C$471</f>
        <v>0.6875</v>
      </c>
      <c r="R316" s="7">
        <f t="shared" si="8"/>
        <v>0.14346590909090909</v>
      </c>
      <c r="S316" s="7">
        <f>+AV_PLAN[[#This Row],[TERMINO PLAN ACUMULADO]]/$G$471</f>
        <v>0.62642045454545459</v>
      </c>
      <c r="T316" s="7">
        <f t="shared" si="9"/>
        <v>5.3977272727272728E-2</v>
      </c>
      <c r="U316" s="7">
        <f>+(AV_PLAN[[#This Row],[%AVANCE INICIO PLANIFICADO]]+AV_PLAN[[#This Row],[%AVANCE TERMINO PLANIFICADO]])/2</f>
        <v>0.65696022727272729</v>
      </c>
    </row>
    <row r="317" spans="1:21" x14ac:dyDescent="0.25">
      <c r="A317" s="1">
        <v>46384</v>
      </c>
      <c r="B317">
        <v>3</v>
      </c>
      <c r="C317">
        <v>487</v>
      </c>
      <c r="D317">
        <v>0</v>
      </c>
      <c r="E317">
        <v>101</v>
      </c>
      <c r="F317">
        <v>0</v>
      </c>
      <c r="G317">
        <v>441</v>
      </c>
      <c r="H317">
        <v>0</v>
      </c>
      <c r="I317">
        <v>38</v>
      </c>
      <c r="J317" t="s">
        <v>820</v>
      </c>
      <c r="K317">
        <f>+WEEKNUM(AV_PLAN[[#This Row],[Días]])</f>
        <v>53</v>
      </c>
      <c r="L317" s="4">
        <f>IFERROR(AV_PLAN[[#This Row],[INICIO REAL ACUMULADO]]/AV_PLAN[[#This Row],[PLAN ACUMULADO]],"")</f>
        <v>0.20739219712525667</v>
      </c>
      <c r="M317" s="4">
        <f>IFERROR(AV_PLAN[[#This Row],[TERMINO REAL ACUMULADO]]/AV_PLAN[[#This Row],[TERMINO PLAN ACUMULADO]],"")</f>
        <v>8.6167800453514742E-2</v>
      </c>
      <c r="N317">
        <f>+AV_PLAN[[#This Row],[PLAN ACUMULADO]]-AV_PLAN[[#This Row],[INICIO REAL ACUMULADO]]</f>
        <v>386</v>
      </c>
      <c r="O317">
        <f>+AV_PLAN[[#This Row],[TERMINO PLAN ACUMULADO]]-AV_PLAN[[#This Row],[TERMINO REAL ACUMULADO]]</f>
        <v>403</v>
      </c>
      <c r="P31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7" s="7">
        <f>+AV_PLAN[[#This Row],[PLAN ACUMULADO]]/$C$471</f>
        <v>0.69176136363636365</v>
      </c>
      <c r="R317" s="7">
        <f t="shared" si="8"/>
        <v>0.14346590909090909</v>
      </c>
      <c r="S317" s="7">
        <f>+AV_PLAN[[#This Row],[TERMINO PLAN ACUMULADO]]/$G$471</f>
        <v>0.62642045454545459</v>
      </c>
      <c r="T317" s="7">
        <f t="shared" si="9"/>
        <v>5.3977272727272728E-2</v>
      </c>
      <c r="U317" s="7">
        <f>+(AV_PLAN[[#This Row],[%AVANCE INICIO PLANIFICADO]]+AV_PLAN[[#This Row],[%AVANCE TERMINO PLANIFICADO]])/2</f>
        <v>0.65909090909090917</v>
      </c>
    </row>
    <row r="318" spans="1:21" x14ac:dyDescent="0.25">
      <c r="A318" s="1">
        <v>46385</v>
      </c>
      <c r="B318">
        <v>3</v>
      </c>
      <c r="C318">
        <v>490</v>
      </c>
      <c r="D318">
        <v>0</v>
      </c>
      <c r="E318">
        <v>101</v>
      </c>
      <c r="F318">
        <v>2</v>
      </c>
      <c r="G318">
        <v>443</v>
      </c>
      <c r="H318">
        <v>0</v>
      </c>
      <c r="I318">
        <v>38</v>
      </c>
      <c r="J318" t="s">
        <v>820</v>
      </c>
      <c r="K318">
        <f>+WEEKNUM(AV_PLAN[[#This Row],[Días]])</f>
        <v>53</v>
      </c>
      <c r="L318" s="4">
        <f>IFERROR(AV_PLAN[[#This Row],[INICIO REAL ACUMULADO]]/AV_PLAN[[#This Row],[PLAN ACUMULADO]],"")</f>
        <v>0.20612244897959184</v>
      </c>
      <c r="M318" s="4">
        <f>IFERROR(AV_PLAN[[#This Row],[TERMINO REAL ACUMULADO]]/AV_PLAN[[#This Row],[TERMINO PLAN ACUMULADO]],"")</f>
        <v>8.5778781038374718E-2</v>
      </c>
      <c r="N318">
        <f>+AV_PLAN[[#This Row],[PLAN ACUMULADO]]-AV_PLAN[[#This Row],[INICIO REAL ACUMULADO]]</f>
        <v>389</v>
      </c>
      <c r="O318">
        <f>+AV_PLAN[[#This Row],[TERMINO PLAN ACUMULADO]]-AV_PLAN[[#This Row],[TERMINO REAL ACUMULADO]]</f>
        <v>405</v>
      </c>
      <c r="P31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8" s="7">
        <f>+AV_PLAN[[#This Row],[PLAN ACUMULADO]]/$C$471</f>
        <v>0.69602272727272729</v>
      </c>
      <c r="R318" s="7">
        <f t="shared" si="8"/>
        <v>0.14346590909090909</v>
      </c>
      <c r="S318" s="7">
        <f>+AV_PLAN[[#This Row],[TERMINO PLAN ACUMULADO]]/$G$471</f>
        <v>0.62926136363636365</v>
      </c>
      <c r="T318" s="7">
        <f t="shared" si="9"/>
        <v>5.3977272727272728E-2</v>
      </c>
      <c r="U318" s="7">
        <f>+(AV_PLAN[[#This Row],[%AVANCE INICIO PLANIFICADO]]+AV_PLAN[[#This Row],[%AVANCE TERMINO PLANIFICADO]])/2</f>
        <v>0.66264204545454541</v>
      </c>
    </row>
    <row r="319" spans="1:21" x14ac:dyDescent="0.25">
      <c r="A319" s="1">
        <v>46386</v>
      </c>
      <c r="B319">
        <v>3</v>
      </c>
      <c r="C319">
        <v>493</v>
      </c>
      <c r="D319">
        <v>0</v>
      </c>
      <c r="E319">
        <v>101</v>
      </c>
      <c r="F319">
        <v>4</v>
      </c>
      <c r="G319">
        <v>447</v>
      </c>
      <c r="H319">
        <v>0</v>
      </c>
      <c r="I319">
        <v>38</v>
      </c>
      <c r="J319" t="s">
        <v>820</v>
      </c>
      <c r="K319">
        <f>+WEEKNUM(AV_PLAN[[#This Row],[Días]])</f>
        <v>53</v>
      </c>
      <c r="L319" s="4">
        <f>IFERROR(AV_PLAN[[#This Row],[INICIO REAL ACUMULADO]]/AV_PLAN[[#This Row],[PLAN ACUMULADO]],"")</f>
        <v>0.20486815415821502</v>
      </c>
      <c r="M319" s="4">
        <f>IFERROR(AV_PLAN[[#This Row],[TERMINO REAL ACUMULADO]]/AV_PLAN[[#This Row],[TERMINO PLAN ACUMULADO]],"")</f>
        <v>8.5011185682326629E-2</v>
      </c>
      <c r="N319">
        <f>+AV_PLAN[[#This Row],[PLAN ACUMULADO]]-AV_PLAN[[#This Row],[INICIO REAL ACUMULADO]]</f>
        <v>392</v>
      </c>
      <c r="O319">
        <f>+AV_PLAN[[#This Row],[TERMINO PLAN ACUMULADO]]-AV_PLAN[[#This Row],[TERMINO REAL ACUMULADO]]</f>
        <v>409</v>
      </c>
      <c r="P31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9" s="7">
        <f>+AV_PLAN[[#This Row],[PLAN ACUMULADO]]/$C$471</f>
        <v>0.70028409090909094</v>
      </c>
      <c r="R319" s="7">
        <f t="shared" si="8"/>
        <v>0.14346590909090909</v>
      </c>
      <c r="S319" s="7">
        <f>+AV_PLAN[[#This Row],[TERMINO PLAN ACUMULADO]]/$G$471</f>
        <v>0.63494318181818177</v>
      </c>
      <c r="T319" s="7">
        <f t="shared" si="9"/>
        <v>5.3977272727272728E-2</v>
      </c>
      <c r="U319" s="7">
        <f>+(AV_PLAN[[#This Row],[%AVANCE INICIO PLANIFICADO]]+AV_PLAN[[#This Row],[%AVANCE TERMINO PLANIFICADO]])/2</f>
        <v>0.66761363636363635</v>
      </c>
    </row>
    <row r="320" spans="1:21" x14ac:dyDescent="0.25">
      <c r="A320" s="1">
        <v>46387</v>
      </c>
      <c r="B320">
        <v>0</v>
      </c>
      <c r="C320">
        <v>493</v>
      </c>
      <c r="D320">
        <v>0</v>
      </c>
      <c r="E320">
        <v>101</v>
      </c>
      <c r="F320">
        <v>3</v>
      </c>
      <c r="G320">
        <v>450</v>
      </c>
      <c r="H320">
        <v>0</v>
      </c>
      <c r="I320">
        <v>38</v>
      </c>
      <c r="J320" t="s">
        <v>820</v>
      </c>
      <c r="K320">
        <f>+WEEKNUM(AV_PLAN[[#This Row],[Días]])</f>
        <v>53</v>
      </c>
      <c r="L320" s="4">
        <f>IFERROR(AV_PLAN[[#This Row],[INICIO REAL ACUMULADO]]/AV_PLAN[[#This Row],[PLAN ACUMULADO]],"")</f>
        <v>0.20486815415821502</v>
      </c>
      <c r="M320" s="4">
        <f>IFERROR(AV_PLAN[[#This Row],[TERMINO REAL ACUMULADO]]/AV_PLAN[[#This Row],[TERMINO PLAN ACUMULADO]],"")</f>
        <v>8.4444444444444447E-2</v>
      </c>
      <c r="N320">
        <f>+AV_PLAN[[#This Row],[PLAN ACUMULADO]]-AV_PLAN[[#This Row],[INICIO REAL ACUMULADO]]</f>
        <v>392</v>
      </c>
      <c r="O320">
        <f>+AV_PLAN[[#This Row],[TERMINO PLAN ACUMULADO]]-AV_PLAN[[#This Row],[TERMINO REAL ACUMULADO]]</f>
        <v>412</v>
      </c>
      <c r="P32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20" s="7">
        <f>+AV_PLAN[[#This Row],[PLAN ACUMULADO]]/$C$471</f>
        <v>0.70028409090909094</v>
      </c>
      <c r="R320" s="7">
        <f t="shared" si="8"/>
        <v>0.14346590909090909</v>
      </c>
      <c r="S320" s="7">
        <f>+AV_PLAN[[#This Row],[TERMINO PLAN ACUMULADO]]/$G$471</f>
        <v>0.63920454545454541</v>
      </c>
      <c r="T320" s="7">
        <f t="shared" si="9"/>
        <v>5.3977272727272728E-2</v>
      </c>
      <c r="U320" s="7">
        <f>+(AV_PLAN[[#This Row],[%AVANCE INICIO PLANIFICADO]]+AV_PLAN[[#This Row],[%AVANCE TERMINO PLANIFICADO]])/2</f>
        <v>0.66974431818181812</v>
      </c>
    </row>
    <row r="321" spans="1:21" x14ac:dyDescent="0.25">
      <c r="A321" s="1">
        <v>46388</v>
      </c>
      <c r="B321">
        <v>0</v>
      </c>
      <c r="C321">
        <v>493</v>
      </c>
      <c r="D321">
        <v>0</v>
      </c>
      <c r="E321">
        <v>101</v>
      </c>
      <c r="F321">
        <v>1</v>
      </c>
      <c r="G321">
        <v>451</v>
      </c>
      <c r="H321">
        <v>0</v>
      </c>
      <c r="I321">
        <v>38</v>
      </c>
      <c r="J321" t="s">
        <v>821</v>
      </c>
      <c r="K321">
        <f>+WEEKNUM(AV_PLAN[[#This Row],[Días]])</f>
        <v>1</v>
      </c>
      <c r="L321" s="4">
        <f>IFERROR(AV_PLAN[[#This Row],[INICIO REAL ACUMULADO]]/AV_PLAN[[#This Row],[PLAN ACUMULADO]],"")</f>
        <v>0.20486815415821502</v>
      </c>
      <c r="M321" s="4">
        <f>IFERROR(AV_PLAN[[#This Row],[TERMINO REAL ACUMULADO]]/AV_PLAN[[#This Row],[TERMINO PLAN ACUMULADO]],"")</f>
        <v>8.4257206208425722E-2</v>
      </c>
      <c r="N321">
        <f>+AV_PLAN[[#This Row],[PLAN ACUMULADO]]-AV_PLAN[[#This Row],[INICIO REAL ACUMULADO]]</f>
        <v>392</v>
      </c>
      <c r="O321">
        <f>+AV_PLAN[[#This Row],[TERMINO PLAN ACUMULADO]]-AV_PLAN[[#This Row],[TERMINO REAL ACUMULADO]]</f>
        <v>413</v>
      </c>
      <c r="P32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1" s="7">
        <f>+AV_PLAN[[#This Row],[PLAN ACUMULADO]]/$C$471</f>
        <v>0.70028409090909094</v>
      </c>
      <c r="R321" s="7">
        <f t="shared" si="8"/>
        <v>0.14346590909090909</v>
      </c>
      <c r="S321" s="7">
        <f>+AV_PLAN[[#This Row],[TERMINO PLAN ACUMULADO]]/$G$471</f>
        <v>0.640625</v>
      </c>
      <c r="T321" s="7">
        <f t="shared" si="9"/>
        <v>5.3977272727272728E-2</v>
      </c>
      <c r="U321" s="7">
        <f>+(AV_PLAN[[#This Row],[%AVANCE INICIO PLANIFICADO]]+AV_PLAN[[#This Row],[%AVANCE TERMINO PLANIFICADO]])/2</f>
        <v>0.67045454545454541</v>
      </c>
    </row>
    <row r="322" spans="1:21" x14ac:dyDescent="0.25">
      <c r="A322" s="1">
        <v>46389</v>
      </c>
      <c r="B322">
        <v>0</v>
      </c>
      <c r="C322">
        <v>493</v>
      </c>
      <c r="D322">
        <v>0</v>
      </c>
      <c r="E322">
        <v>101</v>
      </c>
      <c r="F322">
        <v>1</v>
      </c>
      <c r="G322">
        <v>452</v>
      </c>
      <c r="H322">
        <v>0</v>
      </c>
      <c r="I322">
        <v>38</v>
      </c>
      <c r="J322" t="s">
        <v>821</v>
      </c>
      <c r="K322">
        <f>+WEEKNUM(AV_PLAN[[#This Row],[Días]])</f>
        <v>1</v>
      </c>
      <c r="L322" s="4">
        <f>IFERROR(AV_PLAN[[#This Row],[INICIO REAL ACUMULADO]]/AV_PLAN[[#This Row],[PLAN ACUMULADO]],"")</f>
        <v>0.20486815415821502</v>
      </c>
      <c r="M322" s="4">
        <f>IFERROR(AV_PLAN[[#This Row],[TERMINO REAL ACUMULADO]]/AV_PLAN[[#This Row],[TERMINO PLAN ACUMULADO]],"")</f>
        <v>8.4070796460176997E-2</v>
      </c>
      <c r="N322">
        <f>+AV_PLAN[[#This Row],[PLAN ACUMULADO]]-AV_PLAN[[#This Row],[INICIO REAL ACUMULADO]]</f>
        <v>392</v>
      </c>
      <c r="O322">
        <f>+AV_PLAN[[#This Row],[TERMINO PLAN ACUMULADO]]-AV_PLAN[[#This Row],[TERMINO REAL ACUMULADO]]</f>
        <v>414</v>
      </c>
      <c r="P32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2" s="7">
        <f>+AV_PLAN[[#This Row],[PLAN ACUMULADO]]/$C$471</f>
        <v>0.70028409090909094</v>
      </c>
      <c r="R322" s="7">
        <f t="shared" ref="R322:R385" si="10">IF(D322="",NA(),E322/$C$471)</f>
        <v>0.14346590909090909</v>
      </c>
      <c r="S322" s="7">
        <f>+AV_PLAN[[#This Row],[TERMINO PLAN ACUMULADO]]/$G$471</f>
        <v>0.64204545454545459</v>
      </c>
      <c r="T322" s="7">
        <f t="shared" ref="T322:T385" si="11">IF(H322="",NA(),I322/$G$471)</f>
        <v>5.3977272727272728E-2</v>
      </c>
      <c r="U322" s="7">
        <f>+(AV_PLAN[[#This Row],[%AVANCE INICIO PLANIFICADO]]+AV_PLAN[[#This Row],[%AVANCE TERMINO PLANIFICADO]])/2</f>
        <v>0.67116477272727271</v>
      </c>
    </row>
    <row r="323" spans="1:21" x14ac:dyDescent="0.25">
      <c r="A323" s="1">
        <v>46390</v>
      </c>
      <c r="B323">
        <v>0</v>
      </c>
      <c r="C323">
        <v>493</v>
      </c>
      <c r="D323">
        <v>0</v>
      </c>
      <c r="E323">
        <v>101</v>
      </c>
      <c r="F323">
        <v>3</v>
      </c>
      <c r="G323">
        <v>455</v>
      </c>
      <c r="H323">
        <v>0</v>
      </c>
      <c r="I323">
        <v>38</v>
      </c>
      <c r="J323" t="s">
        <v>821</v>
      </c>
      <c r="K323">
        <f>+WEEKNUM(AV_PLAN[[#This Row],[Días]])</f>
        <v>2</v>
      </c>
      <c r="L323" s="4">
        <f>IFERROR(AV_PLAN[[#This Row],[INICIO REAL ACUMULADO]]/AV_PLAN[[#This Row],[PLAN ACUMULADO]],"")</f>
        <v>0.20486815415821502</v>
      </c>
      <c r="M323" s="4">
        <f>IFERROR(AV_PLAN[[#This Row],[TERMINO REAL ACUMULADO]]/AV_PLAN[[#This Row],[TERMINO PLAN ACUMULADO]],"")</f>
        <v>8.3516483516483511E-2</v>
      </c>
      <c r="N323">
        <f>+AV_PLAN[[#This Row],[PLAN ACUMULADO]]-AV_PLAN[[#This Row],[INICIO REAL ACUMULADO]]</f>
        <v>392</v>
      </c>
      <c r="O323">
        <f>+AV_PLAN[[#This Row],[TERMINO PLAN ACUMULADO]]-AV_PLAN[[#This Row],[TERMINO REAL ACUMULADO]]</f>
        <v>417</v>
      </c>
      <c r="P3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3" s="7">
        <f>+AV_PLAN[[#This Row],[PLAN ACUMULADO]]/$C$471</f>
        <v>0.70028409090909094</v>
      </c>
      <c r="R323" s="7">
        <f t="shared" si="10"/>
        <v>0.14346590909090909</v>
      </c>
      <c r="S323" s="7">
        <f>+AV_PLAN[[#This Row],[TERMINO PLAN ACUMULADO]]/$G$471</f>
        <v>0.64630681818181823</v>
      </c>
      <c r="T323" s="7">
        <f t="shared" si="11"/>
        <v>5.3977272727272728E-2</v>
      </c>
      <c r="U323" s="7">
        <f>+(AV_PLAN[[#This Row],[%AVANCE INICIO PLANIFICADO]]+AV_PLAN[[#This Row],[%AVANCE TERMINO PLANIFICADO]])/2</f>
        <v>0.67329545454545459</v>
      </c>
    </row>
    <row r="324" spans="1:21" x14ac:dyDescent="0.25">
      <c r="A324" s="1">
        <v>46391</v>
      </c>
      <c r="B324">
        <v>3</v>
      </c>
      <c r="C324">
        <v>496</v>
      </c>
      <c r="D324">
        <v>0</v>
      </c>
      <c r="E324">
        <v>101</v>
      </c>
      <c r="F324">
        <v>2</v>
      </c>
      <c r="G324">
        <v>457</v>
      </c>
      <c r="H324">
        <v>0</v>
      </c>
      <c r="I324">
        <v>38</v>
      </c>
      <c r="J324" t="s">
        <v>821</v>
      </c>
      <c r="K324">
        <f>+WEEKNUM(AV_PLAN[[#This Row],[Días]])</f>
        <v>2</v>
      </c>
      <c r="L324" s="4">
        <f>IFERROR(AV_PLAN[[#This Row],[INICIO REAL ACUMULADO]]/AV_PLAN[[#This Row],[PLAN ACUMULADO]],"")</f>
        <v>0.20362903225806453</v>
      </c>
      <c r="M324" s="4">
        <f>IFERROR(AV_PLAN[[#This Row],[TERMINO REAL ACUMULADO]]/AV_PLAN[[#This Row],[TERMINO PLAN ACUMULADO]],"")</f>
        <v>8.3150984682713341E-2</v>
      </c>
      <c r="N324">
        <f>+AV_PLAN[[#This Row],[PLAN ACUMULADO]]-AV_PLAN[[#This Row],[INICIO REAL ACUMULADO]]</f>
        <v>395</v>
      </c>
      <c r="O324">
        <f>+AV_PLAN[[#This Row],[TERMINO PLAN ACUMULADO]]-AV_PLAN[[#This Row],[TERMINO REAL ACUMULADO]]</f>
        <v>419</v>
      </c>
      <c r="P3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4" s="7">
        <f>+AV_PLAN[[#This Row],[PLAN ACUMULADO]]/$C$471</f>
        <v>0.70454545454545459</v>
      </c>
      <c r="R324" s="7">
        <f t="shared" si="10"/>
        <v>0.14346590909090909</v>
      </c>
      <c r="S324" s="7">
        <f>+AV_PLAN[[#This Row],[TERMINO PLAN ACUMULADO]]/$G$471</f>
        <v>0.64914772727272729</v>
      </c>
      <c r="T324" s="7">
        <f t="shared" si="11"/>
        <v>5.3977272727272728E-2</v>
      </c>
      <c r="U324" s="7">
        <f>+(AV_PLAN[[#This Row],[%AVANCE INICIO PLANIFICADO]]+AV_PLAN[[#This Row],[%AVANCE TERMINO PLANIFICADO]])/2</f>
        <v>0.67684659090909094</v>
      </c>
    </row>
    <row r="325" spans="1:21" x14ac:dyDescent="0.25">
      <c r="A325" s="1">
        <v>46392</v>
      </c>
      <c r="B325">
        <v>3</v>
      </c>
      <c r="C325">
        <v>499</v>
      </c>
      <c r="D325">
        <v>0</v>
      </c>
      <c r="E325">
        <v>101</v>
      </c>
      <c r="F325">
        <v>2</v>
      </c>
      <c r="G325">
        <v>459</v>
      </c>
      <c r="H325">
        <v>0</v>
      </c>
      <c r="I325">
        <v>38</v>
      </c>
      <c r="J325" t="s">
        <v>821</v>
      </c>
      <c r="K325">
        <f>+WEEKNUM(AV_PLAN[[#This Row],[Días]])</f>
        <v>2</v>
      </c>
      <c r="L325" s="4">
        <f>IFERROR(AV_PLAN[[#This Row],[INICIO REAL ACUMULADO]]/AV_PLAN[[#This Row],[PLAN ACUMULADO]],"")</f>
        <v>0.20240480961923848</v>
      </c>
      <c r="M325" s="4">
        <f>IFERROR(AV_PLAN[[#This Row],[TERMINO REAL ACUMULADO]]/AV_PLAN[[#This Row],[TERMINO PLAN ACUMULADO]],"")</f>
        <v>8.2788671023965144E-2</v>
      </c>
      <c r="N325">
        <f>+AV_PLAN[[#This Row],[PLAN ACUMULADO]]-AV_PLAN[[#This Row],[INICIO REAL ACUMULADO]]</f>
        <v>398</v>
      </c>
      <c r="O325">
        <f>+AV_PLAN[[#This Row],[TERMINO PLAN ACUMULADO]]-AV_PLAN[[#This Row],[TERMINO REAL ACUMULADO]]</f>
        <v>421</v>
      </c>
      <c r="P32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5" s="7">
        <f>+AV_PLAN[[#This Row],[PLAN ACUMULADO]]/$C$471</f>
        <v>0.70880681818181823</v>
      </c>
      <c r="R325" s="7">
        <f t="shared" si="10"/>
        <v>0.14346590909090909</v>
      </c>
      <c r="S325" s="7">
        <f>+AV_PLAN[[#This Row],[TERMINO PLAN ACUMULADO]]/$G$471</f>
        <v>0.65198863636363635</v>
      </c>
      <c r="T325" s="7">
        <f t="shared" si="11"/>
        <v>5.3977272727272728E-2</v>
      </c>
      <c r="U325" s="7">
        <f>+(AV_PLAN[[#This Row],[%AVANCE INICIO PLANIFICADO]]+AV_PLAN[[#This Row],[%AVANCE TERMINO PLANIFICADO]])/2</f>
        <v>0.68039772727272729</v>
      </c>
    </row>
    <row r="326" spans="1:21" x14ac:dyDescent="0.25">
      <c r="A326" s="1">
        <v>46393</v>
      </c>
      <c r="B326">
        <v>3</v>
      </c>
      <c r="C326">
        <v>502</v>
      </c>
      <c r="D326">
        <v>0</v>
      </c>
      <c r="E326">
        <v>101</v>
      </c>
      <c r="F326">
        <v>3</v>
      </c>
      <c r="G326">
        <v>462</v>
      </c>
      <c r="H326">
        <v>0</v>
      </c>
      <c r="I326">
        <v>38</v>
      </c>
      <c r="J326" t="s">
        <v>821</v>
      </c>
      <c r="K326">
        <f>+WEEKNUM(AV_PLAN[[#This Row],[Días]])</f>
        <v>2</v>
      </c>
      <c r="L326" s="4">
        <f>IFERROR(AV_PLAN[[#This Row],[INICIO REAL ACUMULADO]]/AV_PLAN[[#This Row],[PLAN ACUMULADO]],"")</f>
        <v>0.20119521912350596</v>
      </c>
      <c r="M326" s="4">
        <f>IFERROR(AV_PLAN[[#This Row],[TERMINO REAL ACUMULADO]]/AV_PLAN[[#This Row],[TERMINO PLAN ACUMULADO]],"")</f>
        <v>8.2251082251082255E-2</v>
      </c>
      <c r="N326">
        <f>+AV_PLAN[[#This Row],[PLAN ACUMULADO]]-AV_PLAN[[#This Row],[INICIO REAL ACUMULADO]]</f>
        <v>401</v>
      </c>
      <c r="O326">
        <f>+AV_PLAN[[#This Row],[TERMINO PLAN ACUMULADO]]-AV_PLAN[[#This Row],[TERMINO REAL ACUMULADO]]</f>
        <v>424</v>
      </c>
      <c r="P32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6" s="7">
        <f>+AV_PLAN[[#This Row],[PLAN ACUMULADO]]/$C$471</f>
        <v>0.71306818181818177</v>
      </c>
      <c r="R326" s="7">
        <f t="shared" si="10"/>
        <v>0.14346590909090909</v>
      </c>
      <c r="S326" s="7">
        <f>+AV_PLAN[[#This Row],[TERMINO PLAN ACUMULADO]]/$G$471</f>
        <v>0.65625</v>
      </c>
      <c r="T326" s="7">
        <f t="shared" si="11"/>
        <v>5.3977272727272728E-2</v>
      </c>
      <c r="U326" s="7">
        <f>+(AV_PLAN[[#This Row],[%AVANCE INICIO PLANIFICADO]]+AV_PLAN[[#This Row],[%AVANCE TERMINO PLANIFICADO]])/2</f>
        <v>0.68465909090909083</v>
      </c>
    </row>
    <row r="327" spans="1:21" x14ac:dyDescent="0.25">
      <c r="A327" s="1">
        <v>46394</v>
      </c>
      <c r="B327">
        <v>3</v>
      </c>
      <c r="C327">
        <v>505</v>
      </c>
      <c r="D327">
        <v>0</v>
      </c>
      <c r="E327">
        <v>101</v>
      </c>
      <c r="F327">
        <v>1</v>
      </c>
      <c r="G327">
        <v>463</v>
      </c>
      <c r="H327">
        <v>0</v>
      </c>
      <c r="I327">
        <v>38</v>
      </c>
      <c r="J327" t="s">
        <v>821</v>
      </c>
      <c r="K327">
        <f>+WEEKNUM(AV_PLAN[[#This Row],[Días]])</f>
        <v>2</v>
      </c>
      <c r="L327" s="4">
        <f>IFERROR(AV_PLAN[[#This Row],[INICIO REAL ACUMULADO]]/AV_PLAN[[#This Row],[PLAN ACUMULADO]],"")</f>
        <v>0.2</v>
      </c>
      <c r="M327" s="4">
        <f>IFERROR(AV_PLAN[[#This Row],[TERMINO REAL ACUMULADO]]/AV_PLAN[[#This Row],[TERMINO PLAN ACUMULADO]],"")</f>
        <v>8.2073434125269976E-2</v>
      </c>
      <c r="N327">
        <f>+AV_PLAN[[#This Row],[PLAN ACUMULADO]]-AV_PLAN[[#This Row],[INICIO REAL ACUMULADO]]</f>
        <v>404</v>
      </c>
      <c r="O327">
        <f>+AV_PLAN[[#This Row],[TERMINO PLAN ACUMULADO]]-AV_PLAN[[#This Row],[TERMINO REAL ACUMULADO]]</f>
        <v>425</v>
      </c>
      <c r="P32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7" s="7">
        <f>+AV_PLAN[[#This Row],[PLAN ACUMULADO]]/$C$471</f>
        <v>0.71732954545454541</v>
      </c>
      <c r="R327" s="7">
        <f t="shared" si="10"/>
        <v>0.14346590909090909</v>
      </c>
      <c r="S327" s="7">
        <f>+AV_PLAN[[#This Row],[TERMINO PLAN ACUMULADO]]/$G$471</f>
        <v>0.65767045454545459</v>
      </c>
      <c r="T327" s="7">
        <f t="shared" si="11"/>
        <v>5.3977272727272728E-2</v>
      </c>
      <c r="U327" s="7">
        <f>+(AV_PLAN[[#This Row],[%AVANCE INICIO PLANIFICADO]]+AV_PLAN[[#This Row],[%AVANCE TERMINO PLANIFICADO]])/2</f>
        <v>0.6875</v>
      </c>
    </row>
    <row r="328" spans="1:21" x14ac:dyDescent="0.25">
      <c r="A328" s="1">
        <v>46395</v>
      </c>
      <c r="B328">
        <v>3</v>
      </c>
      <c r="C328">
        <v>508</v>
      </c>
      <c r="D328">
        <v>0</v>
      </c>
      <c r="E328">
        <v>101</v>
      </c>
      <c r="F328">
        <v>1</v>
      </c>
      <c r="G328">
        <v>464</v>
      </c>
      <c r="H328">
        <v>0</v>
      </c>
      <c r="I328">
        <v>38</v>
      </c>
      <c r="J328" t="s">
        <v>821</v>
      </c>
      <c r="K328">
        <f>+WEEKNUM(AV_PLAN[[#This Row],[Días]])</f>
        <v>2</v>
      </c>
      <c r="L328" s="4">
        <f>IFERROR(AV_PLAN[[#This Row],[INICIO REAL ACUMULADO]]/AV_PLAN[[#This Row],[PLAN ACUMULADO]],"")</f>
        <v>0.19881889763779528</v>
      </c>
      <c r="M328" s="4">
        <f>IFERROR(AV_PLAN[[#This Row],[TERMINO REAL ACUMULADO]]/AV_PLAN[[#This Row],[TERMINO PLAN ACUMULADO]],"")</f>
        <v>8.1896551724137928E-2</v>
      </c>
      <c r="N328">
        <f>+AV_PLAN[[#This Row],[PLAN ACUMULADO]]-AV_PLAN[[#This Row],[INICIO REAL ACUMULADO]]</f>
        <v>407</v>
      </c>
      <c r="O328">
        <f>+AV_PLAN[[#This Row],[TERMINO PLAN ACUMULADO]]-AV_PLAN[[#This Row],[TERMINO REAL ACUMULADO]]</f>
        <v>426</v>
      </c>
      <c r="P32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8" s="7">
        <f>+AV_PLAN[[#This Row],[PLAN ACUMULADO]]/$C$471</f>
        <v>0.72159090909090906</v>
      </c>
      <c r="R328" s="7">
        <f t="shared" si="10"/>
        <v>0.14346590909090909</v>
      </c>
      <c r="S328" s="7">
        <f>+AV_PLAN[[#This Row],[TERMINO PLAN ACUMULADO]]/$G$471</f>
        <v>0.65909090909090906</v>
      </c>
      <c r="T328" s="7">
        <f t="shared" si="11"/>
        <v>5.3977272727272728E-2</v>
      </c>
      <c r="U328" s="7">
        <f>+(AV_PLAN[[#This Row],[%AVANCE INICIO PLANIFICADO]]+AV_PLAN[[#This Row],[%AVANCE TERMINO PLANIFICADO]])/2</f>
        <v>0.69034090909090906</v>
      </c>
    </row>
    <row r="329" spans="1:21" x14ac:dyDescent="0.25">
      <c r="A329" s="1">
        <v>46396</v>
      </c>
      <c r="B329">
        <v>0</v>
      </c>
      <c r="C329">
        <v>508</v>
      </c>
      <c r="D329">
        <v>0</v>
      </c>
      <c r="E329">
        <v>101</v>
      </c>
      <c r="F329">
        <v>1</v>
      </c>
      <c r="G329">
        <v>465</v>
      </c>
      <c r="H329">
        <v>0</v>
      </c>
      <c r="I329">
        <v>38</v>
      </c>
      <c r="J329" t="s">
        <v>821</v>
      </c>
      <c r="K329">
        <f>+WEEKNUM(AV_PLAN[[#This Row],[Días]])</f>
        <v>2</v>
      </c>
      <c r="L329" s="4">
        <f>IFERROR(AV_PLAN[[#This Row],[INICIO REAL ACUMULADO]]/AV_PLAN[[#This Row],[PLAN ACUMULADO]],"")</f>
        <v>0.19881889763779528</v>
      </c>
      <c r="M329" s="4">
        <f>IFERROR(AV_PLAN[[#This Row],[TERMINO REAL ACUMULADO]]/AV_PLAN[[#This Row],[TERMINO PLAN ACUMULADO]],"")</f>
        <v>8.1720430107526887E-2</v>
      </c>
      <c r="N329">
        <f>+AV_PLAN[[#This Row],[PLAN ACUMULADO]]-AV_PLAN[[#This Row],[INICIO REAL ACUMULADO]]</f>
        <v>407</v>
      </c>
      <c r="O329">
        <f>+AV_PLAN[[#This Row],[TERMINO PLAN ACUMULADO]]-AV_PLAN[[#This Row],[TERMINO REAL ACUMULADO]]</f>
        <v>427</v>
      </c>
      <c r="P32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9" s="7">
        <f>+AV_PLAN[[#This Row],[PLAN ACUMULADO]]/$C$471</f>
        <v>0.72159090909090906</v>
      </c>
      <c r="R329" s="7">
        <f t="shared" si="10"/>
        <v>0.14346590909090909</v>
      </c>
      <c r="S329" s="7">
        <f>+AV_PLAN[[#This Row],[TERMINO PLAN ACUMULADO]]/$G$471</f>
        <v>0.66051136363636365</v>
      </c>
      <c r="T329" s="7">
        <f t="shared" si="11"/>
        <v>5.3977272727272728E-2</v>
      </c>
      <c r="U329" s="7">
        <f>+(AV_PLAN[[#This Row],[%AVANCE INICIO PLANIFICADO]]+AV_PLAN[[#This Row],[%AVANCE TERMINO PLANIFICADO]])/2</f>
        <v>0.69105113636363635</v>
      </c>
    </row>
    <row r="330" spans="1:21" x14ac:dyDescent="0.25">
      <c r="A330" s="1">
        <v>46397</v>
      </c>
      <c r="B330">
        <v>0</v>
      </c>
      <c r="C330">
        <v>508</v>
      </c>
      <c r="D330">
        <v>0</v>
      </c>
      <c r="E330">
        <v>101</v>
      </c>
      <c r="F330">
        <v>4</v>
      </c>
      <c r="G330">
        <v>469</v>
      </c>
      <c r="H330">
        <v>0</v>
      </c>
      <c r="I330">
        <v>38</v>
      </c>
      <c r="J330" t="s">
        <v>821</v>
      </c>
      <c r="K330">
        <f>+WEEKNUM(AV_PLAN[[#This Row],[Días]])</f>
        <v>3</v>
      </c>
      <c r="L330" s="4">
        <f>IFERROR(AV_PLAN[[#This Row],[INICIO REAL ACUMULADO]]/AV_PLAN[[#This Row],[PLAN ACUMULADO]],"")</f>
        <v>0.19881889763779528</v>
      </c>
      <c r="M330" s="4">
        <f>IFERROR(AV_PLAN[[#This Row],[TERMINO REAL ACUMULADO]]/AV_PLAN[[#This Row],[TERMINO PLAN ACUMULADO]],"")</f>
        <v>8.1023454157782518E-2</v>
      </c>
      <c r="N330">
        <f>+AV_PLAN[[#This Row],[PLAN ACUMULADO]]-AV_PLAN[[#This Row],[INICIO REAL ACUMULADO]]</f>
        <v>407</v>
      </c>
      <c r="O330">
        <f>+AV_PLAN[[#This Row],[TERMINO PLAN ACUMULADO]]-AV_PLAN[[#This Row],[TERMINO REAL ACUMULADO]]</f>
        <v>431</v>
      </c>
      <c r="P33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0" s="7">
        <f>+AV_PLAN[[#This Row],[PLAN ACUMULADO]]/$C$471</f>
        <v>0.72159090909090906</v>
      </c>
      <c r="R330" s="7">
        <f t="shared" si="10"/>
        <v>0.14346590909090909</v>
      </c>
      <c r="S330" s="7">
        <f>+AV_PLAN[[#This Row],[TERMINO PLAN ACUMULADO]]/$G$471</f>
        <v>0.66619318181818177</v>
      </c>
      <c r="T330" s="7">
        <f t="shared" si="11"/>
        <v>5.3977272727272728E-2</v>
      </c>
      <c r="U330" s="7">
        <f>+(AV_PLAN[[#This Row],[%AVANCE INICIO PLANIFICADO]]+AV_PLAN[[#This Row],[%AVANCE TERMINO PLANIFICADO]])/2</f>
        <v>0.69389204545454541</v>
      </c>
    </row>
    <row r="331" spans="1:21" x14ac:dyDescent="0.25">
      <c r="A331" s="1">
        <v>46398</v>
      </c>
      <c r="B331">
        <v>3</v>
      </c>
      <c r="C331">
        <v>511</v>
      </c>
      <c r="D331">
        <v>0</v>
      </c>
      <c r="E331">
        <v>101</v>
      </c>
      <c r="F331">
        <v>2</v>
      </c>
      <c r="G331">
        <v>471</v>
      </c>
      <c r="H331">
        <v>0</v>
      </c>
      <c r="I331">
        <v>38</v>
      </c>
      <c r="J331" t="s">
        <v>821</v>
      </c>
      <c r="K331">
        <f>+WEEKNUM(AV_PLAN[[#This Row],[Días]])</f>
        <v>3</v>
      </c>
      <c r="L331" s="4">
        <f>IFERROR(AV_PLAN[[#This Row],[INICIO REAL ACUMULADO]]/AV_PLAN[[#This Row],[PLAN ACUMULADO]],"")</f>
        <v>0.19765166340508805</v>
      </c>
      <c r="M331" s="4">
        <f>IFERROR(AV_PLAN[[#This Row],[TERMINO REAL ACUMULADO]]/AV_PLAN[[#This Row],[TERMINO PLAN ACUMULADO]],"")</f>
        <v>8.0679405520169847E-2</v>
      </c>
      <c r="N331">
        <f>+AV_PLAN[[#This Row],[PLAN ACUMULADO]]-AV_PLAN[[#This Row],[INICIO REAL ACUMULADO]]</f>
        <v>410</v>
      </c>
      <c r="O331">
        <f>+AV_PLAN[[#This Row],[TERMINO PLAN ACUMULADO]]-AV_PLAN[[#This Row],[TERMINO REAL ACUMULADO]]</f>
        <v>433</v>
      </c>
      <c r="P33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1" s="7">
        <f>+AV_PLAN[[#This Row],[PLAN ACUMULADO]]/$C$471</f>
        <v>0.72585227272727271</v>
      </c>
      <c r="R331" s="7">
        <f t="shared" si="10"/>
        <v>0.14346590909090909</v>
      </c>
      <c r="S331" s="7">
        <f>+AV_PLAN[[#This Row],[TERMINO PLAN ACUMULADO]]/$G$471</f>
        <v>0.66903409090909094</v>
      </c>
      <c r="T331" s="7">
        <f t="shared" si="11"/>
        <v>5.3977272727272728E-2</v>
      </c>
      <c r="U331" s="7">
        <f>+(AV_PLAN[[#This Row],[%AVANCE INICIO PLANIFICADO]]+AV_PLAN[[#This Row],[%AVANCE TERMINO PLANIFICADO]])/2</f>
        <v>0.69744318181818188</v>
      </c>
    </row>
    <row r="332" spans="1:21" x14ac:dyDescent="0.25">
      <c r="A332" s="1">
        <v>46399</v>
      </c>
      <c r="B332">
        <v>3</v>
      </c>
      <c r="C332">
        <v>514</v>
      </c>
      <c r="D332">
        <v>0</v>
      </c>
      <c r="E332">
        <v>101</v>
      </c>
      <c r="F332">
        <v>1</v>
      </c>
      <c r="G332">
        <v>472</v>
      </c>
      <c r="H332">
        <v>0</v>
      </c>
      <c r="I332">
        <v>38</v>
      </c>
      <c r="J332" t="s">
        <v>821</v>
      </c>
      <c r="K332">
        <f>+WEEKNUM(AV_PLAN[[#This Row],[Días]])</f>
        <v>3</v>
      </c>
      <c r="L332" s="4">
        <f>IFERROR(AV_PLAN[[#This Row],[INICIO REAL ACUMULADO]]/AV_PLAN[[#This Row],[PLAN ACUMULADO]],"")</f>
        <v>0.19649805447470817</v>
      </c>
      <c r="M332" s="4">
        <f>IFERROR(AV_PLAN[[#This Row],[TERMINO REAL ACUMULADO]]/AV_PLAN[[#This Row],[TERMINO PLAN ACUMULADO]],"")</f>
        <v>8.050847457627118E-2</v>
      </c>
      <c r="N332">
        <f>+AV_PLAN[[#This Row],[PLAN ACUMULADO]]-AV_PLAN[[#This Row],[INICIO REAL ACUMULADO]]</f>
        <v>413</v>
      </c>
      <c r="O332">
        <f>+AV_PLAN[[#This Row],[TERMINO PLAN ACUMULADO]]-AV_PLAN[[#This Row],[TERMINO REAL ACUMULADO]]</f>
        <v>434</v>
      </c>
      <c r="P3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2" s="7">
        <f>+AV_PLAN[[#This Row],[PLAN ACUMULADO]]/$C$471</f>
        <v>0.73011363636363635</v>
      </c>
      <c r="R332" s="7">
        <f t="shared" si="10"/>
        <v>0.14346590909090909</v>
      </c>
      <c r="S332" s="7">
        <f>+AV_PLAN[[#This Row],[TERMINO PLAN ACUMULADO]]/$G$471</f>
        <v>0.67045454545454541</v>
      </c>
      <c r="T332" s="7">
        <f t="shared" si="11"/>
        <v>5.3977272727272728E-2</v>
      </c>
      <c r="U332" s="7">
        <f>+(AV_PLAN[[#This Row],[%AVANCE INICIO PLANIFICADO]]+AV_PLAN[[#This Row],[%AVANCE TERMINO PLANIFICADO]])/2</f>
        <v>0.70028409090909083</v>
      </c>
    </row>
    <row r="333" spans="1:21" x14ac:dyDescent="0.25">
      <c r="A333" s="1">
        <v>46400</v>
      </c>
      <c r="B333">
        <v>3</v>
      </c>
      <c r="C333">
        <v>517</v>
      </c>
      <c r="D333">
        <v>0</v>
      </c>
      <c r="E333">
        <v>101</v>
      </c>
      <c r="F333">
        <v>2</v>
      </c>
      <c r="G333">
        <v>474</v>
      </c>
      <c r="H333">
        <v>0</v>
      </c>
      <c r="I333">
        <v>38</v>
      </c>
      <c r="J333" t="s">
        <v>821</v>
      </c>
      <c r="K333">
        <f>+WEEKNUM(AV_PLAN[[#This Row],[Días]])</f>
        <v>3</v>
      </c>
      <c r="L333" s="4">
        <f>IFERROR(AV_PLAN[[#This Row],[INICIO REAL ACUMULADO]]/AV_PLAN[[#This Row],[PLAN ACUMULADO]],"")</f>
        <v>0.195357833655706</v>
      </c>
      <c r="M333" s="4">
        <f>IFERROR(AV_PLAN[[#This Row],[TERMINO REAL ACUMULADO]]/AV_PLAN[[#This Row],[TERMINO PLAN ACUMULADO]],"")</f>
        <v>8.0168776371308023E-2</v>
      </c>
      <c r="N333">
        <f>+AV_PLAN[[#This Row],[PLAN ACUMULADO]]-AV_PLAN[[#This Row],[INICIO REAL ACUMULADO]]</f>
        <v>416</v>
      </c>
      <c r="O333">
        <f>+AV_PLAN[[#This Row],[TERMINO PLAN ACUMULADO]]-AV_PLAN[[#This Row],[TERMINO REAL ACUMULADO]]</f>
        <v>436</v>
      </c>
      <c r="P3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3" s="7">
        <f>+AV_PLAN[[#This Row],[PLAN ACUMULADO]]/$C$471</f>
        <v>0.734375</v>
      </c>
      <c r="R333" s="7">
        <f t="shared" si="10"/>
        <v>0.14346590909090909</v>
      </c>
      <c r="S333" s="7">
        <f>+AV_PLAN[[#This Row],[TERMINO PLAN ACUMULADO]]/$G$471</f>
        <v>0.67329545454545459</v>
      </c>
      <c r="T333" s="7">
        <f t="shared" si="11"/>
        <v>5.3977272727272728E-2</v>
      </c>
      <c r="U333" s="7">
        <f>+(AV_PLAN[[#This Row],[%AVANCE INICIO PLANIFICADO]]+AV_PLAN[[#This Row],[%AVANCE TERMINO PLANIFICADO]])/2</f>
        <v>0.70383522727272729</v>
      </c>
    </row>
    <row r="334" spans="1:21" x14ac:dyDescent="0.25">
      <c r="A334" s="1">
        <v>46401</v>
      </c>
      <c r="B334">
        <v>3</v>
      </c>
      <c r="C334">
        <v>520</v>
      </c>
      <c r="D334">
        <v>0</v>
      </c>
      <c r="E334">
        <v>101</v>
      </c>
      <c r="F334">
        <v>1</v>
      </c>
      <c r="G334">
        <v>475</v>
      </c>
      <c r="H334">
        <v>0</v>
      </c>
      <c r="I334">
        <v>38</v>
      </c>
      <c r="J334" t="s">
        <v>821</v>
      </c>
      <c r="K334">
        <f>+WEEKNUM(AV_PLAN[[#This Row],[Días]])</f>
        <v>3</v>
      </c>
      <c r="L334" s="4">
        <f>IFERROR(AV_PLAN[[#This Row],[INICIO REAL ACUMULADO]]/AV_PLAN[[#This Row],[PLAN ACUMULADO]],"")</f>
        <v>0.19423076923076923</v>
      </c>
      <c r="M334" s="4">
        <f>IFERROR(AV_PLAN[[#This Row],[TERMINO REAL ACUMULADO]]/AV_PLAN[[#This Row],[TERMINO PLAN ACUMULADO]],"")</f>
        <v>0.08</v>
      </c>
      <c r="N334">
        <f>+AV_PLAN[[#This Row],[PLAN ACUMULADO]]-AV_PLAN[[#This Row],[INICIO REAL ACUMULADO]]</f>
        <v>419</v>
      </c>
      <c r="O334">
        <f>+AV_PLAN[[#This Row],[TERMINO PLAN ACUMULADO]]-AV_PLAN[[#This Row],[TERMINO REAL ACUMULADO]]</f>
        <v>437</v>
      </c>
      <c r="P3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4" s="7">
        <f>+AV_PLAN[[#This Row],[PLAN ACUMULADO]]/$C$471</f>
        <v>0.73863636363636365</v>
      </c>
      <c r="R334" s="7">
        <f t="shared" si="10"/>
        <v>0.14346590909090909</v>
      </c>
      <c r="S334" s="7">
        <f>+AV_PLAN[[#This Row],[TERMINO PLAN ACUMULADO]]/$G$471</f>
        <v>0.67471590909090906</v>
      </c>
      <c r="T334" s="7">
        <f t="shared" si="11"/>
        <v>5.3977272727272728E-2</v>
      </c>
      <c r="U334" s="7">
        <f>+(AV_PLAN[[#This Row],[%AVANCE INICIO PLANIFICADO]]+AV_PLAN[[#This Row],[%AVANCE TERMINO PLANIFICADO]])/2</f>
        <v>0.70667613636363635</v>
      </c>
    </row>
    <row r="335" spans="1:21" x14ac:dyDescent="0.25">
      <c r="A335" s="1">
        <v>46402</v>
      </c>
      <c r="B335">
        <v>3</v>
      </c>
      <c r="C335">
        <v>523</v>
      </c>
      <c r="D335">
        <v>0</v>
      </c>
      <c r="E335">
        <v>101</v>
      </c>
      <c r="F335">
        <v>1</v>
      </c>
      <c r="G335">
        <v>476</v>
      </c>
      <c r="H335">
        <v>0</v>
      </c>
      <c r="I335">
        <v>38</v>
      </c>
      <c r="J335" t="s">
        <v>821</v>
      </c>
      <c r="K335">
        <f>+WEEKNUM(AV_PLAN[[#This Row],[Días]])</f>
        <v>3</v>
      </c>
      <c r="L335" s="4">
        <f>IFERROR(AV_PLAN[[#This Row],[INICIO REAL ACUMULADO]]/AV_PLAN[[#This Row],[PLAN ACUMULADO]],"")</f>
        <v>0.19311663479923519</v>
      </c>
      <c r="M335" s="4">
        <f>IFERROR(AV_PLAN[[#This Row],[TERMINO REAL ACUMULADO]]/AV_PLAN[[#This Row],[TERMINO PLAN ACUMULADO]],"")</f>
        <v>7.9831932773109238E-2</v>
      </c>
      <c r="N335">
        <f>+AV_PLAN[[#This Row],[PLAN ACUMULADO]]-AV_PLAN[[#This Row],[INICIO REAL ACUMULADO]]</f>
        <v>422</v>
      </c>
      <c r="O335">
        <f>+AV_PLAN[[#This Row],[TERMINO PLAN ACUMULADO]]-AV_PLAN[[#This Row],[TERMINO REAL ACUMULADO]]</f>
        <v>438</v>
      </c>
      <c r="P3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5" s="7">
        <f>+AV_PLAN[[#This Row],[PLAN ACUMULADO]]/$C$471</f>
        <v>0.74289772727272729</v>
      </c>
      <c r="R335" s="7">
        <f t="shared" si="10"/>
        <v>0.14346590909090909</v>
      </c>
      <c r="S335" s="7">
        <f>+AV_PLAN[[#This Row],[TERMINO PLAN ACUMULADO]]/$G$471</f>
        <v>0.67613636363636365</v>
      </c>
      <c r="T335" s="7">
        <f t="shared" si="11"/>
        <v>5.3977272727272728E-2</v>
      </c>
      <c r="U335" s="7">
        <f>+(AV_PLAN[[#This Row],[%AVANCE INICIO PLANIFICADO]]+AV_PLAN[[#This Row],[%AVANCE TERMINO PLANIFICADO]])/2</f>
        <v>0.70951704545454541</v>
      </c>
    </row>
    <row r="336" spans="1:21" x14ac:dyDescent="0.25">
      <c r="A336" s="1">
        <v>46403</v>
      </c>
      <c r="B336">
        <v>0</v>
      </c>
      <c r="C336">
        <v>523</v>
      </c>
      <c r="D336">
        <v>0</v>
      </c>
      <c r="E336">
        <v>101</v>
      </c>
      <c r="F336">
        <v>2</v>
      </c>
      <c r="G336">
        <v>478</v>
      </c>
      <c r="H336">
        <v>0</v>
      </c>
      <c r="I336">
        <v>38</v>
      </c>
      <c r="J336" t="s">
        <v>821</v>
      </c>
      <c r="K336">
        <f>+WEEKNUM(AV_PLAN[[#This Row],[Días]])</f>
        <v>3</v>
      </c>
      <c r="L336" s="4">
        <f>IFERROR(AV_PLAN[[#This Row],[INICIO REAL ACUMULADO]]/AV_PLAN[[#This Row],[PLAN ACUMULADO]],"")</f>
        <v>0.19311663479923519</v>
      </c>
      <c r="M336" s="4">
        <f>IFERROR(AV_PLAN[[#This Row],[TERMINO REAL ACUMULADO]]/AV_PLAN[[#This Row],[TERMINO PLAN ACUMULADO]],"")</f>
        <v>7.9497907949790794E-2</v>
      </c>
      <c r="N336">
        <f>+AV_PLAN[[#This Row],[PLAN ACUMULADO]]-AV_PLAN[[#This Row],[INICIO REAL ACUMULADO]]</f>
        <v>422</v>
      </c>
      <c r="O336">
        <f>+AV_PLAN[[#This Row],[TERMINO PLAN ACUMULADO]]-AV_PLAN[[#This Row],[TERMINO REAL ACUMULADO]]</f>
        <v>440</v>
      </c>
      <c r="P3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6" s="7">
        <f>+AV_PLAN[[#This Row],[PLAN ACUMULADO]]/$C$471</f>
        <v>0.74289772727272729</v>
      </c>
      <c r="R336" s="7">
        <f t="shared" si="10"/>
        <v>0.14346590909090909</v>
      </c>
      <c r="S336" s="7">
        <f>+AV_PLAN[[#This Row],[TERMINO PLAN ACUMULADO]]/$G$471</f>
        <v>0.67897727272727271</v>
      </c>
      <c r="T336" s="7">
        <f t="shared" si="11"/>
        <v>5.3977272727272728E-2</v>
      </c>
      <c r="U336" s="7">
        <f>+(AV_PLAN[[#This Row],[%AVANCE INICIO PLANIFICADO]]+AV_PLAN[[#This Row],[%AVANCE TERMINO PLANIFICADO]])/2</f>
        <v>0.7109375</v>
      </c>
    </row>
    <row r="337" spans="1:21" x14ac:dyDescent="0.25">
      <c r="A337" s="1">
        <v>46404</v>
      </c>
      <c r="B337">
        <v>0</v>
      </c>
      <c r="C337">
        <v>523</v>
      </c>
      <c r="D337">
        <v>0</v>
      </c>
      <c r="E337">
        <v>101</v>
      </c>
      <c r="F337">
        <v>3</v>
      </c>
      <c r="G337">
        <v>481</v>
      </c>
      <c r="H337">
        <v>0</v>
      </c>
      <c r="I337">
        <v>38</v>
      </c>
      <c r="J337" t="s">
        <v>821</v>
      </c>
      <c r="K337">
        <f>+WEEKNUM(AV_PLAN[[#This Row],[Días]])</f>
        <v>4</v>
      </c>
      <c r="L337" s="4">
        <f>IFERROR(AV_PLAN[[#This Row],[INICIO REAL ACUMULADO]]/AV_PLAN[[#This Row],[PLAN ACUMULADO]],"")</f>
        <v>0.19311663479923519</v>
      </c>
      <c r="M337" s="4">
        <f>IFERROR(AV_PLAN[[#This Row],[TERMINO REAL ACUMULADO]]/AV_PLAN[[#This Row],[TERMINO PLAN ACUMULADO]],"")</f>
        <v>7.9002079002079006E-2</v>
      </c>
      <c r="N337">
        <f>+AV_PLAN[[#This Row],[PLAN ACUMULADO]]-AV_PLAN[[#This Row],[INICIO REAL ACUMULADO]]</f>
        <v>422</v>
      </c>
      <c r="O337">
        <f>+AV_PLAN[[#This Row],[TERMINO PLAN ACUMULADO]]-AV_PLAN[[#This Row],[TERMINO REAL ACUMULADO]]</f>
        <v>443</v>
      </c>
      <c r="P3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7" s="7">
        <f>+AV_PLAN[[#This Row],[PLAN ACUMULADO]]/$C$471</f>
        <v>0.74289772727272729</v>
      </c>
      <c r="R337" s="7">
        <f t="shared" si="10"/>
        <v>0.14346590909090909</v>
      </c>
      <c r="S337" s="7">
        <f>+AV_PLAN[[#This Row],[TERMINO PLAN ACUMULADO]]/$G$471</f>
        <v>0.68323863636363635</v>
      </c>
      <c r="T337" s="7">
        <f t="shared" si="11"/>
        <v>5.3977272727272728E-2</v>
      </c>
      <c r="U337" s="7">
        <f>+(AV_PLAN[[#This Row],[%AVANCE INICIO PLANIFICADO]]+AV_PLAN[[#This Row],[%AVANCE TERMINO PLANIFICADO]])/2</f>
        <v>0.71306818181818188</v>
      </c>
    </row>
    <row r="338" spans="1:21" x14ac:dyDescent="0.25">
      <c r="A338" s="1">
        <v>46405</v>
      </c>
      <c r="B338">
        <v>3</v>
      </c>
      <c r="C338">
        <v>526</v>
      </c>
      <c r="D338">
        <v>0</v>
      </c>
      <c r="E338">
        <v>101</v>
      </c>
      <c r="F338">
        <v>2</v>
      </c>
      <c r="G338">
        <v>483</v>
      </c>
      <c r="H338">
        <v>0</v>
      </c>
      <c r="I338">
        <v>38</v>
      </c>
      <c r="J338" t="s">
        <v>821</v>
      </c>
      <c r="K338">
        <f>+WEEKNUM(AV_PLAN[[#This Row],[Días]])</f>
        <v>4</v>
      </c>
      <c r="L338" s="4">
        <f>IFERROR(AV_PLAN[[#This Row],[INICIO REAL ACUMULADO]]/AV_PLAN[[#This Row],[PLAN ACUMULADO]],"")</f>
        <v>0.19201520912547529</v>
      </c>
      <c r="M338" s="4">
        <f>IFERROR(AV_PLAN[[#This Row],[TERMINO REAL ACUMULADO]]/AV_PLAN[[#This Row],[TERMINO PLAN ACUMULADO]],"")</f>
        <v>7.8674948240165632E-2</v>
      </c>
      <c r="N338">
        <f>+AV_PLAN[[#This Row],[PLAN ACUMULADO]]-AV_PLAN[[#This Row],[INICIO REAL ACUMULADO]]</f>
        <v>425</v>
      </c>
      <c r="O338">
        <f>+AV_PLAN[[#This Row],[TERMINO PLAN ACUMULADO]]-AV_PLAN[[#This Row],[TERMINO REAL ACUMULADO]]</f>
        <v>445</v>
      </c>
      <c r="P3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8" s="7">
        <f>+AV_PLAN[[#This Row],[PLAN ACUMULADO]]/$C$471</f>
        <v>0.74715909090909094</v>
      </c>
      <c r="R338" s="7">
        <f t="shared" si="10"/>
        <v>0.14346590909090909</v>
      </c>
      <c r="S338" s="7">
        <f>+AV_PLAN[[#This Row],[TERMINO PLAN ACUMULADO]]/$G$471</f>
        <v>0.68607954545454541</v>
      </c>
      <c r="T338" s="7">
        <f t="shared" si="11"/>
        <v>5.3977272727272728E-2</v>
      </c>
      <c r="U338" s="7">
        <f>+(AV_PLAN[[#This Row],[%AVANCE INICIO PLANIFICADO]]+AV_PLAN[[#This Row],[%AVANCE TERMINO PLANIFICADO]])/2</f>
        <v>0.71661931818181812</v>
      </c>
    </row>
    <row r="339" spans="1:21" x14ac:dyDescent="0.25">
      <c r="A339" s="1">
        <v>46406</v>
      </c>
      <c r="B339">
        <v>3</v>
      </c>
      <c r="C339">
        <v>529</v>
      </c>
      <c r="D339">
        <v>0</v>
      </c>
      <c r="E339">
        <v>101</v>
      </c>
      <c r="F339">
        <v>2</v>
      </c>
      <c r="G339">
        <v>485</v>
      </c>
      <c r="H339">
        <v>0</v>
      </c>
      <c r="I339">
        <v>38</v>
      </c>
      <c r="J339" t="s">
        <v>821</v>
      </c>
      <c r="K339">
        <f>+WEEKNUM(AV_PLAN[[#This Row],[Días]])</f>
        <v>4</v>
      </c>
      <c r="L339" s="4">
        <f>IFERROR(AV_PLAN[[#This Row],[INICIO REAL ACUMULADO]]/AV_PLAN[[#This Row],[PLAN ACUMULADO]],"")</f>
        <v>0.19092627599243855</v>
      </c>
      <c r="M339" s="4">
        <f>IFERROR(AV_PLAN[[#This Row],[TERMINO REAL ACUMULADO]]/AV_PLAN[[#This Row],[TERMINO PLAN ACUMULADO]],"")</f>
        <v>7.8350515463917525E-2</v>
      </c>
      <c r="N339">
        <f>+AV_PLAN[[#This Row],[PLAN ACUMULADO]]-AV_PLAN[[#This Row],[INICIO REAL ACUMULADO]]</f>
        <v>428</v>
      </c>
      <c r="O339">
        <f>+AV_PLAN[[#This Row],[TERMINO PLAN ACUMULADO]]-AV_PLAN[[#This Row],[TERMINO REAL ACUMULADO]]</f>
        <v>447</v>
      </c>
      <c r="P3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9" s="7">
        <f>+AV_PLAN[[#This Row],[PLAN ACUMULADO]]/$C$471</f>
        <v>0.75142045454545459</v>
      </c>
      <c r="R339" s="7">
        <f t="shared" si="10"/>
        <v>0.14346590909090909</v>
      </c>
      <c r="S339" s="7">
        <f>+AV_PLAN[[#This Row],[TERMINO PLAN ACUMULADO]]/$G$471</f>
        <v>0.68892045454545459</v>
      </c>
      <c r="T339" s="7">
        <f t="shared" si="11"/>
        <v>5.3977272727272728E-2</v>
      </c>
      <c r="U339" s="7">
        <f>+(AV_PLAN[[#This Row],[%AVANCE INICIO PLANIFICADO]]+AV_PLAN[[#This Row],[%AVANCE TERMINO PLANIFICADO]])/2</f>
        <v>0.72017045454545459</v>
      </c>
    </row>
    <row r="340" spans="1:21" x14ac:dyDescent="0.25">
      <c r="A340" s="1">
        <v>46407</v>
      </c>
      <c r="B340">
        <v>3</v>
      </c>
      <c r="C340">
        <v>532</v>
      </c>
      <c r="D340">
        <v>0</v>
      </c>
      <c r="E340">
        <v>101</v>
      </c>
      <c r="F340">
        <v>1</v>
      </c>
      <c r="G340">
        <v>486</v>
      </c>
      <c r="H340">
        <v>0</v>
      </c>
      <c r="I340">
        <v>38</v>
      </c>
      <c r="J340" t="s">
        <v>821</v>
      </c>
      <c r="K340">
        <f>+WEEKNUM(AV_PLAN[[#This Row],[Días]])</f>
        <v>4</v>
      </c>
      <c r="L340" s="4">
        <f>IFERROR(AV_PLAN[[#This Row],[INICIO REAL ACUMULADO]]/AV_PLAN[[#This Row],[PLAN ACUMULADO]],"")</f>
        <v>0.18984962406015038</v>
      </c>
      <c r="M340" s="4">
        <f>IFERROR(AV_PLAN[[#This Row],[TERMINO REAL ACUMULADO]]/AV_PLAN[[#This Row],[TERMINO PLAN ACUMULADO]],"")</f>
        <v>7.8189300411522639E-2</v>
      </c>
      <c r="N340">
        <f>+AV_PLAN[[#This Row],[PLAN ACUMULADO]]-AV_PLAN[[#This Row],[INICIO REAL ACUMULADO]]</f>
        <v>431</v>
      </c>
      <c r="O340">
        <f>+AV_PLAN[[#This Row],[TERMINO PLAN ACUMULADO]]-AV_PLAN[[#This Row],[TERMINO REAL ACUMULADO]]</f>
        <v>448</v>
      </c>
      <c r="P3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0" s="7">
        <f>+AV_PLAN[[#This Row],[PLAN ACUMULADO]]/$C$471</f>
        <v>0.75568181818181823</v>
      </c>
      <c r="R340" s="7">
        <f t="shared" si="10"/>
        <v>0.14346590909090909</v>
      </c>
      <c r="S340" s="7">
        <f>+AV_PLAN[[#This Row],[TERMINO PLAN ACUMULADO]]/$G$471</f>
        <v>0.69034090909090906</v>
      </c>
      <c r="T340" s="7">
        <f t="shared" si="11"/>
        <v>5.3977272727272728E-2</v>
      </c>
      <c r="U340" s="7">
        <f>+(AV_PLAN[[#This Row],[%AVANCE INICIO PLANIFICADO]]+AV_PLAN[[#This Row],[%AVANCE TERMINO PLANIFICADO]])/2</f>
        <v>0.72301136363636365</v>
      </c>
    </row>
    <row r="341" spans="1:21" x14ac:dyDescent="0.25">
      <c r="A341" s="1">
        <v>46408</v>
      </c>
      <c r="B341">
        <v>3</v>
      </c>
      <c r="C341">
        <v>535</v>
      </c>
      <c r="D341">
        <v>0</v>
      </c>
      <c r="E341">
        <v>101</v>
      </c>
      <c r="F341">
        <v>1</v>
      </c>
      <c r="G341">
        <v>487</v>
      </c>
      <c r="H341">
        <v>0</v>
      </c>
      <c r="I341">
        <v>38</v>
      </c>
      <c r="J341" t="s">
        <v>821</v>
      </c>
      <c r="K341">
        <f>+WEEKNUM(AV_PLAN[[#This Row],[Días]])</f>
        <v>4</v>
      </c>
      <c r="L341" s="4">
        <f>IFERROR(AV_PLAN[[#This Row],[INICIO REAL ACUMULADO]]/AV_PLAN[[#This Row],[PLAN ACUMULADO]],"")</f>
        <v>0.18878504672897195</v>
      </c>
      <c r="M341" s="4">
        <f>IFERROR(AV_PLAN[[#This Row],[TERMINO REAL ACUMULADO]]/AV_PLAN[[#This Row],[TERMINO PLAN ACUMULADO]],"")</f>
        <v>7.8028747433264892E-2</v>
      </c>
      <c r="N341">
        <f>+AV_PLAN[[#This Row],[PLAN ACUMULADO]]-AV_PLAN[[#This Row],[INICIO REAL ACUMULADO]]</f>
        <v>434</v>
      </c>
      <c r="O341">
        <f>+AV_PLAN[[#This Row],[TERMINO PLAN ACUMULADO]]-AV_PLAN[[#This Row],[TERMINO REAL ACUMULADO]]</f>
        <v>449</v>
      </c>
      <c r="P3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1" s="7">
        <f>+AV_PLAN[[#This Row],[PLAN ACUMULADO]]/$C$471</f>
        <v>0.75994318181818177</v>
      </c>
      <c r="R341" s="7">
        <f t="shared" si="10"/>
        <v>0.14346590909090909</v>
      </c>
      <c r="S341" s="7">
        <f>+AV_PLAN[[#This Row],[TERMINO PLAN ACUMULADO]]/$G$471</f>
        <v>0.69176136363636365</v>
      </c>
      <c r="T341" s="7">
        <f t="shared" si="11"/>
        <v>5.3977272727272728E-2</v>
      </c>
      <c r="U341" s="7">
        <f>+(AV_PLAN[[#This Row],[%AVANCE INICIO PLANIFICADO]]+AV_PLAN[[#This Row],[%AVANCE TERMINO PLANIFICADO]])/2</f>
        <v>0.72585227272727271</v>
      </c>
    </row>
    <row r="342" spans="1:21" x14ac:dyDescent="0.25">
      <c r="A342" s="1">
        <v>46409</v>
      </c>
      <c r="B342">
        <v>3</v>
      </c>
      <c r="C342">
        <v>538</v>
      </c>
      <c r="D342">
        <v>0</v>
      </c>
      <c r="E342">
        <v>101</v>
      </c>
      <c r="F342">
        <v>2</v>
      </c>
      <c r="G342">
        <v>489</v>
      </c>
      <c r="H342">
        <v>0</v>
      </c>
      <c r="I342">
        <v>38</v>
      </c>
      <c r="J342" t="s">
        <v>821</v>
      </c>
      <c r="K342">
        <f>+WEEKNUM(AV_PLAN[[#This Row],[Días]])</f>
        <v>4</v>
      </c>
      <c r="L342" s="4">
        <f>IFERROR(AV_PLAN[[#This Row],[INICIO REAL ACUMULADO]]/AV_PLAN[[#This Row],[PLAN ACUMULADO]],"")</f>
        <v>0.18773234200743494</v>
      </c>
      <c r="M342" s="4">
        <f>IFERROR(AV_PLAN[[#This Row],[TERMINO REAL ACUMULADO]]/AV_PLAN[[#This Row],[TERMINO PLAN ACUMULADO]],"")</f>
        <v>7.7709611451942745E-2</v>
      </c>
      <c r="N342">
        <f>+AV_PLAN[[#This Row],[PLAN ACUMULADO]]-AV_PLAN[[#This Row],[INICIO REAL ACUMULADO]]</f>
        <v>437</v>
      </c>
      <c r="O342">
        <f>+AV_PLAN[[#This Row],[TERMINO PLAN ACUMULADO]]-AV_PLAN[[#This Row],[TERMINO REAL ACUMULADO]]</f>
        <v>451</v>
      </c>
      <c r="P3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2" s="7">
        <f>+AV_PLAN[[#This Row],[PLAN ACUMULADO]]/$C$471</f>
        <v>0.76420454545454541</v>
      </c>
      <c r="R342" s="7">
        <f t="shared" si="10"/>
        <v>0.14346590909090909</v>
      </c>
      <c r="S342" s="7">
        <f>+AV_PLAN[[#This Row],[TERMINO PLAN ACUMULADO]]/$G$471</f>
        <v>0.69460227272727271</v>
      </c>
      <c r="T342" s="7">
        <f t="shared" si="11"/>
        <v>5.3977272727272728E-2</v>
      </c>
      <c r="U342" s="7">
        <f>+(AV_PLAN[[#This Row],[%AVANCE INICIO PLANIFICADO]]+AV_PLAN[[#This Row],[%AVANCE TERMINO PLANIFICADO]])/2</f>
        <v>0.72940340909090906</v>
      </c>
    </row>
    <row r="343" spans="1:21" x14ac:dyDescent="0.25">
      <c r="A343" s="1">
        <v>46410</v>
      </c>
      <c r="B343">
        <v>0</v>
      </c>
      <c r="C343">
        <v>538</v>
      </c>
      <c r="D343">
        <v>0</v>
      </c>
      <c r="E343">
        <v>101</v>
      </c>
      <c r="F343">
        <v>0</v>
      </c>
      <c r="G343">
        <v>489</v>
      </c>
      <c r="H343">
        <v>0</v>
      </c>
      <c r="I343">
        <v>38</v>
      </c>
      <c r="J343" t="s">
        <v>821</v>
      </c>
      <c r="K343">
        <f>+WEEKNUM(AV_PLAN[[#This Row],[Días]])</f>
        <v>4</v>
      </c>
      <c r="L343" s="4">
        <f>IFERROR(AV_PLAN[[#This Row],[INICIO REAL ACUMULADO]]/AV_PLAN[[#This Row],[PLAN ACUMULADO]],"")</f>
        <v>0.18773234200743494</v>
      </c>
      <c r="M343" s="4">
        <f>IFERROR(AV_PLAN[[#This Row],[TERMINO REAL ACUMULADO]]/AV_PLAN[[#This Row],[TERMINO PLAN ACUMULADO]],"")</f>
        <v>7.7709611451942745E-2</v>
      </c>
      <c r="N343">
        <f>+AV_PLAN[[#This Row],[PLAN ACUMULADO]]-AV_PLAN[[#This Row],[INICIO REAL ACUMULADO]]</f>
        <v>437</v>
      </c>
      <c r="O343">
        <f>+AV_PLAN[[#This Row],[TERMINO PLAN ACUMULADO]]-AV_PLAN[[#This Row],[TERMINO REAL ACUMULADO]]</f>
        <v>451</v>
      </c>
      <c r="P3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3" s="7">
        <f>+AV_PLAN[[#This Row],[PLAN ACUMULADO]]/$C$471</f>
        <v>0.76420454545454541</v>
      </c>
      <c r="R343" s="7">
        <f t="shared" si="10"/>
        <v>0.14346590909090909</v>
      </c>
      <c r="S343" s="7">
        <f>+AV_PLAN[[#This Row],[TERMINO PLAN ACUMULADO]]/$G$471</f>
        <v>0.69460227272727271</v>
      </c>
      <c r="T343" s="7">
        <f t="shared" si="11"/>
        <v>5.3977272727272728E-2</v>
      </c>
      <c r="U343" s="7">
        <f>+(AV_PLAN[[#This Row],[%AVANCE INICIO PLANIFICADO]]+AV_PLAN[[#This Row],[%AVANCE TERMINO PLANIFICADO]])/2</f>
        <v>0.72940340909090906</v>
      </c>
    </row>
    <row r="344" spans="1:21" x14ac:dyDescent="0.25">
      <c r="A344" s="1">
        <v>46411</v>
      </c>
      <c r="B344">
        <v>0</v>
      </c>
      <c r="C344">
        <v>538</v>
      </c>
      <c r="D344">
        <v>0</v>
      </c>
      <c r="E344">
        <v>101</v>
      </c>
      <c r="F344">
        <v>1</v>
      </c>
      <c r="G344">
        <v>490</v>
      </c>
      <c r="H344">
        <v>0</v>
      </c>
      <c r="I344">
        <v>38</v>
      </c>
      <c r="J344" t="s">
        <v>821</v>
      </c>
      <c r="K344">
        <f>+WEEKNUM(AV_PLAN[[#This Row],[Días]])</f>
        <v>5</v>
      </c>
      <c r="L344" s="4">
        <f>IFERROR(AV_PLAN[[#This Row],[INICIO REAL ACUMULADO]]/AV_PLAN[[#This Row],[PLAN ACUMULADO]],"")</f>
        <v>0.18773234200743494</v>
      </c>
      <c r="M344" s="4">
        <f>IFERROR(AV_PLAN[[#This Row],[TERMINO REAL ACUMULADO]]/AV_PLAN[[#This Row],[TERMINO PLAN ACUMULADO]],"")</f>
        <v>7.7551020408163265E-2</v>
      </c>
      <c r="N344">
        <f>+AV_PLAN[[#This Row],[PLAN ACUMULADO]]-AV_PLAN[[#This Row],[INICIO REAL ACUMULADO]]</f>
        <v>437</v>
      </c>
      <c r="O344">
        <f>+AV_PLAN[[#This Row],[TERMINO PLAN ACUMULADO]]-AV_PLAN[[#This Row],[TERMINO REAL ACUMULADO]]</f>
        <v>452</v>
      </c>
      <c r="P3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4" s="7">
        <f>+AV_PLAN[[#This Row],[PLAN ACUMULADO]]/$C$471</f>
        <v>0.76420454545454541</v>
      </c>
      <c r="R344" s="7">
        <f t="shared" si="10"/>
        <v>0.14346590909090909</v>
      </c>
      <c r="S344" s="7">
        <f>+AV_PLAN[[#This Row],[TERMINO PLAN ACUMULADO]]/$G$471</f>
        <v>0.69602272727272729</v>
      </c>
      <c r="T344" s="7">
        <f t="shared" si="11"/>
        <v>5.3977272727272728E-2</v>
      </c>
      <c r="U344" s="7">
        <f>+(AV_PLAN[[#This Row],[%AVANCE INICIO PLANIFICADO]]+AV_PLAN[[#This Row],[%AVANCE TERMINO PLANIFICADO]])/2</f>
        <v>0.73011363636363635</v>
      </c>
    </row>
    <row r="345" spans="1:21" x14ac:dyDescent="0.25">
      <c r="A345" s="1">
        <v>46412</v>
      </c>
      <c r="B345">
        <v>3</v>
      </c>
      <c r="C345">
        <v>541</v>
      </c>
      <c r="D345">
        <v>0</v>
      </c>
      <c r="E345">
        <v>101</v>
      </c>
      <c r="F345">
        <v>1</v>
      </c>
      <c r="G345">
        <v>491</v>
      </c>
      <c r="H345">
        <v>0</v>
      </c>
      <c r="I345">
        <v>38</v>
      </c>
      <c r="J345" t="s">
        <v>821</v>
      </c>
      <c r="K345">
        <f>+WEEKNUM(AV_PLAN[[#This Row],[Días]])</f>
        <v>5</v>
      </c>
      <c r="L345" s="4">
        <f>IFERROR(AV_PLAN[[#This Row],[INICIO REAL ACUMULADO]]/AV_PLAN[[#This Row],[PLAN ACUMULADO]],"")</f>
        <v>0.1866913123844732</v>
      </c>
      <c r="M345" s="4">
        <f>IFERROR(AV_PLAN[[#This Row],[TERMINO REAL ACUMULADO]]/AV_PLAN[[#This Row],[TERMINO PLAN ACUMULADO]],"")</f>
        <v>7.7393075356415472E-2</v>
      </c>
      <c r="N345">
        <f>+AV_PLAN[[#This Row],[PLAN ACUMULADO]]-AV_PLAN[[#This Row],[INICIO REAL ACUMULADO]]</f>
        <v>440</v>
      </c>
      <c r="O345">
        <f>+AV_PLAN[[#This Row],[TERMINO PLAN ACUMULADO]]-AV_PLAN[[#This Row],[TERMINO REAL ACUMULADO]]</f>
        <v>453</v>
      </c>
      <c r="P3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5" s="7">
        <f>+AV_PLAN[[#This Row],[PLAN ACUMULADO]]/$C$471</f>
        <v>0.76846590909090906</v>
      </c>
      <c r="R345" s="7">
        <f t="shared" si="10"/>
        <v>0.14346590909090909</v>
      </c>
      <c r="S345" s="7">
        <f>+AV_PLAN[[#This Row],[TERMINO PLAN ACUMULADO]]/$G$471</f>
        <v>0.69744318181818177</v>
      </c>
      <c r="T345" s="7">
        <f t="shared" si="11"/>
        <v>5.3977272727272728E-2</v>
      </c>
      <c r="U345" s="7">
        <f>+(AV_PLAN[[#This Row],[%AVANCE INICIO PLANIFICADO]]+AV_PLAN[[#This Row],[%AVANCE TERMINO PLANIFICADO]])/2</f>
        <v>0.73295454545454541</v>
      </c>
    </row>
    <row r="346" spans="1:21" x14ac:dyDescent="0.25">
      <c r="A346" s="1">
        <v>46413</v>
      </c>
      <c r="B346">
        <v>3</v>
      </c>
      <c r="C346">
        <v>544</v>
      </c>
      <c r="D346">
        <v>0</v>
      </c>
      <c r="E346">
        <v>101</v>
      </c>
      <c r="F346">
        <v>2</v>
      </c>
      <c r="G346">
        <v>493</v>
      </c>
      <c r="H346">
        <v>0</v>
      </c>
      <c r="I346">
        <v>38</v>
      </c>
      <c r="J346" t="s">
        <v>821</v>
      </c>
      <c r="K346">
        <f>+WEEKNUM(AV_PLAN[[#This Row],[Días]])</f>
        <v>5</v>
      </c>
      <c r="L346" s="4">
        <f>IFERROR(AV_PLAN[[#This Row],[INICIO REAL ACUMULADO]]/AV_PLAN[[#This Row],[PLAN ACUMULADO]],"")</f>
        <v>0.18566176470588236</v>
      </c>
      <c r="M346" s="4">
        <f>IFERROR(AV_PLAN[[#This Row],[TERMINO REAL ACUMULADO]]/AV_PLAN[[#This Row],[TERMINO PLAN ACUMULADO]],"")</f>
        <v>7.7079107505070993E-2</v>
      </c>
      <c r="N346">
        <f>+AV_PLAN[[#This Row],[PLAN ACUMULADO]]-AV_PLAN[[#This Row],[INICIO REAL ACUMULADO]]</f>
        <v>443</v>
      </c>
      <c r="O346">
        <f>+AV_PLAN[[#This Row],[TERMINO PLAN ACUMULADO]]-AV_PLAN[[#This Row],[TERMINO REAL ACUMULADO]]</f>
        <v>455</v>
      </c>
      <c r="P3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6" s="7">
        <f>+AV_PLAN[[#This Row],[PLAN ACUMULADO]]/$C$471</f>
        <v>0.77272727272727271</v>
      </c>
      <c r="R346" s="7">
        <f t="shared" si="10"/>
        <v>0.14346590909090909</v>
      </c>
      <c r="S346" s="7">
        <f>+AV_PLAN[[#This Row],[TERMINO PLAN ACUMULADO]]/$G$471</f>
        <v>0.70028409090909094</v>
      </c>
      <c r="T346" s="7">
        <f t="shared" si="11"/>
        <v>5.3977272727272728E-2</v>
      </c>
      <c r="U346" s="7">
        <f>+(AV_PLAN[[#This Row],[%AVANCE INICIO PLANIFICADO]]+AV_PLAN[[#This Row],[%AVANCE TERMINO PLANIFICADO]])/2</f>
        <v>0.73650568181818188</v>
      </c>
    </row>
    <row r="347" spans="1:21" x14ac:dyDescent="0.25">
      <c r="A347" s="1">
        <v>46414</v>
      </c>
      <c r="B347">
        <v>3</v>
      </c>
      <c r="C347">
        <v>547</v>
      </c>
      <c r="D347">
        <v>0</v>
      </c>
      <c r="E347">
        <v>101</v>
      </c>
      <c r="F347">
        <v>4</v>
      </c>
      <c r="G347">
        <v>497</v>
      </c>
      <c r="H347">
        <v>0</v>
      </c>
      <c r="I347">
        <v>38</v>
      </c>
      <c r="J347" t="s">
        <v>821</v>
      </c>
      <c r="K347">
        <f>+WEEKNUM(AV_PLAN[[#This Row],[Días]])</f>
        <v>5</v>
      </c>
      <c r="L347" s="4">
        <f>IFERROR(AV_PLAN[[#This Row],[INICIO REAL ACUMULADO]]/AV_PLAN[[#This Row],[PLAN ACUMULADO]],"")</f>
        <v>0.18464351005484461</v>
      </c>
      <c r="M347" s="4">
        <f>IFERROR(AV_PLAN[[#This Row],[TERMINO REAL ACUMULADO]]/AV_PLAN[[#This Row],[TERMINO PLAN ACUMULADO]],"")</f>
        <v>7.6458752515090544E-2</v>
      </c>
      <c r="N347">
        <f>+AV_PLAN[[#This Row],[PLAN ACUMULADO]]-AV_PLAN[[#This Row],[INICIO REAL ACUMULADO]]</f>
        <v>446</v>
      </c>
      <c r="O347">
        <f>+AV_PLAN[[#This Row],[TERMINO PLAN ACUMULADO]]-AV_PLAN[[#This Row],[TERMINO REAL ACUMULADO]]</f>
        <v>459</v>
      </c>
      <c r="P3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7" s="7">
        <f>+AV_PLAN[[#This Row],[PLAN ACUMULADO]]/$C$471</f>
        <v>0.77698863636363635</v>
      </c>
      <c r="R347" s="7">
        <f t="shared" si="10"/>
        <v>0.14346590909090909</v>
      </c>
      <c r="S347" s="7">
        <f>+AV_PLAN[[#This Row],[TERMINO PLAN ACUMULADO]]/$G$471</f>
        <v>0.70596590909090906</v>
      </c>
      <c r="T347" s="7">
        <f t="shared" si="11"/>
        <v>5.3977272727272728E-2</v>
      </c>
      <c r="U347" s="7">
        <f>+(AV_PLAN[[#This Row],[%AVANCE INICIO PLANIFICADO]]+AV_PLAN[[#This Row],[%AVANCE TERMINO PLANIFICADO]])/2</f>
        <v>0.74147727272727271</v>
      </c>
    </row>
    <row r="348" spans="1:21" x14ac:dyDescent="0.25">
      <c r="A348" s="1">
        <v>46415</v>
      </c>
      <c r="B348">
        <v>3</v>
      </c>
      <c r="C348">
        <v>550</v>
      </c>
      <c r="D348">
        <v>0</v>
      </c>
      <c r="E348">
        <v>101</v>
      </c>
      <c r="F348">
        <v>2</v>
      </c>
      <c r="G348">
        <v>499</v>
      </c>
      <c r="H348">
        <v>0</v>
      </c>
      <c r="I348">
        <v>38</v>
      </c>
      <c r="J348" t="s">
        <v>821</v>
      </c>
      <c r="K348">
        <f>+WEEKNUM(AV_PLAN[[#This Row],[Días]])</f>
        <v>5</v>
      </c>
      <c r="L348" s="4">
        <f>IFERROR(AV_PLAN[[#This Row],[INICIO REAL ACUMULADO]]/AV_PLAN[[#This Row],[PLAN ACUMULADO]],"")</f>
        <v>0.18363636363636363</v>
      </c>
      <c r="M348" s="4">
        <f>IFERROR(AV_PLAN[[#This Row],[TERMINO REAL ACUMULADO]]/AV_PLAN[[#This Row],[TERMINO PLAN ACUMULADO]],"")</f>
        <v>7.6152304609218444E-2</v>
      </c>
      <c r="N348">
        <f>+AV_PLAN[[#This Row],[PLAN ACUMULADO]]-AV_PLAN[[#This Row],[INICIO REAL ACUMULADO]]</f>
        <v>449</v>
      </c>
      <c r="O348">
        <f>+AV_PLAN[[#This Row],[TERMINO PLAN ACUMULADO]]-AV_PLAN[[#This Row],[TERMINO REAL ACUMULADO]]</f>
        <v>461</v>
      </c>
      <c r="P3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8" s="7">
        <f>+AV_PLAN[[#This Row],[PLAN ACUMULADO]]/$C$471</f>
        <v>0.78125</v>
      </c>
      <c r="R348" s="7">
        <f t="shared" si="10"/>
        <v>0.14346590909090909</v>
      </c>
      <c r="S348" s="7">
        <f>+AV_PLAN[[#This Row],[TERMINO PLAN ACUMULADO]]/$G$471</f>
        <v>0.70880681818181823</v>
      </c>
      <c r="T348" s="7">
        <f t="shared" si="11"/>
        <v>5.3977272727272728E-2</v>
      </c>
      <c r="U348" s="7">
        <f>+(AV_PLAN[[#This Row],[%AVANCE INICIO PLANIFICADO]]+AV_PLAN[[#This Row],[%AVANCE TERMINO PLANIFICADO]])/2</f>
        <v>0.74502840909090917</v>
      </c>
    </row>
    <row r="349" spans="1:21" x14ac:dyDescent="0.25">
      <c r="A349" s="1">
        <v>46416</v>
      </c>
      <c r="B349">
        <v>3</v>
      </c>
      <c r="C349">
        <v>553</v>
      </c>
      <c r="D349">
        <v>0</v>
      </c>
      <c r="E349">
        <v>101</v>
      </c>
      <c r="F349">
        <v>1</v>
      </c>
      <c r="G349">
        <v>500</v>
      </c>
      <c r="H349">
        <v>0</v>
      </c>
      <c r="I349">
        <v>38</v>
      </c>
      <c r="J349" t="s">
        <v>821</v>
      </c>
      <c r="K349">
        <f>+WEEKNUM(AV_PLAN[[#This Row],[Días]])</f>
        <v>5</v>
      </c>
      <c r="L349" s="4">
        <f>IFERROR(AV_PLAN[[#This Row],[INICIO REAL ACUMULADO]]/AV_PLAN[[#This Row],[PLAN ACUMULADO]],"")</f>
        <v>0.18264014466546113</v>
      </c>
      <c r="M349" s="4">
        <f>IFERROR(AV_PLAN[[#This Row],[TERMINO REAL ACUMULADO]]/AV_PLAN[[#This Row],[TERMINO PLAN ACUMULADO]],"")</f>
        <v>7.5999999999999998E-2</v>
      </c>
      <c r="N349">
        <f>+AV_PLAN[[#This Row],[PLAN ACUMULADO]]-AV_PLAN[[#This Row],[INICIO REAL ACUMULADO]]</f>
        <v>452</v>
      </c>
      <c r="O349">
        <f>+AV_PLAN[[#This Row],[TERMINO PLAN ACUMULADO]]-AV_PLAN[[#This Row],[TERMINO REAL ACUMULADO]]</f>
        <v>462</v>
      </c>
      <c r="P3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9" s="7">
        <f>+AV_PLAN[[#This Row],[PLAN ACUMULADO]]/$C$471</f>
        <v>0.78551136363636365</v>
      </c>
      <c r="R349" s="7">
        <f t="shared" si="10"/>
        <v>0.14346590909090909</v>
      </c>
      <c r="S349" s="7">
        <f>+AV_PLAN[[#This Row],[TERMINO PLAN ACUMULADO]]/$G$471</f>
        <v>0.71022727272727271</v>
      </c>
      <c r="T349" s="7">
        <f t="shared" si="11"/>
        <v>5.3977272727272728E-2</v>
      </c>
      <c r="U349" s="7">
        <f>+(AV_PLAN[[#This Row],[%AVANCE INICIO PLANIFICADO]]+AV_PLAN[[#This Row],[%AVANCE TERMINO PLANIFICADO]])/2</f>
        <v>0.74786931818181812</v>
      </c>
    </row>
    <row r="350" spans="1:21" x14ac:dyDescent="0.25">
      <c r="A350" s="1">
        <v>46417</v>
      </c>
      <c r="B350">
        <v>0</v>
      </c>
      <c r="C350">
        <v>553</v>
      </c>
      <c r="D350">
        <v>0</v>
      </c>
      <c r="E350">
        <v>101</v>
      </c>
      <c r="F350">
        <v>0</v>
      </c>
      <c r="G350">
        <v>500</v>
      </c>
      <c r="H350">
        <v>0</v>
      </c>
      <c r="I350">
        <v>38</v>
      </c>
      <c r="J350" t="s">
        <v>821</v>
      </c>
      <c r="K350">
        <f>+WEEKNUM(AV_PLAN[[#This Row],[Días]])</f>
        <v>5</v>
      </c>
      <c r="L350" s="4">
        <f>IFERROR(AV_PLAN[[#This Row],[INICIO REAL ACUMULADO]]/AV_PLAN[[#This Row],[PLAN ACUMULADO]],"")</f>
        <v>0.18264014466546113</v>
      </c>
      <c r="M350" s="4">
        <f>IFERROR(AV_PLAN[[#This Row],[TERMINO REAL ACUMULADO]]/AV_PLAN[[#This Row],[TERMINO PLAN ACUMULADO]],"")</f>
        <v>7.5999999999999998E-2</v>
      </c>
      <c r="N350">
        <f>+AV_PLAN[[#This Row],[PLAN ACUMULADO]]-AV_PLAN[[#This Row],[INICIO REAL ACUMULADO]]</f>
        <v>452</v>
      </c>
      <c r="O350">
        <f>+AV_PLAN[[#This Row],[TERMINO PLAN ACUMULADO]]-AV_PLAN[[#This Row],[TERMINO REAL ACUMULADO]]</f>
        <v>462</v>
      </c>
      <c r="P3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0" s="7">
        <f>+AV_PLAN[[#This Row],[PLAN ACUMULADO]]/$C$471</f>
        <v>0.78551136363636365</v>
      </c>
      <c r="R350" s="7">
        <f t="shared" si="10"/>
        <v>0.14346590909090909</v>
      </c>
      <c r="S350" s="7">
        <f>+AV_PLAN[[#This Row],[TERMINO PLAN ACUMULADO]]/$G$471</f>
        <v>0.71022727272727271</v>
      </c>
      <c r="T350" s="7">
        <f t="shared" si="11"/>
        <v>5.3977272727272728E-2</v>
      </c>
      <c r="U350" s="7">
        <f>+(AV_PLAN[[#This Row],[%AVANCE INICIO PLANIFICADO]]+AV_PLAN[[#This Row],[%AVANCE TERMINO PLANIFICADO]])/2</f>
        <v>0.74786931818181812</v>
      </c>
    </row>
    <row r="351" spans="1:21" x14ac:dyDescent="0.25">
      <c r="A351" s="1">
        <v>46418</v>
      </c>
      <c r="B351">
        <v>0</v>
      </c>
      <c r="C351">
        <v>553</v>
      </c>
      <c r="D351">
        <v>0</v>
      </c>
      <c r="E351">
        <v>101</v>
      </c>
      <c r="F351">
        <v>1</v>
      </c>
      <c r="G351">
        <v>501</v>
      </c>
      <c r="H351">
        <v>0</v>
      </c>
      <c r="I351">
        <v>38</v>
      </c>
      <c r="J351" t="s">
        <v>821</v>
      </c>
      <c r="K351">
        <f>+WEEKNUM(AV_PLAN[[#This Row],[Días]])</f>
        <v>6</v>
      </c>
      <c r="L351" s="4">
        <f>IFERROR(AV_PLAN[[#This Row],[INICIO REAL ACUMULADO]]/AV_PLAN[[#This Row],[PLAN ACUMULADO]],"")</f>
        <v>0.18264014466546113</v>
      </c>
      <c r="M351" s="4">
        <f>IFERROR(AV_PLAN[[#This Row],[TERMINO REAL ACUMULADO]]/AV_PLAN[[#This Row],[TERMINO PLAN ACUMULADO]],"")</f>
        <v>7.5848303393213579E-2</v>
      </c>
      <c r="N351">
        <f>+AV_PLAN[[#This Row],[PLAN ACUMULADO]]-AV_PLAN[[#This Row],[INICIO REAL ACUMULADO]]</f>
        <v>452</v>
      </c>
      <c r="O351">
        <f>+AV_PLAN[[#This Row],[TERMINO PLAN ACUMULADO]]-AV_PLAN[[#This Row],[TERMINO REAL ACUMULADO]]</f>
        <v>463</v>
      </c>
      <c r="P3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51" s="7">
        <f>+AV_PLAN[[#This Row],[PLAN ACUMULADO]]/$C$471</f>
        <v>0.78551136363636365</v>
      </c>
      <c r="R351" s="7">
        <f t="shared" si="10"/>
        <v>0.14346590909090909</v>
      </c>
      <c r="S351" s="7">
        <f>+AV_PLAN[[#This Row],[TERMINO PLAN ACUMULADO]]/$G$471</f>
        <v>0.71164772727272729</v>
      </c>
      <c r="T351" s="7">
        <f t="shared" si="11"/>
        <v>5.3977272727272728E-2</v>
      </c>
      <c r="U351" s="7">
        <f>+(AV_PLAN[[#This Row],[%AVANCE INICIO PLANIFICADO]]+AV_PLAN[[#This Row],[%AVANCE TERMINO PLANIFICADO]])/2</f>
        <v>0.74857954545454541</v>
      </c>
    </row>
    <row r="352" spans="1:21" x14ac:dyDescent="0.25">
      <c r="A352" s="1">
        <v>46419</v>
      </c>
      <c r="B352">
        <v>3</v>
      </c>
      <c r="C352">
        <v>556</v>
      </c>
      <c r="D352">
        <v>0</v>
      </c>
      <c r="E352">
        <v>101</v>
      </c>
      <c r="F352">
        <v>2</v>
      </c>
      <c r="G352">
        <v>503</v>
      </c>
      <c r="H352">
        <v>0</v>
      </c>
      <c r="I352">
        <v>38</v>
      </c>
      <c r="J352" t="s">
        <v>810</v>
      </c>
      <c r="K352">
        <f>+WEEKNUM(AV_PLAN[[#This Row],[Días]])</f>
        <v>6</v>
      </c>
      <c r="L352" s="4">
        <f>IFERROR(AV_PLAN[[#This Row],[INICIO REAL ACUMULADO]]/AV_PLAN[[#This Row],[PLAN ACUMULADO]],"")</f>
        <v>0.18165467625899281</v>
      </c>
      <c r="M352" s="4">
        <f>IFERROR(AV_PLAN[[#This Row],[TERMINO REAL ACUMULADO]]/AV_PLAN[[#This Row],[TERMINO PLAN ACUMULADO]],"")</f>
        <v>7.5546719681908542E-2</v>
      </c>
      <c r="N352">
        <f>+AV_PLAN[[#This Row],[PLAN ACUMULADO]]-AV_PLAN[[#This Row],[INICIO REAL ACUMULADO]]</f>
        <v>455</v>
      </c>
      <c r="O352">
        <f>+AV_PLAN[[#This Row],[TERMINO PLAN ACUMULADO]]-AV_PLAN[[#This Row],[TERMINO REAL ACUMULADO]]</f>
        <v>465</v>
      </c>
      <c r="P3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2" s="7">
        <f>+AV_PLAN[[#This Row],[PLAN ACUMULADO]]/$C$471</f>
        <v>0.78977272727272729</v>
      </c>
      <c r="R352" s="7">
        <f t="shared" si="10"/>
        <v>0.14346590909090909</v>
      </c>
      <c r="S352" s="7">
        <f>+AV_PLAN[[#This Row],[TERMINO PLAN ACUMULADO]]/$G$471</f>
        <v>0.71448863636363635</v>
      </c>
      <c r="T352" s="7">
        <f t="shared" si="11"/>
        <v>5.3977272727272728E-2</v>
      </c>
      <c r="U352" s="7">
        <f>+(AV_PLAN[[#This Row],[%AVANCE INICIO PLANIFICADO]]+AV_PLAN[[#This Row],[%AVANCE TERMINO PLANIFICADO]])/2</f>
        <v>0.75213068181818188</v>
      </c>
    </row>
    <row r="353" spans="1:21" x14ac:dyDescent="0.25">
      <c r="A353" s="1">
        <v>46420</v>
      </c>
      <c r="B353">
        <v>3</v>
      </c>
      <c r="C353">
        <v>559</v>
      </c>
      <c r="D353">
        <v>0</v>
      </c>
      <c r="E353">
        <v>101</v>
      </c>
      <c r="F353">
        <v>2</v>
      </c>
      <c r="G353">
        <v>505</v>
      </c>
      <c r="H353">
        <v>0</v>
      </c>
      <c r="I353">
        <v>38</v>
      </c>
      <c r="J353" t="s">
        <v>810</v>
      </c>
      <c r="K353">
        <f>+WEEKNUM(AV_PLAN[[#This Row],[Días]])</f>
        <v>6</v>
      </c>
      <c r="L353" s="4">
        <f>IFERROR(AV_PLAN[[#This Row],[INICIO REAL ACUMULADO]]/AV_PLAN[[#This Row],[PLAN ACUMULADO]],"")</f>
        <v>0.18067978533094811</v>
      </c>
      <c r="M353" s="4">
        <f>IFERROR(AV_PLAN[[#This Row],[TERMINO REAL ACUMULADO]]/AV_PLAN[[#This Row],[TERMINO PLAN ACUMULADO]],"")</f>
        <v>7.5247524752475245E-2</v>
      </c>
      <c r="N353">
        <f>+AV_PLAN[[#This Row],[PLAN ACUMULADO]]-AV_PLAN[[#This Row],[INICIO REAL ACUMULADO]]</f>
        <v>458</v>
      </c>
      <c r="O353">
        <f>+AV_PLAN[[#This Row],[TERMINO PLAN ACUMULADO]]-AV_PLAN[[#This Row],[TERMINO REAL ACUMULADO]]</f>
        <v>467</v>
      </c>
      <c r="P3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3" s="7">
        <f>+AV_PLAN[[#This Row],[PLAN ACUMULADO]]/$C$471</f>
        <v>0.79403409090909094</v>
      </c>
      <c r="R353" s="7">
        <f t="shared" si="10"/>
        <v>0.14346590909090909</v>
      </c>
      <c r="S353" s="7">
        <f>+AV_PLAN[[#This Row],[TERMINO PLAN ACUMULADO]]/$G$471</f>
        <v>0.71732954545454541</v>
      </c>
      <c r="T353" s="7">
        <f t="shared" si="11"/>
        <v>5.3977272727272728E-2</v>
      </c>
      <c r="U353" s="7">
        <f>+(AV_PLAN[[#This Row],[%AVANCE INICIO PLANIFICADO]]+AV_PLAN[[#This Row],[%AVANCE TERMINO PLANIFICADO]])/2</f>
        <v>0.75568181818181812</v>
      </c>
    </row>
    <row r="354" spans="1:21" x14ac:dyDescent="0.25">
      <c r="A354" s="1">
        <v>46421</v>
      </c>
      <c r="B354">
        <v>3</v>
      </c>
      <c r="C354">
        <v>562</v>
      </c>
      <c r="D354">
        <v>0</v>
      </c>
      <c r="E354">
        <v>101</v>
      </c>
      <c r="F354">
        <v>3</v>
      </c>
      <c r="G354">
        <v>508</v>
      </c>
      <c r="H354">
        <v>0</v>
      </c>
      <c r="I354">
        <v>38</v>
      </c>
      <c r="J354" t="s">
        <v>810</v>
      </c>
      <c r="K354">
        <f>+WEEKNUM(AV_PLAN[[#This Row],[Días]])</f>
        <v>6</v>
      </c>
      <c r="L354" s="4">
        <f>IFERROR(AV_PLAN[[#This Row],[INICIO REAL ACUMULADO]]/AV_PLAN[[#This Row],[PLAN ACUMULADO]],"")</f>
        <v>0.17971530249110321</v>
      </c>
      <c r="M354" s="4">
        <f>IFERROR(AV_PLAN[[#This Row],[TERMINO REAL ACUMULADO]]/AV_PLAN[[#This Row],[TERMINO PLAN ACUMULADO]],"")</f>
        <v>7.4803149606299218E-2</v>
      </c>
      <c r="N354">
        <f>+AV_PLAN[[#This Row],[PLAN ACUMULADO]]-AV_PLAN[[#This Row],[INICIO REAL ACUMULADO]]</f>
        <v>461</v>
      </c>
      <c r="O354">
        <f>+AV_PLAN[[#This Row],[TERMINO PLAN ACUMULADO]]-AV_PLAN[[#This Row],[TERMINO REAL ACUMULADO]]</f>
        <v>470</v>
      </c>
      <c r="P3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4" s="7">
        <f>+AV_PLAN[[#This Row],[PLAN ACUMULADO]]/$C$471</f>
        <v>0.79829545454545459</v>
      </c>
      <c r="R354" s="7">
        <f t="shared" si="10"/>
        <v>0.14346590909090909</v>
      </c>
      <c r="S354" s="7">
        <f>+AV_PLAN[[#This Row],[TERMINO PLAN ACUMULADO]]/$G$471</f>
        <v>0.72159090909090906</v>
      </c>
      <c r="T354" s="7">
        <f t="shared" si="11"/>
        <v>5.3977272727272728E-2</v>
      </c>
      <c r="U354" s="7">
        <f>+(AV_PLAN[[#This Row],[%AVANCE INICIO PLANIFICADO]]+AV_PLAN[[#This Row],[%AVANCE TERMINO PLANIFICADO]])/2</f>
        <v>0.75994318181818188</v>
      </c>
    </row>
    <row r="355" spans="1:21" x14ac:dyDescent="0.25">
      <c r="A355" s="1">
        <v>46422</v>
      </c>
      <c r="B355">
        <v>3</v>
      </c>
      <c r="C355">
        <v>565</v>
      </c>
      <c r="D355">
        <v>0</v>
      </c>
      <c r="E355">
        <v>101</v>
      </c>
      <c r="F355">
        <v>3</v>
      </c>
      <c r="G355">
        <v>511</v>
      </c>
      <c r="H355">
        <v>0</v>
      </c>
      <c r="I355">
        <v>38</v>
      </c>
      <c r="J355" t="s">
        <v>810</v>
      </c>
      <c r="K355">
        <f>+WEEKNUM(AV_PLAN[[#This Row],[Días]])</f>
        <v>6</v>
      </c>
      <c r="L355" s="4">
        <f>IFERROR(AV_PLAN[[#This Row],[INICIO REAL ACUMULADO]]/AV_PLAN[[#This Row],[PLAN ACUMULADO]],"")</f>
        <v>0.17876106194690267</v>
      </c>
      <c r="M355" s="4">
        <f>IFERROR(AV_PLAN[[#This Row],[TERMINO REAL ACUMULADO]]/AV_PLAN[[#This Row],[TERMINO PLAN ACUMULADO]],"")</f>
        <v>7.4363992172211346E-2</v>
      </c>
      <c r="N355">
        <f>+AV_PLAN[[#This Row],[PLAN ACUMULADO]]-AV_PLAN[[#This Row],[INICIO REAL ACUMULADO]]</f>
        <v>464</v>
      </c>
      <c r="O355">
        <f>+AV_PLAN[[#This Row],[TERMINO PLAN ACUMULADO]]-AV_PLAN[[#This Row],[TERMINO REAL ACUMULADO]]</f>
        <v>473</v>
      </c>
      <c r="P3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5" s="7">
        <f>+AV_PLAN[[#This Row],[PLAN ACUMULADO]]/$C$471</f>
        <v>0.80255681818181823</v>
      </c>
      <c r="R355" s="7">
        <f t="shared" si="10"/>
        <v>0.14346590909090909</v>
      </c>
      <c r="S355" s="7">
        <f>+AV_PLAN[[#This Row],[TERMINO PLAN ACUMULADO]]/$G$471</f>
        <v>0.72585227272727271</v>
      </c>
      <c r="T355" s="7">
        <f t="shared" si="11"/>
        <v>5.3977272727272728E-2</v>
      </c>
      <c r="U355" s="7">
        <f>+(AV_PLAN[[#This Row],[%AVANCE INICIO PLANIFICADO]]+AV_PLAN[[#This Row],[%AVANCE TERMINO PLANIFICADO]])/2</f>
        <v>0.76420454545454541</v>
      </c>
    </row>
    <row r="356" spans="1:21" x14ac:dyDescent="0.25">
      <c r="A356" s="1">
        <v>46423</v>
      </c>
      <c r="B356">
        <v>3</v>
      </c>
      <c r="C356">
        <v>568</v>
      </c>
      <c r="D356">
        <v>0</v>
      </c>
      <c r="E356">
        <v>101</v>
      </c>
      <c r="F356">
        <v>1</v>
      </c>
      <c r="G356">
        <v>512</v>
      </c>
      <c r="H356">
        <v>0</v>
      </c>
      <c r="I356">
        <v>38</v>
      </c>
      <c r="J356" t="s">
        <v>810</v>
      </c>
      <c r="K356">
        <f>+WEEKNUM(AV_PLAN[[#This Row],[Días]])</f>
        <v>6</v>
      </c>
      <c r="L356" s="4">
        <f>IFERROR(AV_PLAN[[#This Row],[INICIO REAL ACUMULADO]]/AV_PLAN[[#This Row],[PLAN ACUMULADO]],"")</f>
        <v>0.17781690140845072</v>
      </c>
      <c r="M356" s="4">
        <f>IFERROR(AV_PLAN[[#This Row],[TERMINO REAL ACUMULADO]]/AV_PLAN[[#This Row],[TERMINO PLAN ACUMULADO]],"")</f>
        <v>7.421875E-2</v>
      </c>
      <c r="N356">
        <f>+AV_PLAN[[#This Row],[PLAN ACUMULADO]]-AV_PLAN[[#This Row],[INICIO REAL ACUMULADO]]</f>
        <v>467</v>
      </c>
      <c r="O356">
        <f>+AV_PLAN[[#This Row],[TERMINO PLAN ACUMULADO]]-AV_PLAN[[#This Row],[TERMINO REAL ACUMULADO]]</f>
        <v>474</v>
      </c>
      <c r="P3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6" s="7">
        <f>+AV_PLAN[[#This Row],[PLAN ACUMULADO]]/$C$471</f>
        <v>0.80681818181818177</v>
      </c>
      <c r="R356" s="7">
        <f t="shared" si="10"/>
        <v>0.14346590909090909</v>
      </c>
      <c r="S356" s="7">
        <f>+AV_PLAN[[#This Row],[TERMINO PLAN ACUMULADO]]/$G$471</f>
        <v>0.72727272727272729</v>
      </c>
      <c r="T356" s="7">
        <f t="shared" si="11"/>
        <v>5.3977272727272728E-2</v>
      </c>
      <c r="U356" s="7">
        <f>+(AV_PLAN[[#This Row],[%AVANCE INICIO PLANIFICADO]]+AV_PLAN[[#This Row],[%AVANCE TERMINO PLANIFICADO]])/2</f>
        <v>0.76704545454545459</v>
      </c>
    </row>
    <row r="357" spans="1:21" x14ac:dyDescent="0.25">
      <c r="A357" s="1">
        <v>46424</v>
      </c>
      <c r="B357">
        <v>0</v>
      </c>
      <c r="C357">
        <v>568</v>
      </c>
      <c r="D357">
        <v>0</v>
      </c>
      <c r="E357">
        <v>101</v>
      </c>
      <c r="F357">
        <v>1</v>
      </c>
      <c r="G357">
        <v>513</v>
      </c>
      <c r="H357">
        <v>0</v>
      </c>
      <c r="I357">
        <v>38</v>
      </c>
      <c r="J357" t="s">
        <v>810</v>
      </c>
      <c r="K357">
        <f>+WEEKNUM(AV_PLAN[[#This Row],[Días]])</f>
        <v>6</v>
      </c>
      <c r="L357" s="4">
        <f>IFERROR(AV_PLAN[[#This Row],[INICIO REAL ACUMULADO]]/AV_PLAN[[#This Row],[PLAN ACUMULADO]],"")</f>
        <v>0.17781690140845072</v>
      </c>
      <c r="M357" s="4">
        <f>IFERROR(AV_PLAN[[#This Row],[TERMINO REAL ACUMULADO]]/AV_PLAN[[#This Row],[TERMINO PLAN ACUMULADO]],"")</f>
        <v>7.407407407407407E-2</v>
      </c>
      <c r="N357">
        <f>+AV_PLAN[[#This Row],[PLAN ACUMULADO]]-AV_PLAN[[#This Row],[INICIO REAL ACUMULADO]]</f>
        <v>467</v>
      </c>
      <c r="O357">
        <f>+AV_PLAN[[#This Row],[TERMINO PLAN ACUMULADO]]-AV_PLAN[[#This Row],[TERMINO REAL ACUMULADO]]</f>
        <v>475</v>
      </c>
      <c r="P3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7" s="7">
        <f>+AV_PLAN[[#This Row],[PLAN ACUMULADO]]/$C$471</f>
        <v>0.80681818181818177</v>
      </c>
      <c r="R357" s="7">
        <f t="shared" si="10"/>
        <v>0.14346590909090909</v>
      </c>
      <c r="S357" s="7">
        <f>+AV_PLAN[[#This Row],[TERMINO PLAN ACUMULADO]]/$G$471</f>
        <v>0.72869318181818177</v>
      </c>
      <c r="T357" s="7">
        <f t="shared" si="11"/>
        <v>5.3977272727272728E-2</v>
      </c>
      <c r="U357" s="7">
        <f>+(AV_PLAN[[#This Row],[%AVANCE INICIO PLANIFICADO]]+AV_PLAN[[#This Row],[%AVANCE TERMINO PLANIFICADO]])/2</f>
        <v>0.76775568181818177</v>
      </c>
    </row>
    <row r="358" spans="1:21" x14ac:dyDescent="0.25">
      <c r="A358" s="1">
        <v>46425</v>
      </c>
      <c r="B358">
        <v>0</v>
      </c>
      <c r="C358">
        <v>568</v>
      </c>
      <c r="D358">
        <v>0</v>
      </c>
      <c r="E358">
        <v>101</v>
      </c>
      <c r="F358">
        <v>4</v>
      </c>
      <c r="G358">
        <v>517</v>
      </c>
      <c r="H358">
        <v>0</v>
      </c>
      <c r="I358">
        <v>38</v>
      </c>
      <c r="J358" t="s">
        <v>810</v>
      </c>
      <c r="K358">
        <f>+WEEKNUM(AV_PLAN[[#This Row],[Días]])</f>
        <v>7</v>
      </c>
      <c r="L358" s="4">
        <f>IFERROR(AV_PLAN[[#This Row],[INICIO REAL ACUMULADO]]/AV_PLAN[[#This Row],[PLAN ACUMULADO]],"")</f>
        <v>0.17781690140845072</v>
      </c>
      <c r="M358" s="4">
        <f>IFERROR(AV_PLAN[[#This Row],[TERMINO REAL ACUMULADO]]/AV_PLAN[[#This Row],[TERMINO PLAN ACUMULADO]],"")</f>
        <v>7.3500967117988397E-2</v>
      </c>
      <c r="N358">
        <f>+AV_PLAN[[#This Row],[PLAN ACUMULADO]]-AV_PLAN[[#This Row],[INICIO REAL ACUMULADO]]</f>
        <v>467</v>
      </c>
      <c r="O358">
        <f>+AV_PLAN[[#This Row],[TERMINO PLAN ACUMULADO]]-AV_PLAN[[#This Row],[TERMINO REAL ACUMULADO]]</f>
        <v>479</v>
      </c>
      <c r="P3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8" s="7">
        <f>+AV_PLAN[[#This Row],[PLAN ACUMULADO]]/$C$471</f>
        <v>0.80681818181818177</v>
      </c>
      <c r="R358" s="7">
        <f t="shared" si="10"/>
        <v>0.14346590909090909</v>
      </c>
      <c r="S358" s="7">
        <f>+AV_PLAN[[#This Row],[TERMINO PLAN ACUMULADO]]/$G$471</f>
        <v>0.734375</v>
      </c>
      <c r="T358" s="7">
        <f t="shared" si="11"/>
        <v>5.3977272727272728E-2</v>
      </c>
      <c r="U358" s="7">
        <f>+(AV_PLAN[[#This Row],[%AVANCE INICIO PLANIFICADO]]+AV_PLAN[[#This Row],[%AVANCE TERMINO PLANIFICADO]])/2</f>
        <v>0.77059659090909083</v>
      </c>
    </row>
    <row r="359" spans="1:21" x14ac:dyDescent="0.25">
      <c r="A359" s="1">
        <v>46426</v>
      </c>
      <c r="B359">
        <v>3</v>
      </c>
      <c r="C359">
        <v>571</v>
      </c>
      <c r="D359">
        <v>0</v>
      </c>
      <c r="E359">
        <v>101</v>
      </c>
      <c r="F359">
        <v>2</v>
      </c>
      <c r="G359">
        <v>519</v>
      </c>
      <c r="H359">
        <v>0</v>
      </c>
      <c r="I359">
        <v>38</v>
      </c>
      <c r="J359" t="s">
        <v>810</v>
      </c>
      <c r="K359">
        <f>+WEEKNUM(AV_PLAN[[#This Row],[Días]])</f>
        <v>7</v>
      </c>
      <c r="L359" s="4">
        <f>IFERROR(AV_PLAN[[#This Row],[INICIO REAL ACUMULADO]]/AV_PLAN[[#This Row],[PLAN ACUMULADO]],"")</f>
        <v>0.17688266199649738</v>
      </c>
      <c r="M359" s="4">
        <f>IFERROR(AV_PLAN[[#This Row],[TERMINO REAL ACUMULADO]]/AV_PLAN[[#This Row],[TERMINO PLAN ACUMULADO]],"")</f>
        <v>7.3217726396917149E-2</v>
      </c>
      <c r="N359">
        <f>+AV_PLAN[[#This Row],[PLAN ACUMULADO]]-AV_PLAN[[#This Row],[INICIO REAL ACUMULADO]]</f>
        <v>470</v>
      </c>
      <c r="O359">
        <f>+AV_PLAN[[#This Row],[TERMINO PLAN ACUMULADO]]-AV_PLAN[[#This Row],[TERMINO REAL ACUMULADO]]</f>
        <v>481</v>
      </c>
      <c r="P3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9" s="7">
        <f>+AV_PLAN[[#This Row],[PLAN ACUMULADO]]/$C$471</f>
        <v>0.81107954545454541</v>
      </c>
      <c r="R359" s="7">
        <f t="shared" si="10"/>
        <v>0.14346590909090909</v>
      </c>
      <c r="S359" s="7">
        <f>+AV_PLAN[[#This Row],[TERMINO PLAN ACUMULADO]]/$G$471</f>
        <v>0.73721590909090906</v>
      </c>
      <c r="T359" s="7">
        <f t="shared" si="11"/>
        <v>5.3977272727272728E-2</v>
      </c>
      <c r="U359" s="7">
        <f>+(AV_PLAN[[#This Row],[%AVANCE INICIO PLANIFICADO]]+AV_PLAN[[#This Row],[%AVANCE TERMINO PLANIFICADO]])/2</f>
        <v>0.77414772727272729</v>
      </c>
    </row>
    <row r="360" spans="1:21" x14ac:dyDescent="0.25">
      <c r="A360" s="1">
        <v>46427</v>
      </c>
      <c r="B360">
        <v>3</v>
      </c>
      <c r="C360">
        <v>574</v>
      </c>
      <c r="D360">
        <v>0</v>
      </c>
      <c r="E360">
        <v>101</v>
      </c>
      <c r="F360">
        <v>1</v>
      </c>
      <c r="G360">
        <v>520</v>
      </c>
      <c r="H360">
        <v>0</v>
      </c>
      <c r="I360">
        <v>38</v>
      </c>
      <c r="J360" t="s">
        <v>810</v>
      </c>
      <c r="K360">
        <f>+WEEKNUM(AV_PLAN[[#This Row],[Días]])</f>
        <v>7</v>
      </c>
      <c r="L360" s="4">
        <f>IFERROR(AV_PLAN[[#This Row],[INICIO REAL ACUMULADO]]/AV_PLAN[[#This Row],[PLAN ACUMULADO]],"")</f>
        <v>0.1759581881533101</v>
      </c>
      <c r="M360" s="4">
        <f>IFERROR(AV_PLAN[[#This Row],[TERMINO REAL ACUMULADO]]/AV_PLAN[[#This Row],[TERMINO PLAN ACUMULADO]],"")</f>
        <v>7.3076923076923081E-2</v>
      </c>
      <c r="N360">
        <f>+AV_PLAN[[#This Row],[PLAN ACUMULADO]]-AV_PLAN[[#This Row],[INICIO REAL ACUMULADO]]</f>
        <v>473</v>
      </c>
      <c r="O360">
        <f>+AV_PLAN[[#This Row],[TERMINO PLAN ACUMULADO]]-AV_PLAN[[#This Row],[TERMINO REAL ACUMULADO]]</f>
        <v>482</v>
      </c>
      <c r="P3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0" s="7">
        <f>+AV_PLAN[[#This Row],[PLAN ACUMULADO]]/$C$471</f>
        <v>0.81534090909090906</v>
      </c>
      <c r="R360" s="7">
        <f t="shared" si="10"/>
        <v>0.14346590909090909</v>
      </c>
      <c r="S360" s="7">
        <f>+AV_PLAN[[#This Row],[TERMINO PLAN ACUMULADO]]/$G$471</f>
        <v>0.73863636363636365</v>
      </c>
      <c r="T360" s="7">
        <f t="shared" si="11"/>
        <v>5.3977272727272728E-2</v>
      </c>
      <c r="U360" s="7">
        <f>+(AV_PLAN[[#This Row],[%AVANCE INICIO PLANIFICADO]]+AV_PLAN[[#This Row],[%AVANCE TERMINO PLANIFICADO]])/2</f>
        <v>0.77698863636363635</v>
      </c>
    </row>
    <row r="361" spans="1:21" x14ac:dyDescent="0.25">
      <c r="A361" s="1">
        <v>46428</v>
      </c>
      <c r="B361">
        <v>3</v>
      </c>
      <c r="C361">
        <v>577</v>
      </c>
      <c r="D361">
        <v>0</v>
      </c>
      <c r="E361">
        <v>101</v>
      </c>
      <c r="F361">
        <v>3</v>
      </c>
      <c r="G361">
        <v>523</v>
      </c>
      <c r="H361">
        <v>0</v>
      </c>
      <c r="I361">
        <v>38</v>
      </c>
      <c r="J361" t="s">
        <v>810</v>
      </c>
      <c r="K361">
        <f>+WEEKNUM(AV_PLAN[[#This Row],[Días]])</f>
        <v>7</v>
      </c>
      <c r="L361" s="4">
        <f>IFERROR(AV_PLAN[[#This Row],[INICIO REAL ACUMULADO]]/AV_PLAN[[#This Row],[PLAN ACUMULADO]],"")</f>
        <v>0.17504332755632582</v>
      </c>
      <c r="M361" s="4">
        <f>IFERROR(AV_PLAN[[#This Row],[TERMINO REAL ACUMULADO]]/AV_PLAN[[#This Row],[TERMINO PLAN ACUMULADO]],"")</f>
        <v>7.2657743785850867E-2</v>
      </c>
      <c r="N361">
        <f>+AV_PLAN[[#This Row],[PLAN ACUMULADO]]-AV_PLAN[[#This Row],[INICIO REAL ACUMULADO]]</f>
        <v>476</v>
      </c>
      <c r="O361">
        <f>+AV_PLAN[[#This Row],[TERMINO PLAN ACUMULADO]]-AV_PLAN[[#This Row],[TERMINO REAL ACUMULADO]]</f>
        <v>485</v>
      </c>
      <c r="P3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1" s="7">
        <f>+AV_PLAN[[#This Row],[PLAN ACUMULADO]]/$C$471</f>
        <v>0.81960227272727271</v>
      </c>
      <c r="R361" s="7">
        <f t="shared" si="10"/>
        <v>0.14346590909090909</v>
      </c>
      <c r="S361" s="7">
        <f>+AV_PLAN[[#This Row],[TERMINO PLAN ACUMULADO]]/$G$471</f>
        <v>0.74289772727272729</v>
      </c>
      <c r="T361" s="7">
        <f t="shared" si="11"/>
        <v>5.3977272727272728E-2</v>
      </c>
      <c r="U361" s="7">
        <f>+(AV_PLAN[[#This Row],[%AVANCE INICIO PLANIFICADO]]+AV_PLAN[[#This Row],[%AVANCE TERMINO PLANIFICADO]])/2</f>
        <v>0.78125</v>
      </c>
    </row>
    <row r="362" spans="1:21" x14ac:dyDescent="0.25">
      <c r="A362" s="1">
        <v>46429</v>
      </c>
      <c r="B362">
        <v>3</v>
      </c>
      <c r="C362">
        <v>580</v>
      </c>
      <c r="D362">
        <v>0</v>
      </c>
      <c r="E362">
        <v>101</v>
      </c>
      <c r="F362">
        <v>3</v>
      </c>
      <c r="G362">
        <v>526</v>
      </c>
      <c r="H362">
        <v>0</v>
      </c>
      <c r="I362">
        <v>38</v>
      </c>
      <c r="J362" t="s">
        <v>810</v>
      </c>
      <c r="K362">
        <f>+WEEKNUM(AV_PLAN[[#This Row],[Días]])</f>
        <v>7</v>
      </c>
      <c r="L362" s="4">
        <f>IFERROR(AV_PLAN[[#This Row],[INICIO REAL ACUMULADO]]/AV_PLAN[[#This Row],[PLAN ACUMULADO]],"")</f>
        <v>0.17413793103448275</v>
      </c>
      <c r="M362" s="4">
        <f>IFERROR(AV_PLAN[[#This Row],[TERMINO REAL ACUMULADO]]/AV_PLAN[[#This Row],[TERMINO PLAN ACUMULADO]],"")</f>
        <v>7.2243346007604556E-2</v>
      </c>
      <c r="N362">
        <f>+AV_PLAN[[#This Row],[PLAN ACUMULADO]]-AV_PLAN[[#This Row],[INICIO REAL ACUMULADO]]</f>
        <v>479</v>
      </c>
      <c r="O362">
        <f>+AV_PLAN[[#This Row],[TERMINO PLAN ACUMULADO]]-AV_PLAN[[#This Row],[TERMINO REAL ACUMULADO]]</f>
        <v>488</v>
      </c>
      <c r="P3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2" s="7">
        <f>+AV_PLAN[[#This Row],[PLAN ACUMULADO]]/$C$471</f>
        <v>0.82386363636363635</v>
      </c>
      <c r="R362" s="7">
        <f t="shared" si="10"/>
        <v>0.14346590909090909</v>
      </c>
      <c r="S362" s="7">
        <f>+AV_PLAN[[#This Row],[TERMINO PLAN ACUMULADO]]/$G$471</f>
        <v>0.74715909090909094</v>
      </c>
      <c r="T362" s="7">
        <f t="shared" si="11"/>
        <v>5.3977272727272728E-2</v>
      </c>
      <c r="U362" s="7">
        <f>+(AV_PLAN[[#This Row],[%AVANCE INICIO PLANIFICADO]]+AV_PLAN[[#This Row],[%AVANCE TERMINO PLANIFICADO]])/2</f>
        <v>0.78551136363636365</v>
      </c>
    </row>
    <row r="363" spans="1:21" x14ac:dyDescent="0.25">
      <c r="A363" s="1">
        <v>46430</v>
      </c>
      <c r="B363">
        <v>3</v>
      </c>
      <c r="C363">
        <v>583</v>
      </c>
      <c r="D363">
        <v>0</v>
      </c>
      <c r="E363">
        <v>101</v>
      </c>
      <c r="F363">
        <v>1</v>
      </c>
      <c r="G363">
        <v>527</v>
      </c>
      <c r="H363">
        <v>0</v>
      </c>
      <c r="I363">
        <v>38</v>
      </c>
      <c r="J363" t="s">
        <v>810</v>
      </c>
      <c r="K363">
        <f>+WEEKNUM(AV_PLAN[[#This Row],[Días]])</f>
        <v>7</v>
      </c>
      <c r="L363" s="4">
        <f>IFERROR(AV_PLAN[[#This Row],[INICIO REAL ACUMULADO]]/AV_PLAN[[#This Row],[PLAN ACUMULADO]],"")</f>
        <v>0.1732418524871355</v>
      </c>
      <c r="M363" s="4">
        <f>IFERROR(AV_PLAN[[#This Row],[TERMINO REAL ACUMULADO]]/AV_PLAN[[#This Row],[TERMINO PLAN ACUMULADO]],"")</f>
        <v>7.2106261859582549E-2</v>
      </c>
      <c r="N363">
        <f>+AV_PLAN[[#This Row],[PLAN ACUMULADO]]-AV_PLAN[[#This Row],[INICIO REAL ACUMULADO]]</f>
        <v>482</v>
      </c>
      <c r="O363">
        <f>+AV_PLAN[[#This Row],[TERMINO PLAN ACUMULADO]]-AV_PLAN[[#This Row],[TERMINO REAL ACUMULADO]]</f>
        <v>489</v>
      </c>
      <c r="P3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3" s="7">
        <f>+AV_PLAN[[#This Row],[PLAN ACUMULADO]]/$C$471</f>
        <v>0.828125</v>
      </c>
      <c r="R363" s="7">
        <f t="shared" si="10"/>
        <v>0.14346590909090909</v>
      </c>
      <c r="S363" s="7">
        <f>+AV_PLAN[[#This Row],[TERMINO PLAN ACUMULADO]]/$G$471</f>
        <v>0.74857954545454541</v>
      </c>
      <c r="T363" s="7">
        <f t="shared" si="11"/>
        <v>5.3977272727272728E-2</v>
      </c>
      <c r="U363" s="7">
        <f>+(AV_PLAN[[#This Row],[%AVANCE INICIO PLANIFICADO]]+AV_PLAN[[#This Row],[%AVANCE TERMINO PLANIFICADO]])/2</f>
        <v>0.78835227272727271</v>
      </c>
    </row>
    <row r="364" spans="1:21" x14ac:dyDescent="0.25">
      <c r="A364" s="1">
        <v>46431</v>
      </c>
      <c r="B364">
        <v>0</v>
      </c>
      <c r="C364">
        <v>583</v>
      </c>
      <c r="D364">
        <v>0</v>
      </c>
      <c r="E364">
        <v>101</v>
      </c>
      <c r="F364">
        <v>2</v>
      </c>
      <c r="G364">
        <v>529</v>
      </c>
      <c r="H364">
        <v>0</v>
      </c>
      <c r="I364">
        <v>38</v>
      </c>
      <c r="J364" t="s">
        <v>810</v>
      </c>
      <c r="K364">
        <f>+WEEKNUM(AV_PLAN[[#This Row],[Días]])</f>
        <v>7</v>
      </c>
      <c r="L364" s="4">
        <f>IFERROR(AV_PLAN[[#This Row],[INICIO REAL ACUMULADO]]/AV_PLAN[[#This Row],[PLAN ACUMULADO]],"")</f>
        <v>0.1732418524871355</v>
      </c>
      <c r="M364" s="4">
        <f>IFERROR(AV_PLAN[[#This Row],[TERMINO REAL ACUMULADO]]/AV_PLAN[[#This Row],[TERMINO PLAN ACUMULADO]],"")</f>
        <v>7.1833648393194713E-2</v>
      </c>
      <c r="N364">
        <f>+AV_PLAN[[#This Row],[PLAN ACUMULADO]]-AV_PLAN[[#This Row],[INICIO REAL ACUMULADO]]</f>
        <v>482</v>
      </c>
      <c r="O364">
        <f>+AV_PLAN[[#This Row],[TERMINO PLAN ACUMULADO]]-AV_PLAN[[#This Row],[TERMINO REAL ACUMULADO]]</f>
        <v>491</v>
      </c>
      <c r="P3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4" s="7">
        <f>+AV_PLAN[[#This Row],[PLAN ACUMULADO]]/$C$471</f>
        <v>0.828125</v>
      </c>
      <c r="R364" s="7">
        <f t="shared" si="10"/>
        <v>0.14346590909090909</v>
      </c>
      <c r="S364" s="7">
        <f>+AV_PLAN[[#This Row],[TERMINO PLAN ACUMULADO]]/$G$471</f>
        <v>0.75142045454545459</v>
      </c>
      <c r="T364" s="7">
        <f t="shared" si="11"/>
        <v>5.3977272727272728E-2</v>
      </c>
      <c r="U364" s="7">
        <f>+(AV_PLAN[[#This Row],[%AVANCE INICIO PLANIFICADO]]+AV_PLAN[[#This Row],[%AVANCE TERMINO PLANIFICADO]])/2</f>
        <v>0.78977272727272729</v>
      </c>
    </row>
    <row r="365" spans="1:21" x14ac:dyDescent="0.25">
      <c r="A365" s="1">
        <v>46432</v>
      </c>
      <c r="B365">
        <v>0</v>
      </c>
      <c r="C365">
        <v>583</v>
      </c>
      <c r="D365">
        <v>0</v>
      </c>
      <c r="E365">
        <v>101</v>
      </c>
      <c r="F365">
        <v>4</v>
      </c>
      <c r="G365">
        <v>533</v>
      </c>
      <c r="H365">
        <v>0</v>
      </c>
      <c r="I365">
        <v>38</v>
      </c>
      <c r="J365" t="s">
        <v>810</v>
      </c>
      <c r="K365">
        <f>+WEEKNUM(AV_PLAN[[#This Row],[Días]])</f>
        <v>8</v>
      </c>
      <c r="L365" s="4">
        <f>IFERROR(AV_PLAN[[#This Row],[INICIO REAL ACUMULADO]]/AV_PLAN[[#This Row],[PLAN ACUMULADO]],"")</f>
        <v>0.1732418524871355</v>
      </c>
      <c r="M365" s="4">
        <f>IFERROR(AV_PLAN[[#This Row],[TERMINO REAL ACUMULADO]]/AV_PLAN[[#This Row],[TERMINO PLAN ACUMULADO]],"")</f>
        <v>7.1294559099437146E-2</v>
      </c>
      <c r="N365">
        <f>+AV_PLAN[[#This Row],[PLAN ACUMULADO]]-AV_PLAN[[#This Row],[INICIO REAL ACUMULADO]]</f>
        <v>482</v>
      </c>
      <c r="O365">
        <f>+AV_PLAN[[#This Row],[TERMINO PLAN ACUMULADO]]-AV_PLAN[[#This Row],[TERMINO REAL ACUMULADO]]</f>
        <v>495</v>
      </c>
      <c r="P3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5" s="7">
        <f>+AV_PLAN[[#This Row],[PLAN ACUMULADO]]/$C$471</f>
        <v>0.828125</v>
      </c>
      <c r="R365" s="7">
        <f t="shared" si="10"/>
        <v>0.14346590909090909</v>
      </c>
      <c r="S365" s="7">
        <f>+AV_PLAN[[#This Row],[TERMINO PLAN ACUMULADO]]/$G$471</f>
        <v>0.75710227272727271</v>
      </c>
      <c r="T365" s="7">
        <f t="shared" si="11"/>
        <v>5.3977272727272728E-2</v>
      </c>
      <c r="U365" s="7">
        <f>+(AV_PLAN[[#This Row],[%AVANCE INICIO PLANIFICADO]]+AV_PLAN[[#This Row],[%AVANCE TERMINO PLANIFICADO]])/2</f>
        <v>0.79261363636363635</v>
      </c>
    </row>
    <row r="366" spans="1:21" x14ac:dyDescent="0.25">
      <c r="A366" s="1">
        <v>46433</v>
      </c>
      <c r="B366">
        <v>3</v>
      </c>
      <c r="C366">
        <v>586</v>
      </c>
      <c r="D366">
        <v>0</v>
      </c>
      <c r="E366">
        <v>101</v>
      </c>
      <c r="F366">
        <v>1</v>
      </c>
      <c r="G366">
        <v>534</v>
      </c>
      <c r="H366">
        <v>0</v>
      </c>
      <c r="I366">
        <v>38</v>
      </c>
      <c r="J366" t="s">
        <v>810</v>
      </c>
      <c r="K366">
        <f>+WEEKNUM(AV_PLAN[[#This Row],[Días]])</f>
        <v>8</v>
      </c>
      <c r="L366" s="4">
        <f>IFERROR(AV_PLAN[[#This Row],[INICIO REAL ACUMULADO]]/AV_PLAN[[#This Row],[PLAN ACUMULADO]],"")</f>
        <v>0.17235494880546076</v>
      </c>
      <c r="M366" s="4">
        <f>IFERROR(AV_PLAN[[#This Row],[TERMINO REAL ACUMULADO]]/AV_PLAN[[#This Row],[TERMINO PLAN ACUMULADO]],"")</f>
        <v>7.116104868913857E-2</v>
      </c>
      <c r="N366">
        <f>+AV_PLAN[[#This Row],[PLAN ACUMULADO]]-AV_PLAN[[#This Row],[INICIO REAL ACUMULADO]]</f>
        <v>485</v>
      </c>
      <c r="O366">
        <f>+AV_PLAN[[#This Row],[TERMINO PLAN ACUMULADO]]-AV_PLAN[[#This Row],[TERMINO REAL ACUMULADO]]</f>
        <v>496</v>
      </c>
      <c r="P3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6" s="7">
        <f>+AV_PLAN[[#This Row],[PLAN ACUMULADO]]/$C$471</f>
        <v>0.83238636363636365</v>
      </c>
      <c r="R366" s="7">
        <f t="shared" si="10"/>
        <v>0.14346590909090909</v>
      </c>
      <c r="S366" s="7">
        <f>+AV_PLAN[[#This Row],[TERMINO PLAN ACUMULADO]]/$G$471</f>
        <v>0.75852272727272729</v>
      </c>
      <c r="T366" s="7">
        <f t="shared" si="11"/>
        <v>5.3977272727272728E-2</v>
      </c>
      <c r="U366" s="7">
        <f>+(AV_PLAN[[#This Row],[%AVANCE INICIO PLANIFICADO]]+AV_PLAN[[#This Row],[%AVANCE TERMINO PLANIFICADO]])/2</f>
        <v>0.79545454545454541</v>
      </c>
    </row>
    <row r="367" spans="1:21" x14ac:dyDescent="0.25">
      <c r="A367" s="1">
        <v>46434</v>
      </c>
      <c r="B367">
        <v>3</v>
      </c>
      <c r="C367">
        <v>589</v>
      </c>
      <c r="D367">
        <v>0</v>
      </c>
      <c r="E367">
        <v>101</v>
      </c>
      <c r="F367">
        <v>1</v>
      </c>
      <c r="G367">
        <v>535</v>
      </c>
      <c r="H367">
        <v>0</v>
      </c>
      <c r="I367">
        <v>38</v>
      </c>
      <c r="J367" t="s">
        <v>810</v>
      </c>
      <c r="K367">
        <f>+WEEKNUM(AV_PLAN[[#This Row],[Días]])</f>
        <v>8</v>
      </c>
      <c r="L367" s="4">
        <f>IFERROR(AV_PLAN[[#This Row],[INICIO REAL ACUMULADO]]/AV_PLAN[[#This Row],[PLAN ACUMULADO]],"")</f>
        <v>0.17147707979626486</v>
      </c>
      <c r="M367" s="4">
        <f>IFERROR(AV_PLAN[[#This Row],[TERMINO REAL ACUMULADO]]/AV_PLAN[[#This Row],[TERMINO PLAN ACUMULADO]],"")</f>
        <v>7.1028037383177575E-2</v>
      </c>
      <c r="N367">
        <f>+AV_PLAN[[#This Row],[PLAN ACUMULADO]]-AV_PLAN[[#This Row],[INICIO REAL ACUMULADO]]</f>
        <v>488</v>
      </c>
      <c r="O367">
        <f>+AV_PLAN[[#This Row],[TERMINO PLAN ACUMULADO]]-AV_PLAN[[#This Row],[TERMINO REAL ACUMULADO]]</f>
        <v>497</v>
      </c>
      <c r="P3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7" s="7">
        <f>+AV_PLAN[[#This Row],[PLAN ACUMULADO]]/$C$471</f>
        <v>0.83664772727272729</v>
      </c>
      <c r="R367" s="7">
        <f t="shared" si="10"/>
        <v>0.14346590909090909</v>
      </c>
      <c r="S367" s="7">
        <f>+AV_PLAN[[#This Row],[TERMINO PLAN ACUMULADO]]/$G$471</f>
        <v>0.75994318181818177</v>
      </c>
      <c r="T367" s="7">
        <f t="shared" si="11"/>
        <v>5.3977272727272728E-2</v>
      </c>
      <c r="U367" s="7">
        <f>+(AV_PLAN[[#This Row],[%AVANCE INICIO PLANIFICADO]]+AV_PLAN[[#This Row],[%AVANCE TERMINO PLANIFICADO]])/2</f>
        <v>0.79829545454545459</v>
      </c>
    </row>
    <row r="368" spans="1:21" x14ac:dyDescent="0.25">
      <c r="A368" s="1">
        <v>46435</v>
      </c>
      <c r="B368">
        <v>3</v>
      </c>
      <c r="C368">
        <v>592</v>
      </c>
      <c r="D368">
        <v>0</v>
      </c>
      <c r="E368">
        <v>101</v>
      </c>
      <c r="F368">
        <v>3</v>
      </c>
      <c r="G368">
        <v>538</v>
      </c>
      <c r="H368">
        <v>0</v>
      </c>
      <c r="I368">
        <v>38</v>
      </c>
      <c r="J368" t="s">
        <v>810</v>
      </c>
      <c r="K368">
        <f>+WEEKNUM(AV_PLAN[[#This Row],[Días]])</f>
        <v>8</v>
      </c>
      <c r="L368" s="4">
        <f>IFERROR(AV_PLAN[[#This Row],[INICIO REAL ACUMULADO]]/AV_PLAN[[#This Row],[PLAN ACUMULADO]],"")</f>
        <v>0.17060810810810811</v>
      </c>
      <c r="M368" s="4">
        <f>IFERROR(AV_PLAN[[#This Row],[TERMINO REAL ACUMULADO]]/AV_PLAN[[#This Row],[TERMINO PLAN ACUMULADO]],"")</f>
        <v>7.0631970260223054E-2</v>
      </c>
      <c r="N368">
        <f>+AV_PLAN[[#This Row],[PLAN ACUMULADO]]-AV_PLAN[[#This Row],[INICIO REAL ACUMULADO]]</f>
        <v>491</v>
      </c>
      <c r="O368">
        <f>+AV_PLAN[[#This Row],[TERMINO PLAN ACUMULADO]]-AV_PLAN[[#This Row],[TERMINO REAL ACUMULADO]]</f>
        <v>500</v>
      </c>
      <c r="P3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8" s="7">
        <f>+AV_PLAN[[#This Row],[PLAN ACUMULADO]]/$C$471</f>
        <v>0.84090909090909094</v>
      </c>
      <c r="R368" s="7">
        <f t="shared" si="10"/>
        <v>0.14346590909090909</v>
      </c>
      <c r="S368" s="7">
        <f>+AV_PLAN[[#This Row],[TERMINO PLAN ACUMULADO]]/$G$471</f>
        <v>0.76420454545454541</v>
      </c>
      <c r="T368" s="7">
        <f t="shared" si="11"/>
        <v>5.3977272727272728E-2</v>
      </c>
      <c r="U368" s="7">
        <f>+(AV_PLAN[[#This Row],[%AVANCE INICIO PLANIFICADO]]+AV_PLAN[[#This Row],[%AVANCE TERMINO PLANIFICADO]])/2</f>
        <v>0.80255681818181812</v>
      </c>
    </row>
    <row r="369" spans="1:21" x14ac:dyDescent="0.25">
      <c r="A369" s="1">
        <v>46436</v>
      </c>
      <c r="B369">
        <v>3</v>
      </c>
      <c r="C369">
        <v>595</v>
      </c>
      <c r="D369">
        <v>0</v>
      </c>
      <c r="E369">
        <v>101</v>
      </c>
      <c r="F369">
        <v>3</v>
      </c>
      <c r="G369">
        <v>541</v>
      </c>
      <c r="H369">
        <v>0</v>
      </c>
      <c r="I369">
        <v>38</v>
      </c>
      <c r="J369" t="s">
        <v>810</v>
      </c>
      <c r="K369">
        <f>+WEEKNUM(AV_PLAN[[#This Row],[Días]])</f>
        <v>8</v>
      </c>
      <c r="L369" s="4">
        <f>IFERROR(AV_PLAN[[#This Row],[INICIO REAL ACUMULADO]]/AV_PLAN[[#This Row],[PLAN ACUMULADO]],"")</f>
        <v>0.16974789915966387</v>
      </c>
      <c r="M369" s="4">
        <f>IFERROR(AV_PLAN[[#This Row],[TERMINO REAL ACUMULADO]]/AV_PLAN[[#This Row],[TERMINO PLAN ACUMULADO]],"")</f>
        <v>7.0240295748613679E-2</v>
      </c>
      <c r="N369">
        <f>+AV_PLAN[[#This Row],[PLAN ACUMULADO]]-AV_PLAN[[#This Row],[INICIO REAL ACUMULADO]]</f>
        <v>494</v>
      </c>
      <c r="O369">
        <f>+AV_PLAN[[#This Row],[TERMINO PLAN ACUMULADO]]-AV_PLAN[[#This Row],[TERMINO REAL ACUMULADO]]</f>
        <v>503</v>
      </c>
      <c r="P3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9" s="7">
        <f>+AV_PLAN[[#This Row],[PLAN ACUMULADO]]/$C$471</f>
        <v>0.84517045454545459</v>
      </c>
      <c r="R369" s="7">
        <f t="shared" si="10"/>
        <v>0.14346590909090909</v>
      </c>
      <c r="S369" s="7">
        <f>+AV_PLAN[[#This Row],[TERMINO PLAN ACUMULADO]]/$G$471</f>
        <v>0.76846590909090906</v>
      </c>
      <c r="T369" s="7">
        <f t="shared" si="11"/>
        <v>5.3977272727272728E-2</v>
      </c>
      <c r="U369" s="7">
        <f>+(AV_PLAN[[#This Row],[%AVANCE INICIO PLANIFICADO]]+AV_PLAN[[#This Row],[%AVANCE TERMINO PLANIFICADO]])/2</f>
        <v>0.80681818181818188</v>
      </c>
    </row>
    <row r="370" spans="1:21" x14ac:dyDescent="0.25">
      <c r="A370" s="1">
        <v>46437</v>
      </c>
      <c r="B370">
        <v>3</v>
      </c>
      <c r="C370">
        <v>598</v>
      </c>
      <c r="D370">
        <v>0</v>
      </c>
      <c r="E370">
        <v>101</v>
      </c>
      <c r="F370">
        <v>2</v>
      </c>
      <c r="G370">
        <v>543</v>
      </c>
      <c r="H370">
        <v>0</v>
      </c>
      <c r="I370">
        <v>38</v>
      </c>
      <c r="J370" t="s">
        <v>810</v>
      </c>
      <c r="K370">
        <f>+WEEKNUM(AV_PLAN[[#This Row],[Días]])</f>
        <v>8</v>
      </c>
      <c r="L370" s="4">
        <f>IFERROR(AV_PLAN[[#This Row],[INICIO REAL ACUMULADO]]/AV_PLAN[[#This Row],[PLAN ACUMULADO]],"")</f>
        <v>0.16889632107023411</v>
      </c>
      <c r="M370" s="4">
        <f>IFERROR(AV_PLAN[[#This Row],[TERMINO REAL ACUMULADO]]/AV_PLAN[[#This Row],[TERMINO PLAN ACUMULADO]],"")</f>
        <v>6.9981583793738492E-2</v>
      </c>
      <c r="N370">
        <f>+AV_PLAN[[#This Row],[PLAN ACUMULADO]]-AV_PLAN[[#This Row],[INICIO REAL ACUMULADO]]</f>
        <v>497</v>
      </c>
      <c r="O370">
        <f>+AV_PLAN[[#This Row],[TERMINO PLAN ACUMULADO]]-AV_PLAN[[#This Row],[TERMINO REAL ACUMULADO]]</f>
        <v>505</v>
      </c>
      <c r="P3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0" s="7">
        <f>+AV_PLAN[[#This Row],[PLAN ACUMULADO]]/$C$471</f>
        <v>0.84943181818181823</v>
      </c>
      <c r="R370" s="7">
        <f t="shared" si="10"/>
        <v>0.14346590909090909</v>
      </c>
      <c r="S370" s="7">
        <f>+AV_PLAN[[#This Row],[TERMINO PLAN ACUMULADO]]/$G$471</f>
        <v>0.77130681818181823</v>
      </c>
      <c r="T370" s="7">
        <f t="shared" si="11"/>
        <v>5.3977272727272728E-2</v>
      </c>
      <c r="U370" s="7">
        <f>+(AV_PLAN[[#This Row],[%AVANCE INICIO PLANIFICADO]]+AV_PLAN[[#This Row],[%AVANCE TERMINO PLANIFICADO]])/2</f>
        <v>0.81036931818181823</v>
      </c>
    </row>
    <row r="371" spans="1:21" x14ac:dyDescent="0.25">
      <c r="A371" s="1">
        <v>46438</v>
      </c>
      <c r="B371">
        <v>0</v>
      </c>
      <c r="C371">
        <v>598</v>
      </c>
      <c r="D371">
        <v>0</v>
      </c>
      <c r="E371">
        <v>101</v>
      </c>
      <c r="F371">
        <v>2</v>
      </c>
      <c r="G371">
        <v>545</v>
      </c>
      <c r="H371">
        <v>0</v>
      </c>
      <c r="I371">
        <v>38</v>
      </c>
      <c r="J371" t="s">
        <v>810</v>
      </c>
      <c r="K371">
        <f>+WEEKNUM(AV_PLAN[[#This Row],[Días]])</f>
        <v>8</v>
      </c>
      <c r="L371" s="4">
        <f>IFERROR(AV_PLAN[[#This Row],[INICIO REAL ACUMULADO]]/AV_PLAN[[#This Row],[PLAN ACUMULADO]],"")</f>
        <v>0.16889632107023411</v>
      </c>
      <c r="M371" s="4">
        <f>IFERROR(AV_PLAN[[#This Row],[TERMINO REAL ACUMULADO]]/AV_PLAN[[#This Row],[TERMINO PLAN ACUMULADO]],"")</f>
        <v>6.9724770642201839E-2</v>
      </c>
      <c r="N371">
        <f>+AV_PLAN[[#This Row],[PLAN ACUMULADO]]-AV_PLAN[[#This Row],[INICIO REAL ACUMULADO]]</f>
        <v>497</v>
      </c>
      <c r="O371">
        <f>+AV_PLAN[[#This Row],[TERMINO PLAN ACUMULADO]]-AV_PLAN[[#This Row],[TERMINO REAL ACUMULADO]]</f>
        <v>507</v>
      </c>
      <c r="P3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1" s="7">
        <f>+AV_PLAN[[#This Row],[PLAN ACUMULADO]]/$C$471</f>
        <v>0.84943181818181823</v>
      </c>
      <c r="R371" s="7">
        <f t="shared" si="10"/>
        <v>0.14346590909090909</v>
      </c>
      <c r="S371" s="7">
        <f>+AV_PLAN[[#This Row],[TERMINO PLAN ACUMULADO]]/$G$471</f>
        <v>0.77414772727272729</v>
      </c>
      <c r="T371" s="7">
        <f t="shared" si="11"/>
        <v>5.3977272727272728E-2</v>
      </c>
      <c r="U371" s="7">
        <f>+(AV_PLAN[[#This Row],[%AVANCE INICIO PLANIFICADO]]+AV_PLAN[[#This Row],[%AVANCE TERMINO PLANIFICADO]])/2</f>
        <v>0.81178977272727271</v>
      </c>
    </row>
    <row r="372" spans="1:21" x14ac:dyDescent="0.25">
      <c r="A372" s="1">
        <v>46439</v>
      </c>
      <c r="B372">
        <v>0</v>
      </c>
      <c r="C372">
        <v>598</v>
      </c>
      <c r="D372">
        <v>0</v>
      </c>
      <c r="E372">
        <v>101</v>
      </c>
      <c r="F372">
        <v>2</v>
      </c>
      <c r="G372">
        <v>547</v>
      </c>
      <c r="H372">
        <v>0</v>
      </c>
      <c r="I372">
        <v>38</v>
      </c>
      <c r="J372" t="s">
        <v>810</v>
      </c>
      <c r="K372">
        <f>+WEEKNUM(AV_PLAN[[#This Row],[Días]])</f>
        <v>9</v>
      </c>
      <c r="L372" s="4">
        <f>IFERROR(AV_PLAN[[#This Row],[INICIO REAL ACUMULADO]]/AV_PLAN[[#This Row],[PLAN ACUMULADO]],"")</f>
        <v>0.16889632107023411</v>
      </c>
      <c r="M372" s="4">
        <f>IFERROR(AV_PLAN[[#This Row],[TERMINO REAL ACUMULADO]]/AV_PLAN[[#This Row],[TERMINO PLAN ACUMULADO]],"")</f>
        <v>6.9469835466179158E-2</v>
      </c>
      <c r="N372">
        <f>+AV_PLAN[[#This Row],[PLAN ACUMULADO]]-AV_PLAN[[#This Row],[INICIO REAL ACUMULADO]]</f>
        <v>497</v>
      </c>
      <c r="O372">
        <f>+AV_PLAN[[#This Row],[TERMINO PLAN ACUMULADO]]-AV_PLAN[[#This Row],[TERMINO REAL ACUMULADO]]</f>
        <v>509</v>
      </c>
      <c r="P3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2" s="7">
        <f>+AV_PLAN[[#This Row],[PLAN ACUMULADO]]/$C$471</f>
        <v>0.84943181818181823</v>
      </c>
      <c r="R372" s="7">
        <f t="shared" si="10"/>
        <v>0.14346590909090909</v>
      </c>
      <c r="S372" s="7">
        <f>+AV_PLAN[[#This Row],[TERMINO PLAN ACUMULADO]]/$G$471</f>
        <v>0.77698863636363635</v>
      </c>
      <c r="T372" s="7">
        <f t="shared" si="11"/>
        <v>5.3977272727272728E-2</v>
      </c>
      <c r="U372" s="7">
        <f>+(AV_PLAN[[#This Row],[%AVANCE INICIO PLANIFICADO]]+AV_PLAN[[#This Row],[%AVANCE TERMINO PLANIFICADO]])/2</f>
        <v>0.81321022727272729</v>
      </c>
    </row>
    <row r="373" spans="1:21" x14ac:dyDescent="0.25">
      <c r="A373" s="1">
        <v>46440</v>
      </c>
      <c r="B373">
        <v>3</v>
      </c>
      <c r="C373">
        <v>601</v>
      </c>
      <c r="D373">
        <v>0</v>
      </c>
      <c r="E373">
        <v>101</v>
      </c>
      <c r="F373">
        <v>1</v>
      </c>
      <c r="G373">
        <v>548</v>
      </c>
      <c r="H373">
        <v>0</v>
      </c>
      <c r="I373">
        <v>38</v>
      </c>
      <c r="J373" t="s">
        <v>810</v>
      </c>
      <c r="K373">
        <f>+WEEKNUM(AV_PLAN[[#This Row],[Días]])</f>
        <v>9</v>
      </c>
      <c r="L373" s="4">
        <f>IFERROR(AV_PLAN[[#This Row],[INICIO REAL ACUMULADO]]/AV_PLAN[[#This Row],[PLAN ACUMULADO]],"")</f>
        <v>0.16805324459234608</v>
      </c>
      <c r="M373" s="4">
        <f>IFERROR(AV_PLAN[[#This Row],[TERMINO REAL ACUMULADO]]/AV_PLAN[[#This Row],[TERMINO PLAN ACUMULADO]],"")</f>
        <v>6.9343065693430656E-2</v>
      </c>
      <c r="N373">
        <f>+AV_PLAN[[#This Row],[PLAN ACUMULADO]]-AV_PLAN[[#This Row],[INICIO REAL ACUMULADO]]</f>
        <v>500</v>
      </c>
      <c r="O373">
        <f>+AV_PLAN[[#This Row],[TERMINO PLAN ACUMULADO]]-AV_PLAN[[#This Row],[TERMINO REAL ACUMULADO]]</f>
        <v>510</v>
      </c>
      <c r="P3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3" s="7">
        <f>+AV_PLAN[[#This Row],[PLAN ACUMULADO]]/$C$471</f>
        <v>0.85369318181818177</v>
      </c>
      <c r="R373" s="7">
        <f t="shared" si="10"/>
        <v>0.14346590909090909</v>
      </c>
      <c r="S373" s="7">
        <f>+AV_PLAN[[#This Row],[TERMINO PLAN ACUMULADO]]/$G$471</f>
        <v>0.77840909090909094</v>
      </c>
      <c r="T373" s="7">
        <f t="shared" si="11"/>
        <v>5.3977272727272728E-2</v>
      </c>
      <c r="U373" s="7">
        <f>+(AV_PLAN[[#This Row],[%AVANCE INICIO PLANIFICADO]]+AV_PLAN[[#This Row],[%AVANCE TERMINO PLANIFICADO]])/2</f>
        <v>0.81605113636363635</v>
      </c>
    </row>
    <row r="374" spans="1:21" x14ac:dyDescent="0.25">
      <c r="A374" s="1">
        <v>46441</v>
      </c>
      <c r="B374">
        <v>3</v>
      </c>
      <c r="C374">
        <v>604</v>
      </c>
      <c r="D374">
        <v>0</v>
      </c>
      <c r="E374">
        <v>101</v>
      </c>
      <c r="F374">
        <v>2</v>
      </c>
      <c r="G374">
        <v>550</v>
      </c>
      <c r="H374">
        <v>0</v>
      </c>
      <c r="I374">
        <v>38</v>
      </c>
      <c r="J374" t="s">
        <v>810</v>
      </c>
      <c r="K374">
        <f>+WEEKNUM(AV_PLAN[[#This Row],[Días]])</f>
        <v>9</v>
      </c>
      <c r="L374" s="4">
        <f>IFERROR(AV_PLAN[[#This Row],[INICIO REAL ACUMULADO]]/AV_PLAN[[#This Row],[PLAN ACUMULADO]],"")</f>
        <v>0.16721854304635761</v>
      </c>
      <c r="M374" s="4">
        <f>IFERROR(AV_PLAN[[#This Row],[TERMINO REAL ACUMULADO]]/AV_PLAN[[#This Row],[TERMINO PLAN ACUMULADO]],"")</f>
        <v>6.9090909090909092E-2</v>
      </c>
      <c r="N374">
        <f>+AV_PLAN[[#This Row],[PLAN ACUMULADO]]-AV_PLAN[[#This Row],[INICIO REAL ACUMULADO]]</f>
        <v>503</v>
      </c>
      <c r="O374">
        <f>+AV_PLAN[[#This Row],[TERMINO PLAN ACUMULADO]]-AV_PLAN[[#This Row],[TERMINO REAL ACUMULADO]]</f>
        <v>512</v>
      </c>
      <c r="P3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4" s="7">
        <f>+AV_PLAN[[#This Row],[PLAN ACUMULADO]]/$C$471</f>
        <v>0.85795454545454541</v>
      </c>
      <c r="R374" s="7">
        <f t="shared" si="10"/>
        <v>0.14346590909090909</v>
      </c>
      <c r="S374" s="7">
        <f>+AV_PLAN[[#This Row],[TERMINO PLAN ACUMULADO]]/$G$471</f>
        <v>0.78125</v>
      </c>
      <c r="T374" s="7">
        <f t="shared" si="11"/>
        <v>5.3977272727272728E-2</v>
      </c>
      <c r="U374" s="7">
        <f>+(AV_PLAN[[#This Row],[%AVANCE INICIO PLANIFICADO]]+AV_PLAN[[#This Row],[%AVANCE TERMINO PLANIFICADO]])/2</f>
        <v>0.81960227272727271</v>
      </c>
    </row>
    <row r="375" spans="1:21" x14ac:dyDescent="0.25">
      <c r="A375" s="1">
        <v>46442</v>
      </c>
      <c r="B375">
        <v>3</v>
      </c>
      <c r="C375">
        <v>607</v>
      </c>
      <c r="D375">
        <v>0</v>
      </c>
      <c r="E375">
        <v>101</v>
      </c>
      <c r="F375">
        <v>3</v>
      </c>
      <c r="G375">
        <v>553</v>
      </c>
      <c r="H375">
        <v>0</v>
      </c>
      <c r="I375">
        <v>38</v>
      </c>
      <c r="J375" t="s">
        <v>810</v>
      </c>
      <c r="K375">
        <f>+WEEKNUM(AV_PLAN[[#This Row],[Días]])</f>
        <v>9</v>
      </c>
      <c r="L375" s="4">
        <f>IFERROR(AV_PLAN[[#This Row],[INICIO REAL ACUMULADO]]/AV_PLAN[[#This Row],[PLAN ACUMULADO]],"")</f>
        <v>0.16639209225700163</v>
      </c>
      <c r="M375" s="4">
        <f>IFERROR(AV_PLAN[[#This Row],[TERMINO REAL ACUMULADO]]/AV_PLAN[[#This Row],[TERMINO PLAN ACUMULADO]],"")</f>
        <v>6.8716094032549732E-2</v>
      </c>
      <c r="N375">
        <f>+AV_PLAN[[#This Row],[PLAN ACUMULADO]]-AV_PLAN[[#This Row],[INICIO REAL ACUMULADO]]</f>
        <v>506</v>
      </c>
      <c r="O375">
        <f>+AV_PLAN[[#This Row],[TERMINO PLAN ACUMULADO]]-AV_PLAN[[#This Row],[TERMINO REAL ACUMULADO]]</f>
        <v>515</v>
      </c>
      <c r="P3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5" s="7">
        <f>+AV_PLAN[[#This Row],[PLAN ACUMULADO]]/$C$471</f>
        <v>0.86221590909090906</v>
      </c>
      <c r="R375" s="7">
        <f t="shared" si="10"/>
        <v>0.14346590909090909</v>
      </c>
      <c r="S375" s="7">
        <f>+AV_PLAN[[#This Row],[TERMINO PLAN ACUMULADO]]/$G$471</f>
        <v>0.78551136363636365</v>
      </c>
      <c r="T375" s="7">
        <f t="shared" si="11"/>
        <v>5.3977272727272728E-2</v>
      </c>
      <c r="U375" s="7">
        <f>+(AV_PLAN[[#This Row],[%AVANCE INICIO PLANIFICADO]]+AV_PLAN[[#This Row],[%AVANCE TERMINO PLANIFICADO]])/2</f>
        <v>0.82386363636363635</v>
      </c>
    </row>
    <row r="376" spans="1:21" x14ac:dyDescent="0.25">
      <c r="A376" s="1">
        <v>46443</v>
      </c>
      <c r="B376">
        <v>3</v>
      </c>
      <c r="C376">
        <v>610</v>
      </c>
      <c r="D376">
        <v>0</v>
      </c>
      <c r="E376">
        <v>101</v>
      </c>
      <c r="F376">
        <v>3</v>
      </c>
      <c r="G376">
        <v>556</v>
      </c>
      <c r="H376">
        <v>0</v>
      </c>
      <c r="I376">
        <v>38</v>
      </c>
      <c r="J376" t="s">
        <v>810</v>
      </c>
      <c r="K376">
        <f>+WEEKNUM(AV_PLAN[[#This Row],[Días]])</f>
        <v>9</v>
      </c>
      <c r="L376" s="4">
        <f>IFERROR(AV_PLAN[[#This Row],[INICIO REAL ACUMULADO]]/AV_PLAN[[#This Row],[PLAN ACUMULADO]],"")</f>
        <v>0.16557377049180327</v>
      </c>
      <c r="M376" s="4">
        <f>IFERROR(AV_PLAN[[#This Row],[TERMINO REAL ACUMULADO]]/AV_PLAN[[#This Row],[TERMINO PLAN ACUMULADO]],"")</f>
        <v>6.83453237410072E-2</v>
      </c>
      <c r="N376">
        <f>+AV_PLAN[[#This Row],[PLAN ACUMULADO]]-AV_PLAN[[#This Row],[INICIO REAL ACUMULADO]]</f>
        <v>509</v>
      </c>
      <c r="O376">
        <f>+AV_PLAN[[#This Row],[TERMINO PLAN ACUMULADO]]-AV_PLAN[[#This Row],[TERMINO REAL ACUMULADO]]</f>
        <v>518</v>
      </c>
      <c r="P3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6" s="7">
        <f>+AV_PLAN[[#This Row],[PLAN ACUMULADO]]/$C$471</f>
        <v>0.86647727272727271</v>
      </c>
      <c r="R376" s="7">
        <f t="shared" si="10"/>
        <v>0.14346590909090909</v>
      </c>
      <c r="S376" s="7">
        <f>+AV_PLAN[[#This Row],[TERMINO PLAN ACUMULADO]]/$G$471</f>
        <v>0.78977272727272729</v>
      </c>
      <c r="T376" s="7">
        <f t="shared" si="11"/>
        <v>5.3977272727272728E-2</v>
      </c>
      <c r="U376" s="7">
        <f>+(AV_PLAN[[#This Row],[%AVANCE INICIO PLANIFICADO]]+AV_PLAN[[#This Row],[%AVANCE TERMINO PLANIFICADO]])/2</f>
        <v>0.828125</v>
      </c>
    </row>
    <row r="377" spans="1:21" x14ac:dyDescent="0.25">
      <c r="A377" s="1">
        <v>46444</v>
      </c>
      <c r="B377">
        <v>3</v>
      </c>
      <c r="C377">
        <v>613</v>
      </c>
      <c r="D377">
        <v>0</v>
      </c>
      <c r="E377">
        <v>101</v>
      </c>
      <c r="F377">
        <v>2</v>
      </c>
      <c r="G377">
        <v>558</v>
      </c>
      <c r="H377">
        <v>0</v>
      </c>
      <c r="I377">
        <v>38</v>
      </c>
      <c r="J377" t="s">
        <v>810</v>
      </c>
      <c r="K377">
        <f>+WEEKNUM(AV_PLAN[[#This Row],[Días]])</f>
        <v>9</v>
      </c>
      <c r="L377" s="4">
        <f>IFERROR(AV_PLAN[[#This Row],[INICIO REAL ACUMULADO]]/AV_PLAN[[#This Row],[PLAN ACUMULADO]],"")</f>
        <v>0.16476345840130505</v>
      </c>
      <c r="M377" s="4">
        <f>IFERROR(AV_PLAN[[#This Row],[TERMINO REAL ACUMULADO]]/AV_PLAN[[#This Row],[TERMINO PLAN ACUMULADO]],"")</f>
        <v>6.8100358422939072E-2</v>
      </c>
      <c r="N377">
        <f>+AV_PLAN[[#This Row],[PLAN ACUMULADO]]-AV_PLAN[[#This Row],[INICIO REAL ACUMULADO]]</f>
        <v>512</v>
      </c>
      <c r="O377">
        <f>+AV_PLAN[[#This Row],[TERMINO PLAN ACUMULADO]]-AV_PLAN[[#This Row],[TERMINO REAL ACUMULADO]]</f>
        <v>520</v>
      </c>
      <c r="P3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7" s="7">
        <f>+AV_PLAN[[#This Row],[PLAN ACUMULADO]]/$C$471</f>
        <v>0.87073863636363635</v>
      </c>
      <c r="R377" s="7">
        <f t="shared" si="10"/>
        <v>0.14346590909090909</v>
      </c>
      <c r="S377" s="7">
        <f>+AV_PLAN[[#This Row],[TERMINO PLAN ACUMULADO]]/$G$471</f>
        <v>0.79261363636363635</v>
      </c>
      <c r="T377" s="7">
        <f t="shared" si="11"/>
        <v>5.3977272727272728E-2</v>
      </c>
      <c r="U377" s="7">
        <f>+(AV_PLAN[[#This Row],[%AVANCE INICIO PLANIFICADO]]+AV_PLAN[[#This Row],[%AVANCE TERMINO PLANIFICADO]])/2</f>
        <v>0.83167613636363635</v>
      </c>
    </row>
    <row r="378" spans="1:21" x14ac:dyDescent="0.25">
      <c r="A378" s="1">
        <v>46445</v>
      </c>
      <c r="B378">
        <v>0</v>
      </c>
      <c r="C378">
        <v>613</v>
      </c>
      <c r="D378">
        <v>0</v>
      </c>
      <c r="E378">
        <v>101</v>
      </c>
      <c r="F378">
        <v>1</v>
      </c>
      <c r="G378">
        <v>559</v>
      </c>
      <c r="H378">
        <v>0</v>
      </c>
      <c r="I378">
        <v>38</v>
      </c>
      <c r="J378" t="s">
        <v>810</v>
      </c>
      <c r="K378">
        <f>+WEEKNUM(AV_PLAN[[#This Row],[Días]])</f>
        <v>9</v>
      </c>
      <c r="L378" s="4">
        <f>IFERROR(AV_PLAN[[#This Row],[INICIO REAL ACUMULADO]]/AV_PLAN[[#This Row],[PLAN ACUMULADO]],"")</f>
        <v>0.16476345840130505</v>
      </c>
      <c r="M378" s="4">
        <f>IFERROR(AV_PLAN[[#This Row],[TERMINO REAL ACUMULADO]]/AV_PLAN[[#This Row],[TERMINO PLAN ACUMULADO]],"")</f>
        <v>6.7978533094812166E-2</v>
      </c>
      <c r="N378">
        <f>+AV_PLAN[[#This Row],[PLAN ACUMULADO]]-AV_PLAN[[#This Row],[INICIO REAL ACUMULADO]]</f>
        <v>512</v>
      </c>
      <c r="O378">
        <f>+AV_PLAN[[#This Row],[TERMINO PLAN ACUMULADO]]-AV_PLAN[[#This Row],[TERMINO REAL ACUMULADO]]</f>
        <v>521</v>
      </c>
      <c r="P3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8" s="7">
        <f>+AV_PLAN[[#This Row],[PLAN ACUMULADO]]/$C$471</f>
        <v>0.87073863636363635</v>
      </c>
      <c r="R378" s="7">
        <f t="shared" si="10"/>
        <v>0.14346590909090909</v>
      </c>
      <c r="S378" s="7">
        <f>+AV_PLAN[[#This Row],[TERMINO PLAN ACUMULADO]]/$G$471</f>
        <v>0.79403409090909094</v>
      </c>
      <c r="T378" s="7">
        <f t="shared" si="11"/>
        <v>5.3977272727272728E-2</v>
      </c>
      <c r="U378" s="7">
        <f>+(AV_PLAN[[#This Row],[%AVANCE INICIO PLANIFICADO]]+AV_PLAN[[#This Row],[%AVANCE TERMINO PLANIFICADO]])/2</f>
        <v>0.83238636363636365</v>
      </c>
    </row>
    <row r="379" spans="1:21" x14ac:dyDescent="0.25">
      <c r="A379" s="1">
        <v>46446</v>
      </c>
      <c r="B379">
        <v>0</v>
      </c>
      <c r="C379">
        <v>613</v>
      </c>
      <c r="D379">
        <v>0</v>
      </c>
      <c r="E379">
        <v>101</v>
      </c>
      <c r="F379">
        <v>2</v>
      </c>
      <c r="G379">
        <v>561</v>
      </c>
      <c r="H379">
        <v>0</v>
      </c>
      <c r="I379">
        <v>38</v>
      </c>
      <c r="J379" t="s">
        <v>810</v>
      </c>
      <c r="K379">
        <f>+WEEKNUM(AV_PLAN[[#This Row],[Días]])</f>
        <v>10</v>
      </c>
      <c r="L379" s="4">
        <f>IFERROR(AV_PLAN[[#This Row],[INICIO REAL ACUMULADO]]/AV_PLAN[[#This Row],[PLAN ACUMULADO]],"")</f>
        <v>0.16476345840130505</v>
      </c>
      <c r="M379" s="4">
        <f>IFERROR(AV_PLAN[[#This Row],[TERMINO REAL ACUMULADO]]/AV_PLAN[[#This Row],[TERMINO PLAN ACUMULADO]],"")</f>
        <v>6.7736185383244205E-2</v>
      </c>
      <c r="N379">
        <f>+AV_PLAN[[#This Row],[PLAN ACUMULADO]]-AV_PLAN[[#This Row],[INICIO REAL ACUMULADO]]</f>
        <v>512</v>
      </c>
      <c r="O379">
        <f>+AV_PLAN[[#This Row],[TERMINO PLAN ACUMULADO]]-AV_PLAN[[#This Row],[TERMINO REAL ACUMULADO]]</f>
        <v>523</v>
      </c>
      <c r="P37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79" s="7">
        <f>+AV_PLAN[[#This Row],[PLAN ACUMULADO]]/$C$471</f>
        <v>0.87073863636363635</v>
      </c>
      <c r="R379" s="7">
        <f t="shared" si="10"/>
        <v>0.14346590909090909</v>
      </c>
      <c r="S379" s="7">
        <f>+AV_PLAN[[#This Row],[TERMINO PLAN ACUMULADO]]/$G$471</f>
        <v>0.796875</v>
      </c>
      <c r="T379" s="7">
        <f t="shared" si="11"/>
        <v>5.3977272727272728E-2</v>
      </c>
      <c r="U379" s="7">
        <f>+(AV_PLAN[[#This Row],[%AVANCE INICIO PLANIFICADO]]+AV_PLAN[[#This Row],[%AVANCE TERMINO PLANIFICADO]])/2</f>
        <v>0.83380681818181812</v>
      </c>
    </row>
    <row r="380" spans="1:21" x14ac:dyDescent="0.25">
      <c r="A380" s="1">
        <v>46447</v>
      </c>
      <c r="B380">
        <v>3</v>
      </c>
      <c r="C380">
        <v>616</v>
      </c>
      <c r="D380">
        <v>0</v>
      </c>
      <c r="E380">
        <v>101</v>
      </c>
      <c r="F380">
        <v>2</v>
      </c>
      <c r="G380">
        <v>563</v>
      </c>
      <c r="H380">
        <v>0</v>
      </c>
      <c r="I380">
        <v>38</v>
      </c>
      <c r="J380" t="s">
        <v>811</v>
      </c>
      <c r="K380">
        <f>+WEEKNUM(AV_PLAN[[#This Row],[Días]])</f>
        <v>10</v>
      </c>
      <c r="L380" s="4">
        <f>IFERROR(AV_PLAN[[#This Row],[INICIO REAL ACUMULADO]]/AV_PLAN[[#This Row],[PLAN ACUMULADO]],"")</f>
        <v>0.16396103896103897</v>
      </c>
      <c r="M380" s="4">
        <f>IFERROR(AV_PLAN[[#This Row],[TERMINO REAL ACUMULADO]]/AV_PLAN[[#This Row],[TERMINO PLAN ACUMULADO]],"")</f>
        <v>6.7495559502664296E-2</v>
      </c>
      <c r="N380">
        <f>+AV_PLAN[[#This Row],[PLAN ACUMULADO]]-AV_PLAN[[#This Row],[INICIO REAL ACUMULADO]]</f>
        <v>515</v>
      </c>
      <c r="O380">
        <f>+AV_PLAN[[#This Row],[TERMINO PLAN ACUMULADO]]-AV_PLAN[[#This Row],[TERMINO REAL ACUMULADO]]</f>
        <v>525</v>
      </c>
      <c r="P3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0" s="7">
        <f>+AV_PLAN[[#This Row],[PLAN ACUMULADO]]/$C$471</f>
        <v>0.875</v>
      </c>
      <c r="R380" s="7">
        <f t="shared" si="10"/>
        <v>0.14346590909090909</v>
      </c>
      <c r="S380" s="7">
        <f>+AV_PLAN[[#This Row],[TERMINO PLAN ACUMULADO]]/$G$471</f>
        <v>0.79971590909090906</v>
      </c>
      <c r="T380" s="7">
        <f t="shared" si="11"/>
        <v>5.3977272727272728E-2</v>
      </c>
      <c r="U380" s="7">
        <f>+(AV_PLAN[[#This Row],[%AVANCE INICIO PLANIFICADO]]+AV_PLAN[[#This Row],[%AVANCE TERMINO PLANIFICADO]])/2</f>
        <v>0.83735795454545459</v>
      </c>
    </row>
    <row r="381" spans="1:21" x14ac:dyDescent="0.25">
      <c r="A381" s="1">
        <v>46448</v>
      </c>
      <c r="B381">
        <v>3</v>
      </c>
      <c r="C381">
        <v>619</v>
      </c>
      <c r="D381">
        <v>0</v>
      </c>
      <c r="E381">
        <v>101</v>
      </c>
      <c r="F381">
        <v>2</v>
      </c>
      <c r="G381">
        <v>565</v>
      </c>
      <c r="H381">
        <v>0</v>
      </c>
      <c r="I381">
        <v>38</v>
      </c>
      <c r="J381" t="s">
        <v>811</v>
      </c>
      <c r="K381">
        <f>+WEEKNUM(AV_PLAN[[#This Row],[Días]])</f>
        <v>10</v>
      </c>
      <c r="L381" s="4">
        <f>IFERROR(AV_PLAN[[#This Row],[INICIO REAL ACUMULADO]]/AV_PLAN[[#This Row],[PLAN ACUMULADO]],"")</f>
        <v>0.16316639741518579</v>
      </c>
      <c r="M381" s="4">
        <f>IFERROR(AV_PLAN[[#This Row],[TERMINO REAL ACUMULADO]]/AV_PLAN[[#This Row],[TERMINO PLAN ACUMULADO]],"")</f>
        <v>6.7256637168141592E-2</v>
      </c>
      <c r="N381">
        <f>+AV_PLAN[[#This Row],[PLAN ACUMULADO]]-AV_PLAN[[#This Row],[INICIO REAL ACUMULADO]]</f>
        <v>518</v>
      </c>
      <c r="O381">
        <f>+AV_PLAN[[#This Row],[TERMINO PLAN ACUMULADO]]-AV_PLAN[[#This Row],[TERMINO REAL ACUMULADO]]</f>
        <v>527</v>
      </c>
      <c r="P3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1" s="7">
        <f>+AV_PLAN[[#This Row],[PLAN ACUMULADO]]/$C$471</f>
        <v>0.87926136363636365</v>
      </c>
      <c r="R381" s="7">
        <f t="shared" si="10"/>
        <v>0.14346590909090909</v>
      </c>
      <c r="S381" s="7">
        <f>+AV_PLAN[[#This Row],[TERMINO PLAN ACUMULADO]]/$G$471</f>
        <v>0.80255681818181823</v>
      </c>
      <c r="T381" s="7">
        <f t="shared" si="11"/>
        <v>5.3977272727272728E-2</v>
      </c>
      <c r="U381" s="7">
        <f>+(AV_PLAN[[#This Row],[%AVANCE INICIO PLANIFICADO]]+AV_PLAN[[#This Row],[%AVANCE TERMINO PLANIFICADO]])/2</f>
        <v>0.84090909090909094</v>
      </c>
    </row>
    <row r="382" spans="1:21" x14ac:dyDescent="0.25">
      <c r="A382" s="1">
        <v>46449</v>
      </c>
      <c r="B382">
        <v>3</v>
      </c>
      <c r="C382">
        <v>622</v>
      </c>
      <c r="D382">
        <v>0</v>
      </c>
      <c r="E382">
        <v>101</v>
      </c>
      <c r="F382">
        <v>3</v>
      </c>
      <c r="G382">
        <v>568</v>
      </c>
      <c r="H382">
        <v>0</v>
      </c>
      <c r="I382">
        <v>38</v>
      </c>
      <c r="J382" t="s">
        <v>811</v>
      </c>
      <c r="K382">
        <f>+WEEKNUM(AV_PLAN[[#This Row],[Días]])</f>
        <v>10</v>
      </c>
      <c r="L382" s="4">
        <f>IFERROR(AV_PLAN[[#This Row],[INICIO REAL ACUMULADO]]/AV_PLAN[[#This Row],[PLAN ACUMULADO]],"")</f>
        <v>0.16237942122186494</v>
      </c>
      <c r="M382" s="4">
        <f>IFERROR(AV_PLAN[[#This Row],[TERMINO REAL ACUMULADO]]/AV_PLAN[[#This Row],[TERMINO PLAN ACUMULADO]],"")</f>
        <v>6.6901408450704219E-2</v>
      </c>
      <c r="N382">
        <f>+AV_PLAN[[#This Row],[PLAN ACUMULADO]]-AV_PLAN[[#This Row],[INICIO REAL ACUMULADO]]</f>
        <v>521</v>
      </c>
      <c r="O382">
        <f>+AV_PLAN[[#This Row],[TERMINO PLAN ACUMULADO]]-AV_PLAN[[#This Row],[TERMINO REAL ACUMULADO]]</f>
        <v>530</v>
      </c>
      <c r="P3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2" s="7">
        <f>+AV_PLAN[[#This Row],[PLAN ACUMULADO]]/$C$471</f>
        <v>0.88352272727272729</v>
      </c>
      <c r="R382" s="7">
        <f t="shared" si="10"/>
        <v>0.14346590909090909</v>
      </c>
      <c r="S382" s="7">
        <f>+AV_PLAN[[#This Row],[TERMINO PLAN ACUMULADO]]/$G$471</f>
        <v>0.80681818181818177</v>
      </c>
      <c r="T382" s="7">
        <f t="shared" si="11"/>
        <v>5.3977272727272728E-2</v>
      </c>
      <c r="U382" s="7">
        <f>+(AV_PLAN[[#This Row],[%AVANCE INICIO PLANIFICADO]]+AV_PLAN[[#This Row],[%AVANCE TERMINO PLANIFICADO]])/2</f>
        <v>0.84517045454545459</v>
      </c>
    </row>
    <row r="383" spans="1:21" x14ac:dyDescent="0.25">
      <c r="A383" s="1">
        <v>46450</v>
      </c>
      <c r="B383">
        <v>3</v>
      </c>
      <c r="C383">
        <v>625</v>
      </c>
      <c r="D383">
        <v>0</v>
      </c>
      <c r="E383">
        <v>101</v>
      </c>
      <c r="F383">
        <v>3</v>
      </c>
      <c r="G383">
        <v>571</v>
      </c>
      <c r="H383">
        <v>0</v>
      </c>
      <c r="I383">
        <v>38</v>
      </c>
      <c r="J383" t="s">
        <v>811</v>
      </c>
      <c r="K383">
        <f>+WEEKNUM(AV_PLAN[[#This Row],[Días]])</f>
        <v>10</v>
      </c>
      <c r="L383" s="4">
        <f>IFERROR(AV_PLAN[[#This Row],[INICIO REAL ACUMULADO]]/AV_PLAN[[#This Row],[PLAN ACUMULADO]],"")</f>
        <v>0.16159999999999999</v>
      </c>
      <c r="M383" s="4">
        <f>IFERROR(AV_PLAN[[#This Row],[TERMINO REAL ACUMULADO]]/AV_PLAN[[#This Row],[TERMINO PLAN ACUMULADO]],"")</f>
        <v>6.6549912434325745E-2</v>
      </c>
      <c r="N383">
        <f>+AV_PLAN[[#This Row],[PLAN ACUMULADO]]-AV_PLAN[[#This Row],[INICIO REAL ACUMULADO]]</f>
        <v>524</v>
      </c>
      <c r="O383">
        <f>+AV_PLAN[[#This Row],[TERMINO PLAN ACUMULADO]]-AV_PLAN[[#This Row],[TERMINO REAL ACUMULADO]]</f>
        <v>533</v>
      </c>
      <c r="P3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3" s="7">
        <f>+AV_PLAN[[#This Row],[PLAN ACUMULADO]]/$C$471</f>
        <v>0.88778409090909094</v>
      </c>
      <c r="R383" s="7">
        <f t="shared" si="10"/>
        <v>0.14346590909090909</v>
      </c>
      <c r="S383" s="7">
        <f>+AV_PLAN[[#This Row],[TERMINO PLAN ACUMULADO]]/$G$471</f>
        <v>0.81107954545454541</v>
      </c>
      <c r="T383" s="7">
        <f t="shared" si="11"/>
        <v>5.3977272727272728E-2</v>
      </c>
      <c r="U383" s="7">
        <f>+(AV_PLAN[[#This Row],[%AVANCE INICIO PLANIFICADO]]+AV_PLAN[[#This Row],[%AVANCE TERMINO PLANIFICADO]])/2</f>
        <v>0.84943181818181812</v>
      </c>
    </row>
    <row r="384" spans="1:21" x14ac:dyDescent="0.25">
      <c r="A384" s="1">
        <v>46451</v>
      </c>
      <c r="B384">
        <v>3</v>
      </c>
      <c r="C384">
        <v>628</v>
      </c>
      <c r="D384">
        <v>0</v>
      </c>
      <c r="E384">
        <v>101</v>
      </c>
      <c r="F384">
        <v>1</v>
      </c>
      <c r="G384">
        <v>572</v>
      </c>
      <c r="H384">
        <v>0</v>
      </c>
      <c r="I384">
        <v>38</v>
      </c>
      <c r="J384" t="s">
        <v>811</v>
      </c>
      <c r="K384">
        <f>+WEEKNUM(AV_PLAN[[#This Row],[Días]])</f>
        <v>10</v>
      </c>
      <c r="L384" s="4">
        <f>IFERROR(AV_PLAN[[#This Row],[INICIO REAL ACUMULADO]]/AV_PLAN[[#This Row],[PLAN ACUMULADO]],"")</f>
        <v>0.160828025477707</v>
      </c>
      <c r="M384" s="4">
        <f>IFERROR(AV_PLAN[[#This Row],[TERMINO REAL ACUMULADO]]/AV_PLAN[[#This Row],[TERMINO PLAN ACUMULADO]],"")</f>
        <v>6.6433566433566432E-2</v>
      </c>
      <c r="N384">
        <f>+AV_PLAN[[#This Row],[PLAN ACUMULADO]]-AV_PLAN[[#This Row],[INICIO REAL ACUMULADO]]</f>
        <v>527</v>
      </c>
      <c r="O384">
        <f>+AV_PLAN[[#This Row],[TERMINO PLAN ACUMULADO]]-AV_PLAN[[#This Row],[TERMINO REAL ACUMULADO]]</f>
        <v>534</v>
      </c>
      <c r="P3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4" s="7">
        <f>+AV_PLAN[[#This Row],[PLAN ACUMULADO]]/$C$471</f>
        <v>0.89204545454545459</v>
      </c>
      <c r="R384" s="7">
        <f t="shared" si="10"/>
        <v>0.14346590909090909</v>
      </c>
      <c r="S384" s="7">
        <f>+AV_PLAN[[#This Row],[TERMINO PLAN ACUMULADO]]/$G$471</f>
        <v>0.8125</v>
      </c>
      <c r="T384" s="7">
        <f t="shared" si="11"/>
        <v>5.3977272727272728E-2</v>
      </c>
      <c r="U384" s="7">
        <f>+(AV_PLAN[[#This Row],[%AVANCE INICIO PLANIFICADO]]+AV_PLAN[[#This Row],[%AVANCE TERMINO PLANIFICADO]])/2</f>
        <v>0.85227272727272729</v>
      </c>
    </row>
    <row r="385" spans="1:21" x14ac:dyDescent="0.25">
      <c r="A385" s="1">
        <v>46452</v>
      </c>
      <c r="B385">
        <v>0</v>
      </c>
      <c r="C385">
        <v>628</v>
      </c>
      <c r="D385">
        <v>0</v>
      </c>
      <c r="E385">
        <v>101</v>
      </c>
      <c r="F385">
        <v>1</v>
      </c>
      <c r="G385">
        <v>573</v>
      </c>
      <c r="H385">
        <v>0</v>
      </c>
      <c r="I385">
        <v>38</v>
      </c>
      <c r="J385" t="s">
        <v>811</v>
      </c>
      <c r="K385">
        <f>+WEEKNUM(AV_PLAN[[#This Row],[Días]])</f>
        <v>10</v>
      </c>
      <c r="L385" s="4">
        <f>IFERROR(AV_PLAN[[#This Row],[INICIO REAL ACUMULADO]]/AV_PLAN[[#This Row],[PLAN ACUMULADO]],"")</f>
        <v>0.160828025477707</v>
      </c>
      <c r="M385" s="4">
        <f>IFERROR(AV_PLAN[[#This Row],[TERMINO REAL ACUMULADO]]/AV_PLAN[[#This Row],[TERMINO PLAN ACUMULADO]],"")</f>
        <v>6.6317626527050616E-2</v>
      </c>
      <c r="N385">
        <f>+AV_PLAN[[#This Row],[PLAN ACUMULADO]]-AV_PLAN[[#This Row],[INICIO REAL ACUMULADO]]</f>
        <v>527</v>
      </c>
      <c r="O385">
        <f>+AV_PLAN[[#This Row],[TERMINO PLAN ACUMULADO]]-AV_PLAN[[#This Row],[TERMINO REAL ACUMULADO]]</f>
        <v>535</v>
      </c>
      <c r="P3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5" s="7">
        <f>+AV_PLAN[[#This Row],[PLAN ACUMULADO]]/$C$471</f>
        <v>0.89204545454545459</v>
      </c>
      <c r="R385" s="7">
        <f t="shared" si="10"/>
        <v>0.14346590909090909</v>
      </c>
      <c r="S385" s="7">
        <f>+AV_PLAN[[#This Row],[TERMINO PLAN ACUMULADO]]/$G$471</f>
        <v>0.81392045454545459</v>
      </c>
      <c r="T385" s="7">
        <f t="shared" si="11"/>
        <v>5.3977272727272728E-2</v>
      </c>
      <c r="U385" s="7">
        <f>+(AV_PLAN[[#This Row],[%AVANCE INICIO PLANIFICADO]]+AV_PLAN[[#This Row],[%AVANCE TERMINO PLANIFICADO]])/2</f>
        <v>0.85298295454545459</v>
      </c>
    </row>
    <row r="386" spans="1:21" x14ac:dyDescent="0.25">
      <c r="A386" s="1">
        <v>46453</v>
      </c>
      <c r="B386">
        <v>0</v>
      </c>
      <c r="C386">
        <v>628</v>
      </c>
      <c r="D386">
        <v>0</v>
      </c>
      <c r="E386">
        <v>101</v>
      </c>
      <c r="F386">
        <v>4</v>
      </c>
      <c r="G386">
        <v>577</v>
      </c>
      <c r="H386">
        <v>0</v>
      </c>
      <c r="I386">
        <v>38</v>
      </c>
      <c r="J386" t="s">
        <v>811</v>
      </c>
      <c r="K386">
        <f>+WEEKNUM(AV_PLAN[[#This Row],[Días]])</f>
        <v>11</v>
      </c>
      <c r="L386" s="4">
        <f>IFERROR(AV_PLAN[[#This Row],[INICIO REAL ACUMULADO]]/AV_PLAN[[#This Row],[PLAN ACUMULADO]],"")</f>
        <v>0.160828025477707</v>
      </c>
      <c r="M386" s="4">
        <f>IFERROR(AV_PLAN[[#This Row],[TERMINO REAL ACUMULADO]]/AV_PLAN[[#This Row],[TERMINO PLAN ACUMULADO]],"")</f>
        <v>6.5857885615251299E-2</v>
      </c>
      <c r="N386">
        <f>+AV_PLAN[[#This Row],[PLAN ACUMULADO]]-AV_PLAN[[#This Row],[INICIO REAL ACUMULADO]]</f>
        <v>527</v>
      </c>
      <c r="O386">
        <f>+AV_PLAN[[#This Row],[TERMINO PLAN ACUMULADO]]-AV_PLAN[[#This Row],[TERMINO REAL ACUMULADO]]</f>
        <v>539</v>
      </c>
      <c r="P3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6" s="7">
        <f>+AV_PLAN[[#This Row],[PLAN ACUMULADO]]/$C$471</f>
        <v>0.89204545454545459</v>
      </c>
      <c r="R386" s="7">
        <f t="shared" ref="R386:R449" si="12">IF(D386="",NA(),E386/$C$471)</f>
        <v>0.14346590909090909</v>
      </c>
      <c r="S386" s="7">
        <f>+AV_PLAN[[#This Row],[TERMINO PLAN ACUMULADO]]/$G$471</f>
        <v>0.81960227272727271</v>
      </c>
      <c r="T386" s="7">
        <f t="shared" ref="T386:T449" si="13">IF(H386="",NA(),I386/$G$471)</f>
        <v>5.3977272727272728E-2</v>
      </c>
      <c r="U386" s="7">
        <f>+(AV_PLAN[[#This Row],[%AVANCE INICIO PLANIFICADO]]+AV_PLAN[[#This Row],[%AVANCE TERMINO PLANIFICADO]])/2</f>
        <v>0.85582386363636365</v>
      </c>
    </row>
    <row r="387" spans="1:21" x14ac:dyDescent="0.25">
      <c r="A387" s="1">
        <v>46454</v>
      </c>
      <c r="B387">
        <v>3</v>
      </c>
      <c r="C387">
        <v>631</v>
      </c>
      <c r="D387">
        <v>0</v>
      </c>
      <c r="E387">
        <v>101</v>
      </c>
      <c r="F387">
        <v>2</v>
      </c>
      <c r="G387">
        <v>579</v>
      </c>
      <c r="H387">
        <v>0</v>
      </c>
      <c r="I387">
        <v>38</v>
      </c>
      <c r="J387" t="s">
        <v>811</v>
      </c>
      <c r="K387">
        <f>+WEEKNUM(AV_PLAN[[#This Row],[Días]])</f>
        <v>11</v>
      </c>
      <c r="L387" s="4">
        <f>IFERROR(AV_PLAN[[#This Row],[INICIO REAL ACUMULADO]]/AV_PLAN[[#This Row],[PLAN ACUMULADO]],"")</f>
        <v>0.16006339144215531</v>
      </c>
      <c r="M387" s="4">
        <f>IFERROR(AV_PLAN[[#This Row],[TERMINO REAL ACUMULADO]]/AV_PLAN[[#This Row],[TERMINO PLAN ACUMULADO]],"")</f>
        <v>6.563039723661486E-2</v>
      </c>
      <c r="N387">
        <f>+AV_PLAN[[#This Row],[PLAN ACUMULADO]]-AV_PLAN[[#This Row],[INICIO REAL ACUMULADO]]</f>
        <v>530</v>
      </c>
      <c r="O387">
        <f>+AV_PLAN[[#This Row],[TERMINO PLAN ACUMULADO]]-AV_PLAN[[#This Row],[TERMINO REAL ACUMULADO]]</f>
        <v>541</v>
      </c>
      <c r="P3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7" s="7">
        <f>+AV_PLAN[[#This Row],[PLAN ACUMULADO]]/$C$471</f>
        <v>0.89630681818181823</v>
      </c>
      <c r="R387" s="7">
        <f t="shared" si="12"/>
        <v>0.14346590909090909</v>
      </c>
      <c r="S387" s="7">
        <f>+AV_PLAN[[#This Row],[TERMINO PLAN ACUMULADO]]/$G$471</f>
        <v>0.82244318181818177</v>
      </c>
      <c r="T387" s="7">
        <f t="shared" si="13"/>
        <v>5.3977272727272728E-2</v>
      </c>
      <c r="U387" s="7">
        <f>+(AV_PLAN[[#This Row],[%AVANCE INICIO PLANIFICADO]]+AV_PLAN[[#This Row],[%AVANCE TERMINO PLANIFICADO]])/2</f>
        <v>0.859375</v>
      </c>
    </row>
    <row r="388" spans="1:21" x14ac:dyDescent="0.25">
      <c r="A388" s="1">
        <v>46455</v>
      </c>
      <c r="B388">
        <v>3</v>
      </c>
      <c r="C388">
        <v>634</v>
      </c>
      <c r="D388">
        <v>0</v>
      </c>
      <c r="E388">
        <v>101</v>
      </c>
      <c r="F388">
        <v>1</v>
      </c>
      <c r="G388">
        <v>580</v>
      </c>
      <c r="H388">
        <v>0</v>
      </c>
      <c r="I388">
        <v>38</v>
      </c>
      <c r="J388" t="s">
        <v>811</v>
      </c>
      <c r="K388">
        <f>+WEEKNUM(AV_PLAN[[#This Row],[Días]])</f>
        <v>11</v>
      </c>
      <c r="L388" s="4">
        <f>IFERROR(AV_PLAN[[#This Row],[INICIO REAL ACUMULADO]]/AV_PLAN[[#This Row],[PLAN ACUMULADO]],"")</f>
        <v>0.15930599369085174</v>
      </c>
      <c r="M388" s="4">
        <f>IFERROR(AV_PLAN[[#This Row],[TERMINO REAL ACUMULADO]]/AV_PLAN[[#This Row],[TERMINO PLAN ACUMULADO]],"")</f>
        <v>6.5517241379310351E-2</v>
      </c>
      <c r="N388">
        <f>+AV_PLAN[[#This Row],[PLAN ACUMULADO]]-AV_PLAN[[#This Row],[INICIO REAL ACUMULADO]]</f>
        <v>533</v>
      </c>
      <c r="O388">
        <f>+AV_PLAN[[#This Row],[TERMINO PLAN ACUMULADO]]-AV_PLAN[[#This Row],[TERMINO REAL ACUMULADO]]</f>
        <v>542</v>
      </c>
      <c r="P38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8" s="7">
        <f>+AV_PLAN[[#This Row],[PLAN ACUMULADO]]/$C$471</f>
        <v>0.90056818181818177</v>
      </c>
      <c r="R388" s="7">
        <f t="shared" si="12"/>
        <v>0.14346590909090909</v>
      </c>
      <c r="S388" s="7">
        <f>+AV_PLAN[[#This Row],[TERMINO PLAN ACUMULADO]]/$G$471</f>
        <v>0.82386363636363635</v>
      </c>
      <c r="T388" s="7">
        <f t="shared" si="13"/>
        <v>5.3977272727272728E-2</v>
      </c>
      <c r="U388" s="7">
        <f>+(AV_PLAN[[#This Row],[%AVANCE INICIO PLANIFICADO]]+AV_PLAN[[#This Row],[%AVANCE TERMINO PLANIFICADO]])/2</f>
        <v>0.86221590909090906</v>
      </c>
    </row>
    <row r="389" spans="1:21" x14ac:dyDescent="0.25">
      <c r="A389" s="1">
        <v>46456</v>
      </c>
      <c r="B389">
        <v>3</v>
      </c>
      <c r="C389">
        <v>637</v>
      </c>
      <c r="D389">
        <v>0</v>
      </c>
      <c r="E389">
        <v>101</v>
      </c>
      <c r="F389">
        <v>3</v>
      </c>
      <c r="G389">
        <v>583</v>
      </c>
      <c r="H389">
        <v>0</v>
      </c>
      <c r="I389">
        <v>38</v>
      </c>
      <c r="J389" t="s">
        <v>811</v>
      </c>
      <c r="K389">
        <f>+WEEKNUM(AV_PLAN[[#This Row],[Días]])</f>
        <v>11</v>
      </c>
      <c r="L389" s="4">
        <f>IFERROR(AV_PLAN[[#This Row],[INICIO REAL ACUMULADO]]/AV_PLAN[[#This Row],[PLAN ACUMULADO]],"")</f>
        <v>0.15855572998430142</v>
      </c>
      <c r="M389" s="4">
        <f>IFERROR(AV_PLAN[[#This Row],[TERMINO REAL ACUMULADO]]/AV_PLAN[[#This Row],[TERMINO PLAN ACUMULADO]],"")</f>
        <v>6.5180102915951971E-2</v>
      </c>
      <c r="N389">
        <f>+AV_PLAN[[#This Row],[PLAN ACUMULADO]]-AV_PLAN[[#This Row],[INICIO REAL ACUMULADO]]</f>
        <v>536</v>
      </c>
      <c r="O389">
        <f>+AV_PLAN[[#This Row],[TERMINO PLAN ACUMULADO]]-AV_PLAN[[#This Row],[TERMINO REAL ACUMULADO]]</f>
        <v>545</v>
      </c>
      <c r="P38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9" s="7">
        <f>+AV_PLAN[[#This Row],[PLAN ACUMULADO]]/$C$471</f>
        <v>0.90482954545454541</v>
      </c>
      <c r="R389" s="7">
        <f t="shared" si="12"/>
        <v>0.14346590909090909</v>
      </c>
      <c r="S389" s="7">
        <f>+AV_PLAN[[#This Row],[TERMINO PLAN ACUMULADO]]/$G$471</f>
        <v>0.828125</v>
      </c>
      <c r="T389" s="7">
        <f t="shared" si="13"/>
        <v>5.3977272727272728E-2</v>
      </c>
      <c r="U389" s="7">
        <f>+(AV_PLAN[[#This Row],[%AVANCE INICIO PLANIFICADO]]+AV_PLAN[[#This Row],[%AVANCE TERMINO PLANIFICADO]])/2</f>
        <v>0.86647727272727271</v>
      </c>
    </row>
    <row r="390" spans="1:21" x14ac:dyDescent="0.25">
      <c r="A390" s="1">
        <v>46457</v>
      </c>
      <c r="B390">
        <v>3</v>
      </c>
      <c r="C390">
        <v>640</v>
      </c>
      <c r="D390">
        <v>0</v>
      </c>
      <c r="E390">
        <v>101</v>
      </c>
      <c r="F390">
        <v>3</v>
      </c>
      <c r="G390">
        <v>586</v>
      </c>
      <c r="H390">
        <v>0</v>
      </c>
      <c r="I390">
        <v>38</v>
      </c>
      <c r="J390" t="s">
        <v>811</v>
      </c>
      <c r="K390">
        <f>+WEEKNUM(AV_PLAN[[#This Row],[Días]])</f>
        <v>11</v>
      </c>
      <c r="L390" s="4">
        <f>IFERROR(AV_PLAN[[#This Row],[INICIO REAL ACUMULADO]]/AV_PLAN[[#This Row],[PLAN ACUMULADO]],"")</f>
        <v>0.15781249999999999</v>
      </c>
      <c r="M390" s="4">
        <f>IFERROR(AV_PLAN[[#This Row],[TERMINO REAL ACUMULADO]]/AV_PLAN[[#This Row],[TERMINO PLAN ACUMULADO]],"")</f>
        <v>6.4846416382252553E-2</v>
      </c>
      <c r="N390">
        <f>+AV_PLAN[[#This Row],[PLAN ACUMULADO]]-AV_PLAN[[#This Row],[INICIO REAL ACUMULADO]]</f>
        <v>539</v>
      </c>
      <c r="O390">
        <f>+AV_PLAN[[#This Row],[TERMINO PLAN ACUMULADO]]-AV_PLAN[[#This Row],[TERMINO REAL ACUMULADO]]</f>
        <v>548</v>
      </c>
      <c r="P39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0" s="7">
        <f>+AV_PLAN[[#This Row],[PLAN ACUMULADO]]/$C$471</f>
        <v>0.90909090909090906</v>
      </c>
      <c r="R390" s="7">
        <f t="shared" si="12"/>
        <v>0.14346590909090909</v>
      </c>
      <c r="S390" s="7">
        <f>+AV_PLAN[[#This Row],[TERMINO PLAN ACUMULADO]]/$G$471</f>
        <v>0.83238636363636365</v>
      </c>
      <c r="T390" s="7">
        <f t="shared" si="13"/>
        <v>5.3977272727272728E-2</v>
      </c>
      <c r="U390" s="7">
        <f>+(AV_PLAN[[#This Row],[%AVANCE INICIO PLANIFICADO]]+AV_PLAN[[#This Row],[%AVANCE TERMINO PLANIFICADO]])/2</f>
        <v>0.87073863636363635</v>
      </c>
    </row>
    <row r="391" spans="1:21" x14ac:dyDescent="0.25">
      <c r="A391" s="1">
        <v>46458</v>
      </c>
      <c r="B391">
        <v>3</v>
      </c>
      <c r="C391">
        <v>643</v>
      </c>
      <c r="D391">
        <v>0</v>
      </c>
      <c r="E391">
        <v>101</v>
      </c>
      <c r="F391">
        <v>1</v>
      </c>
      <c r="G391">
        <v>587</v>
      </c>
      <c r="H391">
        <v>0</v>
      </c>
      <c r="I391">
        <v>38</v>
      </c>
      <c r="J391" t="s">
        <v>811</v>
      </c>
      <c r="K391">
        <f>+WEEKNUM(AV_PLAN[[#This Row],[Días]])</f>
        <v>11</v>
      </c>
      <c r="L391" s="4">
        <f>IFERROR(AV_PLAN[[#This Row],[INICIO REAL ACUMULADO]]/AV_PLAN[[#This Row],[PLAN ACUMULADO]],"")</f>
        <v>0.15707620528771385</v>
      </c>
      <c r="M391" s="4">
        <f>IFERROR(AV_PLAN[[#This Row],[TERMINO REAL ACUMULADO]]/AV_PLAN[[#This Row],[TERMINO PLAN ACUMULADO]],"")</f>
        <v>6.4735945485519586E-2</v>
      </c>
      <c r="N391">
        <f>+AV_PLAN[[#This Row],[PLAN ACUMULADO]]-AV_PLAN[[#This Row],[INICIO REAL ACUMULADO]]</f>
        <v>542</v>
      </c>
      <c r="O391">
        <f>+AV_PLAN[[#This Row],[TERMINO PLAN ACUMULADO]]-AV_PLAN[[#This Row],[TERMINO REAL ACUMULADO]]</f>
        <v>549</v>
      </c>
      <c r="P39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1" s="7">
        <f>+AV_PLAN[[#This Row],[PLAN ACUMULADO]]/$C$471</f>
        <v>0.91335227272727271</v>
      </c>
      <c r="R391" s="7">
        <f t="shared" si="12"/>
        <v>0.14346590909090909</v>
      </c>
      <c r="S391" s="7">
        <f>+AV_PLAN[[#This Row],[TERMINO PLAN ACUMULADO]]/$G$471</f>
        <v>0.83380681818181823</v>
      </c>
      <c r="T391" s="7">
        <f t="shared" si="13"/>
        <v>5.3977272727272728E-2</v>
      </c>
      <c r="U391" s="7">
        <f>+(AV_PLAN[[#This Row],[%AVANCE INICIO PLANIFICADO]]+AV_PLAN[[#This Row],[%AVANCE TERMINO PLANIFICADO]])/2</f>
        <v>0.87357954545454541</v>
      </c>
    </row>
    <row r="392" spans="1:21" x14ac:dyDescent="0.25">
      <c r="A392" s="1">
        <v>46459</v>
      </c>
      <c r="B392">
        <v>0</v>
      </c>
      <c r="C392">
        <v>643</v>
      </c>
      <c r="D392">
        <v>0</v>
      </c>
      <c r="E392">
        <v>101</v>
      </c>
      <c r="F392">
        <v>2</v>
      </c>
      <c r="G392">
        <v>589</v>
      </c>
      <c r="H392">
        <v>0</v>
      </c>
      <c r="I392">
        <v>38</v>
      </c>
      <c r="J392" t="s">
        <v>811</v>
      </c>
      <c r="K392">
        <f>+WEEKNUM(AV_PLAN[[#This Row],[Días]])</f>
        <v>11</v>
      </c>
      <c r="L392" s="4">
        <f>IFERROR(AV_PLAN[[#This Row],[INICIO REAL ACUMULADO]]/AV_PLAN[[#This Row],[PLAN ACUMULADO]],"")</f>
        <v>0.15707620528771385</v>
      </c>
      <c r="M392" s="4">
        <f>IFERROR(AV_PLAN[[#This Row],[TERMINO REAL ACUMULADO]]/AV_PLAN[[#This Row],[TERMINO PLAN ACUMULADO]],"")</f>
        <v>6.4516129032258063E-2</v>
      </c>
      <c r="N392">
        <f>+AV_PLAN[[#This Row],[PLAN ACUMULADO]]-AV_PLAN[[#This Row],[INICIO REAL ACUMULADO]]</f>
        <v>542</v>
      </c>
      <c r="O392">
        <f>+AV_PLAN[[#This Row],[TERMINO PLAN ACUMULADO]]-AV_PLAN[[#This Row],[TERMINO REAL ACUMULADO]]</f>
        <v>551</v>
      </c>
      <c r="P39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2" s="7">
        <f>+AV_PLAN[[#This Row],[PLAN ACUMULADO]]/$C$471</f>
        <v>0.91335227272727271</v>
      </c>
      <c r="R392" s="7">
        <f t="shared" si="12"/>
        <v>0.14346590909090909</v>
      </c>
      <c r="S392" s="7">
        <f>+AV_PLAN[[#This Row],[TERMINO PLAN ACUMULADO]]/$G$471</f>
        <v>0.83664772727272729</v>
      </c>
      <c r="T392" s="7">
        <f t="shared" si="13"/>
        <v>5.3977272727272728E-2</v>
      </c>
      <c r="U392" s="7">
        <f>+(AV_PLAN[[#This Row],[%AVANCE INICIO PLANIFICADO]]+AV_PLAN[[#This Row],[%AVANCE TERMINO PLANIFICADO]])/2</f>
        <v>0.875</v>
      </c>
    </row>
    <row r="393" spans="1:21" x14ac:dyDescent="0.25">
      <c r="A393" s="1">
        <v>46460</v>
      </c>
      <c r="B393">
        <v>0</v>
      </c>
      <c r="C393">
        <v>643</v>
      </c>
      <c r="D393">
        <v>0</v>
      </c>
      <c r="E393">
        <v>101</v>
      </c>
      <c r="F393">
        <v>4</v>
      </c>
      <c r="G393">
        <v>593</v>
      </c>
      <c r="H393">
        <v>0</v>
      </c>
      <c r="I393">
        <v>38</v>
      </c>
      <c r="J393" t="s">
        <v>811</v>
      </c>
      <c r="K393">
        <f>+WEEKNUM(AV_PLAN[[#This Row],[Días]])</f>
        <v>12</v>
      </c>
      <c r="L393" s="4">
        <f>IFERROR(AV_PLAN[[#This Row],[INICIO REAL ACUMULADO]]/AV_PLAN[[#This Row],[PLAN ACUMULADO]],"")</f>
        <v>0.15707620528771385</v>
      </c>
      <c r="M393" s="4">
        <f>IFERROR(AV_PLAN[[#This Row],[TERMINO REAL ACUMULADO]]/AV_PLAN[[#This Row],[TERMINO PLAN ACUMULADO]],"")</f>
        <v>6.4080944350758853E-2</v>
      </c>
      <c r="N393">
        <f>+AV_PLAN[[#This Row],[PLAN ACUMULADO]]-AV_PLAN[[#This Row],[INICIO REAL ACUMULADO]]</f>
        <v>542</v>
      </c>
      <c r="O393">
        <f>+AV_PLAN[[#This Row],[TERMINO PLAN ACUMULADO]]-AV_PLAN[[#This Row],[TERMINO REAL ACUMULADO]]</f>
        <v>555</v>
      </c>
      <c r="P39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3" s="7">
        <f>+AV_PLAN[[#This Row],[PLAN ACUMULADO]]/$C$471</f>
        <v>0.91335227272727271</v>
      </c>
      <c r="R393" s="7">
        <f t="shared" si="12"/>
        <v>0.14346590909090909</v>
      </c>
      <c r="S393" s="7">
        <f>+AV_PLAN[[#This Row],[TERMINO PLAN ACUMULADO]]/$G$471</f>
        <v>0.84232954545454541</v>
      </c>
      <c r="T393" s="7">
        <f t="shared" si="13"/>
        <v>5.3977272727272728E-2</v>
      </c>
      <c r="U393" s="7">
        <f>+(AV_PLAN[[#This Row],[%AVANCE INICIO PLANIFICADO]]+AV_PLAN[[#This Row],[%AVANCE TERMINO PLANIFICADO]])/2</f>
        <v>0.87784090909090906</v>
      </c>
    </row>
    <row r="394" spans="1:21" x14ac:dyDescent="0.25">
      <c r="A394" s="1">
        <v>46461</v>
      </c>
      <c r="B394">
        <v>3</v>
      </c>
      <c r="C394">
        <v>646</v>
      </c>
      <c r="D394">
        <v>0</v>
      </c>
      <c r="E394">
        <v>101</v>
      </c>
      <c r="F394">
        <v>1</v>
      </c>
      <c r="G394">
        <v>594</v>
      </c>
      <c r="H394">
        <v>0</v>
      </c>
      <c r="I394">
        <v>38</v>
      </c>
      <c r="J394" t="s">
        <v>811</v>
      </c>
      <c r="K394">
        <f>+WEEKNUM(AV_PLAN[[#This Row],[Días]])</f>
        <v>12</v>
      </c>
      <c r="L394" s="4">
        <f>IFERROR(AV_PLAN[[#This Row],[INICIO REAL ACUMULADO]]/AV_PLAN[[#This Row],[PLAN ACUMULADO]],"")</f>
        <v>0.15634674922600619</v>
      </c>
      <c r="M394" s="4">
        <f>IFERROR(AV_PLAN[[#This Row],[TERMINO REAL ACUMULADO]]/AV_PLAN[[#This Row],[TERMINO PLAN ACUMULADO]],"")</f>
        <v>6.3973063973063973E-2</v>
      </c>
      <c r="N394">
        <f>+AV_PLAN[[#This Row],[PLAN ACUMULADO]]-AV_PLAN[[#This Row],[INICIO REAL ACUMULADO]]</f>
        <v>545</v>
      </c>
      <c r="O394">
        <f>+AV_PLAN[[#This Row],[TERMINO PLAN ACUMULADO]]-AV_PLAN[[#This Row],[TERMINO REAL ACUMULADO]]</f>
        <v>556</v>
      </c>
      <c r="P39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4" s="7">
        <f>+AV_PLAN[[#This Row],[PLAN ACUMULADO]]/$C$471</f>
        <v>0.91761363636363635</v>
      </c>
      <c r="R394" s="7">
        <f t="shared" si="12"/>
        <v>0.14346590909090909</v>
      </c>
      <c r="S394" s="7">
        <f>+AV_PLAN[[#This Row],[TERMINO PLAN ACUMULADO]]/$G$471</f>
        <v>0.84375</v>
      </c>
      <c r="T394" s="7">
        <f t="shared" si="13"/>
        <v>5.3977272727272728E-2</v>
      </c>
      <c r="U394" s="7">
        <f>+(AV_PLAN[[#This Row],[%AVANCE INICIO PLANIFICADO]]+AV_PLAN[[#This Row],[%AVANCE TERMINO PLANIFICADO]])/2</f>
        <v>0.88068181818181812</v>
      </c>
    </row>
    <row r="395" spans="1:21" x14ac:dyDescent="0.25">
      <c r="A395" s="1">
        <v>46462</v>
      </c>
      <c r="B395">
        <v>3</v>
      </c>
      <c r="C395">
        <v>649</v>
      </c>
      <c r="D395">
        <v>0</v>
      </c>
      <c r="E395">
        <v>101</v>
      </c>
      <c r="F395">
        <v>1</v>
      </c>
      <c r="G395">
        <v>595</v>
      </c>
      <c r="H395">
        <v>0</v>
      </c>
      <c r="I395">
        <v>38</v>
      </c>
      <c r="J395" t="s">
        <v>811</v>
      </c>
      <c r="K395">
        <f>+WEEKNUM(AV_PLAN[[#This Row],[Días]])</f>
        <v>12</v>
      </c>
      <c r="L395" s="4">
        <f>IFERROR(AV_PLAN[[#This Row],[INICIO REAL ACUMULADO]]/AV_PLAN[[#This Row],[PLAN ACUMULADO]],"")</f>
        <v>0.15562403697996918</v>
      </c>
      <c r="M395" s="4">
        <f>IFERROR(AV_PLAN[[#This Row],[TERMINO REAL ACUMULADO]]/AV_PLAN[[#This Row],[TERMINO PLAN ACUMULADO]],"")</f>
        <v>6.386554621848739E-2</v>
      </c>
      <c r="N395">
        <f>+AV_PLAN[[#This Row],[PLAN ACUMULADO]]-AV_PLAN[[#This Row],[INICIO REAL ACUMULADO]]</f>
        <v>548</v>
      </c>
      <c r="O395">
        <f>+AV_PLAN[[#This Row],[TERMINO PLAN ACUMULADO]]-AV_PLAN[[#This Row],[TERMINO REAL ACUMULADO]]</f>
        <v>557</v>
      </c>
      <c r="P39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5" s="7">
        <f>+AV_PLAN[[#This Row],[PLAN ACUMULADO]]/$C$471</f>
        <v>0.921875</v>
      </c>
      <c r="R395" s="7">
        <f t="shared" si="12"/>
        <v>0.14346590909090909</v>
      </c>
      <c r="S395" s="7">
        <f>+AV_PLAN[[#This Row],[TERMINO PLAN ACUMULADO]]/$G$471</f>
        <v>0.84517045454545459</v>
      </c>
      <c r="T395" s="7">
        <f t="shared" si="13"/>
        <v>5.3977272727272728E-2</v>
      </c>
      <c r="U395" s="7">
        <f>+(AV_PLAN[[#This Row],[%AVANCE INICIO PLANIFICADO]]+AV_PLAN[[#This Row],[%AVANCE TERMINO PLANIFICADO]])/2</f>
        <v>0.88352272727272729</v>
      </c>
    </row>
    <row r="396" spans="1:21" x14ac:dyDescent="0.25">
      <c r="A396" s="1">
        <v>46463</v>
      </c>
      <c r="B396">
        <v>3</v>
      </c>
      <c r="C396">
        <v>652</v>
      </c>
      <c r="D396">
        <v>0</v>
      </c>
      <c r="E396">
        <v>101</v>
      </c>
      <c r="F396">
        <v>3</v>
      </c>
      <c r="G396">
        <v>598</v>
      </c>
      <c r="H396">
        <v>0</v>
      </c>
      <c r="I396">
        <v>38</v>
      </c>
      <c r="J396" t="s">
        <v>811</v>
      </c>
      <c r="K396">
        <f>+WEEKNUM(AV_PLAN[[#This Row],[Días]])</f>
        <v>12</v>
      </c>
      <c r="L396" s="4">
        <f>IFERROR(AV_PLAN[[#This Row],[INICIO REAL ACUMULADO]]/AV_PLAN[[#This Row],[PLAN ACUMULADO]],"")</f>
        <v>0.15490797546012269</v>
      </c>
      <c r="M396" s="4">
        <f>IFERROR(AV_PLAN[[#This Row],[TERMINO REAL ACUMULADO]]/AV_PLAN[[#This Row],[TERMINO PLAN ACUMULADO]],"")</f>
        <v>6.354515050167224E-2</v>
      </c>
      <c r="N396">
        <f>+AV_PLAN[[#This Row],[PLAN ACUMULADO]]-AV_PLAN[[#This Row],[INICIO REAL ACUMULADO]]</f>
        <v>551</v>
      </c>
      <c r="O396">
        <f>+AV_PLAN[[#This Row],[TERMINO PLAN ACUMULADO]]-AV_PLAN[[#This Row],[TERMINO REAL ACUMULADO]]</f>
        <v>560</v>
      </c>
      <c r="P39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6" s="7">
        <f>+AV_PLAN[[#This Row],[PLAN ACUMULADO]]/$C$471</f>
        <v>0.92613636363636365</v>
      </c>
      <c r="R396" s="7">
        <f t="shared" si="12"/>
        <v>0.14346590909090909</v>
      </c>
      <c r="S396" s="7">
        <f>+AV_PLAN[[#This Row],[TERMINO PLAN ACUMULADO]]/$G$471</f>
        <v>0.84943181818181823</v>
      </c>
      <c r="T396" s="7">
        <f t="shared" si="13"/>
        <v>5.3977272727272728E-2</v>
      </c>
      <c r="U396" s="7">
        <f>+(AV_PLAN[[#This Row],[%AVANCE INICIO PLANIFICADO]]+AV_PLAN[[#This Row],[%AVANCE TERMINO PLANIFICADO]])/2</f>
        <v>0.88778409090909094</v>
      </c>
    </row>
    <row r="397" spans="1:21" x14ac:dyDescent="0.25">
      <c r="A397" s="1">
        <v>46464</v>
      </c>
      <c r="B397">
        <v>3</v>
      </c>
      <c r="C397">
        <v>655</v>
      </c>
      <c r="D397">
        <v>0</v>
      </c>
      <c r="E397">
        <v>101</v>
      </c>
      <c r="F397">
        <v>3</v>
      </c>
      <c r="G397">
        <v>601</v>
      </c>
      <c r="H397">
        <v>0</v>
      </c>
      <c r="I397">
        <v>38</v>
      </c>
      <c r="J397" t="s">
        <v>811</v>
      </c>
      <c r="K397">
        <f>+WEEKNUM(AV_PLAN[[#This Row],[Días]])</f>
        <v>12</v>
      </c>
      <c r="L397" s="4">
        <f>IFERROR(AV_PLAN[[#This Row],[INICIO REAL ACUMULADO]]/AV_PLAN[[#This Row],[PLAN ACUMULADO]],"")</f>
        <v>0.15419847328244274</v>
      </c>
      <c r="M397" s="4">
        <f>IFERROR(AV_PLAN[[#This Row],[TERMINO REAL ACUMULADO]]/AV_PLAN[[#This Row],[TERMINO PLAN ACUMULADO]],"")</f>
        <v>6.3227953410981697E-2</v>
      </c>
      <c r="N397">
        <f>+AV_PLAN[[#This Row],[PLAN ACUMULADO]]-AV_PLAN[[#This Row],[INICIO REAL ACUMULADO]]</f>
        <v>554</v>
      </c>
      <c r="O397">
        <f>+AV_PLAN[[#This Row],[TERMINO PLAN ACUMULADO]]-AV_PLAN[[#This Row],[TERMINO REAL ACUMULADO]]</f>
        <v>563</v>
      </c>
      <c r="P39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7" s="7">
        <f>+AV_PLAN[[#This Row],[PLAN ACUMULADO]]/$C$471</f>
        <v>0.93039772727272729</v>
      </c>
      <c r="R397" s="7">
        <f t="shared" si="12"/>
        <v>0.14346590909090909</v>
      </c>
      <c r="S397" s="7">
        <f>+AV_PLAN[[#This Row],[TERMINO PLAN ACUMULADO]]/$G$471</f>
        <v>0.85369318181818177</v>
      </c>
      <c r="T397" s="7">
        <f t="shared" si="13"/>
        <v>5.3977272727272728E-2</v>
      </c>
      <c r="U397" s="7">
        <f>+(AV_PLAN[[#This Row],[%AVANCE INICIO PLANIFICADO]]+AV_PLAN[[#This Row],[%AVANCE TERMINO PLANIFICADO]])/2</f>
        <v>0.89204545454545459</v>
      </c>
    </row>
    <row r="398" spans="1:21" x14ac:dyDescent="0.25">
      <c r="A398" s="1">
        <v>46465</v>
      </c>
      <c r="B398">
        <v>3</v>
      </c>
      <c r="C398">
        <v>658</v>
      </c>
      <c r="D398">
        <v>0</v>
      </c>
      <c r="E398">
        <v>101</v>
      </c>
      <c r="F398">
        <v>2</v>
      </c>
      <c r="G398">
        <v>603</v>
      </c>
      <c r="H398">
        <v>0</v>
      </c>
      <c r="I398">
        <v>38</v>
      </c>
      <c r="J398" t="s">
        <v>811</v>
      </c>
      <c r="K398">
        <f>+WEEKNUM(AV_PLAN[[#This Row],[Días]])</f>
        <v>12</v>
      </c>
      <c r="L398" s="4">
        <f>IFERROR(AV_PLAN[[#This Row],[INICIO REAL ACUMULADO]]/AV_PLAN[[#This Row],[PLAN ACUMULADO]],"")</f>
        <v>0.15349544072948329</v>
      </c>
      <c r="M398" s="4">
        <f>IFERROR(AV_PLAN[[#This Row],[TERMINO REAL ACUMULADO]]/AV_PLAN[[#This Row],[TERMINO PLAN ACUMULADO]],"")</f>
        <v>6.3018242122719739E-2</v>
      </c>
      <c r="N398">
        <f>+AV_PLAN[[#This Row],[PLAN ACUMULADO]]-AV_PLAN[[#This Row],[INICIO REAL ACUMULADO]]</f>
        <v>557</v>
      </c>
      <c r="O398">
        <f>+AV_PLAN[[#This Row],[TERMINO PLAN ACUMULADO]]-AV_PLAN[[#This Row],[TERMINO REAL ACUMULADO]]</f>
        <v>565</v>
      </c>
      <c r="P39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8" s="7">
        <f>+AV_PLAN[[#This Row],[PLAN ACUMULADO]]/$C$471</f>
        <v>0.93465909090909094</v>
      </c>
      <c r="R398" s="7">
        <f t="shared" si="12"/>
        <v>0.14346590909090909</v>
      </c>
      <c r="S398" s="7">
        <f>+AV_PLAN[[#This Row],[TERMINO PLAN ACUMULADO]]/$G$471</f>
        <v>0.85653409090909094</v>
      </c>
      <c r="T398" s="7">
        <f t="shared" si="13"/>
        <v>5.3977272727272728E-2</v>
      </c>
      <c r="U398" s="7">
        <f>+(AV_PLAN[[#This Row],[%AVANCE INICIO PLANIFICADO]]+AV_PLAN[[#This Row],[%AVANCE TERMINO PLANIFICADO]])/2</f>
        <v>0.89559659090909094</v>
      </c>
    </row>
    <row r="399" spans="1:21" x14ac:dyDescent="0.25">
      <c r="A399" s="1">
        <v>46466</v>
      </c>
      <c r="B399">
        <v>0</v>
      </c>
      <c r="C399">
        <v>658</v>
      </c>
      <c r="D399">
        <v>0</v>
      </c>
      <c r="E399">
        <v>101</v>
      </c>
      <c r="F399">
        <v>2</v>
      </c>
      <c r="G399">
        <v>605</v>
      </c>
      <c r="H399">
        <v>0</v>
      </c>
      <c r="I399">
        <v>38</v>
      </c>
      <c r="J399" t="s">
        <v>811</v>
      </c>
      <c r="K399">
        <f>+WEEKNUM(AV_PLAN[[#This Row],[Días]])</f>
        <v>12</v>
      </c>
      <c r="L399" s="4">
        <f>IFERROR(AV_PLAN[[#This Row],[INICIO REAL ACUMULADO]]/AV_PLAN[[#This Row],[PLAN ACUMULADO]],"")</f>
        <v>0.15349544072948329</v>
      </c>
      <c r="M399" s="4">
        <f>IFERROR(AV_PLAN[[#This Row],[TERMINO REAL ACUMULADO]]/AV_PLAN[[#This Row],[TERMINO PLAN ACUMULADO]],"")</f>
        <v>6.2809917355371905E-2</v>
      </c>
      <c r="N399">
        <f>+AV_PLAN[[#This Row],[PLAN ACUMULADO]]-AV_PLAN[[#This Row],[INICIO REAL ACUMULADO]]</f>
        <v>557</v>
      </c>
      <c r="O399">
        <f>+AV_PLAN[[#This Row],[TERMINO PLAN ACUMULADO]]-AV_PLAN[[#This Row],[TERMINO REAL ACUMULADO]]</f>
        <v>567</v>
      </c>
      <c r="P39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9" s="7">
        <f>+AV_PLAN[[#This Row],[PLAN ACUMULADO]]/$C$471</f>
        <v>0.93465909090909094</v>
      </c>
      <c r="R399" s="7">
        <f t="shared" si="12"/>
        <v>0.14346590909090909</v>
      </c>
      <c r="S399" s="7">
        <f>+AV_PLAN[[#This Row],[TERMINO PLAN ACUMULADO]]/$G$471</f>
        <v>0.859375</v>
      </c>
      <c r="T399" s="7">
        <f t="shared" si="13"/>
        <v>5.3977272727272728E-2</v>
      </c>
      <c r="U399" s="7">
        <f>+(AV_PLAN[[#This Row],[%AVANCE INICIO PLANIFICADO]]+AV_PLAN[[#This Row],[%AVANCE TERMINO PLANIFICADO]])/2</f>
        <v>0.89701704545454541</v>
      </c>
    </row>
    <row r="400" spans="1:21" x14ac:dyDescent="0.25">
      <c r="A400" s="1">
        <v>46467</v>
      </c>
      <c r="B400">
        <v>0</v>
      </c>
      <c r="C400">
        <v>658</v>
      </c>
      <c r="D400">
        <v>0</v>
      </c>
      <c r="E400">
        <v>101</v>
      </c>
      <c r="F400">
        <v>2</v>
      </c>
      <c r="G400">
        <v>607</v>
      </c>
      <c r="H400">
        <v>0</v>
      </c>
      <c r="I400">
        <v>38</v>
      </c>
      <c r="J400" t="s">
        <v>811</v>
      </c>
      <c r="K400">
        <f>+WEEKNUM(AV_PLAN[[#This Row],[Días]])</f>
        <v>13</v>
      </c>
      <c r="L400" s="4">
        <f>IFERROR(AV_PLAN[[#This Row],[INICIO REAL ACUMULADO]]/AV_PLAN[[#This Row],[PLAN ACUMULADO]],"")</f>
        <v>0.15349544072948329</v>
      </c>
      <c r="M400" s="4">
        <f>IFERROR(AV_PLAN[[#This Row],[TERMINO REAL ACUMULADO]]/AV_PLAN[[#This Row],[TERMINO PLAN ACUMULADO]],"")</f>
        <v>6.260296540362438E-2</v>
      </c>
      <c r="N400">
        <f>+AV_PLAN[[#This Row],[PLAN ACUMULADO]]-AV_PLAN[[#This Row],[INICIO REAL ACUMULADO]]</f>
        <v>557</v>
      </c>
      <c r="O400">
        <f>+AV_PLAN[[#This Row],[TERMINO PLAN ACUMULADO]]-AV_PLAN[[#This Row],[TERMINO REAL ACUMULADO]]</f>
        <v>569</v>
      </c>
      <c r="P40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0" s="7">
        <f>+AV_PLAN[[#This Row],[PLAN ACUMULADO]]/$C$471</f>
        <v>0.93465909090909094</v>
      </c>
      <c r="R400" s="7">
        <f t="shared" si="12"/>
        <v>0.14346590909090909</v>
      </c>
      <c r="S400" s="7">
        <f>+AV_PLAN[[#This Row],[TERMINO PLAN ACUMULADO]]/$G$471</f>
        <v>0.86221590909090906</v>
      </c>
      <c r="T400" s="7">
        <f t="shared" si="13"/>
        <v>5.3977272727272728E-2</v>
      </c>
      <c r="U400" s="7">
        <f>+(AV_PLAN[[#This Row],[%AVANCE INICIO PLANIFICADO]]+AV_PLAN[[#This Row],[%AVANCE TERMINO PLANIFICADO]])/2</f>
        <v>0.8984375</v>
      </c>
    </row>
    <row r="401" spans="1:21" x14ac:dyDescent="0.25">
      <c r="A401" s="1">
        <v>46468</v>
      </c>
      <c r="B401">
        <v>3</v>
      </c>
      <c r="C401">
        <v>661</v>
      </c>
      <c r="D401">
        <v>0</v>
      </c>
      <c r="E401">
        <v>101</v>
      </c>
      <c r="F401">
        <v>1</v>
      </c>
      <c r="G401">
        <v>608</v>
      </c>
      <c r="H401">
        <v>0</v>
      </c>
      <c r="I401">
        <v>38</v>
      </c>
      <c r="J401" t="s">
        <v>811</v>
      </c>
      <c r="K401">
        <f>+WEEKNUM(AV_PLAN[[#This Row],[Días]])</f>
        <v>13</v>
      </c>
      <c r="L401" s="4">
        <f>IFERROR(AV_PLAN[[#This Row],[INICIO REAL ACUMULADO]]/AV_PLAN[[#This Row],[PLAN ACUMULADO]],"")</f>
        <v>0.15279878971255673</v>
      </c>
      <c r="M401" s="4">
        <f>IFERROR(AV_PLAN[[#This Row],[TERMINO REAL ACUMULADO]]/AV_PLAN[[#This Row],[TERMINO PLAN ACUMULADO]],"")</f>
        <v>6.25E-2</v>
      </c>
      <c r="N401">
        <f>+AV_PLAN[[#This Row],[PLAN ACUMULADO]]-AV_PLAN[[#This Row],[INICIO REAL ACUMULADO]]</f>
        <v>560</v>
      </c>
      <c r="O401">
        <f>+AV_PLAN[[#This Row],[TERMINO PLAN ACUMULADO]]-AV_PLAN[[#This Row],[TERMINO REAL ACUMULADO]]</f>
        <v>570</v>
      </c>
      <c r="P40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1" s="7">
        <f>+AV_PLAN[[#This Row],[PLAN ACUMULADO]]/$C$471</f>
        <v>0.93892045454545459</v>
      </c>
      <c r="R401" s="7">
        <f t="shared" si="12"/>
        <v>0.14346590909090909</v>
      </c>
      <c r="S401" s="7">
        <f>+AV_PLAN[[#This Row],[TERMINO PLAN ACUMULADO]]/$G$471</f>
        <v>0.86363636363636365</v>
      </c>
      <c r="T401" s="7">
        <f t="shared" si="13"/>
        <v>5.3977272727272728E-2</v>
      </c>
      <c r="U401" s="7">
        <f>+(AV_PLAN[[#This Row],[%AVANCE INICIO PLANIFICADO]]+AV_PLAN[[#This Row],[%AVANCE TERMINO PLANIFICADO]])/2</f>
        <v>0.90127840909090917</v>
      </c>
    </row>
    <row r="402" spans="1:21" x14ac:dyDescent="0.25">
      <c r="A402" s="1">
        <v>46469</v>
      </c>
      <c r="B402">
        <v>3</v>
      </c>
      <c r="C402">
        <v>664</v>
      </c>
      <c r="D402">
        <v>0</v>
      </c>
      <c r="E402">
        <v>101</v>
      </c>
      <c r="F402">
        <v>2</v>
      </c>
      <c r="G402">
        <v>610</v>
      </c>
      <c r="H402">
        <v>0</v>
      </c>
      <c r="I402">
        <v>38</v>
      </c>
      <c r="J402" t="s">
        <v>811</v>
      </c>
      <c r="K402">
        <f>+WEEKNUM(AV_PLAN[[#This Row],[Días]])</f>
        <v>13</v>
      </c>
      <c r="L402" s="4">
        <f>IFERROR(AV_PLAN[[#This Row],[INICIO REAL ACUMULADO]]/AV_PLAN[[#This Row],[PLAN ACUMULADO]],"")</f>
        <v>0.15210843373493976</v>
      </c>
      <c r="M402" s="4">
        <f>IFERROR(AV_PLAN[[#This Row],[TERMINO REAL ACUMULADO]]/AV_PLAN[[#This Row],[TERMINO PLAN ACUMULADO]],"")</f>
        <v>6.2295081967213117E-2</v>
      </c>
      <c r="N402">
        <f>+AV_PLAN[[#This Row],[PLAN ACUMULADO]]-AV_PLAN[[#This Row],[INICIO REAL ACUMULADO]]</f>
        <v>563</v>
      </c>
      <c r="O402">
        <f>+AV_PLAN[[#This Row],[TERMINO PLAN ACUMULADO]]-AV_PLAN[[#This Row],[TERMINO REAL ACUMULADO]]</f>
        <v>572</v>
      </c>
      <c r="P4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2" s="7">
        <f>+AV_PLAN[[#This Row],[PLAN ACUMULADO]]/$C$471</f>
        <v>0.94318181818181823</v>
      </c>
      <c r="R402" s="7">
        <f t="shared" si="12"/>
        <v>0.14346590909090909</v>
      </c>
      <c r="S402" s="7">
        <f>+AV_PLAN[[#This Row],[TERMINO PLAN ACUMULADO]]/$G$471</f>
        <v>0.86647727272727271</v>
      </c>
      <c r="T402" s="7">
        <f t="shared" si="13"/>
        <v>5.3977272727272728E-2</v>
      </c>
      <c r="U402" s="7">
        <f>+(AV_PLAN[[#This Row],[%AVANCE INICIO PLANIFICADO]]+AV_PLAN[[#This Row],[%AVANCE TERMINO PLANIFICADO]])/2</f>
        <v>0.90482954545454541</v>
      </c>
    </row>
    <row r="403" spans="1:21" x14ac:dyDescent="0.25">
      <c r="A403" s="1">
        <v>46470</v>
      </c>
      <c r="B403">
        <v>3</v>
      </c>
      <c r="C403">
        <v>667</v>
      </c>
      <c r="D403">
        <v>0</v>
      </c>
      <c r="E403">
        <v>101</v>
      </c>
      <c r="F403">
        <v>3</v>
      </c>
      <c r="G403">
        <v>613</v>
      </c>
      <c r="H403">
        <v>0</v>
      </c>
      <c r="I403">
        <v>38</v>
      </c>
      <c r="J403" t="s">
        <v>811</v>
      </c>
      <c r="K403">
        <f>+WEEKNUM(AV_PLAN[[#This Row],[Días]])</f>
        <v>13</v>
      </c>
      <c r="L403" s="4">
        <f>IFERROR(AV_PLAN[[#This Row],[INICIO REAL ACUMULADO]]/AV_PLAN[[#This Row],[PLAN ACUMULADO]],"")</f>
        <v>0.15142428785607195</v>
      </c>
      <c r="M403" s="4">
        <f>IFERROR(AV_PLAN[[#This Row],[TERMINO REAL ACUMULADO]]/AV_PLAN[[#This Row],[TERMINO PLAN ACUMULADO]],"")</f>
        <v>6.1990212071778142E-2</v>
      </c>
      <c r="N403">
        <f>+AV_PLAN[[#This Row],[PLAN ACUMULADO]]-AV_PLAN[[#This Row],[INICIO REAL ACUMULADO]]</f>
        <v>566</v>
      </c>
      <c r="O403">
        <f>+AV_PLAN[[#This Row],[TERMINO PLAN ACUMULADO]]-AV_PLAN[[#This Row],[TERMINO REAL ACUMULADO]]</f>
        <v>575</v>
      </c>
      <c r="P4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3" s="7">
        <f>+AV_PLAN[[#This Row],[PLAN ACUMULADO]]/$C$471</f>
        <v>0.94744318181818177</v>
      </c>
      <c r="R403" s="7">
        <f t="shared" si="12"/>
        <v>0.14346590909090909</v>
      </c>
      <c r="S403" s="7">
        <f>+AV_PLAN[[#This Row],[TERMINO PLAN ACUMULADO]]/$G$471</f>
        <v>0.87073863636363635</v>
      </c>
      <c r="T403" s="7">
        <f t="shared" si="13"/>
        <v>5.3977272727272728E-2</v>
      </c>
      <c r="U403" s="7">
        <f>+(AV_PLAN[[#This Row],[%AVANCE INICIO PLANIFICADO]]+AV_PLAN[[#This Row],[%AVANCE TERMINO PLANIFICADO]])/2</f>
        <v>0.90909090909090906</v>
      </c>
    </row>
    <row r="404" spans="1:21" x14ac:dyDescent="0.25">
      <c r="A404" s="1">
        <v>46471</v>
      </c>
      <c r="B404">
        <v>3</v>
      </c>
      <c r="C404">
        <v>670</v>
      </c>
      <c r="D404">
        <v>0</v>
      </c>
      <c r="E404">
        <v>101</v>
      </c>
      <c r="F404">
        <v>3</v>
      </c>
      <c r="G404">
        <v>616</v>
      </c>
      <c r="H404">
        <v>0</v>
      </c>
      <c r="I404">
        <v>38</v>
      </c>
      <c r="J404" t="s">
        <v>811</v>
      </c>
      <c r="K404">
        <f>+WEEKNUM(AV_PLAN[[#This Row],[Días]])</f>
        <v>13</v>
      </c>
      <c r="L404" s="4">
        <f>IFERROR(AV_PLAN[[#This Row],[INICIO REAL ACUMULADO]]/AV_PLAN[[#This Row],[PLAN ACUMULADO]],"")</f>
        <v>0.15074626865671642</v>
      </c>
      <c r="M404" s="4">
        <f>IFERROR(AV_PLAN[[#This Row],[TERMINO REAL ACUMULADO]]/AV_PLAN[[#This Row],[TERMINO PLAN ACUMULADO]],"")</f>
        <v>6.1688311688311688E-2</v>
      </c>
      <c r="N404">
        <f>+AV_PLAN[[#This Row],[PLAN ACUMULADO]]-AV_PLAN[[#This Row],[INICIO REAL ACUMULADO]]</f>
        <v>569</v>
      </c>
      <c r="O404">
        <f>+AV_PLAN[[#This Row],[TERMINO PLAN ACUMULADO]]-AV_PLAN[[#This Row],[TERMINO REAL ACUMULADO]]</f>
        <v>578</v>
      </c>
      <c r="P4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4" s="7">
        <f>+AV_PLAN[[#This Row],[PLAN ACUMULADO]]/$C$471</f>
        <v>0.95170454545454541</v>
      </c>
      <c r="R404" s="7">
        <f t="shared" si="12"/>
        <v>0.14346590909090909</v>
      </c>
      <c r="S404" s="7">
        <f>+AV_PLAN[[#This Row],[TERMINO PLAN ACUMULADO]]/$G$471</f>
        <v>0.875</v>
      </c>
      <c r="T404" s="7">
        <f t="shared" si="13"/>
        <v>5.3977272727272728E-2</v>
      </c>
      <c r="U404" s="7">
        <f>+(AV_PLAN[[#This Row],[%AVANCE INICIO PLANIFICADO]]+AV_PLAN[[#This Row],[%AVANCE TERMINO PLANIFICADO]])/2</f>
        <v>0.91335227272727271</v>
      </c>
    </row>
    <row r="405" spans="1:21" x14ac:dyDescent="0.25">
      <c r="A405" s="1">
        <v>46472</v>
      </c>
      <c r="B405">
        <v>3</v>
      </c>
      <c r="C405">
        <v>673</v>
      </c>
      <c r="D405">
        <v>0</v>
      </c>
      <c r="E405">
        <v>101</v>
      </c>
      <c r="F405">
        <v>2</v>
      </c>
      <c r="G405">
        <v>618</v>
      </c>
      <c r="H405">
        <v>0</v>
      </c>
      <c r="I405">
        <v>38</v>
      </c>
      <c r="J405" t="s">
        <v>811</v>
      </c>
      <c r="K405">
        <f>+WEEKNUM(AV_PLAN[[#This Row],[Días]])</f>
        <v>13</v>
      </c>
      <c r="L405" s="4">
        <f>IFERROR(AV_PLAN[[#This Row],[INICIO REAL ACUMULADO]]/AV_PLAN[[#This Row],[PLAN ACUMULADO]],"")</f>
        <v>0.150074294205052</v>
      </c>
      <c r="M405" s="4">
        <f>IFERROR(AV_PLAN[[#This Row],[TERMINO REAL ACUMULADO]]/AV_PLAN[[#This Row],[TERMINO PLAN ACUMULADO]],"")</f>
        <v>6.1488673139158574E-2</v>
      </c>
      <c r="N405">
        <f>+AV_PLAN[[#This Row],[PLAN ACUMULADO]]-AV_PLAN[[#This Row],[INICIO REAL ACUMULADO]]</f>
        <v>572</v>
      </c>
      <c r="O405">
        <f>+AV_PLAN[[#This Row],[TERMINO PLAN ACUMULADO]]-AV_PLAN[[#This Row],[TERMINO REAL ACUMULADO]]</f>
        <v>580</v>
      </c>
      <c r="P4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5" s="7">
        <f>+AV_PLAN[[#This Row],[PLAN ACUMULADO]]/$C$471</f>
        <v>0.95596590909090906</v>
      </c>
      <c r="R405" s="7">
        <f t="shared" si="12"/>
        <v>0.14346590909090909</v>
      </c>
      <c r="S405" s="7">
        <f>+AV_PLAN[[#This Row],[TERMINO PLAN ACUMULADO]]/$G$471</f>
        <v>0.87784090909090906</v>
      </c>
      <c r="T405" s="7">
        <f t="shared" si="13"/>
        <v>5.3977272727272728E-2</v>
      </c>
      <c r="U405" s="7">
        <f>+(AV_PLAN[[#This Row],[%AVANCE INICIO PLANIFICADO]]+AV_PLAN[[#This Row],[%AVANCE TERMINO PLANIFICADO]])/2</f>
        <v>0.91690340909090906</v>
      </c>
    </row>
    <row r="406" spans="1:21" x14ac:dyDescent="0.25">
      <c r="A406" s="1">
        <v>46473</v>
      </c>
      <c r="B406">
        <v>0</v>
      </c>
      <c r="C406">
        <v>673</v>
      </c>
      <c r="D406">
        <v>0</v>
      </c>
      <c r="E406">
        <v>101</v>
      </c>
      <c r="F406">
        <v>1</v>
      </c>
      <c r="G406">
        <v>619</v>
      </c>
      <c r="H406">
        <v>0</v>
      </c>
      <c r="I406">
        <v>38</v>
      </c>
      <c r="J406" t="s">
        <v>811</v>
      </c>
      <c r="K406">
        <f>+WEEKNUM(AV_PLAN[[#This Row],[Días]])</f>
        <v>13</v>
      </c>
      <c r="L406" s="4">
        <f>IFERROR(AV_PLAN[[#This Row],[INICIO REAL ACUMULADO]]/AV_PLAN[[#This Row],[PLAN ACUMULADO]],"")</f>
        <v>0.150074294205052</v>
      </c>
      <c r="M406" s="4">
        <f>IFERROR(AV_PLAN[[#This Row],[TERMINO REAL ACUMULADO]]/AV_PLAN[[#This Row],[TERMINO PLAN ACUMULADO]],"")</f>
        <v>6.1389337641357025E-2</v>
      </c>
      <c r="N406">
        <f>+AV_PLAN[[#This Row],[PLAN ACUMULADO]]-AV_PLAN[[#This Row],[INICIO REAL ACUMULADO]]</f>
        <v>572</v>
      </c>
      <c r="O406">
        <f>+AV_PLAN[[#This Row],[TERMINO PLAN ACUMULADO]]-AV_PLAN[[#This Row],[TERMINO REAL ACUMULADO]]</f>
        <v>581</v>
      </c>
      <c r="P4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6" s="7">
        <f>+AV_PLAN[[#This Row],[PLAN ACUMULADO]]/$C$471</f>
        <v>0.95596590909090906</v>
      </c>
      <c r="R406" s="7">
        <f t="shared" si="12"/>
        <v>0.14346590909090909</v>
      </c>
      <c r="S406" s="7">
        <f>+AV_PLAN[[#This Row],[TERMINO PLAN ACUMULADO]]/$G$471</f>
        <v>0.87926136363636365</v>
      </c>
      <c r="T406" s="7">
        <f t="shared" si="13"/>
        <v>5.3977272727272728E-2</v>
      </c>
      <c r="U406" s="7">
        <f>+(AV_PLAN[[#This Row],[%AVANCE INICIO PLANIFICADO]]+AV_PLAN[[#This Row],[%AVANCE TERMINO PLANIFICADO]])/2</f>
        <v>0.91761363636363635</v>
      </c>
    </row>
    <row r="407" spans="1:21" x14ac:dyDescent="0.25">
      <c r="A407" s="1">
        <v>46474</v>
      </c>
      <c r="B407">
        <v>0</v>
      </c>
      <c r="C407">
        <v>673</v>
      </c>
      <c r="D407">
        <v>0</v>
      </c>
      <c r="E407">
        <v>101</v>
      </c>
      <c r="F407">
        <v>2</v>
      </c>
      <c r="G407">
        <v>621</v>
      </c>
      <c r="H407">
        <v>0</v>
      </c>
      <c r="I407">
        <v>38</v>
      </c>
      <c r="J407" t="s">
        <v>811</v>
      </c>
      <c r="K407">
        <f>+WEEKNUM(AV_PLAN[[#This Row],[Días]])</f>
        <v>14</v>
      </c>
      <c r="L407" s="4">
        <f>IFERROR(AV_PLAN[[#This Row],[INICIO REAL ACUMULADO]]/AV_PLAN[[#This Row],[PLAN ACUMULADO]],"")</f>
        <v>0.150074294205052</v>
      </c>
      <c r="M407" s="4">
        <f>IFERROR(AV_PLAN[[#This Row],[TERMINO REAL ACUMULADO]]/AV_PLAN[[#This Row],[TERMINO PLAN ACUMULADO]],"")</f>
        <v>6.1191626409017714E-2</v>
      </c>
      <c r="N407">
        <f>+AV_PLAN[[#This Row],[PLAN ACUMULADO]]-AV_PLAN[[#This Row],[INICIO REAL ACUMULADO]]</f>
        <v>572</v>
      </c>
      <c r="O407">
        <f>+AV_PLAN[[#This Row],[TERMINO PLAN ACUMULADO]]-AV_PLAN[[#This Row],[TERMINO REAL ACUMULADO]]</f>
        <v>583</v>
      </c>
      <c r="P40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7" s="7">
        <f>+AV_PLAN[[#This Row],[PLAN ACUMULADO]]/$C$471</f>
        <v>0.95596590909090906</v>
      </c>
      <c r="R407" s="7">
        <f t="shared" si="12"/>
        <v>0.14346590909090909</v>
      </c>
      <c r="S407" s="7">
        <f>+AV_PLAN[[#This Row],[TERMINO PLAN ACUMULADO]]/$G$471</f>
        <v>0.88210227272727271</v>
      </c>
      <c r="T407" s="7">
        <f t="shared" si="13"/>
        <v>5.3977272727272728E-2</v>
      </c>
      <c r="U407" s="7">
        <f>+(AV_PLAN[[#This Row],[%AVANCE INICIO PLANIFICADO]]+AV_PLAN[[#This Row],[%AVANCE TERMINO PLANIFICADO]])/2</f>
        <v>0.91903409090909083</v>
      </c>
    </row>
    <row r="408" spans="1:21" x14ac:dyDescent="0.25">
      <c r="A408" s="1">
        <v>46475</v>
      </c>
      <c r="B408">
        <v>3</v>
      </c>
      <c r="C408">
        <v>676</v>
      </c>
      <c r="D408">
        <v>0</v>
      </c>
      <c r="E408">
        <v>101</v>
      </c>
      <c r="F408">
        <v>2</v>
      </c>
      <c r="G408">
        <v>623</v>
      </c>
      <c r="H408">
        <v>0</v>
      </c>
      <c r="I408">
        <v>38</v>
      </c>
      <c r="J408" t="s">
        <v>811</v>
      </c>
      <c r="K408">
        <f>+WEEKNUM(AV_PLAN[[#This Row],[Días]])</f>
        <v>14</v>
      </c>
      <c r="L408" s="4">
        <f>IFERROR(AV_PLAN[[#This Row],[INICIO REAL ACUMULADO]]/AV_PLAN[[#This Row],[PLAN ACUMULADO]],"")</f>
        <v>0.14940828402366865</v>
      </c>
      <c r="M408" s="4">
        <f>IFERROR(AV_PLAN[[#This Row],[TERMINO REAL ACUMULADO]]/AV_PLAN[[#This Row],[TERMINO PLAN ACUMULADO]],"")</f>
        <v>6.0995184590690206E-2</v>
      </c>
      <c r="N408">
        <f>+AV_PLAN[[#This Row],[PLAN ACUMULADO]]-AV_PLAN[[#This Row],[INICIO REAL ACUMULADO]]</f>
        <v>575</v>
      </c>
      <c r="O408">
        <f>+AV_PLAN[[#This Row],[TERMINO PLAN ACUMULADO]]-AV_PLAN[[#This Row],[TERMINO REAL ACUMULADO]]</f>
        <v>585</v>
      </c>
      <c r="P40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8" s="7">
        <f>+AV_PLAN[[#This Row],[PLAN ACUMULADO]]/$C$471</f>
        <v>0.96022727272727271</v>
      </c>
      <c r="R408" s="7">
        <f t="shared" si="12"/>
        <v>0.14346590909090909</v>
      </c>
      <c r="S408" s="7">
        <f>+AV_PLAN[[#This Row],[TERMINO PLAN ACUMULADO]]/$G$471</f>
        <v>0.88494318181818177</v>
      </c>
      <c r="T408" s="7">
        <f t="shared" si="13"/>
        <v>5.3977272727272728E-2</v>
      </c>
      <c r="U408" s="7">
        <f>+(AV_PLAN[[#This Row],[%AVANCE INICIO PLANIFICADO]]+AV_PLAN[[#This Row],[%AVANCE TERMINO PLANIFICADO]])/2</f>
        <v>0.92258522727272729</v>
      </c>
    </row>
    <row r="409" spans="1:21" x14ac:dyDescent="0.25">
      <c r="A409" s="1">
        <v>46476</v>
      </c>
      <c r="B409">
        <v>3</v>
      </c>
      <c r="C409">
        <v>679</v>
      </c>
      <c r="D409">
        <v>0</v>
      </c>
      <c r="E409">
        <v>101</v>
      </c>
      <c r="F409">
        <v>2</v>
      </c>
      <c r="G409">
        <v>625</v>
      </c>
      <c r="H409">
        <v>0</v>
      </c>
      <c r="I409">
        <v>38</v>
      </c>
      <c r="J409" t="s">
        <v>811</v>
      </c>
      <c r="K409">
        <f>+WEEKNUM(AV_PLAN[[#This Row],[Días]])</f>
        <v>14</v>
      </c>
      <c r="L409" s="4">
        <f>IFERROR(AV_PLAN[[#This Row],[INICIO REAL ACUMULADO]]/AV_PLAN[[#This Row],[PLAN ACUMULADO]],"")</f>
        <v>0.14874815905743741</v>
      </c>
      <c r="M409" s="4">
        <f>IFERROR(AV_PLAN[[#This Row],[TERMINO REAL ACUMULADO]]/AV_PLAN[[#This Row],[TERMINO PLAN ACUMULADO]],"")</f>
        <v>6.08E-2</v>
      </c>
      <c r="N409">
        <f>+AV_PLAN[[#This Row],[PLAN ACUMULADO]]-AV_PLAN[[#This Row],[INICIO REAL ACUMULADO]]</f>
        <v>578</v>
      </c>
      <c r="O409">
        <f>+AV_PLAN[[#This Row],[TERMINO PLAN ACUMULADO]]-AV_PLAN[[#This Row],[TERMINO REAL ACUMULADO]]</f>
        <v>587</v>
      </c>
      <c r="P4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9" s="7">
        <f>+AV_PLAN[[#This Row],[PLAN ACUMULADO]]/$C$471</f>
        <v>0.96448863636363635</v>
      </c>
      <c r="R409" s="7">
        <f t="shared" si="12"/>
        <v>0.14346590909090909</v>
      </c>
      <c r="S409" s="7">
        <f>+AV_PLAN[[#This Row],[TERMINO PLAN ACUMULADO]]/$G$471</f>
        <v>0.88778409090909094</v>
      </c>
      <c r="T409" s="7">
        <f t="shared" si="13"/>
        <v>5.3977272727272728E-2</v>
      </c>
      <c r="U409" s="7">
        <f>+(AV_PLAN[[#This Row],[%AVANCE INICIO PLANIFICADO]]+AV_PLAN[[#This Row],[%AVANCE TERMINO PLANIFICADO]])/2</f>
        <v>0.92613636363636365</v>
      </c>
    </row>
    <row r="410" spans="1:21" x14ac:dyDescent="0.25">
      <c r="A410" s="1">
        <v>46477</v>
      </c>
      <c r="B410">
        <v>3</v>
      </c>
      <c r="C410">
        <v>682</v>
      </c>
      <c r="D410">
        <v>0</v>
      </c>
      <c r="E410">
        <v>101</v>
      </c>
      <c r="F410">
        <v>3</v>
      </c>
      <c r="G410">
        <v>628</v>
      </c>
      <c r="H410">
        <v>0</v>
      </c>
      <c r="I410">
        <v>38</v>
      </c>
      <c r="J410" t="s">
        <v>811</v>
      </c>
      <c r="K410">
        <f>+WEEKNUM(AV_PLAN[[#This Row],[Días]])</f>
        <v>14</v>
      </c>
      <c r="L410" s="4">
        <f>IFERROR(AV_PLAN[[#This Row],[INICIO REAL ACUMULADO]]/AV_PLAN[[#This Row],[PLAN ACUMULADO]],"")</f>
        <v>0.14809384164222875</v>
      </c>
      <c r="M410" s="4">
        <f>IFERROR(AV_PLAN[[#This Row],[TERMINO REAL ACUMULADO]]/AV_PLAN[[#This Row],[TERMINO PLAN ACUMULADO]],"")</f>
        <v>6.0509554140127389E-2</v>
      </c>
      <c r="N410">
        <f>+AV_PLAN[[#This Row],[PLAN ACUMULADO]]-AV_PLAN[[#This Row],[INICIO REAL ACUMULADO]]</f>
        <v>581</v>
      </c>
      <c r="O410">
        <f>+AV_PLAN[[#This Row],[TERMINO PLAN ACUMULADO]]-AV_PLAN[[#This Row],[TERMINO REAL ACUMULADO]]</f>
        <v>590</v>
      </c>
      <c r="P4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10" s="7">
        <f>+AV_PLAN[[#This Row],[PLAN ACUMULADO]]/$C$471</f>
        <v>0.96875</v>
      </c>
      <c r="R410" s="7">
        <f t="shared" si="12"/>
        <v>0.14346590909090909</v>
      </c>
      <c r="S410" s="7">
        <f>+AV_PLAN[[#This Row],[TERMINO PLAN ACUMULADO]]/$G$471</f>
        <v>0.89204545454545459</v>
      </c>
      <c r="T410" s="7">
        <f t="shared" si="13"/>
        <v>5.3977272727272728E-2</v>
      </c>
      <c r="U410" s="7">
        <f>+(AV_PLAN[[#This Row],[%AVANCE INICIO PLANIFICADO]]+AV_PLAN[[#This Row],[%AVANCE TERMINO PLANIFICADO]])/2</f>
        <v>0.93039772727272729</v>
      </c>
    </row>
    <row r="411" spans="1:21" x14ac:dyDescent="0.25">
      <c r="A411" s="1">
        <v>46478</v>
      </c>
      <c r="B411">
        <v>3</v>
      </c>
      <c r="C411">
        <v>685</v>
      </c>
      <c r="D411">
        <v>0</v>
      </c>
      <c r="E411">
        <v>101</v>
      </c>
      <c r="F411">
        <v>3</v>
      </c>
      <c r="G411">
        <v>631</v>
      </c>
      <c r="H411">
        <v>0</v>
      </c>
      <c r="I411">
        <v>38</v>
      </c>
      <c r="J411" t="s">
        <v>812</v>
      </c>
      <c r="K411">
        <f>+WEEKNUM(AV_PLAN[[#This Row],[Días]])</f>
        <v>14</v>
      </c>
      <c r="L411" s="4">
        <f>IFERROR(AV_PLAN[[#This Row],[INICIO REAL ACUMULADO]]/AV_PLAN[[#This Row],[PLAN ACUMULADO]],"")</f>
        <v>0.14744525547445256</v>
      </c>
      <c r="M411" s="4">
        <f>IFERROR(AV_PLAN[[#This Row],[TERMINO REAL ACUMULADO]]/AV_PLAN[[#This Row],[TERMINO PLAN ACUMULADO]],"")</f>
        <v>6.0221870047543584E-2</v>
      </c>
      <c r="N411">
        <f>+AV_PLAN[[#This Row],[PLAN ACUMULADO]]-AV_PLAN[[#This Row],[INICIO REAL ACUMULADO]]</f>
        <v>584</v>
      </c>
      <c r="O411">
        <f>+AV_PLAN[[#This Row],[TERMINO PLAN ACUMULADO]]-AV_PLAN[[#This Row],[TERMINO REAL ACUMULADO]]</f>
        <v>593</v>
      </c>
      <c r="P4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1" s="7">
        <f>+AV_PLAN[[#This Row],[PLAN ACUMULADO]]/$C$471</f>
        <v>0.97301136363636365</v>
      </c>
      <c r="R411" s="7">
        <f t="shared" si="12"/>
        <v>0.14346590909090909</v>
      </c>
      <c r="S411" s="7">
        <f>+AV_PLAN[[#This Row],[TERMINO PLAN ACUMULADO]]/$G$471</f>
        <v>0.89630681818181823</v>
      </c>
      <c r="T411" s="7">
        <f t="shared" si="13"/>
        <v>5.3977272727272728E-2</v>
      </c>
      <c r="U411" s="7">
        <f>+(AV_PLAN[[#This Row],[%AVANCE INICIO PLANIFICADO]]+AV_PLAN[[#This Row],[%AVANCE TERMINO PLANIFICADO]])/2</f>
        <v>0.93465909090909094</v>
      </c>
    </row>
    <row r="412" spans="1:21" x14ac:dyDescent="0.25">
      <c r="A412" s="1">
        <v>46479</v>
      </c>
      <c r="B412">
        <v>3</v>
      </c>
      <c r="C412">
        <v>688</v>
      </c>
      <c r="D412">
        <v>0</v>
      </c>
      <c r="E412">
        <v>101</v>
      </c>
      <c r="F412">
        <v>1</v>
      </c>
      <c r="G412">
        <v>632</v>
      </c>
      <c r="H412">
        <v>0</v>
      </c>
      <c r="I412">
        <v>38</v>
      </c>
      <c r="J412" t="s">
        <v>812</v>
      </c>
      <c r="K412">
        <f>+WEEKNUM(AV_PLAN[[#This Row],[Días]])</f>
        <v>14</v>
      </c>
      <c r="L412" s="4">
        <f>IFERROR(AV_PLAN[[#This Row],[INICIO REAL ACUMULADO]]/AV_PLAN[[#This Row],[PLAN ACUMULADO]],"")</f>
        <v>0.14680232558139536</v>
      </c>
      <c r="M412" s="4">
        <f>IFERROR(AV_PLAN[[#This Row],[TERMINO REAL ACUMULADO]]/AV_PLAN[[#This Row],[TERMINO PLAN ACUMULADO]],"")</f>
        <v>6.0126582278481014E-2</v>
      </c>
      <c r="N412">
        <f>+AV_PLAN[[#This Row],[PLAN ACUMULADO]]-AV_PLAN[[#This Row],[INICIO REAL ACUMULADO]]</f>
        <v>587</v>
      </c>
      <c r="O412">
        <f>+AV_PLAN[[#This Row],[TERMINO PLAN ACUMULADO]]-AV_PLAN[[#This Row],[TERMINO REAL ACUMULADO]]</f>
        <v>594</v>
      </c>
      <c r="P4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2" s="7">
        <f>+AV_PLAN[[#This Row],[PLAN ACUMULADO]]/$C$471</f>
        <v>0.97727272727272729</v>
      </c>
      <c r="R412" s="7">
        <f t="shared" si="12"/>
        <v>0.14346590909090909</v>
      </c>
      <c r="S412" s="7">
        <f>+AV_PLAN[[#This Row],[TERMINO PLAN ACUMULADO]]/$G$471</f>
        <v>0.89772727272727271</v>
      </c>
      <c r="T412" s="7">
        <f t="shared" si="13"/>
        <v>5.3977272727272728E-2</v>
      </c>
      <c r="U412" s="7">
        <f>+(AV_PLAN[[#This Row],[%AVANCE INICIO PLANIFICADO]]+AV_PLAN[[#This Row],[%AVANCE TERMINO PLANIFICADO]])/2</f>
        <v>0.9375</v>
      </c>
    </row>
    <row r="413" spans="1:21" x14ac:dyDescent="0.25">
      <c r="A413" s="1">
        <v>46480</v>
      </c>
      <c r="B413">
        <v>0</v>
      </c>
      <c r="C413">
        <v>688</v>
      </c>
      <c r="D413">
        <v>0</v>
      </c>
      <c r="E413">
        <v>101</v>
      </c>
      <c r="F413">
        <v>1</v>
      </c>
      <c r="G413">
        <v>633</v>
      </c>
      <c r="H413">
        <v>0</v>
      </c>
      <c r="I413">
        <v>38</v>
      </c>
      <c r="J413" t="s">
        <v>812</v>
      </c>
      <c r="K413">
        <f>+WEEKNUM(AV_PLAN[[#This Row],[Días]])</f>
        <v>14</v>
      </c>
      <c r="L413" s="4">
        <f>IFERROR(AV_PLAN[[#This Row],[INICIO REAL ACUMULADO]]/AV_PLAN[[#This Row],[PLAN ACUMULADO]],"")</f>
        <v>0.14680232558139536</v>
      </c>
      <c r="M413" s="4">
        <f>IFERROR(AV_PLAN[[#This Row],[TERMINO REAL ACUMULADO]]/AV_PLAN[[#This Row],[TERMINO PLAN ACUMULADO]],"")</f>
        <v>6.0031595576619273E-2</v>
      </c>
      <c r="N413">
        <f>+AV_PLAN[[#This Row],[PLAN ACUMULADO]]-AV_PLAN[[#This Row],[INICIO REAL ACUMULADO]]</f>
        <v>587</v>
      </c>
      <c r="O413">
        <f>+AV_PLAN[[#This Row],[TERMINO PLAN ACUMULADO]]-AV_PLAN[[#This Row],[TERMINO REAL ACUMULADO]]</f>
        <v>595</v>
      </c>
      <c r="P4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3" s="7">
        <f>+AV_PLAN[[#This Row],[PLAN ACUMULADO]]/$C$471</f>
        <v>0.97727272727272729</v>
      </c>
      <c r="R413" s="7">
        <f t="shared" si="12"/>
        <v>0.14346590909090909</v>
      </c>
      <c r="S413" s="7">
        <f>+AV_PLAN[[#This Row],[TERMINO PLAN ACUMULADO]]/$G$471</f>
        <v>0.89914772727272729</v>
      </c>
      <c r="T413" s="7">
        <f t="shared" si="13"/>
        <v>5.3977272727272728E-2</v>
      </c>
      <c r="U413" s="7">
        <f>+(AV_PLAN[[#This Row],[%AVANCE INICIO PLANIFICADO]]+AV_PLAN[[#This Row],[%AVANCE TERMINO PLANIFICADO]])/2</f>
        <v>0.93821022727272729</v>
      </c>
    </row>
    <row r="414" spans="1:21" x14ac:dyDescent="0.25">
      <c r="A414" s="1">
        <v>46481</v>
      </c>
      <c r="B414">
        <v>0</v>
      </c>
      <c r="C414">
        <v>688</v>
      </c>
      <c r="D414">
        <v>0</v>
      </c>
      <c r="E414">
        <v>101</v>
      </c>
      <c r="F414">
        <v>4</v>
      </c>
      <c r="G414">
        <v>637</v>
      </c>
      <c r="H414">
        <v>0</v>
      </c>
      <c r="I414">
        <v>38</v>
      </c>
      <c r="J414" t="s">
        <v>812</v>
      </c>
      <c r="K414">
        <f>+WEEKNUM(AV_PLAN[[#This Row],[Días]])</f>
        <v>15</v>
      </c>
      <c r="L414" s="4">
        <f>IFERROR(AV_PLAN[[#This Row],[INICIO REAL ACUMULADO]]/AV_PLAN[[#This Row],[PLAN ACUMULADO]],"")</f>
        <v>0.14680232558139536</v>
      </c>
      <c r="M414" s="4">
        <f>IFERROR(AV_PLAN[[#This Row],[TERMINO REAL ACUMULADO]]/AV_PLAN[[#This Row],[TERMINO PLAN ACUMULADO]],"")</f>
        <v>5.9654631083202514E-2</v>
      </c>
      <c r="N414">
        <f>+AV_PLAN[[#This Row],[PLAN ACUMULADO]]-AV_PLAN[[#This Row],[INICIO REAL ACUMULADO]]</f>
        <v>587</v>
      </c>
      <c r="O414">
        <f>+AV_PLAN[[#This Row],[TERMINO PLAN ACUMULADO]]-AV_PLAN[[#This Row],[TERMINO REAL ACUMULADO]]</f>
        <v>599</v>
      </c>
      <c r="P41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4" s="7">
        <f>+AV_PLAN[[#This Row],[PLAN ACUMULADO]]/$C$471</f>
        <v>0.97727272727272729</v>
      </c>
      <c r="R414" s="7">
        <f t="shared" si="12"/>
        <v>0.14346590909090909</v>
      </c>
      <c r="S414" s="7">
        <f>+AV_PLAN[[#This Row],[TERMINO PLAN ACUMULADO]]/$G$471</f>
        <v>0.90482954545454541</v>
      </c>
      <c r="T414" s="7">
        <f t="shared" si="13"/>
        <v>5.3977272727272728E-2</v>
      </c>
      <c r="U414" s="7">
        <f>+(AV_PLAN[[#This Row],[%AVANCE INICIO PLANIFICADO]]+AV_PLAN[[#This Row],[%AVANCE TERMINO PLANIFICADO]])/2</f>
        <v>0.94105113636363635</v>
      </c>
    </row>
    <row r="415" spans="1:21" x14ac:dyDescent="0.25">
      <c r="A415" s="1">
        <v>46482</v>
      </c>
      <c r="B415">
        <v>3</v>
      </c>
      <c r="C415">
        <v>691</v>
      </c>
      <c r="D415">
        <v>0</v>
      </c>
      <c r="E415">
        <v>101</v>
      </c>
      <c r="F415">
        <v>2</v>
      </c>
      <c r="G415">
        <v>639</v>
      </c>
      <c r="H415">
        <v>0</v>
      </c>
      <c r="I415">
        <v>38</v>
      </c>
      <c r="J415" t="s">
        <v>812</v>
      </c>
      <c r="K415">
        <f>+WEEKNUM(AV_PLAN[[#This Row],[Días]])</f>
        <v>15</v>
      </c>
      <c r="L415" s="4">
        <f>IFERROR(AV_PLAN[[#This Row],[INICIO REAL ACUMULADO]]/AV_PLAN[[#This Row],[PLAN ACUMULADO]],"")</f>
        <v>0.14616497829232997</v>
      </c>
      <c r="M415" s="4">
        <f>IFERROR(AV_PLAN[[#This Row],[TERMINO REAL ACUMULADO]]/AV_PLAN[[#This Row],[TERMINO PLAN ACUMULADO]],"")</f>
        <v>5.9467918622848198E-2</v>
      </c>
      <c r="N415">
        <f>+AV_PLAN[[#This Row],[PLAN ACUMULADO]]-AV_PLAN[[#This Row],[INICIO REAL ACUMULADO]]</f>
        <v>590</v>
      </c>
      <c r="O415">
        <f>+AV_PLAN[[#This Row],[TERMINO PLAN ACUMULADO]]-AV_PLAN[[#This Row],[TERMINO REAL ACUMULADO]]</f>
        <v>601</v>
      </c>
      <c r="P41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5" s="7">
        <f>+AV_PLAN[[#This Row],[PLAN ACUMULADO]]/$C$471</f>
        <v>0.98153409090909094</v>
      </c>
      <c r="R415" s="7">
        <f t="shared" si="12"/>
        <v>0.14346590909090909</v>
      </c>
      <c r="S415" s="7">
        <f>+AV_PLAN[[#This Row],[TERMINO PLAN ACUMULADO]]/$G$471</f>
        <v>0.90767045454545459</v>
      </c>
      <c r="T415" s="7">
        <f t="shared" si="13"/>
        <v>5.3977272727272728E-2</v>
      </c>
      <c r="U415" s="7">
        <f>+(AV_PLAN[[#This Row],[%AVANCE INICIO PLANIFICADO]]+AV_PLAN[[#This Row],[%AVANCE TERMINO PLANIFICADO]])/2</f>
        <v>0.94460227272727271</v>
      </c>
    </row>
    <row r="416" spans="1:21" x14ac:dyDescent="0.25">
      <c r="A416" s="1">
        <v>46483</v>
      </c>
      <c r="B416">
        <v>3</v>
      </c>
      <c r="C416">
        <v>694</v>
      </c>
      <c r="D416">
        <v>0</v>
      </c>
      <c r="E416">
        <v>101</v>
      </c>
      <c r="F416">
        <v>1</v>
      </c>
      <c r="G416">
        <v>640</v>
      </c>
      <c r="H416">
        <v>0</v>
      </c>
      <c r="I416">
        <v>38</v>
      </c>
      <c r="J416" t="s">
        <v>812</v>
      </c>
      <c r="K416">
        <f>+WEEKNUM(AV_PLAN[[#This Row],[Días]])</f>
        <v>15</v>
      </c>
      <c r="L416" s="4">
        <f>IFERROR(AV_PLAN[[#This Row],[INICIO REAL ACUMULADO]]/AV_PLAN[[#This Row],[PLAN ACUMULADO]],"")</f>
        <v>0.14553314121037464</v>
      </c>
      <c r="M416" s="4">
        <f>IFERROR(AV_PLAN[[#This Row],[TERMINO REAL ACUMULADO]]/AV_PLAN[[#This Row],[TERMINO PLAN ACUMULADO]],"")</f>
        <v>5.9374999999999997E-2</v>
      </c>
      <c r="N416">
        <f>+AV_PLAN[[#This Row],[PLAN ACUMULADO]]-AV_PLAN[[#This Row],[INICIO REAL ACUMULADO]]</f>
        <v>593</v>
      </c>
      <c r="O416">
        <f>+AV_PLAN[[#This Row],[TERMINO PLAN ACUMULADO]]-AV_PLAN[[#This Row],[TERMINO REAL ACUMULADO]]</f>
        <v>602</v>
      </c>
      <c r="P41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6" s="7">
        <f>+AV_PLAN[[#This Row],[PLAN ACUMULADO]]/$C$471</f>
        <v>0.98579545454545459</v>
      </c>
      <c r="R416" s="7">
        <f t="shared" si="12"/>
        <v>0.14346590909090909</v>
      </c>
      <c r="S416" s="7">
        <f>+AV_PLAN[[#This Row],[TERMINO PLAN ACUMULADO]]/$G$471</f>
        <v>0.90909090909090906</v>
      </c>
      <c r="T416" s="7">
        <f t="shared" si="13"/>
        <v>5.3977272727272728E-2</v>
      </c>
      <c r="U416" s="7">
        <f>+(AV_PLAN[[#This Row],[%AVANCE INICIO PLANIFICADO]]+AV_PLAN[[#This Row],[%AVANCE TERMINO PLANIFICADO]])/2</f>
        <v>0.94744318181818188</v>
      </c>
    </row>
    <row r="417" spans="1:21" x14ac:dyDescent="0.25">
      <c r="A417" s="1">
        <v>46484</v>
      </c>
      <c r="B417">
        <v>3</v>
      </c>
      <c r="C417">
        <v>697</v>
      </c>
      <c r="D417">
        <v>0</v>
      </c>
      <c r="E417">
        <v>101</v>
      </c>
      <c r="F417">
        <v>3</v>
      </c>
      <c r="G417">
        <v>643</v>
      </c>
      <c r="H417">
        <v>0</v>
      </c>
      <c r="I417">
        <v>38</v>
      </c>
      <c r="J417" t="s">
        <v>812</v>
      </c>
      <c r="K417">
        <f>+WEEKNUM(AV_PLAN[[#This Row],[Días]])</f>
        <v>15</v>
      </c>
      <c r="L417" s="4">
        <f>IFERROR(AV_PLAN[[#This Row],[INICIO REAL ACUMULADO]]/AV_PLAN[[#This Row],[PLAN ACUMULADO]],"")</f>
        <v>0.1449067431850789</v>
      </c>
      <c r="M417" s="4">
        <f>IFERROR(AV_PLAN[[#This Row],[TERMINO REAL ACUMULADO]]/AV_PLAN[[#This Row],[TERMINO PLAN ACUMULADO]],"")</f>
        <v>5.909797822706065E-2</v>
      </c>
      <c r="N417">
        <f>+AV_PLAN[[#This Row],[PLAN ACUMULADO]]-AV_PLAN[[#This Row],[INICIO REAL ACUMULADO]]</f>
        <v>596</v>
      </c>
      <c r="O417">
        <f>+AV_PLAN[[#This Row],[TERMINO PLAN ACUMULADO]]-AV_PLAN[[#This Row],[TERMINO REAL ACUMULADO]]</f>
        <v>605</v>
      </c>
      <c r="P41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7" s="7">
        <f>+AV_PLAN[[#This Row],[PLAN ACUMULADO]]/$C$471</f>
        <v>0.99005681818181823</v>
      </c>
      <c r="R417" s="7">
        <f t="shared" si="12"/>
        <v>0.14346590909090909</v>
      </c>
      <c r="S417" s="7">
        <f>+AV_PLAN[[#This Row],[TERMINO PLAN ACUMULADO]]/$G$471</f>
        <v>0.91335227272727271</v>
      </c>
      <c r="T417" s="7">
        <f t="shared" si="13"/>
        <v>5.3977272727272728E-2</v>
      </c>
      <c r="U417" s="7">
        <f>+(AV_PLAN[[#This Row],[%AVANCE INICIO PLANIFICADO]]+AV_PLAN[[#This Row],[%AVANCE TERMINO PLANIFICADO]])/2</f>
        <v>0.95170454545454541</v>
      </c>
    </row>
    <row r="418" spans="1:21" x14ac:dyDescent="0.25">
      <c r="A418" s="1">
        <v>46485</v>
      </c>
      <c r="B418">
        <v>3</v>
      </c>
      <c r="C418">
        <v>700</v>
      </c>
      <c r="D418">
        <v>0</v>
      </c>
      <c r="E418">
        <v>101</v>
      </c>
      <c r="F418">
        <v>3</v>
      </c>
      <c r="G418">
        <v>646</v>
      </c>
      <c r="H418">
        <v>0</v>
      </c>
      <c r="I418">
        <v>38</v>
      </c>
      <c r="J418" t="s">
        <v>812</v>
      </c>
      <c r="K418">
        <f>+WEEKNUM(AV_PLAN[[#This Row],[Días]])</f>
        <v>15</v>
      </c>
      <c r="L418" s="4">
        <f>IFERROR(AV_PLAN[[#This Row],[INICIO REAL ACUMULADO]]/AV_PLAN[[#This Row],[PLAN ACUMULADO]],"")</f>
        <v>0.14428571428571429</v>
      </c>
      <c r="M418" s="4">
        <f>IFERROR(AV_PLAN[[#This Row],[TERMINO REAL ACUMULADO]]/AV_PLAN[[#This Row],[TERMINO PLAN ACUMULADO]],"")</f>
        <v>5.8823529411764705E-2</v>
      </c>
      <c r="N418">
        <f>+AV_PLAN[[#This Row],[PLAN ACUMULADO]]-AV_PLAN[[#This Row],[INICIO REAL ACUMULADO]]</f>
        <v>599</v>
      </c>
      <c r="O418">
        <f>+AV_PLAN[[#This Row],[TERMINO PLAN ACUMULADO]]-AV_PLAN[[#This Row],[TERMINO REAL ACUMULADO]]</f>
        <v>608</v>
      </c>
      <c r="P4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8" s="7">
        <f>+AV_PLAN[[#This Row],[PLAN ACUMULADO]]/$C$471</f>
        <v>0.99431818181818177</v>
      </c>
      <c r="R418" s="7">
        <f t="shared" si="12"/>
        <v>0.14346590909090909</v>
      </c>
      <c r="S418" s="7">
        <f>+AV_PLAN[[#This Row],[TERMINO PLAN ACUMULADO]]/$G$471</f>
        <v>0.91761363636363635</v>
      </c>
      <c r="T418" s="7">
        <f t="shared" si="13"/>
        <v>5.3977272727272728E-2</v>
      </c>
      <c r="U418" s="7">
        <f>+(AV_PLAN[[#This Row],[%AVANCE INICIO PLANIFICADO]]+AV_PLAN[[#This Row],[%AVANCE TERMINO PLANIFICADO]])/2</f>
        <v>0.95596590909090906</v>
      </c>
    </row>
    <row r="419" spans="1:21" x14ac:dyDescent="0.25">
      <c r="A419" s="1">
        <v>46486</v>
      </c>
      <c r="B419">
        <v>3</v>
      </c>
      <c r="C419">
        <v>703</v>
      </c>
      <c r="D419">
        <v>0</v>
      </c>
      <c r="E419">
        <v>101</v>
      </c>
      <c r="F419">
        <v>1</v>
      </c>
      <c r="G419">
        <v>647</v>
      </c>
      <c r="H419">
        <v>0</v>
      </c>
      <c r="I419">
        <v>38</v>
      </c>
      <c r="J419" t="s">
        <v>812</v>
      </c>
      <c r="K419">
        <f>+WEEKNUM(AV_PLAN[[#This Row],[Días]])</f>
        <v>15</v>
      </c>
      <c r="L419" s="4">
        <f>IFERROR(AV_PLAN[[#This Row],[INICIO REAL ACUMULADO]]/AV_PLAN[[#This Row],[PLAN ACUMULADO]],"")</f>
        <v>0.14366998577524892</v>
      </c>
      <c r="M419" s="4">
        <f>IFERROR(AV_PLAN[[#This Row],[TERMINO REAL ACUMULADO]]/AV_PLAN[[#This Row],[TERMINO PLAN ACUMULADO]],"")</f>
        <v>5.8732612055641419E-2</v>
      </c>
      <c r="N419">
        <f>+AV_PLAN[[#This Row],[PLAN ACUMULADO]]-AV_PLAN[[#This Row],[INICIO REAL ACUMULADO]]</f>
        <v>602</v>
      </c>
      <c r="O419">
        <f>+AV_PLAN[[#This Row],[TERMINO PLAN ACUMULADO]]-AV_PLAN[[#This Row],[TERMINO REAL ACUMULADO]]</f>
        <v>609</v>
      </c>
      <c r="P4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9" s="7">
        <f>+AV_PLAN[[#This Row],[PLAN ACUMULADO]]/$C$471</f>
        <v>0.99857954545454541</v>
      </c>
      <c r="R419" s="7">
        <f t="shared" si="12"/>
        <v>0.14346590909090909</v>
      </c>
      <c r="S419" s="7">
        <f>+AV_PLAN[[#This Row],[TERMINO PLAN ACUMULADO]]/$G$471</f>
        <v>0.91903409090909094</v>
      </c>
      <c r="T419" s="7">
        <f t="shared" si="13"/>
        <v>5.3977272727272728E-2</v>
      </c>
      <c r="U419" s="7">
        <f>+(AV_PLAN[[#This Row],[%AVANCE INICIO PLANIFICADO]]+AV_PLAN[[#This Row],[%AVANCE TERMINO PLANIFICADO]])/2</f>
        <v>0.95880681818181812</v>
      </c>
    </row>
    <row r="420" spans="1:21" x14ac:dyDescent="0.25">
      <c r="A420" s="1">
        <v>46487</v>
      </c>
      <c r="B420">
        <v>0</v>
      </c>
      <c r="C420">
        <v>703</v>
      </c>
      <c r="D420">
        <v>0</v>
      </c>
      <c r="E420">
        <v>101</v>
      </c>
      <c r="F420">
        <v>2</v>
      </c>
      <c r="G420">
        <v>649</v>
      </c>
      <c r="H420">
        <v>0</v>
      </c>
      <c r="I420">
        <v>38</v>
      </c>
      <c r="J420" t="s">
        <v>812</v>
      </c>
      <c r="K420">
        <f>+WEEKNUM(AV_PLAN[[#This Row],[Días]])</f>
        <v>15</v>
      </c>
      <c r="L420" s="4">
        <f>IFERROR(AV_PLAN[[#This Row],[INICIO REAL ACUMULADO]]/AV_PLAN[[#This Row],[PLAN ACUMULADO]],"")</f>
        <v>0.14366998577524892</v>
      </c>
      <c r="M420" s="4">
        <f>IFERROR(AV_PLAN[[#This Row],[TERMINO REAL ACUMULADO]]/AV_PLAN[[#This Row],[TERMINO PLAN ACUMULADO]],"")</f>
        <v>5.8551617873651769E-2</v>
      </c>
      <c r="N420">
        <f>+AV_PLAN[[#This Row],[PLAN ACUMULADO]]-AV_PLAN[[#This Row],[INICIO REAL ACUMULADO]]</f>
        <v>602</v>
      </c>
      <c r="O420">
        <f>+AV_PLAN[[#This Row],[TERMINO PLAN ACUMULADO]]-AV_PLAN[[#This Row],[TERMINO REAL ACUMULADO]]</f>
        <v>611</v>
      </c>
      <c r="P4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20" s="7">
        <f>+AV_PLAN[[#This Row],[PLAN ACUMULADO]]/$C$471</f>
        <v>0.99857954545454541</v>
      </c>
      <c r="R420" s="7">
        <f t="shared" si="12"/>
        <v>0.14346590909090909</v>
      </c>
      <c r="S420" s="7">
        <f>+AV_PLAN[[#This Row],[TERMINO PLAN ACUMULADO]]/$G$471</f>
        <v>0.921875</v>
      </c>
      <c r="T420" s="7">
        <f t="shared" si="13"/>
        <v>5.3977272727272728E-2</v>
      </c>
      <c r="U420" s="7">
        <f>+(AV_PLAN[[#This Row],[%AVANCE INICIO PLANIFICADO]]+AV_PLAN[[#This Row],[%AVANCE TERMINO PLANIFICADO]])/2</f>
        <v>0.96022727272727271</v>
      </c>
    </row>
    <row r="421" spans="1:21" x14ac:dyDescent="0.25">
      <c r="A421" s="1">
        <v>46488</v>
      </c>
      <c r="B421">
        <v>0</v>
      </c>
      <c r="C421">
        <v>703</v>
      </c>
      <c r="D421">
        <v>0</v>
      </c>
      <c r="E421">
        <v>101</v>
      </c>
      <c r="F421">
        <v>4</v>
      </c>
      <c r="G421">
        <v>653</v>
      </c>
      <c r="H421">
        <v>0</v>
      </c>
      <c r="I421">
        <v>38</v>
      </c>
      <c r="J421" t="s">
        <v>812</v>
      </c>
      <c r="K421">
        <f>+WEEKNUM(AV_PLAN[[#This Row],[Días]])</f>
        <v>16</v>
      </c>
      <c r="L421" s="4">
        <f>IFERROR(AV_PLAN[[#This Row],[INICIO REAL ACUMULADO]]/AV_PLAN[[#This Row],[PLAN ACUMULADO]],"")</f>
        <v>0.14366998577524892</v>
      </c>
      <c r="M421" s="4">
        <f>IFERROR(AV_PLAN[[#This Row],[TERMINO REAL ACUMULADO]]/AV_PLAN[[#This Row],[TERMINO PLAN ACUMULADO]],"")</f>
        <v>5.8192955589586523E-2</v>
      </c>
      <c r="N421">
        <f>+AV_PLAN[[#This Row],[PLAN ACUMULADO]]-AV_PLAN[[#This Row],[INICIO REAL ACUMULADO]]</f>
        <v>602</v>
      </c>
      <c r="O421">
        <f>+AV_PLAN[[#This Row],[TERMINO PLAN ACUMULADO]]-AV_PLAN[[#This Row],[TERMINO REAL ACUMULADO]]</f>
        <v>615</v>
      </c>
      <c r="P421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1" s="7">
        <f>+AV_PLAN[[#This Row],[PLAN ACUMULADO]]/$C$471</f>
        <v>0.99857954545454541</v>
      </c>
      <c r="R421" s="7">
        <f t="shared" si="12"/>
        <v>0.14346590909090909</v>
      </c>
      <c r="S421" s="7">
        <f>+AV_PLAN[[#This Row],[TERMINO PLAN ACUMULADO]]/$G$471</f>
        <v>0.92755681818181823</v>
      </c>
      <c r="T421" s="7">
        <f t="shared" si="13"/>
        <v>5.3977272727272728E-2</v>
      </c>
      <c r="U421" s="7">
        <f>+(AV_PLAN[[#This Row],[%AVANCE INICIO PLANIFICADO]]+AV_PLAN[[#This Row],[%AVANCE TERMINO PLANIFICADO]])/2</f>
        <v>0.96306818181818188</v>
      </c>
    </row>
    <row r="422" spans="1:21" x14ac:dyDescent="0.25">
      <c r="A422" s="1">
        <v>46489</v>
      </c>
      <c r="B422">
        <v>1</v>
      </c>
      <c r="C422">
        <v>704</v>
      </c>
      <c r="D422">
        <v>0</v>
      </c>
      <c r="E422">
        <v>101</v>
      </c>
      <c r="F422">
        <v>1</v>
      </c>
      <c r="G422">
        <v>654</v>
      </c>
      <c r="H422">
        <v>0</v>
      </c>
      <c r="I422">
        <v>38</v>
      </c>
      <c r="J422" t="s">
        <v>812</v>
      </c>
      <c r="K422">
        <f>+WEEKNUM(AV_PLAN[[#This Row],[Días]])</f>
        <v>16</v>
      </c>
      <c r="L422" s="4">
        <f>IFERROR(AV_PLAN[[#This Row],[INICIO REAL ACUMULADO]]/AV_PLAN[[#This Row],[PLAN ACUMULADO]],"")</f>
        <v>0.14346590909090909</v>
      </c>
      <c r="M422" s="4">
        <f>IFERROR(AV_PLAN[[#This Row],[TERMINO REAL ACUMULADO]]/AV_PLAN[[#This Row],[TERMINO PLAN ACUMULADO]],"")</f>
        <v>5.8103975535168197E-2</v>
      </c>
      <c r="N422">
        <f>+AV_PLAN[[#This Row],[PLAN ACUMULADO]]-AV_PLAN[[#This Row],[INICIO REAL ACUMULADO]]</f>
        <v>603</v>
      </c>
      <c r="O422">
        <f>+AV_PLAN[[#This Row],[TERMINO PLAN ACUMULADO]]-AV_PLAN[[#This Row],[TERMINO REAL ACUMULADO]]</f>
        <v>616</v>
      </c>
      <c r="P422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2" s="7">
        <f>+AV_PLAN[[#This Row],[PLAN ACUMULADO]]/$C$471</f>
        <v>1</v>
      </c>
      <c r="R422" s="7">
        <f t="shared" si="12"/>
        <v>0.14346590909090909</v>
      </c>
      <c r="S422" s="7">
        <f>+AV_PLAN[[#This Row],[TERMINO PLAN ACUMULADO]]/$G$471</f>
        <v>0.92897727272727271</v>
      </c>
      <c r="T422" s="7">
        <f t="shared" si="13"/>
        <v>5.3977272727272728E-2</v>
      </c>
      <c r="U422" s="7">
        <f>+(AV_PLAN[[#This Row],[%AVANCE INICIO PLANIFICADO]]+AV_PLAN[[#This Row],[%AVANCE TERMINO PLANIFICADO]])/2</f>
        <v>0.96448863636363635</v>
      </c>
    </row>
    <row r="423" spans="1:21" x14ac:dyDescent="0.25">
      <c r="A423" s="1">
        <v>46490</v>
      </c>
      <c r="B423">
        <v>0</v>
      </c>
      <c r="C423">
        <v>704</v>
      </c>
      <c r="D423">
        <v>0</v>
      </c>
      <c r="E423">
        <v>101</v>
      </c>
      <c r="F423">
        <v>1</v>
      </c>
      <c r="G423">
        <v>655</v>
      </c>
      <c r="H423">
        <v>0</v>
      </c>
      <c r="I423">
        <v>38</v>
      </c>
      <c r="J423" t="s">
        <v>812</v>
      </c>
      <c r="K423">
        <f>+WEEKNUM(AV_PLAN[[#This Row],[Días]])</f>
        <v>16</v>
      </c>
      <c r="L423" s="4">
        <f>IFERROR(AV_PLAN[[#This Row],[INICIO REAL ACUMULADO]]/AV_PLAN[[#This Row],[PLAN ACUMULADO]],"")</f>
        <v>0.14346590909090909</v>
      </c>
      <c r="M423" s="4">
        <f>IFERROR(AV_PLAN[[#This Row],[TERMINO REAL ACUMULADO]]/AV_PLAN[[#This Row],[TERMINO PLAN ACUMULADO]],"")</f>
        <v>5.8015267175572517E-2</v>
      </c>
      <c r="N423">
        <f>+AV_PLAN[[#This Row],[PLAN ACUMULADO]]-AV_PLAN[[#This Row],[INICIO REAL ACUMULADO]]</f>
        <v>603</v>
      </c>
      <c r="O423">
        <f>+AV_PLAN[[#This Row],[TERMINO PLAN ACUMULADO]]-AV_PLAN[[#This Row],[TERMINO REAL ACUMULADO]]</f>
        <v>617</v>
      </c>
      <c r="P423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3" s="7">
        <f>+AV_PLAN[[#This Row],[PLAN ACUMULADO]]/$C$471</f>
        <v>1</v>
      </c>
      <c r="R423" s="7">
        <f t="shared" si="12"/>
        <v>0.14346590909090909</v>
      </c>
      <c r="S423" s="7">
        <f>+AV_PLAN[[#This Row],[TERMINO PLAN ACUMULADO]]/$G$471</f>
        <v>0.93039772727272729</v>
      </c>
      <c r="T423" s="7">
        <f t="shared" si="13"/>
        <v>5.3977272727272728E-2</v>
      </c>
      <c r="U423" s="7">
        <f>+(AV_PLAN[[#This Row],[%AVANCE INICIO PLANIFICADO]]+AV_PLAN[[#This Row],[%AVANCE TERMINO PLANIFICADO]])/2</f>
        <v>0.96519886363636365</v>
      </c>
    </row>
    <row r="424" spans="1:21" x14ac:dyDescent="0.25">
      <c r="A424" s="1">
        <v>46491</v>
      </c>
      <c r="B424">
        <v>0</v>
      </c>
      <c r="C424">
        <v>704</v>
      </c>
      <c r="D424">
        <v>0</v>
      </c>
      <c r="E424">
        <v>101</v>
      </c>
      <c r="F424">
        <v>3</v>
      </c>
      <c r="G424">
        <v>658</v>
      </c>
      <c r="H424">
        <v>0</v>
      </c>
      <c r="I424">
        <v>38</v>
      </c>
      <c r="J424" t="s">
        <v>812</v>
      </c>
      <c r="K424">
        <f>+WEEKNUM(AV_PLAN[[#This Row],[Días]])</f>
        <v>16</v>
      </c>
      <c r="L424" s="4">
        <f>IFERROR(AV_PLAN[[#This Row],[INICIO REAL ACUMULADO]]/AV_PLAN[[#This Row],[PLAN ACUMULADO]],"")</f>
        <v>0.14346590909090909</v>
      </c>
      <c r="M424" s="4">
        <f>IFERROR(AV_PLAN[[#This Row],[TERMINO REAL ACUMULADO]]/AV_PLAN[[#This Row],[TERMINO PLAN ACUMULADO]],"")</f>
        <v>5.7750759878419454E-2</v>
      </c>
      <c r="N424">
        <f>+AV_PLAN[[#This Row],[PLAN ACUMULADO]]-AV_PLAN[[#This Row],[INICIO REAL ACUMULADO]]</f>
        <v>603</v>
      </c>
      <c r="O424">
        <f>+AV_PLAN[[#This Row],[TERMINO PLAN ACUMULADO]]-AV_PLAN[[#This Row],[TERMINO REAL ACUMULADO]]</f>
        <v>620</v>
      </c>
      <c r="P424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4" s="7">
        <f>+AV_PLAN[[#This Row],[PLAN ACUMULADO]]/$C$471</f>
        <v>1</v>
      </c>
      <c r="R424" s="7">
        <f t="shared" si="12"/>
        <v>0.14346590909090909</v>
      </c>
      <c r="S424" s="7">
        <f>+AV_PLAN[[#This Row],[TERMINO PLAN ACUMULADO]]/$G$471</f>
        <v>0.93465909090909094</v>
      </c>
      <c r="T424" s="7">
        <f t="shared" si="13"/>
        <v>5.3977272727272728E-2</v>
      </c>
      <c r="U424" s="7">
        <f>+(AV_PLAN[[#This Row],[%AVANCE INICIO PLANIFICADO]]+AV_PLAN[[#This Row],[%AVANCE TERMINO PLANIFICADO]])/2</f>
        <v>0.96732954545454541</v>
      </c>
    </row>
    <row r="425" spans="1:21" x14ac:dyDescent="0.25">
      <c r="A425" s="1">
        <v>46492</v>
      </c>
      <c r="B425">
        <v>0</v>
      </c>
      <c r="C425">
        <v>704</v>
      </c>
      <c r="D425">
        <v>0</v>
      </c>
      <c r="E425">
        <v>101</v>
      </c>
      <c r="F425">
        <v>3</v>
      </c>
      <c r="G425">
        <v>661</v>
      </c>
      <c r="H425">
        <v>0</v>
      </c>
      <c r="I425">
        <v>38</v>
      </c>
      <c r="J425" t="s">
        <v>812</v>
      </c>
      <c r="K425">
        <f>+WEEKNUM(AV_PLAN[[#This Row],[Días]])</f>
        <v>16</v>
      </c>
      <c r="L425" s="4">
        <f>IFERROR(AV_PLAN[[#This Row],[INICIO REAL ACUMULADO]]/AV_PLAN[[#This Row],[PLAN ACUMULADO]],"")</f>
        <v>0.14346590909090909</v>
      </c>
      <c r="M425" s="4">
        <f>IFERROR(AV_PLAN[[#This Row],[TERMINO REAL ACUMULADO]]/AV_PLAN[[#This Row],[TERMINO PLAN ACUMULADO]],"")</f>
        <v>5.7488653555219364E-2</v>
      </c>
      <c r="N425">
        <f>+AV_PLAN[[#This Row],[PLAN ACUMULADO]]-AV_PLAN[[#This Row],[INICIO REAL ACUMULADO]]</f>
        <v>603</v>
      </c>
      <c r="O425">
        <f>+AV_PLAN[[#This Row],[TERMINO PLAN ACUMULADO]]-AV_PLAN[[#This Row],[TERMINO REAL ACUMULADO]]</f>
        <v>623</v>
      </c>
      <c r="P425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5" s="7">
        <f>+AV_PLAN[[#This Row],[PLAN ACUMULADO]]/$C$471</f>
        <v>1</v>
      </c>
      <c r="R425" s="7">
        <f t="shared" si="12"/>
        <v>0.14346590909090909</v>
      </c>
      <c r="S425" s="7">
        <f>+AV_PLAN[[#This Row],[TERMINO PLAN ACUMULADO]]/$G$471</f>
        <v>0.93892045454545459</v>
      </c>
      <c r="T425" s="7">
        <f t="shared" si="13"/>
        <v>5.3977272727272728E-2</v>
      </c>
      <c r="U425" s="7">
        <f>+(AV_PLAN[[#This Row],[%AVANCE INICIO PLANIFICADO]]+AV_PLAN[[#This Row],[%AVANCE TERMINO PLANIFICADO]])/2</f>
        <v>0.96946022727272729</v>
      </c>
    </row>
    <row r="426" spans="1:21" x14ac:dyDescent="0.25">
      <c r="A426" s="1">
        <v>46493</v>
      </c>
      <c r="B426">
        <v>0</v>
      </c>
      <c r="C426">
        <v>704</v>
      </c>
      <c r="D426">
        <v>0</v>
      </c>
      <c r="E426">
        <v>101</v>
      </c>
      <c r="F426">
        <v>2</v>
      </c>
      <c r="G426">
        <v>663</v>
      </c>
      <c r="H426">
        <v>0</v>
      </c>
      <c r="I426">
        <v>38</v>
      </c>
      <c r="J426" t="s">
        <v>812</v>
      </c>
      <c r="K426">
        <f>+WEEKNUM(AV_PLAN[[#This Row],[Días]])</f>
        <v>16</v>
      </c>
      <c r="L426" s="4">
        <f>IFERROR(AV_PLAN[[#This Row],[INICIO REAL ACUMULADO]]/AV_PLAN[[#This Row],[PLAN ACUMULADO]],"")</f>
        <v>0.14346590909090909</v>
      </c>
      <c r="M426" s="4">
        <f>IFERROR(AV_PLAN[[#This Row],[TERMINO REAL ACUMULADO]]/AV_PLAN[[#This Row],[TERMINO PLAN ACUMULADO]],"")</f>
        <v>5.7315233785822019E-2</v>
      </c>
      <c r="N426">
        <f>+AV_PLAN[[#This Row],[PLAN ACUMULADO]]-AV_PLAN[[#This Row],[INICIO REAL ACUMULADO]]</f>
        <v>603</v>
      </c>
      <c r="O426">
        <f>+AV_PLAN[[#This Row],[TERMINO PLAN ACUMULADO]]-AV_PLAN[[#This Row],[TERMINO REAL ACUMULADO]]</f>
        <v>625</v>
      </c>
      <c r="P426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6" s="7">
        <f>+AV_PLAN[[#This Row],[PLAN ACUMULADO]]/$C$471</f>
        <v>1</v>
      </c>
      <c r="R426" s="7">
        <f t="shared" si="12"/>
        <v>0.14346590909090909</v>
      </c>
      <c r="S426" s="7">
        <f>+AV_PLAN[[#This Row],[TERMINO PLAN ACUMULADO]]/$G$471</f>
        <v>0.94176136363636365</v>
      </c>
      <c r="T426" s="7">
        <f t="shared" si="13"/>
        <v>5.3977272727272728E-2</v>
      </c>
      <c r="U426" s="7">
        <f>+(AV_PLAN[[#This Row],[%AVANCE INICIO PLANIFICADO]]+AV_PLAN[[#This Row],[%AVANCE TERMINO PLANIFICADO]])/2</f>
        <v>0.97088068181818188</v>
      </c>
    </row>
    <row r="427" spans="1:21" x14ac:dyDescent="0.25">
      <c r="A427" s="1">
        <v>46494</v>
      </c>
      <c r="B427">
        <v>0</v>
      </c>
      <c r="C427">
        <v>704</v>
      </c>
      <c r="D427">
        <v>0</v>
      </c>
      <c r="E427">
        <v>101</v>
      </c>
      <c r="F427">
        <v>2</v>
      </c>
      <c r="G427">
        <v>665</v>
      </c>
      <c r="H427">
        <v>0</v>
      </c>
      <c r="I427">
        <v>38</v>
      </c>
      <c r="J427" t="s">
        <v>812</v>
      </c>
      <c r="K427">
        <f>+WEEKNUM(AV_PLAN[[#This Row],[Días]])</f>
        <v>16</v>
      </c>
      <c r="L427" s="4">
        <f>IFERROR(AV_PLAN[[#This Row],[INICIO REAL ACUMULADO]]/AV_PLAN[[#This Row],[PLAN ACUMULADO]],"")</f>
        <v>0.14346590909090909</v>
      </c>
      <c r="M427" s="4">
        <f>IFERROR(AV_PLAN[[#This Row],[TERMINO REAL ACUMULADO]]/AV_PLAN[[#This Row],[TERMINO PLAN ACUMULADO]],"")</f>
        <v>5.7142857142857141E-2</v>
      </c>
      <c r="N427">
        <f>+AV_PLAN[[#This Row],[PLAN ACUMULADO]]-AV_PLAN[[#This Row],[INICIO REAL ACUMULADO]]</f>
        <v>603</v>
      </c>
      <c r="O427">
        <f>+AV_PLAN[[#This Row],[TERMINO PLAN ACUMULADO]]-AV_PLAN[[#This Row],[TERMINO REAL ACUMULADO]]</f>
        <v>627</v>
      </c>
      <c r="P427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7" s="7">
        <f>+AV_PLAN[[#This Row],[PLAN ACUMULADO]]/$C$471</f>
        <v>1</v>
      </c>
      <c r="R427" s="7">
        <f t="shared" si="12"/>
        <v>0.14346590909090909</v>
      </c>
      <c r="S427" s="7">
        <f>+AV_PLAN[[#This Row],[TERMINO PLAN ACUMULADO]]/$G$471</f>
        <v>0.94460227272727271</v>
      </c>
      <c r="T427" s="7">
        <f t="shared" si="13"/>
        <v>5.3977272727272728E-2</v>
      </c>
      <c r="U427" s="7">
        <f>+(AV_PLAN[[#This Row],[%AVANCE INICIO PLANIFICADO]]+AV_PLAN[[#This Row],[%AVANCE TERMINO PLANIFICADO]])/2</f>
        <v>0.97230113636363635</v>
      </c>
    </row>
    <row r="428" spans="1:21" x14ac:dyDescent="0.25">
      <c r="A428" s="1">
        <v>46495</v>
      </c>
      <c r="B428">
        <v>0</v>
      </c>
      <c r="C428">
        <v>704</v>
      </c>
      <c r="D428">
        <v>0</v>
      </c>
      <c r="E428">
        <v>101</v>
      </c>
      <c r="F428">
        <v>2</v>
      </c>
      <c r="G428">
        <v>667</v>
      </c>
      <c r="H428">
        <v>0</v>
      </c>
      <c r="I428">
        <v>38</v>
      </c>
      <c r="J428" t="s">
        <v>812</v>
      </c>
      <c r="K428">
        <f>+WEEKNUM(AV_PLAN[[#This Row],[Días]])</f>
        <v>17</v>
      </c>
      <c r="L428" s="4">
        <f>IFERROR(AV_PLAN[[#This Row],[INICIO REAL ACUMULADO]]/AV_PLAN[[#This Row],[PLAN ACUMULADO]],"")</f>
        <v>0.14346590909090909</v>
      </c>
      <c r="M428" s="4">
        <f>IFERROR(AV_PLAN[[#This Row],[TERMINO REAL ACUMULADO]]/AV_PLAN[[#This Row],[TERMINO PLAN ACUMULADO]],"")</f>
        <v>5.6971514242878558E-2</v>
      </c>
      <c r="N428">
        <f>+AV_PLAN[[#This Row],[PLAN ACUMULADO]]-AV_PLAN[[#This Row],[INICIO REAL ACUMULADO]]</f>
        <v>603</v>
      </c>
      <c r="O428">
        <f>+AV_PLAN[[#This Row],[TERMINO PLAN ACUMULADO]]-AV_PLAN[[#This Row],[TERMINO REAL ACUMULADO]]</f>
        <v>629</v>
      </c>
      <c r="P42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8" s="7">
        <f>+AV_PLAN[[#This Row],[PLAN ACUMULADO]]/$C$471</f>
        <v>1</v>
      </c>
      <c r="R428" s="7">
        <f t="shared" si="12"/>
        <v>0.14346590909090909</v>
      </c>
      <c r="S428" s="7">
        <f>+AV_PLAN[[#This Row],[TERMINO PLAN ACUMULADO]]/$G$471</f>
        <v>0.94744318181818177</v>
      </c>
      <c r="T428" s="7">
        <f t="shared" si="13"/>
        <v>5.3977272727272728E-2</v>
      </c>
      <c r="U428" s="7">
        <f>+(AV_PLAN[[#This Row],[%AVANCE INICIO PLANIFICADO]]+AV_PLAN[[#This Row],[%AVANCE TERMINO PLANIFICADO]])/2</f>
        <v>0.97372159090909083</v>
      </c>
    </row>
    <row r="429" spans="1:21" x14ac:dyDescent="0.25">
      <c r="A429" s="1">
        <v>46496</v>
      </c>
      <c r="B429">
        <v>0</v>
      </c>
      <c r="C429">
        <v>704</v>
      </c>
      <c r="D429">
        <v>0</v>
      </c>
      <c r="E429">
        <v>101</v>
      </c>
      <c r="F429">
        <v>1</v>
      </c>
      <c r="G429">
        <v>668</v>
      </c>
      <c r="H429">
        <v>0</v>
      </c>
      <c r="I429">
        <v>38</v>
      </c>
      <c r="J429" t="s">
        <v>812</v>
      </c>
      <c r="K429">
        <f>+WEEKNUM(AV_PLAN[[#This Row],[Días]])</f>
        <v>17</v>
      </c>
      <c r="L429" s="4">
        <f>IFERROR(AV_PLAN[[#This Row],[INICIO REAL ACUMULADO]]/AV_PLAN[[#This Row],[PLAN ACUMULADO]],"")</f>
        <v>0.14346590909090909</v>
      </c>
      <c r="M429" s="4">
        <f>IFERROR(AV_PLAN[[#This Row],[TERMINO REAL ACUMULADO]]/AV_PLAN[[#This Row],[TERMINO PLAN ACUMULADO]],"")</f>
        <v>5.6886227544910177E-2</v>
      </c>
      <c r="N429">
        <f>+AV_PLAN[[#This Row],[PLAN ACUMULADO]]-AV_PLAN[[#This Row],[INICIO REAL ACUMULADO]]</f>
        <v>603</v>
      </c>
      <c r="O429">
        <f>+AV_PLAN[[#This Row],[TERMINO PLAN ACUMULADO]]-AV_PLAN[[#This Row],[TERMINO REAL ACUMULADO]]</f>
        <v>630</v>
      </c>
      <c r="P42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9" s="7">
        <f>+AV_PLAN[[#This Row],[PLAN ACUMULADO]]/$C$471</f>
        <v>1</v>
      </c>
      <c r="R429" s="7">
        <f t="shared" si="12"/>
        <v>0.14346590909090909</v>
      </c>
      <c r="S429" s="7">
        <f>+AV_PLAN[[#This Row],[TERMINO PLAN ACUMULADO]]/$G$471</f>
        <v>0.94886363636363635</v>
      </c>
      <c r="T429" s="7">
        <f t="shared" si="13"/>
        <v>5.3977272727272728E-2</v>
      </c>
      <c r="U429" s="7">
        <f>+(AV_PLAN[[#This Row],[%AVANCE INICIO PLANIFICADO]]+AV_PLAN[[#This Row],[%AVANCE TERMINO PLANIFICADO]])/2</f>
        <v>0.97443181818181812</v>
      </c>
    </row>
    <row r="430" spans="1:21" x14ac:dyDescent="0.25">
      <c r="A430" s="1">
        <v>46497</v>
      </c>
      <c r="B430">
        <v>0</v>
      </c>
      <c r="C430">
        <v>704</v>
      </c>
      <c r="D430">
        <v>0</v>
      </c>
      <c r="E430">
        <v>101</v>
      </c>
      <c r="F430">
        <v>2</v>
      </c>
      <c r="G430">
        <v>670</v>
      </c>
      <c r="H430">
        <v>0</v>
      </c>
      <c r="I430">
        <v>38</v>
      </c>
      <c r="J430" t="s">
        <v>812</v>
      </c>
      <c r="K430">
        <f>+WEEKNUM(AV_PLAN[[#This Row],[Días]])</f>
        <v>17</v>
      </c>
      <c r="L430" s="4">
        <f>IFERROR(AV_PLAN[[#This Row],[INICIO REAL ACUMULADO]]/AV_PLAN[[#This Row],[PLAN ACUMULADO]],"")</f>
        <v>0.14346590909090909</v>
      </c>
      <c r="M430" s="4">
        <f>IFERROR(AV_PLAN[[#This Row],[TERMINO REAL ACUMULADO]]/AV_PLAN[[#This Row],[TERMINO PLAN ACUMULADO]],"")</f>
        <v>5.6716417910447764E-2</v>
      </c>
      <c r="N430">
        <f>+AV_PLAN[[#This Row],[PLAN ACUMULADO]]-AV_PLAN[[#This Row],[INICIO REAL ACUMULADO]]</f>
        <v>603</v>
      </c>
      <c r="O430">
        <f>+AV_PLAN[[#This Row],[TERMINO PLAN ACUMULADO]]-AV_PLAN[[#This Row],[TERMINO REAL ACUMULADO]]</f>
        <v>632</v>
      </c>
      <c r="P43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0" s="7">
        <f>+AV_PLAN[[#This Row],[PLAN ACUMULADO]]/$C$471</f>
        <v>1</v>
      </c>
      <c r="R430" s="7">
        <f t="shared" si="12"/>
        <v>0.14346590909090909</v>
      </c>
      <c r="S430" s="7">
        <f>+AV_PLAN[[#This Row],[TERMINO PLAN ACUMULADO]]/$G$471</f>
        <v>0.95170454545454541</v>
      </c>
      <c r="T430" s="7">
        <f t="shared" si="13"/>
        <v>5.3977272727272728E-2</v>
      </c>
      <c r="U430" s="7">
        <f>+(AV_PLAN[[#This Row],[%AVANCE INICIO PLANIFICADO]]+AV_PLAN[[#This Row],[%AVANCE TERMINO PLANIFICADO]])/2</f>
        <v>0.97585227272727271</v>
      </c>
    </row>
    <row r="431" spans="1:21" x14ac:dyDescent="0.25">
      <c r="A431" s="1">
        <v>46498</v>
      </c>
      <c r="B431">
        <v>0</v>
      </c>
      <c r="C431">
        <v>704</v>
      </c>
      <c r="D431">
        <v>0</v>
      </c>
      <c r="E431">
        <v>101</v>
      </c>
      <c r="F431">
        <v>3</v>
      </c>
      <c r="G431">
        <v>673</v>
      </c>
      <c r="H431">
        <v>0</v>
      </c>
      <c r="I431">
        <v>38</v>
      </c>
      <c r="J431" t="s">
        <v>812</v>
      </c>
      <c r="K431">
        <f>+WEEKNUM(AV_PLAN[[#This Row],[Días]])</f>
        <v>17</v>
      </c>
      <c r="L431" s="4">
        <f>IFERROR(AV_PLAN[[#This Row],[INICIO REAL ACUMULADO]]/AV_PLAN[[#This Row],[PLAN ACUMULADO]],"")</f>
        <v>0.14346590909090909</v>
      </c>
      <c r="M431" s="4">
        <f>IFERROR(AV_PLAN[[#This Row],[TERMINO REAL ACUMULADO]]/AV_PLAN[[#This Row],[TERMINO PLAN ACUMULADO]],"")</f>
        <v>5.6463595839524518E-2</v>
      </c>
      <c r="N431">
        <f>+AV_PLAN[[#This Row],[PLAN ACUMULADO]]-AV_PLAN[[#This Row],[INICIO REAL ACUMULADO]]</f>
        <v>603</v>
      </c>
      <c r="O431">
        <f>+AV_PLAN[[#This Row],[TERMINO PLAN ACUMULADO]]-AV_PLAN[[#This Row],[TERMINO REAL ACUMULADO]]</f>
        <v>635</v>
      </c>
      <c r="P43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1" s="7">
        <f>+AV_PLAN[[#This Row],[PLAN ACUMULADO]]/$C$471</f>
        <v>1</v>
      </c>
      <c r="R431" s="7">
        <f t="shared" si="12"/>
        <v>0.14346590909090909</v>
      </c>
      <c r="S431" s="7">
        <f>+AV_PLAN[[#This Row],[TERMINO PLAN ACUMULADO]]/$G$471</f>
        <v>0.95596590909090906</v>
      </c>
      <c r="T431" s="7">
        <f t="shared" si="13"/>
        <v>5.3977272727272728E-2</v>
      </c>
      <c r="U431" s="7">
        <f>+(AV_PLAN[[#This Row],[%AVANCE INICIO PLANIFICADO]]+AV_PLAN[[#This Row],[%AVANCE TERMINO PLANIFICADO]])/2</f>
        <v>0.97798295454545459</v>
      </c>
    </row>
    <row r="432" spans="1:21" x14ac:dyDescent="0.25">
      <c r="A432" s="1">
        <v>46499</v>
      </c>
      <c r="B432">
        <v>0</v>
      </c>
      <c r="C432">
        <v>704</v>
      </c>
      <c r="D432">
        <v>0</v>
      </c>
      <c r="E432">
        <v>101</v>
      </c>
      <c r="F432">
        <v>3</v>
      </c>
      <c r="G432">
        <v>676</v>
      </c>
      <c r="H432">
        <v>0</v>
      </c>
      <c r="I432">
        <v>38</v>
      </c>
      <c r="J432" t="s">
        <v>812</v>
      </c>
      <c r="K432">
        <f>+WEEKNUM(AV_PLAN[[#This Row],[Días]])</f>
        <v>17</v>
      </c>
      <c r="L432" s="4">
        <f>IFERROR(AV_PLAN[[#This Row],[INICIO REAL ACUMULADO]]/AV_PLAN[[#This Row],[PLAN ACUMULADO]],"")</f>
        <v>0.14346590909090909</v>
      </c>
      <c r="M432" s="4">
        <f>IFERROR(AV_PLAN[[#This Row],[TERMINO REAL ACUMULADO]]/AV_PLAN[[#This Row],[TERMINO PLAN ACUMULADO]],"")</f>
        <v>5.6213017751479293E-2</v>
      </c>
      <c r="N432">
        <f>+AV_PLAN[[#This Row],[PLAN ACUMULADO]]-AV_PLAN[[#This Row],[INICIO REAL ACUMULADO]]</f>
        <v>603</v>
      </c>
      <c r="O432">
        <f>+AV_PLAN[[#This Row],[TERMINO PLAN ACUMULADO]]-AV_PLAN[[#This Row],[TERMINO REAL ACUMULADO]]</f>
        <v>638</v>
      </c>
      <c r="P43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2" s="7">
        <f>+AV_PLAN[[#This Row],[PLAN ACUMULADO]]/$C$471</f>
        <v>1</v>
      </c>
      <c r="R432" s="7">
        <f t="shared" si="12"/>
        <v>0.14346590909090909</v>
      </c>
      <c r="S432" s="7">
        <f>+AV_PLAN[[#This Row],[TERMINO PLAN ACUMULADO]]/$G$471</f>
        <v>0.96022727272727271</v>
      </c>
      <c r="T432" s="7">
        <f t="shared" si="13"/>
        <v>5.3977272727272728E-2</v>
      </c>
      <c r="U432" s="7">
        <f>+(AV_PLAN[[#This Row],[%AVANCE INICIO PLANIFICADO]]+AV_PLAN[[#This Row],[%AVANCE TERMINO PLANIFICADO]])/2</f>
        <v>0.98011363636363635</v>
      </c>
    </row>
    <row r="433" spans="1:21" x14ac:dyDescent="0.25">
      <c r="A433" s="1">
        <v>46500</v>
      </c>
      <c r="B433">
        <v>0</v>
      </c>
      <c r="C433">
        <v>704</v>
      </c>
      <c r="D433">
        <v>0</v>
      </c>
      <c r="E433">
        <v>101</v>
      </c>
      <c r="F433">
        <v>2</v>
      </c>
      <c r="G433">
        <v>678</v>
      </c>
      <c r="H433">
        <v>0</v>
      </c>
      <c r="I433">
        <v>38</v>
      </c>
      <c r="J433" t="s">
        <v>812</v>
      </c>
      <c r="K433">
        <f>+WEEKNUM(AV_PLAN[[#This Row],[Días]])</f>
        <v>17</v>
      </c>
      <c r="L433" s="4">
        <f>IFERROR(AV_PLAN[[#This Row],[INICIO REAL ACUMULADO]]/AV_PLAN[[#This Row],[PLAN ACUMULADO]],"")</f>
        <v>0.14346590909090909</v>
      </c>
      <c r="M433" s="4">
        <f>IFERROR(AV_PLAN[[#This Row],[TERMINO REAL ACUMULADO]]/AV_PLAN[[#This Row],[TERMINO PLAN ACUMULADO]],"")</f>
        <v>5.6047197640117993E-2</v>
      </c>
      <c r="N433">
        <f>+AV_PLAN[[#This Row],[PLAN ACUMULADO]]-AV_PLAN[[#This Row],[INICIO REAL ACUMULADO]]</f>
        <v>603</v>
      </c>
      <c r="O433">
        <f>+AV_PLAN[[#This Row],[TERMINO PLAN ACUMULADO]]-AV_PLAN[[#This Row],[TERMINO REAL ACUMULADO]]</f>
        <v>640</v>
      </c>
      <c r="P43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3" s="7">
        <f>+AV_PLAN[[#This Row],[PLAN ACUMULADO]]/$C$471</f>
        <v>1</v>
      </c>
      <c r="R433" s="7">
        <f t="shared" si="12"/>
        <v>0.14346590909090909</v>
      </c>
      <c r="S433" s="7">
        <f>+AV_PLAN[[#This Row],[TERMINO PLAN ACUMULADO]]/$G$471</f>
        <v>0.96306818181818177</v>
      </c>
      <c r="T433" s="7">
        <f t="shared" si="13"/>
        <v>5.3977272727272728E-2</v>
      </c>
      <c r="U433" s="7">
        <f>+(AV_PLAN[[#This Row],[%AVANCE INICIO PLANIFICADO]]+AV_PLAN[[#This Row],[%AVANCE TERMINO PLANIFICADO]])/2</f>
        <v>0.98153409090909083</v>
      </c>
    </row>
    <row r="434" spans="1:21" x14ac:dyDescent="0.25">
      <c r="A434" s="1">
        <v>46501</v>
      </c>
      <c r="B434">
        <v>0</v>
      </c>
      <c r="C434">
        <v>704</v>
      </c>
      <c r="D434">
        <v>0</v>
      </c>
      <c r="E434">
        <v>101</v>
      </c>
      <c r="F434">
        <v>1</v>
      </c>
      <c r="G434">
        <v>679</v>
      </c>
      <c r="H434">
        <v>0</v>
      </c>
      <c r="I434">
        <v>38</v>
      </c>
      <c r="J434" t="s">
        <v>812</v>
      </c>
      <c r="K434">
        <f>+WEEKNUM(AV_PLAN[[#This Row],[Días]])</f>
        <v>17</v>
      </c>
      <c r="L434" s="4">
        <f>IFERROR(AV_PLAN[[#This Row],[INICIO REAL ACUMULADO]]/AV_PLAN[[#This Row],[PLAN ACUMULADO]],"")</f>
        <v>0.14346590909090909</v>
      </c>
      <c r="M434" s="4">
        <f>IFERROR(AV_PLAN[[#This Row],[TERMINO REAL ACUMULADO]]/AV_PLAN[[#This Row],[TERMINO PLAN ACUMULADO]],"")</f>
        <v>5.5964653902798235E-2</v>
      </c>
      <c r="N434">
        <f>+AV_PLAN[[#This Row],[PLAN ACUMULADO]]-AV_PLAN[[#This Row],[INICIO REAL ACUMULADO]]</f>
        <v>603</v>
      </c>
      <c r="O434">
        <f>+AV_PLAN[[#This Row],[TERMINO PLAN ACUMULADO]]-AV_PLAN[[#This Row],[TERMINO REAL ACUMULADO]]</f>
        <v>641</v>
      </c>
      <c r="P43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4" s="7">
        <f>+AV_PLAN[[#This Row],[PLAN ACUMULADO]]/$C$471</f>
        <v>1</v>
      </c>
      <c r="R434" s="7">
        <f t="shared" si="12"/>
        <v>0.14346590909090909</v>
      </c>
      <c r="S434" s="7">
        <f>+AV_PLAN[[#This Row],[TERMINO PLAN ACUMULADO]]/$G$471</f>
        <v>0.96448863636363635</v>
      </c>
      <c r="T434" s="7">
        <f t="shared" si="13"/>
        <v>5.3977272727272728E-2</v>
      </c>
      <c r="U434" s="7">
        <f>+(AV_PLAN[[#This Row],[%AVANCE INICIO PLANIFICADO]]+AV_PLAN[[#This Row],[%AVANCE TERMINO PLANIFICADO]])/2</f>
        <v>0.98224431818181812</v>
      </c>
    </row>
    <row r="435" spans="1:21" x14ac:dyDescent="0.25">
      <c r="A435" s="1">
        <v>46502</v>
      </c>
      <c r="B435">
        <v>0</v>
      </c>
      <c r="C435">
        <v>704</v>
      </c>
      <c r="D435">
        <v>0</v>
      </c>
      <c r="E435">
        <v>101</v>
      </c>
      <c r="F435">
        <v>2</v>
      </c>
      <c r="G435">
        <v>681</v>
      </c>
      <c r="H435">
        <v>0</v>
      </c>
      <c r="I435">
        <v>38</v>
      </c>
      <c r="J435" t="s">
        <v>812</v>
      </c>
      <c r="K435">
        <f>+WEEKNUM(AV_PLAN[[#This Row],[Días]])</f>
        <v>18</v>
      </c>
      <c r="L435" s="4">
        <f>IFERROR(AV_PLAN[[#This Row],[INICIO REAL ACUMULADO]]/AV_PLAN[[#This Row],[PLAN ACUMULADO]],"")</f>
        <v>0.14346590909090909</v>
      </c>
      <c r="M435" s="4">
        <f>IFERROR(AV_PLAN[[#This Row],[TERMINO REAL ACUMULADO]]/AV_PLAN[[#This Row],[TERMINO PLAN ACUMULADO]],"")</f>
        <v>5.5800293685756244E-2</v>
      </c>
      <c r="N435">
        <f>+AV_PLAN[[#This Row],[PLAN ACUMULADO]]-AV_PLAN[[#This Row],[INICIO REAL ACUMULADO]]</f>
        <v>603</v>
      </c>
      <c r="O435">
        <f>+AV_PLAN[[#This Row],[TERMINO PLAN ACUMULADO]]-AV_PLAN[[#This Row],[TERMINO REAL ACUMULADO]]</f>
        <v>643</v>
      </c>
      <c r="P43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5" s="7">
        <f>+AV_PLAN[[#This Row],[PLAN ACUMULADO]]/$C$471</f>
        <v>1</v>
      </c>
      <c r="R435" s="7">
        <f t="shared" si="12"/>
        <v>0.14346590909090909</v>
      </c>
      <c r="S435" s="7">
        <f>+AV_PLAN[[#This Row],[TERMINO PLAN ACUMULADO]]/$G$471</f>
        <v>0.96732954545454541</v>
      </c>
      <c r="T435" s="7">
        <f t="shared" si="13"/>
        <v>5.3977272727272728E-2</v>
      </c>
      <c r="U435" s="7">
        <f>+(AV_PLAN[[#This Row],[%AVANCE INICIO PLANIFICADO]]+AV_PLAN[[#This Row],[%AVANCE TERMINO PLANIFICADO]])/2</f>
        <v>0.98366477272727271</v>
      </c>
    </row>
    <row r="436" spans="1:21" x14ac:dyDescent="0.25">
      <c r="A436" s="1">
        <v>46503</v>
      </c>
      <c r="B436">
        <v>0</v>
      </c>
      <c r="C436">
        <v>704</v>
      </c>
      <c r="D436">
        <v>0</v>
      </c>
      <c r="E436">
        <v>101</v>
      </c>
      <c r="F436">
        <v>2</v>
      </c>
      <c r="G436">
        <v>683</v>
      </c>
      <c r="H436">
        <v>0</v>
      </c>
      <c r="I436">
        <v>38</v>
      </c>
      <c r="J436" t="s">
        <v>812</v>
      </c>
      <c r="K436">
        <f>+WEEKNUM(AV_PLAN[[#This Row],[Días]])</f>
        <v>18</v>
      </c>
      <c r="L436" s="4">
        <f>IFERROR(AV_PLAN[[#This Row],[INICIO REAL ACUMULADO]]/AV_PLAN[[#This Row],[PLAN ACUMULADO]],"")</f>
        <v>0.14346590909090909</v>
      </c>
      <c r="M436" s="4">
        <f>IFERROR(AV_PLAN[[#This Row],[TERMINO REAL ACUMULADO]]/AV_PLAN[[#This Row],[TERMINO PLAN ACUMULADO]],"")</f>
        <v>5.5636896046852125E-2</v>
      </c>
      <c r="N436">
        <f>+AV_PLAN[[#This Row],[PLAN ACUMULADO]]-AV_PLAN[[#This Row],[INICIO REAL ACUMULADO]]</f>
        <v>603</v>
      </c>
      <c r="O436">
        <f>+AV_PLAN[[#This Row],[TERMINO PLAN ACUMULADO]]-AV_PLAN[[#This Row],[TERMINO REAL ACUMULADO]]</f>
        <v>645</v>
      </c>
      <c r="P43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6" s="7">
        <f>+AV_PLAN[[#This Row],[PLAN ACUMULADO]]/$C$471</f>
        <v>1</v>
      </c>
      <c r="R436" s="7">
        <f t="shared" si="12"/>
        <v>0.14346590909090909</v>
      </c>
      <c r="S436" s="7">
        <f>+AV_PLAN[[#This Row],[TERMINO PLAN ACUMULADO]]/$G$471</f>
        <v>0.97017045454545459</v>
      </c>
      <c r="T436" s="7">
        <f t="shared" si="13"/>
        <v>5.3977272727272728E-2</v>
      </c>
      <c r="U436" s="7">
        <f>+(AV_PLAN[[#This Row],[%AVANCE INICIO PLANIFICADO]]+AV_PLAN[[#This Row],[%AVANCE TERMINO PLANIFICADO]])/2</f>
        <v>0.98508522727272729</v>
      </c>
    </row>
    <row r="437" spans="1:21" x14ac:dyDescent="0.25">
      <c r="A437" s="1">
        <v>46504</v>
      </c>
      <c r="B437">
        <v>0</v>
      </c>
      <c r="C437">
        <v>704</v>
      </c>
      <c r="D437">
        <v>0</v>
      </c>
      <c r="E437">
        <v>101</v>
      </c>
      <c r="F437">
        <v>2</v>
      </c>
      <c r="G437">
        <v>685</v>
      </c>
      <c r="H437">
        <v>0</v>
      </c>
      <c r="I437">
        <v>38</v>
      </c>
      <c r="J437" t="s">
        <v>812</v>
      </c>
      <c r="K437">
        <f>+WEEKNUM(AV_PLAN[[#This Row],[Días]])</f>
        <v>18</v>
      </c>
      <c r="L437" s="4">
        <f>IFERROR(AV_PLAN[[#This Row],[INICIO REAL ACUMULADO]]/AV_PLAN[[#This Row],[PLAN ACUMULADO]],"")</f>
        <v>0.14346590909090909</v>
      </c>
      <c r="M437" s="4">
        <f>IFERROR(AV_PLAN[[#This Row],[TERMINO REAL ACUMULADO]]/AV_PLAN[[#This Row],[TERMINO PLAN ACUMULADO]],"")</f>
        <v>5.5474452554744529E-2</v>
      </c>
      <c r="N437">
        <f>+AV_PLAN[[#This Row],[PLAN ACUMULADO]]-AV_PLAN[[#This Row],[INICIO REAL ACUMULADO]]</f>
        <v>603</v>
      </c>
      <c r="O437">
        <f>+AV_PLAN[[#This Row],[TERMINO PLAN ACUMULADO]]-AV_PLAN[[#This Row],[TERMINO REAL ACUMULADO]]</f>
        <v>647</v>
      </c>
      <c r="P43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7" s="7">
        <f>+AV_PLAN[[#This Row],[PLAN ACUMULADO]]/$C$471</f>
        <v>1</v>
      </c>
      <c r="R437" s="7">
        <f t="shared" si="12"/>
        <v>0.14346590909090909</v>
      </c>
      <c r="S437" s="7">
        <f>+AV_PLAN[[#This Row],[TERMINO PLAN ACUMULADO]]/$G$471</f>
        <v>0.97301136363636365</v>
      </c>
      <c r="T437" s="7">
        <f t="shared" si="13"/>
        <v>5.3977272727272728E-2</v>
      </c>
      <c r="U437" s="7">
        <f>+(AV_PLAN[[#This Row],[%AVANCE INICIO PLANIFICADO]]+AV_PLAN[[#This Row],[%AVANCE TERMINO PLANIFICADO]])/2</f>
        <v>0.98650568181818188</v>
      </c>
    </row>
    <row r="438" spans="1:21" x14ac:dyDescent="0.25">
      <c r="A438" s="1">
        <v>46505</v>
      </c>
      <c r="B438">
        <v>0</v>
      </c>
      <c r="C438">
        <v>704</v>
      </c>
      <c r="D438">
        <v>0</v>
      </c>
      <c r="E438">
        <v>101</v>
      </c>
      <c r="F438">
        <v>3</v>
      </c>
      <c r="G438">
        <v>688</v>
      </c>
      <c r="H438">
        <v>0</v>
      </c>
      <c r="I438">
        <v>38</v>
      </c>
      <c r="J438" t="s">
        <v>812</v>
      </c>
      <c r="K438">
        <f>+WEEKNUM(AV_PLAN[[#This Row],[Días]])</f>
        <v>18</v>
      </c>
      <c r="L438" s="4">
        <f>IFERROR(AV_PLAN[[#This Row],[INICIO REAL ACUMULADO]]/AV_PLAN[[#This Row],[PLAN ACUMULADO]],"")</f>
        <v>0.14346590909090909</v>
      </c>
      <c r="M438" s="4">
        <f>IFERROR(AV_PLAN[[#This Row],[TERMINO REAL ACUMULADO]]/AV_PLAN[[#This Row],[TERMINO PLAN ACUMULADO]],"")</f>
        <v>5.5232558139534885E-2</v>
      </c>
      <c r="N438">
        <f>+AV_PLAN[[#This Row],[PLAN ACUMULADO]]-AV_PLAN[[#This Row],[INICIO REAL ACUMULADO]]</f>
        <v>603</v>
      </c>
      <c r="O438">
        <f>+AV_PLAN[[#This Row],[TERMINO PLAN ACUMULADO]]-AV_PLAN[[#This Row],[TERMINO REAL ACUMULADO]]</f>
        <v>650</v>
      </c>
      <c r="P43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8" s="7">
        <f>+AV_PLAN[[#This Row],[PLAN ACUMULADO]]/$C$471</f>
        <v>1</v>
      </c>
      <c r="R438" s="7">
        <f t="shared" si="12"/>
        <v>0.14346590909090909</v>
      </c>
      <c r="S438" s="7">
        <f>+AV_PLAN[[#This Row],[TERMINO PLAN ACUMULADO]]/$G$471</f>
        <v>0.97727272727272729</v>
      </c>
      <c r="T438" s="7">
        <f t="shared" si="13"/>
        <v>5.3977272727272728E-2</v>
      </c>
      <c r="U438" s="7">
        <f>+(AV_PLAN[[#This Row],[%AVANCE INICIO PLANIFICADO]]+AV_PLAN[[#This Row],[%AVANCE TERMINO PLANIFICADO]])/2</f>
        <v>0.98863636363636365</v>
      </c>
    </row>
    <row r="439" spans="1:21" x14ac:dyDescent="0.25">
      <c r="A439" s="1">
        <v>46506</v>
      </c>
      <c r="B439">
        <v>0</v>
      </c>
      <c r="C439">
        <v>704</v>
      </c>
      <c r="D439">
        <v>0</v>
      </c>
      <c r="E439">
        <v>101</v>
      </c>
      <c r="F439">
        <v>3</v>
      </c>
      <c r="G439">
        <v>691</v>
      </c>
      <c r="H439">
        <v>0</v>
      </c>
      <c r="I439">
        <v>38</v>
      </c>
      <c r="J439" t="s">
        <v>812</v>
      </c>
      <c r="K439">
        <f>+WEEKNUM(AV_PLAN[[#This Row],[Días]])</f>
        <v>18</v>
      </c>
      <c r="L439" s="4">
        <f>IFERROR(AV_PLAN[[#This Row],[INICIO REAL ACUMULADO]]/AV_PLAN[[#This Row],[PLAN ACUMULADO]],"")</f>
        <v>0.14346590909090909</v>
      </c>
      <c r="M439" s="4">
        <f>IFERROR(AV_PLAN[[#This Row],[TERMINO REAL ACUMULADO]]/AV_PLAN[[#This Row],[TERMINO PLAN ACUMULADO]],"")</f>
        <v>5.4992764109985527E-2</v>
      </c>
      <c r="N439">
        <f>+AV_PLAN[[#This Row],[PLAN ACUMULADO]]-AV_PLAN[[#This Row],[INICIO REAL ACUMULADO]]</f>
        <v>603</v>
      </c>
      <c r="O439">
        <f>+AV_PLAN[[#This Row],[TERMINO PLAN ACUMULADO]]-AV_PLAN[[#This Row],[TERMINO REAL ACUMULADO]]</f>
        <v>653</v>
      </c>
      <c r="P43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9" s="7">
        <f>+AV_PLAN[[#This Row],[PLAN ACUMULADO]]/$C$471</f>
        <v>1</v>
      </c>
      <c r="R439" s="7">
        <f t="shared" si="12"/>
        <v>0.14346590909090909</v>
      </c>
      <c r="S439" s="7">
        <f>+AV_PLAN[[#This Row],[TERMINO PLAN ACUMULADO]]/$G$471</f>
        <v>0.98153409090909094</v>
      </c>
      <c r="T439" s="7">
        <f t="shared" si="13"/>
        <v>5.3977272727272728E-2</v>
      </c>
      <c r="U439" s="7">
        <f>+(AV_PLAN[[#This Row],[%AVANCE INICIO PLANIFICADO]]+AV_PLAN[[#This Row],[%AVANCE TERMINO PLANIFICADO]])/2</f>
        <v>0.99076704545454541</v>
      </c>
    </row>
    <row r="440" spans="1:21" x14ac:dyDescent="0.25">
      <c r="A440" s="1">
        <v>46507</v>
      </c>
      <c r="B440">
        <v>0</v>
      </c>
      <c r="C440">
        <v>704</v>
      </c>
      <c r="D440">
        <v>0</v>
      </c>
      <c r="E440">
        <v>101</v>
      </c>
      <c r="F440">
        <v>1</v>
      </c>
      <c r="G440">
        <v>692</v>
      </c>
      <c r="H440">
        <v>0</v>
      </c>
      <c r="I440">
        <v>38</v>
      </c>
      <c r="J440" t="s">
        <v>812</v>
      </c>
      <c r="K440">
        <f>+WEEKNUM(AV_PLAN[[#This Row],[Días]])</f>
        <v>18</v>
      </c>
      <c r="L440" s="4">
        <f>IFERROR(AV_PLAN[[#This Row],[INICIO REAL ACUMULADO]]/AV_PLAN[[#This Row],[PLAN ACUMULADO]],"")</f>
        <v>0.14346590909090909</v>
      </c>
      <c r="M440" s="4">
        <f>IFERROR(AV_PLAN[[#This Row],[TERMINO REAL ACUMULADO]]/AV_PLAN[[#This Row],[TERMINO PLAN ACUMULADO]],"")</f>
        <v>5.4913294797687862E-2</v>
      </c>
      <c r="N440">
        <f>+AV_PLAN[[#This Row],[PLAN ACUMULADO]]-AV_PLAN[[#This Row],[INICIO REAL ACUMULADO]]</f>
        <v>603</v>
      </c>
      <c r="O440">
        <f>+AV_PLAN[[#This Row],[TERMINO PLAN ACUMULADO]]-AV_PLAN[[#This Row],[TERMINO REAL ACUMULADO]]</f>
        <v>654</v>
      </c>
      <c r="P44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0" s="7">
        <f>+AV_PLAN[[#This Row],[PLAN ACUMULADO]]/$C$471</f>
        <v>1</v>
      </c>
      <c r="R440" s="7">
        <f t="shared" si="12"/>
        <v>0.14346590909090909</v>
      </c>
      <c r="S440" s="7">
        <f>+AV_PLAN[[#This Row],[TERMINO PLAN ACUMULADO]]/$G$471</f>
        <v>0.98295454545454541</v>
      </c>
      <c r="T440" s="7">
        <f t="shared" si="13"/>
        <v>5.3977272727272728E-2</v>
      </c>
      <c r="U440" s="7">
        <f>+(AV_PLAN[[#This Row],[%AVANCE INICIO PLANIFICADO]]+AV_PLAN[[#This Row],[%AVANCE TERMINO PLANIFICADO]])/2</f>
        <v>0.99147727272727271</v>
      </c>
    </row>
    <row r="441" spans="1:21" x14ac:dyDescent="0.25">
      <c r="A441" s="1">
        <v>46508</v>
      </c>
      <c r="B441">
        <v>0</v>
      </c>
      <c r="C441">
        <v>704</v>
      </c>
      <c r="D441">
        <v>0</v>
      </c>
      <c r="E441">
        <v>101</v>
      </c>
      <c r="F441">
        <v>1</v>
      </c>
      <c r="G441">
        <v>693</v>
      </c>
      <c r="H441">
        <v>0</v>
      </c>
      <c r="I441">
        <v>38</v>
      </c>
      <c r="J441" t="s">
        <v>813</v>
      </c>
      <c r="K441">
        <f>+WEEKNUM(AV_PLAN[[#This Row],[Días]])</f>
        <v>18</v>
      </c>
      <c r="L441" s="4">
        <f>IFERROR(AV_PLAN[[#This Row],[INICIO REAL ACUMULADO]]/AV_PLAN[[#This Row],[PLAN ACUMULADO]],"")</f>
        <v>0.14346590909090909</v>
      </c>
      <c r="M441" s="4">
        <f>IFERROR(AV_PLAN[[#This Row],[TERMINO REAL ACUMULADO]]/AV_PLAN[[#This Row],[TERMINO PLAN ACUMULADO]],"")</f>
        <v>5.4834054834054832E-2</v>
      </c>
      <c r="N441">
        <f>+AV_PLAN[[#This Row],[PLAN ACUMULADO]]-AV_PLAN[[#This Row],[INICIO REAL ACUMULADO]]</f>
        <v>603</v>
      </c>
      <c r="O441">
        <f>+AV_PLAN[[#This Row],[TERMINO PLAN ACUMULADO]]-AV_PLAN[[#This Row],[TERMINO REAL ACUMULADO]]</f>
        <v>655</v>
      </c>
      <c r="P44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1" s="7">
        <f>+AV_PLAN[[#This Row],[PLAN ACUMULADO]]/$C$471</f>
        <v>1</v>
      </c>
      <c r="R441" s="7">
        <f t="shared" si="12"/>
        <v>0.14346590909090909</v>
      </c>
      <c r="S441" s="7">
        <f>+AV_PLAN[[#This Row],[TERMINO PLAN ACUMULADO]]/$G$471</f>
        <v>0.984375</v>
      </c>
      <c r="T441" s="7">
        <f t="shared" si="13"/>
        <v>5.3977272727272728E-2</v>
      </c>
      <c r="U441" s="7">
        <f>+(AV_PLAN[[#This Row],[%AVANCE INICIO PLANIFICADO]]+AV_PLAN[[#This Row],[%AVANCE TERMINO PLANIFICADO]])/2</f>
        <v>0.9921875</v>
      </c>
    </row>
    <row r="442" spans="1:21" x14ac:dyDescent="0.25">
      <c r="A442" s="1">
        <v>46509</v>
      </c>
      <c r="B442">
        <v>0</v>
      </c>
      <c r="C442">
        <v>704</v>
      </c>
      <c r="D442">
        <v>0</v>
      </c>
      <c r="E442">
        <v>101</v>
      </c>
      <c r="F442">
        <v>3</v>
      </c>
      <c r="G442">
        <v>696</v>
      </c>
      <c r="H442">
        <v>0</v>
      </c>
      <c r="I442">
        <v>38</v>
      </c>
      <c r="J442" t="s">
        <v>813</v>
      </c>
      <c r="K442">
        <f>+WEEKNUM(AV_PLAN[[#This Row],[Días]])</f>
        <v>19</v>
      </c>
      <c r="L442" s="4">
        <f>IFERROR(AV_PLAN[[#This Row],[INICIO REAL ACUMULADO]]/AV_PLAN[[#This Row],[PLAN ACUMULADO]],"")</f>
        <v>0.14346590909090909</v>
      </c>
      <c r="M442" s="4">
        <f>IFERROR(AV_PLAN[[#This Row],[TERMINO REAL ACUMULADO]]/AV_PLAN[[#This Row],[TERMINO PLAN ACUMULADO]],"")</f>
        <v>5.459770114942529E-2</v>
      </c>
      <c r="N442">
        <f>+AV_PLAN[[#This Row],[PLAN ACUMULADO]]-AV_PLAN[[#This Row],[INICIO REAL ACUMULADO]]</f>
        <v>603</v>
      </c>
      <c r="O442">
        <f>+AV_PLAN[[#This Row],[TERMINO PLAN ACUMULADO]]-AV_PLAN[[#This Row],[TERMINO REAL ACUMULADO]]</f>
        <v>658</v>
      </c>
      <c r="P44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2" s="7">
        <f>+AV_PLAN[[#This Row],[PLAN ACUMULADO]]/$C$471</f>
        <v>1</v>
      </c>
      <c r="R442" s="7">
        <f t="shared" si="12"/>
        <v>0.14346590909090909</v>
      </c>
      <c r="S442" s="7">
        <f>+AV_PLAN[[#This Row],[TERMINO PLAN ACUMULADO]]/$G$471</f>
        <v>0.98863636363636365</v>
      </c>
      <c r="T442" s="7">
        <f t="shared" si="13"/>
        <v>5.3977272727272728E-2</v>
      </c>
      <c r="U442" s="7">
        <f>+(AV_PLAN[[#This Row],[%AVANCE INICIO PLANIFICADO]]+AV_PLAN[[#This Row],[%AVANCE TERMINO PLANIFICADO]])/2</f>
        <v>0.99431818181818188</v>
      </c>
    </row>
    <row r="443" spans="1:21" x14ac:dyDescent="0.25">
      <c r="A443" s="1">
        <v>46510</v>
      </c>
      <c r="B443">
        <v>0</v>
      </c>
      <c r="C443">
        <v>704</v>
      </c>
      <c r="D443">
        <v>0</v>
      </c>
      <c r="E443">
        <v>101</v>
      </c>
      <c r="F443">
        <v>0</v>
      </c>
      <c r="G443">
        <v>696</v>
      </c>
      <c r="H443">
        <v>0</v>
      </c>
      <c r="I443">
        <v>38</v>
      </c>
      <c r="J443" t="s">
        <v>813</v>
      </c>
      <c r="K443">
        <f>+WEEKNUM(AV_PLAN[[#This Row],[Días]])</f>
        <v>19</v>
      </c>
      <c r="L443" s="4">
        <f>IFERROR(AV_PLAN[[#This Row],[INICIO REAL ACUMULADO]]/AV_PLAN[[#This Row],[PLAN ACUMULADO]],"")</f>
        <v>0.14346590909090909</v>
      </c>
      <c r="M443" s="4">
        <f>IFERROR(AV_PLAN[[#This Row],[TERMINO REAL ACUMULADO]]/AV_PLAN[[#This Row],[TERMINO PLAN ACUMULADO]],"")</f>
        <v>5.459770114942529E-2</v>
      </c>
      <c r="N443">
        <f>+AV_PLAN[[#This Row],[PLAN ACUMULADO]]-AV_PLAN[[#This Row],[INICIO REAL ACUMULADO]]</f>
        <v>603</v>
      </c>
      <c r="O443">
        <f>+AV_PLAN[[#This Row],[TERMINO PLAN ACUMULADO]]-AV_PLAN[[#This Row],[TERMINO REAL ACUMULADO]]</f>
        <v>658</v>
      </c>
      <c r="P44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3" s="7">
        <f>+AV_PLAN[[#This Row],[PLAN ACUMULADO]]/$C$471</f>
        <v>1</v>
      </c>
      <c r="R443" s="7">
        <f t="shared" si="12"/>
        <v>0.14346590909090909</v>
      </c>
      <c r="S443" s="7">
        <f>+AV_PLAN[[#This Row],[TERMINO PLAN ACUMULADO]]/$G$471</f>
        <v>0.98863636363636365</v>
      </c>
      <c r="T443" s="7">
        <f t="shared" si="13"/>
        <v>5.3977272727272728E-2</v>
      </c>
      <c r="U443" s="7">
        <f>+(AV_PLAN[[#This Row],[%AVANCE INICIO PLANIFICADO]]+AV_PLAN[[#This Row],[%AVANCE TERMINO PLANIFICADO]])/2</f>
        <v>0.99431818181818188</v>
      </c>
    </row>
    <row r="444" spans="1:21" x14ac:dyDescent="0.25">
      <c r="A444" s="1">
        <v>46511</v>
      </c>
      <c r="B444">
        <v>0</v>
      </c>
      <c r="C444">
        <v>704</v>
      </c>
      <c r="D444">
        <v>0</v>
      </c>
      <c r="E444">
        <v>101</v>
      </c>
      <c r="F444">
        <v>0</v>
      </c>
      <c r="G444">
        <v>696</v>
      </c>
      <c r="H444">
        <v>0</v>
      </c>
      <c r="I444">
        <v>38</v>
      </c>
      <c r="J444" t="s">
        <v>813</v>
      </c>
      <c r="K444">
        <f>+WEEKNUM(AV_PLAN[[#This Row],[Días]])</f>
        <v>19</v>
      </c>
      <c r="L444" s="4">
        <f>IFERROR(AV_PLAN[[#This Row],[INICIO REAL ACUMULADO]]/AV_PLAN[[#This Row],[PLAN ACUMULADO]],"")</f>
        <v>0.14346590909090909</v>
      </c>
      <c r="M444" s="4">
        <f>IFERROR(AV_PLAN[[#This Row],[TERMINO REAL ACUMULADO]]/AV_PLAN[[#This Row],[TERMINO PLAN ACUMULADO]],"")</f>
        <v>5.459770114942529E-2</v>
      </c>
      <c r="N444">
        <f>+AV_PLAN[[#This Row],[PLAN ACUMULADO]]-AV_PLAN[[#This Row],[INICIO REAL ACUMULADO]]</f>
        <v>603</v>
      </c>
      <c r="O444">
        <f>+AV_PLAN[[#This Row],[TERMINO PLAN ACUMULADO]]-AV_PLAN[[#This Row],[TERMINO REAL ACUMULADO]]</f>
        <v>658</v>
      </c>
      <c r="P44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4" s="7">
        <f>+AV_PLAN[[#This Row],[PLAN ACUMULADO]]/$C$471</f>
        <v>1</v>
      </c>
      <c r="R444" s="7">
        <f t="shared" si="12"/>
        <v>0.14346590909090909</v>
      </c>
      <c r="S444" s="7">
        <f>+AV_PLAN[[#This Row],[TERMINO PLAN ACUMULADO]]/$G$471</f>
        <v>0.98863636363636365</v>
      </c>
      <c r="T444" s="7">
        <f t="shared" si="13"/>
        <v>5.3977272727272728E-2</v>
      </c>
      <c r="U444" s="7">
        <f>+(AV_PLAN[[#This Row],[%AVANCE INICIO PLANIFICADO]]+AV_PLAN[[#This Row],[%AVANCE TERMINO PLANIFICADO]])/2</f>
        <v>0.99431818181818188</v>
      </c>
    </row>
    <row r="445" spans="1:21" x14ac:dyDescent="0.25">
      <c r="A445" s="1">
        <v>46512</v>
      </c>
      <c r="B445">
        <v>0</v>
      </c>
      <c r="C445">
        <v>704</v>
      </c>
      <c r="D445">
        <v>0</v>
      </c>
      <c r="E445">
        <v>101</v>
      </c>
      <c r="F445">
        <v>2</v>
      </c>
      <c r="G445">
        <v>698</v>
      </c>
      <c r="H445">
        <v>0</v>
      </c>
      <c r="I445">
        <v>38</v>
      </c>
      <c r="J445" t="s">
        <v>813</v>
      </c>
      <c r="K445">
        <f>+WEEKNUM(AV_PLAN[[#This Row],[Días]])</f>
        <v>19</v>
      </c>
      <c r="L445" s="4">
        <f>IFERROR(AV_PLAN[[#This Row],[INICIO REAL ACUMULADO]]/AV_PLAN[[#This Row],[PLAN ACUMULADO]],"")</f>
        <v>0.14346590909090909</v>
      </c>
      <c r="M445" s="4">
        <f>IFERROR(AV_PLAN[[#This Row],[TERMINO REAL ACUMULADO]]/AV_PLAN[[#This Row],[TERMINO PLAN ACUMULADO]],"")</f>
        <v>5.4441260744985676E-2</v>
      </c>
      <c r="N445">
        <f>+AV_PLAN[[#This Row],[PLAN ACUMULADO]]-AV_PLAN[[#This Row],[INICIO REAL ACUMULADO]]</f>
        <v>603</v>
      </c>
      <c r="O445">
        <f>+AV_PLAN[[#This Row],[TERMINO PLAN ACUMULADO]]-AV_PLAN[[#This Row],[TERMINO REAL ACUMULADO]]</f>
        <v>660</v>
      </c>
      <c r="P44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5" s="7">
        <f>+AV_PLAN[[#This Row],[PLAN ACUMULADO]]/$C$471</f>
        <v>1</v>
      </c>
      <c r="R445" s="7">
        <f t="shared" si="12"/>
        <v>0.14346590909090909</v>
      </c>
      <c r="S445" s="7">
        <f>+AV_PLAN[[#This Row],[TERMINO PLAN ACUMULADO]]/$G$471</f>
        <v>0.99147727272727271</v>
      </c>
      <c r="T445" s="7">
        <f t="shared" si="13"/>
        <v>5.3977272727272728E-2</v>
      </c>
      <c r="U445" s="7">
        <f>+(AV_PLAN[[#This Row],[%AVANCE INICIO PLANIFICADO]]+AV_PLAN[[#This Row],[%AVANCE TERMINO PLANIFICADO]])/2</f>
        <v>0.99573863636363635</v>
      </c>
    </row>
    <row r="446" spans="1:21" x14ac:dyDescent="0.25">
      <c r="A446" s="1">
        <v>46513</v>
      </c>
      <c r="B446">
        <v>0</v>
      </c>
      <c r="C446">
        <v>704</v>
      </c>
      <c r="D446">
        <v>0</v>
      </c>
      <c r="E446">
        <v>101</v>
      </c>
      <c r="F446">
        <v>1</v>
      </c>
      <c r="G446">
        <v>699</v>
      </c>
      <c r="H446">
        <v>0</v>
      </c>
      <c r="I446">
        <v>38</v>
      </c>
      <c r="J446" t="s">
        <v>813</v>
      </c>
      <c r="K446">
        <f>+WEEKNUM(AV_PLAN[[#This Row],[Días]])</f>
        <v>19</v>
      </c>
      <c r="L446" s="4">
        <f>IFERROR(AV_PLAN[[#This Row],[INICIO REAL ACUMULADO]]/AV_PLAN[[#This Row],[PLAN ACUMULADO]],"")</f>
        <v>0.14346590909090909</v>
      </c>
      <c r="M446" s="4">
        <f>IFERROR(AV_PLAN[[#This Row],[TERMINO REAL ACUMULADO]]/AV_PLAN[[#This Row],[TERMINO PLAN ACUMULADO]],"")</f>
        <v>5.4363376251788269E-2</v>
      </c>
      <c r="N446">
        <f>+AV_PLAN[[#This Row],[PLAN ACUMULADO]]-AV_PLAN[[#This Row],[INICIO REAL ACUMULADO]]</f>
        <v>603</v>
      </c>
      <c r="O446">
        <f>+AV_PLAN[[#This Row],[TERMINO PLAN ACUMULADO]]-AV_PLAN[[#This Row],[TERMINO REAL ACUMULADO]]</f>
        <v>661</v>
      </c>
      <c r="P44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6" s="7">
        <f>+AV_PLAN[[#This Row],[PLAN ACUMULADO]]/$C$471</f>
        <v>1</v>
      </c>
      <c r="R446" s="7">
        <f t="shared" si="12"/>
        <v>0.14346590909090909</v>
      </c>
      <c r="S446" s="7">
        <f>+AV_PLAN[[#This Row],[TERMINO PLAN ACUMULADO]]/$G$471</f>
        <v>0.99289772727272729</v>
      </c>
      <c r="T446" s="7">
        <f t="shared" si="13"/>
        <v>5.3977272727272728E-2</v>
      </c>
      <c r="U446" s="7">
        <f>+(AV_PLAN[[#This Row],[%AVANCE INICIO PLANIFICADO]]+AV_PLAN[[#This Row],[%AVANCE TERMINO PLANIFICADO]])/2</f>
        <v>0.99644886363636365</v>
      </c>
    </row>
    <row r="447" spans="1:21" x14ac:dyDescent="0.25">
      <c r="A447" s="1">
        <v>46514</v>
      </c>
      <c r="B447">
        <v>0</v>
      </c>
      <c r="C447">
        <v>704</v>
      </c>
      <c r="D447">
        <v>0</v>
      </c>
      <c r="E447">
        <v>101</v>
      </c>
      <c r="F447">
        <v>1</v>
      </c>
      <c r="G447">
        <v>700</v>
      </c>
      <c r="H447">
        <v>0</v>
      </c>
      <c r="I447">
        <v>38</v>
      </c>
      <c r="J447" t="s">
        <v>813</v>
      </c>
      <c r="K447">
        <f>+WEEKNUM(AV_PLAN[[#This Row],[Días]])</f>
        <v>19</v>
      </c>
      <c r="L447" s="4">
        <f>IFERROR(AV_PLAN[[#This Row],[INICIO REAL ACUMULADO]]/AV_PLAN[[#This Row],[PLAN ACUMULADO]],"")</f>
        <v>0.14346590909090909</v>
      </c>
      <c r="M447" s="4">
        <f>IFERROR(AV_PLAN[[#This Row],[TERMINO REAL ACUMULADO]]/AV_PLAN[[#This Row],[TERMINO PLAN ACUMULADO]],"")</f>
        <v>5.4285714285714284E-2</v>
      </c>
      <c r="N447">
        <f>+AV_PLAN[[#This Row],[PLAN ACUMULADO]]-AV_PLAN[[#This Row],[INICIO REAL ACUMULADO]]</f>
        <v>603</v>
      </c>
      <c r="O447">
        <f>+AV_PLAN[[#This Row],[TERMINO PLAN ACUMULADO]]-AV_PLAN[[#This Row],[TERMINO REAL ACUMULADO]]</f>
        <v>662</v>
      </c>
      <c r="P44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7" s="7">
        <f>+AV_PLAN[[#This Row],[PLAN ACUMULADO]]/$C$471</f>
        <v>1</v>
      </c>
      <c r="R447" s="7">
        <f t="shared" si="12"/>
        <v>0.14346590909090909</v>
      </c>
      <c r="S447" s="7">
        <f>+AV_PLAN[[#This Row],[TERMINO PLAN ACUMULADO]]/$G$471</f>
        <v>0.99431818181818177</v>
      </c>
      <c r="T447" s="7">
        <f t="shared" si="13"/>
        <v>5.3977272727272728E-2</v>
      </c>
      <c r="U447" s="7">
        <f>+(AV_PLAN[[#This Row],[%AVANCE INICIO PLANIFICADO]]+AV_PLAN[[#This Row],[%AVANCE TERMINO PLANIFICADO]])/2</f>
        <v>0.99715909090909083</v>
      </c>
    </row>
    <row r="448" spans="1:21" x14ac:dyDescent="0.25">
      <c r="A448" s="1">
        <v>46515</v>
      </c>
      <c r="B448">
        <v>0</v>
      </c>
      <c r="C448">
        <v>704</v>
      </c>
      <c r="D448">
        <v>0</v>
      </c>
      <c r="E448">
        <v>101</v>
      </c>
      <c r="F448">
        <v>2</v>
      </c>
      <c r="G448">
        <v>702</v>
      </c>
      <c r="H448">
        <v>0</v>
      </c>
      <c r="I448">
        <v>38</v>
      </c>
      <c r="J448" t="s">
        <v>813</v>
      </c>
      <c r="K448">
        <f>+WEEKNUM(AV_PLAN[[#This Row],[Días]])</f>
        <v>19</v>
      </c>
      <c r="L448" s="4">
        <f>IFERROR(AV_PLAN[[#This Row],[INICIO REAL ACUMULADO]]/AV_PLAN[[#This Row],[PLAN ACUMULADO]],"")</f>
        <v>0.14346590909090909</v>
      </c>
      <c r="M448" s="4">
        <f>IFERROR(AV_PLAN[[#This Row],[TERMINO REAL ACUMULADO]]/AV_PLAN[[#This Row],[TERMINO PLAN ACUMULADO]],"")</f>
        <v>5.4131054131054131E-2</v>
      </c>
      <c r="N448">
        <f>+AV_PLAN[[#This Row],[PLAN ACUMULADO]]-AV_PLAN[[#This Row],[INICIO REAL ACUMULADO]]</f>
        <v>603</v>
      </c>
      <c r="O448">
        <f>+AV_PLAN[[#This Row],[TERMINO PLAN ACUMULADO]]-AV_PLAN[[#This Row],[TERMINO REAL ACUMULADO]]</f>
        <v>664</v>
      </c>
      <c r="P44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8" s="7">
        <f>+AV_PLAN[[#This Row],[PLAN ACUMULADO]]/$C$471</f>
        <v>1</v>
      </c>
      <c r="R448" s="7">
        <f t="shared" si="12"/>
        <v>0.14346590909090909</v>
      </c>
      <c r="S448" s="7">
        <f>+AV_PLAN[[#This Row],[TERMINO PLAN ACUMULADO]]/$G$471</f>
        <v>0.99715909090909094</v>
      </c>
      <c r="T448" s="7">
        <f t="shared" si="13"/>
        <v>5.3977272727272728E-2</v>
      </c>
      <c r="U448" s="7">
        <f>+(AV_PLAN[[#This Row],[%AVANCE INICIO PLANIFICADO]]+AV_PLAN[[#This Row],[%AVANCE TERMINO PLANIFICADO]])/2</f>
        <v>0.99857954545454541</v>
      </c>
    </row>
    <row r="449" spans="1:21" x14ac:dyDescent="0.25">
      <c r="A449" s="1">
        <v>46516</v>
      </c>
      <c r="B449">
        <v>0</v>
      </c>
      <c r="C449">
        <v>704</v>
      </c>
      <c r="D449">
        <v>0</v>
      </c>
      <c r="E449">
        <v>101</v>
      </c>
      <c r="F449">
        <v>2</v>
      </c>
      <c r="G449">
        <v>704</v>
      </c>
      <c r="H449">
        <v>0</v>
      </c>
      <c r="I449">
        <v>38</v>
      </c>
      <c r="J449" t="s">
        <v>813</v>
      </c>
      <c r="K449">
        <f>+WEEKNUM(AV_PLAN[[#This Row],[Días]])</f>
        <v>20</v>
      </c>
      <c r="L449" s="4">
        <f>IFERROR(AV_PLAN[[#This Row],[INICIO REAL ACUMULADO]]/AV_PLAN[[#This Row],[PLAN ACUMULADO]],"")</f>
        <v>0.14346590909090909</v>
      </c>
      <c r="M449" s="4">
        <f>IFERROR(AV_PLAN[[#This Row],[TERMINO REAL ACUMULADO]]/AV_PLAN[[#This Row],[TERMINO PLAN ACUMULADO]],"")</f>
        <v>5.3977272727272728E-2</v>
      </c>
      <c r="N449">
        <f>+AV_PLAN[[#This Row],[PLAN ACUMULADO]]-AV_PLAN[[#This Row],[INICIO REAL ACUMULADO]]</f>
        <v>603</v>
      </c>
      <c r="O449">
        <f>+AV_PLAN[[#This Row],[TERMINO PLAN ACUMULADO]]-AV_PLAN[[#This Row],[TERMINO REAL ACUMULADO]]</f>
        <v>666</v>
      </c>
      <c r="P44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9" s="7">
        <f>+AV_PLAN[[#This Row],[PLAN ACUMULADO]]/$C$471</f>
        <v>1</v>
      </c>
      <c r="R449" s="7">
        <f t="shared" si="12"/>
        <v>0.14346590909090909</v>
      </c>
      <c r="S449" s="7">
        <f>+AV_PLAN[[#This Row],[TERMINO PLAN ACUMULADO]]/$G$471</f>
        <v>1</v>
      </c>
      <c r="T449" s="7">
        <f t="shared" si="13"/>
        <v>5.3977272727272728E-2</v>
      </c>
      <c r="U449" s="7">
        <f>+(AV_PLAN[[#This Row],[%AVANCE INICIO PLANIFICADO]]+AV_PLAN[[#This Row],[%AVANCE TERMINO PLANIFICADO]])/2</f>
        <v>1</v>
      </c>
    </row>
    <row r="450" spans="1:21" x14ac:dyDescent="0.25">
      <c r="A450" s="1">
        <v>46517</v>
      </c>
      <c r="B450">
        <v>0</v>
      </c>
      <c r="C450">
        <v>704</v>
      </c>
      <c r="D450">
        <v>0</v>
      </c>
      <c r="E450">
        <v>101</v>
      </c>
      <c r="F450">
        <v>0</v>
      </c>
      <c r="G450">
        <v>704</v>
      </c>
      <c r="H450">
        <v>0</v>
      </c>
      <c r="I450">
        <v>38</v>
      </c>
      <c r="J450" t="s">
        <v>813</v>
      </c>
      <c r="K450">
        <f>+WEEKNUM(AV_PLAN[[#This Row],[Días]])</f>
        <v>20</v>
      </c>
      <c r="L450" s="4">
        <f>IFERROR(AV_PLAN[[#This Row],[INICIO REAL ACUMULADO]]/AV_PLAN[[#This Row],[PLAN ACUMULADO]],"")</f>
        <v>0.14346590909090909</v>
      </c>
      <c r="M450" s="4">
        <f>IFERROR(AV_PLAN[[#This Row],[TERMINO REAL ACUMULADO]]/AV_PLAN[[#This Row],[TERMINO PLAN ACUMULADO]],"")</f>
        <v>5.3977272727272728E-2</v>
      </c>
      <c r="N450">
        <f>+AV_PLAN[[#This Row],[PLAN ACUMULADO]]-AV_PLAN[[#This Row],[INICIO REAL ACUMULADO]]</f>
        <v>603</v>
      </c>
      <c r="O450">
        <f>+AV_PLAN[[#This Row],[TERMINO PLAN ACUMULADO]]-AV_PLAN[[#This Row],[TERMINO REAL ACUMULADO]]</f>
        <v>666</v>
      </c>
      <c r="P45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0" s="7">
        <f>+AV_PLAN[[#This Row],[PLAN ACUMULADO]]/$C$471</f>
        <v>1</v>
      </c>
      <c r="R450" s="7">
        <f t="shared" ref="R450:R471" si="14">IF(D450="",NA(),E450/$C$471)</f>
        <v>0.14346590909090909</v>
      </c>
      <c r="S450" s="7">
        <f>+AV_PLAN[[#This Row],[TERMINO PLAN ACUMULADO]]/$G$471</f>
        <v>1</v>
      </c>
      <c r="T450" s="7">
        <f t="shared" ref="T450:T471" si="15">IF(H450="",NA(),I450/$G$471)</f>
        <v>5.3977272727272728E-2</v>
      </c>
      <c r="U450" s="7">
        <f>+(AV_PLAN[[#This Row],[%AVANCE INICIO PLANIFICADO]]+AV_PLAN[[#This Row],[%AVANCE TERMINO PLANIFICADO]])/2</f>
        <v>1</v>
      </c>
    </row>
    <row r="451" spans="1:21" x14ac:dyDescent="0.25">
      <c r="A451" s="1">
        <v>46518</v>
      </c>
      <c r="B451">
        <v>0</v>
      </c>
      <c r="C451">
        <v>704</v>
      </c>
      <c r="D451">
        <v>0</v>
      </c>
      <c r="E451">
        <v>101</v>
      </c>
      <c r="F451">
        <v>0</v>
      </c>
      <c r="G451">
        <v>704</v>
      </c>
      <c r="H451">
        <v>0</v>
      </c>
      <c r="I451">
        <v>38</v>
      </c>
      <c r="J451" t="s">
        <v>813</v>
      </c>
      <c r="K451">
        <f>+WEEKNUM(AV_PLAN[[#This Row],[Días]])</f>
        <v>20</v>
      </c>
      <c r="L451" s="4">
        <f>IFERROR(AV_PLAN[[#This Row],[INICIO REAL ACUMULADO]]/AV_PLAN[[#This Row],[PLAN ACUMULADO]],"")</f>
        <v>0.14346590909090909</v>
      </c>
      <c r="M451" s="4">
        <f>IFERROR(AV_PLAN[[#This Row],[TERMINO REAL ACUMULADO]]/AV_PLAN[[#This Row],[TERMINO PLAN ACUMULADO]],"")</f>
        <v>5.3977272727272728E-2</v>
      </c>
      <c r="N451">
        <f>+AV_PLAN[[#This Row],[PLAN ACUMULADO]]-AV_PLAN[[#This Row],[INICIO REAL ACUMULADO]]</f>
        <v>603</v>
      </c>
      <c r="O451">
        <f>+AV_PLAN[[#This Row],[TERMINO PLAN ACUMULADO]]-AV_PLAN[[#This Row],[TERMINO REAL ACUMULADO]]</f>
        <v>666</v>
      </c>
      <c r="P4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1" s="7">
        <f>+AV_PLAN[[#This Row],[PLAN ACUMULADO]]/$C$471</f>
        <v>1</v>
      </c>
      <c r="R451" s="7">
        <f t="shared" si="14"/>
        <v>0.14346590909090909</v>
      </c>
      <c r="S451" s="7">
        <f>+AV_PLAN[[#This Row],[TERMINO PLAN ACUMULADO]]/$G$471</f>
        <v>1</v>
      </c>
      <c r="T451" s="7">
        <f t="shared" si="15"/>
        <v>5.3977272727272728E-2</v>
      </c>
      <c r="U451" s="7">
        <f>+(AV_PLAN[[#This Row],[%AVANCE INICIO PLANIFICADO]]+AV_PLAN[[#This Row],[%AVANCE TERMINO PLANIFICADO]])/2</f>
        <v>1</v>
      </c>
    </row>
    <row r="452" spans="1:21" x14ac:dyDescent="0.25">
      <c r="A452" s="1">
        <v>46519</v>
      </c>
      <c r="B452">
        <v>0</v>
      </c>
      <c r="C452">
        <v>704</v>
      </c>
      <c r="D452">
        <v>0</v>
      </c>
      <c r="E452">
        <v>101</v>
      </c>
      <c r="F452">
        <v>0</v>
      </c>
      <c r="G452">
        <v>704</v>
      </c>
      <c r="H452">
        <v>0</v>
      </c>
      <c r="I452">
        <v>38</v>
      </c>
      <c r="J452" t="s">
        <v>813</v>
      </c>
      <c r="K452">
        <f>+WEEKNUM(AV_PLAN[[#This Row],[Días]])</f>
        <v>20</v>
      </c>
      <c r="L452" s="4">
        <f>IFERROR(AV_PLAN[[#This Row],[INICIO REAL ACUMULADO]]/AV_PLAN[[#This Row],[PLAN ACUMULADO]],"")</f>
        <v>0.14346590909090909</v>
      </c>
      <c r="M452" s="4">
        <f>IFERROR(AV_PLAN[[#This Row],[TERMINO REAL ACUMULADO]]/AV_PLAN[[#This Row],[TERMINO PLAN ACUMULADO]],"")</f>
        <v>5.3977272727272728E-2</v>
      </c>
      <c r="N452">
        <f>+AV_PLAN[[#This Row],[PLAN ACUMULADO]]-AV_PLAN[[#This Row],[INICIO REAL ACUMULADO]]</f>
        <v>603</v>
      </c>
      <c r="O452">
        <f>+AV_PLAN[[#This Row],[TERMINO PLAN ACUMULADO]]-AV_PLAN[[#This Row],[TERMINO REAL ACUMULADO]]</f>
        <v>666</v>
      </c>
      <c r="P45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2" s="7">
        <f>+AV_PLAN[[#This Row],[PLAN ACUMULADO]]/$C$471</f>
        <v>1</v>
      </c>
      <c r="R452" s="7">
        <f t="shared" si="14"/>
        <v>0.14346590909090909</v>
      </c>
      <c r="S452" s="7">
        <f>+AV_PLAN[[#This Row],[TERMINO PLAN ACUMULADO]]/$G$471</f>
        <v>1</v>
      </c>
      <c r="T452" s="7">
        <f t="shared" si="15"/>
        <v>5.3977272727272728E-2</v>
      </c>
      <c r="U452" s="7">
        <f>+(AV_PLAN[[#This Row],[%AVANCE INICIO PLANIFICADO]]+AV_PLAN[[#This Row],[%AVANCE TERMINO PLANIFICADO]])/2</f>
        <v>1</v>
      </c>
    </row>
    <row r="453" spans="1:21" x14ac:dyDescent="0.25">
      <c r="A453" s="1">
        <v>46520</v>
      </c>
      <c r="B453">
        <v>0</v>
      </c>
      <c r="C453">
        <v>704</v>
      </c>
      <c r="D453">
        <v>0</v>
      </c>
      <c r="E453">
        <v>101</v>
      </c>
      <c r="F453">
        <v>0</v>
      </c>
      <c r="G453">
        <v>704</v>
      </c>
      <c r="H453">
        <v>0</v>
      </c>
      <c r="I453">
        <v>38</v>
      </c>
      <c r="J453" t="s">
        <v>813</v>
      </c>
      <c r="K453">
        <f>+WEEKNUM(AV_PLAN[[#This Row],[Días]])</f>
        <v>20</v>
      </c>
      <c r="L453" s="4">
        <f>IFERROR(AV_PLAN[[#This Row],[INICIO REAL ACUMULADO]]/AV_PLAN[[#This Row],[PLAN ACUMULADO]],"")</f>
        <v>0.14346590909090909</v>
      </c>
      <c r="M453" s="4">
        <f>IFERROR(AV_PLAN[[#This Row],[TERMINO REAL ACUMULADO]]/AV_PLAN[[#This Row],[TERMINO PLAN ACUMULADO]],"")</f>
        <v>5.3977272727272728E-2</v>
      </c>
      <c r="N453">
        <f>+AV_PLAN[[#This Row],[PLAN ACUMULADO]]-AV_PLAN[[#This Row],[INICIO REAL ACUMULADO]]</f>
        <v>603</v>
      </c>
      <c r="O453">
        <f>+AV_PLAN[[#This Row],[TERMINO PLAN ACUMULADO]]-AV_PLAN[[#This Row],[TERMINO REAL ACUMULADO]]</f>
        <v>666</v>
      </c>
      <c r="P45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3" s="7">
        <f>+AV_PLAN[[#This Row],[PLAN ACUMULADO]]/$C$471</f>
        <v>1</v>
      </c>
      <c r="R453" s="7">
        <f t="shared" si="14"/>
        <v>0.14346590909090909</v>
      </c>
      <c r="S453" s="7">
        <f>+AV_PLAN[[#This Row],[TERMINO PLAN ACUMULADO]]/$G$471</f>
        <v>1</v>
      </c>
      <c r="T453" s="7">
        <f t="shared" si="15"/>
        <v>5.3977272727272728E-2</v>
      </c>
      <c r="U453" s="7">
        <f>+(AV_PLAN[[#This Row],[%AVANCE INICIO PLANIFICADO]]+AV_PLAN[[#This Row],[%AVANCE TERMINO PLANIFICADO]])/2</f>
        <v>1</v>
      </c>
    </row>
    <row r="454" spans="1:21" x14ac:dyDescent="0.25">
      <c r="A454" s="1">
        <v>46521</v>
      </c>
      <c r="B454">
        <v>0</v>
      </c>
      <c r="C454">
        <v>704</v>
      </c>
      <c r="D454">
        <v>0</v>
      </c>
      <c r="E454">
        <v>101</v>
      </c>
      <c r="F454">
        <v>0</v>
      </c>
      <c r="G454">
        <v>704</v>
      </c>
      <c r="H454">
        <v>0</v>
      </c>
      <c r="I454">
        <v>38</v>
      </c>
      <c r="J454" t="s">
        <v>813</v>
      </c>
      <c r="K454">
        <f>+WEEKNUM(AV_PLAN[[#This Row],[Días]])</f>
        <v>20</v>
      </c>
      <c r="L454" s="4">
        <f>IFERROR(AV_PLAN[[#This Row],[INICIO REAL ACUMULADO]]/AV_PLAN[[#This Row],[PLAN ACUMULADO]],"")</f>
        <v>0.14346590909090909</v>
      </c>
      <c r="M454" s="4">
        <f>IFERROR(AV_PLAN[[#This Row],[TERMINO REAL ACUMULADO]]/AV_PLAN[[#This Row],[TERMINO PLAN ACUMULADO]],"")</f>
        <v>5.3977272727272728E-2</v>
      </c>
      <c r="N454">
        <f>+AV_PLAN[[#This Row],[PLAN ACUMULADO]]-AV_PLAN[[#This Row],[INICIO REAL ACUMULADO]]</f>
        <v>603</v>
      </c>
      <c r="O454">
        <f>+AV_PLAN[[#This Row],[TERMINO PLAN ACUMULADO]]-AV_PLAN[[#This Row],[TERMINO REAL ACUMULADO]]</f>
        <v>666</v>
      </c>
      <c r="P45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4" s="7">
        <f>+AV_PLAN[[#This Row],[PLAN ACUMULADO]]/$C$471</f>
        <v>1</v>
      </c>
      <c r="R454" s="7">
        <f t="shared" si="14"/>
        <v>0.14346590909090909</v>
      </c>
      <c r="S454" s="7">
        <f>+AV_PLAN[[#This Row],[TERMINO PLAN ACUMULADO]]/$G$471</f>
        <v>1</v>
      </c>
      <c r="T454" s="7">
        <f t="shared" si="15"/>
        <v>5.3977272727272728E-2</v>
      </c>
      <c r="U454" s="7">
        <f>+(AV_PLAN[[#This Row],[%AVANCE INICIO PLANIFICADO]]+AV_PLAN[[#This Row],[%AVANCE TERMINO PLANIFICADO]])/2</f>
        <v>1</v>
      </c>
    </row>
    <row r="455" spans="1:21" x14ac:dyDescent="0.25">
      <c r="A455" s="1">
        <v>46522</v>
      </c>
      <c r="B455">
        <v>0</v>
      </c>
      <c r="C455">
        <v>704</v>
      </c>
      <c r="D455">
        <v>0</v>
      </c>
      <c r="E455">
        <v>101</v>
      </c>
      <c r="F455">
        <v>0</v>
      </c>
      <c r="G455">
        <v>704</v>
      </c>
      <c r="H455">
        <v>0</v>
      </c>
      <c r="I455">
        <v>38</v>
      </c>
      <c r="J455" t="s">
        <v>813</v>
      </c>
      <c r="K455">
        <f>+WEEKNUM(AV_PLAN[[#This Row],[Días]])</f>
        <v>20</v>
      </c>
      <c r="L455" s="4">
        <f>IFERROR(AV_PLAN[[#This Row],[INICIO REAL ACUMULADO]]/AV_PLAN[[#This Row],[PLAN ACUMULADO]],"")</f>
        <v>0.14346590909090909</v>
      </c>
      <c r="M455" s="4">
        <f>IFERROR(AV_PLAN[[#This Row],[TERMINO REAL ACUMULADO]]/AV_PLAN[[#This Row],[TERMINO PLAN ACUMULADO]],"")</f>
        <v>5.3977272727272728E-2</v>
      </c>
      <c r="N455">
        <f>+AV_PLAN[[#This Row],[PLAN ACUMULADO]]-AV_PLAN[[#This Row],[INICIO REAL ACUMULADO]]</f>
        <v>603</v>
      </c>
      <c r="O455">
        <f>+AV_PLAN[[#This Row],[TERMINO PLAN ACUMULADO]]-AV_PLAN[[#This Row],[TERMINO REAL ACUMULADO]]</f>
        <v>666</v>
      </c>
      <c r="P45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5" s="7">
        <f>+AV_PLAN[[#This Row],[PLAN ACUMULADO]]/$C$471</f>
        <v>1</v>
      </c>
      <c r="R455" s="7">
        <f t="shared" si="14"/>
        <v>0.14346590909090909</v>
      </c>
      <c r="S455" s="7">
        <f>+AV_PLAN[[#This Row],[TERMINO PLAN ACUMULADO]]/$G$471</f>
        <v>1</v>
      </c>
      <c r="T455" s="7">
        <f t="shared" si="15"/>
        <v>5.3977272727272728E-2</v>
      </c>
      <c r="U455" s="7">
        <f>+(AV_PLAN[[#This Row],[%AVANCE INICIO PLANIFICADO]]+AV_PLAN[[#This Row],[%AVANCE TERMINO PLANIFICADO]])/2</f>
        <v>1</v>
      </c>
    </row>
    <row r="456" spans="1:21" x14ac:dyDescent="0.25">
      <c r="A456" s="1">
        <v>46523</v>
      </c>
      <c r="B456">
        <v>0</v>
      </c>
      <c r="C456">
        <v>704</v>
      </c>
      <c r="D456">
        <v>0</v>
      </c>
      <c r="E456">
        <v>101</v>
      </c>
      <c r="F456">
        <v>0</v>
      </c>
      <c r="G456">
        <v>704</v>
      </c>
      <c r="H456">
        <v>0</v>
      </c>
      <c r="I456">
        <v>38</v>
      </c>
      <c r="J456" t="s">
        <v>813</v>
      </c>
      <c r="K456">
        <f>+WEEKNUM(AV_PLAN[[#This Row],[Días]])</f>
        <v>21</v>
      </c>
      <c r="L456" s="4">
        <f>IFERROR(AV_PLAN[[#This Row],[INICIO REAL ACUMULADO]]/AV_PLAN[[#This Row],[PLAN ACUMULADO]],"")</f>
        <v>0.14346590909090909</v>
      </c>
      <c r="M456" s="4">
        <f>IFERROR(AV_PLAN[[#This Row],[TERMINO REAL ACUMULADO]]/AV_PLAN[[#This Row],[TERMINO PLAN ACUMULADO]],"")</f>
        <v>5.3977272727272728E-2</v>
      </c>
      <c r="N456">
        <f>+AV_PLAN[[#This Row],[PLAN ACUMULADO]]-AV_PLAN[[#This Row],[INICIO REAL ACUMULADO]]</f>
        <v>603</v>
      </c>
      <c r="O456">
        <f>+AV_PLAN[[#This Row],[TERMINO PLAN ACUMULADO]]-AV_PLAN[[#This Row],[TERMINO REAL ACUMULADO]]</f>
        <v>666</v>
      </c>
      <c r="P45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6" s="7">
        <f>+AV_PLAN[[#This Row],[PLAN ACUMULADO]]/$C$471</f>
        <v>1</v>
      </c>
      <c r="R456" s="7">
        <f t="shared" si="14"/>
        <v>0.14346590909090909</v>
      </c>
      <c r="S456" s="7">
        <f>+AV_PLAN[[#This Row],[TERMINO PLAN ACUMULADO]]/$G$471</f>
        <v>1</v>
      </c>
      <c r="T456" s="7">
        <f t="shared" si="15"/>
        <v>5.3977272727272728E-2</v>
      </c>
      <c r="U456" s="7">
        <f>+(AV_PLAN[[#This Row],[%AVANCE INICIO PLANIFICADO]]+AV_PLAN[[#This Row],[%AVANCE TERMINO PLANIFICADO]])/2</f>
        <v>1</v>
      </c>
    </row>
    <row r="457" spans="1:21" x14ac:dyDescent="0.25">
      <c r="A457" s="1">
        <v>46524</v>
      </c>
      <c r="B457">
        <v>0</v>
      </c>
      <c r="C457">
        <v>704</v>
      </c>
      <c r="D457">
        <v>0</v>
      </c>
      <c r="E457">
        <v>101</v>
      </c>
      <c r="F457">
        <v>0</v>
      </c>
      <c r="G457">
        <v>704</v>
      </c>
      <c r="H457">
        <v>0</v>
      </c>
      <c r="I457">
        <v>38</v>
      </c>
      <c r="J457" t="s">
        <v>813</v>
      </c>
      <c r="K457">
        <f>+WEEKNUM(AV_PLAN[[#This Row],[Días]])</f>
        <v>21</v>
      </c>
      <c r="L457" s="4">
        <f>IFERROR(AV_PLAN[[#This Row],[INICIO REAL ACUMULADO]]/AV_PLAN[[#This Row],[PLAN ACUMULADO]],"")</f>
        <v>0.14346590909090909</v>
      </c>
      <c r="M457" s="4">
        <f>IFERROR(AV_PLAN[[#This Row],[TERMINO REAL ACUMULADO]]/AV_PLAN[[#This Row],[TERMINO PLAN ACUMULADO]],"")</f>
        <v>5.3977272727272728E-2</v>
      </c>
      <c r="N457">
        <f>+AV_PLAN[[#This Row],[PLAN ACUMULADO]]-AV_PLAN[[#This Row],[INICIO REAL ACUMULADO]]</f>
        <v>603</v>
      </c>
      <c r="O457">
        <f>+AV_PLAN[[#This Row],[TERMINO PLAN ACUMULADO]]-AV_PLAN[[#This Row],[TERMINO REAL ACUMULADO]]</f>
        <v>666</v>
      </c>
      <c r="P45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7" s="7">
        <f>+AV_PLAN[[#This Row],[PLAN ACUMULADO]]/$C$471</f>
        <v>1</v>
      </c>
      <c r="R457" s="7">
        <f t="shared" si="14"/>
        <v>0.14346590909090909</v>
      </c>
      <c r="S457" s="7">
        <f>+AV_PLAN[[#This Row],[TERMINO PLAN ACUMULADO]]/$G$471</f>
        <v>1</v>
      </c>
      <c r="T457" s="7">
        <f t="shared" si="15"/>
        <v>5.3977272727272728E-2</v>
      </c>
      <c r="U457" s="7">
        <f>+(AV_PLAN[[#This Row],[%AVANCE INICIO PLANIFICADO]]+AV_PLAN[[#This Row],[%AVANCE TERMINO PLANIFICADO]])/2</f>
        <v>1</v>
      </c>
    </row>
    <row r="458" spans="1:21" x14ac:dyDescent="0.25">
      <c r="A458" s="1">
        <v>46525</v>
      </c>
      <c r="B458">
        <v>0</v>
      </c>
      <c r="C458">
        <v>704</v>
      </c>
      <c r="D458">
        <v>0</v>
      </c>
      <c r="E458">
        <v>101</v>
      </c>
      <c r="F458">
        <v>0</v>
      </c>
      <c r="G458">
        <v>704</v>
      </c>
      <c r="H458">
        <v>0</v>
      </c>
      <c r="I458">
        <v>38</v>
      </c>
      <c r="J458" t="s">
        <v>813</v>
      </c>
      <c r="K458">
        <f>+WEEKNUM(AV_PLAN[[#This Row],[Días]])</f>
        <v>21</v>
      </c>
      <c r="L458" s="4">
        <f>IFERROR(AV_PLAN[[#This Row],[INICIO REAL ACUMULADO]]/AV_PLAN[[#This Row],[PLAN ACUMULADO]],"")</f>
        <v>0.14346590909090909</v>
      </c>
      <c r="M458" s="4">
        <f>IFERROR(AV_PLAN[[#This Row],[TERMINO REAL ACUMULADO]]/AV_PLAN[[#This Row],[TERMINO PLAN ACUMULADO]],"")</f>
        <v>5.3977272727272728E-2</v>
      </c>
      <c r="N458">
        <f>+AV_PLAN[[#This Row],[PLAN ACUMULADO]]-AV_PLAN[[#This Row],[INICIO REAL ACUMULADO]]</f>
        <v>603</v>
      </c>
      <c r="O458">
        <f>+AV_PLAN[[#This Row],[TERMINO PLAN ACUMULADO]]-AV_PLAN[[#This Row],[TERMINO REAL ACUMULADO]]</f>
        <v>666</v>
      </c>
      <c r="P45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8" s="7">
        <f>+AV_PLAN[[#This Row],[PLAN ACUMULADO]]/$C$471</f>
        <v>1</v>
      </c>
      <c r="R458" s="7">
        <f t="shared" si="14"/>
        <v>0.14346590909090909</v>
      </c>
      <c r="S458" s="7">
        <f>+AV_PLAN[[#This Row],[TERMINO PLAN ACUMULADO]]/$G$471</f>
        <v>1</v>
      </c>
      <c r="T458" s="7">
        <f t="shared" si="15"/>
        <v>5.3977272727272728E-2</v>
      </c>
      <c r="U458" s="7">
        <f>+(AV_PLAN[[#This Row],[%AVANCE INICIO PLANIFICADO]]+AV_PLAN[[#This Row],[%AVANCE TERMINO PLANIFICADO]])/2</f>
        <v>1</v>
      </c>
    </row>
    <row r="459" spans="1:21" x14ac:dyDescent="0.25">
      <c r="A459" s="1">
        <v>46526</v>
      </c>
      <c r="B459">
        <v>0</v>
      </c>
      <c r="C459">
        <v>704</v>
      </c>
      <c r="D459">
        <v>0</v>
      </c>
      <c r="E459">
        <v>101</v>
      </c>
      <c r="F459">
        <v>0</v>
      </c>
      <c r="G459">
        <v>704</v>
      </c>
      <c r="H459">
        <v>0</v>
      </c>
      <c r="I459">
        <v>38</v>
      </c>
      <c r="J459" t="s">
        <v>813</v>
      </c>
      <c r="K459">
        <f>+WEEKNUM(AV_PLAN[[#This Row],[Días]])</f>
        <v>21</v>
      </c>
      <c r="L459" s="4">
        <f>IFERROR(AV_PLAN[[#This Row],[INICIO REAL ACUMULADO]]/AV_PLAN[[#This Row],[PLAN ACUMULADO]],"")</f>
        <v>0.14346590909090909</v>
      </c>
      <c r="M459" s="4">
        <f>IFERROR(AV_PLAN[[#This Row],[TERMINO REAL ACUMULADO]]/AV_PLAN[[#This Row],[TERMINO PLAN ACUMULADO]],"")</f>
        <v>5.3977272727272728E-2</v>
      </c>
      <c r="N459">
        <f>+AV_PLAN[[#This Row],[PLAN ACUMULADO]]-AV_PLAN[[#This Row],[INICIO REAL ACUMULADO]]</f>
        <v>603</v>
      </c>
      <c r="O459">
        <f>+AV_PLAN[[#This Row],[TERMINO PLAN ACUMULADO]]-AV_PLAN[[#This Row],[TERMINO REAL ACUMULADO]]</f>
        <v>666</v>
      </c>
      <c r="P45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9" s="7">
        <f>+AV_PLAN[[#This Row],[PLAN ACUMULADO]]/$C$471</f>
        <v>1</v>
      </c>
      <c r="R459" s="7">
        <f t="shared" si="14"/>
        <v>0.14346590909090909</v>
      </c>
      <c r="S459" s="7">
        <f>+AV_PLAN[[#This Row],[TERMINO PLAN ACUMULADO]]/$G$471</f>
        <v>1</v>
      </c>
      <c r="T459" s="7">
        <f t="shared" si="15"/>
        <v>5.3977272727272728E-2</v>
      </c>
      <c r="U459" s="7">
        <f>+(AV_PLAN[[#This Row],[%AVANCE INICIO PLANIFICADO]]+AV_PLAN[[#This Row],[%AVANCE TERMINO PLANIFICADO]])/2</f>
        <v>1</v>
      </c>
    </row>
    <row r="460" spans="1:21" x14ac:dyDescent="0.25">
      <c r="A460" s="1">
        <v>46527</v>
      </c>
      <c r="B460">
        <v>0</v>
      </c>
      <c r="C460">
        <v>704</v>
      </c>
      <c r="D460">
        <v>0</v>
      </c>
      <c r="E460">
        <v>101</v>
      </c>
      <c r="F460">
        <v>0</v>
      </c>
      <c r="G460">
        <v>704</v>
      </c>
      <c r="H460">
        <v>0</v>
      </c>
      <c r="I460">
        <v>38</v>
      </c>
      <c r="J460" t="s">
        <v>813</v>
      </c>
      <c r="K460">
        <f>+WEEKNUM(AV_PLAN[[#This Row],[Días]])</f>
        <v>21</v>
      </c>
      <c r="L460" s="4">
        <f>IFERROR(AV_PLAN[[#This Row],[INICIO REAL ACUMULADO]]/AV_PLAN[[#This Row],[PLAN ACUMULADO]],"")</f>
        <v>0.14346590909090909</v>
      </c>
      <c r="M460" s="4">
        <f>IFERROR(AV_PLAN[[#This Row],[TERMINO REAL ACUMULADO]]/AV_PLAN[[#This Row],[TERMINO PLAN ACUMULADO]],"")</f>
        <v>5.3977272727272728E-2</v>
      </c>
      <c r="N460">
        <f>+AV_PLAN[[#This Row],[PLAN ACUMULADO]]-AV_PLAN[[#This Row],[INICIO REAL ACUMULADO]]</f>
        <v>603</v>
      </c>
      <c r="O460">
        <f>+AV_PLAN[[#This Row],[TERMINO PLAN ACUMULADO]]-AV_PLAN[[#This Row],[TERMINO REAL ACUMULADO]]</f>
        <v>666</v>
      </c>
      <c r="P46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0" s="7">
        <f>+AV_PLAN[[#This Row],[PLAN ACUMULADO]]/$C$471</f>
        <v>1</v>
      </c>
      <c r="R460" s="7">
        <f t="shared" si="14"/>
        <v>0.14346590909090909</v>
      </c>
      <c r="S460" s="7">
        <f>+AV_PLAN[[#This Row],[TERMINO PLAN ACUMULADO]]/$G$471</f>
        <v>1</v>
      </c>
      <c r="T460" s="7">
        <f t="shared" si="15"/>
        <v>5.3977272727272728E-2</v>
      </c>
      <c r="U460" s="7">
        <f>+(AV_PLAN[[#This Row],[%AVANCE INICIO PLANIFICADO]]+AV_PLAN[[#This Row],[%AVANCE TERMINO PLANIFICADO]])/2</f>
        <v>1</v>
      </c>
    </row>
    <row r="461" spans="1:21" x14ac:dyDescent="0.25">
      <c r="A461" s="1">
        <v>46528</v>
      </c>
      <c r="B461">
        <v>0</v>
      </c>
      <c r="C461">
        <v>704</v>
      </c>
      <c r="D461">
        <v>0</v>
      </c>
      <c r="E461">
        <v>101</v>
      </c>
      <c r="F461">
        <v>0</v>
      </c>
      <c r="G461">
        <v>704</v>
      </c>
      <c r="H461">
        <v>0</v>
      </c>
      <c r="I461">
        <v>38</v>
      </c>
      <c r="J461" t="s">
        <v>813</v>
      </c>
      <c r="K461">
        <f>+WEEKNUM(AV_PLAN[[#This Row],[Días]])</f>
        <v>21</v>
      </c>
      <c r="L461" s="4">
        <f>IFERROR(AV_PLAN[[#This Row],[INICIO REAL ACUMULADO]]/AV_PLAN[[#This Row],[PLAN ACUMULADO]],"")</f>
        <v>0.14346590909090909</v>
      </c>
      <c r="M461" s="4">
        <f>IFERROR(AV_PLAN[[#This Row],[TERMINO REAL ACUMULADO]]/AV_PLAN[[#This Row],[TERMINO PLAN ACUMULADO]],"")</f>
        <v>5.3977272727272728E-2</v>
      </c>
      <c r="N461">
        <f>+AV_PLAN[[#This Row],[PLAN ACUMULADO]]-AV_PLAN[[#This Row],[INICIO REAL ACUMULADO]]</f>
        <v>603</v>
      </c>
      <c r="O461">
        <f>+AV_PLAN[[#This Row],[TERMINO PLAN ACUMULADO]]-AV_PLAN[[#This Row],[TERMINO REAL ACUMULADO]]</f>
        <v>666</v>
      </c>
      <c r="P46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1" s="7">
        <f>+AV_PLAN[[#This Row],[PLAN ACUMULADO]]/$C$471</f>
        <v>1</v>
      </c>
      <c r="R461" s="7">
        <f t="shared" si="14"/>
        <v>0.14346590909090909</v>
      </c>
      <c r="S461" s="7">
        <f>+AV_PLAN[[#This Row],[TERMINO PLAN ACUMULADO]]/$G$471</f>
        <v>1</v>
      </c>
      <c r="T461" s="7">
        <f t="shared" si="15"/>
        <v>5.3977272727272728E-2</v>
      </c>
      <c r="U461" s="7">
        <f>+(AV_PLAN[[#This Row],[%AVANCE INICIO PLANIFICADO]]+AV_PLAN[[#This Row],[%AVANCE TERMINO PLANIFICADO]])/2</f>
        <v>1</v>
      </c>
    </row>
    <row r="462" spans="1:21" x14ac:dyDescent="0.25">
      <c r="A462" s="1">
        <v>46529</v>
      </c>
      <c r="B462">
        <v>0</v>
      </c>
      <c r="C462">
        <v>704</v>
      </c>
      <c r="D462">
        <v>0</v>
      </c>
      <c r="E462">
        <v>101</v>
      </c>
      <c r="F462">
        <v>0</v>
      </c>
      <c r="G462">
        <v>704</v>
      </c>
      <c r="H462">
        <v>0</v>
      </c>
      <c r="I462">
        <v>38</v>
      </c>
      <c r="J462" t="s">
        <v>813</v>
      </c>
      <c r="K462">
        <f>+WEEKNUM(AV_PLAN[[#This Row],[Días]])</f>
        <v>21</v>
      </c>
      <c r="L462" s="4">
        <f>IFERROR(AV_PLAN[[#This Row],[INICIO REAL ACUMULADO]]/AV_PLAN[[#This Row],[PLAN ACUMULADO]],"")</f>
        <v>0.14346590909090909</v>
      </c>
      <c r="M462" s="4">
        <f>IFERROR(AV_PLAN[[#This Row],[TERMINO REAL ACUMULADO]]/AV_PLAN[[#This Row],[TERMINO PLAN ACUMULADO]],"")</f>
        <v>5.3977272727272728E-2</v>
      </c>
      <c r="N462">
        <f>+AV_PLAN[[#This Row],[PLAN ACUMULADO]]-AV_PLAN[[#This Row],[INICIO REAL ACUMULADO]]</f>
        <v>603</v>
      </c>
      <c r="O462">
        <f>+AV_PLAN[[#This Row],[TERMINO PLAN ACUMULADO]]-AV_PLAN[[#This Row],[TERMINO REAL ACUMULADO]]</f>
        <v>666</v>
      </c>
      <c r="P46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2" s="7">
        <f>+AV_PLAN[[#This Row],[PLAN ACUMULADO]]/$C$471</f>
        <v>1</v>
      </c>
      <c r="R462" s="7">
        <f t="shared" si="14"/>
        <v>0.14346590909090909</v>
      </c>
      <c r="S462" s="7">
        <f>+AV_PLAN[[#This Row],[TERMINO PLAN ACUMULADO]]/$G$471</f>
        <v>1</v>
      </c>
      <c r="T462" s="7">
        <f t="shared" si="15"/>
        <v>5.3977272727272728E-2</v>
      </c>
      <c r="U462" s="7">
        <f>+(AV_PLAN[[#This Row],[%AVANCE INICIO PLANIFICADO]]+AV_PLAN[[#This Row],[%AVANCE TERMINO PLANIFICADO]])/2</f>
        <v>1</v>
      </c>
    </row>
    <row r="463" spans="1:21" x14ac:dyDescent="0.25">
      <c r="A463" s="1">
        <v>46530</v>
      </c>
      <c r="B463">
        <v>0</v>
      </c>
      <c r="C463">
        <v>704</v>
      </c>
      <c r="D463">
        <v>0</v>
      </c>
      <c r="E463">
        <v>101</v>
      </c>
      <c r="F463">
        <v>0</v>
      </c>
      <c r="G463">
        <v>704</v>
      </c>
      <c r="H463">
        <v>0</v>
      </c>
      <c r="I463">
        <v>38</v>
      </c>
      <c r="J463" t="s">
        <v>813</v>
      </c>
      <c r="K463">
        <f>+WEEKNUM(AV_PLAN[[#This Row],[Días]])</f>
        <v>22</v>
      </c>
      <c r="L463" s="4">
        <f>IFERROR(AV_PLAN[[#This Row],[INICIO REAL ACUMULADO]]/AV_PLAN[[#This Row],[PLAN ACUMULADO]],"")</f>
        <v>0.14346590909090909</v>
      </c>
      <c r="M463" s="4">
        <f>IFERROR(AV_PLAN[[#This Row],[TERMINO REAL ACUMULADO]]/AV_PLAN[[#This Row],[TERMINO PLAN ACUMULADO]],"")</f>
        <v>5.3977272727272728E-2</v>
      </c>
      <c r="N463">
        <f>+AV_PLAN[[#This Row],[PLAN ACUMULADO]]-AV_PLAN[[#This Row],[INICIO REAL ACUMULADO]]</f>
        <v>603</v>
      </c>
      <c r="O463">
        <f>+AV_PLAN[[#This Row],[TERMINO PLAN ACUMULADO]]-AV_PLAN[[#This Row],[TERMINO REAL ACUMULADO]]</f>
        <v>666</v>
      </c>
      <c r="P46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3" s="7">
        <f>+AV_PLAN[[#This Row],[PLAN ACUMULADO]]/$C$471</f>
        <v>1</v>
      </c>
      <c r="R463" s="7">
        <f t="shared" si="14"/>
        <v>0.14346590909090909</v>
      </c>
      <c r="S463" s="7">
        <f>+AV_PLAN[[#This Row],[TERMINO PLAN ACUMULADO]]/$G$471</f>
        <v>1</v>
      </c>
      <c r="T463" s="7">
        <f t="shared" si="15"/>
        <v>5.3977272727272728E-2</v>
      </c>
      <c r="U463" s="7">
        <f>+(AV_PLAN[[#This Row],[%AVANCE INICIO PLANIFICADO]]+AV_PLAN[[#This Row],[%AVANCE TERMINO PLANIFICADO]])/2</f>
        <v>1</v>
      </c>
    </row>
    <row r="464" spans="1:21" x14ac:dyDescent="0.25">
      <c r="A464" s="1">
        <v>46531</v>
      </c>
      <c r="B464">
        <v>0</v>
      </c>
      <c r="C464">
        <v>704</v>
      </c>
      <c r="D464">
        <v>0</v>
      </c>
      <c r="E464">
        <v>101</v>
      </c>
      <c r="F464">
        <v>0</v>
      </c>
      <c r="G464">
        <v>704</v>
      </c>
      <c r="H464">
        <v>0</v>
      </c>
      <c r="I464">
        <v>38</v>
      </c>
      <c r="J464" t="s">
        <v>813</v>
      </c>
      <c r="K464">
        <f>+WEEKNUM(AV_PLAN[[#This Row],[Días]])</f>
        <v>22</v>
      </c>
      <c r="L464" s="4">
        <f>IFERROR(AV_PLAN[[#This Row],[INICIO REAL ACUMULADO]]/AV_PLAN[[#This Row],[PLAN ACUMULADO]],"")</f>
        <v>0.14346590909090909</v>
      </c>
      <c r="M464" s="4">
        <f>IFERROR(AV_PLAN[[#This Row],[TERMINO REAL ACUMULADO]]/AV_PLAN[[#This Row],[TERMINO PLAN ACUMULADO]],"")</f>
        <v>5.3977272727272728E-2</v>
      </c>
      <c r="N464">
        <f>+AV_PLAN[[#This Row],[PLAN ACUMULADO]]-AV_PLAN[[#This Row],[INICIO REAL ACUMULADO]]</f>
        <v>603</v>
      </c>
      <c r="O464">
        <f>+AV_PLAN[[#This Row],[TERMINO PLAN ACUMULADO]]-AV_PLAN[[#This Row],[TERMINO REAL ACUMULADO]]</f>
        <v>666</v>
      </c>
      <c r="P46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4" s="7">
        <f>+AV_PLAN[[#This Row],[PLAN ACUMULADO]]/$C$471</f>
        <v>1</v>
      </c>
      <c r="R464" s="7">
        <f t="shared" si="14"/>
        <v>0.14346590909090909</v>
      </c>
      <c r="S464" s="7">
        <f>+AV_PLAN[[#This Row],[TERMINO PLAN ACUMULADO]]/$G$471</f>
        <v>1</v>
      </c>
      <c r="T464" s="7">
        <f t="shared" si="15"/>
        <v>5.3977272727272728E-2</v>
      </c>
      <c r="U464" s="7">
        <f>+(AV_PLAN[[#This Row],[%AVANCE INICIO PLANIFICADO]]+AV_PLAN[[#This Row],[%AVANCE TERMINO PLANIFICADO]])/2</f>
        <v>1</v>
      </c>
    </row>
    <row r="465" spans="1:22" x14ac:dyDescent="0.25">
      <c r="A465" s="1">
        <v>46532</v>
      </c>
      <c r="B465">
        <v>0</v>
      </c>
      <c r="C465">
        <v>704</v>
      </c>
      <c r="D465">
        <v>0</v>
      </c>
      <c r="E465">
        <v>101</v>
      </c>
      <c r="F465">
        <v>0</v>
      </c>
      <c r="G465">
        <v>704</v>
      </c>
      <c r="H465">
        <v>0</v>
      </c>
      <c r="I465">
        <v>38</v>
      </c>
      <c r="J465" t="s">
        <v>813</v>
      </c>
      <c r="K465">
        <f>+WEEKNUM(AV_PLAN[[#This Row],[Días]])</f>
        <v>22</v>
      </c>
      <c r="L465" s="4">
        <f>IFERROR(AV_PLAN[[#This Row],[INICIO REAL ACUMULADO]]/AV_PLAN[[#This Row],[PLAN ACUMULADO]],"")</f>
        <v>0.14346590909090909</v>
      </c>
      <c r="M465" s="4">
        <f>IFERROR(AV_PLAN[[#This Row],[TERMINO REAL ACUMULADO]]/AV_PLAN[[#This Row],[TERMINO PLAN ACUMULADO]],"")</f>
        <v>5.3977272727272728E-2</v>
      </c>
      <c r="N465">
        <f>+AV_PLAN[[#This Row],[PLAN ACUMULADO]]-AV_PLAN[[#This Row],[INICIO REAL ACUMULADO]]</f>
        <v>603</v>
      </c>
      <c r="O465">
        <f>+AV_PLAN[[#This Row],[TERMINO PLAN ACUMULADO]]-AV_PLAN[[#This Row],[TERMINO REAL ACUMULADO]]</f>
        <v>666</v>
      </c>
      <c r="P46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5" s="7">
        <f>+AV_PLAN[[#This Row],[PLAN ACUMULADO]]/$C$471</f>
        <v>1</v>
      </c>
      <c r="R465" s="7">
        <f t="shared" si="14"/>
        <v>0.14346590909090909</v>
      </c>
      <c r="S465" s="7">
        <f>+AV_PLAN[[#This Row],[TERMINO PLAN ACUMULADO]]/$G$471</f>
        <v>1</v>
      </c>
      <c r="T465" s="7">
        <f t="shared" si="15"/>
        <v>5.3977272727272728E-2</v>
      </c>
      <c r="U465" s="7">
        <f>+(AV_PLAN[[#This Row],[%AVANCE INICIO PLANIFICADO]]+AV_PLAN[[#This Row],[%AVANCE TERMINO PLANIFICADO]])/2</f>
        <v>1</v>
      </c>
    </row>
    <row r="466" spans="1:22" x14ac:dyDescent="0.25">
      <c r="A466" s="1">
        <v>46533</v>
      </c>
      <c r="B466">
        <v>0</v>
      </c>
      <c r="C466">
        <v>704</v>
      </c>
      <c r="D466">
        <v>0</v>
      </c>
      <c r="E466">
        <v>101</v>
      </c>
      <c r="F466">
        <v>0</v>
      </c>
      <c r="G466">
        <v>704</v>
      </c>
      <c r="H466">
        <v>0</v>
      </c>
      <c r="I466">
        <v>38</v>
      </c>
      <c r="J466" t="s">
        <v>813</v>
      </c>
      <c r="K466">
        <f>+WEEKNUM(AV_PLAN[[#This Row],[Días]])</f>
        <v>22</v>
      </c>
      <c r="L466" s="4">
        <f>IFERROR(AV_PLAN[[#This Row],[INICIO REAL ACUMULADO]]/AV_PLAN[[#This Row],[PLAN ACUMULADO]],"")</f>
        <v>0.14346590909090909</v>
      </c>
      <c r="M466" s="4">
        <f>IFERROR(AV_PLAN[[#This Row],[TERMINO REAL ACUMULADO]]/AV_PLAN[[#This Row],[TERMINO PLAN ACUMULADO]],"")</f>
        <v>5.3977272727272728E-2</v>
      </c>
      <c r="N466">
        <f>+AV_PLAN[[#This Row],[PLAN ACUMULADO]]-AV_PLAN[[#This Row],[INICIO REAL ACUMULADO]]</f>
        <v>603</v>
      </c>
      <c r="O466">
        <f>+AV_PLAN[[#This Row],[TERMINO PLAN ACUMULADO]]-AV_PLAN[[#This Row],[TERMINO REAL ACUMULADO]]</f>
        <v>666</v>
      </c>
      <c r="P46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6" s="7">
        <f>+AV_PLAN[[#This Row],[PLAN ACUMULADO]]/$C$471</f>
        <v>1</v>
      </c>
      <c r="R466" s="7">
        <f t="shared" si="14"/>
        <v>0.14346590909090909</v>
      </c>
      <c r="S466" s="7">
        <f>+AV_PLAN[[#This Row],[TERMINO PLAN ACUMULADO]]/$G$471</f>
        <v>1</v>
      </c>
      <c r="T466" s="7">
        <f t="shared" si="15"/>
        <v>5.3977272727272728E-2</v>
      </c>
      <c r="U466" s="7">
        <f>+(AV_PLAN[[#This Row],[%AVANCE INICIO PLANIFICADO]]+AV_PLAN[[#This Row],[%AVANCE TERMINO PLANIFICADO]])/2</f>
        <v>1</v>
      </c>
    </row>
    <row r="467" spans="1:22" x14ac:dyDescent="0.25">
      <c r="A467" s="1">
        <v>46534</v>
      </c>
      <c r="B467">
        <v>0</v>
      </c>
      <c r="C467">
        <v>704</v>
      </c>
      <c r="D467">
        <v>0</v>
      </c>
      <c r="E467">
        <v>101</v>
      </c>
      <c r="F467">
        <v>0</v>
      </c>
      <c r="G467">
        <v>704</v>
      </c>
      <c r="H467">
        <v>0</v>
      </c>
      <c r="I467">
        <v>38</v>
      </c>
      <c r="J467" t="s">
        <v>813</v>
      </c>
      <c r="K467">
        <f>+WEEKNUM(AV_PLAN[[#This Row],[Días]])</f>
        <v>22</v>
      </c>
      <c r="L467" s="4">
        <f>IFERROR(AV_PLAN[[#This Row],[INICIO REAL ACUMULADO]]/AV_PLAN[[#This Row],[PLAN ACUMULADO]],"")</f>
        <v>0.14346590909090909</v>
      </c>
      <c r="M467" s="4">
        <f>IFERROR(AV_PLAN[[#This Row],[TERMINO REAL ACUMULADO]]/AV_PLAN[[#This Row],[TERMINO PLAN ACUMULADO]],"")</f>
        <v>5.3977272727272728E-2</v>
      </c>
      <c r="N467">
        <f>+AV_PLAN[[#This Row],[PLAN ACUMULADO]]-AV_PLAN[[#This Row],[INICIO REAL ACUMULADO]]</f>
        <v>603</v>
      </c>
      <c r="O467">
        <f>+AV_PLAN[[#This Row],[TERMINO PLAN ACUMULADO]]-AV_PLAN[[#This Row],[TERMINO REAL ACUMULADO]]</f>
        <v>666</v>
      </c>
      <c r="P46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7" s="7">
        <f>+AV_PLAN[[#This Row],[PLAN ACUMULADO]]/$C$471</f>
        <v>1</v>
      </c>
      <c r="R467" s="7">
        <f t="shared" si="14"/>
        <v>0.14346590909090909</v>
      </c>
      <c r="S467" s="7">
        <f>+AV_PLAN[[#This Row],[TERMINO PLAN ACUMULADO]]/$G$471</f>
        <v>1</v>
      </c>
      <c r="T467" s="7">
        <f t="shared" si="15"/>
        <v>5.3977272727272728E-2</v>
      </c>
      <c r="U467" s="7">
        <f>+(AV_PLAN[[#This Row],[%AVANCE INICIO PLANIFICADO]]+AV_PLAN[[#This Row],[%AVANCE TERMINO PLANIFICADO]])/2</f>
        <v>1</v>
      </c>
    </row>
    <row r="468" spans="1:22" x14ac:dyDescent="0.25">
      <c r="A468" s="1">
        <v>46535</v>
      </c>
      <c r="B468">
        <v>0</v>
      </c>
      <c r="C468">
        <v>704</v>
      </c>
      <c r="D468">
        <v>0</v>
      </c>
      <c r="E468">
        <v>101</v>
      </c>
      <c r="F468">
        <v>0</v>
      </c>
      <c r="G468">
        <v>704</v>
      </c>
      <c r="H468">
        <v>0</v>
      </c>
      <c r="I468">
        <v>38</v>
      </c>
      <c r="J468" t="s">
        <v>813</v>
      </c>
      <c r="K468">
        <f>+WEEKNUM(AV_PLAN[[#This Row],[Días]])</f>
        <v>22</v>
      </c>
      <c r="L468" s="4">
        <f>IFERROR(AV_PLAN[[#This Row],[INICIO REAL ACUMULADO]]/AV_PLAN[[#This Row],[PLAN ACUMULADO]],"")</f>
        <v>0.14346590909090909</v>
      </c>
      <c r="M468" s="4">
        <f>IFERROR(AV_PLAN[[#This Row],[TERMINO REAL ACUMULADO]]/AV_PLAN[[#This Row],[TERMINO PLAN ACUMULADO]],"")</f>
        <v>5.3977272727272728E-2</v>
      </c>
      <c r="N468">
        <f>+AV_PLAN[[#This Row],[PLAN ACUMULADO]]-AV_PLAN[[#This Row],[INICIO REAL ACUMULADO]]</f>
        <v>603</v>
      </c>
      <c r="O468">
        <f>+AV_PLAN[[#This Row],[TERMINO PLAN ACUMULADO]]-AV_PLAN[[#This Row],[TERMINO REAL ACUMULADO]]</f>
        <v>666</v>
      </c>
      <c r="P4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8" s="7">
        <f>+AV_PLAN[[#This Row],[PLAN ACUMULADO]]/$C$471</f>
        <v>1</v>
      </c>
      <c r="R468" s="7">
        <f t="shared" si="14"/>
        <v>0.14346590909090909</v>
      </c>
      <c r="S468" s="7">
        <f>+AV_PLAN[[#This Row],[TERMINO PLAN ACUMULADO]]/$G$471</f>
        <v>1</v>
      </c>
      <c r="T468" s="7">
        <f t="shared" si="15"/>
        <v>5.3977272727272728E-2</v>
      </c>
      <c r="U468" s="7">
        <f>+(AV_PLAN[[#This Row],[%AVANCE INICIO PLANIFICADO]]+AV_PLAN[[#This Row],[%AVANCE TERMINO PLANIFICADO]])/2</f>
        <v>1</v>
      </c>
    </row>
    <row r="469" spans="1:22" x14ac:dyDescent="0.25">
      <c r="A469" s="1">
        <v>46536</v>
      </c>
      <c r="B469">
        <v>0</v>
      </c>
      <c r="C469">
        <v>704</v>
      </c>
      <c r="D469">
        <v>0</v>
      </c>
      <c r="E469">
        <v>101</v>
      </c>
      <c r="F469">
        <v>0</v>
      </c>
      <c r="G469">
        <v>704</v>
      </c>
      <c r="H469">
        <v>0</v>
      </c>
      <c r="I469">
        <v>38</v>
      </c>
      <c r="J469" t="s">
        <v>813</v>
      </c>
      <c r="K469">
        <f>+WEEKNUM(AV_PLAN[[#This Row],[Días]])</f>
        <v>22</v>
      </c>
      <c r="L469" s="4">
        <f>IFERROR(AV_PLAN[[#This Row],[INICIO REAL ACUMULADO]]/AV_PLAN[[#This Row],[PLAN ACUMULADO]],"")</f>
        <v>0.14346590909090909</v>
      </c>
      <c r="M469" s="4">
        <f>IFERROR(AV_PLAN[[#This Row],[TERMINO REAL ACUMULADO]]/AV_PLAN[[#This Row],[TERMINO PLAN ACUMULADO]],"")</f>
        <v>5.3977272727272728E-2</v>
      </c>
      <c r="N469">
        <f>+AV_PLAN[[#This Row],[PLAN ACUMULADO]]-AV_PLAN[[#This Row],[INICIO REAL ACUMULADO]]</f>
        <v>603</v>
      </c>
      <c r="O469">
        <f>+AV_PLAN[[#This Row],[TERMINO PLAN ACUMULADO]]-AV_PLAN[[#This Row],[TERMINO REAL ACUMULADO]]</f>
        <v>666</v>
      </c>
      <c r="P46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9" s="7">
        <f>+AV_PLAN[[#This Row],[PLAN ACUMULADO]]/$C$471</f>
        <v>1</v>
      </c>
      <c r="R469" s="7">
        <f t="shared" si="14"/>
        <v>0.14346590909090909</v>
      </c>
      <c r="S469" s="7">
        <f>+AV_PLAN[[#This Row],[TERMINO PLAN ACUMULADO]]/$G$471</f>
        <v>1</v>
      </c>
      <c r="T469" s="7">
        <f t="shared" si="15"/>
        <v>5.3977272727272728E-2</v>
      </c>
      <c r="U469" s="7">
        <f>+(AV_PLAN[[#This Row],[%AVANCE INICIO PLANIFICADO]]+AV_PLAN[[#This Row],[%AVANCE TERMINO PLANIFICADO]])/2</f>
        <v>1</v>
      </c>
    </row>
    <row r="470" spans="1:22" x14ac:dyDescent="0.25">
      <c r="A470" s="1">
        <v>46537</v>
      </c>
      <c r="B470">
        <v>0</v>
      </c>
      <c r="C470">
        <v>704</v>
      </c>
      <c r="D470">
        <v>0</v>
      </c>
      <c r="E470">
        <v>101</v>
      </c>
      <c r="F470">
        <v>0</v>
      </c>
      <c r="G470">
        <v>704</v>
      </c>
      <c r="H470">
        <v>0</v>
      </c>
      <c r="I470">
        <v>38</v>
      </c>
      <c r="J470" t="s">
        <v>813</v>
      </c>
      <c r="K470">
        <f>+WEEKNUM(AV_PLAN[[#This Row],[Días]])</f>
        <v>23</v>
      </c>
      <c r="L470" s="4">
        <f>IFERROR(AV_PLAN[[#This Row],[INICIO REAL ACUMULADO]]/AV_PLAN[[#This Row],[PLAN ACUMULADO]],"")</f>
        <v>0.14346590909090909</v>
      </c>
      <c r="M470" s="4">
        <f>IFERROR(AV_PLAN[[#This Row],[TERMINO REAL ACUMULADO]]/AV_PLAN[[#This Row],[TERMINO PLAN ACUMULADO]],"")</f>
        <v>5.3977272727272728E-2</v>
      </c>
      <c r="N470">
        <f>+AV_PLAN[[#This Row],[PLAN ACUMULADO]]-AV_PLAN[[#This Row],[INICIO REAL ACUMULADO]]</f>
        <v>603</v>
      </c>
      <c r="O470">
        <f>+AV_PLAN[[#This Row],[TERMINO PLAN ACUMULADO]]-AV_PLAN[[#This Row],[TERMINO REAL ACUMULADO]]</f>
        <v>666</v>
      </c>
      <c r="P47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0" s="7">
        <f>+AV_PLAN[[#This Row],[PLAN ACUMULADO]]/$C$471</f>
        <v>1</v>
      </c>
      <c r="R470" s="7">
        <f t="shared" si="14"/>
        <v>0.14346590909090909</v>
      </c>
      <c r="S470" s="7">
        <f>+AV_PLAN[[#This Row],[TERMINO PLAN ACUMULADO]]/$G$471</f>
        <v>1</v>
      </c>
      <c r="T470" s="7">
        <f t="shared" si="15"/>
        <v>5.3977272727272728E-2</v>
      </c>
      <c r="U470" s="7">
        <f>+(AV_PLAN[[#This Row],[%AVANCE INICIO PLANIFICADO]]+AV_PLAN[[#This Row],[%AVANCE TERMINO PLANIFICADO]])/2</f>
        <v>1</v>
      </c>
    </row>
    <row r="471" spans="1:22" x14ac:dyDescent="0.25">
      <c r="A471" s="1">
        <v>46538</v>
      </c>
      <c r="B471">
        <v>0</v>
      </c>
      <c r="C471">
        <v>704</v>
      </c>
      <c r="D471">
        <v>0</v>
      </c>
      <c r="E471">
        <v>101</v>
      </c>
      <c r="F471">
        <v>0</v>
      </c>
      <c r="G471">
        <v>704</v>
      </c>
      <c r="H471">
        <v>0</v>
      </c>
      <c r="I471">
        <v>38</v>
      </c>
      <c r="J471" t="s">
        <v>813</v>
      </c>
      <c r="K471">
        <f>+WEEKNUM(AV_PLAN[[#This Row],[Días]])</f>
        <v>23</v>
      </c>
      <c r="L471" s="4">
        <f>IFERROR(AV_PLAN[[#This Row],[INICIO REAL ACUMULADO]]/AV_PLAN[[#This Row],[PLAN ACUMULADO]],"")</f>
        <v>0.14346590909090909</v>
      </c>
      <c r="M471" s="4">
        <f>IFERROR(AV_PLAN[[#This Row],[TERMINO REAL ACUMULADO]]/AV_PLAN[[#This Row],[TERMINO PLAN ACUMULADO]],"")</f>
        <v>5.3977272727272728E-2</v>
      </c>
      <c r="N471">
        <f>+AV_PLAN[[#This Row],[PLAN ACUMULADO]]-AV_PLAN[[#This Row],[INICIO REAL ACUMULADO]]</f>
        <v>603</v>
      </c>
      <c r="O471">
        <f>+AV_PLAN[[#This Row],[TERMINO PLAN ACUMULADO]]-AV_PLAN[[#This Row],[TERMINO REAL ACUMULADO]]</f>
        <v>666</v>
      </c>
      <c r="P47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1" s="7">
        <f>+AV_PLAN[[#This Row],[PLAN ACUMULADO]]/$C$471</f>
        <v>1</v>
      </c>
      <c r="R471" s="7">
        <f t="shared" si="14"/>
        <v>0.14346590909090909</v>
      </c>
      <c r="S471" s="7">
        <f>+AV_PLAN[[#This Row],[TERMINO PLAN ACUMULADO]]/$G$471</f>
        <v>1</v>
      </c>
      <c r="T471" s="7">
        <f t="shared" si="15"/>
        <v>5.3977272727272728E-2</v>
      </c>
      <c r="U471" s="7">
        <f>+(AV_PLAN[[#This Row],[%AVANCE INICIO PLANIFICADO]]+AV_PLAN[[#This Row],[%AVANCE TERMINO PLANIFICADO]])/2</f>
        <v>1</v>
      </c>
    </row>
    <row r="473" spans="1:22" x14ac:dyDescent="0.25">
      <c r="U473" s="13"/>
    </row>
    <row r="474" spans="1:22" x14ac:dyDescent="0.25">
      <c r="U474" s="13"/>
      <c r="V474" s="7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3EFC8-A47A-4B9E-ACAF-7C6128FF4344}">
  <dimension ref="A1:BI727"/>
  <sheetViews>
    <sheetView workbookViewId="0">
      <selection activeCell="BF2" sqref="BF2"/>
    </sheetView>
  </sheetViews>
  <sheetFormatPr baseColWidth="10" defaultColWidth="15.28515625" defaultRowHeight="15" x14ac:dyDescent="0.25"/>
  <cols>
    <col min="1" max="1" width="11.7109375" bestFit="1" customWidth="1"/>
    <col min="2" max="2" width="16.42578125" bestFit="1" customWidth="1"/>
    <col min="3" max="3" width="13.5703125" bestFit="1" customWidth="1"/>
    <col min="4" max="4" width="9.7109375" bestFit="1" customWidth="1"/>
    <col min="5" max="5" width="15" bestFit="1" customWidth="1"/>
    <col min="6" max="7" width="18.140625" bestFit="1" customWidth="1"/>
    <col min="8" max="8" width="19" bestFit="1" customWidth="1"/>
    <col min="9" max="9" width="20.7109375" bestFit="1" customWidth="1"/>
    <col min="10" max="10" width="17.42578125" bestFit="1" customWidth="1"/>
    <col min="11" max="11" width="14" bestFit="1" customWidth="1"/>
    <col min="12" max="55" width="0" style="7" hidden="1" customWidth="1"/>
    <col min="56" max="56" width="0" hidden="1" customWidth="1"/>
    <col min="57" max="57" width="25.42578125" bestFit="1" customWidth="1"/>
    <col min="58" max="58" width="13.7109375" bestFit="1" customWidth="1"/>
    <col min="59" max="59" width="16.140625" style="42" bestFit="1" customWidth="1"/>
    <col min="60" max="61" width="17" bestFit="1" customWidth="1"/>
  </cols>
  <sheetData>
    <row r="1" spans="1:61" s="62" customFormat="1" ht="60" x14ac:dyDescent="0.25">
      <c r="A1" s="62" t="s">
        <v>822</v>
      </c>
      <c r="B1" s="62" t="s">
        <v>823</v>
      </c>
      <c r="C1" s="62" t="s">
        <v>824</v>
      </c>
      <c r="D1" s="62" t="s">
        <v>825</v>
      </c>
      <c r="E1" s="62" t="s">
        <v>826</v>
      </c>
      <c r="F1" s="62" t="s">
        <v>827</v>
      </c>
      <c r="G1" s="62" t="s">
        <v>828</v>
      </c>
      <c r="H1" s="62" t="s">
        <v>829</v>
      </c>
      <c r="I1" s="62" t="s">
        <v>830</v>
      </c>
      <c r="J1" s="62" t="s">
        <v>1648</v>
      </c>
      <c r="K1" s="62" t="s">
        <v>831</v>
      </c>
      <c r="L1" s="63" t="s">
        <v>1658</v>
      </c>
      <c r="M1" s="63" t="s">
        <v>240</v>
      </c>
      <c r="N1" s="63" t="s">
        <v>124</v>
      </c>
      <c r="O1" s="63" t="s">
        <v>1659</v>
      </c>
      <c r="P1" s="63" t="s">
        <v>1660</v>
      </c>
      <c r="Q1" s="63" t="s">
        <v>1661</v>
      </c>
      <c r="R1" s="63" t="s">
        <v>1662</v>
      </c>
      <c r="S1" s="63" t="s">
        <v>1663</v>
      </c>
      <c r="T1" s="63" t="s">
        <v>1664</v>
      </c>
      <c r="U1" s="63" t="s">
        <v>1665</v>
      </c>
      <c r="V1" s="63" t="s">
        <v>1666</v>
      </c>
      <c r="W1" s="63" t="s">
        <v>1667</v>
      </c>
      <c r="X1" s="63" t="s">
        <v>576</v>
      </c>
      <c r="Y1" s="63" t="s">
        <v>605</v>
      </c>
      <c r="Z1" s="63" t="s">
        <v>1668</v>
      </c>
      <c r="AA1" s="63" t="s">
        <v>1669</v>
      </c>
      <c r="AB1" s="63" t="s">
        <v>1670</v>
      </c>
      <c r="AC1" s="63" t="s">
        <v>1671</v>
      </c>
      <c r="AD1" s="63" t="s">
        <v>1672</v>
      </c>
      <c r="AE1" s="63" t="s">
        <v>1673</v>
      </c>
      <c r="AF1" s="63" t="s">
        <v>401</v>
      </c>
      <c r="AG1" s="63" t="s">
        <v>1674</v>
      </c>
      <c r="AH1" s="63" t="s">
        <v>1675</v>
      </c>
      <c r="AI1" s="63" t="s">
        <v>1676</v>
      </c>
      <c r="AJ1" s="63" t="s">
        <v>1677</v>
      </c>
      <c r="AK1" s="63" t="s">
        <v>1678</v>
      </c>
      <c r="AL1" s="63" t="s">
        <v>577</v>
      </c>
      <c r="AM1" s="63" t="s">
        <v>1679</v>
      </c>
      <c r="AN1" s="63" t="s">
        <v>1680</v>
      </c>
      <c r="AO1" s="63" t="s">
        <v>1681</v>
      </c>
      <c r="AP1" s="63" t="s">
        <v>1682</v>
      </c>
      <c r="AQ1" s="63" t="s">
        <v>1683</v>
      </c>
      <c r="AR1" s="63" t="s">
        <v>1684</v>
      </c>
      <c r="AS1" s="63" t="s">
        <v>1685</v>
      </c>
      <c r="AT1" s="63" t="s">
        <v>481</v>
      </c>
      <c r="AU1" s="63" t="s">
        <v>1686</v>
      </c>
      <c r="AV1" s="63" t="s">
        <v>1687</v>
      </c>
      <c r="AW1" s="63" t="s">
        <v>1688</v>
      </c>
      <c r="AX1" s="63" t="s">
        <v>1689</v>
      </c>
      <c r="AY1" s="63" t="s">
        <v>1690</v>
      </c>
      <c r="AZ1" s="63" t="s">
        <v>1691</v>
      </c>
      <c r="BA1" s="63" t="s">
        <v>1692</v>
      </c>
      <c r="BB1" s="63" t="s">
        <v>1693</v>
      </c>
      <c r="BC1" s="63" t="s">
        <v>578</v>
      </c>
      <c r="BD1" s="62" t="s">
        <v>1694</v>
      </c>
      <c r="BE1" s="65" t="s">
        <v>1722</v>
      </c>
      <c r="BF1" s="62" t="s">
        <v>1560</v>
      </c>
      <c r="BG1" s="64" t="s">
        <v>1573</v>
      </c>
      <c r="BH1" s="62" t="s">
        <v>1574</v>
      </c>
      <c r="BI1" s="62" t="s">
        <v>1578</v>
      </c>
    </row>
    <row r="2" spans="1:61" x14ac:dyDescent="0.25">
      <c r="A2" t="s">
        <v>832</v>
      </c>
      <c r="B2" t="s">
        <v>114</v>
      </c>
      <c r="C2">
        <v>2282600001</v>
      </c>
      <c r="D2" t="s">
        <v>833</v>
      </c>
      <c r="E2" s="4">
        <v>0.99999999999999989</v>
      </c>
      <c r="F2" s="1">
        <v>46097</v>
      </c>
      <c r="G2" s="1">
        <v>46097</v>
      </c>
      <c r="H2" s="1">
        <v>46153</v>
      </c>
      <c r="I2" s="1">
        <v>46140</v>
      </c>
      <c r="J2" t="s">
        <v>355</v>
      </c>
      <c r="K2" s="1">
        <v>46153</v>
      </c>
      <c r="L2" s="7">
        <v>0.43</v>
      </c>
      <c r="M2" s="7">
        <v>1</v>
      </c>
      <c r="N2" s="7">
        <v>0.27906976744186046</v>
      </c>
      <c r="O2" s="7">
        <v>0.18604651162790695</v>
      </c>
      <c r="P2" s="7">
        <v>0.2558139534883721</v>
      </c>
      <c r="Q2" s="7">
        <v>0.18604651162790695</v>
      </c>
      <c r="R2" s="7">
        <v>9.3023255813953487E-2</v>
      </c>
      <c r="S2" s="7">
        <v>0.09</v>
      </c>
      <c r="T2" s="7">
        <v>1</v>
      </c>
      <c r="U2" s="7">
        <v>0.22222222222222221</v>
      </c>
      <c r="V2" s="7">
        <v>0.22222222222222221</v>
      </c>
      <c r="W2" s="7">
        <v>0.1111111111111111</v>
      </c>
      <c r="X2" s="7">
        <v>0.1111111111111111</v>
      </c>
      <c r="Y2" s="7">
        <v>0.1111111111111111</v>
      </c>
      <c r="Z2" s="7">
        <v>0.22222222222222221</v>
      </c>
      <c r="AA2" s="7">
        <v>0.11</v>
      </c>
      <c r="AB2" s="7">
        <v>1</v>
      </c>
      <c r="AC2" s="7">
        <v>0.27272727272727271</v>
      </c>
      <c r="AD2" s="7">
        <v>0.27272727272727271</v>
      </c>
      <c r="AE2" s="7">
        <v>9.0909090909090912E-2</v>
      </c>
      <c r="AF2" s="7">
        <v>0.18181818181818185</v>
      </c>
      <c r="AG2" s="7">
        <v>0.18181818181818185</v>
      </c>
      <c r="AH2" s="7">
        <v>0.36999999999999983</v>
      </c>
      <c r="AI2" s="7">
        <v>0.99999999999999956</v>
      </c>
      <c r="AJ2" s="7">
        <v>5.4054054054054029E-2</v>
      </c>
      <c r="AK2" s="7">
        <v>5.4054054054054029E-2</v>
      </c>
      <c r="AL2" s="7">
        <v>2.7027027027027015E-2</v>
      </c>
      <c r="AM2" s="7">
        <v>8.1081081081081058E-2</v>
      </c>
      <c r="AN2" s="7">
        <v>8.1081081081081058E-2</v>
      </c>
      <c r="AO2" s="7">
        <v>6.7567567567567557E-2</v>
      </c>
      <c r="AP2" s="7">
        <v>5.4054054054054029E-2</v>
      </c>
      <c r="AQ2" s="7">
        <v>1.3513513513513507E-2</v>
      </c>
      <c r="AR2" s="7">
        <v>4.0540540540540529E-2</v>
      </c>
      <c r="AS2" s="7">
        <v>1.3513513513513507E-2</v>
      </c>
      <c r="AT2" s="7">
        <v>8.1081081081081058E-2</v>
      </c>
      <c r="AU2" s="7">
        <v>5.4054054054054029E-2</v>
      </c>
      <c r="AV2" s="7">
        <v>2.7027027027027015E-2</v>
      </c>
      <c r="AW2" s="7">
        <v>5.4054054054054029E-2</v>
      </c>
      <c r="AX2" s="7">
        <v>5.4054054054054029E-2</v>
      </c>
      <c r="AY2" s="7">
        <v>2.7027027027027015E-2</v>
      </c>
      <c r="AZ2" s="7">
        <v>4.0540540540540529E-2</v>
      </c>
      <c r="BA2" s="7">
        <v>5.4054054054054029E-2</v>
      </c>
      <c r="BB2" s="7">
        <v>8.1081081081081058E-2</v>
      </c>
      <c r="BC2" s="7">
        <v>1.3513513513513507E-2</v>
      </c>
      <c r="BD2">
        <v>2.7027027027027015E-2</v>
      </c>
      <c r="BE2">
        <v>28.87</v>
      </c>
      <c r="BF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" s="42">
        <f>+IF(AVANCE[[#This Row],[FECHA INICIO REAL]]="","",AVANCE[[#This Row],[FECHA INICIO REAL]]-AVANCE[[#This Row],[FECHA INICIO TEORICO]])</f>
        <v>0</v>
      </c>
      <c r="BH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" spans="1:61" x14ac:dyDescent="0.25">
      <c r="A3" t="s">
        <v>832</v>
      </c>
      <c r="B3" t="s">
        <v>150</v>
      </c>
      <c r="C3">
        <v>2302600002</v>
      </c>
      <c r="D3" t="s">
        <v>834</v>
      </c>
      <c r="E3" s="4">
        <v>0.99999999999999989</v>
      </c>
      <c r="F3" s="1">
        <v>46100</v>
      </c>
      <c r="G3" s="1">
        <v>46100</v>
      </c>
      <c r="H3" s="1">
        <v>46156</v>
      </c>
      <c r="I3" s="1">
        <v>46140</v>
      </c>
      <c r="J3" t="s">
        <v>355</v>
      </c>
      <c r="K3" s="1">
        <v>46156</v>
      </c>
      <c r="L3" s="7">
        <v>0.43</v>
      </c>
      <c r="M3" s="7">
        <v>1</v>
      </c>
      <c r="N3" s="7">
        <v>0.27906976744186046</v>
      </c>
      <c r="O3" s="7">
        <v>0.18604651162790695</v>
      </c>
      <c r="P3" s="7">
        <v>0.2558139534883721</v>
      </c>
      <c r="Q3" s="7">
        <v>0.18604651162790695</v>
      </c>
      <c r="R3" s="7">
        <v>9.3023255813953487E-2</v>
      </c>
      <c r="S3" s="7">
        <v>0.09</v>
      </c>
      <c r="T3" s="7">
        <v>1</v>
      </c>
      <c r="U3" s="7">
        <v>0.22222222222222221</v>
      </c>
      <c r="V3" s="7">
        <v>0.22222222222222221</v>
      </c>
      <c r="W3" s="7">
        <v>0.1111111111111111</v>
      </c>
      <c r="X3" s="7">
        <v>0.1111111111111111</v>
      </c>
      <c r="Y3" s="7">
        <v>0.1111111111111111</v>
      </c>
      <c r="Z3" s="7">
        <v>0.22222222222222221</v>
      </c>
      <c r="AA3" s="7">
        <v>0.11</v>
      </c>
      <c r="AB3" s="7">
        <v>1</v>
      </c>
      <c r="AC3" s="7">
        <v>0.27272727272727271</v>
      </c>
      <c r="AD3" s="7">
        <v>0.27272727272727271</v>
      </c>
      <c r="AE3" s="7">
        <v>9.0909090909090912E-2</v>
      </c>
      <c r="AF3" s="7">
        <v>0.18181818181818185</v>
      </c>
      <c r="AG3" s="7">
        <v>0.18181818181818185</v>
      </c>
      <c r="AH3" s="7">
        <v>0.36999999999999983</v>
      </c>
      <c r="AI3" s="7">
        <v>0.99999999999999956</v>
      </c>
      <c r="AJ3" s="7">
        <v>5.4054054054054029E-2</v>
      </c>
      <c r="AK3" s="7">
        <v>5.4054054054054029E-2</v>
      </c>
      <c r="AL3" s="7">
        <v>2.7027027027027015E-2</v>
      </c>
      <c r="AM3" s="7">
        <v>8.1081081081081058E-2</v>
      </c>
      <c r="AN3" s="7">
        <v>8.1081081081081058E-2</v>
      </c>
      <c r="AO3" s="7">
        <v>6.7567567567567557E-2</v>
      </c>
      <c r="AP3" s="7">
        <v>5.4054054054054029E-2</v>
      </c>
      <c r="AQ3" s="7">
        <v>1.3513513513513507E-2</v>
      </c>
      <c r="AR3" s="7">
        <v>4.0540540540540529E-2</v>
      </c>
      <c r="AS3" s="7">
        <v>1.3513513513513507E-2</v>
      </c>
      <c r="AT3" s="7">
        <v>8.1081081081081058E-2</v>
      </c>
      <c r="AU3" s="7">
        <v>5.4054054054054029E-2</v>
      </c>
      <c r="AV3" s="7">
        <v>2.7027027027027015E-2</v>
      </c>
      <c r="AW3" s="7">
        <v>5.4054054054054029E-2</v>
      </c>
      <c r="AX3" s="7">
        <v>5.4054054054054029E-2</v>
      </c>
      <c r="AY3" s="7">
        <v>2.7027027027027015E-2</v>
      </c>
      <c r="AZ3" s="7">
        <v>4.0540540540540529E-2</v>
      </c>
      <c r="BA3" s="7">
        <v>5.4054054054054029E-2</v>
      </c>
      <c r="BB3" s="7">
        <v>8.1081081081081058E-2</v>
      </c>
      <c r="BC3" s="7">
        <v>1.3513513513513507E-2</v>
      </c>
      <c r="BD3">
        <v>2.7027027027027015E-2</v>
      </c>
      <c r="BE3">
        <v>31.32</v>
      </c>
      <c r="BF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" s="42">
        <f>+IF(AVANCE[[#This Row],[FECHA INICIO REAL]]="","",AVANCE[[#This Row],[FECHA INICIO REAL]]-AVANCE[[#This Row],[FECHA INICIO TEORICO]])</f>
        <v>0</v>
      </c>
      <c r="BH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" spans="1:61" x14ac:dyDescent="0.25">
      <c r="A4" t="s">
        <v>832</v>
      </c>
      <c r="B4" t="s">
        <v>75</v>
      </c>
      <c r="C4">
        <v>2302600003</v>
      </c>
      <c r="D4" t="s">
        <v>834</v>
      </c>
      <c r="E4" s="4">
        <v>0.99999999999999989</v>
      </c>
      <c r="F4" s="1">
        <v>46099</v>
      </c>
      <c r="G4" s="1">
        <v>46099</v>
      </c>
      <c r="H4" s="1">
        <v>46160</v>
      </c>
      <c r="I4" s="1">
        <v>46147</v>
      </c>
      <c r="J4" t="s">
        <v>355</v>
      </c>
      <c r="K4" s="1">
        <v>46160</v>
      </c>
      <c r="L4" s="7">
        <v>0.43</v>
      </c>
      <c r="M4" s="7">
        <v>1</v>
      </c>
      <c r="N4" s="7">
        <v>0.27906976744186046</v>
      </c>
      <c r="O4" s="7">
        <v>0.18604651162790695</v>
      </c>
      <c r="P4" s="7">
        <v>0.2558139534883721</v>
      </c>
      <c r="Q4" s="7">
        <v>0.18604651162790695</v>
      </c>
      <c r="R4" s="7">
        <v>9.3023255813953487E-2</v>
      </c>
      <c r="S4" s="7">
        <v>0.09</v>
      </c>
      <c r="T4" s="7">
        <v>1</v>
      </c>
      <c r="U4" s="7">
        <v>0.22222222222222221</v>
      </c>
      <c r="V4" s="7">
        <v>0.22222222222222221</v>
      </c>
      <c r="W4" s="7">
        <v>0.1111111111111111</v>
      </c>
      <c r="X4" s="7">
        <v>0.1111111111111111</v>
      </c>
      <c r="Y4" s="7">
        <v>0.1111111111111111</v>
      </c>
      <c r="Z4" s="7">
        <v>0.22222222222222221</v>
      </c>
      <c r="AA4" s="7">
        <v>0.11</v>
      </c>
      <c r="AB4" s="7">
        <v>1</v>
      </c>
      <c r="AC4" s="7">
        <v>0.27272727272727271</v>
      </c>
      <c r="AD4" s="7">
        <v>0.27272727272727271</v>
      </c>
      <c r="AE4" s="7">
        <v>9.0909090909090912E-2</v>
      </c>
      <c r="AF4" s="7">
        <v>0.18181818181818185</v>
      </c>
      <c r="AG4" s="7">
        <v>0.18181818181818185</v>
      </c>
      <c r="AH4" s="7">
        <v>0.36999999999999983</v>
      </c>
      <c r="AI4" s="7">
        <v>0.99999999999999956</v>
      </c>
      <c r="AJ4" s="7">
        <v>5.4054054054054029E-2</v>
      </c>
      <c r="AK4" s="7">
        <v>5.4054054054054029E-2</v>
      </c>
      <c r="AL4" s="7">
        <v>2.7027027027027015E-2</v>
      </c>
      <c r="AM4" s="7">
        <v>8.1081081081081058E-2</v>
      </c>
      <c r="AN4" s="7">
        <v>8.1081081081081058E-2</v>
      </c>
      <c r="AO4" s="7">
        <v>6.7567567567567557E-2</v>
      </c>
      <c r="AP4" s="7">
        <v>5.4054054054054029E-2</v>
      </c>
      <c r="AQ4" s="7">
        <v>1.3513513513513507E-2</v>
      </c>
      <c r="AR4" s="7">
        <v>4.0540540540540529E-2</v>
      </c>
      <c r="AS4" s="7">
        <v>1.3513513513513507E-2</v>
      </c>
      <c r="AT4" s="7">
        <v>8.1081081081081058E-2</v>
      </c>
      <c r="AU4" s="7">
        <v>5.4054054054054029E-2</v>
      </c>
      <c r="AV4" s="7">
        <v>2.7027027027027015E-2</v>
      </c>
      <c r="AW4" s="7">
        <v>5.4054054054054029E-2</v>
      </c>
      <c r="AX4" s="7">
        <v>5.4054054054054029E-2</v>
      </c>
      <c r="AY4" s="7">
        <v>2.7027027027027015E-2</v>
      </c>
      <c r="AZ4" s="7">
        <v>4.0540540540540529E-2</v>
      </c>
      <c r="BA4" s="7">
        <v>5.4054054054054029E-2</v>
      </c>
      <c r="BB4" s="7">
        <v>8.1081081081081058E-2</v>
      </c>
      <c r="BC4" s="7">
        <v>1.3513513513513507E-2</v>
      </c>
      <c r="BD4">
        <v>2.7027027027027015E-2</v>
      </c>
      <c r="BE4">
        <v>31.32</v>
      </c>
      <c r="BF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" s="42">
        <f>+IF(AVANCE[[#This Row],[FECHA INICIO REAL]]="","",AVANCE[[#This Row],[FECHA INICIO REAL]]-AVANCE[[#This Row],[FECHA INICIO TEORICO]])</f>
        <v>0</v>
      </c>
      <c r="BH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5" spans="1:61" x14ac:dyDescent="0.25">
      <c r="A5" t="s">
        <v>832</v>
      </c>
      <c r="B5" t="s">
        <v>123</v>
      </c>
      <c r="C5">
        <v>2282600004</v>
      </c>
      <c r="D5" t="s">
        <v>833</v>
      </c>
      <c r="E5" s="4">
        <v>0.99999999999999989</v>
      </c>
      <c r="F5" s="1">
        <v>46093</v>
      </c>
      <c r="G5" s="1">
        <v>46093</v>
      </c>
      <c r="H5" s="1">
        <v>46156</v>
      </c>
      <c r="I5" s="1">
        <v>46142</v>
      </c>
      <c r="J5" t="s">
        <v>355</v>
      </c>
      <c r="K5" s="1">
        <v>46156</v>
      </c>
      <c r="L5" s="7">
        <v>0.43</v>
      </c>
      <c r="M5" s="7">
        <v>1</v>
      </c>
      <c r="N5" s="7">
        <v>0.27906976744186046</v>
      </c>
      <c r="O5" s="7">
        <v>0.18604651162790695</v>
      </c>
      <c r="P5" s="7">
        <v>0.2558139534883721</v>
      </c>
      <c r="Q5" s="7">
        <v>0.18604651162790695</v>
      </c>
      <c r="R5" s="7">
        <v>9.3023255813953487E-2</v>
      </c>
      <c r="S5" s="7">
        <v>0.09</v>
      </c>
      <c r="T5" s="7">
        <v>1</v>
      </c>
      <c r="U5" s="7">
        <v>0.22222222222222221</v>
      </c>
      <c r="V5" s="7">
        <v>0.22222222222222221</v>
      </c>
      <c r="W5" s="7">
        <v>0.1111111111111111</v>
      </c>
      <c r="X5" s="7">
        <v>0.1111111111111111</v>
      </c>
      <c r="Y5" s="7">
        <v>0.1111111111111111</v>
      </c>
      <c r="Z5" s="7">
        <v>0.22222222222222221</v>
      </c>
      <c r="AA5" s="7">
        <v>0.11</v>
      </c>
      <c r="AB5" s="7">
        <v>1</v>
      </c>
      <c r="AC5" s="7">
        <v>0.27272727272727271</v>
      </c>
      <c r="AD5" s="7">
        <v>0.27272727272727271</v>
      </c>
      <c r="AE5" s="7">
        <v>9.0909090909090912E-2</v>
      </c>
      <c r="AF5" s="7">
        <v>0.18181818181818185</v>
      </c>
      <c r="AG5" s="7">
        <v>0.18181818181818185</v>
      </c>
      <c r="AH5" s="7">
        <v>0.36999999999999983</v>
      </c>
      <c r="AI5" s="7">
        <v>0.99999999999999956</v>
      </c>
      <c r="AJ5" s="7">
        <v>5.4054054054054029E-2</v>
      </c>
      <c r="AK5" s="7">
        <v>5.4054054054054029E-2</v>
      </c>
      <c r="AL5" s="7">
        <v>2.7027027027027015E-2</v>
      </c>
      <c r="AM5" s="7">
        <v>8.1081081081081058E-2</v>
      </c>
      <c r="AN5" s="7">
        <v>8.1081081081081058E-2</v>
      </c>
      <c r="AO5" s="7">
        <v>6.7567567567567557E-2</v>
      </c>
      <c r="AP5" s="7">
        <v>5.4054054054054029E-2</v>
      </c>
      <c r="AQ5" s="7">
        <v>1.3513513513513507E-2</v>
      </c>
      <c r="AR5" s="7">
        <v>4.0540540540540529E-2</v>
      </c>
      <c r="AS5" s="7">
        <v>1.3513513513513507E-2</v>
      </c>
      <c r="AT5" s="7">
        <v>8.1081081081081058E-2</v>
      </c>
      <c r="AU5" s="7">
        <v>5.4054054054054029E-2</v>
      </c>
      <c r="AV5" s="7">
        <v>2.7027027027027015E-2</v>
      </c>
      <c r="AW5" s="7">
        <v>5.4054054054054029E-2</v>
      </c>
      <c r="AX5" s="7">
        <v>5.4054054054054029E-2</v>
      </c>
      <c r="AY5" s="7">
        <v>2.7027027027027015E-2</v>
      </c>
      <c r="AZ5" s="7">
        <v>4.0540540540540529E-2</v>
      </c>
      <c r="BA5" s="7">
        <v>5.4054054054054029E-2</v>
      </c>
      <c r="BB5" s="7">
        <v>8.1081081081081058E-2</v>
      </c>
      <c r="BC5" s="7">
        <v>1.3513513513513507E-2</v>
      </c>
      <c r="BD5">
        <v>2.7027027027027015E-2</v>
      </c>
      <c r="BE5">
        <v>28.87</v>
      </c>
      <c r="BF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" s="42">
        <f>+IF(AVANCE[[#This Row],[FECHA INICIO REAL]]="","",AVANCE[[#This Row],[FECHA INICIO REAL]]-AVANCE[[#This Row],[FECHA INICIO TEORICO]])</f>
        <v>0</v>
      </c>
      <c r="BH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6" spans="1:61" x14ac:dyDescent="0.25">
      <c r="A6" t="s">
        <v>832</v>
      </c>
      <c r="B6" t="s">
        <v>198</v>
      </c>
      <c r="C6">
        <v>2282600005</v>
      </c>
      <c r="D6" t="s">
        <v>833</v>
      </c>
      <c r="E6" s="4">
        <v>0.99999999999999989</v>
      </c>
      <c r="F6" s="1">
        <v>46104</v>
      </c>
      <c r="G6" s="1">
        <v>46104</v>
      </c>
      <c r="H6" s="1">
        <v>46150</v>
      </c>
      <c r="I6" s="1">
        <v>46147</v>
      </c>
      <c r="J6" t="s">
        <v>355</v>
      </c>
      <c r="K6" s="1">
        <v>46150</v>
      </c>
      <c r="L6" s="7">
        <v>0.43</v>
      </c>
      <c r="M6" s="7">
        <v>1</v>
      </c>
      <c r="N6" s="7">
        <v>0.27906976744186046</v>
      </c>
      <c r="O6" s="7">
        <v>0.18604651162790695</v>
      </c>
      <c r="P6" s="7">
        <v>0.2558139534883721</v>
      </c>
      <c r="Q6" s="7">
        <v>0.18604651162790695</v>
      </c>
      <c r="R6" s="7">
        <v>9.3023255813953487E-2</v>
      </c>
      <c r="S6" s="7">
        <v>0.09</v>
      </c>
      <c r="T6" s="7">
        <v>1</v>
      </c>
      <c r="U6" s="7">
        <v>0.22222222222222221</v>
      </c>
      <c r="V6" s="7">
        <v>0.22222222222222221</v>
      </c>
      <c r="W6" s="7">
        <v>0.1111111111111111</v>
      </c>
      <c r="X6" s="7">
        <v>0.1111111111111111</v>
      </c>
      <c r="Y6" s="7">
        <v>0.1111111111111111</v>
      </c>
      <c r="Z6" s="7">
        <v>0.22222222222222221</v>
      </c>
      <c r="AA6" s="7">
        <v>0.11</v>
      </c>
      <c r="AB6" s="7">
        <v>1</v>
      </c>
      <c r="AC6" s="7">
        <v>0.27272727272727271</v>
      </c>
      <c r="AD6" s="7">
        <v>0.27272727272727271</v>
      </c>
      <c r="AE6" s="7">
        <v>9.0909090909090912E-2</v>
      </c>
      <c r="AF6" s="7">
        <v>0.18181818181818185</v>
      </c>
      <c r="AG6" s="7">
        <v>0.18181818181818185</v>
      </c>
      <c r="AH6" s="7">
        <v>0.36999999999999983</v>
      </c>
      <c r="AI6" s="7">
        <v>0.99999999999999956</v>
      </c>
      <c r="AJ6" s="7">
        <v>5.4054054054054029E-2</v>
      </c>
      <c r="AK6" s="7">
        <v>5.4054054054054029E-2</v>
      </c>
      <c r="AL6" s="7">
        <v>2.7027027027027015E-2</v>
      </c>
      <c r="AM6" s="7">
        <v>8.1081081081081058E-2</v>
      </c>
      <c r="AN6" s="7">
        <v>8.1081081081081058E-2</v>
      </c>
      <c r="AO6" s="7">
        <v>6.7567567567567557E-2</v>
      </c>
      <c r="AP6" s="7">
        <v>5.4054054054054029E-2</v>
      </c>
      <c r="AQ6" s="7">
        <v>1.3513513513513507E-2</v>
      </c>
      <c r="AR6" s="7">
        <v>4.0540540540540529E-2</v>
      </c>
      <c r="AS6" s="7">
        <v>1.3513513513513507E-2</v>
      </c>
      <c r="AT6" s="7">
        <v>8.1081081081081058E-2</v>
      </c>
      <c r="AU6" s="7">
        <v>5.4054054054054029E-2</v>
      </c>
      <c r="AV6" s="7">
        <v>2.7027027027027015E-2</v>
      </c>
      <c r="AW6" s="7">
        <v>5.4054054054054029E-2</v>
      </c>
      <c r="AX6" s="7">
        <v>5.4054054054054029E-2</v>
      </c>
      <c r="AY6" s="7">
        <v>2.7027027027027015E-2</v>
      </c>
      <c r="AZ6" s="7">
        <v>4.0540540540540529E-2</v>
      </c>
      <c r="BA6" s="7">
        <v>5.4054054054054029E-2</v>
      </c>
      <c r="BB6" s="7">
        <v>8.1081081081081058E-2</v>
      </c>
      <c r="BC6" s="7">
        <v>1.3513513513513507E-2</v>
      </c>
      <c r="BD6">
        <v>2.7027027027027015E-2</v>
      </c>
      <c r="BE6">
        <v>28.87</v>
      </c>
      <c r="BF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" s="42">
        <f>+IF(AVANCE[[#This Row],[FECHA INICIO REAL]]="","",AVANCE[[#This Row],[FECHA INICIO REAL]]-AVANCE[[#This Row],[FECHA INICIO TEORICO]])</f>
        <v>0</v>
      </c>
      <c r="BH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7" spans="1:61" x14ac:dyDescent="0.25">
      <c r="A7" t="s">
        <v>832</v>
      </c>
      <c r="B7" t="s">
        <v>200</v>
      </c>
      <c r="C7">
        <v>2302600006</v>
      </c>
      <c r="D7" t="s">
        <v>834</v>
      </c>
      <c r="E7" s="4">
        <v>0.99999999999999989</v>
      </c>
      <c r="F7" s="1">
        <v>46105</v>
      </c>
      <c r="G7" s="1">
        <v>46105</v>
      </c>
      <c r="H7" s="1">
        <v>46169</v>
      </c>
      <c r="I7" s="1">
        <v>46153</v>
      </c>
      <c r="J7" t="s">
        <v>355</v>
      </c>
      <c r="K7" s="1">
        <v>46169</v>
      </c>
      <c r="L7" s="7">
        <v>0.43</v>
      </c>
      <c r="M7" s="7">
        <v>1</v>
      </c>
      <c r="N7" s="7">
        <v>0.27906976744186046</v>
      </c>
      <c r="O7" s="7">
        <v>0.18604651162790695</v>
      </c>
      <c r="P7" s="7">
        <v>0.2558139534883721</v>
      </c>
      <c r="Q7" s="7">
        <v>0.18604651162790695</v>
      </c>
      <c r="R7" s="7">
        <v>9.3023255813953487E-2</v>
      </c>
      <c r="S7" s="7">
        <v>0.09</v>
      </c>
      <c r="T7" s="7">
        <v>1</v>
      </c>
      <c r="U7" s="7">
        <v>0.22222222222222221</v>
      </c>
      <c r="V7" s="7">
        <v>0.22222222222222221</v>
      </c>
      <c r="W7" s="7">
        <v>0.1111111111111111</v>
      </c>
      <c r="X7" s="7">
        <v>0.1111111111111111</v>
      </c>
      <c r="Y7" s="7">
        <v>0.1111111111111111</v>
      </c>
      <c r="Z7" s="7">
        <v>0.22222222222222221</v>
      </c>
      <c r="AA7" s="7">
        <v>0.11</v>
      </c>
      <c r="AB7" s="7">
        <v>1</v>
      </c>
      <c r="AC7" s="7">
        <v>0.27272727272727271</v>
      </c>
      <c r="AD7" s="7">
        <v>0.27272727272727271</v>
      </c>
      <c r="AE7" s="7">
        <v>9.0909090909090912E-2</v>
      </c>
      <c r="AF7" s="7">
        <v>0.18181818181818185</v>
      </c>
      <c r="AG7" s="7">
        <v>0.18181818181818185</v>
      </c>
      <c r="AH7" s="7">
        <v>0.36999999999999983</v>
      </c>
      <c r="AI7" s="7">
        <v>0.99999999999999956</v>
      </c>
      <c r="AJ7" s="7">
        <v>5.4054054054054029E-2</v>
      </c>
      <c r="AK7" s="7">
        <v>5.4054054054054029E-2</v>
      </c>
      <c r="AL7" s="7">
        <v>2.7027027027027015E-2</v>
      </c>
      <c r="AM7" s="7">
        <v>8.1081081081081058E-2</v>
      </c>
      <c r="AN7" s="7">
        <v>8.1081081081081058E-2</v>
      </c>
      <c r="AO7" s="7">
        <v>6.7567567567567557E-2</v>
      </c>
      <c r="AP7" s="7">
        <v>5.4054054054054029E-2</v>
      </c>
      <c r="AQ7" s="7">
        <v>1.3513513513513507E-2</v>
      </c>
      <c r="AR7" s="7">
        <v>4.0540540540540529E-2</v>
      </c>
      <c r="AS7" s="7">
        <v>1.3513513513513507E-2</v>
      </c>
      <c r="AT7" s="7">
        <v>8.1081081081081058E-2</v>
      </c>
      <c r="AU7" s="7">
        <v>5.4054054054054029E-2</v>
      </c>
      <c r="AV7" s="7">
        <v>2.7027027027027015E-2</v>
      </c>
      <c r="AW7" s="7">
        <v>5.4054054054054029E-2</v>
      </c>
      <c r="AX7" s="7">
        <v>5.4054054054054029E-2</v>
      </c>
      <c r="AY7" s="7">
        <v>2.7027027027027015E-2</v>
      </c>
      <c r="AZ7" s="7">
        <v>4.0540540540540529E-2</v>
      </c>
      <c r="BA7" s="7">
        <v>5.4054054054054029E-2</v>
      </c>
      <c r="BB7" s="7">
        <v>8.1081081081081058E-2</v>
      </c>
      <c r="BC7" s="7">
        <v>1.3513513513513507E-2</v>
      </c>
      <c r="BD7">
        <v>2.7027027027027015E-2</v>
      </c>
      <c r="BE7">
        <v>31.32</v>
      </c>
      <c r="BF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" s="42">
        <f>+IF(AVANCE[[#This Row],[FECHA INICIO REAL]]="","",AVANCE[[#This Row],[FECHA INICIO REAL]]-AVANCE[[#This Row],[FECHA INICIO TEORICO]])</f>
        <v>0</v>
      </c>
      <c r="BH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8" spans="1:61" x14ac:dyDescent="0.25">
      <c r="A8" t="s">
        <v>832</v>
      </c>
      <c r="B8" t="s">
        <v>835</v>
      </c>
      <c r="C8">
        <v>2302600007</v>
      </c>
      <c r="D8" t="s">
        <v>834</v>
      </c>
      <c r="E8" s="4">
        <v>0.99999999999999989</v>
      </c>
      <c r="F8" s="1">
        <v>46105</v>
      </c>
      <c r="G8" s="1">
        <v>46105</v>
      </c>
      <c r="H8" s="1">
        <v>46178</v>
      </c>
      <c r="I8" s="1">
        <v>46155</v>
      </c>
      <c r="J8" t="s">
        <v>355</v>
      </c>
      <c r="K8" s="1">
        <v>46178</v>
      </c>
      <c r="L8" s="7">
        <v>0.43</v>
      </c>
      <c r="M8" s="7">
        <v>1</v>
      </c>
      <c r="N8" s="7">
        <v>0.27906976744186046</v>
      </c>
      <c r="O8" s="7">
        <v>0.18604651162790695</v>
      </c>
      <c r="P8" s="7">
        <v>0.2558139534883721</v>
      </c>
      <c r="Q8" s="7">
        <v>0.18604651162790695</v>
      </c>
      <c r="R8" s="7">
        <v>9.3023255813953487E-2</v>
      </c>
      <c r="S8" s="7">
        <v>0.09</v>
      </c>
      <c r="T8" s="7">
        <v>1</v>
      </c>
      <c r="U8" s="7">
        <v>0.22222222222222221</v>
      </c>
      <c r="V8" s="7">
        <v>0.22222222222222221</v>
      </c>
      <c r="W8" s="7">
        <v>0.1111111111111111</v>
      </c>
      <c r="X8" s="7">
        <v>0.1111111111111111</v>
      </c>
      <c r="Y8" s="7">
        <v>0.1111111111111111</v>
      </c>
      <c r="Z8" s="7">
        <v>0.22222222222222221</v>
      </c>
      <c r="AA8" s="7">
        <v>0.11</v>
      </c>
      <c r="AB8" s="7">
        <v>1</v>
      </c>
      <c r="AC8" s="7">
        <v>0.27272727272727271</v>
      </c>
      <c r="AD8" s="7">
        <v>0.27272727272727271</v>
      </c>
      <c r="AE8" s="7">
        <v>9.0909090909090912E-2</v>
      </c>
      <c r="AF8" s="7">
        <v>0.18181818181818185</v>
      </c>
      <c r="AG8" s="7">
        <v>0.18181818181818185</v>
      </c>
      <c r="AH8" s="7">
        <v>0.36999999999999983</v>
      </c>
      <c r="AI8" s="7">
        <v>0.99999999999999956</v>
      </c>
      <c r="AJ8" s="7">
        <v>5.4054054054054029E-2</v>
      </c>
      <c r="AK8" s="7">
        <v>5.4054054054054029E-2</v>
      </c>
      <c r="AL8" s="7">
        <v>2.7027027027027015E-2</v>
      </c>
      <c r="AM8" s="7">
        <v>8.1081081081081058E-2</v>
      </c>
      <c r="AN8" s="7">
        <v>8.1081081081081058E-2</v>
      </c>
      <c r="AO8" s="7">
        <v>6.7567567567567557E-2</v>
      </c>
      <c r="AP8" s="7">
        <v>5.4054054054054029E-2</v>
      </c>
      <c r="AQ8" s="7">
        <v>1.3513513513513507E-2</v>
      </c>
      <c r="AR8" s="7">
        <v>4.0540540540540529E-2</v>
      </c>
      <c r="AS8" s="7">
        <v>1.3513513513513507E-2</v>
      </c>
      <c r="AT8" s="7">
        <v>8.1081081081081058E-2</v>
      </c>
      <c r="AU8" s="7">
        <v>5.4054054054054029E-2</v>
      </c>
      <c r="AV8" s="7">
        <v>2.7027027027027015E-2</v>
      </c>
      <c r="AW8" s="7">
        <v>5.4054054054054029E-2</v>
      </c>
      <c r="AX8" s="7">
        <v>5.4054054054054029E-2</v>
      </c>
      <c r="AY8" s="7">
        <v>2.7027027027027015E-2</v>
      </c>
      <c r="AZ8" s="7">
        <v>4.0540540540540529E-2</v>
      </c>
      <c r="BA8" s="7">
        <v>5.4054054054054029E-2</v>
      </c>
      <c r="BB8" s="7">
        <v>8.1081081081081058E-2</v>
      </c>
      <c r="BC8" s="7">
        <v>1.3513513513513507E-2</v>
      </c>
      <c r="BD8">
        <v>2.7027027027027015E-2</v>
      </c>
      <c r="BE8">
        <v>31.32</v>
      </c>
      <c r="BF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" s="42">
        <f>+IF(AVANCE[[#This Row],[FECHA INICIO REAL]]="","",AVANCE[[#This Row],[FECHA INICIO REAL]]-AVANCE[[#This Row],[FECHA INICIO TEORICO]])</f>
        <v>0</v>
      </c>
      <c r="BH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9" spans="1:61" x14ac:dyDescent="0.25">
      <c r="A9" t="s">
        <v>832</v>
      </c>
      <c r="B9" t="s">
        <v>836</v>
      </c>
      <c r="C9">
        <v>2282600008</v>
      </c>
      <c r="D9" t="s">
        <v>833</v>
      </c>
      <c r="E9" s="4">
        <v>0.99999999999999989</v>
      </c>
      <c r="F9" s="1">
        <v>46106</v>
      </c>
      <c r="G9" s="1">
        <v>46106</v>
      </c>
      <c r="H9" s="1">
        <v>46177</v>
      </c>
      <c r="I9" s="1">
        <v>46148</v>
      </c>
      <c r="J9" t="s">
        <v>355</v>
      </c>
      <c r="K9" s="1">
        <v>46177</v>
      </c>
      <c r="L9" s="7">
        <v>0.43</v>
      </c>
      <c r="M9" s="7">
        <v>1</v>
      </c>
      <c r="N9" s="7">
        <v>0.27906976744186046</v>
      </c>
      <c r="O9" s="7">
        <v>0.18604651162790695</v>
      </c>
      <c r="P9" s="7">
        <v>0.2558139534883721</v>
      </c>
      <c r="Q9" s="7">
        <v>0.18604651162790695</v>
      </c>
      <c r="R9" s="7">
        <v>9.3023255813953487E-2</v>
      </c>
      <c r="S9" s="7">
        <v>0.09</v>
      </c>
      <c r="T9" s="7">
        <v>1</v>
      </c>
      <c r="U9" s="7">
        <v>0.22222222222222221</v>
      </c>
      <c r="V9" s="7">
        <v>0.22222222222222221</v>
      </c>
      <c r="W9" s="7">
        <v>0.1111111111111111</v>
      </c>
      <c r="X9" s="7">
        <v>0.1111111111111111</v>
      </c>
      <c r="Y9" s="7">
        <v>0.1111111111111111</v>
      </c>
      <c r="Z9" s="7">
        <v>0.22222222222222221</v>
      </c>
      <c r="AA9" s="7">
        <v>0.11</v>
      </c>
      <c r="AB9" s="7">
        <v>1</v>
      </c>
      <c r="AC9" s="7">
        <v>0.27272727272727271</v>
      </c>
      <c r="AD9" s="7">
        <v>0.27272727272727271</v>
      </c>
      <c r="AE9" s="7">
        <v>9.0909090909090912E-2</v>
      </c>
      <c r="AF9" s="7">
        <v>0.18181818181818185</v>
      </c>
      <c r="AG9" s="7">
        <v>0.18181818181818185</v>
      </c>
      <c r="AH9" s="7">
        <v>0.36999999999999983</v>
      </c>
      <c r="AI9" s="7">
        <v>0.99999999999999956</v>
      </c>
      <c r="AJ9" s="7">
        <v>5.4054054054054029E-2</v>
      </c>
      <c r="AK9" s="7">
        <v>5.4054054054054029E-2</v>
      </c>
      <c r="AL9" s="7">
        <v>2.7027027027027015E-2</v>
      </c>
      <c r="AM9" s="7">
        <v>8.1081081081081058E-2</v>
      </c>
      <c r="AN9" s="7">
        <v>8.1081081081081058E-2</v>
      </c>
      <c r="AO9" s="7">
        <v>6.7567567567567557E-2</v>
      </c>
      <c r="AP9" s="7">
        <v>5.4054054054054029E-2</v>
      </c>
      <c r="AQ9" s="7">
        <v>1.3513513513513507E-2</v>
      </c>
      <c r="AR9" s="7">
        <v>4.0540540540540529E-2</v>
      </c>
      <c r="AS9" s="7">
        <v>1.3513513513513507E-2</v>
      </c>
      <c r="AT9" s="7">
        <v>8.1081081081081058E-2</v>
      </c>
      <c r="AU9" s="7">
        <v>5.4054054054054029E-2</v>
      </c>
      <c r="AV9" s="7">
        <v>2.7027027027027015E-2</v>
      </c>
      <c r="AW9" s="7">
        <v>5.4054054054054029E-2</v>
      </c>
      <c r="AX9" s="7">
        <v>5.4054054054054029E-2</v>
      </c>
      <c r="AY9" s="7">
        <v>2.7027027027027015E-2</v>
      </c>
      <c r="AZ9" s="7">
        <v>4.0540540540540529E-2</v>
      </c>
      <c r="BA9" s="7">
        <v>5.4054054054054029E-2</v>
      </c>
      <c r="BB9" s="7">
        <v>8.1081081081081058E-2</v>
      </c>
      <c r="BC9" s="7">
        <v>1.3513513513513507E-2</v>
      </c>
      <c r="BD9">
        <v>2.7027027027027015E-2</v>
      </c>
      <c r="BE9">
        <v>28.87</v>
      </c>
      <c r="BF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" s="42">
        <f>+IF(AVANCE[[#This Row],[FECHA INICIO REAL]]="","",AVANCE[[#This Row],[FECHA INICIO REAL]]-AVANCE[[#This Row],[FECHA INICIO TEORICO]])</f>
        <v>0</v>
      </c>
      <c r="BH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0" spans="1:61" x14ac:dyDescent="0.25">
      <c r="A10" t="s">
        <v>832</v>
      </c>
      <c r="B10" t="s">
        <v>176</v>
      </c>
      <c r="C10">
        <v>2282600009</v>
      </c>
      <c r="D10" t="s">
        <v>833</v>
      </c>
      <c r="E10" s="4">
        <v>0.99999999999999989</v>
      </c>
      <c r="F10" s="1">
        <v>46070</v>
      </c>
      <c r="G10" s="1">
        <v>46070</v>
      </c>
      <c r="H10" s="1">
        <v>46156</v>
      </c>
      <c r="I10" s="1">
        <v>46134</v>
      </c>
      <c r="J10" t="s">
        <v>355</v>
      </c>
      <c r="K10" s="1">
        <v>46156</v>
      </c>
      <c r="L10" s="7">
        <v>0.43</v>
      </c>
      <c r="M10" s="7">
        <v>1</v>
      </c>
      <c r="N10" s="7">
        <v>0.27906976744186046</v>
      </c>
      <c r="O10" s="7">
        <v>0.18604651162790695</v>
      </c>
      <c r="P10" s="7">
        <v>0.2558139534883721</v>
      </c>
      <c r="Q10" s="7">
        <v>0.18604651162790695</v>
      </c>
      <c r="R10" s="7">
        <v>9.3023255813953487E-2</v>
      </c>
      <c r="S10" s="7">
        <v>0.09</v>
      </c>
      <c r="T10" s="7">
        <v>1</v>
      </c>
      <c r="U10" s="7">
        <v>0.22222222222222221</v>
      </c>
      <c r="V10" s="7">
        <v>0.22222222222222221</v>
      </c>
      <c r="W10" s="7">
        <v>0.1111111111111111</v>
      </c>
      <c r="X10" s="7">
        <v>0.1111111111111111</v>
      </c>
      <c r="Y10" s="7">
        <v>0.1111111111111111</v>
      </c>
      <c r="Z10" s="7">
        <v>0.22222222222222221</v>
      </c>
      <c r="AA10" s="7">
        <v>0.11</v>
      </c>
      <c r="AB10" s="7">
        <v>1</v>
      </c>
      <c r="AC10" s="7">
        <v>0.27272727272727271</v>
      </c>
      <c r="AD10" s="7">
        <v>0.27272727272727271</v>
      </c>
      <c r="AE10" s="7">
        <v>9.0909090909090912E-2</v>
      </c>
      <c r="AF10" s="7">
        <v>0.18181818181818185</v>
      </c>
      <c r="AG10" s="7">
        <v>0.18181818181818185</v>
      </c>
      <c r="AH10" s="7">
        <v>0.36999999999999983</v>
      </c>
      <c r="AI10" s="7">
        <v>0.99999999999999956</v>
      </c>
      <c r="AJ10" s="7">
        <v>5.4054054054054029E-2</v>
      </c>
      <c r="AK10" s="7">
        <v>5.4054054054054029E-2</v>
      </c>
      <c r="AL10" s="7">
        <v>2.7027027027027015E-2</v>
      </c>
      <c r="AM10" s="7">
        <v>8.1081081081081058E-2</v>
      </c>
      <c r="AN10" s="7">
        <v>8.1081081081081058E-2</v>
      </c>
      <c r="AO10" s="7">
        <v>6.7567567567567557E-2</v>
      </c>
      <c r="AP10" s="7">
        <v>5.4054054054054029E-2</v>
      </c>
      <c r="AQ10" s="7">
        <v>1.3513513513513507E-2</v>
      </c>
      <c r="AR10" s="7">
        <v>4.0540540540540529E-2</v>
      </c>
      <c r="AS10" s="7">
        <v>1.3513513513513507E-2</v>
      </c>
      <c r="AT10" s="7">
        <v>8.1081081081081058E-2</v>
      </c>
      <c r="AU10" s="7">
        <v>5.4054054054054029E-2</v>
      </c>
      <c r="AV10" s="7">
        <v>2.7027027027027015E-2</v>
      </c>
      <c r="AW10" s="7">
        <v>5.4054054054054029E-2</v>
      </c>
      <c r="AX10" s="7">
        <v>5.4054054054054029E-2</v>
      </c>
      <c r="AY10" s="7">
        <v>2.7027027027027015E-2</v>
      </c>
      <c r="AZ10" s="7">
        <v>4.0540540540540529E-2</v>
      </c>
      <c r="BA10" s="7">
        <v>5.4054054054054029E-2</v>
      </c>
      <c r="BB10" s="7">
        <v>8.1081081081081058E-2</v>
      </c>
      <c r="BC10" s="7">
        <v>1.3513513513513507E-2</v>
      </c>
      <c r="BD10">
        <v>2.7027027027027015E-2</v>
      </c>
      <c r="BE10">
        <v>28.87</v>
      </c>
      <c r="BF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" s="42">
        <f>+IF(AVANCE[[#This Row],[FECHA INICIO REAL]]="","",AVANCE[[#This Row],[FECHA INICIO REAL]]-AVANCE[[#This Row],[FECHA INICIO TEORICO]])</f>
        <v>0</v>
      </c>
      <c r="BH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1" spans="1:61" x14ac:dyDescent="0.25">
      <c r="A11" t="s">
        <v>832</v>
      </c>
      <c r="B11" t="s">
        <v>837</v>
      </c>
      <c r="C11">
        <v>2302600010</v>
      </c>
      <c r="D11" t="s">
        <v>834</v>
      </c>
      <c r="E11" s="4">
        <v>0.99999999999999989</v>
      </c>
      <c r="F11" s="1">
        <v>46070</v>
      </c>
      <c r="G11" s="1">
        <v>46070</v>
      </c>
      <c r="H11" s="1">
        <v>46156</v>
      </c>
      <c r="I11" s="1">
        <v>46134</v>
      </c>
      <c r="J11" t="s">
        <v>355</v>
      </c>
      <c r="K11" s="1">
        <v>46156</v>
      </c>
      <c r="L11" s="7">
        <v>0.43</v>
      </c>
      <c r="M11" s="7">
        <v>1</v>
      </c>
      <c r="N11" s="7">
        <v>0.27906976744186046</v>
      </c>
      <c r="O11" s="7">
        <v>0.18604651162790695</v>
      </c>
      <c r="P11" s="7">
        <v>0.2558139534883721</v>
      </c>
      <c r="Q11" s="7">
        <v>0.18604651162790695</v>
      </c>
      <c r="R11" s="7">
        <v>9.3023255813953487E-2</v>
      </c>
      <c r="S11" s="7">
        <v>0.09</v>
      </c>
      <c r="T11" s="7">
        <v>1</v>
      </c>
      <c r="U11" s="7">
        <v>0.22222222222222221</v>
      </c>
      <c r="V11" s="7">
        <v>0.22222222222222221</v>
      </c>
      <c r="W11" s="7">
        <v>0.1111111111111111</v>
      </c>
      <c r="X11" s="7">
        <v>0.1111111111111111</v>
      </c>
      <c r="Y11" s="7">
        <v>0.1111111111111111</v>
      </c>
      <c r="Z11" s="7">
        <v>0.22222222222222221</v>
      </c>
      <c r="AA11" s="7">
        <v>0.11</v>
      </c>
      <c r="AB11" s="7">
        <v>1</v>
      </c>
      <c r="AC11" s="7">
        <v>0.27272727272727271</v>
      </c>
      <c r="AD11" s="7">
        <v>0.27272727272727271</v>
      </c>
      <c r="AE11" s="7">
        <v>9.0909090909090912E-2</v>
      </c>
      <c r="AF11" s="7">
        <v>0.18181818181818185</v>
      </c>
      <c r="AG11" s="7">
        <v>0.18181818181818185</v>
      </c>
      <c r="AH11" s="7">
        <v>0.36999999999999983</v>
      </c>
      <c r="AI11" s="7">
        <v>0.99999999999999956</v>
      </c>
      <c r="AJ11" s="7">
        <v>5.4054054054054029E-2</v>
      </c>
      <c r="AK11" s="7">
        <v>5.4054054054054029E-2</v>
      </c>
      <c r="AL11" s="7">
        <v>2.7027027027027015E-2</v>
      </c>
      <c r="AM11" s="7">
        <v>8.1081081081081058E-2</v>
      </c>
      <c r="AN11" s="7">
        <v>8.1081081081081058E-2</v>
      </c>
      <c r="AO11" s="7">
        <v>6.7567567567567557E-2</v>
      </c>
      <c r="AP11" s="7">
        <v>5.4054054054054029E-2</v>
      </c>
      <c r="AQ11" s="7">
        <v>1.3513513513513507E-2</v>
      </c>
      <c r="AR11" s="7">
        <v>4.0540540540540529E-2</v>
      </c>
      <c r="AS11" s="7">
        <v>1.3513513513513507E-2</v>
      </c>
      <c r="AT11" s="7">
        <v>8.1081081081081058E-2</v>
      </c>
      <c r="AU11" s="7">
        <v>5.4054054054054029E-2</v>
      </c>
      <c r="AV11" s="7">
        <v>2.7027027027027015E-2</v>
      </c>
      <c r="AW11" s="7">
        <v>5.4054054054054029E-2</v>
      </c>
      <c r="AX11" s="7">
        <v>5.4054054054054029E-2</v>
      </c>
      <c r="AY11" s="7">
        <v>2.7027027027027015E-2</v>
      </c>
      <c r="AZ11" s="7">
        <v>4.0540540540540529E-2</v>
      </c>
      <c r="BA11" s="7">
        <v>5.4054054054054029E-2</v>
      </c>
      <c r="BB11" s="7">
        <v>8.1081081081081058E-2</v>
      </c>
      <c r="BC11" s="7">
        <v>1.3513513513513507E-2</v>
      </c>
      <c r="BD11">
        <v>2.7027027027027015E-2</v>
      </c>
      <c r="BE11">
        <v>31.32</v>
      </c>
      <c r="BF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1" s="42">
        <f>+IF(AVANCE[[#This Row],[FECHA INICIO REAL]]="","",AVANCE[[#This Row],[FECHA INICIO REAL]]-AVANCE[[#This Row],[FECHA INICIO TEORICO]])</f>
        <v>0</v>
      </c>
      <c r="BH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2" spans="1:61" x14ac:dyDescent="0.25">
      <c r="A12" t="s">
        <v>832</v>
      </c>
      <c r="B12" t="s">
        <v>224</v>
      </c>
      <c r="C12">
        <v>2302600011</v>
      </c>
      <c r="D12" t="s">
        <v>834</v>
      </c>
      <c r="E12" s="4">
        <v>0.99999999999999989</v>
      </c>
      <c r="F12" s="1">
        <v>46073</v>
      </c>
      <c r="G12" s="1">
        <v>46073</v>
      </c>
      <c r="H12" s="1">
        <v>46160</v>
      </c>
      <c r="I12" s="1">
        <v>46136</v>
      </c>
      <c r="J12" t="s">
        <v>355</v>
      </c>
      <c r="K12" s="1">
        <v>46160</v>
      </c>
      <c r="L12" s="7">
        <v>0.43</v>
      </c>
      <c r="M12" s="7">
        <v>1</v>
      </c>
      <c r="N12" s="7">
        <v>0.27906976744186046</v>
      </c>
      <c r="O12" s="7">
        <v>0.18604651162790695</v>
      </c>
      <c r="P12" s="7">
        <v>0.2558139534883721</v>
      </c>
      <c r="Q12" s="7">
        <v>0.18604651162790695</v>
      </c>
      <c r="R12" s="7">
        <v>9.3023255813953487E-2</v>
      </c>
      <c r="S12" s="7">
        <v>0.09</v>
      </c>
      <c r="T12" s="7">
        <v>1</v>
      </c>
      <c r="U12" s="7">
        <v>0.22222222222222221</v>
      </c>
      <c r="V12" s="7">
        <v>0.22222222222222221</v>
      </c>
      <c r="W12" s="7">
        <v>0.1111111111111111</v>
      </c>
      <c r="X12" s="7">
        <v>0.1111111111111111</v>
      </c>
      <c r="Y12" s="7">
        <v>0.1111111111111111</v>
      </c>
      <c r="Z12" s="7">
        <v>0.22222222222222221</v>
      </c>
      <c r="AA12" s="7">
        <v>0.11</v>
      </c>
      <c r="AB12" s="7">
        <v>1</v>
      </c>
      <c r="AC12" s="7">
        <v>0.27272727272727271</v>
      </c>
      <c r="AD12" s="7">
        <v>0.27272727272727271</v>
      </c>
      <c r="AE12" s="7">
        <v>9.0909090909090912E-2</v>
      </c>
      <c r="AF12" s="7">
        <v>0.18181818181818185</v>
      </c>
      <c r="AG12" s="7">
        <v>0.18181818181818185</v>
      </c>
      <c r="AH12" s="7">
        <v>0.36999999999999983</v>
      </c>
      <c r="AI12" s="7">
        <v>0.99999999999999956</v>
      </c>
      <c r="AJ12" s="7">
        <v>5.4054054054054029E-2</v>
      </c>
      <c r="AK12" s="7">
        <v>5.4054054054054029E-2</v>
      </c>
      <c r="AL12" s="7">
        <v>2.7027027027027015E-2</v>
      </c>
      <c r="AM12" s="7">
        <v>8.1081081081081058E-2</v>
      </c>
      <c r="AN12" s="7">
        <v>8.1081081081081058E-2</v>
      </c>
      <c r="AO12" s="7">
        <v>6.7567567567567557E-2</v>
      </c>
      <c r="AP12" s="7">
        <v>5.4054054054054029E-2</v>
      </c>
      <c r="AQ12" s="7">
        <v>1.3513513513513507E-2</v>
      </c>
      <c r="AR12" s="7">
        <v>4.0540540540540529E-2</v>
      </c>
      <c r="AS12" s="7">
        <v>1.3513513513513507E-2</v>
      </c>
      <c r="AT12" s="7">
        <v>8.1081081081081058E-2</v>
      </c>
      <c r="AU12" s="7">
        <v>5.4054054054054029E-2</v>
      </c>
      <c r="AV12" s="7">
        <v>2.7027027027027015E-2</v>
      </c>
      <c r="AW12" s="7">
        <v>5.4054054054054029E-2</v>
      </c>
      <c r="AX12" s="7">
        <v>5.4054054054054029E-2</v>
      </c>
      <c r="AY12" s="7">
        <v>2.7027027027027015E-2</v>
      </c>
      <c r="AZ12" s="7">
        <v>4.0540540540540529E-2</v>
      </c>
      <c r="BA12" s="7">
        <v>5.4054054054054029E-2</v>
      </c>
      <c r="BB12" s="7">
        <v>8.1081081081081058E-2</v>
      </c>
      <c r="BC12" s="7">
        <v>1.3513513513513507E-2</v>
      </c>
      <c r="BD12">
        <v>2.7027027027027015E-2</v>
      </c>
      <c r="BE12">
        <v>31.32</v>
      </c>
      <c r="BF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2" s="42">
        <f>+IF(AVANCE[[#This Row],[FECHA INICIO REAL]]="","",AVANCE[[#This Row],[FECHA INICIO REAL]]-AVANCE[[#This Row],[FECHA INICIO TEORICO]])</f>
        <v>0</v>
      </c>
      <c r="BH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3" spans="1:61" x14ac:dyDescent="0.25">
      <c r="A13" t="s">
        <v>832</v>
      </c>
      <c r="B13" t="s">
        <v>227</v>
      </c>
      <c r="C13">
        <v>2282600012</v>
      </c>
      <c r="D13" t="s">
        <v>833</v>
      </c>
      <c r="E13" s="4">
        <v>0.99999999999999989</v>
      </c>
      <c r="F13" s="1">
        <v>46078</v>
      </c>
      <c r="G13" s="1">
        <v>46078</v>
      </c>
      <c r="H13" s="1">
        <v>46162</v>
      </c>
      <c r="I13" s="1">
        <v>46132</v>
      </c>
      <c r="J13" t="s">
        <v>355</v>
      </c>
      <c r="K13" s="1">
        <v>46162</v>
      </c>
      <c r="L13" s="7">
        <v>0.43</v>
      </c>
      <c r="M13" s="7">
        <v>1</v>
      </c>
      <c r="N13" s="7">
        <v>0.27906976744186046</v>
      </c>
      <c r="O13" s="7">
        <v>0.18604651162790695</v>
      </c>
      <c r="P13" s="7">
        <v>0.2558139534883721</v>
      </c>
      <c r="Q13" s="7">
        <v>0.18604651162790695</v>
      </c>
      <c r="R13" s="7">
        <v>9.3023255813953487E-2</v>
      </c>
      <c r="S13" s="7">
        <v>0.09</v>
      </c>
      <c r="T13" s="7">
        <v>1</v>
      </c>
      <c r="U13" s="7">
        <v>0.22222222222222221</v>
      </c>
      <c r="V13" s="7">
        <v>0.22222222222222221</v>
      </c>
      <c r="W13" s="7">
        <v>0.1111111111111111</v>
      </c>
      <c r="X13" s="7">
        <v>0.1111111111111111</v>
      </c>
      <c r="Y13" s="7">
        <v>0.1111111111111111</v>
      </c>
      <c r="Z13" s="7">
        <v>0.22222222222222221</v>
      </c>
      <c r="AA13" s="7">
        <v>0.11</v>
      </c>
      <c r="AB13" s="7">
        <v>1</v>
      </c>
      <c r="AC13" s="7">
        <v>0.27272727272727271</v>
      </c>
      <c r="AD13" s="7">
        <v>0.27272727272727271</v>
      </c>
      <c r="AE13" s="7">
        <v>9.0909090909090912E-2</v>
      </c>
      <c r="AF13" s="7">
        <v>0.18181818181818185</v>
      </c>
      <c r="AG13" s="7">
        <v>0.18181818181818185</v>
      </c>
      <c r="AH13" s="7">
        <v>0.36999999999999983</v>
      </c>
      <c r="AI13" s="7">
        <v>0.99999999999999956</v>
      </c>
      <c r="AJ13" s="7">
        <v>5.4054054054054029E-2</v>
      </c>
      <c r="AK13" s="7">
        <v>5.4054054054054029E-2</v>
      </c>
      <c r="AL13" s="7">
        <v>2.7027027027027015E-2</v>
      </c>
      <c r="AM13" s="7">
        <v>8.1081081081081058E-2</v>
      </c>
      <c r="AN13" s="7">
        <v>8.1081081081081058E-2</v>
      </c>
      <c r="AO13" s="7">
        <v>6.7567567567567557E-2</v>
      </c>
      <c r="AP13" s="7">
        <v>5.4054054054054029E-2</v>
      </c>
      <c r="AQ13" s="7">
        <v>1.3513513513513507E-2</v>
      </c>
      <c r="AR13" s="7">
        <v>4.0540540540540529E-2</v>
      </c>
      <c r="AS13" s="7">
        <v>1.3513513513513507E-2</v>
      </c>
      <c r="AT13" s="7">
        <v>8.1081081081081058E-2</v>
      </c>
      <c r="AU13" s="7">
        <v>5.4054054054054029E-2</v>
      </c>
      <c r="AV13" s="7">
        <v>2.7027027027027015E-2</v>
      </c>
      <c r="AW13" s="7">
        <v>5.4054054054054029E-2</v>
      </c>
      <c r="AX13" s="7">
        <v>5.4054054054054029E-2</v>
      </c>
      <c r="AY13" s="7">
        <v>2.7027027027027015E-2</v>
      </c>
      <c r="AZ13" s="7">
        <v>4.0540540540540529E-2</v>
      </c>
      <c r="BA13" s="7">
        <v>5.4054054054054029E-2</v>
      </c>
      <c r="BB13" s="7">
        <v>8.1081081081081058E-2</v>
      </c>
      <c r="BC13" s="7">
        <v>1.3513513513513507E-2</v>
      </c>
      <c r="BD13">
        <v>2.7027027027027015E-2</v>
      </c>
      <c r="BE13">
        <v>28.87</v>
      </c>
      <c r="BF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3" s="42">
        <f>+IF(AVANCE[[#This Row],[FECHA INICIO REAL]]="","",AVANCE[[#This Row],[FECHA INICIO REAL]]-AVANCE[[#This Row],[FECHA INICIO TEORICO]])</f>
        <v>0</v>
      </c>
      <c r="BH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4" spans="1:61" x14ac:dyDescent="0.25">
      <c r="A14" t="s">
        <v>832</v>
      </c>
      <c r="B14" t="s">
        <v>838</v>
      </c>
      <c r="C14">
        <v>2282600013</v>
      </c>
      <c r="D14" t="s">
        <v>833</v>
      </c>
      <c r="E14" s="4">
        <v>0.99999999999999989</v>
      </c>
      <c r="F14" s="1">
        <v>46078</v>
      </c>
      <c r="G14" s="1">
        <v>46078</v>
      </c>
      <c r="H14" s="1">
        <v>46174</v>
      </c>
      <c r="I14" s="1">
        <v>46154</v>
      </c>
      <c r="J14" t="s">
        <v>355</v>
      </c>
      <c r="K14" s="1">
        <v>46174</v>
      </c>
      <c r="L14" s="7">
        <v>0.43</v>
      </c>
      <c r="M14" s="7">
        <v>1</v>
      </c>
      <c r="N14" s="7">
        <v>0.27906976744186046</v>
      </c>
      <c r="O14" s="7">
        <v>0.18604651162790695</v>
      </c>
      <c r="P14" s="7">
        <v>0.2558139534883721</v>
      </c>
      <c r="Q14" s="7">
        <v>0.18604651162790695</v>
      </c>
      <c r="R14" s="7">
        <v>9.3023255813953487E-2</v>
      </c>
      <c r="S14" s="7">
        <v>0.09</v>
      </c>
      <c r="T14" s="7">
        <v>1</v>
      </c>
      <c r="U14" s="7">
        <v>0.22222222222222221</v>
      </c>
      <c r="V14" s="7">
        <v>0.22222222222222221</v>
      </c>
      <c r="W14" s="7">
        <v>0.1111111111111111</v>
      </c>
      <c r="X14" s="7">
        <v>0.1111111111111111</v>
      </c>
      <c r="Y14" s="7">
        <v>0.1111111111111111</v>
      </c>
      <c r="Z14" s="7">
        <v>0.22222222222222221</v>
      </c>
      <c r="AA14" s="7">
        <v>0.11</v>
      </c>
      <c r="AB14" s="7">
        <v>1</v>
      </c>
      <c r="AC14" s="7">
        <v>0.27272727272727271</v>
      </c>
      <c r="AD14" s="7">
        <v>0.27272727272727271</v>
      </c>
      <c r="AE14" s="7">
        <v>9.0909090909090912E-2</v>
      </c>
      <c r="AF14" s="7">
        <v>0.18181818181818185</v>
      </c>
      <c r="AG14" s="7">
        <v>0.18181818181818185</v>
      </c>
      <c r="AH14" s="7">
        <v>0.36999999999999983</v>
      </c>
      <c r="AI14" s="7">
        <v>0.99999999999999956</v>
      </c>
      <c r="AJ14" s="7">
        <v>5.4054054054054029E-2</v>
      </c>
      <c r="AK14" s="7">
        <v>5.4054054054054029E-2</v>
      </c>
      <c r="AL14" s="7">
        <v>2.7027027027027015E-2</v>
      </c>
      <c r="AM14" s="7">
        <v>8.1081081081081058E-2</v>
      </c>
      <c r="AN14" s="7">
        <v>8.1081081081081058E-2</v>
      </c>
      <c r="AO14" s="7">
        <v>6.7567567567567557E-2</v>
      </c>
      <c r="AP14" s="7">
        <v>5.4054054054054029E-2</v>
      </c>
      <c r="AQ14" s="7">
        <v>1.3513513513513507E-2</v>
      </c>
      <c r="AR14" s="7">
        <v>4.0540540540540529E-2</v>
      </c>
      <c r="AS14" s="7">
        <v>1.3513513513513507E-2</v>
      </c>
      <c r="AT14" s="7">
        <v>8.1081081081081058E-2</v>
      </c>
      <c r="AU14" s="7">
        <v>5.4054054054054029E-2</v>
      </c>
      <c r="AV14" s="7">
        <v>2.7027027027027015E-2</v>
      </c>
      <c r="AW14" s="7">
        <v>5.4054054054054029E-2</v>
      </c>
      <c r="AX14" s="7">
        <v>5.4054054054054029E-2</v>
      </c>
      <c r="AY14" s="7">
        <v>2.7027027027027015E-2</v>
      </c>
      <c r="AZ14" s="7">
        <v>4.0540540540540529E-2</v>
      </c>
      <c r="BA14" s="7">
        <v>5.4054054054054029E-2</v>
      </c>
      <c r="BB14" s="7">
        <v>8.1081081081081058E-2</v>
      </c>
      <c r="BC14" s="7">
        <v>1.3513513513513507E-2</v>
      </c>
      <c r="BD14">
        <v>2.7027027027027015E-2</v>
      </c>
      <c r="BE14">
        <v>28.87</v>
      </c>
      <c r="BF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4" s="42">
        <f>+IF(AVANCE[[#This Row],[FECHA INICIO REAL]]="","",AVANCE[[#This Row],[FECHA INICIO REAL]]-AVANCE[[#This Row],[FECHA INICIO TEORICO]])</f>
        <v>0</v>
      </c>
      <c r="BH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5" spans="1:61" x14ac:dyDescent="0.25">
      <c r="A15" t="s">
        <v>832</v>
      </c>
      <c r="B15" t="s">
        <v>839</v>
      </c>
      <c r="C15">
        <v>2302600014</v>
      </c>
      <c r="D15" t="s">
        <v>834</v>
      </c>
      <c r="E15" s="4">
        <v>0.99999999999999989</v>
      </c>
      <c r="F15" s="1">
        <v>46073</v>
      </c>
      <c r="G15" s="1">
        <v>46073</v>
      </c>
      <c r="H15" s="1">
        <v>46156</v>
      </c>
      <c r="I15" s="1">
        <v>46133</v>
      </c>
      <c r="J15" t="s">
        <v>355</v>
      </c>
      <c r="K15" s="1">
        <v>46156</v>
      </c>
      <c r="L15" s="7">
        <v>0.43</v>
      </c>
      <c r="M15" s="7">
        <v>1</v>
      </c>
      <c r="N15" s="7">
        <v>0.27906976744186046</v>
      </c>
      <c r="O15" s="7">
        <v>0.18604651162790695</v>
      </c>
      <c r="P15" s="7">
        <v>0.2558139534883721</v>
      </c>
      <c r="Q15" s="7">
        <v>0.18604651162790695</v>
      </c>
      <c r="R15" s="7">
        <v>9.3023255813953487E-2</v>
      </c>
      <c r="S15" s="7">
        <v>0.09</v>
      </c>
      <c r="T15" s="7">
        <v>1</v>
      </c>
      <c r="U15" s="7">
        <v>0.22222222222222221</v>
      </c>
      <c r="V15" s="7">
        <v>0.22222222222222221</v>
      </c>
      <c r="W15" s="7">
        <v>0.1111111111111111</v>
      </c>
      <c r="X15" s="7">
        <v>0.1111111111111111</v>
      </c>
      <c r="Y15" s="7">
        <v>0.1111111111111111</v>
      </c>
      <c r="Z15" s="7">
        <v>0.22222222222222221</v>
      </c>
      <c r="AA15" s="7">
        <v>0.11</v>
      </c>
      <c r="AB15" s="7">
        <v>1</v>
      </c>
      <c r="AC15" s="7">
        <v>0.27272727272727271</v>
      </c>
      <c r="AD15" s="7">
        <v>0.27272727272727271</v>
      </c>
      <c r="AE15" s="7">
        <v>9.0909090909090912E-2</v>
      </c>
      <c r="AF15" s="7">
        <v>0.18181818181818185</v>
      </c>
      <c r="AG15" s="7">
        <v>0.18181818181818185</v>
      </c>
      <c r="AH15" s="7">
        <v>0.36999999999999983</v>
      </c>
      <c r="AI15" s="7">
        <v>0.99999999999999956</v>
      </c>
      <c r="AJ15" s="7">
        <v>5.4054054054054029E-2</v>
      </c>
      <c r="AK15" s="7">
        <v>5.4054054054054029E-2</v>
      </c>
      <c r="AL15" s="7">
        <v>2.7027027027027015E-2</v>
      </c>
      <c r="AM15" s="7">
        <v>8.1081081081081058E-2</v>
      </c>
      <c r="AN15" s="7">
        <v>8.1081081081081058E-2</v>
      </c>
      <c r="AO15" s="7">
        <v>6.7567567567567557E-2</v>
      </c>
      <c r="AP15" s="7">
        <v>5.4054054054054029E-2</v>
      </c>
      <c r="AQ15" s="7">
        <v>1.3513513513513507E-2</v>
      </c>
      <c r="AR15" s="7">
        <v>4.0540540540540529E-2</v>
      </c>
      <c r="AS15" s="7">
        <v>1.3513513513513507E-2</v>
      </c>
      <c r="AT15" s="7">
        <v>8.1081081081081058E-2</v>
      </c>
      <c r="AU15" s="7">
        <v>5.4054054054054029E-2</v>
      </c>
      <c r="AV15" s="7">
        <v>2.7027027027027015E-2</v>
      </c>
      <c r="AW15" s="7">
        <v>5.4054054054054029E-2</v>
      </c>
      <c r="AX15" s="7">
        <v>5.4054054054054029E-2</v>
      </c>
      <c r="AY15" s="7">
        <v>2.7027027027027015E-2</v>
      </c>
      <c r="AZ15" s="7">
        <v>4.0540540540540529E-2</v>
      </c>
      <c r="BA15" s="7">
        <v>5.4054054054054029E-2</v>
      </c>
      <c r="BB15" s="7">
        <v>8.1081081081081058E-2</v>
      </c>
      <c r="BC15" s="7">
        <v>1.3513513513513507E-2</v>
      </c>
      <c r="BD15">
        <v>2.7027027027027015E-2</v>
      </c>
      <c r="BE15">
        <v>31.32</v>
      </c>
      <c r="BF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5" s="42">
        <f>+IF(AVANCE[[#This Row],[FECHA INICIO REAL]]="","",AVANCE[[#This Row],[FECHA INICIO REAL]]-AVANCE[[#This Row],[FECHA INICIO TEORICO]])</f>
        <v>0</v>
      </c>
      <c r="BH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6" spans="1:61" x14ac:dyDescent="0.25">
      <c r="A16" t="s">
        <v>832</v>
      </c>
      <c r="B16" t="s">
        <v>840</v>
      </c>
      <c r="C16">
        <v>2302600015</v>
      </c>
      <c r="D16" t="s">
        <v>834</v>
      </c>
      <c r="E16" s="4">
        <v>0.99999999999999989</v>
      </c>
      <c r="F16" s="1">
        <v>46072</v>
      </c>
      <c r="G16" s="1">
        <v>46072</v>
      </c>
      <c r="H16" s="1">
        <v>46157</v>
      </c>
      <c r="I16" s="1">
        <v>46129</v>
      </c>
      <c r="J16" t="s">
        <v>355</v>
      </c>
      <c r="K16" s="1">
        <v>46157</v>
      </c>
      <c r="L16" s="7">
        <v>0.43</v>
      </c>
      <c r="M16" s="7">
        <v>1</v>
      </c>
      <c r="N16" s="7">
        <v>0.27906976744186046</v>
      </c>
      <c r="O16" s="7">
        <v>0.18604651162790695</v>
      </c>
      <c r="P16" s="7">
        <v>0.2558139534883721</v>
      </c>
      <c r="Q16" s="7">
        <v>0.18604651162790695</v>
      </c>
      <c r="R16" s="7">
        <v>9.3023255813953487E-2</v>
      </c>
      <c r="S16" s="7">
        <v>0.09</v>
      </c>
      <c r="T16" s="7">
        <v>1</v>
      </c>
      <c r="U16" s="7">
        <v>0.22222222222222221</v>
      </c>
      <c r="V16" s="7">
        <v>0.22222222222222221</v>
      </c>
      <c r="W16" s="7">
        <v>0.1111111111111111</v>
      </c>
      <c r="X16" s="7">
        <v>0.1111111111111111</v>
      </c>
      <c r="Y16" s="7">
        <v>0.1111111111111111</v>
      </c>
      <c r="Z16" s="7">
        <v>0.22222222222222221</v>
      </c>
      <c r="AA16" s="7">
        <v>0.11</v>
      </c>
      <c r="AB16" s="7">
        <v>1</v>
      </c>
      <c r="AC16" s="7">
        <v>0.27272727272727271</v>
      </c>
      <c r="AD16" s="7">
        <v>0.27272727272727271</v>
      </c>
      <c r="AE16" s="7">
        <v>9.0909090909090912E-2</v>
      </c>
      <c r="AF16" s="7">
        <v>0.18181818181818185</v>
      </c>
      <c r="AG16" s="7">
        <v>0.18181818181818185</v>
      </c>
      <c r="AH16" s="7">
        <v>0.36999999999999983</v>
      </c>
      <c r="AI16" s="7">
        <v>0.99999999999999956</v>
      </c>
      <c r="AJ16" s="7">
        <v>5.4054054054054029E-2</v>
      </c>
      <c r="AK16" s="7">
        <v>5.4054054054054029E-2</v>
      </c>
      <c r="AL16" s="7">
        <v>2.7027027027027015E-2</v>
      </c>
      <c r="AM16" s="7">
        <v>8.1081081081081058E-2</v>
      </c>
      <c r="AN16" s="7">
        <v>8.1081081081081058E-2</v>
      </c>
      <c r="AO16" s="7">
        <v>6.7567567567567557E-2</v>
      </c>
      <c r="AP16" s="7">
        <v>5.4054054054054029E-2</v>
      </c>
      <c r="AQ16" s="7">
        <v>1.3513513513513507E-2</v>
      </c>
      <c r="AR16" s="7">
        <v>4.0540540540540529E-2</v>
      </c>
      <c r="AS16" s="7">
        <v>1.3513513513513507E-2</v>
      </c>
      <c r="AT16" s="7">
        <v>8.1081081081081058E-2</v>
      </c>
      <c r="AU16" s="7">
        <v>5.4054054054054029E-2</v>
      </c>
      <c r="AV16" s="7">
        <v>2.7027027027027015E-2</v>
      </c>
      <c r="AW16" s="7">
        <v>5.4054054054054029E-2</v>
      </c>
      <c r="AX16" s="7">
        <v>5.4054054054054029E-2</v>
      </c>
      <c r="AY16" s="7">
        <v>2.7027027027027015E-2</v>
      </c>
      <c r="AZ16" s="7">
        <v>4.0540540540540529E-2</v>
      </c>
      <c r="BA16" s="7">
        <v>5.4054054054054029E-2</v>
      </c>
      <c r="BB16" s="7">
        <v>8.1081081081081058E-2</v>
      </c>
      <c r="BC16" s="7">
        <v>1.3513513513513507E-2</v>
      </c>
      <c r="BD16">
        <v>2.7027027027027015E-2</v>
      </c>
      <c r="BE16">
        <v>31.32</v>
      </c>
      <c r="BF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6" s="42">
        <f>+IF(AVANCE[[#This Row],[FECHA INICIO REAL]]="","",AVANCE[[#This Row],[FECHA INICIO REAL]]-AVANCE[[#This Row],[FECHA INICIO TEORICO]])</f>
        <v>0</v>
      </c>
      <c r="BH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7" spans="1:61" x14ac:dyDescent="0.25">
      <c r="A17" t="s">
        <v>832</v>
      </c>
      <c r="B17" t="s">
        <v>841</v>
      </c>
      <c r="C17">
        <v>2282600016</v>
      </c>
      <c r="D17" t="s">
        <v>833</v>
      </c>
      <c r="E17" s="4">
        <v>0.99999999999999989</v>
      </c>
      <c r="F17" s="1">
        <v>46076</v>
      </c>
      <c r="G17" s="1">
        <v>46076</v>
      </c>
      <c r="H17" s="1">
        <v>46181</v>
      </c>
      <c r="I17" s="1">
        <v>46146</v>
      </c>
      <c r="J17" t="s">
        <v>355</v>
      </c>
      <c r="K17" s="1">
        <v>46181</v>
      </c>
      <c r="L17" s="7">
        <v>0.43</v>
      </c>
      <c r="M17" s="7">
        <v>1</v>
      </c>
      <c r="N17" s="7">
        <v>0.27906976744186046</v>
      </c>
      <c r="O17" s="7">
        <v>0.18604651162790695</v>
      </c>
      <c r="P17" s="7">
        <v>0.2558139534883721</v>
      </c>
      <c r="Q17" s="7">
        <v>0.18604651162790695</v>
      </c>
      <c r="R17" s="7">
        <v>9.3023255813953487E-2</v>
      </c>
      <c r="S17" s="7">
        <v>0.09</v>
      </c>
      <c r="T17" s="7">
        <v>1</v>
      </c>
      <c r="U17" s="7">
        <v>0.22222222222222221</v>
      </c>
      <c r="V17" s="7">
        <v>0.22222222222222221</v>
      </c>
      <c r="W17" s="7">
        <v>0.1111111111111111</v>
      </c>
      <c r="X17" s="7">
        <v>0.1111111111111111</v>
      </c>
      <c r="Y17" s="7">
        <v>0.1111111111111111</v>
      </c>
      <c r="Z17" s="7">
        <v>0.22222222222222221</v>
      </c>
      <c r="AA17" s="7">
        <v>0.11</v>
      </c>
      <c r="AB17" s="7">
        <v>1</v>
      </c>
      <c r="AC17" s="7">
        <v>0.27272727272727271</v>
      </c>
      <c r="AD17" s="7">
        <v>0.27272727272727271</v>
      </c>
      <c r="AE17" s="7">
        <v>9.0909090909090912E-2</v>
      </c>
      <c r="AF17" s="7">
        <v>0.18181818181818185</v>
      </c>
      <c r="AG17" s="7">
        <v>0.18181818181818185</v>
      </c>
      <c r="AH17" s="7">
        <v>0.36999999999999983</v>
      </c>
      <c r="AI17" s="7">
        <v>0.99999999999999956</v>
      </c>
      <c r="AJ17" s="7">
        <v>5.4054054054054029E-2</v>
      </c>
      <c r="AK17" s="7">
        <v>5.4054054054054029E-2</v>
      </c>
      <c r="AL17" s="7">
        <v>2.7027027027027015E-2</v>
      </c>
      <c r="AM17" s="7">
        <v>8.1081081081081058E-2</v>
      </c>
      <c r="AN17" s="7">
        <v>8.1081081081081058E-2</v>
      </c>
      <c r="AO17" s="7">
        <v>6.7567567567567557E-2</v>
      </c>
      <c r="AP17" s="7">
        <v>5.4054054054054029E-2</v>
      </c>
      <c r="AQ17" s="7">
        <v>1.3513513513513507E-2</v>
      </c>
      <c r="AR17" s="7">
        <v>4.0540540540540529E-2</v>
      </c>
      <c r="AS17" s="7">
        <v>1.3513513513513507E-2</v>
      </c>
      <c r="AT17" s="7">
        <v>8.1081081081081058E-2</v>
      </c>
      <c r="AU17" s="7">
        <v>5.4054054054054029E-2</v>
      </c>
      <c r="AV17" s="7">
        <v>2.7027027027027015E-2</v>
      </c>
      <c r="AW17" s="7">
        <v>5.4054054054054029E-2</v>
      </c>
      <c r="AX17" s="7">
        <v>5.4054054054054029E-2</v>
      </c>
      <c r="AY17" s="7">
        <v>2.7027027027027015E-2</v>
      </c>
      <c r="AZ17" s="7">
        <v>4.0540540540540529E-2</v>
      </c>
      <c r="BA17" s="7">
        <v>5.4054054054054029E-2</v>
      </c>
      <c r="BB17" s="7">
        <v>8.1081081081081058E-2</v>
      </c>
      <c r="BC17" s="7">
        <v>1.3513513513513507E-2</v>
      </c>
      <c r="BD17">
        <v>2.7027027027027015E-2</v>
      </c>
      <c r="BE17">
        <v>28.87</v>
      </c>
      <c r="BF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7" s="42">
        <f>+IF(AVANCE[[#This Row],[FECHA INICIO REAL]]="","",AVANCE[[#This Row],[FECHA INICIO REAL]]-AVANCE[[#This Row],[FECHA INICIO TEORICO]])</f>
        <v>0</v>
      </c>
      <c r="BH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8" spans="1:61" x14ac:dyDescent="0.25">
      <c r="A18" t="s">
        <v>832</v>
      </c>
      <c r="B18" t="s">
        <v>842</v>
      </c>
      <c r="C18">
        <v>2282600017</v>
      </c>
      <c r="D18" t="s">
        <v>833</v>
      </c>
      <c r="E18" s="4">
        <v>0.99999999999999989</v>
      </c>
      <c r="F18" s="1">
        <v>46079</v>
      </c>
      <c r="G18" s="1">
        <v>46079</v>
      </c>
      <c r="H18" s="1">
        <v>46156</v>
      </c>
      <c r="I18" s="1">
        <v>46132</v>
      </c>
      <c r="J18" t="s">
        <v>355</v>
      </c>
      <c r="K18" s="1">
        <v>46156</v>
      </c>
      <c r="L18" s="7">
        <v>0.43</v>
      </c>
      <c r="M18" s="7">
        <v>1</v>
      </c>
      <c r="N18" s="7">
        <v>0.27906976744186046</v>
      </c>
      <c r="O18" s="7">
        <v>0.18604651162790695</v>
      </c>
      <c r="P18" s="7">
        <v>0.2558139534883721</v>
      </c>
      <c r="Q18" s="7">
        <v>0.18604651162790695</v>
      </c>
      <c r="R18" s="7">
        <v>9.3023255813953487E-2</v>
      </c>
      <c r="S18" s="7">
        <v>0.09</v>
      </c>
      <c r="T18" s="7">
        <v>1</v>
      </c>
      <c r="U18" s="7">
        <v>0.22222222222222221</v>
      </c>
      <c r="V18" s="7">
        <v>0.22222222222222221</v>
      </c>
      <c r="W18" s="7">
        <v>0.1111111111111111</v>
      </c>
      <c r="X18" s="7">
        <v>0.1111111111111111</v>
      </c>
      <c r="Y18" s="7">
        <v>0.1111111111111111</v>
      </c>
      <c r="Z18" s="7">
        <v>0.22222222222222221</v>
      </c>
      <c r="AA18" s="7">
        <v>0.11</v>
      </c>
      <c r="AB18" s="7">
        <v>1</v>
      </c>
      <c r="AC18" s="7">
        <v>0.27272727272727271</v>
      </c>
      <c r="AD18" s="7">
        <v>0.27272727272727271</v>
      </c>
      <c r="AE18" s="7">
        <v>9.0909090909090912E-2</v>
      </c>
      <c r="AF18" s="7">
        <v>0.18181818181818185</v>
      </c>
      <c r="AG18" s="7">
        <v>0.18181818181818185</v>
      </c>
      <c r="AH18" s="7">
        <v>0.36999999999999983</v>
      </c>
      <c r="AI18" s="7">
        <v>0.99999999999999956</v>
      </c>
      <c r="AJ18" s="7">
        <v>5.4054054054054029E-2</v>
      </c>
      <c r="AK18" s="7">
        <v>5.4054054054054029E-2</v>
      </c>
      <c r="AL18" s="7">
        <v>2.7027027027027015E-2</v>
      </c>
      <c r="AM18" s="7">
        <v>8.1081081081081058E-2</v>
      </c>
      <c r="AN18" s="7">
        <v>8.1081081081081058E-2</v>
      </c>
      <c r="AO18" s="7">
        <v>6.7567567567567557E-2</v>
      </c>
      <c r="AP18" s="7">
        <v>5.4054054054054029E-2</v>
      </c>
      <c r="AQ18" s="7">
        <v>1.3513513513513507E-2</v>
      </c>
      <c r="AR18" s="7">
        <v>4.0540540540540529E-2</v>
      </c>
      <c r="AS18" s="7">
        <v>1.3513513513513507E-2</v>
      </c>
      <c r="AT18" s="7">
        <v>8.1081081081081058E-2</v>
      </c>
      <c r="AU18" s="7">
        <v>5.4054054054054029E-2</v>
      </c>
      <c r="AV18" s="7">
        <v>2.7027027027027015E-2</v>
      </c>
      <c r="AW18" s="7">
        <v>5.4054054054054029E-2</v>
      </c>
      <c r="AX18" s="7">
        <v>5.4054054054054029E-2</v>
      </c>
      <c r="AY18" s="7">
        <v>2.7027027027027015E-2</v>
      </c>
      <c r="AZ18" s="7">
        <v>4.0540540540540529E-2</v>
      </c>
      <c r="BA18" s="7">
        <v>5.4054054054054029E-2</v>
      </c>
      <c r="BB18" s="7">
        <v>8.1081081081081058E-2</v>
      </c>
      <c r="BC18" s="7">
        <v>1.3513513513513507E-2</v>
      </c>
      <c r="BD18">
        <v>2.7027027027027015E-2</v>
      </c>
      <c r="BE18">
        <v>28.87</v>
      </c>
      <c r="BF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8" s="42">
        <f>+IF(AVANCE[[#This Row],[FECHA INICIO REAL]]="","",AVANCE[[#This Row],[FECHA INICIO REAL]]-AVANCE[[#This Row],[FECHA INICIO TEORICO]])</f>
        <v>0</v>
      </c>
      <c r="BH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9" spans="1:61" x14ac:dyDescent="0.25">
      <c r="A19" t="s">
        <v>832</v>
      </c>
      <c r="B19" t="s">
        <v>843</v>
      </c>
      <c r="C19">
        <v>2302600018</v>
      </c>
      <c r="D19" t="s">
        <v>834</v>
      </c>
      <c r="E19" s="4">
        <v>0.99999999999999989</v>
      </c>
      <c r="F19" s="1">
        <v>46087</v>
      </c>
      <c r="G19" s="1">
        <v>46087</v>
      </c>
      <c r="H19" s="1">
        <v>46157</v>
      </c>
      <c r="I19" s="1">
        <v>46142</v>
      </c>
      <c r="J19" t="s">
        <v>355</v>
      </c>
      <c r="K19" s="1">
        <v>46157</v>
      </c>
      <c r="L19" s="7">
        <v>0.43</v>
      </c>
      <c r="M19" s="7">
        <v>1</v>
      </c>
      <c r="N19" s="7">
        <v>0.27906976744186046</v>
      </c>
      <c r="O19" s="7">
        <v>0.18604651162790695</v>
      </c>
      <c r="P19" s="7">
        <v>0.2558139534883721</v>
      </c>
      <c r="Q19" s="7">
        <v>0.18604651162790695</v>
      </c>
      <c r="R19" s="7">
        <v>9.3023255813953487E-2</v>
      </c>
      <c r="S19" s="7">
        <v>0.09</v>
      </c>
      <c r="T19" s="7">
        <v>1</v>
      </c>
      <c r="U19" s="7">
        <v>0.22222222222222221</v>
      </c>
      <c r="V19" s="7">
        <v>0.22222222222222221</v>
      </c>
      <c r="W19" s="7">
        <v>0.1111111111111111</v>
      </c>
      <c r="X19" s="7">
        <v>0.1111111111111111</v>
      </c>
      <c r="Y19" s="7">
        <v>0.1111111111111111</v>
      </c>
      <c r="Z19" s="7">
        <v>0.22222222222222221</v>
      </c>
      <c r="AA19" s="7">
        <v>0.11</v>
      </c>
      <c r="AB19" s="7">
        <v>1</v>
      </c>
      <c r="AC19" s="7">
        <v>0.27272727272727271</v>
      </c>
      <c r="AD19" s="7">
        <v>0.27272727272727271</v>
      </c>
      <c r="AE19" s="7">
        <v>9.0909090909090912E-2</v>
      </c>
      <c r="AF19" s="7">
        <v>0.18181818181818185</v>
      </c>
      <c r="AG19" s="7">
        <v>0.18181818181818185</v>
      </c>
      <c r="AH19" s="7">
        <v>0.36999999999999983</v>
      </c>
      <c r="AI19" s="7">
        <v>0.99999999999999956</v>
      </c>
      <c r="AJ19" s="7">
        <v>5.4054054054054029E-2</v>
      </c>
      <c r="AK19" s="7">
        <v>5.4054054054054029E-2</v>
      </c>
      <c r="AL19" s="7">
        <v>2.7027027027027015E-2</v>
      </c>
      <c r="AM19" s="7">
        <v>8.1081081081081058E-2</v>
      </c>
      <c r="AN19" s="7">
        <v>8.1081081081081058E-2</v>
      </c>
      <c r="AO19" s="7">
        <v>6.7567567567567557E-2</v>
      </c>
      <c r="AP19" s="7">
        <v>5.4054054054054029E-2</v>
      </c>
      <c r="AQ19" s="7">
        <v>1.3513513513513507E-2</v>
      </c>
      <c r="AR19" s="7">
        <v>4.0540540540540529E-2</v>
      </c>
      <c r="AS19" s="7">
        <v>1.3513513513513507E-2</v>
      </c>
      <c r="AT19" s="7">
        <v>8.1081081081081058E-2</v>
      </c>
      <c r="AU19" s="7">
        <v>5.4054054054054029E-2</v>
      </c>
      <c r="AV19" s="7">
        <v>2.7027027027027015E-2</v>
      </c>
      <c r="AW19" s="7">
        <v>5.4054054054054029E-2</v>
      </c>
      <c r="AX19" s="7">
        <v>5.4054054054054029E-2</v>
      </c>
      <c r="AY19" s="7">
        <v>2.7027027027027015E-2</v>
      </c>
      <c r="AZ19" s="7">
        <v>4.0540540540540529E-2</v>
      </c>
      <c r="BA19" s="7">
        <v>5.4054054054054029E-2</v>
      </c>
      <c r="BB19" s="7">
        <v>8.1081081081081058E-2</v>
      </c>
      <c r="BC19" s="7">
        <v>1.3513513513513507E-2</v>
      </c>
      <c r="BD19">
        <v>2.7027027027027015E-2</v>
      </c>
      <c r="BE19">
        <v>31.32</v>
      </c>
      <c r="BF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9" s="42">
        <f>+IF(AVANCE[[#This Row],[FECHA INICIO REAL]]="","",AVANCE[[#This Row],[FECHA INICIO REAL]]-AVANCE[[#This Row],[FECHA INICIO TEORICO]])</f>
        <v>0</v>
      </c>
      <c r="BH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0" spans="1:61" x14ac:dyDescent="0.25">
      <c r="A20" t="s">
        <v>832</v>
      </c>
      <c r="B20" t="s">
        <v>844</v>
      </c>
      <c r="C20">
        <v>2302600019</v>
      </c>
      <c r="D20" t="s">
        <v>834</v>
      </c>
      <c r="E20" s="4">
        <v>0.99999999999999989</v>
      </c>
      <c r="F20" s="1">
        <v>46090</v>
      </c>
      <c r="G20" s="1">
        <v>46090</v>
      </c>
      <c r="H20" s="1">
        <v>46169</v>
      </c>
      <c r="I20" s="1">
        <v>46149</v>
      </c>
      <c r="J20" t="s">
        <v>355</v>
      </c>
      <c r="K20" s="1">
        <v>46169</v>
      </c>
      <c r="L20" s="7">
        <v>0.43</v>
      </c>
      <c r="M20" s="7">
        <v>1</v>
      </c>
      <c r="N20" s="7">
        <v>0.27906976744186046</v>
      </c>
      <c r="O20" s="7">
        <v>0.18604651162790695</v>
      </c>
      <c r="P20" s="7">
        <v>0.2558139534883721</v>
      </c>
      <c r="Q20" s="7">
        <v>0.18604651162790695</v>
      </c>
      <c r="R20" s="7">
        <v>9.3023255813953487E-2</v>
      </c>
      <c r="S20" s="7">
        <v>0.09</v>
      </c>
      <c r="T20" s="7">
        <v>1</v>
      </c>
      <c r="U20" s="7">
        <v>0.22222222222222221</v>
      </c>
      <c r="V20" s="7">
        <v>0.22222222222222221</v>
      </c>
      <c r="W20" s="7">
        <v>0.1111111111111111</v>
      </c>
      <c r="X20" s="7">
        <v>0.1111111111111111</v>
      </c>
      <c r="Y20" s="7">
        <v>0.1111111111111111</v>
      </c>
      <c r="Z20" s="7">
        <v>0.22222222222222221</v>
      </c>
      <c r="AA20" s="7">
        <v>0.11</v>
      </c>
      <c r="AB20" s="7">
        <v>1</v>
      </c>
      <c r="AC20" s="7">
        <v>0.27272727272727271</v>
      </c>
      <c r="AD20" s="7">
        <v>0.27272727272727271</v>
      </c>
      <c r="AE20" s="7">
        <v>9.0909090909090912E-2</v>
      </c>
      <c r="AF20" s="7">
        <v>0.18181818181818185</v>
      </c>
      <c r="AG20" s="7">
        <v>0.18181818181818185</v>
      </c>
      <c r="AH20" s="7">
        <v>0.36999999999999983</v>
      </c>
      <c r="AI20" s="7">
        <v>0.99999999999999956</v>
      </c>
      <c r="AJ20" s="7">
        <v>5.4054054054054029E-2</v>
      </c>
      <c r="AK20" s="7">
        <v>5.4054054054054029E-2</v>
      </c>
      <c r="AL20" s="7">
        <v>2.7027027027027015E-2</v>
      </c>
      <c r="AM20" s="7">
        <v>8.1081081081081058E-2</v>
      </c>
      <c r="AN20" s="7">
        <v>8.1081081081081058E-2</v>
      </c>
      <c r="AO20" s="7">
        <v>6.7567567567567557E-2</v>
      </c>
      <c r="AP20" s="7">
        <v>5.4054054054054029E-2</v>
      </c>
      <c r="AQ20" s="7">
        <v>1.3513513513513507E-2</v>
      </c>
      <c r="AR20" s="7">
        <v>4.0540540540540529E-2</v>
      </c>
      <c r="AS20" s="7">
        <v>1.3513513513513507E-2</v>
      </c>
      <c r="AT20" s="7">
        <v>8.1081081081081058E-2</v>
      </c>
      <c r="AU20" s="7">
        <v>5.4054054054054029E-2</v>
      </c>
      <c r="AV20" s="7">
        <v>2.7027027027027015E-2</v>
      </c>
      <c r="AW20" s="7">
        <v>5.4054054054054029E-2</v>
      </c>
      <c r="AX20" s="7">
        <v>5.4054054054054029E-2</v>
      </c>
      <c r="AY20" s="7">
        <v>2.7027027027027015E-2</v>
      </c>
      <c r="AZ20" s="7">
        <v>4.0540540540540529E-2</v>
      </c>
      <c r="BA20" s="7">
        <v>5.4054054054054029E-2</v>
      </c>
      <c r="BB20" s="7">
        <v>8.1081081081081058E-2</v>
      </c>
      <c r="BC20" s="7">
        <v>1.3513513513513507E-2</v>
      </c>
      <c r="BD20">
        <v>2.7027027027027015E-2</v>
      </c>
      <c r="BE20">
        <v>31.32</v>
      </c>
      <c r="BF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0" s="42">
        <f>+IF(AVANCE[[#This Row],[FECHA INICIO REAL]]="","",AVANCE[[#This Row],[FECHA INICIO REAL]]-AVANCE[[#This Row],[FECHA INICIO TEORICO]])</f>
        <v>0</v>
      </c>
      <c r="BH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1" spans="1:61" x14ac:dyDescent="0.25">
      <c r="A21" t="s">
        <v>832</v>
      </c>
      <c r="B21" t="s">
        <v>845</v>
      </c>
      <c r="C21">
        <v>2282600020</v>
      </c>
      <c r="D21" t="s">
        <v>833</v>
      </c>
      <c r="E21" s="4">
        <v>0.99999999999999989</v>
      </c>
      <c r="F21" s="1">
        <v>46080</v>
      </c>
      <c r="G21" s="1">
        <v>46080</v>
      </c>
      <c r="H21" s="1">
        <v>46156</v>
      </c>
      <c r="I21" s="1">
        <v>46139</v>
      </c>
      <c r="J21" t="s">
        <v>355</v>
      </c>
      <c r="K21" s="1">
        <v>46156</v>
      </c>
      <c r="L21" s="7">
        <v>0.43</v>
      </c>
      <c r="M21" s="7">
        <v>1</v>
      </c>
      <c r="N21" s="7">
        <v>0.27906976744186046</v>
      </c>
      <c r="O21" s="7">
        <v>0.18604651162790695</v>
      </c>
      <c r="P21" s="7">
        <v>0.2558139534883721</v>
      </c>
      <c r="Q21" s="7">
        <v>0.18604651162790695</v>
      </c>
      <c r="R21" s="7">
        <v>9.3023255813953487E-2</v>
      </c>
      <c r="S21" s="7">
        <v>0.09</v>
      </c>
      <c r="T21" s="7">
        <v>1</v>
      </c>
      <c r="U21" s="7">
        <v>0.22222222222222221</v>
      </c>
      <c r="V21" s="7">
        <v>0.22222222222222221</v>
      </c>
      <c r="W21" s="7">
        <v>0.1111111111111111</v>
      </c>
      <c r="X21" s="7">
        <v>0.1111111111111111</v>
      </c>
      <c r="Y21" s="7">
        <v>0.1111111111111111</v>
      </c>
      <c r="Z21" s="7">
        <v>0.22222222222222221</v>
      </c>
      <c r="AA21" s="7">
        <v>0.11</v>
      </c>
      <c r="AB21" s="7">
        <v>1</v>
      </c>
      <c r="AC21" s="7">
        <v>0.27272727272727271</v>
      </c>
      <c r="AD21" s="7">
        <v>0.27272727272727271</v>
      </c>
      <c r="AE21" s="7">
        <v>9.0909090909090912E-2</v>
      </c>
      <c r="AF21" s="7">
        <v>0.18181818181818185</v>
      </c>
      <c r="AG21" s="7">
        <v>0.18181818181818185</v>
      </c>
      <c r="AH21" s="7">
        <v>0.36999999999999983</v>
      </c>
      <c r="AI21" s="7">
        <v>0.99999999999999956</v>
      </c>
      <c r="AJ21" s="7">
        <v>5.4054054054054029E-2</v>
      </c>
      <c r="AK21" s="7">
        <v>5.4054054054054029E-2</v>
      </c>
      <c r="AL21" s="7">
        <v>2.7027027027027015E-2</v>
      </c>
      <c r="AM21" s="7">
        <v>8.1081081081081058E-2</v>
      </c>
      <c r="AN21" s="7">
        <v>8.1081081081081058E-2</v>
      </c>
      <c r="AO21" s="7">
        <v>6.7567567567567557E-2</v>
      </c>
      <c r="AP21" s="7">
        <v>5.4054054054054029E-2</v>
      </c>
      <c r="AQ21" s="7">
        <v>1.3513513513513507E-2</v>
      </c>
      <c r="AR21" s="7">
        <v>4.0540540540540529E-2</v>
      </c>
      <c r="AS21" s="7">
        <v>1.3513513513513507E-2</v>
      </c>
      <c r="AT21" s="7">
        <v>8.1081081081081058E-2</v>
      </c>
      <c r="AU21" s="7">
        <v>5.4054054054054029E-2</v>
      </c>
      <c r="AV21" s="7">
        <v>2.7027027027027015E-2</v>
      </c>
      <c r="AW21" s="7">
        <v>5.4054054054054029E-2</v>
      </c>
      <c r="AX21" s="7">
        <v>5.4054054054054029E-2</v>
      </c>
      <c r="AY21" s="7">
        <v>2.7027027027027015E-2</v>
      </c>
      <c r="AZ21" s="7">
        <v>4.0540540540540529E-2</v>
      </c>
      <c r="BA21" s="7">
        <v>5.4054054054054029E-2</v>
      </c>
      <c r="BB21" s="7">
        <v>8.1081081081081058E-2</v>
      </c>
      <c r="BC21" s="7">
        <v>1.3513513513513507E-2</v>
      </c>
      <c r="BD21">
        <v>2.7027027027027015E-2</v>
      </c>
      <c r="BE21">
        <v>28.87</v>
      </c>
      <c r="BF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1" s="42">
        <f>+IF(AVANCE[[#This Row],[FECHA INICIO REAL]]="","",AVANCE[[#This Row],[FECHA INICIO REAL]]-AVANCE[[#This Row],[FECHA INICIO TEORICO]])</f>
        <v>0</v>
      </c>
      <c r="BH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2" spans="1:61" x14ac:dyDescent="0.25">
      <c r="A22" t="s">
        <v>832</v>
      </c>
      <c r="B22" t="s">
        <v>846</v>
      </c>
      <c r="C22">
        <v>2282600021</v>
      </c>
      <c r="D22" t="s">
        <v>833</v>
      </c>
      <c r="E22" s="4">
        <v>0.99999999999999989</v>
      </c>
      <c r="F22" s="1">
        <v>46085</v>
      </c>
      <c r="G22" s="1">
        <v>46085</v>
      </c>
      <c r="H22" s="1">
        <v>46161</v>
      </c>
      <c r="I22" s="1">
        <v>46133</v>
      </c>
      <c r="J22" t="s">
        <v>355</v>
      </c>
      <c r="K22" s="1">
        <v>46161</v>
      </c>
      <c r="L22" s="7">
        <v>0.43</v>
      </c>
      <c r="M22" s="7">
        <v>1</v>
      </c>
      <c r="N22" s="7">
        <v>0.27906976744186046</v>
      </c>
      <c r="O22" s="7">
        <v>0.18604651162790695</v>
      </c>
      <c r="P22" s="7">
        <v>0.2558139534883721</v>
      </c>
      <c r="Q22" s="7">
        <v>0.18604651162790695</v>
      </c>
      <c r="R22" s="7">
        <v>9.3023255813953487E-2</v>
      </c>
      <c r="S22" s="7">
        <v>0.09</v>
      </c>
      <c r="T22" s="7">
        <v>1</v>
      </c>
      <c r="U22" s="7">
        <v>0.22222222222222221</v>
      </c>
      <c r="V22" s="7">
        <v>0.22222222222222221</v>
      </c>
      <c r="W22" s="7">
        <v>0.1111111111111111</v>
      </c>
      <c r="X22" s="7">
        <v>0.1111111111111111</v>
      </c>
      <c r="Y22" s="7">
        <v>0.1111111111111111</v>
      </c>
      <c r="Z22" s="7">
        <v>0.22222222222222221</v>
      </c>
      <c r="AA22" s="7">
        <v>0.11</v>
      </c>
      <c r="AB22" s="7">
        <v>1</v>
      </c>
      <c r="AC22" s="7">
        <v>0.27272727272727271</v>
      </c>
      <c r="AD22" s="7">
        <v>0.27272727272727271</v>
      </c>
      <c r="AE22" s="7">
        <v>9.0909090909090912E-2</v>
      </c>
      <c r="AF22" s="7">
        <v>0.18181818181818185</v>
      </c>
      <c r="AG22" s="7">
        <v>0.18181818181818185</v>
      </c>
      <c r="AH22" s="7">
        <v>0.36999999999999983</v>
      </c>
      <c r="AI22" s="7">
        <v>0.99999999999999956</v>
      </c>
      <c r="AJ22" s="7">
        <v>5.4054054054054029E-2</v>
      </c>
      <c r="AK22" s="7">
        <v>5.4054054054054029E-2</v>
      </c>
      <c r="AL22" s="7">
        <v>2.7027027027027015E-2</v>
      </c>
      <c r="AM22" s="7">
        <v>8.1081081081081058E-2</v>
      </c>
      <c r="AN22" s="7">
        <v>8.1081081081081058E-2</v>
      </c>
      <c r="AO22" s="7">
        <v>6.7567567567567557E-2</v>
      </c>
      <c r="AP22" s="7">
        <v>5.4054054054054029E-2</v>
      </c>
      <c r="AQ22" s="7">
        <v>1.3513513513513507E-2</v>
      </c>
      <c r="AR22" s="7">
        <v>4.0540540540540529E-2</v>
      </c>
      <c r="AS22" s="7">
        <v>1.3513513513513507E-2</v>
      </c>
      <c r="AT22" s="7">
        <v>8.1081081081081058E-2</v>
      </c>
      <c r="AU22" s="7">
        <v>5.4054054054054029E-2</v>
      </c>
      <c r="AV22" s="7">
        <v>2.7027027027027015E-2</v>
      </c>
      <c r="AW22" s="7">
        <v>5.4054054054054029E-2</v>
      </c>
      <c r="AX22" s="7">
        <v>5.4054054054054029E-2</v>
      </c>
      <c r="AY22" s="7">
        <v>2.7027027027027015E-2</v>
      </c>
      <c r="AZ22" s="7">
        <v>4.0540540540540529E-2</v>
      </c>
      <c r="BA22" s="7">
        <v>5.4054054054054029E-2</v>
      </c>
      <c r="BB22" s="7">
        <v>8.1081081081081058E-2</v>
      </c>
      <c r="BC22" s="7">
        <v>1.3513513513513507E-2</v>
      </c>
      <c r="BD22">
        <v>2.7027027027027015E-2</v>
      </c>
      <c r="BE22">
        <v>28.87</v>
      </c>
      <c r="BF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2" s="42">
        <f>+IF(AVANCE[[#This Row],[FECHA INICIO REAL]]="","",AVANCE[[#This Row],[FECHA INICIO REAL]]-AVANCE[[#This Row],[FECHA INICIO TEORICO]])</f>
        <v>0</v>
      </c>
      <c r="BH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3" spans="1:61" x14ac:dyDescent="0.25">
      <c r="A23" t="s">
        <v>832</v>
      </c>
      <c r="B23" t="s">
        <v>847</v>
      </c>
      <c r="C23">
        <v>2302600022</v>
      </c>
      <c r="D23" t="s">
        <v>834</v>
      </c>
      <c r="E23" s="4">
        <v>0.99999999999999989</v>
      </c>
      <c r="F23" s="1">
        <v>46091</v>
      </c>
      <c r="G23" s="1">
        <v>46091</v>
      </c>
      <c r="H23" s="1">
        <v>46181</v>
      </c>
      <c r="I23" s="1">
        <v>46150</v>
      </c>
      <c r="J23" t="s">
        <v>355</v>
      </c>
      <c r="K23" s="1">
        <v>46181</v>
      </c>
      <c r="L23" s="7">
        <v>0.43</v>
      </c>
      <c r="M23" s="7">
        <v>1</v>
      </c>
      <c r="N23" s="7">
        <v>0.27906976744186046</v>
      </c>
      <c r="O23" s="7">
        <v>0.18604651162790695</v>
      </c>
      <c r="P23" s="7">
        <v>0.2558139534883721</v>
      </c>
      <c r="Q23" s="7">
        <v>0.18604651162790695</v>
      </c>
      <c r="R23" s="7">
        <v>9.3023255813953487E-2</v>
      </c>
      <c r="S23" s="7">
        <v>0.09</v>
      </c>
      <c r="T23" s="7">
        <v>1</v>
      </c>
      <c r="U23" s="7">
        <v>0.22222222222222221</v>
      </c>
      <c r="V23" s="7">
        <v>0.22222222222222221</v>
      </c>
      <c r="W23" s="7">
        <v>0.1111111111111111</v>
      </c>
      <c r="X23" s="7">
        <v>0.1111111111111111</v>
      </c>
      <c r="Y23" s="7">
        <v>0.1111111111111111</v>
      </c>
      <c r="Z23" s="7">
        <v>0.22222222222222221</v>
      </c>
      <c r="AA23" s="7">
        <v>0.11</v>
      </c>
      <c r="AB23" s="7">
        <v>1</v>
      </c>
      <c r="AC23" s="7">
        <v>0.27272727272727271</v>
      </c>
      <c r="AD23" s="7">
        <v>0.27272727272727271</v>
      </c>
      <c r="AE23" s="7">
        <v>9.0909090909090912E-2</v>
      </c>
      <c r="AF23" s="7">
        <v>0.18181818181818185</v>
      </c>
      <c r="AG23" s="7">
        <v>0.18181818181818185</v>
      </c>
      <c r="AH23" s="7">
        <v>0.36999999999999983</v>
      </c>
      <c r="AI23" s="7">
        <v>0.99999999999999956</v>
      </c>
      <c r="AJ23" s="7">
        <v>5.4054054054054029E-2</v>
      </c>
      <c r="AK23" s="7">
        <v>5.4054054054054029E-2</v>
      </c>
      <c r="AL23" s="7">
        <v>2.7027027027027015E-2</v>
      </c>
      <c r="AM23" s="7">
        <v>8.1081081081081058E-2</v>
      </c>
      <c r="AN23" s="7">
        <v>8.1081081081081058E-2</v>
      </c>
      <c r="AO23" s="7">
        <v>6.7567567567567557E-2</v>
      </c>
      <c r="AP23" s="7">
        <v>5.4054054054054029E-2</v>
      </c>
      <c r="AQ23" s="7">
        <v>1.3513513513513507E-2</v>
      </c>
      <c r="AR23" s="7">
        <v>4.0540540540540529E-2</v>
      </c>
      <c r="AS23" s="7">
        <v>1.3513513513513507E-2</v>
      </c>
      <c r="AT23" s="7">
        <v>8.1081081081081058E-2</v>
      </c>
      <c r="AU23" s="7">
        <v>5.4054054054054029E-2</v>
      </c>
      <c r="AV23" s="7">
        <v>2.7027027027027015E-2</v>
      </c>
      <c r="AW23" s="7">
        <v>5.4054054054054029E-2</v>
      </c>
      <c r="AX23" s="7">
        <v>5.4054054054054029E-2</v>
      </c>
      <c r="AY23" s="7">
        <v>2.7027027027027015E-2</v>
      </c>
      <c r="AZ23" s="7">
        <v>4.0540540540540529E-2</v>
      </c>
      <c r="BA23" s="7">
        <v>5.4054054054054029E-2</v>
      </c>
      <c r="BB23" s="7">
        <v>8.1081081081081058E-2</v>
      </c>
      <c r="BC23" s="7">
        <v>1.3513513513513507E-2</v>
      </c>
      <c r="BD23">
        <v>2.7027027027027015E-2</v>
      </c>
      <c r="BE23">
        <v>31.32</v>
      </c>
      <c r="BF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3" s="42">
        <f>+IF(AVANCE[[#This Row],[FECHA INICIO REAL]]="","",AVANCE[[#This Row],[FECHA INICIO REAL]]-AVANCE[[#This Row],[FECHA INICIO TEORICO]])</f>
        <v>0</v>
      </c>
      <c r="BH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4" spans="1:61" x14ac:dyDescent="0.25">
      <c r="A24" t="s">
        <v>832</v>
      </c>
      <c r="B24" t="s">
        <v>848</v>
      </c>
      <c r="C24">
        <v>2302600023</v>
      </c>
      <c r="D24" t="s">
        <v>834</v>
      </c>
      <c r="E24" s="4">
        <v>0.99999999999999989</v>
      </c>
      <c r="F24" s="1">
        <v>46093</v>
      </c>
      <c r="G24" s="1">
        <v>46093</v>
      </c>
      <c r="H24" s="1">
        <v>46182</v>
      </c>
      <c r="I24" s="1">
        <v>46154</v>
      </c>
      <c r="J24" t="s">
        <v>355</v>
      </c>
      <c r="K24" s="1">
        <v>46182</v>
      </c>
      <c r="L24" s="7">
        <v>0.43</v>
      </c>
      <c r="M24" s="7">
        <v>1</v>
      </c>
      <c r="N24" s="7">
        <v>0.27906976744186046</v>
      </c>
      <c r="O24" s="7">
        <v>0.18604651162790695</v>
      </c>
      <c r="P24" s="7">
        <v>0.2558139534883721</v>
      </c>
      <c r="Q24" s="7">
        <v>0.18604651162790695</v>
      </c>
      <c r="R24" s="7">
        <v>9.3023255813953487E-2</v>
      </c>
      <c r="S24" s="7">
        <v>0.09</v>
      </c>
      <c r="T24" s="7">
        <v>1</v>
      </c>
      <c r="U24" s="7">
        <v>0.22222222222222221</v>
      </c>
      <c r="V24" s="7">
        <v>0.22222222222222221</v>
      </c>
      <c r="W24" s="7">
        <v>0.1111111111111111</v>
      </c>
      <c r="X24" s="7">
        <v>0.1111111111111111</v>
      </c>
      <c r="Y24" s="7">
        <v>0.1111111111111111</v>
      </c>
      <c r="Z24" s="7">
        <v>0.22222222222222221</v>
      </c>
      <c r="AA24" s="7">
        <v>0.11</v>
      </c>
      <c r="AB24" s="7">
        <v>1</v>
      </c>
      <c r="AC24" s="7">
        <v>0.27272727272727271</v>
      </c>
      <c r="AD24" s="7">
        <v>0.27272727272727271</v>
      </c>
      <c r="AE24" s="7">
        <v>9.0909090909090912E-2</v>
      </c>
      <c r="AF24" s="7">
        <v>0.18181818181818185</v>
      </c>
      <c r="AG24" s="7">
        <v>0.18181818181818185</v>
      </c>
      <c r="AH24" s="7">
        <v>0.36999999999999983</v>
      </c>
      <c r="AI24" s="7">
        <v>0.99999999999999956</v>
      </c>
      <c r="AJ24" s="7">
        <v>5.4054054054054029E-2</v>
      </c>
      <c r="AK24" s="7">
        <v>5.4054054054054029E-2</v>
      </c>
      <c r="AL24" s="7">
        <v>2.7027027027027015E-2</v>
      </c>
      <c r="AM24" s="7">
        <v>8.1081081081081058E-2</v>
      </c>
      <c r="AN24" s="7">
        <v>8.1081081081081058E-2</v>
      </c>
      <c r="AO24" s="7">
        <v>6.7567567567567557E-2</v>
      </c>
      <c r="AP24" s="7">
        <v>5.4054054054054029E-2</v>
      </c>
      <c r="AQ24" s="7">
        <v>1.3513513513513507E-2</v>
      </c>
      <c r="AR24" s="7">
        <v>4.0540540540540529E-2</v>
      </c>
      <c r="AS24" s="7">
        <v>1.3513513513513507E-2</v>
      </c>
      <c r="AT24" s="7">
        <v>8.1081081081081058E-2</v>
      </c>
      <c r="AU24" s="7">
        <v>5.4054054054054029E-2</v>
      </c>
      <c r="AV24" s="7">
        <v>2.7027027027027015E-2</v>
      </c>
      <c r="AW24" s="7">
        <v>5.4054054054054029E-2</v>
      </c>
      <c r="AX24" s="7">
        <v>5.4054054054054029E-2</v>
      </c>
      <c r="AY24" s="7">
        <v>2.7027027027027015E-2</v>
      </c>
      <c r="AZ24" s="7">
        <v>4.0540540540540529E-2</v>
      </c>
      <c r="BA24" s="7">
        <v>5.4054054054054029E-2</v>
      </c>
      <c r="BB24" s="7">
        <v>8.1081081081081058E-2</v>
      </c>
      <c r="BC24" s="7">
        <v>1.3513513513513507E-2</v>
      </c>
      <c r="BD24">
        <v>2.7027027027027015E-2</v>
      </c>
      <c r="BE24">
        <v>31.32</v>
      </c>
      <c r="BF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4" s="42">
        <f>+IF(AVANCE[[#This Row],[FECHA INICIO REAL]]="","",AVANCE[[#This Row],[FECHA INICIO REAL]]-AVANCE[[#This Row],[FECHA INICIO TEORICO]])</f>
        <v>0</v>
      </c>
      <c r="BH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5" spans="1:61" x14ac:dyDescent="0.25">
      <c r="A25" t="s">
        <v>832</v>
      </c>
      <c r="B25" t="s">
        <v>220</v>
      </c>
      <c r="C25">
        <v>2282600024</v>
      </c>
      <c r="D25" t="s">
        <v>833</v>
      </c>
      <c r="E25" s="4">
        <v>0.99999999999999989</v>
      </c>
      <c r="F25" s="1">
        <v>46086</v>
      </c>
      <c r="G25" s="1">
        <v>46086</v>
      </c>
      <c r="H25" s="1">
        <v>46181</v>
      </c>
      <c r="I25" s="1">
        <v>46148</v>
      </c>
      <c r="J25" t="s">
        <v>355</v>
      </c>
      <c r="K25" s="1">
        <v>46181</v>
      </c>
      <c r="L25" s="7">
        <v>0.43</v>
      </c>
      <c r="M25" s="7">
        <v>1</v>
      </c>
      <c r="N25" s="7">
        <v>0.27906976744186046</v>
      </c>
      <c r="O25" s="7">
        <v>0.18604651162790695</v>
      </c>
      <c r="P25" s="7">
        <v>0.2558139534883721</v>
      </c>
      <c r="Q25" s="7">
        <v>0.18604651162790695</v>
      </c>
      <c r="R25" s="7">
        <v>9.3023255813953487E-2</v>
      </c>
      <c r="S25" s="7">
        <v>0.09</v>
      </c>
      <c r="T25" s="7">
        <v>1</v>
      </c>
      <c r="U25" s="7">
        <v>0.22222222222222221</v>
      </c>
      <c r="V25" s="7">
        <v>0.22222222222222221</v>
      </c>
      <c r="W25" s="7">
        <v>0.1111111111111111</v>
      </c>
      <c r="X25" s="7">
        <v>0.1111111111111111</v>
      </c>
      <c r="Y25" s="7">
        <v>0.1111111111111111</v>
      </c>
      <c r="Z25" s="7">
        <v>0.22222222222222221</v>
      </c>
      <c r="AA25" s="7">
        <v>0.11</v>
      </c>
      <c r="AB25" s="7">
        <v>1</v>
      </c>
      <c r="AC25" s="7">
        <v>0.27272727272727271</v>
      </c>
      <c r="AD25" s="7">
        <v>0.27272727272727271</v>
      </c>
      <c r="AE25" s="7">
        <v>9.0909090909090912E-2</v>
      </c>
      <c r="AF25" s="7">
        <v>0.18181818181818185</v>
      </c>
      <c r="AG25" s="7">
        <v>0.18181818181818185</v>
      </c>
      <c r="AH25" s="7">
        <v>0.36999999999999983</v>
      </c>
      <c r="AI25" s="7">
        <v>0.99999999999999956</v>
      </c>
      <c r="AJ25" s="7">
        <v>5.4054054054054029E-2</v>
      </c>
      <c r="AK25" s="7">
        <v>5.4054054054054029E-2</v>
      </c>
      <c r="AL25" s="7">
        <v>2.7027027027027015E-2</v>
      </c>
      <c r="AM25" s="7">
        <v>8.1081081081081058E-2</v>
      </c>
      <c r="AN25" s="7">
        <v>8.1081081081081058E-2</v>
      </c>
      <c r="AO25" s="7">
        <v>6.7567567567567557E-2</v>
      </c>
      <c r="AP25" s="7">
        <v>5.4054054054054029E-2</v>
      </c>
      <c r="AQ25" s="7">
        <v>1.3513513513513507E-2</v>
      </c>
      <c r="AR25" s="7">
        <v>4.0540540540540529E-2</v>
      </c>
      <c r="AS25" s="7">
        <v>1.3513513513513507E-2</v>
      </c>
      <c r="AT25" s="7">
        <v>8.1081081081081058E-2</v>
      </c>
      <c r="AU25" s="7">
        <v>5.4054054054054029E-2</v>
      </c>
      <c r="AV25" s="7">
        <v>2.7027027027027015E-2</v>
      </c>
      <c r="AW25" s="7">
        <v>5.4054054054054029E-2</v>
      </c>
      <c r="AX25" s="7">
        <v>5.4054054054054029E-2</v>
      </c>
      <c r="AY25" s="7">
        <v>2.7027027027027015E-2</v>
      </c>
      <c r="AZ25" s="7">
        <v>4.0540540540540529E-2</v>
      </c>
      <c r="BA25" s="7">
        <v>5.4054054054054029E-2</v>
      </c>
      <c r="BB25" s="7">
        <v>8.1081081081081058E-2</v>
      </c>
      <c r="BC25" s="7">
        <v>1.3513513513513507E-2</v>
      </c>
      <c r="BD25">
        <v>2.7027027027027015E-2</v>
      </c>
      <c r="BE25">
        <v>28.87</v>
      </c>
      <c r="BF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5" s="42">
        <f>+IF(AVANCE[[#This Row],[FECHA INICIO REAL]]="","",AVANCE[[#This Row],[FECHA INICIO REAL]]-AVANCE[[#This Row],[FECHA INICIO TEORICO]])</f>
        <v>0</v>
      </c>
      <c r="BH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6" spans="1:61" x14ac:dyDescent="0.25">
      <c r="A26" t="s">
        <v>832</v>
      </c>
      <c r="B26" t="s">
        <v>849</v>
      </c>
      <c r="C26">
        <v>2282600025</v>
      </c>
      <c r="D26" t="s">
        <v>833</v>
      </c>
      <c r="E26" s="4">
        <v>0.99999999999999989</v>
      </c>
      <c r="F26" s="1">
        <v>46108</v>
      </c>
      <c r="G26" s="1">
        <v>46108</v>
      </c>
      <c r="H26" s="1">
        <v>46156</v>
      </c>
      <c r="I26" s="1">
        <v>46140</v>
      </c>
      <c r="J26" t="s">
        <v>355</v>
      </c>
      <c r="K26" s="1">
        <v>46156</v>
      </c>
      <c r="L26" s="7">
        <v>0.43</v>
      </c>
      <c r="M26" s="7">
        <v>1</v>
      </c>
      <c r="N26" s="7">
        <v>0.27906976744186046</v>
      </c>
      <c r="O26" s="7">
        <v>0.18604651162790695</v>
      </c>
      <c r="P26" s="7">
        <v>0.2558139534883721</v>
      </c>
      <c r="Q26" s="7">
        <v>0.18604651162790695</v>
      </c>
      <c r="R26" s="7">
        <v>9.3023255813953487E-2</v>
      </c>
      <c r="S26" s="7">
        <v>0.09</v>
      </c>
      <c r="T26" s="7">
        <v>1</v>
      </c>
      <c r="U26" s="7">
        <v>0.22222222222222221</v>
      </c>
      <c r="V26" s="7">
        <v>0.22222222222222221</v>
      </c>
      <c r="W26" s="7">
        <v>0.1111111111111111</v>
      </c>
      <c r="X26" s="7">
        <v>0.1111111111111111</v>
      </c>
      <c r="Y26" s="7">
        <v>0.1111111111111111</v>
      </c>
      <c r="Z26" s="7">
        <v>0.22222222222222221</v>
      </c>
      <c r="AA26" s="7">
        <v>0.11</v>
      </c>
      <c r="AB26" s="7">
        <v>1</v>
      </c>
      <c r="AC26" s="7">
        <v>0.27272727272727271</v>
      </c>
      <c r="AD26" s="7">
        <v>0.27272727272727271</v>
      </c>
      <c r="AE26" s="7">
        <v>9.0909090909090912E-2</v>
      </c>
      <c r="AF26" s="7">
        <v>0.18181818181818185</v>
      </c>
      <c r="AG26" s="7">
        <v>0.18181818181818185</v>
      </c>
      <c r="AH26" s="7">
        <v>0.36999999999999983</v>
      </c>
      <c r="AI26" s="7">
        <v>0.99999999999999956</v>
      </c>
      <c r="AJ26" s="7">
        <v>5.4054054054054029E-2</v>
      </c>
      <c r="AK26" s="7">
        <v>5.4054054054054029E-2</v>
      </c>
      <c r="AL26" s="7">
        <v>2.7027027027027015E-2</v>
      </c>
      <c r="AM26" s="7">
        <v>8.1081081081081058E-2</v>
      </c>
      <c r="AN26" s="7">
        <v>8.1081081081081058E-2</v>
      </c>
      <c r="AO26" s="7">
        <v>6.7567567567567557E-2</v>
      </c>
      <c r="AP26" s="7">
        <v>5.4054054054054029E-2</v>
      </c>
      <c r="AQ26" s="7">
        <v>1.3513513513513507E-2</v>
      </c>
      <c r="AR26" s="7">
        <v>4.0540540540540529E-2</v>
      </c>
      <c r="AS26" s="7">
        <v>1.3513513513513507E-2</v>
      </c>
      <c r="AT26" s="7">
        <v>8.1081081081081058E-2</v>
      </c>
      <c r="AU26" s="7">
        <v>5.4054054054054029E-2</v>
      </c>
      <c r="AV26" s="7">
        <v>2.7027027027027015E-2</v>
      </c>
      <c r="AW26" s="7">
        <v>5.4054054054054029E-2</v>
      </c>
      <c r="AX26" s="7">
        <v>5.4054054054054029E-2</v>
      </c>
      <c r="AY26" s="7">
        <v>2.7027027027027015E-2</v>
      </c>
      <c r="AZ26" s="7">
        <v>4.0540540540540529E-2</v>
      </c>
      <c r="BA26" s="7">
        <v>5.4054054054054029E-2</v>
      </c>
      <c r="BB26" s="7">
        <v>8.1081081081081058E-2</v>
      </c>
      <c r="BC26" s="7">
        <v>1.3513513513513507E-2</v>
      </c>
      <c r="BD26">
        <v>2.7027027027027015E-2</v>
      </c>
      <c r="BE26">
        <v>28.87</v>
      </c>
      <c r="BF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6" s="42">
        <f>+IF(AVANCE[[#This Row],[FECHA INICIO REAL]]="","",AVANCE[[#This Row],[FECHA INICIO REAL]]-AVANCE[[#This Row],[FECHA INICIO TEORICO]])</f>
        <v>0</v>
      </c>
      <c r="BH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7" spans="1:61" x14ac:dyDescent="0.25">
      <c r="A27" t="s">
        <v>832</v>
      </c>
      <c r="B27" t="s">
        <v>850</v>
      </c>
      <c r="C27">
        <v>2302600026</v>
      </c>
      <c r="D27" t="s">
        <v>834</v>
      </c>
      <c r="E27" s="4">
        <v>0.99999999999999989</v>
      </c>
      <c r="F27" s="1">
        <v>46113</v>
      </c>
      <c r="G27" s="1">
        <v>46113</v>
      </c>
      <c r="H27" s="1">
        <v>46162</v>
      </c>
      <c r="I27" s="1">
        <v>46149</v>
      </c>
      <c r="J27" t="s">
        <v>355</v>
      </c>
      <c r="K27" s="1">
        <v>46162</v>
      </c>
      <c r="L27" s="7">
        <v>0.43</v>
      </c>
      <c r="M27" s="7">
        <v>1</v>
      </c>
      <c r="N27" s="7">
        <v>0.27906976744186046</v>
      </c>
      <c r="O27" s="7">
        <v>0.18604651162790695</v>
      </c>
      <c r="P27" s="7">
        <v>0.2558139534883721</v>
      </c>
      <c r="Q27" s="7">
        <v>0.18604651162790695</v>
      </c>
      <c r="R27" s="7">
        <v>9.3023255813953487E-2</v>
      </c>
      <c r="S27" s="7">
        <v>0.09</v>
      </c>
      <c r="T27" s="7">
        <v>1</v>
      </c>
      <c r="U27" s="7">
        <v>0.22222222222222221</v>
      </c>
      <c r="V27" s="7">
        <v>0.22222222222222221</v>
      </c>
      <c r="W27" s="7">
        <v>0.1111111111111111</v>
      </c>
      <c r="X27" s="7">
        <v>0.1111111111111111</v>
      </c>
      <c r="Y27" s="7">
        <v>0.1111111111111111</v>
      </c>
      <c r="Z27" s="7">
        <v>0.22222222222222221</v>
      </c>
      <c r="AA27" s="7">
        <v>0.11</v>
      </c>
      <c r="AB27" s="7">
        <v>1</v>
      </c>
      <c r="AC27" s="7">
        <v>0.27272727272727271</v>
      </c>
      <c r="AD27" s="7">
        <v>0.27272727272727271</v>
      </c>
      <c r="AE27" s="7">
        <v>9.0909090909090912E-2</v>
      </c>
      <c r="AF27" s="7">
        <v>0.18181818181818185</v>
      </c>
      <c r="AG27" s="7">
        <v>0.18181818181818185</v>
      </c>
      <c r="AH27" s="7">
        <v>0.36999999999999983</v>
      </c>
      <c r="AI27" s="7">
        <v>0.99999999999999956</v>
      </c>
      <c r="AJ27" s="7">
        <v>5.4054054054054029E-2</v>
      </c>
      <c r="AK27" s="7">
        <v>5.4054054054054029E-2</v>
      </c>
      <c r="AL27" s="7">
        <v>2.7027027027027015E-2</v>
      </c>
      <c r="AM27" s="7">
        <v>8.1081081081081058E-2</v>
      </c>
      <c r="AN27" s="7">
        <v>8.1081081081081058E-2</v>
      </c>
      <c r="AO27" s="7">
        <v>6.7567567567567557E-2</v>
      </c>
      <c r="AP27" s="7">
        <v>5.4054054054054029E-2</v>
      </c>
      <c r="AQ27" s="7">
        <v>1.3513513513513507E-2</v>
      </c>
      <c r="AR27" s="7">
        <v>4.0540540540540529E-2</v>
      </c>
      <c r="AS27" s="7">
        <v>1.3513513513513507E-2</v>
      </c>
      <c r="AT27" s="7">
        <v>8.1081081081081058E-2</v>
      </c>
      <c r="AU27" s="7">
        <v>5.4054054054054029E-2</v>
      </c>
      <c r="AV27" s="7">
        <v>2.7027027027027015E-2</v>
      </c>
      <c r="AW27" s="7">
        <v>5.4054054054054029E-2</v>
      </c>
      <c r="AX27" s="7">
        <v>5.4054054054054029E-2</v>
      </c>
      <c r="AY27" s="7">
        <v>2.7027027027027015E-2</v>
      </c>
      <c r="AZ27" s="7">
        <v>4.0540540540540529E-2</v>
      </c>
      <c r="BA27" s="7">
        <v>5.4054054054054029E-2</v>
      </c>
      <c r="BB27" s="7">
        <v>8.1081081081081058E-2</v>
      </c>
      <c r="BC27" s="7">
        <v>1.3513513513513507E-2</v>
      </c>
      <c r="BD27">
        <v>2.7027027027027015E-2</v>
      </c>
      <c r="BE27">
        <v>31.32</v>
      </c>
      <c r="BF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7" s="42">
        <f>+IF(AVANCE[[#This Row],[FECHA INICIO REAL]]="","",AVANCE[[#This Row],[FECHA INICIO REAL]]-AVANCE[[#This Row],[FECHA INICIO TEORICO]])</f>
        <v>0</v>
      </c>
      <c r="BH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8" spans="1:61" x14ac:dyDescent="0.25">
      <c r="A28" t="s">
        <v>832</v>
      </c>
      <c r="B28" t="s">
        <v>851</v>
      </c>
      <c r="C28">
        <v>2302600027</v>
      </c>
      <c r="D28" t="s">
        <v>834</v>
      </c>
      <c r="E28" s="4">
        <v>0.99999999999999989</v>
      </c>
      <c r="F28" s="1">
        <v>46111</v>
      </c>
      <c r="G28" s="1">
        <v>46111</v>
      </c>
      <c r="H28" s="1">
        <v>46169</v>
      </c>
      <c r="I28" s="1">
        <v>46150</v>
      </c>
      <c r="J28" t="s">
        <v>355</v>
      </c>
      <c r="K28" s="1">
        <v>46169</v>
      </c>
      <c r="L28" s="7">
        <v>0.43</v>
      </c>
      <c r="M28" s="7">
        <v>1</v>
      </c>
      <c r="N28" s="7">
        <v>0.27906976744186046</v>
      </c>
      <c r="O28" s="7">
        <v>0.18604651162790695</v>
      </c>
      <c r="P28" s="7">
        <v>0.2558139534883721</v>
      </c>
      <c r="Q28" s="7">
        <v>0.18604651162790695</v>
      </c>
      <c r="R28" s="7">
        <v>9.3023255813953487E-2</v>
      </c>
      <c r="S28" s="7">
        <v>0.09</v>
      </c>
      <c r="T28" s="7">
        <v>1</v>
      </c>
      <c r="U28" s="7">
        <v>0.22222222222222221</v>
      </c>
      <c r="V28" s="7">
        <v>0.22222222222222221</v>
      </c>
      <c r="W28" s="7">
        <v>0.1111111111111111</v>
      </c>
      <c r="X28" s="7">
        <v>0.1111111111111111</v>
      </c>
      <c r="Y28" s="7">
        <v>0.1111111111111111</v>
      </c>
      <c r="Z28" s="7">
        <v>0.22222222222222221</v>
      </c>
      <c r="AA28" s="7">
        <v>0.11</v>
      </c>
      <c r="AB28" s="7">
        <v>1</v>
      </c>
      <c r="AC28" s="7">
        <v>0.27272727272727271</v>
      </c>
      <c r="AD28" s="7">
        <v>0.27272727272727271</v>
      </c>
      <c r="AE28" s="7">
        <v>9.0909090909090912E-2</v>
      </c>
      <c r="AF28" s="7">
        <v>0.18181818181818185</v>
      </c>
      <c r="AG28" s="7">
        <v>0.18181818181818185</v>
      </c>
      <c r="AH28" s="7">
        <v>0.36999999999999983</v>
      </c>
      <c r="AI28" s="7">
        <v>0.99999999999999956</v>
      </c>
      <c r="AJ28" s="7">
        <v>5.4054054054054029E-2</v>
      </c>
      <c r="AK28" s="7">
        <v>5.4054054054054029E-2</v>
      </c>
      <c r="AL28" s="7">
        <v>2.7027027027027015E-2</v>
      </c>
      <c r="AM28" s="7">
        <v>8.1081081081081058E-2</v>
      </c>
      <c r="AN28" s="7">
        <v>8.1081081081081058E-2</v>
      </c>
      <c r="AO28" s="7">
        <v>6.7567567567567557E-2</v>
      </c>
      <c r="AP28" s="7">
        <v>5.4054054054054029E-2</v>
      </c>
      <c r="AQ28" s="7">
        <v>1.3513513513513507E-2</v>
      </c>
      <c r="AR28" s="7">
        <v>4.0540540540540529E-2</v>
      </c>
      <c r="AS28" s="7">
        <v>1.3513513513513507E-2</v>
      </c>
      <c r="AT28" s="7">
        <v>8.1081081081081058E-2</v>
      </c>
      <c r="AU28" s="7">
        <v>5.4054054054054029E-2</v>
      </c>
      <c r="AV28" s="7">
        <v>2.7027027027027015E-2</v>
      </c>
      <c r="AW28" s="7">
        <v>5.4054054054054029E-2</v>
      </c>
      <c r="AX28" s="7">
        <v>5.4054054054054029E-2</v>
      </c>
      <c r="AY28" s="7">
        <v>2.7027027027027015E-2</v>
      </c>
      <c r="AZ28" s="7">
        <v>4.0540540540540529E-2</v>
      </c>
      <c r="BA28" s="7">
        <v>5.4054054054054029E-2</v>
      </c>
      <c r="BB28" s="7">
        <v>8.1081081081081058E-2</v>
      </c>
      <c r="BC28" s="7">
        <v>1.3513513513513507E-2</v>
      </c>
      <c r="BD28">
        <v>2.7027027027027015E-2</v>
      </c>
      <c r="BE28">
        <v>31.32</v>
      </c>
      <c r="BF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8" s="42">
        <f>+IF(AVANCE[[#This Row],[FECHA INICIO REAL]]="","",AVANCE[[#This Row],[FECHA INICIO REAL]]-AVANCE[[#This Row],[FECHA INICIO TEORICO]])</f>
        <v>0</v>
      </c>
      <c r="BH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9" spans="1:61" x14ac:dyDescent="0.25">
      <c r="A29" t="s">
        <v>832</v>
      </c>
      <c r="B29" t="s">
        <v>852</v>
      </c>
      <c r="C29">
        <v>2282600028</v>
      </c>
      <c r="D29" t="s">
        <v>833</v>
      </c>
      <c r="E29" s="4">
        <v>0.99999999999999989</v>
      </c>
      <c r="F29" s="1">
        <v>46108</v>
      </c>
      <c r="G29" s="1">
        <v>46108</v>
      </c>
      <c r="H29" s="1">
        <v>46169</v>
      </c>
      <c r="I29" s="1">
        <v>46146</v>
      </c>
      <c r="J29" t="s">
        <v>355</v>
      </c>
      <c r="K29" s="1">
        <v>46169</v>
      </c>
      <c r="L29" s="7">
        <v>0.43</v>
      </c>
      <c r="M29" s="7">
        <v>1</v>
      </c>
      <c r="N29" s="7">
        <v>0.27906976744186046</v>
      </c>
      <c r="O29" s="7">
        <v>0.18604651162790695</v>
      </c>
      <c r="P29" s="7">
        <v>0.2558139534883721</v>
      </c>
      <c r="Q29" s="7">
        <v>0.18604651162790695</v>
      </c>
      <c r="R29" s="7">
        <v>9.3023255813953487E-2</v>
      </c>
      <c r="S29" s="7">
        <v>0.09</v>
      </c>
      <c r="T29" s="7">
        <v>1</v>
      </c>
      <c r="U29" s="7">
        <v>0.22222222222222221</v>
      </c>
      <c r="V29" s="7">
        <v>0.22222222222222221</v>
      </c>
      <c r="W29" s="7">
        <v>0.1111111111111111</v>
      </c>
      <c r="X29" s="7">
        <v>0.1111111111111111</v>
      </c>
      <c r="Y29" s="7">
        <v>0.1111111111111111</v>
      </c>
      <c r="Z29" s="7">
        <v>0.22222222222222221</v>
      </c>
      <c r="AA29" s="7">
        <v>0.11</v>
      </c>
      <c r="AB29" s="7">
        <v>1</v>
      </c>
      <c r="AC29" s="7">
        <v>0.27272727272727271</v>
      </c>
      <c r="AD29" s="7">
        <v>0.27272727272727271</v>
      </c>
      <c r="AE29" s="7">
        <v>9.0909090909090912E-2</v>
      </c>
      <c r="AF29" s="7">
        <v>0.18181818181818185</v>
      </c>
      <c r="AG29" s="7">
        <v>0.18181818181818185</v>
      </c>
      <c r="AH29" s="7">
        <v>0.36999999999999983</v>
      </c>
      <c r="AI29" s="7">
        <v>0.99999999999999956</v>
      </c>
      <c r="AJ29" s="7">
        <v>5.4054054054054029E-2</v>
      </c>
      <c r="AK29" s="7">
        <v>5.4054054054054029E-2</v>
      </c>
      <c r="AL29" s="7">
        <v>2.7027027027027015E-2</v>
      </c>
      <c r="AM29" s="7">
        <v>8.1081081081081058E-2</v>
      </c>
      <c r="AN29" s="7">
        <v>8.1081081081081058E-2</v>
      </c>
      <c r="AO29" s="7">
        <v>6.7567567567567557E-2</v>
      </c>
      <c r="AP29" s="7">
        <v>5.4054054054054029E-2</v>
      </c>
      <c r="AQ29" s="7">
        <v>1.3513513513513507E-2</v>
      </c>
      <c r="AR29" s="7">
        <v>4.0540540540540529E-2</v>
      </c>
      <c r="AS29" s="7">
        <v>1.3513513513513507E-2</v>
      </c>
      <c r="AT29" s="7">
        <v>8.1081081081081058E-2</v>
      </c>
      <c r="AU29" s="7">
        <v>5.4054054054054029E-2</v>
      </c>
      <c r="AV29" s="7">
        <v>2.7027027027027015E-2</v>
      </c>
      <c r="AW29" s="7">
        <v>5.4054054054054029E-2</v>
      </c>
      <c r="AX29" s="7">
        <v>5.4054054054054029E-2</v>
      </c>
      <c r="AY29" s="7">
        <v>2.7027027027027015E-2</v>
      </c>
      <c r="AZ29" s="7">
        <v>4.0540540540540529E-2</v>
      </c>
      <c r="BA29" s="7">
        <v>5.4054054054054029E-2</v>
      </c>
      <c r="BB29" s="7">
        <v>8.1081081081081058E-2</v>
      </c>
      <c r="BC29" s="7">
        <v>1.3513513513513507E-2</v>
      </c>
      <c r="BD29">
        <v>2.7027027027027015E-2</v>
      </c>
      <c r="BE29">
        <v>28.87</v>
      </c>
      <c r="BF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9" s="42">
        <f>+IF(AVANCE[[#This Row],[FECHA INICIO REAL]]="","",AVANCE[[#This Row],[FECHA INICIO REAL]]-AVANCE[[#This Row],[FECHA INICIO TEORICO]])</f>
        <v>0</v>
      </c>
      <c r="BH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0" spans="1:61" x14ac:dyDescent="0.25">
      <c r="A30" t="s">
        <v>832</v>
      </c>
      <c r="B30" t="s">
        <v>853</v>
      </c>
      <c r="C30">
        <v>2282600029</v>
      </c>
      <c r="D30" t="s">
        <v>833</v>
      </c>
      <c r="E30" s="4">
        <v>0.99999999999999989</v>
      </c>
      <c r="F30" s="1">
        <v>46111</v>
      </c>
      <c r="G30" s="1">
        <v>46111</v>
      </c>
      <c r="H30" s="1">
        <v>46174</v>
      </c>
      <c r="I30" s="1">
        <v>46148</v>
      </c>
      <c r="J30" t="s">
        <v>355</v>
      </c>
      <c r="K30" s="1">
        <v>46174</v>
      </c>
      <c r="L30" s="7">
        <v>0.43</v>
      </c>
      <c r="M30" s="7">
        <v>1</v>
      </c>
      <c r="N30" s="7">
        <v>0.27906976744186046</v>
      </c>
      <c r="O30" s="7">
        <v>0.18604651162790695</v>
      </c>
      <c r="P30" s="7">
        <v>0.2558139534883721</v>
      </c>
      <c r="Q30" s="7">
        <v>0.18604651162790695</v>
      </c>
      <c r="R30" s="7">
        <v>9.3023255813953487E-2</v>
      </c>
      <c r="S30" s="7">
        <v>0.09</v>
      </c>
      <c r="T30" s="7">
        <v>1</v>
      </c>
      <c r="U30" s="7">
        <v>0.22222222222222221</v>
      </c>
      <c r="V30" s="7">
        <v>0.22222222222222221</v>
      </c>
      <c r="W30" s="7">
        <v>0.1111111111111111</v>
      </c>
      <c r="X30" s="7">
        <v>0.1111111111111111</v>
      </c>
      <c r="Y30" s="7">
        <v>0.1111111111111111</v>
      </c>
      <c r="Z30" s="7">
        <v>0.22222222222222221</v>
      </c>
      <c r="AA30" s="7">
        <v>0.11</v>
      </c>
      <c r="AB30" s="7">
        <v>1</v>
      </c>
      <c r="AC30" s="7">
        <v>0.27272727272727271</v>
      </c>
      <c r="AD30" s="7">
        <v>0.27272727272727271</v>
      </c>
      <c r="AE30" s="7">
        <v>9.0909090909090912E-2</v>
      </c>
      <c r="AF30" s="7">
        <v>0.18181818181818185</v>
      </c>
      <c r="AG30" s="7">
        <v>0.18181818181818185</v>
      </c>
      <c r="AH30" s="7">
        <v>0.36999999999999983</v>
      </c>
      <c r="AI30" s="7">
        <v>0.99999999999999956</v>
      </c>
      <c r="AJ30" s="7">
        <v>5.4054054054054029E-2</v>
      </c>
      <c r="AK30" s="7">
        <v>5.4054054054054029E-2</v>
      </c>
      <c r="AL30" s="7">
        <v>2.7027027027027015E-2</v>
      </c>
      <c r="AM30" s="7">
        <v>8.1081081081081058E-2</v>
      </c>
      <c r="AN30" s="7">
        <v>8.1081081081081058E-2</v>
      </c>
      <c r="AO30" s="7">
        <v>6.7567567567567557E-2</v>
      </c>
      <c r="AP30" s="7">
        <v>5.4054054054054029E-2</v>
      </c>
      <c r="AQ30" s="7">
        <v>1.3513513513513507E-2</v>
      </c>
      <c r="AR30" s="7">
        <v>4.0540540540540529E-2</v>
      </c>
      <c r="AS30" s="7">
        <v>1.3513513513513507E-2</v>
      </c>
      <c r="AT30" s="7">
        <v>8.1081081081081058E-2</v>
      </c>
      <c r="AU30" s="7">
        <v>5.4054054054054029E-2</v>
      </c>
      <c r="AV30" s="7">
        <v>2.7027027027027015E-2</v>
      </c>
      <c r="AW30" s="7">
        <v>5.4054054054054029E-2</v>
      </c>
      <c r="AX30" s="7">
        <v>5.4054054054054029E-2</v>
      </c>
      <c r="AY30" s="7">
        <v>2.7027027027027015E-2</v>
      </c>
      <c r="AZ30" s="7">
        <v>4.0540540540540529E-2</v>
      </c>
      <c r="BA30" s="7">
        <v>5.4054054054054029E-2</v>
      </c>
      <c r="BB30" s="7">
        <v>8.1081081081081058E-2</v>
      </c>
      <c r="BC30" s="7">
        <v>1.3513513513513507E-2</v>
      </c>
      <c r="BD30">
        <v>2.7027027027027015E-2</v>
      </c>
      <c r="BE30">
        <v>28.87</v>
      </c>
      <c r="BF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0" s="42">
        <f>+IF(AVANCE[[#This Row],[FECHA INICIO REAL]]="","",AVANCE[[#This Row],[FECHA INICIO REAL]]-AVANCE[[#This Row],[FECHA INICIO TEORICO]])</f>
        <v>0</v>
      </c>
      <c r="BH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1" spans="1:61" x14ac:dyDescent="0.25">
      <c r="A31" t="s">
        <v>832</v>
      </c>
      <c r="B31" t="s">
        <v>854</v>
      </c>
      <c r="C31">
        <v>2302600030</v>
      </c>
      <c r="D31" t="s">
        <v>834</v>
      </c>
      <c r="E31" s="4">
        <v>0.99999999999999989</v>
      </c>
      <c r="F31" s="1">
        <v>46112</v>
      </c>
      <c r="G31" s="1">
        <v>46112</v>
      </c>
      <c r="H31" s="1">
        <v>46181</v>
      </c>
      <c r="I31" s="1">
        <v>46153</v>
      </c>
      <c r="J31" t="s">
        <v>355</v>
      </c>
      <c r="K31" s="1">
        <v>46181</v>
      </c>
      <c r="L31" s="7">
        <v>0.43</v>
      </c>
      <c r="M31" s="7">
        <v>1</v>
      </c>
      <c r="N31" s="7">
        <v>0.27906976744186046</v>
      </c>
      <c r="O31" s="7">
        <v>0.18604651162790695</v>
      </c>
      <c r="P31" s="7">
        <v>0.2558139534883721</v>
      </c>
      <c r="Q31" s="7">
        <v>0.18604651162790695</v>
      </c>
      <c r="R31" s="7">
        <v>9.3023255813953487E-2</v>
      </c>
      <c r="S31" s="7">
        <v>0.09</v>
      </c>
      <c r="T31" s="7">
        <v>1</v>
      </c>
      <c r="U31" s="7">
        <v>0.22222222222222221</v>
      </c>
      <c r="V31" s="7">
        <v>0.22222222222222221</v>
      </c>
      <c r="W31" s="7">
        <v>0.1111111111111111</v>
      </c>
      <c r="X31" s="7">
        <v>0.1111111111111111</v>
      </c>
      <c r="Y31" s="7">
        <v>0.1111111111111111</v>
      </c>
      <c r="Z31" s="7">
        <v>0.22222222222222221</v>
      </c>
      <c r="AA31" s="7">
        <v>0.11</v>
      </c>
      <c r="AB31" s="7">
        <v>1</v>
      </c>
      <c r="AC31" s="7">
        <v>0.27272727272727271</v>
      </c>
      <c r="AD31" s="7">
        <v>0.27272727272727271</v>
      </c>
      <c r="AE31" s="7">
        <v>9.0909090909090912E-2</v>
      </c>
      <c r="AF31" s="7">
        <v>0.18181818181818185</v>
      </c>
      <c r="AG31" s="7">
        <v>0.18181818181818185</v>
      </c>
      <c r="AH31" s="7">
        <v>0.36999999999999983</v>
      </c>
      <c r="AI31" s="7">
        <v>0.99999999999999956</v>
      </c>
      <c r="AJ31" s="7">
        <v>5.4054054054054029E-2</v>
      </c>
      <c r="AK31" s="7">
        <v>5.4054054054054029E-2</v>
      </c>
      <c r="AL31" s="7">
        <v>2.7027027027027015E-2</v>
      </c>
      <c r="AM31" s="7">
        <v>8.1081081081081058E-2</v>
      </c>
      <c r="AN31" s="7">
        <v>8.1081081081081058E-2</v>
      </c>
      <c r="AO31" s="7">
        <v>6.7567567567567557E-2</v>
      </c>
      <c r="AP31" s="7">
        <v>5.4054054054054029E-2</v>
      </c>
      <c r="AQ31" s="7">
        <v>1.3513513513513507E-2</v>
      </c>
      <c r="AR31" s="7">
        <v>4.0540540540540529E-2</v>
      </c>
      <c r="AS31" s="7">
        <v>1.3513513513513507E-2</v>
      </c>
      <c r="AT31" s="7">
        <v>8.1081081081081058E-2</v>
      </c>
      <c r="AU31" s="7">
        <v>5.4054054054054029E-2</v>
      </c>
      <c r="AV31" s="7">
        <v>2.7027027027027015E-2</v>
      </c>
      <c r="AW31" s="7">
        <v>5.4054054054054029E-2</v>
      </c>
      <c r="AX31" s="7">
        <v>5.4054054054054029E-2</v>
      </c>
      <c r="AY31" s="7">
        <v>2.7027027027027015E-2</v>
      </c>
      <c r="AZ31" s="7">
        <v>4.0540540540540529E-2</v>
      </c>
      <c r="BA31" s="7">
        <v>5.4054054054054029E-2</v>
      </c>
      <c r="BB31" s="7">
        <v>8.1081081081081058E-2</v>
      </c>
      <c r="BC31" s="7">
        <v>1.3513513513513507E-2</v>
      </c>
      <c r="BD31">
        <v>2.7027027027027015E-2</v>
      </c>
      <c r="BE31">
        <v>31.32</v>
      </c>
      <c r="BF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1" s="42">
        <f>+IF(AVANCE[[#This Row],[FECHA INICIO REAL]]="","",AVANCE[[#This Row],[FECHA INICIO REAL]]-AVANCE[[#This Row],[FECHA INICIO TEORICO]])</f>
        <v>0</v>
      </c>
      <c r="BH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2" spans="1:61" x14ac:dyDescent="0.25">
      <c r="A32" t="s">
        <v>832</v>
      </c>
      <c r="B32" t="s">
        <v>855</v>
      </c>
      <c r="C32">
        <v>2302600031</v>
      </c>
      <c r="D32" t="s">
        <v>834</v>
      </c>
      <c r="E32" s="4">
        <v>0.99999999999999989</v>
      </c>
      <c r="F32" s="1">
        <v>46114</v>
      </c>
      <c r="G32" s="1">
        <v>46114</v>
      </c>
      <c r="H32" s="1">
        <v>46182</v>
      </c>
      <c r="I32" s="1">
        <v>46155</v>
      </c>
      <c r="J32" t="s">
        <v>355</v>
      </c>
      <c r="K32" s="1">
        <v>46182</v>
      </c>
      <c r="L32" s="7">
        <v>0.43</v>
      </c>
      <c r="M32" s="7">
        <v>1</v>
      </c>
      <c r="N32" s="7">
        <v>0.27906976744186046</v>
      </c>
      <c r="O32" s="7">
        <v>0.18604651162790695</v>
      </c>
      <c r="P32" s="7">
        <v>0.2558139534883721</v>
      </c>
      <c r="Q32" s="7">
        <v>0.18604651162790695</v>
      </c>
      <c r="R32" s="7">
        <v>9.3023255813953487E-2</v>
      </c>
      <c r="S32" s="7">
        <v>0.09</v>
      </c>
      <c r="T32" s="7">
        <v>1</v>
      </c>
      <c r="U32" s="7">
        <v>0.22222222222222221</v>
      </c>
      <c r="V32" s="7">
        <v>0.22222222222222221</v>
      </c>
      <c r="W32" s="7">
        <v>0.1111111111111111</v>
      </c>
      <c r="X32" s="7">
        <v>0.1111111111111111</v>
      </c>
      <c r="Y32" s="7">
        <v>0.1111111111111111</v>
      </c>
      <c r="Z32" s="7">
        <v>0.22222222222222221</v>
      </c>
      <c r="AA32" s="7">
        <v>0.11</v>
      </c>
      <c r="AB32" s="7">
        <v>1</v>
      </c>
      <c r="AC32" s="7">
        <v>0.27272727272727271</v>
      </c>
      <c r="AD32" s="7">
        <v>0.27272727272727271</v>
      </c>
      <c r="AE32" s="7">
        <v>9.0909090909090912E-2</v>
      </c>
      <c r="AF32" s="7">
        <v>0.18181818181818185</v>
      </c>
      <c r="AG32" s="7">
        <v>0.18181818181818185</v>
      </c>
      <c r="AH32" s="7">
        <v>0.36999999999999983</v>
      </c>
      <c r="AI32" s="7">
        <v>0.99999999999999956</v>
      </c>
      <c r="AJ32" s="7">
        <v>5.4054054054054029E-2</v>
      </c>
      <c r="AK32" s="7">
        <v>5.4054054054054029E-2</v>
      </c>
      <c r="AL32" s="7">
        <v>2.7027027027027015E-2</v>
      </c>
      <c r="AM32" s="7">
        <v>8.1081081081081058E-2</v>
      </c>
      <c r="AN32" s="7">
        <v>8.1081081081081058E-2</v>
      </c>
      <c r="AO32" s="7">
        <v>6.7567567567567557E-2</v>
      </c>
      <c r="AP32" s="7">
        <v>5.4054054054054029E-2</v>
      </c>
      <c r="AQ32" s="7">
        <v>1.3513513513513507E-2</v>
      </c>
      <c r="AR32" s="7">
        <v>4.0540540540540529E-2</v>
      </c>
      <c r="AS32" s="7">
        <v>1.3513513513513507E-2</v>
      </c>
      <c r="AT32" s="7">
        <v>8.1081081081081058E-2</v>
      </c>
      <c r="AU32" s="7">
        <v>5.4054054054054029E-2</v>
      </c>
      <c r="AV32" s="7">
        <v>2.7027027027027015E-2</v>
      </c>
      <c r="AW32" s="7">
        <v>5.4054054054054029E-2</v>
      </c>
      <c r="AX32" s="7">
        <v>5.4054054054054029E-2</v>
      </c>
      <c r="AY32" s="7">
        <v>2.7027027027027015E-2</v>
      </c>
      <c r="AZ32" s="7">
        <v>4.0540540540540529E-2</v>
      </c>
      <c r="BA32" s="7">
        <v>5.4054054054054029E-2</v>
      </c>
      <c r="BB32" s="7">
        <v>8.1081081081081058E-2</v>
      </c>
      <c r="BC32" s="7">
        <v>1.3513513513513507E-2</v>
      </c>
      <c r="BD32">
        <v>2.7027027027027015E-2</v>
      </c>
      <c r="BE32">
        <v>31.32</v>
      </c>
      <c r="BF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2" s="42">
        <f>+IF(AVANCE[[#This Row],[FECHA INICIO REAL]]="","",AVANCE[[#This Row],[FECHA INICIO REAL]]-AVANCE[[#This Row],[FECHA INICIO TEORICO]])</f>
        <v>0</v>
      </c>
      <c r="BH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3" spans="1:61" x14ac:dyDescent="0.25">
      <c r="A33" t="s">
        <v>832</v>
      </c>
      <c r="B33" t="s">
        <v>856</v>
      </c>
      <c r="C33">
        <v>2282600032</v>
      </c>
      <c r="D33" t="s">
        <v>833</v>
      </c>
      <c r="E33" s="4">
        <v>0.99999999999999989</v>
      </c>
      <c r="F33" s="1">
        <v>46111</v>
      </c>
      <c r="G33" s="1">
        <v>46111</v>
      </c>
      <c r="H33" s="1">
        <v>46178</v>
      </c>
      <c r="I33" s="1">
        <v>46147</v>
      </c>
      <c r="J33" t="s">
        <v>355</v>
      </c>
      <c r="K33" s="1">
        <v>46178</v>
      </c>
      <c r="L33" s="7">
        <v>0.43</v>
      </c>
      <c r="M33" s="7">
        <v>1</v>
      </c>
      <c r="N33" s="7">
        <v>0.27906976744186046</v>
      </c>
      <c r="O33" s="7">
        <v>0.18604651162790695</v>
      </c>
      <c r="P33" s="7">
        <v>0.2558139534883721</v>
      </c>
      <c r="Q33" s="7">
        <v>0.18604651162790695</v>
      </c>
      <c r="R33" s="7">
        <v>9.3023255813953487E-2</v>
      </c>
      <c r="S33" s="7">
        <v>0.09</v>
      </c>
      <c r="T33" s="7">
        <v>1</v>
      </c>
      <c r="U33" s="7">
        <v>0.22222222222222221</v>
      </c>
      <c r="V33" s="7">
        <v>0.22222222222222221</v>
      </c>
      <c r="W33" s="7">
        <v>0.1111111111111111</v>
      </c>
      <c r="X33" s="7">
        <v>0.1111111111111111</v>
      </c>
      <c r="Y33" s="7">
        <v>0.1111111111111111</v>
      </c>
      <c r="Z33" s="7">
        <v>0.22222222222222221</v>
      </c>
      <c r="AA33" s="7">
        <v>0.11</v>
      </c>
      <c r="AB33" s="7">
        <v>1</v>
      </c>
      <c r="AC33" s="7">
        <v>0.27272727272727271</v>
      </c>
      <c r="AD33" s="7">
        <v>0.27272727272727271</v>
      </c>
      <c r="AE33" s="7">
        <v>9.0909090909090912E-2</v>
      </c>
      <c r="AF33" s="7">
        <v>0.18181818181818185</v>
      </c>
      <c r="AG33" s="7">
        <v>0.18181818181818185</v>
      </c>
      <c r="AH33" s="7">
        <v>0.36999999999999983</v>
      </c>
      <c r="AI33" s="7">
        <v>0.99999999999999956</v>
      </c>
      <c r="AJ33" s="7">
        <v>5.4054054054054029E-2</v>
      </c>
      <c r="AK33" s="7">
        <v>5.4054054054054029E-2</v>
      </c>
      <c r="AL33" s="7">
        <v>2.7027027027027015E-2</v>
      </c>
      <c r="AM33" s="7">
        <v>8.1081081081081058E-2</v>
      </c>
      <c r="AN33" s="7">
        <v>8.1081081081081058E-2</v>
      </c>
      <c r="AO33" s="7">
        <v>6.7567567567567557E-2</v>
      </c>
      <c r="AP33" s="7">
        <v>5.4054054054054029E-2</v>
      </c>
      <c r="AQ33" s="7">
        <v>1.3513513513513507E-2</v>
      </c>
      <c r="AR33" s="7">
        <v>4.0540540540540529E-2</v>
      </c>
      <c r="AS33" s="7">
        <v>1.3513513513513507E-2</v>
      </c>
      <c r="AT33" s="7">
        <v>8.1081081081081058E-2</v>
      </c>
      <c r="AU33" s="7">
        <v>5.4054054054054029E-2</v>
      </c>
      <c r="AV33" s="7">
        <v>2.7027027027027015E-2</v>
      </c>
      <c r="AW33" s="7">
        <v>5.4054054054054029E-2</v>
      </c>
      <c r="AX33" s="7">
        <v>5.4054054054054029E-2</v>
      </c>
      <c r="AY33" s="7">
        <v>2.7027027027027015E-2</v>
      </c>
      <c r="AZ33" s="7">
        <v>4.0540540540540529E-2</v>
      </c>
      <c r="BA33" s="7">
        <v>5.4054054054054029E-2</v>
      </c>
      <c r="BB33" s="7">
        <v>8.1081081081081058E-2</v>
      </c>
      <c r="BC33" s="7">
        <v>1.3513513513513507E-2</v>
      </c>
      <c r="BD33">
        <v>2.7027027027027015E-2</v>
      </c>
      <c r="BE33">
        <v>28.87</v>
      </c>
      <c r="BF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3" s="42">
        <f>+IF(AVANCE[[#This Row],[FECHA INICIO REAL]]="","",AVANCE[[#This Row],[FECHA INICIO REAL]]-AVANCE[[#This Row],[FECHA INICIO TEORICO]])</f>
        <v>0</v>
      </c>
      <c r="BH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4" spans="1:61" x14ac:dyDescent="0.25">
      <c r="A34" t="s">
        <v>857</v>
      </c>
      <c r="B34" t="s">
        <v>858</v>
      </c>
      <c r="C34">
        <v>2282600033</v>
      </c>
      <c r="D34" t="s">
        <v>833</v>
      </c>
      <c r="E34" s="4">
        <v>0.99999999999999989</v>
      </c>
      <c r="F34" s="1">
        <v>46118</v>
      </c>
      <c r="G34" s="1">
        <v>46118</v>
      </c>
      <c r="H34" s="1">
        <v>46185</v>
      </c>
      <c r="I34" s="1">
        <v>46156</v>
      </c>
      <c r="J34" t="s">
        <v>355</v>
      </c>
      <c r="K34" s="1">
        <v>46185</v>
      </c>
      <c r="L34" s="7">
        <v>0.43</v>
      </c>
      <c r="M34" s="7">
        <v>1</v>
      </c>
      <c r="N34" s="7">
        <v>0.27906976744186046</v>
      </c>
      <c r="O34" s="7">
        <v>0.18604651162790695</v>
      </c>
      <c r="P34" s="7">
        <v>0.2558139534883721</v>
      </c>
      <c r="Q34" s="7">
        <v>0.18604651162790695</v>
      </c>
      <c r="R34" s="7">
        <v>9.3023255813953487E-2</v>
      </c>
      <c r="S34" s="7">
        <v>0.09</v>
      </c>
      <c r="T34" s="7">
        <v>1</v>
      </c>
      <c r="U34" s="7">
        <v>0.22222222222222221</v>
      </c>
      <c r="V34" s="7">
        <v>0.22222222222222221</v>
      </c>
      <c r="W34" s="7">
        <v>0.1111111111111111</v>
      </c>
      <c r="X34" s="7">
        <v>0.1111111111111111</v>
      </c>
      <c r="Y34" s="7">
        <v>0.1111111111111111</v>
      </c>
      <c r="Z34" s="7">
        <v>0.22222222222222221</v>
      </c>
      <c r="AA34" s="7">
        <v>0.11</v>
      </c>
      <c r="AB34" s="7">
        <v>1</v>
      </c>
      <c r="AC34" s="7">
        <v>0.27272727272727271</v>
      </c>
      <c r="AD34" s="7">
        <v>0.27272727272727271</v>
      </c>
      <c r="AE34" s="7">
        <v>9.0909090909090912E-2</v>
      </c>
      <c r="AF34" s="7">
        <v>0.18181818181818185</v>
      </c>
      <c r="AG34" s="7">
        <v>0.18181818181818185</v>
      </c>
      <c r="AH34" s="7">
        <v>0.36999999999999983</v>
      </c>
      <c r="AI34" s="7">
        <v>0.99999999999999956</v>
      </c>
      <c r="AJ34" s="7">
        <v>5.4054054054054029E-2</v>
      </c>
      <c r="AK34" s="7">
        <v>5.4054054054054029E-2</v>
      </c>
      <c r="AL34" s="7">
        <v>2.7027027027027015E-2</v>
      </c>
      <c r="AM34" s="7">
        <v>8.1081081081081058E-2</v>
      </c>
      <c r="AN34" s="7">
        <v>8.1081081081081058E-2</v>
      </c>
      <c r="AO34" s="7">
        <v>6.7567567567567557E-2</v>
      </c>
      <c r="AP34" s="7">
        <v>5.4054054054054029E-2</v>
      </c>
      <c r="AQ34" s="7">
        <v>1.3513513513513507E-2</v>
      </c>
      <c r="AR34" s="7">
        <v>4.0540540540540529E-2</v>
      </c>
      <c r="AS34" s="7">
        <v>1.3513513513513507E-2</v>
      </c>
      <c r="AT34" s="7">
        <v>8.1081081081081058E-2</v>
      </c>
      <c r="AU34" s="7">
        <v>5.4054054054054029E-2</v>
      </c>
      <c r="AV34" s="7">
        <v>2.7027027027027015E-2</v>
      </c>
      <c r="AW34" s="7">
        <v>5.4054054054054029E-2</v>
      </c>
      <c r="AX34" s="7">
        <v>5.4054054054054029E-2</v>
      </c>
      <c r="AY34" s="7">
        <v>2.7027027027027015E-2</v>
      </c>
      <c r="AZ34" s="7">
        <v>4.0540540540540529E-2</v>
      </c>
      <c r="BA34" s="7">
        <v>5.4054054054054029E-2</v>
      </c>
      <c r="BB34" s="7">
        <v>8.1081081081081058E-2</v>
      </c>
      <c r="BC34" s="7">
        <v>1.3513513513513507E-2</v>
      </c>
      <c r="BD34">
        <v>2.7027027027027015E-2</v>
      </c>
      <c r="BE34">
        <v>28.87</v>
      </c>
      <c r="BF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4" s="42">
        <f>+IF(AVANCE[[#This Row],[FECHA INICIO REAL]]="","",AVANCE[[#This Row],[FECHA INICIO REAL]]-AVANCE[[#This Row],[FECHA INICIO TEORICO]])</f>
        <v>0</v>
      </c>
      <c r="BH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5" spans="1:61" x14ac:dyDescent="0.25">
      <c r="A35" t="s">
        <v>857</v>
      </c>
      <c r="B35" t="s">
        <v>859</v>
      </c>
      <c r="C35">
        <v>2302600034</v>
      </c>
      <c r="D35" t="s">
        <v>834</v>
      </c>
      <c r="E35" s="4">
        <v>0.99999999999999989</v>
      </c>
      <c r="F35" s="1">
        <v>46119</v>
      </c>
      <c r="G35" s="1">
        <v>46119</v>
      </c>
      <c r="H35" s="1">
        <v>46184</v>
      </c>
      <c r="I35" s="1">
        <v>46156</v>
      </c>
      <c r="J35" t="s">
        <v>355</v>
      </c>
      <c r="K35" s="1">
        <v>46184</v>
      </c>
      <c r="L35" s="7">
        <v>0.43</v>
      </c>
      <c r="M35" s="7">
        <v>1</v>
      </c>
      <c r="N35" s="7">
        <v>0.27906976744186046</v>
      </c>
      <c r="O35" s="7">
        <v>0.18604651162790695</v>
      </c>
      <c r="P35" s="7">
        <v>0.2558139534883721</v>
      </c>
      <c r="Q35" s="7">
        <v>0.18604651162790695</v>
      </c>
      <c r="R35" s="7">
        <v>9.3023255813953487E-2</v>
      </c>
      <c r="S35" s="7">
        <v>0.09</v>
      </c>
      <c r="T35" s="7">
        <v>1</v>
      </c>
      <c r="U35" s="7">
        <v>0.22222222222222221</v>
      </c>
      <c r="V35" s="7">
        <v>0.22222222222222221</v>
      </c>
      <c r="W35" s="7">
        <v>0.1111111111111111</v>
      </c>
      <c r="X35" s="7">
        <v>0.1111111111111111</v>
      </c>
      <c r="Y35" s="7">
        <v>0.1111111111111111</v>
      </c>
      <c r="Z35" s="7">
        <v>0.22222222222222221</v>
      </c>
      <c r="AA35" s="7">
        <v>0.11</v>
      </c>
      <c r="AB35" s="7">
        <v>1</v>
      </c>
      <c r="AC35" s="7">
        <v>0.27272727272727271</v>
      </c>
      <c r="AD35" s="7">
        <v>0.27272727272727271</v>
      </c>
      <c r="AE35" s="7">
        <v>9.0909090909090912E-2</v>
      </c>
      <c r="AF35" s="7">
        <v>0.18181818181818185</v>
      </c>
      <c r="AG35" s="7">
        <v>0.18181818181818185</v>
      </c>
      <c r="AH35" s="7">
        <v>0.36999999999999983</v>
      </c>
      <c r="AI35" s="7">
        <v>0.99999999999999956</v>
      </c>
      <c r="AJ35" s="7">
        <v>5.4054054054054029E-2</v>
      </c>
      <c r="AK35" s="7">
        <v>5.4054054054054029E-2</v>
      </c>
      <c r="AL35" s="7">
        <v>2.7027027027027015E-2</v>
      </c>
      <c r="AM35" s="7">
        <v>8.1081081081081058E-2</v>
      </c>
      <c r="AN35" s="7">
        <v>8.1081081081081058E-2</v>
      </c>
      <c r="AO35" s="7">
        <v>6.7567567567567557E-2</v>
      </c>
      <c r="AP35" s="7">
        <v>5.4054054054054029E-2</v>
      </c>
      <c r="AQ35" s="7">
        <v>1.3513513513513507E-2</v>
      </c>
      <c r="AR35" s="7">
        <v>4.0540540540540529E-2</v>
      </c>
      <c r="AS35" s="7">
        <v>1.3513513513513507E-2</v>
      </c>
      <c r="AT35" s="7">
        <v>8.1081081081081058E-2</v>
      </c>
      <c r="AU35" s="7">
        <v>5.4054054054054029E-2</v>
      </c>
      <c r="AV35" s="7">
        <v>2.7027027027027015E-2</v>
      </c>
      <c r="AW35" s="7">
        <v>5.4054054054054029E-2</v>
      </c>
      <c r="AX35" s="7">
        <v>5.4054054054054029E-2</v>
      </c>
      <c r="AY35" s="7">
        <v>2.7027027027027015E-2</v>
      </c>
      <c r="AZ35" s="7">
        <v>4.0540540540540529E-2</v>
      </c>
      <c r="BA35" s="7">
        <v>5.4054054054054029E-2</v>
      </c>
      <c r="BB35" s="7">
        <v>8.1081081081081058E-2</v>
      </c>
      <c r="BC35" s="7">
        <v>1.3513513513513507E-2</v>
      </c>
      <c r="BD35">
        <v>2.7027027027027015E-2</v>
      </c>
      <c r="BE35">
        <v>31.32</v>
      </c>
      <c r="BF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5" s="42">
        <f>+IF(AVANCE[[#This Row],[FECHA INICIO REAL]]="","",AVANCE[[#This Row],[FECHA INICIO REAL]]-AVANCE[[#This Row],[FECHA INICIO TEORICO]])</f>
        <v>0</v>
      </c>
      <c r="BH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6" spans="1:61" x14ac:dyDescent="0.25">
      <c r="A36" t="s">
        <v>857</v>
      </c>
      <c r="B36" t="s">
        <v>860</v>
      </c>
      <c r="C36">
        <v>2302600035</v>
      </c>
      <c r="D36" t="s">
        <v>834</v>
      </c>
      <c r="E36" s="4">
        <v>0.99999999999999989</v>
      </c>
      <c r="F36" s="1">
        <v>46122</v>
      </c>
      <c r="G36" s="1">
        <v>46122</v>
      </c>
      <c r="H36" s="1">
        <v>46185</v>
      </c>
      <c r="I36" s="1">
        <v>46157</v>
      </c>
      <c r="J36" t="s">
        <v>355</v>
      </c>
      <c r="K36" s="1">
        <v>46185</v>
      </c>
      <c r="L36" s="7">
        <v>0.43</v>
      </c>
      <c r="M36" s="7">
        <v>1</v>
      </c>
      <c r="N36" s="7">
        <v>0.27906976744186046</v>
      </c>
      <c r="O36" s="7">
        <v>0.18604651162790695</v>
      </c>
      <c r="P36" s="7">
        <v>0.2558139534883721</v>
      </c>
      <c r="Q36" s="7">
        <v>0.18604651162790695</v>
      </c>
      <c r="R36" s="7">
        <v>9.3023255813953487E-2</v>
      </c>
      <c r="S36" s="7">
        <v>0.09</v>
      </c>
      <c r="T36" s="7">
        <v>1</v>
      </c>
      <c r="U36" s="7">
        <v>0.22222222222222221</v>
      </c>
      <c r="V36" s="7">
        <v>0.22222222222222221</v>
      </c>
      <c r="W36" s="7">
        <v>0.1111111111111111</v>
      </c>
      <c r="X36" s="7">
        <v>0.1111111111111111</v>
      </c>
      <c r="Y36" s="7">
        <v>0.1111111111111111</v>
      </c>
      <c r="Z36" s="7">
        <v>0.22222222222222221</v>
      </c>
      <c r="AA36" s="7">
        <v>0.11</v>
      </c>
      <c r="AB36" s="7">
        <v>1</v>
      </c>
      <c r="AC36" s="7">
        <v>0.27272727272727271</v>
      </c>
      <c r="AD36" s="7">
        <v>0.27272727272727271</v>
      </c>
      <c r="AE36" s="7">
        <v>9.0909090909090912E-2</v>
      </c>
      <c r="AF36" s="7">
        <v>0.18181818181818185</v>
      </c>
      <c r="AG36" s="7">
        <v>0.18181818181818185</v>
      </c>
      <c r="AH36" s="7">
        <v>0.36999999999999983</v>
      </c>
      <c r="AI36" s="7">
        <v>0.99999999999999956</v>
      </c>
      <c r="AJ36" s="7">
        <v>5.4054054054054029E-2</v>
      </c>
      <c r="AK36" s="7">
        <v>5.4054054054054029E-2</v>
      </c>
      <c r="AL36" s="7">
        <v>2.7027027027027015E-2</v>
      </c>
      <c r="AM36" s="7">
        <v>8.1081081081081058E-2</v>
      </c>
      <c r="AN36" s="7">
        <v>8.1081081081081058E-2</v>
      </c>
      <c r="AO36" s="7">
        <v>6.7567567567567557E-2</v>
      </c>
      <c r="AP36" s="7">
        <v>5.4054054054054029E-2</v>
      </c>
      <c r="AQ36" s="7">
        <v>1.3513513513513507E-2</v>
      </c>
      <c r="AR36" s="7">
        <v>4.0540540540540529E-2</v>
      </c>
      <c r="AS36" s="7">
        <v>1.3513513513513507E-2</v>
      </c>
      <c r="AT36" s="7">
        <v>8.1081081081081058E-2</v>
      </c>
      <c r="AU36" s="7">
        <v>5.4054054054054029E-2</v>
      </c>
      <c r="AV36" s="7">
        <v>2.7027027027027015E-2</v>
      </c>
      <c r="AW36" s="7">
        <v>5.4054054054054029E-2</v>
      </c>
      <c r="AX36" s="7">
        <v>5.4054054054054029E-2</v>
      </c>
      <c r="AY36" s="7">
        <v>2.7027027027027015E-2</v>
      </c>
      <c r="AZ36" s="7">
        <v>4.0540540540540529E-2</v>
      </c>
      <c r="BA36" s="7">
        <v>5.4054054054054029E-2</v>
      </c>
      <c r="BB36" s="7">
        <v>8.1081081081081058E-2</v>
      </c>
      <c r="BC36" s="7">
        <v>1.3513513513513507E-2</v>
      </c>
      <c r="BD36">
        <v>2.7027027027027015E-2</v>
      </c>
      <c r="BE36">
        <v>31.32</v>
      </c>
      <c r="BF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6" s="42">
        <f>+IF(AVANCE[[#This Row],[FECHA INICIO REAL]]="","",AVANCE[[#This Row],[FECHA INICIO REAL]]-AVANCE[[#This Row],[FECHA INICIO TEORICO]])</f>
        <v>0</v>
      </c>
      <c r="BH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7" spans="1:61" x14ac:dyDescent="0.25">
      <c r="A37" t="s">
        <v>857</v>
      </c>
      <c r="B37" t="s">
        <v>861</v>
      </c>
      <c r="C37">
        <v>2282600036</v>
      </c>
      <c r="D37" t="s">
        <v>833</v>
      </c>
      <c r="E37" s="4">
        <v>0.99999999999999989</v>
      </c>
      <c r="F37" s="1">
        <v>46122</v>
      </c>
      <c r="G37" s="1">
        <v>46122</v>
      </c>
      <c r="H37" s="1">
        <v>46185</v>
      </c>
      <c r="I37" s="1">
        <v>46157</v>
      </c>
      <c r="J37" t="s">
        <v>355</v>
      </c>
      <c r="K37" s="1">
        <v>46185</v>
      </c>
      <c r="L37" s="7">
        <v>0.43</v>
      </c>
      <c r="M37" s="7">
        <v>1</v>
      </c>
      <c r="N37" s="7">
        <v>0.27906976744186046</v>
      </c>
      <c r="O37" s="7">
        <v>0.18604651162790695</v>
      </c>
      <c r="P37" s="7">
        <v>0.2558139534883721</v>
      </c>
      <c r="Q37" s="7">
        <v>0.18604651162790695</v>
      </c>
      <c r="R37" s="7">
        <v>9.3023255813953487E-2</v>
      </c>
      <c r="S37" s="7">
        <v>0.09</v>
      </c>
      <c r="T37" s="7">
        <v>1</v>
      </c>
      <c r="U37" s="7">
        <v>0.22222222222222221</v>
      </c>
      <c r="V37" s="7">
        <v>0.22222222222222221</v>
      </c>
      <c r="W37" s="7">
        <v>0.1111111111111111</v>
      </c>
      <c r="X37" s="7">
        <v>0.1111111111111111</v>
      </c>
      <c r="Y37" s="7">
        <v>0.1111111111111111</v>
      </c>
      <c r="Z37" s="7">
        <v>0.22222222222222221</v>
      </c>
      <c r="AA37" s="7">
        <v>0.11</v>
      </c>
      <c r="AB37" s="7">
        <v>1</v>
      </c>
      <c r="AC37" s="7">
        <v>0.27272727272727271</v>
      </c>
      <c r="AD37" s="7">
        <v>0.27272727272727271</v>
      </c>
      <c r="AE37" s="7">
        <v>9.0909090909090912E-2</v>
      </c>
      <c r="AF37" s="7">
        <v>0.18181818181818185</v>
      </c>
      <c r="AG37" s="7">
        <v>0.18181818181818185</v>
      </c>
      <c r="AH37" s="7">
        <v>0.36999999999999983</v>
      </c>
      <c r="AI37" s="7">
        <v>0.99999999999999956</v>
      </c>
      <c r="AJ37" s="7">
        <v>5.4054054054054029E-2</v>
      </c>
      <c r="AK37" s="7">
        <v>5.4054054054054029E-2</v>
      </c>
      <c r="AL37" s="7">
        <v>2.7027027027027015E-2</v>
      </c>
      <c r="AM37" s="7">
        <v>8.1081081081081058E-2</v>
      </c>
      <c r="AN37" s="7">
        <v>8.1081081081081058E-2</v>
      </c>
      <c r="AO37" s="7">
        <v>6.7567567567567557E-2</v>
      </c>
      <c r="AP37" s="7">
        <v>5.4054054054054029E-2</v>
      </c>
      <c r="AQ37" s="7">
        <v>1.3513513513513507E-2</v>
      </c>
      <c r="AR37" s="7">
        <v>4.0540540540540529E-2</v>
      </c>
      <c r="AS37" s="7">
        <v>1.3513513513513507E-2</v>
      </c>
      <c r="AT37" s="7">
        <v>8.1081081081081058E-2</v>
      </c>
      <c r="AU37" s="7">
        <v>5.4054054054054029E-2</v>
      </c>
      <c r="AV37" s="7">
        <v>2.7027027027027015E-2</v>
      </c>
      <c r="AW37" s="7">
        <v>5.4054054054054029E-2</v>
      </c>
      <c r="AX37" s="7">
        <v>5.4054054054054029E-2</v>
      </c>
      <c r="AY37" s="7">
        <v>2.7027027027027015E-2</v>
      </c>
      <c r="AZ37" s="7">
        <v>4.0540540540540529E-2</v>
      </c>
      <c r="BA37" s="7">
        <v>5.4054054054054029E-2</v>
      </c>
      <c r="BB37" s="7">
        <v>8.1081081081081058E-2</v>
      </c>
      <c r="BC37" s="7">
        <v>1.3513513513513507E-2</v>
      </c>
      <c r="BD37">
        <v>2.7027027027027015E-2</v>
      </c>
      <c r="BE37">
        <v>28.87</v>
      </c>
      <c r="BF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7" s="42">
        <f>+IF(AVANCE[[#This Row],[FECHA INICIO REAL]]="","",AVANCE[[#This Row],[FECHA INICIO REAL]]-AVANCE[[#This Row],[FECHA INICIO TEORICO]])</f>
        <v>0</v>
      </c>
      <c r="BH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8" spans="1:61" x14ac:dyDescent="0.25">
      <c r="A38" t="s">
        <v>857</v>
      </c>
      <c r="B38" t="s">
        <v>862</v>
      </c>
      <c r="C38">
        <v>2282600037</v>
      </c>
      <c r="D38" t="s">
        <v>833</v>
      </c>
      <c r="E38" s="4">
        <v>0.95999999999999985</v>
      </c>
      <c r="F38" s="1">
        <v>46123</v>
      </c>
      <c r="G38" s="1">
        <v>46123</v>
      </c>
      <c r="H38" s="1">
        <v>46178</v>
      </c>
      <c r="I38" s="1">
        <v>46160</v>
      </c>
      <c r="J38">
        <v>10</v>
      </c>
      <c r="K38" s="1"/>
      <c r="L38" s="7">
        <v>0.43</v>
      </c>
      <c r="M38" s="7">
        <v>1</v>
      </c>
      <c r="N38" s="7">
        <v>0.27906976744186046</v>
      </c>
      <c r="O38" s="7">
        <v>0.18604651162790695</v>
      </c>
      <c r="P38" s="7">
        <v>0.2558139534883721</v>
      </c>
      <c r="Q38" s="7">
        <v>0.18604651162790695</v>
      </c>
      <c r="R38" s="7">
        <v>9.3023255813953487E-2</v>
      </c>
      <c r="S38" s="7">
        <v>0.09</v>
      </c>
      <c r="T38" s="7">
        <v>1</v>
      </c>
      <c r="U38" s="7">
        <v>0.22222222222222221</v>
      </c>
      <c r="V38" s="7">
        <v>0.22222222222222221</v>
      </c>
      <c r="W38" s="7">
        <v>0.1111111111111111</v>
      </c>
      <c r="X38" s="7">
        <v>0.1111111111111111</v>
      </c>
      <c r="Y38" s="7">
        <v>0.1111111111111111</v>
      </c>
      <c r="Z38" s="7">
        <v>0.22222222222222221</v>
      </c>
      <c r="AA38" s="7">
        <v>0.11</v>
      </c>
      <c r="AB38" s="7">
        <v>1</v>
      </c>
      <c r="AC38" s="7">
        <v>0.27272727272727271</v>
      </c>
      <c r="AD38" s="7">
        <v>0.27272727272727271</v>
      </c>
      <c r="AE38" s="7">
        <v>9.0909090909090912E-2</v>
      </c>
      <c r="AF38" s="7">
        <v>0.18181818181818185</v>
      </c>
      <c r="AG38" s="7">
        <v>0.18181818181818185</v>
      </c>
      <c r="AH38" s="7">
        <v>0.32999999999999985</v>
      </c>
      <c r="AI38" s="7">
        <v>0.89189189189189155</v>
      </c>
      <c r="AJ38" s="7">
        <v>5.4054054054054029E-2</v>
      </c>
      <c r="AK38" s="7">
        <v>5.4054054054054029E-2</v>
      </c>
      <c r="AL38" s="7">
        <v>2.7027027027027015E-2</v>
      </c>
      <c r="AM38" s="7">
        <v>8.1081081081081058E-2</v>
      </c>
      <c r="AN38" s="7">
        <v>8.1081081081081058E-2</v>
      </c>
      <c r="AO38" s="7">
        <v>6.7567567567567557E-2</v>
      </c>
      <c r="AP38" s="7">
        <v>5.4054054054054029E-2</v>
      </c>
      <c r="AQ38" s="7">
        <v>0</v>
      </c>
      <c r="AR38" s="7">
        <v>0</v>
      </c>
      <c r="AS38" s="7">
        <v>0</v>
      </c>
      <c r="AT38" s="7">
        <v>8.1081081081081058E-2</v>
      </c>
      <c r="AU38" s="7">
        <v>5.4054054054054029E-2</v>
      </c>
      <c r="AV38" s="7">
        <v>2.7027027027027015E-2</v>
      </c>
      <c r="AW38" s="7">
        <v>5.4054054054054029E-2</v>
      </c>
      <c r="AX38" s="7">
        <v>5.4054054054054029E-2</v>
      </c>
      <c r="AY38" s="7">
        <v>2.7027027027027015E-2</v>
      </c>
      <c r="AZ38" s="7">
        <v>0</v>
      </c>
      <c r="BA38" s="7">
        <v>5.4054054054054029E-2</v>
      </c>
      <c r="BB38" s="7">
        <v>8.1081081081081058E-2</v>
      </c>
      <c r="BC38" s="7">
        <v>1.3513513513513507E-2</v>
      </c>
      <c r="BD38">
        <v>2.7027027027027015E-2</v>
      </c>
      <c r="BE38">
        <v>28.87</v>
      </c>
      <c r="BF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38" s="42">
        <f>+IF(AVANCE[[#This Row],[FECHA INICIO REAL]]="","",AVANCE[[#This Row],[FECHA INICIO REAL]]-AVANCE[[#This Row],[FECHA INICIO TEORICO]])</f>
        <v>0</v>
      </c>
      <c r="BH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" spans="1:61" x14ac:dyDescent="0.25">
      <c r="A39" t="s">
        <v>857</v>
      </c>
      <c r="B39" t="s">
        <v>863</v>
      </c>
      <c r="C39">
        <v>2302600038</v>
      </c>
      <c r="D39" t="s">
        <v>834</v>
      </c>
      <c r="E39" s="4">
        <v>0.97499999999999987</v>
      </c>
      <c r="F39" s="1">
        <v>46123</v>
      </c>
      <c r="G39" s="1">
        <v>46123</v>
      </c>
      <c r="H39" s="1">
        <v>46184</v>
      </c>
      <c r="I39" s="1">
        <v>46160</v>
      </c>
      <c r="J39">
        <v>4</v>
      </c>
      <c r="K39" s="1"/>
      <c r="L39" s="7">
        <v>0.43</v>
      </c>
      <c r="M39" s="7">
        <v>1</v>
      </c>
      <c r="N39" s="7">
        <v>0.27906976744186046</v>
      </c>
      <c r="O39" s="7">
        <v>0.18604651162790695</v>
      </c>
      <c r="P39" s="7">
        <v>0.2558139534883721</v>
      </c>
      <c r="Q39" s="7">
        <v>0.18604651162790695</v>
      </c>
      <c r="R39" s="7">
        <v>9.3023255813953487E-2</v>
      </c>
      <c r="S39" s="7">
        <v>0.08</v>
      </c>
      <c r="T39" s="7">
        <v>0.88888888888888895</v>
      </c>
      <c r="U39" s="7">
        <v>0.22222222222222221</v>
      </c>
      <c r="V39" s="7">
        <v>0.22222222222222221</v>
      </c>
      <c r="W39" s="7">
        <v>0</v>
      </c>
      <c r="X39" s="7">
        <v>0.1111111111111111</v>
      </c>
      <c r="Y39" s="7">
        <v>0.1111111111111111</v>
      </c>
      <c r="Z39" s="7">
        <v>0.22222222222222221</v>
      </c>
      <c r="AA39" s="7">
        <v>0.11</v>
      </c>
      <c r="AB39" s="7">
        <v>1</v>
      </c>
      <c r="AC39" s="7">
        <v>0.27272727272727271</v>
      </c>
      <c r="AD39" s="7">
        <v>0.27272727272727271</v>
      </c>
      <c r="AE39" s="7">
        <v>9.0909090909090912E-2</v>
      </c>
      <c r="AF39" s="7">
        <v>0.18181818181818185</v>
      </c>
      <c r="AG39" s="7">
        <v>0.18181818181818185</v>
      </c>
      <c r="AH39" s="7">
        <v>0.35499999999999982</v>
      </c>
      <c r="AI39" s="7">
        <v>0.95945945945945899</v>
      </c>
      <c r="AJ39" s="7">
        <v>5.4054054054054029E-2</v>
      </c>
      <c r="AK39" s="7">
        <v>5.4054054054054029E-2</v>
      </c>
      <c r="AL39" s="7">
        <v>2.7027027027027015E-2</v>
      </c>
      <c r="AM39" s="7">
        <v>8.1081081081081058E-2</v>
      </c>
      <c r="AN39" s="7">
        <v>8.1081081081081058E-2</v>
      </c>
      <c r="AO39" s="7">
        <v>6.7567567567567557E-2</v>
      </c>
      <c r="AP39" s="7">
        <v>5.4054054054054029E-2</v>
      </c>
      <c r="AQ39" s="7">
        <v>1.3513513513513507E-2</v>
      </c>
      <c r="AR39" s="7">
        <v>4.0540540540540529E-2</v>
      </c>
      <c r="AS39" s="7">
        <v>1.3513513513513507E-2</v>
      </c>
      <c r="AT39" s="7">
        <v>8.1081081081081058E-2</v>
      </c>
      <c r="AU39" s="7">
        <v>5.4054054054054029E-2</v>
      </c>
      <c r="AV39" s="7">
        <v>2.7027027027027015E-2</v>
      </c>
      <c r="AW39" s="7">
        <v>5.4054054054054029E-2</v>
      </c>
      <c r="AX39" s="7">
        <v>5.4054054054054029E-2</v>
      </c>
      <c r="AY39" s="7">
        <v>2.7027027027027015E-2</v>
      </c>
      <c r="AZ39" s="7">
        <v>0</v>
      </c>
      <c r="BA39" s="7">
        <v>5.4054054054054029E-2</v>
      </c>
      <c r="BB39" s="7">
        <v>8.1081081081081058E-2</v>
      </c>
      <c r="BC39" s="7">
        <v>1.3513513513513507E-2</v>
      </c>
      <c r="BD39">
        <v>2.7027027027027015E-2</v>
      </c>
      <c r="BE39">
        <v>31.32</v>
      </c>
      <c r="BF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39" s="42">
        <f>+IF(AVANCE[[#This Row],[FECHA INICIO REAL]]="","",AVANCE[[#This Row],[FECHA INICIO REAL]]-AVANCE[[#This Row],[FECHA INICIO TEORICO]])</f>
        <v>0</v>
      </c>
      <c r="BH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" spans="1:61" x14ac:dyDescent="0.25">
      <c r="A40" t="s">
        <v>857</v>
      </c>
      <c r="B40" t="s">
        <v>864</v>
      </c>
      <c r="C40">
        <v>2302600039</v>
      </c>
      <c r="D40" t="s">
        <v>834</v>
      </c>
      <c r="E40" s="4">
        <v>0.95499999999999985</v>
      </c>
      <c r="F40" s="1">
        <v>46119</v>
      </c>
      <c r="G40" s="1">
        <v>46119</v>
      </c>
      <c r="H40" s="1">
        <v>46184</v>
      </c>
      <c r="I40" s="1">
        <v>46161</v>
      </c>
      <c r="J40">
        <v>4</v>
      </c>
      <c r="K40" s="1"/>
      <c r="L40" s="7">
        <v>0.43</v>
      </c>
      <c r="M40" s="7">
        <v>1</v>
      </c>
      <c r="N40" s="7">
        <v>0.27906976744186046</v>
      </c>
      <c r="O40" s="7">
        <v>0.18604651162790695</v>
      </c>
      <c r="P40" s="7">
        <v>0.2558139534883721</v>
      </c>
      <c r="Q40" s="7">
        <v>0.18604651162790695</v>
      </c>
      <c r="R40" s="7">
        <v>9.3023255813953487E-2</v>
      </c>
      <c r="S40" s="7">
        <v>0.09</v>
      </c>
      <c r="T40" s="7">
        <v>1</v>
      </c>
      <c r="U40" s="7">
        <v>0.22222222222222221</v>
      </c>
      <c r="V40" s="7">
        <v>0.22222222222222221</v>
      </c>
      <c r="W40" s="7">
        <v>0.1111111111111111</v>
      </c>
      <c r="X40" s="7">
        <v>0.1111111111111111</v>
      </c>
      <c r="Y40" s="7">
        <v>0.1111111111111111</v>
      </c>
      <c r="Z40" s="7">
        <v>0.22222222222222221</v>
      </c>
      <c r="AA40" s="7">
        <v>0.11</v>
      </c>
      <c r="AB40" s="7">
        <v>1</v>
      </c>
      <c r="AC40" s="7">
        <v>0.27272727272727271</v>
      </c>
      <c r="AD40" s="7">
        <v>0.27272727272727271</v>
      </c>
      <c r="AE40" s="7">
        <v>9.0909090909090912E-2</v>
      </c>
      <c r="AF40" s="7">
        <v>0.18181818181818185</v>
      </c>
      <c r="AG40" s="7">
        <v>0.18181818181818185</v>
      </c>
      <c r="AH40" s="7">
        <v>0.32499999999999984</v>
      </c>
      <c r="AI40" s="7">
        <v>0.87837837837837796</v>
      </c>
      <c r="AJ40" s="7">
        <v>5.4054054054054029E-2</v>
      </c>
      <c r="AK40" s="7">
        <v>5.4054054054054029E-2</v>
      </c>
      <c r="AL40" s="7">
        <v>2.7027027027027015E-2</v>
      </c>
      <c r="AM40" s="7">
        <v>8.1081081081081058E-2</v>
      </c>
      <c r="AN40" s="7">
        <v>8.1081081081081058E-2</v>
      </c>
      <c r="AO40" s="7">
        <v>6.7567567567567557E-2</v>
      </c>
      <c r="AP40" s="7">
        <v>5.4054054054054029E-2</v>
      </c>
      <c r="AQ40" s="7">
        <v>1.3513513513513507E-2</v>
      </c>
      <c r="AR40" s="7">
        <v>4.0540540540540529E-2</v>
      </c>
      <c r="AS40" s="7">
        <v>1.3513513513513507E-2</v>
      </c>
      <c r="AT40" s="7">
        <v>8.1081081081081058E-2</v>
      </c>
      <c r="AU40" s="7">
        <v>5.4054054054054029E-2</v>
      </c>
      <c r="AV40" s="7">
        <v>2.7027027027027015E-2</v>
      </c>
      <c r="AW40" s="7">
        <v>5.4054054054054029E-2</v>
      </c>
      <c r="AX40" s="7">
        <v>5.4054054054054029E-2</v>
      </c>
      <c r="AY40" s="7">
        <v>2.7027027027027015E-2</v>
      </c>
      <c r="AZ40" s="7">
        <v>0</v>
      </c>
      <c r="BA40" s="7">
        <v>5.4054054054054029E-2</v>
      </c>
      <c r="BB40" s="7">
        <v>0</v>
      </c>
      <c r="BC40" s="7">
        <v>1.3513513513513507E-2</v>
      </c>
      <c r="BD40">
        <v>2.7027027027027015E-2</v>
      </c>
      <c r="BE40">
        <v>31.32</v>
      </c>
      <c r="BF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0" s="42">
        <f>+IF(AVANCE[[#This Row],[FECHA INICIO REAL]]="","",AVANCE[[#This Row],[FECHA INICIO REAL]]-AVANCE[[#This Row],[FECHA INICIO TEORICO]])</f>
        <v>0</v>
      </c>
      <c r="BH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" spans="1:61" x14ac:dyDescent="0.25">
      <c r="A41" t="s">
        <v>857</v>
      </c>
      <c r="B41" t="s">
        <v>865</v>
      </c>
      <c r="C41">
        <v>2282600040</v>
      </c>
      <c r="D41" t="s">
        <v>833</v>
      </c>
      <c r="E41" s="4">
        <v>0.99999999999999989</v>
      </c>
      <c r="F41" s="1">
        <v>46119</v>
      </c>
      <c r="G41" s="1">
        <v>46119</v>
      </c>
      <c r="H41" s="1">
        <v>46185</v>
      </c>
      <c r="I41" s="1">
        <v>46161</v>
      </c>
      <c r="J41" t="s">
        <v>355</v>
      </c>
      <c r="K41" s="1">
        <v>46185</v>
      </c>
      <c r="L41" s="7">
        <v>0.43</v>
      </c>
      <c r="M41" s="7">
        <v>1</v>
      </c>
      <c r="N41" s="7">
        <v>0.27906976744186046</v>
      </c>
      <c r="O41" s="7">
        <v>0.18604651162790695</v>
      </c>
      <c r="P41" s="7">
        <v>0.2558139534883721</v>
      </c>
      <c r="Q41" s="7">
        <v>0.18604651162790695</v>
      </c>
      <c r="R41" s="7">
        <v>9.3023255813953487E-2</v>
      </c>
      <c r="S41" s="7">
        <v>0.09</v>
      </c>
      <c r="T41" s="7">
        <v>1</v>
      </c>
      <c r="U41" s="7">
        <v>0.22222222222222221</v>
      </c>
      <c r="V41" s="7">
        <v>0.22222222222222221</v>
      </c>
      <c r="W41" s="7">
        <v>0.1111111111111111</v>
      </c>
      <c r="X41" s="7">
        <v>0.1111111111111111</v>
      </c>
      <c r="Y41" s="7">
        <v>0.1111111111111111</v>
      </c>
      <c r="Z41" s="7">
        <v>0.22222222222222221</v>
      </c>
      <c r="AA41" s="7">
        <v>0.11</v>
      </c>
      <c r="AB41" s="7">
        <v>1</v>
      </c>
      <c r="AC41" s="7">
        <v>0.27272727272727271</v>
      </c>
      <c r="AD41" s="7">
        <v>0.27272727272727271</v>
      </c>
      <c r="AE41" s="7">
        <v>9.0909090909090912E-2</v>
      </c>
      <c r="AF41" s="7">
        <v>0.18181818181818185</v>
      </c>
      <c r="AG41" s="7">
        <v>0.18181818181818185</v>
      </c>
      <c r="AH41" s="7">
        <v>0.36999999999999983</v>
      </c>
      <c r="AI41" s="7">
        <v>0.99999999999999956</v>
      </c>
      <c r="AJ41" s="7">
        <v>5.4054054054054029E-2</v>
      </c>
      <c r="AK41" s="7">
        <v>5.4054054054054029E-2</v>
      </c>
      <c r="AL41" s="7">
        <v>2.7027027027027015E-2</v>
      </c>
      <c r="AM41" s="7">
        <v>8.1081081081081058E-2</v>
      </c>
      <c r="AN41" s="7">
        <v>8.1081081081081058E-2</v>
      </c>
      <c r="AO41" s="7">
        <v>6.7567567567567557E-2</v>
      </c>
      <c r="AP41" s="7">
        <v>5.4054054054054029E-2</v>
      </c>
      <c r="AQ41" s="7">
        <v>1.3513513513513507E-2</v>
      </c>
      <c r="AR41" s="7">
        <v>4.0540540540540529E-2</v>
      </c>
      <c r="AS41" s="7">
        <v>1.3513513513513507E-2</v>
      </c>
      <c r="AT41" s="7">
        <v>8.1081081081081058E-2</v>
      </c>
      <c r="AU41" s="7">
        <v>5.4054054054054029E-2</v>
      </c>
      <c r="AV41" s="7">
        <v>2.7027027027027015E-2</v>
      </c>
      <c r="AW41" s="7">
        <v>5.4054054054054029E-2</v>
      </c>
      <c r="AX41" s="7">
        <v>5.4054054054054029E-2</v>
      </c>
      <c r="AY41" s="7">
        <v>2.7027027027027015E-2</v>
      </c>
      <c r="AZ41" s="7">
        <v>4.0540540540540529E-2</v>
      </c>
      <c r="BA41" s="7">
        <v>5.4054054054054029E-2</v>
      </c>
      <c r="BB41" s="7">
        <v>8.1081081081081058E-2</v>
      </c>
      <c r="BC41" s="7">
        <v>1.3513513513513507E-2</v>
      </c>
      <c r="BD41">
        <v>2.7027027027027015E-2</v>
      </c>
      <c r="BE41">
        <v>28.87</v>
      </c>
      <c r="BF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1" s="42">
        <f>+IF(AVANCE[[#This Row],[FECHA INICIO REAL]]="","",AVANCE[[#This Row],[FECHA INICIO REAL]]-AVANCE[[#This Row],[FECHA INICIO TEORICO]])</f>
        <v>0</v>
      </c>
      <c r="BH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2" spans="1:61" x14ac:dyDescent="0.25">
      <c r="A42" t="s">
        <v>857</v>
      </c>
      <c r="B42" t="s">
        <v>866</v>
      </c>
      <c r="C42">
        <v>2282600041</v>
      </c>
      <c r="D42" t="s">
        <v>833</v>
      </c>
      <c r="E42" s="4">
        <v>0.99999999999999989</v>
      </c>
      <c r="F42" s="1">
        <v>46124</v>
      </c>
      <c r="G42" s="1">
        <v>46124</v>
      </c>
      <c r="H42" s="1">
        <v>46185</v>
      </c>
      <c r="I42" s="1">
        <v>46162</v>
      </c>
      <c r="J42" t="s">
        <v>355</v>
      </c>
      <c r="K42" s="1">
        <v>46185</v>
      </c>
      <c r="L42" s="7">
        <v>0.43</v>
      </c>
      <c r="M42" s="7">
        <v>1</v>
      </c>
      <c r="N42" s="7">
        <v>0.27906976744186046</v>
      </c>
      <c r="O42" s="7">
        <v>0.18604651162790695</v>
      </c>
      <c r="P42" s="7">
        <v>0.2558139534883721</v>
      </c>
      <c r="Q42" s="7">
        <v>0.18604651162790695</v>
      </c>
      <c r="R42" s="7">
        <v>9.3023255813953487E-2</v>
      </c>
      <c r="S42" s="7">
        <v>0.09</v>
      </c>
      <c r="T42" s="7">
        <v>1</v>
      </c>
      <c r="U42" s="7">
        <v>0.22222222222222221</v>
      </c>
      <c r="V42" s="7">
        <v>0.22222222222222221</v>
      </c>
      <c r="W42" s="7">
        <v>0.1111111111111111</v>
      </c>
      <c r="X42" s="7">
        <v>0.1111111111111111</v>
      </c>
      <c r="Y42" s="7">
        <v>0.1111111111111111</v>
      </c>
      <c r="Z42" s="7">
        <v>0.22222222222222221</v>
      </c>
      <c r="AA42" s="7">
        <v>0.11</v>
      </c>
      <c r="AB42" s="7">
        <v>1</v>
      </c>
      <c r="AC42" s="7">
        <v>0.27272727272727271</v>
      </c>
      <c r="AD42" s="7">
        <v>0.27272727272727271</v>
      </c>
      <c r="AE42" s="7">
        <v>9.0909090909090912E-2</v>
      </c>
      <c r="AF42" s="7">
        <v>0.18181818181818185</v>
      </c>
      <c r="AG42" s="7">
        <v>0.18181818181818185</v>
      </c>
      <c r="AH42" s="7">
        <v>0.36999999999999983</v>
      </c>
      <c r="AI42" s="7">
        <v>0.99999999999999956</v>
      </c>
      <c r="AJ42" s="7">
        <v>5.4054054054054029E-2</v>
      </c>
      <c r="AK42" s="7">
        <v>5.4054054054054029E-2</v>
      </c>
      <c r="AL42" s="7">
        <v>2.7027027027027015E-2</v>
      </c>
      <c r="AM42" s="7">
        <v>8.1081081081081058E-2</v>
      </c>
      <c r="AN42" s="7">
        <v>8.1081081081081058E-2</v>
      </c>
      <c r="AO42" s="7">
        <v>6.7567567567567557E-2</v>
      </c>
      <c r="AP42" s="7">
        <v>5.4054054054054029E-2</v>
      </c>
      <c r="AQ42" s="7">
        <v>1.3513513513513507E-2</v>
      </c>
      <c r="AR42" s="7">
        <v>4.0540540540540529E-2</v>
      </c>
      <c r="AS42" s="7">
        <v>1.3513513513513507E-2</v>
      </c>
      <c r="AT42" s="7">
        <v>8.1081081081081058E-2</v>
      </c>
      <c r="AU42" s="7">
        <v>5.4054054054054029E-2</v>
      </c>
      <c r="AV42" s="7">
        <v>2.7027027027027015E-2</v>
      </c>
      <c r="AW42" s="7">
        <v>5.4054054054054029E-2</v>
      </c>
      <c r="AX42" s="7">
        <v>5.4054054054054029E-2</v>
      </c>
      <c r="AY42" s="7">
        <v>2.7027027027027015E-2</v>
      </c>
      <c r="AZ42" s="7">
        <v>4.0540540540540529E-2</v>
      </c>
      <c r="BA42" s="7">
        <v>5.4054054054054029E-2</v>
      </c>
      <c r="BB42" s="7">
        <v>8.1081081081081058E-2</v>
      </c>
      <c r="BC42" s="7">
        <v>1.3513513513513507E-2</v>
      </c>
      <c r="BD42">
        <v>2.7027027027027015E-2</v>
      </c>
      <c r="BE42">
        <v>28.87</v>
      </c>
      <c r="BF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2" s="42">
        <f>+IF(AVANCE[[#This Row],[FECHA INICIO REAL]]="","",AVANCE[[#This Row],[FECHA INICIO REAL]]-AVANCE[[#This Row],[FECHA INICIO TEORICO]])</f>
        <v>0</v>
      </c>
      <c r="BH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3" spans="1:61" x14ac:dyDescent="0.25">
      <c r="A43" t="s">
        <v>857</v>
      </c>
      <c r="B43" t="s">
        <v>867</v>
      </c>
      <c r="C43">
        <v>2302600042</v>
      </c>
      <c r="D43" t="s">
        <v>834</v>
      </c>
      <c r="E43" s="4">
        <v>0.97499999999999987</v>
      </c>
      <c r="F43" s="1">
        <v>46129</v>
      </c>
      <c r="G43" s="1">
        <v>46129</v>
      </c>
      <c r="H43" s="1">
        <v>46188</v>
      </c>
      <c r="I43" s="1">
        <v>46162</v>
      </c>
      <c r="J43">
        <v>0</v>
      </c>
      <c r="K43" s="1"/>
      <c r="L43" s="7">
        <v>0.43</v>
      </c>
      <c r="M43" s="7">
        <v>1</v>
      </c>
      <c r="N43" s="7">
        <v>0.27906976744186046</v>
      </c>
      <c r="O43" s="7">
        <v>0.18604651162790695</v>
      </c>
      <c r="P43" s="7">
        <v>0.2558139534883721</v>
      </c>
      <c r="Q43" s="7">
        <v>0.18604651162790695</v>
      </c>
      <c r="R43" s="7">
        <v>9.3023255813953487E-2</v>
      </c>
      <c r="S43" s="7">
        <v>0.08</v>
      </c>
      <c r="T43" s="7">
        <v>0.88888888888888895</v>
      </c>
      <c r="U43" s="7">
        <v>0.22222222222222221</v>
      </c>
      <c r="V43" s="7">
        <v>0.22222222222222221</v>
      </c>
      <c r="W43" s="7">
        <v>0</v>
      </c>
      <c r="X43" s="7">
        <v>0.1111111111111111</v>
      </c>
      <c r="Y43" s="7">
        <v>0.1111111111111111</v>
      </c>
      <c r="Z43" s="7">
        <v>0.22222222222222221</v>
      </c>
      <c r="AA43" s="7">
        <v>0.11</v>
      </c>
      <c r="AB43" s="7">
        <v>1</v>
      </c>
      <c r="AC43" s="7">
        <v>0.27272727272727271</v>
      </c>
      <c r="AD43" s="7">
        <v>0.27272727272727271</v>
      </c>
      <c r="AE43" s="7">
        <v>9.0909090909090912E-2</v>
      </c>
      <c r="AF43" s="7">
        <v>0.18181818181818185</v>
      </c>
      <c r="AG43" s="7">
        <v>0.18181818181818185</v>
      </c>
      <c r="AH43" s="7">
        <v>0.35499999999999982</v>
      </c>
      <c r="AI43" s="7">
        <v>0.95945945945945899</v>
      </c>
      <c r="AJ43" s="7">
        <v>5.4054054054054029E-2</v>
      </c>
      <c r="AK43" s="7">
        <v>5.4054054054054029E-2</v>
      </c>
      <c r="AL43" s="7">
        <v>2.7027027027027015E-2</v>
      </c>
      <c r="AM43" s="7">
        <v>8.1081081081081058E-2</v>
      </c>
      <c r="AN43" s="7">
        <v>8.1081081081081058E-2</v>
      </c>
      <c r="AO43" s="7">
        <v>6.7567567567567557E-2</v>
      </c>
      <c r="AP43" s="7">
        <v>5.4054054054054029E-2</v>
      </c>
      <c r="AQ43" s="7">
        <v>1.3513513513513507E-2</v>
      </c>
      <c r="AR43" s="7">
        <v>4.0540540540540529E-2</v>
      </c>
      <c r="AS43" s="7">
        <v>1.3513513513513507E-2</v>
      </c>
      <c r="AT43" s="7">
        <v>8.1081081081081058E-2</v>
      </c>
      <c r="AU43" s="7">
        <v>5.4054054054054029E-2</v>
      </c>
      <c r="AV43" s="7">
        <v>2.7027027027027015E-2</v>
      </c>
      <c r="AW43" s="7">
        <v>5.4054054054054029E-2</v>
      </c>
      <c r="AX43" s="7">
        <v>5.4054054054054029E-2</v>
      </c>
      <c r="AY43" s="7">
        <v>2.7027027027027015E-2</v>
      </c>
      <c r="AZ43" s="7">
        <v>0</v>
      </c>
      <c r="BA43" s="7">
        <v>5.4054054054054029E-2</v>
      </c>
      <c r="BB43" s="7">
        <v>8.1081081081081058E-2</v>
      </c>
      <c r="BC43" s="7">
        <v>1.3513513513513507E-2</v>
      </c>
      <c r="BD43">
        <v>2.7027027027027015E-2</v>
      </c>
      <c r="BE43">
        <v>31.32</v>
      </c>
      <c r="BF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3" s="42">
        <f>+IF(AVANCE[[#This Row],[FECHA INICIO REAL]]="","",AVANCE[[#This Row],[FECHA INICIO REAL]]-AVANCE[[#This Row],[FECHA INICIO TEORICO]])</f>
        <v>0</v>
      </c>
      <c r="BH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" spans="1:61" x14ac:dyDescent="0.25">
      <c r="A44" t="s">
        <v>857</v>
      </c>
      <c r="B44" t="s">
        <v>868</v>
      </c>
      <c r="C44">
        <v>2302600043</v>
      </c>
      <c r="D44" t="s">
        <v>834</v>
      </c>
      <c r="E44" s="4">
        <v>0.93</v>
      </c>
      <c r="F44" s="1">
        <v>46127</v>
      </c>
      <c r="G44" s="1">
        <v>46127</v>
      </c>
      <c r="H44" s="1">
        <v>46188</v>
      </c>
      <c r="I44" s="1">
        <v>46164</v>
      </c>
      <c r="J44">
        <v>0</v>
      </c>
      <c r="K44" s="1"/>
      <c r="L44" s="7">
        <v>0.43</v>
      </c>
      <c r="M44" s="7">
        <v>1</v>
      </c>
      <c r="N44" s="7">
        <v>0.27906976744186046</v>
      </c>
      <c r="O44" s="7">
        <v>0.18604651162790695</v>
      </c>
      <c r="P44" s="7">
        <v>0.2558139534883721</v>
      </c>
      <c r="Q44" s="7">
        <v>0.18604651162790695</v>
      </c>
      <c r="R44" s="7">
        <v>9.3023255813953487E-2</v>
      </c>
      <c r="S44" s="7">
        <v>0.08</v>
      </c>
      <c r="T44" s="7">
        <v>0.88888888888888895</v>
      </c>
      <c r="U44" s="7">
        <v>0.22222222222222221</v>
      </c>
      <c r="V44" s="7">
        <v>0.22222222222222221</v>
      </c>
      <c r="W44" s="7">
        <v>0</v>
      </c>
      <c r="X44" s="7">
        <v>0.1111111111111111</v>
      </c>
      <c r="Y44" s="7">
        <v>0.1111111111111111</v>
      </c>
      <c r="Z44" s="7">
        <v>0.22222222222222221</v>
      </c>
      <c r="AA44" s="7">
        <v>0.11</v>
      </c>
      <c r="AB44" s="7">
        <v>1</v>
      </c>
      <c r="AC44" s="7">
        <v>0.27272727272727271</v>
      </c>
      <c r="AD44" s="7">
        <v>0.27272727272727271</v>
      </c>
      <c r="AE44" s="7">
        <v>9.0909090909090912E-2</v>
      </c>
      <c r="AF44" s="7">
        <v>0.18181818181818185</v>
      </c>
      <c r="AG44" s="7">
        <v>0.18181818181818185</v>
      </c>
      <c r="AH44" s="7">
        <v>0.30999999999999989</v>
      </c>
      <c r="AI44" s="7">
        <v>0.8378378378378375</v>
      </c>
      <c r="AJ44" s="7">
        <v>5.4054054054054029E-2</v>
      </c>
      <c r="AK44" s="7">
        <v>5.4054054054054029E-2</v>
      </c>
      <c r="AL44" s="7">
        <v>2.7027027027027015E-2</v>
      </c>
      <c r="AM44" s="7">
        <v>8.1081081081081058E-2</v>
      </c>
      <c r="AN44" s="7">
        <v>8.1081081081081058E-2</v>
      </c>
      <c r="AO44" s="7">
        <v>6.7567567567567557E-2</v>
      </c>
      <c r="AP44" s="7">
        <v>5.4054054054054029E-2</v>
      </c>
      <c r="AQ44" s="7">
        <v>1.3513513513513507E-2</v>
      </c>
      <c r="AR44" s="7">
        <v>0</v>
      </c>
      <c r="AS44" s="7">
        <v>1.3513513513513507E-2</v>
      </c>
      <c r="AT44" s="7">
        <v>8.1081081081081058E-2</v>
      </c>
      <c r="AU44" s="7">
        <v>0</v>
      </c>
      <c r="AV44" s="7">
        <v>0</v>
      </c>
      <c r="AW44" s="7">
        <v>5.4054054054054029E-2</v>
      </c>
      <c r="AX44" s="7">
        <v>5.4054054054054029E-2</v>
      </c>
      <c r="AY44" s="7">
        <v>2.7027027027027015E-2</v>
      </c>
      <c r="AZ44" s="7">
        <v>0</v>
      </c>
      <c r="BA44" s="7">
        <v>5.4054054054054029E-2</v>
      </c>
      <c r="BB44" s="7">
        <v>8.1081081081081058E-2</v>
      </c>
      <c r="BC44" s="7">
        <v>1.3513513513513507E-2</v>
      </c>
      <c r="BD44">
        <v>2.7027027027027015E-2</v>
      </c>
      <c r="BE44">
        <v>31.32</v>
      </c>
      <c r="BF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4" s="42">
        <f>+IF(AVANCE[[#This Row],[FECHA INICIO REAL]]="","",AVANCE[[#This Row],[FECHA INICIO REAL]]-AVANCE[[#This Row],[FECHA INICIO TEORICO]])</f>
        <v>0</v>
      </c>
      <c r="BH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" spans="1:61" x14ac:dyDescent="0.25">
      <c r="A45" t="s">
        <v>857</v>
      </c>
      <c r="B45" t="s">
        <v>869</v>
      </c>
      <c r="C45">
        <v>2282600044</v>
      </c>
      <c r="D45" t="s">
        <v>833</v>
      </c>
      <c r="E45" s="4">
        <v>0.98499999999999988</v>
      </c>
      <c r="F45" s="1">
        <v>46127</v>
      </c>
      <c r="G45" s="1">
        <v>46127</v>
      </c>
      <c r="H45" s="1">
        <v>46184</v>
      </c>
      <c r="I45" s="1">
        <v>46164</v>
      </c>
      <c r="J45">
        <v>4</v>
      </c>
      <c r="K45" s="1"/>
      <c r="L45" s="7">
        <v>0.43</v>
      </c>
      <c r="M45" s="7">
        <v>1</v>
      </c>
      <c r="N45" s="7">
        <v>0.27906976744186046</v>
      </c>
      <c r="O45" s="7">
        <v>0.18604651162790695</v>
      </c>
      <c r="P45" s="7">
        <v>0.2558139534883721</v>
      </c>
      <c r="Q45" s="7">
        <v>0.18604651162790695</v>
      </c>
      <c r="R45" s="7">
        <v>9.3023255813953487E-2</v>
      </c>
      <c r="S45" s="7">
        <v>0.09</v>
      </c>
      <c r="T45" s="7">
        <v>1</v>
      </c>
      <c r="U45" s="7">
        <v>0.22222222222222221</v>
      </c>
      <c r="V45" s="7">
        <v>0.22222222222222221</v>
      </c>
      <c r="W45" s="7">
        <v>0.1111111111111111</v>
      </c>
      <c r="X45" s="7">
        <v>0.1111111111111111</v>
      </c>
      <c r="Y45" s="7">
        <v>0.1111111111111111</v>
      </c>
      <c r="Z45" s="7">
        <v>0.22222222222222221</v>
      </c>
      <c r="AA45" s="7">
        <v>0.11</v>
      </c>
      <c r="AB45" s="7">
        <v>1</v>
      </c>
      <c r="AC45" s="7">
        <v>0.27272727272727271</v>
      </c>
      <c r="AD45" s="7">
        <v>0.27272727272727271</v>
      </c>
      <c r="AE45" s="7">
        <v>9.0909090909090912E-2</v>
      </c>
      <c r="AF45" s="7">
        <v>0.18181818181818185</v>
      </c>
      <c r="AG45" s="7">
        <v>0.18181818181818185</v>
      </c>
      <c r="AH45" s="7">
        <v>0.35499999999999982</v>
      </c>
      <c r="AI45" s="7">
        <v>0.95945945945945899</v>
      </c>
      <c r="AJ45" s="7">
        <v>5.4054054054054029E-2</v>
      </c>
      <c r="AK45" s="7">
        <v>5.4054054054054029E-2</v>
      </c>
      <c r="AL45" s="7">
        <v>2.7027027027027015E-2</v>
      </c>
      <c r="AM45" s="7">
        <v>8.1081081081081058E-2</v>
      </c>
      <c r="AN45" s="7">
        <v>8.1081081081081058E-2</v>
      </c>
      <c r="AO45" s="7">
        <v>6.7567567567567557E-2</v>
      </c>
      <c r="AP45" s="7">
        <v>5.4054054054054029E-2</v>
      </c>
      <c r="AQ45" s="7">
        <v>1.3513513513513507E-2</v>
      </c>
      <c r="AR45" s="7">
        <v>4.0540540540540529E-2</v>
      </c>
      <c r="AS45" s="7">
        <v>1.3513513513513507E-2</v>
      </c>
      <c r="AT45" s="7">
        <v>8.1081081081081058E-2</v>
      </c>
      <c r="AU45" s="7">
        <v>5.4054054054054029E-2</v>
      </c>
      <c r="AV45" s="7">
        <v>2.7027027027027015E-2</v>
      </c>
      <c r="AW45" s="7">
        <v>5.4054054054054029E-2</v>
      </c>
      <c r="AX45" s="7">
        <v>5.4054054054054029E-2</v>
      </c>
      <c r="AY45" s="7">
        <v>2.7027027027027015E-2</v>
      </c>
      <c r="AZ45" s="7">
        <v>0</v>
      </c>
      <c r="BA45" s="7">
        <v>5.4054054054054029E-2</v>
      </c>
      <c r="BB45" s="7">
        <v>8.1081081081081058E-2</v>
      </c>
      <c r="BC45" s="7">
        <v>1.3513513513513507E-2</v>
      </c>
      <c r="BD45">
        <v>2.7027027027027015E-2</v>
      </c>
      <c r="BE45">
        <v>28.87</v>
      </c>
      <c r="BF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5" s="42">
        <f>+IF(AVANCE[[#This Row],[FECHA INICIO REAL]]="","",AVANCE[[#This Row],[FECHA INICIO REAL]]-AVANCE[[#This Row],[FECHA INICIO TEORICO]])</f>
        <v>0</v>
      </c>
      <c r="BH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" spans="1:61" x14ac:dyDescent="0.25">
      <c r="A46" t="s">
        <v>857</v>
      </c>
      <c r="B46" t="s">
        <v>870</v>
      </c>
      <c r="C46">
        <v>2282600045</v>
      </c>
      <c r="D46" t="s">
        <v>833</v>
      </c>
      <c r="E46" s="4">
        <v>0.97499999999999987</v>
      </c>
      <c r="F46" s="1">
        <v>46132</v>
      </c>
      <c r="G46" s="1">
        <v>46132</v>
      </c>
      <c r="H46" s="1">
        <v>46185</v>
      </c>
      <c r="I46" s="1">
        <v>46167</v>
      </c>
      <c r="J46">
        <v>3</v>
      </c>
      <c r="K46" s="1"/>
      <c r="L46" s="7">
        <v>0.43</v>
      </c>
      <c r="M46" s="7">
        <v>1</v>
      </c>
      <c r="N46" s="7">
        <v>0.27906976744186046</v>
      </c>
      <c r="O46" s="7">
        <v>0.18604651162790695</v>
      </c>
      <c r="P46" s="7">
        <v>0.2558139534883721</v>
      </c>
      <c r="Q46" s="7">
        <v>0.18604651162790695</v>
      </c>
      <c r="R46" s="7">
        <v>9.3023255813953487E-2</v>
      </c>
      <c r="S46" s="7">
        <v>0.09</v>
      </c>
      <c r="T46" s="7">
        <v>1</v>
      </c>
      <c r="U46" s="7">
        <v>0.22222222222222221</v>
      </c>
      <c r="V46" s="7">
        <v>0.22222222222222221</v>
      </c>
      <c r="W46" s="7">
        <v>0.1111111111111111</v>
      </c>
      <c r="X46" s="7">
        <v>0.1111111111111111</v>
      </c>
      <c r="Y46" s="7">
        <v>0.1111111111111111</v>
      </c>
      <c r="Z46" s="7">
        <v>0.22222222222222221</v>
      </c>
      <c r="AA46" s="7">
        <v>0.1</v>
      </c>
      <c r="AB46" s="7">
        <v>0.90909090909090917</v>
      </c>
      <c r="AC46" s="7">
        <v>0.27272727272727271</v>
      </c>
      <c r="AD46" s="7">
        <v>0.27272727272727271</v>
      </c>
      <c r="AE46" s="7">
        <v>0</v>
      </c>
      <c r="AF46" s="7">
        <v>0.18181818181818185</v>
      </c>
      <c r="AG46" s="7">
        <v>0.18181818181818185</v>
      </c>
      <c r="AH46" s="7">
        <v>0.35499999999999982</v>
      </c>
      <c r="AI46" s="7">
        <v>0.95945945945945899</v>
      </c>
      <c r="AJ46" s="7">
        <v>5.4054054054054029E-2</v>
      </c>
      <c r="AK46" s="7">
        <v>5.4054054054054029E-2</v>
      </c>
      <c r="AL46" s="7">
        <v>2.7027027027027015E-2</v>
      </c>
      <c r="AM46" s="7">
        <v>8.1081081081081058E-2</v>
      </c>
      <c r="AN46" s="7">
        <v>8.1081081081081058E-2</v>
      </c>
      <c r="AO46" s="7">
        <v>6.7567567567567557E-2</v>
      </c>
      <c r="AP46" s="7">
        <v>5.4054054054054029E-2</v>
      </c>
      <c r="AQ46" s="7">
        <v>1.3513513513513507E-2</v>
      </c>
      <c r="AR46" s="7">
        <v>4.0540540540540529E-2</v>
      </c>
      <c r="AS46" s="7">
        <v>1.3513513513513507E-2</v>
      </c>
      <c r="AT46" s="7">
        <v>8.1081081081081058E-2</v>
      </c>
      <c r="AU46" s="7">
        <v>5.4054054054054029E-2</v>
      </c>
      <c r="AV46" s="7">
        <v>2.7027027027027015E-2</v>
      </c>
      <c r="AW46" s="7">
        <v>5.4054054054054029E-2</v>
      </c>
      <c r="AX46" s="7">
        <v>5.4054054054054029E-2</v>
      </c>
      <c r="AY46" s="7">
        <v>2.7027027027027015E-2</v>
      </c>
      <c r="AZ46" s="7">
        <v>0</v>
      </c>
      <c r="BA46" s="7">
        <v>5.4054054054054029E-2</v>
      </c>
      <c r="BB46" s="7">
        <v>8.1081081081081058E-2</v>
      </c>
      <c r="BC46" s="7">
        <v>1.3513513513513507E-2</v>
      </c>
      <c r="BD46">
        <v>2.7027027027027015E-2</v>
      </c>
      <c r="BE46">
        <v>28.87</v>
      </c>
      <c r="BF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6" s="42">
        <f>+IF(AVANCE[[#This Row],[FECHA INICIO REAL]]="","",AVANCE[[#This Row],[FECHA INICIO REAL]]-AVANCE[[#This Row],[FECHA INICIO TEORICO]])</f>
        <v>0</v>
      </c>
      <c r="BH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" spans="1:61" x14ac:dyDescent="0.25">
      <c r="A47" t="s">
        <v>857</v>
      </c>
      <c r="B47" t="s">
        <v>871</v>
      </c>
      <c r="C47">
        <v>2302600046</v>
      </c>
      <c r="D47" t="s">
        <v>834</v>
      </c>
      <c r="E47" s="4">
        <v>0.98499999999999988</v>
      </c>
      <c r="F47" s="1">
        <v>46126</v>
      </c>
      <c r="G47" s="1">
        <v>46126</v>
      </c>
      <c r="H47" s="1">
        <v>46188</v>
      </c>
      <c r="I47" s="1">
        <v>46167</v>
      </c>
      <c r="J47">
        <v>0</v>
      </c>
      <c r="K47" s="1"/>
      <c r="L47" s="7">
        <v>0.43</v>
      </c>
      <c r="M47" s="7">
        <v>1</v>
      </c>
      <c r="N47" s="7">
        <v>0.27906976744186046</v>
      </c>
      <c r="O47" s="7">
        <v>0.18604651162790695</v>
      </c>
      <c r="P47" s="7">
        <v>0.2558139534883721</v>
      </c>
      <c r="Q47" s="7">
        <v>0.18604651162790695</v>
      </c>
      <c r="R47" s="7">
        <v>9.3023255813953487E-2</v>
      </c>
      <c r="S47" s="7">
        <v>0.09</v>
      </c>
      <c r="T47" s="7">
        <v>1</v>
      </c>
      <c r="U47" s="7">
        <v>0.22222222222222221</v>
      </c>
      <c r="V47" s="7">
        <v>0.22222222222222221</v>
      </c>
      <c r="W47" s="7">
        <v>0.1111111111111111</v>
      </c>
      <c r="X47" s="7">
        <v>0.1111111111111111</v>
      </c>
      <c r="Y47" s="7">
        <v>0.1111111111111111</v>
      </c>
      <c r="Z47" s="7">
        <v>0.22222222222222221</v>
      </c>
      <c r="AA47" s="7">
        <v>0.11</v>
      </c>
      <c r="AB47" s="7">
        <v>1</v>
      </c>
      <c r="AC47" s="7">
        <v>0.27272727272727271</v>
      </c>
      <c r="AD47" s="7">
        <v>0.27272727272727271</v>
      </c>
      <c r="AE47" s="7">
        <v>9.0909090909090912E-2</v>
      </c>
      <c r="AF47" s="7">
        <v>0.18181818181818185</v>
      </c>
      <c r="AG47" s="7">
        <v>0.18181818181818185</v>
      </c>
      <c r="AH47" s="7">
        <v>0.35499999999999982</v>
      </c>
      <c r="AI47" s="7">
        <v>0.95945945945945899</v>
      </c>
      <c r="AJ47" s="7">
        <v>5.4054054054054029E-2</v>
      </c>
      <c r="AK47" s="7">
        <v>5.4054054054054029E-2</v>
      </c>
      <c r="AL47" s="7">
        <v>2.7027027027027015E-2</v>
      </c>
      <c r="AM47" s="7">
        <v>8.1081081081081058E-2</v>
      </c>
      <c r="AN47" s="7">
        <v>8.1081081081081058E-2</v>
      </c>
      <c r="AO47" s="7">
        <v>6.7567567567567557E-2</v>
      </c>
      <c r="AP47" s="7">
        <v>5.4054054054054029E-2</v>
      </c>
      <c r="AQ47" s="7">
        <v>1.3513513513513507E-2</v>
      </c>
      <c r="AR47" s="7">
        <v>4.0540540540540529E-2</v>
      </c>
      <c r="AS47" s="7">
        <v>1.3513513513513507E-2</v>
      </c>
      <c r="AT47" s="7">
        <v>8.1081081081081058E-2</v>
      </c>
      <c r="AU47" s="7">
        <v>5.4054054054054029E-2</v>
      </c>
      <c r="AV47" s="7">
        <v>2.7027027027027015E-2</v>
      </c>
      <c r="AW47" s="7">
        <v>5.4054054054054029E-2</v>
      </c>
      <c r="AX47" s="7">
        <v>5.4054054054054029E-2</v>
      </c>
      <c r="AY47" s="7">
        <v>2.7027027027027015E-2</v>
      </c>
      <c r="AZ47" s="7">
        <v>0</v>
      </c>
      <c r="BA47" s="7">
        <v>5.4054054054054029E-2</v>
      </c>
      <c r="BB47" s="7">
        <v>8.1081081081081058E-2</v>
      </c>
      <c r="BC47" s="7">
        <v>1.3513513513513507E-2</v>
      </c>
      <c r="BD47">
        <v>2.7027027027027015E-2</v>
      </c>
      <c r="BE47">
        <v>31.32</v>
      </c>
      <c r="BF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7" s="42">
        <f>+IF(AVANCE[[#This Row],[FECHA INICIO REAL]]="","",AVANCE[[#This Row],[FECHA INICIO REAL]]-AVANCE[[#This Row],[FECHA INICIO TEORICO]])</f>
        <v>0</v>
      </c>
      <c r="BH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" spans="1:61" x14ac:dyDescent="0.25">
      <c r="A48" t="s">
        <v>857</v>
      </c>
      <c r="B48" t="s">
        <v>872</v>
      </c>
      <c r="C48">
        <v>2302600047</v>
      </c>
      <c r="D48" t="s">
        <v>834</v>
      </c>
      <c r="E48" s="4">
        <v>0.85999999999999988</v>
      </c>
      <c r="F48" s="1">
        <v>46127</v>
      </c>
      <c r="G48" s="1">
        <v>46127</v>
      </c>
      <c r="H48" s="1">
        <v>46188</v>
      </c>
      <c r="I48" s="1">
        <v>46168</v>
      </c>
      <c r="J48">
        <v>0</v>
      </c>
      <c r="K48" s="1"/>
      <c r="L48" s="7">
        <v>0.43</v>
      </c>
      <c r="M48" s="7">
        <v>1</v>
      </c>
      <c r="N48" s="7">
        <v>0.27906976744186046</v>
      </c>
      <c r="O48" s="7">
        <v>0.18604651162790695</v>
      </c>
      <c r="P48" s="7">
        <v>0.2558139534883721</v>
      </c>
      <c r="Q48" s="7">
        <v>0.18604651162790695</v>
      </c>
      <c r="R48" s="7">
        <v>9.3023255813953487E-2</v>
      </c>
      <c r="S48" s="7">
        <v>0.05</v>
      </c>
      <c r="T48" s="7">
        <v>0.55555555555555558</v>
      </c>
      <c r="U48" s="7">
        <v>0.22222222222222221</v>
      </c>
      <c r="V48" s="7">
        <v>0.22222222222222221</v>
      </c>
      <c r="W48" s="7">
        <v>0</v>
      </c>
      <c r="X48" s="7">
        <v>0.1111111111111111</v>
      </c>
      <c r="Y48" s="7">
        <v>0</v>
      </c>
      <c r="Z48" s="7">
        <v>0</v>
      </c>
      <c r="AA48" s="7">
        <v>0.11</v>
      </c>
      <c r="AB48" s="7">
        <v>1</v>
      </c>
      <c r="AC48" s="7">
        <v>0.27272727272727271</v>
      </c>
      <c r="AD48" s="7">
        <v>0.27272727272727271</v>
      </c>
      <c r="AE48" s="7">
        <v>9.0909090909090912E-2</v>
      </c>
      <c r="AF48" s="7">
        <v>0.18181818181818185</v>
      </c>
      <c r="AG48" s="7">
        <v>0.18181818181818185</v>
      </c>
      <c r="AH48" s="7">
        <v>0.26999999999999991</v>
      </c>
      <c r="AI48" s="7">
        <v>0.72972972972972949</v>
      </c>
      <c r="AJ48" s="7">
        <v>5.4054054054054029E-2</v>
      </c>
      <c r="AK48" s="7">
        <v>5.4054054054054029E-2</v>
      </c>
      <c r="AL48" s="7">
        <v>2.7027027027027015E-2</v>
      </c>
      <c r="AM48" s="7">
        <v>8.1081081081081058E-2</v>
      </c>
      <c r="AN48" s="7">
        <v>8.1081081081081058E-2</v>
      </c>
      <c r="AO48" s="7">
        <v>6.7567567567567557E-2</v>
      </c>
      <c r="AP48" s="7">
        <v>5.4054054054054029E-2</v>
      </c>
      <c r="AQ48" s="7">
        <v>0</v>
      </c>
      <c r="AR48" s="7">
        <v>0</v>
      </c>
      <c r="AS48" s="7">
        <v>1.3513513513513507E-2</v>
      </c>
      <c r="AT48" s="7">
        <v>8.1081081081081058E-2</v>
      </c>
      <c r="AU48" s="7">
        <v>0</v>
      </c>
      <c r="AV48" s="7">
        <v>0</v>
      </c>
      <c r="AW48" s="7">
        <v>5.4054054054054029E-2</v>
      </c>
      <c r="AX48" s="7">
        <v>5.4054054054054029E-2</v>
      </c>
      <c r="AY48" s="7">
        <v>2.7027027027027015E-2</v>
      </c>
      <c r="AZ48" s="7">
        <v>0</v>
      </c>
      <c r="BA48" s="7">
        <v>5.4054054054054029E-2</v>
      </c>
      <c r="BB48" s="7">
        <v>0</v>
      </c>
      <c r="BC48" s="7">
        <v>0</v>
      </c>
      <c r="BD48">
        <v>2.7027027027027015E-2</v>
      </c>
      <c r="BE48">
        <v>31.32</v>
      </c>
      <c r="BF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48" s="42">
        <f>+IF(AVANCE[[#This Row],[FECHA INICIO REAL]]="","",AVANCE[[#This Row],[FECHA INICIO REAL]]-AVANCE[[#This Row],[FECHA INICIO TEORICO]])</f>
        <v>0</v>
      </c>
      <c r="BH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" spans="1:61" x14ac:dyDescent="0.25">
      <c r="A49" t="s">
        <v>857</v>
      </c>
      <c r="B49" t="s">
        <v>873</v>
      </c>
      <c r="C49">
        <v>2282600048</v>
      </c>
      <c r="D49" t="s">
        <v>833</v>
      </c>
      <c r="E49" s="4">
        <v>0.95499999999999985</v>
      </c>
      <c r="F49" s="1">
        <v>46126</v>
      </c>
      <c r="G49" s="1">
        <v>46126</v>
      </c>
      <c r="H49" s="1">
        <v>46169</v>
      </c>
      <c r="I49" s="1">
        <v>46168</v>
      </c>
      <c r="J49">
        <v>19</v>
      </c>
      <c r="K49" s="1"/>
      <c r="L49" s="7">
        <v>0.43</v>
      </c>
      <c r="M49" s="7">
        <v>1</v>
      </c>
      <c r="N49" s="7">
        <v>0.27906976744186046</v>
      </c>
      <c r="O49" s="7">
        <v>0.18604651162790695</v>
      </c>
      <c r="P49" s="7">
        <v>0.2558139534883721</v>
      </c>
      <c r="Q49" s="7">
        <v>0.18604651162790695</v>
      </c>
      <c r="R49" s="7">
        <v>9.3023255813953487E-2</v>
      </c>
      <c r="S49" s="7">
        <v>0.09</v>
      </c>
      <c r="T49" s="7">
        <v>1</v>
      </c>
      <c r="U49" s="7">
        <v>0.22222222222222221</v>
      </c>
      <c r="V49" s="7">
        <v>0.22222222222222221</v>
      </c>
      <c r="W49" s="7">
        <v>0.1111111111111111</v>
      </c>
      <c r="X49" s="7">
        <v>0.1111111111111111</v>
      </c>
      <c r="Y49" s="7">
        <v>0.1111111111111111</v>
      </c>
      <c r="Z49" s="7">
        <v>0.22222222222222221</v>
      </c>
      <c r="AA49" s="7">
        <v>0.1</v>
      </c>
      <c r="AB49" s="7">
        <v>0.90909090909090917</v>
      </c>
      <c r="AC49" s="7">
        <v>0.27272727272727271</v>
      </c>
      <c r="AD49" s="7">
        <v>0.27272727272727271</v>
      </c>
      <c r="AE49" s="7">
        <v>0</v>
      </c>
      <c r="AF49" s="7">
        <v>0.18181818181818185</v>
      </c>
      <c r="AG49" s="7">
        <v>0.18181818181818185</v>
      </c>
      <c r="AH49" s="7">
        <v>0.33499999999999985</v>
      </c>
      <c r="AI49" s="7">
        <v>0.90540540540540515</v>
      </c>
      <c r="AJ49" s="7">
        <v>5.4054054054054029E-2</v>
      </c>
      <c r="AK49" s="7">
        <v>5.4054054054054029E-2</v>
      </c>
      <c r="AL49" s="7">
        <v>2.7027027027027015E-2</v>
      </c>
      <c r="AM49" s="7">
        <v>8.1081081081081058E-2</v>
      </c>
      <c r="AN49" s="7">
        <v>8.1081081081081058E-2</v>
      </c>
      <c r="AO49" s="7">
        <v>6.7567567567567557E-2</v>
      </c>
      <c r="AP49" s="7">
        <v>5.4054054054054029E-2</v>
      </c>
      <c r="AQ49" s="7">
        <v>0</v>
      </c>
      <c r="AR49" s="7">
        <v>0</v>
      </c>
      <c r="AS49" s="7">
        <v>1.3513513513513507E-2</v>
      </c>
      <c r="AT49" s="7">
        <v>8.1081081081081058E-2</v>
      </c>
      <c r="AU49" s="7">
        <v>5.4054054054054029E-2</v>
      </c>
      <c r="AV49" s="7">
        <v>2.7027027027027015E-2</v>
      </c>
      <c r="AW49" s="7">
        <v>5.4054054054054029E-2</v>
      </c>
      <c r="AX49" s="7">
        <v>5.4054054054054029E-2</v>
      </c>
      <c r="AY49" s="7">
        <v>2.7027027027027015E-2</v>
      </c>
      <c r="AZ49" s="7">
        <v>0</v>
      </c>
      <c r="BA49" s="7">
        <v>5.4054054054054029E-2</v>
      </c>
      <c r="BB49" s="7">
        <v>8.1081081081081058E-2</v>
      </c>
      <c r="BC49" s="7">
        <v>1.3513513513513507E-2</v>
      </c>
      <c r="BD49">
        <v>2.7027027027027015E-2</v>
      </c>
      <c r="BE49">
        <v>28.87</v>
      </c>
      <c r="BF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9" s="42">
        <f>+IF(AVANCE[[#This Row],[FECHA INICIO REAL]]="","",AVANCE[[#This Row],[FECHA INICIO REAL]]-AVANCE[[#This Row],[FECHA INICIO TEORICO]])</f>
        <v>0</v>
      </c>
      <c r="BH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" spans="1:61" x14ac:dyDescent="0.25">
      <c r="A50" t="s">
        <v>857</v>
      </c>
      <c r="B50" t="s">
        <v>874</v>
      </c>
      <c r="C50">
        <v>2282600049</v>
      </c>
      <c r="D50" t="s">
        <v>833</v>
      </c>
      <c r="E50" s="4">
        <v>0.94499999999999984</v>
      </c>
      <c r="F50" s="1">
        <v>46134</v>
      </c>
      <c r="G50" s="1">
        <v>46134</v>
      </c>
      <c r="H50" s="1">
        <v>46188</v>
      </c>
      <c r="I50" s="1">
        <v>46169</v>
      </c>
      <c r="J50">
        <v>0</v>
      </c>
      <c r="K50" s="1"/>
      <c r="L50" s="7">
        <v>0.43</v>
      </c>
      <c r="M50" s="7">
        <v>1</v>
      </c>
      <c r="N50" s="7">
        <v>0.27906976744186046</v>
      </c>
      <c r="O50" s="7">
        <v>0.18604651162790695</v>
      </c>
      <c r="P50" s="7">
        <v>0.2558139534883721</v>
      </c>
      <c r="Q50" s="7">
        <v>0.18604651162790695</v>
      </c>
      <c r="R50" s="7">
        <v>9.3023255813953487E-2</v>
      </c>
      <c r="S50" s="7">
        <v>0.09</v>
      </c>
      <c r="T50" s="7">
        <v>1</v>
      </c>
      <c r="U50" s="7">
        <v>0.22222222222222221</v>
      </c>
      <c r="V50" s="7">
        <v>0.22222222222222221</v>
      </c>
      <c r="W50" s="7">
        <v>0.1111111111111111</v>
      </c>
      <c r="X50" s="7">
        <v>0.1111111111111111</v>
      </c>
      <c r="Y50" s="7">
        <v>0.1111111111111111</v>
      </c>
      <c r="Z50" s="7">
        <v>0.22222222222222221</v>
      </c>
      <c r="AA50" s="7">
        <v>6.9999999999999993E-2</v>
      </c>
      <c r="AB50" s="7">
        <v>0.63636363636363635</v>
      </c>
      <c r="AC50" s="7">
        <v>0.27272727272727271</v>
      </c>
      <c r="AD50" s="7">
        <v>0</v>
      </c>
      <c r="AE50" s="7">
        <v>0</v>
      </c>
      <c r="AF50" s="7">
        <v>0.18181818181818185</v>
      </c>
      <c r="AG50" s="7">
        <v>0.18181818181818185</v>
      </c>
      <c r="AH50" s="7">
        <v>0.35499999999999982</v>
      </c>
      <c r="AI50" s="7">
        <v>0.95945945945945899</v>
      </c>
      <c r="AJ50" s="7">
        <v>5.4054054054054029E-2</v>
      </c>
      <c r="AK50" s="7">
        <v>5.4054054054054029E-2</v>
      </c>
      <c r="AL50" s="7">
        <v>2.7027027027027015E-2</v>
      </c>
      <c r="AM50" s="7">
        <v>8.1081081081081058E-2</v>
      </c>
      <c r="AN50" s="7">
        <v>8.1081081081081058E-2</v>
      </c>
      <c r="AO50" s="7">
        <v>6.7567567567567557E-2</v>
      </c>
      <c r="AP50" s="7">
        <v>5.4054054054054029E-2</v>
      </c>
      <c r="AQ50" s="7">
        <v>1.3513513513513507E-2</v>
      </c>
      <c r="AR50" s="7">
        <v>4.0540540540540529E-2</v>
      </c>
      <c r="AS50" s="7">
        <v>1.3513513513513507E-2</v>
      </c>
      <c r="AT50" s="7">
        <v>8.1081081081081058E-2</v>
      </c>
      <c r="AU50" s="7">
        <v>5.4054054054054029E-2</v>
      </c>
      <c r="AV50" s="7">
        <v>2.7027027027027015E-2</v>
      </c>
      <c r="AW50" s="7">
        <v>5.4054054054054029E-2</v>
      </c>
      <c r="AX50" s="7">
        <v>5.4054054054054029E-2</v>
      </c>
      <c r="AY50" s="7">
        <v>2.7027027027027015E-2</v>
      </c>
      <c r="AZ50" s="7">
        <v>0</v>
      </c>
      <c r="BA50" s="7">
        <v>5.4054054054054029E-2</v>
      </c>
      <c r="BB50" s="7">
        <v>8.1081081081081058E-2</v>
      </c>
      <c r="BC50" s="7">
        <v>1.3513513513513507E-2</v>
      </c>
      <c r="BD50">
        <v>2.7027027027027015E-2</v>
      </c>
      <c r="BE50">
        <v>28.87</v>
      </c>
      <c r="BF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0" s="42">
        <f>+IF(AVANCE[[#This Row],[FECHA INICIO REAL]]="","",AVANCE[[#This Row],[FECHA INICIO REAL]]-AVANCE[[#This Row],[FECHA INICIO TEORICO]])</f>
        <v>0</v>
      </c>
      <c r="BH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" spans="1:61" x14ac:dyDescent="0.25">
      <c r="A51" t="s">
        <v>857</v>
      </c>
      <c r="B51" t="s">
        <v>875</v>
      </c>
      <c r="C51">
        <v>2302600050</v>
      </c>
      <c r="D51" t="s">
        <v>834</v>
      </c>
      <c r="E51" s="4">
        <v>0.91500000000000004</v>
      </c>
      <c r="F51" s="1">
        <v>46136</v>
      </c>
      <c r="G51" s="1">
        <v>46136</v>
      </c>
      <c r="H51" s="1">
        <v>46188</v>
      </c>
      <c r="I51" s="1">
        <v>46169</v>
      </c>
      <c r="J51">
        <v>0</v>
      </c>
      <c r="K51" s="1"/>
      <c r="L51" s="7">
        <v>0.43</v>
      </c>
      <c r="M51" s="7">
        <v>1</v>
      </c>
      <c r="N51" s="7">
        <v>0.27906976744186046</v>
      </c>
      <c r="O51" s="7">
        <v>0.18604651162790695</v>
      </c>
      <c r="P51" s="7">
        <v>0.2558139534883721</v>
      </c>
      <c r="Q51" s="7">
        <v>0.18604651162790695</v>
      </c>
      <c r="R51" s="7">
        <v>9.3023255813953487E-2</v>
      </c>
      <c r="S51" s="7">
        <v>0.09</v>
      </c>
      <c r="T51" s="7">
        <v>1</v>
      </c>
      <c r="U51" s="7">
        <v>0.22222222222222221</v>
      </c>
      <c r="V51" s="7">
        <v>0.22222222222222221</v>
      </c>
      <c r="W51" s="7">
        <v>0.1111111111111111</v>
      </c>
      <c r="X51" s="7">
        <v>0.1111111111111111</v>
      </c>
      <c r="Y51" s="7">
        <v>0.1111111111111111</v>
      </c>
      <c r="Z51" s="7">
        <v>0.22222222222222221</v>
      </c>
      <c r="AA51" s="7">
        <v>0.06</v>
      </c>
      <c r="AB51" s="7">
        <v>0.54545454545454541</v>
      </c>
      <c r="AC51" s="7">
        <v>0.27272727272727271</v>
      </c>
      <c r="AD51" s="7">
        <v>0.27272727272727271</v>
      </c>
      <c r="AE51" s="7">
        <v>0</v>
      </c>
      <c r="AF51" s="7">
        <v>0</v>
      </c>
      <c r="AG51" s="7">
        <v>0</v>
      </c>
      <c r="AH51" s="7">
        <v>0.33499999999999985</v>
      </c>
      <c r="AI51" s="7">
        <v>0.90540540540540515</v>
      </c>
      <c r="AJ51" s="7">
        <v>5.4054054054054029E-2</v>
      </c>
      <c r="AK51" s="7">
        <v>5.4054054054054029E-2</v>
      </c>
      <c r="AL51" s="7">
        <v>2.7027027027027015E-2</v>
      </c>
      <c r="AM51" s="7">
        <v>8.1081081081081058E-2</v>
      </c>
      <c r="AN51" s="7">
        <v>8.1081081081081058E-2</v>
      </c>
      <c r="AO51" s="7">
        <v>6.7567567567567557E-2</v>
      </c>
      <c r="AP51" s="7">
        <v>5.4054054054054029E-2</v>
      </c>
      <c r="AQ51" s="7">
        <v>0</v>
      </c>
      <c r="AR51" s="7">
        <v>0</v>
      </c>
      <c r="AS51" s="7">
        <v>1.3513513513513507E-2</v>
      </c>
      <c r="AT51" s="7">
        <v>8.1081081081081058E-2</v>
      </c>
      <c r="AU51" s="7">
        <v>5.4054054054054029E-2</v>
      </c>
      <c r="AV51" s="7">
        <v>2.7027027027027015E-2</v>
      </c>
      <c r="AW51" s="7">
        <v>5.4054054054054029E-2</v>
      </c>
      <c r="AX51" s="7">
        <v>5.4054054054054029E-2</v>
      </c>
      <c r="AY51" s="7">
        <v>2.7027027027027015E-2</v>
      </c>
      <c r="AZ51" s="7">
        <v>0</v>
      </c>
      <c r="BA51" s="7">
        <v>5.4054054054054029E-2</v>
      </c>
      <c r="BB51" s="7">
        <v>8.1081081081081058E-2</v>
      </c>
      <c r="BC51" s="7">
        <v>1.3513513513513507E-2</v>
      </c>
      <c r="BD51">
        <v>2.7027027027027015E-2</v>
      </c>
      <c r="BE51">
        <v>31.32</v>
      </c>
      <c r="BF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1" s="42">
        <f>+IF(AVANCE[[#This Row],[FECHA INICIO REAL]]="","",AVANCE[[#This Row],[FECHA INICIO REAL]]-AVANCE[[#This Row],[FECHA INICIO TEORICO]])</f>
        <v>0</v>
      </c>
      <c r="BH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" spans="1:61" x14ac:dyDescent="0.25">
      <c r="A52" t="s">
        <v>857</v>
      </c>
      <c r="B52" t="s">
        <v>876</v>
      </c>
      <c r="C52">
        <v>2302600051</v>
      </c>
      <c r="D52" t="s">
        <v>834</v>
      </c>
      <c r="E52" s="4">
        <v>0.86499999999999999</v>
      </c>
      <c r="F52" s="1">
        <v>46140</v>
      </c>
      <c r="G52" s="1">
        <v>46140</v>
      </c>
      <c r="H52" s="1">
        <v>46176</v>
      </c>
      <c r="I52" s="1">
        <v>46170</v>
      </c>
      <c r="J52">
        <v>12</v>
      </c>
      <c r="K52" s="1"/>
      <c r="L52" s="7">
        <v>0.43</v>
      </c>
      <c r="M52" s="7">
        <v>1</v>
      </c>
      <c r="N52" s="7">
        <v>0.27906976744186046</v>
      </c>
      <c r="O52" s="7">
        <v>0.18604651162790695</v>
      </c>
      <c r="P52" s="7">
        <v>0.2558139534883721</v>
      </c>
      <c r="Q52" s="7">
        <v>0.18604651162790695</v>
      </c>
      <c r="R52" s="7">
        <v>9.3023255813953487E-2</v>
      </c>
      <c r="S52" s="7">
        <v>0.08</v>
      </c>
      <c r="T52" s="7">
        <v>0.88888888888888895</v>
      </c>
      <c r="U52" s="7">
        <v>0.22222222222222221</v>
      </c>
      <c r="V52" s="7">
        <v>0.22222222222222221</v>
      </c>
      <c r="W52" s="7">
        <v>0</v>
      </c>
      <c r="X52" s="7">
        <v>0.1111111111111111</v>
      </c>
      <c r="Y52" s="7">
        <v>0.1111111111111111</v>
      </c>
      <c r="Z52" s="7">
        <v>0.22222222222222221</v>
      </c>
      <c r="AA52" s="7">
        <v>0.06</v>
      </c>
      <c r="AB52" s="7">
        <v>0.54545454545454541</v>
      </c>
      <c r="AC52" s="7">
        <v>0.27272727272727271</v>
      </c>
      <c r="AD52" s="7">
        <v>0.27272727272727271</v>
      </c>
      <c r="AE52" s="7">
        <v>0</v>
      </c>
      <c r="AF52" s="7">
        <v>0</v>
      </c>
      <c r="AG52" s="7">
        <v>0</v>
      </c>
      <c r="AH52" s="7">
        <v>0.29499999999999987</v>
      </c>
      <c r="AI52" s="7">
        <v>0.79729729729729693</v>
      </c>
      <c r="AJ52" s="7">
        <v>5.4054054054054029E-2</v>
      </c>
      <c r="AK52" s="7">
        <v>5.4054054054054029E-2</v>
      </c>
      <c r="AL52" s="7">
        <v>0</v>
      </c>
      <c r="AM52" s="7">
        <v>8.1081081081081058E-2</v>
      </c>
      <c r="AN52" s="7">
        <v>8.1081081081081058E-2</v>
      </c>
      <c r="AO52" s="7">
        <v>6.7567567567567557E-2</v>
      </c>
      <c r="AP52" s="7">
        <v>5.4054054054054029E-2</v>
      </c>
      <c r="AQ52" s="7">
        <v>0</v>
      </c>
      <c r="AR52" s="7">
        <v>0</v>
      </c>
      <c r="AS52" s="7">
        <v>1.3513513513513507E-2</v>
      </c>
      <c r="AT52" s="7">
        <v>8.1081081081081058E-2</v>
      </c>
      <c r="AU52" s="7">
        <v>0</v>
      </c>
      <c r="AV52" s="7">
        <v>0</v>
      </c>
      <c r="AW52" s="7">
        <v>5.4054054054054029E-2</v>
      </c>
      <c r="AX52" s="7">
        <v>5.4054054054054029E-2</v>
      </c>
      <c r="AY52" s="7">
        <v>2.7027027027027015E-2</v>
      </c>
      <c r="AZ52" s="7">
        <v>0</v>
      </c>
      <c r="BA52" s="7">
        <v>5.4054054054054029E-2</v>
      </c>
      <c r="BB52" s="7">
        <v>8.1081081081081058E-2</v>
      </c>
      <c r="BC52" s="7">
        <v>1.3513513513513507E-2</v>
      </c>
      <c r="BD52">
        <v>2.7027027027027015E-2</v>
      </c>
      <c r="BE52">
        <v>31.32</v>
      </c>
      <c r="BF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52" s="42">
        <f>+IF(AVANCE[[#This Row],[FECHA INICIO REAL]]="","",AVANCE[[#This Row],[FECHA INICIO REAL]]-AVANCE[[#This Row],[FECHA INICIO TEORICO]])</f>
        <v>0</v>
      </c>
      <c r="BH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" spans="1:61" x14ac:dyDescent="0.25">
      <c r="A53" t="s">
        <v>857</v>
      </c>
      <c r="B53" t="s">
        <v>877</v>
      </c>
      <c r="C53">
        <v>2282600052</v>
      </c>
      <c r="D53" t="s">
        <v>833</v>
      </c>
      <c r="E53" s="4">
        <v>0.97499999999999987</v>
      </c>
      <c r="F53" s="1">
        <v>46134</v>
      </c>
      <c r="G53" s="1">
        <v>46134</v>
      </c>
      <c r="H53" s="1">
        <v>46188</v>
      </c>
      <c r="I53" s="1">
        <v>46170</v>
      </c>
      <c r="J53">
        <v>0</v>
      </c>
      <c r="K53" s="1"/>
      <c r="L53" s="7">
        <v>0.43</v>
      </c>
      <c r="M53" s="7">
        <v>1</v>
      </c>
      <c r="N53" s="7">
        <v>0.27906976744186046</v>
      </c>
      <c r="O53" s="7">
        <v>0.18604651162790695</v>
      </c>
      <c r="P53" s="7">
        <v>0.2558139534883721</v>
      </c>
      <c r="Q53" s="7">
        <v>0.18604651162790695</v>
      </c>
      <c r="R53" s="7">
        <v>9.3023255813953487E-2</v>
      </c>
      <c r="S53" s="7">
        <v>0.09</v>
      </c>
      <c r="T53" s="7">
        <v>1</v>
      </c>
      <c r="U53" s="7">
        <v>0.22222222222222221</v>
      </c>
      <c r="V53" s="7">
        <v>0.22222222222222221</v>
      </c>
      <c r="W53" s="7">
        <v>0.1111111111111111</v>
      </c>
      <c r="X53" s="7">
        <v>0.1111111111111111</v>
      </c>
      <c r="Y53" s="7">
        <v>0.1111111111111111</v>
      </c>
      <c r="Z53" s="7">
        <v>0.22222222222222221</v>
      </c>
      <c r="AA53" s="7">
        <v>0.1</v>
      </c>
      <c r="AB53" s="7">
        <v>0.90909090909090917</v>
      </c>
      <c r="AC53" s="7">
        <v>0.27272727272727271</v>
      </c>
      <c r="AD53" s="7">
        <v>0.27272727272727271</v>
      </c>
      <c r="AE53" s="7">
        <v>0</v>
      </c>
      <c r="AF53" s="7">
        <v>0.18181818181818185</v>
      </c>
      <c r="AG53" s="7">
        <v>0.18181818181818185</v>
      </c>
      <c r="AH53" s="7">
        <v>0.35499999999999982</v>
      </c>
      <c r="AI53" s="7">
        <v>0.95945945945945899</v>
      </c>
      <c r="AJ53" s="7">
        <v>5.4054054054054029E-2</v>
      </c>
      <c r="AK53" s="7">
        <v>5.4054054054054029E-2</v>
      </c>
      <c r="AL53" s="7">
        <v>2.7027027027027015E-2</v>
      </c>
      <c r="AM53" s="7">
        <v>8.1081081081081058E-2</v>
      </c>
      <c r="AN53" s="7">
        <v>8.1081081081081058E-2</v>
      </c>
      <c r="AO53" s="7">
        <v>6.7567567567567557E-2</v>
      </c>
      <c r="AP53" s="7">
        <v>5.4054054054054029E-2</v>
      </c>
      <c r="AQ53" s="7">
        <v>1.3513513513513507E-2</v>
      </c>
      <c r="AR53" s="7">
        <v>4.0540540540540529E-2</v>
      </c>
      <c r="AS53" s="7">
        <v>1.3513513513513507E-2</v>
      </c>
      <c r="AT53" s="7">
        <v>8.1081081081081058E-2</v>
      </c>
      <c r="AU53" s="7">
        <v>5.4054054054054029E-2</v>
      </c>
      <c r="AV53" s="7">
        <v>2.7027027027027015E-2</v>
      </c>
      <c r="AW53" s="7">
        <v>5.4054054054054029E-2</v>
      </c>
      <c r="AX53" s="7">
        <v>5.4054054054054029E-2</v>
      </c>
      <c r="AY53" s="7">
        <v>2.7027027027027015E-2</v>
      </c>
      <c r="AZ53" s="7">
        <v>0</v>
      </c>
      <c r="BA53" s="7">
        <v>5.4054054054054029E-2</v>
      </c>
      <c r="BB53" s="7">
        <v>8.1081081081081058E-2</v>
      </c>
      <c r="BC53" s="7">
        <v>1.3513513513513507E-2</v>
      </c>
      <c r="BD53">
        <v>2.7027027027027015E-2</v>
      </c>
      <c r="BE53">
        <v>28.87</v>
      </c>
      <c r="BF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3" s="42">
        <f>+IF(AVANCE[[#This Row],[FECHA INICIO REAL]]="","",AVANCE[[#This Row],[FECHA INICIO REAL]]-AVANCE[[#This Row],[FECHA INICIO TEORICO]])</f>
        <v>0</v>
      </c>
      <c r="BH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" spans="1:61" x14ac:dyDescent="0.25">
      <c r="A54" t="s">
        <v>857</v>
      </c>
      <c r="B54" t="s">
        <v>878</v>
      </c>
      <c r="C54">
        <v>2282600053</v>
      </c>
      <c r="D54" t="s">
        <v>833</v>
      </c>
      <c r="E54" s="4">
        <v>0.97499999999999987</v>
      </c>
      <c r="F54" s="1">
        <v>46139</v>
      </c>
      <c r="G54" s="1">
        <v>46139</v>
      </c>
      <c r="H54" s="1">
        <v>46188</v>
      </c>
      <c r="I54" s="1">
        <v>46171</v>
      </c>
      <c r="J54">
        <v>0</v>
      </c>
      <c r="K54" s="1"/>
      <c r="L54" s="7">
        <v>0.43</v>
      </c>
      <c r="M54" s="7">
        <v>1</v>
      </c>
      <c r="N54" s="7">
        <v>0.27906976744186046</v>
      </c>
      <c r="O54" s="7">
        <v>0.18604651162790695</v>
      </c>
      <c r="P54" s="7">
        <v>0.2558139534883721</v>
      </c>
      <c r="Q54" s="7">
        <v>0.18604651162790695</v>
      </c>
      <c r="R54" s="7">
        <v>9.3023255813953487E-2</v>
      </c>
      <c r="S54" s="7">
        <v>0.09</v>
      </c>
      <c r="T54" s="7">
        <v>1</v>
      </c>
      <c r="U54" s="7">
        <v>0.22222222222222221</v>
      </c>
      <c r="V54" s="7">
        <v>0.22222222222222221</v>
      </c>
      <c r="W54" s="7">
        <v>0.1111111111111111</v>
      </c>
      <c r="X54" s="7">
        <v>0.1111111111111111</v>
      </c>
      <c r="Y54" s="7">
        <v>0.1111111111111111</v>
      </c>
      <c r="Z54" s="7">
        <v>0.22222222222222221</v>
      </c>
      <c r="AA54" s="7">
        <v>0.1</v>
      </c>
      <c r="AB54" s="7">
        <v>0.90909090909090917</v>
      </c>
      <c r="AC54" s="7">
        <v>0.27272727272727271</v>
      </c>
      <c r="AD54" s="7">
        <v>0.27272727272727271</v>
      </c>
      <c r="AE54" s="7">
        <v>0</v>
      </c>
      <c r="AF54" s="7">
        <v>0.18181818181818185</v>
      </c>
      <c r="AG54" s="7">
        <v>0.18181818181818185</v>
      </c>
      <c r="AH54" s="7">
        <v>0.35499999999999982</v>
      </c>
      <c r="AI54" s="7">
        <v>0.95945945945945899</v>
      </c>
      <c r="AJ54" s="7">
        <v>5.4054054054054029E-2</v>
      </c>
      <c r="AK54" s="7">
        <v>5.4054054054054029E-2</v>
      </c>
      <c r="AL54" s="7">
        <v>2.7027027027027015E-2</v>
      </c>
      <c r="AM54" s="7">
        <v>8.1081081081081058E-2</v>
      </c>
      <c r="AN54" s="7">
        <v>8.1081081081081058E-2</v>
      </c>
      <c r="AO54" s="7">
        <v>6.7567567567567557E-2</v>
      </c>
      <c r="AP54" s="7">
        <v>5.4054054054054029E-2</v>
      </c>
      <c r="AQ54" s="7">
        <v>1.3513513513513507E-2</v>
      </c>
      <c r="AR54" s="7">
        <v>4.0540540540540529E-2</v>
      </c>
      <c r="AS54" s="7">
        <v>1.3513513513513507E-2</v>
      </c>
      <c r="AT54" s="7">
        <v>8.1081081081081058E-2</v>
      </c>
      <c r="AU54" s="7">
        <v>5.4054054054054029E-2</v>
      </c>
      <c r="AV54" s="7">
        <v>2.7027027027027015E-2</v>
      </c>
      <c r="AW54" s="7">
        <v>5.4054054054054029E-2</v>
      </c>
      <c r="AX54" s="7">
        <v>5.4054054054054029E-2</v>
      </c>
      <c r="AY54" s="7">
        <v>2.7027027027027015E-2</v>
      </c>
      <c r="AZ54" s="7">
        <v>0</v>
      </c>
      <c r="BA54" s="7">
        <v>5.4054054054054029E-2</v>
      </c>
      <c r="BB54" s="7">
        <v>8.1081081081081058E-2</v>
      </c>
      <c r="BC54" s="7">
        <v>1.3513513513513507E-2</v>
      </c>
      <c r="BD54">
        <v>2.7027027027027015E-2</v>
      </c>
      <c r="BE54">
        <v>28.87</v>
      </c>
      <c r="BF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4" s="42">
        <f>+IF(AVANCE[[#This Row],[FECHA INICIO REAL]]="","",AVANCE[[#This Row],[FECHA INICIO REAL]]-AVANCE[[#This Row],[FECHA INICIO TEORICO]])</f>
        <v>0</v>
      </c>
      <c r="BH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" spans="1:61" x14ac:dyDescent="0.25">
      <c r="A55" t="s">
        <v>857</v>
      </c>
      <c r="B55" t="s">
        <v>879</v>
      </c>
      <c r="C55">
        <v>2302600054</v>
      </c>
      <c r="D55" t="s">
        <v>834</v>
      </c>
      <c r="E55" s="4">
        <v>0.78</v>
      </c>
      <c r="F55" s="1">
        <v>46141</v>
      </c>
      <c r="G55" s="1">
        <v>46141</v>
      </c>
      <c r="H55" s="1">
        <v>46188</v>
      </c>
      <c r="I55" s="1">
        <v>46171</v>
      </c>
      <c r="J55">
        <v>0</v>
      </c>
      <c r="K55" s="1"/>
      <c r="L55" s="7">
        <v>0.43</v>
      </c>
      <c r="M55" s="7">
        <v>1</v>
      </c>
      <c r="N55" s="7">
        <v>0.27906976744186046</v>
      </c>
      <c r="O55" s="7">
        <v>0.18604651162790695</v>
      </c>
      <c r="P55" s="7">
        <v>0.2558139534883721</v>
      </c>
      <c r="Q55" s="7">
        <v>0.18604651162790695</v>
      </c>
      <c r="R55" s="7">
        <v>9.3023255813953487E-2</v>
      </c>
      <c r="S55" s="7">
        <v>0.05</v>
      </c>
      <c r="T55" s="7">
        <v>0.55555555555555558</v>
      </c>
      <c r="U55" s="7">
        <v>0.22222222222222221</v>
      </c>
      <c r="V55" s="7">
        <v>0.22222222222222221</v>
      </c>
      <c r="W55" s="7">
        <v>0</v>
      </c>
      <c r="X55" s="7">
        <v>0.1111111111111111</v>
      </c>
      <c r="Y55" s="7">
        <v>0</v>
      </c>
      <c r="Z55" s="7">
        <v>0</v>
      </c>
      <c r="AA55" s="7">
        <v>0.03</v>
      </c>
      <c r="AB55" s="7">
        <v>0.27272727272727271</v>
      </c>
      <c r="AC55" s="7">
        <v>0.27272727272727271</v>
      </c>
      <c r="AD55" s="7">
        <v>0</v>
      </c>
      <c r="AE55" s="7">
        <v>0</v>
      </c>
      <c r="AF55" s="7">
        <v>0</v>
      </c>
      <c r="AG55" s="7">
        <v>0</v>
      </c>
      <c r="AH55" s="7">
        <v>0.26999999999999991</v>
      </c>
      <c r="AI55" s="7">
        <v>0.72972972972972949</v>
      </c>
      <c r="AJ55" s="7">
        <v>5.4054054054054029E-2</v>
      </c>
      <c r="AK55" s="7">
        <v>5.4054054054054029E-2</v>
      </c>
      <c r="AL55" s="7">
        <v>2.7027027027027015E-2</v>
      </c>
      <c r="AM55" s="7">
        <v>8.1081081081081058E-2</v>
      </c>
      <c r="AN55" s="7">
        <v>8.1081081081081058E-2</v>
      </c>
      <c r="AO55" s="7">
        <v>6.7567567567567557E-2</v>
      </c>
      <c r="AP55" s="7">
        <v>5.4054054054054029E-2</v>
      </c>
      <c r="AQ55" s="7">
        <v>0</v>
      </c>
      <c r="AR55" s="7">
        <v>0</v>
      </c>
      <c r="AS55" s="7">
        <v>1.3513513513513507E-2</v>
      </c>
      <c r="AT55" s="7">
        <v>8.1081081081081058E-2</v>
      </c>
      <c r="AU55" s="7">
        <v>0</v>
      </c>
      <c r="AV55" s="7">
        <v>0</v>
      </c>
      <c r="AW55" s="7">
        <v>5.4054054054054029E-2</v>
      </c>
      <c r="AX55" s="7">
        <v>5.4054054054054029E-2</v>
      </c>
      <c r="AY55" s="7">
        <v>2.7027027027027015E-2</v>
      </c>
      <c r="AZ55" s="7">
        <v>0</v>
      </c>
      <c r="BA55" s="7">
        <v>5.4054054054054029E-2</v>
      </c>
      <c r="BB55" s="7">
        <v>0</v>
      </c>
      <c r="BC55" s="7">
        <v>0</v>
      </c>
      <c r="BD55">
        <v>2.7027027027027015E-2</v>
      </c>
      <c r="BE55">
        <v>31.32</v>
      </c>
      <c r="BF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55" s="42">
        <f>+IF(AVANCE[[#This Row],[FECHA INICIO REAL]]="","",AVANCE[[#This Row],[FECHA INICIO REAL]]-AVANCE[[#This Row],[FECHA INICIO TEORICO]])</f>
        <v>0</v>
      </c>
      <c r="BH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" spans="1:61" x14ac:dyDescent="0.25">
      <c r="A56" t="s">
        <v>857</v>
      </c>
      <c r="B56" t="s">
        <v>880</v>
      </c>
      <c r="C56">
        <v>2302600055</v>
      </c>
      <c r="D56" t="s">
        <v>834</v>
      </c>
      <c r="E56" s="4">
        <v>0.8</v>
      </c>
      <c r="F56" s="1">
        <v>46136</v>
      </c>
      <c r="G56" s="1">
        <v>46136</v>
      </c>
      <c r="H56" s="1">
        <v>46177</v>
      </c>
      <c r="I56" s="1">
        <v>46174</v>
      </c>
      <c r="J56">
        <v>11</v>
      </c>
      <c r="K56" s="1"/>
      <c r="L56" s="7">
        <v>0.43</v>
      </c>
      <c r="M56" s="7">
        <v>1</v>
      </c>
      <c r="N56" s="7">
        <v>0.27906976744186046</v>
      </c>
      <c r="O56" s="7">
        <v>0.18604651162790695</v>
      </c>
      <c r="P56" s="7">
        <v>0.2558139534883721</v>
      </c>
      <c r="Q56" s="7">
        <v>0.18604651162790695</v>
      </c>
      <c r="R56" s="7">
        <v>9.3023255813953487E-2</v>
      </c>
      <c r="S56" s="7">
        <v>0.05</v>
      </c>
      <c r="T56" s="7">
        <v>0.55555555555555558</v>
      </c>
      <c r="U56" s="7">
        <v>0.22222222222222221</v>
      </c>
      <c r="V56" s="7">
        <v>0.22222222222222221</v>
      </c>
      <c r="W56" s="7">
        <v>0</v>
      </c>
      <c r="X56" s="7">
        <v>0.1111111111111111</v>
      </c>
      <c r="Y56" s="7">
        <v>0</v>
      </c>
      <c r="Z56" s="7">
        <v>0</v>
      </c>
      <c r="AA56" s="7">
        <v>0.06</v>
      </c>
      <c r="AB56" s="7">
        <v>0.54545454545454541</v>
      </c>
      <c r="AC56" s="7">
        <v>0.27272727272727271</v>
      </c>
      <c r="AD56" s="7">
        <v>0.27272727272727271</v>
      </c>
      <c r="AE56" s="7">
        <v>0</v>
      </c>
      <c r="AF56" s="7">
        <v>0</v>
      </c>
      <c r="AG56" s="7">
        <v>0</v>
      </c>
      <c r="AH56" s="7">
        <v>0.2599999999999999</v>
      </c>
      <c r="AI56" s="7">
        <v>0.70270270270270241</v>
      </c>
      <c r="AJ56" s="7">
        <v>5.4054054054054029E-2</v>
      </c>
      <c r="AK56" s="7">
        <v>5.4054054054054029E-2</v>
      </c>
      <c r="AL56" s="7">
        <v>0</v>
      </c>
      <c r="AM56" s="7">
        <v>8.1081081081081058E-2</v>
      </c>
      <c r="AN56" s="7">
        <v>8.1081081081081058E-2</v>
      </c>
      <c r="AO56" s="7">
        <v>6.7567567567567557E-2</v>
      </c>
      <c r="AP56" s="7">
        <v>5.4054054054054029E-2</v>
      </c>
      <c r="AQ56" s="7">
        <v>0</v>
      </c>
      <c r="AR56" s="7">
        <v>0</v>
      </c>
      <c r="AS56" s="7">
        <v>1.3513513513513507E-2</v>
      </c>
      <c r="AT56" s="7">
        <v>8.1081081081081058E-2</v>
      </c>
      <c r="AU56" s="7">
        <v>0</v>
      </c>
      <c r="AV56" s="7">
        <v>0</v>
      </c>
      <c r="AW56" s="7">
        <v>5.4054054054054029E-2</v>
      </c>
      <c r="AX56" s="7">
        <v>5.4054054054054029E-2</v>
      </c>
      <c r="AY56" s="7">
        <v>2.7027027027027015E-2</v>
      </c>
      <c r="AZ56" s="7">
        <v>0</v>
      </c>
      <c r="BA56" s="7">
        <v>5.4054054054054029E-2</v>
      </c>
      <c r="BB56" s="7">
        <v>0</v>
      </c>
      <c r="BC56" s="7">
        <v>0</v>
      </c>
      <c r="BD56">
        <v>2.7027027027027015E-2</v>
      </c>
      <c r="BE56">
        <v>31.32</v>
      </c>
      <c r="BF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56" s="42">
        <f>+IF(AVANCE[[#This Row],[FECHA INICIO REAL]]="","",AVANCE[[#This Row],[FECHA INICIO REAL]]-AVANCE[[#This Row],[FECHA INICIO TEORICO]])</f>
        <v>0</v>
      </c>
      <c r="BH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" spans="1:61" x14ac:dyDescent="0.25">
      <c r="A57" t="s">
        <v>857</v>
      </c>
      <c r="B57" t="s">
        <v>881</v>
      </c>
      <c r="C57">
        <v>2282600056</v>
      </c>
      <c r="D57" t="s">
        <v>833</v>
      </c>
      <c r="E57" s="4">
        <v>0.97499999999999987</v>
      </c>
      <c r="F57" s="1">
        <v>46134</v>
      </c>
      <c r="G57" s="1">
        <v>46134</v>
      </c>
      <c r="H57" s="1">
        <v>46162</v>
      </c>
      <c r="I57" s="1">
        <v>46174</v>
      </c>
      <c r="J57">
        <v>26</v>
      </c>
      <c r="K57" s="1"/>
      <c r="L57" s="7">
        <v>0.43</v>
      </c>
      <c r="M57" s="7">
        <v>1</v>
      </c>
      <c r="N57" s="7">
        <v>0.27906976744186046</v>
      </c>
      <c r="O57" s="7">
        <v>0.18604651162790695</v>
      </c>
      <c r="P57" s="7">
        <v>0.2558139534883721</v>
      </c>
      <c r="Q57" s="7">
        <v>0.18604651162790695</v>
      </c>
      <c r="R57" s="7">
        <v>9.3023255813953487E-2</v>
      </c>
      <c r="S57" s="7">
        <v>0.09</v>
      </c>
      <c r="T57" s="7">
        <v>1</v>
      </c>
      <c r="U57" s="7">
        <v>0.22222222222222221</v>
      </c>
      <c r="V57" s="7">
        <v>0.22222222222222221</v>
      </c>
      <c r="W57" s="7">
        <v>0.1111111111111111</v>
      </c>
      <c r="X57" s="7">
        <v>0.1111111111111111</v>
      </c>
      <c r="Y57" s="7">
        <v>0.1111111111111111</v>
      </c>
      <c r="Z57" s="7">
        <v>0.22222222222222221</v>
      </c>
      <c r="AA57" s="7">
        <v>0.1</v>
      </c>
      <c r="AB57" s="7">
        <v>0.90909090909090917</v>
      </c>
      <c r="AC57" s="7">
        <v>0.27272727272727271</v>
      </c>
      <c r="AD57" s="7">
        <v>0.27272727272727271</v>
      </c>
      <c r="AE57" s="7">
        <v>0</v>
      </c>
      <c r="AF57" s="7">
        <v>0.18181818181818185</v>
      </c>
      <c r="AG57" s="7">
        <v>0.18181818181818185</v>
      </c>
      <c r="AH57" s="7">
        <v>0.35499999999999982</v>
      </c>
      <c r="AI57" s="7">
        <v>0.95945945945945899</v>
      </c>
      <c r="AJ57" s="7">
        <v>5.4054054054054029E-2</v>
      </c>
      <c r="AK57" s="7">
        <v>5.4054054054054029E-2</v>
      </c>
      <c r="AL57" s="7">
        <v>2.7027027027027015E-2</v>
      </c>
      <c r="AM57" s="7">
        <v>8.1081081081081058E-2</v>
      </c>
      <c r="AN57" s="7">
        <v>8.1081081081081058E-2</v>
      </c>
      <c r="AO57" s="7">
        <v>6.7567567567567557E-2</v>
      </c>
      <c r="AP57" s="7">
        <v>5.4054054054054029E-2</v>
      </c>
      <c r="AQ57" s="7">
        <v>1.3513513513513507E-2</v>
      </c>
      <c r="AR57" s="7">
        <v>4.0540540540540529E-2</v>
      </c>
      <c r="AS57" s="7">
        <v>1.3513513513513507E-2</v>
      </c>
      <c r="AT57" s="7">
        <v>8.1081081081081058E-2</v>
      </c>
      <c r="AU57" s="7">
        <v>5.4054054054054029E-2</v>
      </c>
      <c r="AV57" s="7">
        <v>2.7027027027027015E-2</v>
      </c>
      <c r="AW57" s="7">
        <v>5.4054054054054029E-2</v>
      </c>
      <c r="AX57" s="7">
        <v>5.4054054054054029E-2</v>
      </c>
      <c r="AY57" s="7">
        <v>2.7027027027027015E-2</v>
      </c>
      <c r="AZ57" s="7">
        <v>0</v>
      </c>
      <c r="BA57" s="7">
        <v>5.4054054054054029E-2</v>
      </c>
      <c r="BB57" s="7">
        <v>8.1081081081081058E-2</v>
      </c>
      <c r="BC57" s="7">
        <v>1.3513513513513507E-2</v>
      </c>
      <c r="BD57">
        <v>2.7027027027027015E-2</v>
      </c>
      <c r="BE57">
        <v>28.87</v>
      </c>
      <c r="BF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7" s="42">
        <f>+IF(AVANCE[[#This Row],[FECHA INICIO REAL]]="","",AVANCE[[#This Row],[FECHA INICIO REAL]]-AVANCE[[#This Row],[FECHA INICIO TEORICO]])</f>
        <v>0</v>
      </c>
      <c r="BH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" spans="1:61" x14ac:dyDescent="0.25">
      <c r="A58" t="s">
        <v>857</v>
      </c>
      <c r="B58" t="s">
        <v>882</v>
      </c>
      <c r="C58">
        <v>2282600057</v>
      </c>
      <c r="D58" t="s">
        <v>833</v>
      </c>
      <c r="E58" s="4">
        <v>0.94999999999999984</v>
      </c>
      <c r="F58" s="1">
        <v>46146</v>
      </c>
      <c r="G58" s="1">
        <v>46148</v>
      </c>
      <c r="H58" s="1">
        <v>46185</v>
      </c>
      <c r="I58" s="1">
        <v>46183</v>
      </c>
      <c r="J58">
        <v>3</v>
      </c>
      <c r="K58" s="1"/>
      <c r="L58" s="7">
        <v>0.43</v>
      </c>
      <c r="M58" s="7">
        <v>1</v>
      </c>
      <c r="N58" s="7">
        <v>0.27906976744186046</v>
      </c>
      <c r="O58" s="7">
        <v>0.18604651162790695</v>
      </c>
      <c r="P58" s="7">
        <v>0.2558139534883721</v>
      </c>
      <c r="Q58" s="7">
        <v>0.18604651162790695</v>
      </c>
      <c r="R58" s="7">
        <v>9.3023255813953487E-2</v>
      </c>
      <c r="S58" s="7">
        <v>0.09</v>
      </c>
      <c r="T58" s="7">
        <v>1</v>
      </c>
      <c r="U58" s="7">
        <v>0.22222222222222221</v>
      </c>
      <c r="V58" s="7">
        <v>0.22222222222222221</v>
      </c>
      <c r="W58" s="7">
        <v>0.1111111111111111</v>
      </c>
      <c r="X58" s="7">
        <v>0.1111111111111111</v>
      </c>
      <c r="Y58" s="7">
        <v>0.1111111111111111</v>
      </c>
      <c r="Z58" s="7">
        <v>0.22222222222222221</v>
      </c>
      <c r="AA58" s="7">
        <v>0.1</v>
      </c>
      <c r="AB58" s="7">
        <v>0.90909090909090917</v>
      </c>
      <c r="AC58" s="7">
        <v>0.27272727272727271</v>
      </c>
      <c r="AD58" s="7">
        <v>0.27272727272727271</v>
      </c>
      <c r="AE58" s="7">
        <v>0</v>
      </c>
      <c r="AF58" s="7">
        <v>0.18181818181818185</v>
      </c>
      <c r="AG58" s="7">
        <v>0.18181818181818185</v>
      </c>
      <c r="AH58" s="7">
        <v>0.32999999999999985</v>
      </c>
      <c r="AI58" s="7">
        <v>0.89189189189189155</v>
      </c>
      <c r="AJ58" s="7">
        <v>5.4054054054054029E-2</v>
      </c>
      <c r="AK58" s="7">
        <v>5.4054054054054029E-2</v>
      </c>
      <c r="AL58" s="7">
        <v>2.7027027027027015E-2</v>
      </c>
      <c r="AM58" s="7">
        <v>8.1081081081081058E-2</v>
      </c>
      <c r="AN58" s="7">
        <v>8.1081081081081058E-2</v>
      </c>
      <c r="AO58" s="7">
        <v>6.7567567567567557E-2</v>
      </c>
      <c r="AP58" s="7">
        <v>5.4054054054054029E-2</v>
      </c>
      <c r="AQ58" s="7">
        <v>0</v>
      </c>
      <c r="AR58" s="7">
        <v>0</v>
      </c>
      <c r="AS58" s="7">
        <v>0</v>
      </c>
      <c r="AT58" s="7">
        <v>8.1081081081081058E-2</v>
      </c>
      <c r="AU58" s="7">
        <v>5.4054054054054029E-2</v>
      </c>
      <c r="AV58" s="7">
        <v>2.7027027027027015E-2</v>
      </c>
      <c r="AW58" s="7">
        <v>5.4054054054054029E-2</v>
      </c>
      <c r="AX58" s="7">
        <v>5.4054054054054029E-2</v>
      </c>
      <c r="AY58" s="7">
        <v>2.7027027027027015E-2</v>
      </c>
      <c r="AZ58" s="7">
        <v>0</v>
      </c>
      <c r="BA58" s="7">
        <v>5.4054054054054029E-2</v>
      </c>
      <c r="BB58" s="7">
        <v>8.1081081081081058E-2</v>
      </c>
      <c r="BC58" s="7">
        <v>1.3513513513513507E-2</v>
      </c>
      <c r="BD58">
        <v>2.7027027027027015E-2</v>
      </c>
      <c r="BE58">
        <v>28.87</v>
      </c>
      <c r="BF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8" s="42">
        <f>+IF(AVANCE[[#This Row],[FECHA INICIO REAL]]="","",AVANCE[[#This Row],[FECHA INICIO REAL]]-AVANCE[[#This Row],[FECHA INICIO TEORICO]])</f>
        <v>2</v>
      </c>
      <c r="BH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" spans="1:61" x14ac:dyDescent="0.25">
      <c r="A59" t="s">
        <v>857</v>
      </c>
      <c r="B59" t="s">
        <v>883</v>
      </c>
      <c r="C59">
        <v>2302600058</v>
      </c>
      <c r="D59" t="s">
        <v>834</v>
      </c>
      <c r="E59" s="4">
        <v>0.67999999999999994</v>
      </c>
      <c r="F59" s="1">
        <v>46146</v>
      </c>
      <c r="G59" s="1">
        <v>46147</v>
      </c>
      <c r="H59" s="1">
        <v>46185</v>
      </c>
      <c r="I59" s="1">
        <v>46183</v>
      </c>
      <c r="J59">
        <v>3</v>
      </c>
      <c r="K59" s="1"/>
      <c r="L59" s="7">
        <v>0.43</v>
      </c>
      <c r="M59" s="7">
        <v>1</v>
      </c>
      <c r="N59" s="7">
        <v>0.27906976744186046</v>
      </c>
      <c r="O59" s="7">
        <v>0.18604651162790695</v>
      </c>
      <c r="P59" s="7">
        <v>0.2558139534883721</v>
      </c>
      <c r="Q59" s="7">
        <v>0.18604651162790695</v>
      </c>
      <c r="R59" s="7">
        <v>9.3023255813953487E-2</v>
      </c>
      <c r="S59" s="7">
        <v>3.9999999999999994E-2</v>
      </c>
      <c r="T59" s="7">
        <v>0.44444444444444442</v>
      </c>
      <c r="U59" s="7">
        <v>0.22222222222222221</v>
      </c>
      <c r="V59" s="7">
        <v>0.22222222222222221</v>
      </c>
      <c r="W59" s="7">
        <v>0</v>
      </c>
      <c r="X59" s="7">
        <v>0</v>
      </c>
      <c r="Y59" s="7">
        <v>0</v>
      </c>
      <c r="Z59" s="7">
        <v>0</v>
      </c>
      <c r="AA59" s="7">
        <v>0.03</v>
      </c>
      <c r="AB59" s="7">
        <v>0.27272727272727271</v>
      </c>
      <c r="AC59" s="7">
        <v>0.27272727272727271</v>
      </c>
      <c r="AD59" s="7">
        <v>0</v>
      </c>
      <c r="AE59" s="7">
        <v>0</v>
      </c>
      <c r="AF59" s="7">
        <v>0</v>
      </c>
      <c r="AG59" s="7">
        <v>0</v>
      </c>
      <c r="AH59" s="7">
        <v>0.17999999999999997</v>
      </c>
      <c r="AI59" s="7">
        <v>0.4864864864864864</v>
      </c>
      <c r="AJ59" s="7">
        <v>5.4054054054054029E-2</v>
      </c>
      <c r="AK59" s="7">
        <v>5.4054054054054029E-2</v>
      </c>
      <c r="AL59" s="7">
        <v>0</v>
      </c>
      <c r="AM59" s="7">
        <v>8.1081081081081058E-2</v>
      </c>
      <c r="AN59" s="7">
        <v>8.1081081081081058E-2</v>
      </c>
      <c r="AO59" s="7">
        <v>0</v>
      </c>
      <c r="AP59" s="7">
        <v>0</v>
      </c>
      <c r="AQ59" s="7">
        <v>0</v>
      </c>
      <c r="AR59" s="7">
        <v>0</v>
      </c>
      <c r="AS59" s="7">
        <v>0</v>
      </c>
      <c r="AT59" s="7">
        <v>0</v>
      </c>
      <c r="AU59" s="7">
        <v>0</v>
      </c>
      <c r="AV59" s="7">
        <v>0</v>
      </c>
      <c r="AW59" s="7">
        <v>5.4054054054054029E-2</v>
      </c>
      <c r="AX59" s="7">
        <v>5.4054054054054029E-2</v>
      </c>
      <c r="AY59" s="7">
        <v>2.7027027027027015E-2</v>
      </c>
      <c r="AZ59" s="7">
        <v>0</v>
      </c>
      <c r="BA59" s="7">
        <v>5.4054054054054029E-2</v>
      </c>
      <c r="BB59" s="7">
        <v>0</v>
      </c>
      <c r="BC59" s="7">
        <v>0</v>
      </c>
      <c r="BD59">
        <v>2.7027027027027015E-2</v>
      </c>
      <c r="BE59">
        <v>31.32</v>
      </c>
      <c r="BF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59" s="42">
        <f>+IF(AVANCE[[#This Row],[FECHA INICIO REAL]]="","",AVANCE[[#This Row],[FECHA INICIO REAL]]-AVANCE[[#This Row],[FECHA INICIO TEORICO]])</f>
        <v>1</v>
      </c>
      <c r="BH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" spans="1:61" x14ac:dyDescent="0.25">
      <c r="A60" t="s">
        <v>857</v>
      </c>
      <c r="B60" t="s">
        <v>884</v>
      </c>
      <c r="C60">
        <v>2302600059</v>
      </c>
      <c r="D60" t="s">
        <v>834</v>
      </c>
      <c r="E60" s="4">
        <v>0.7749999999999998</v>
      </c>
      <c r="F60" s="1">
        <v>46147</v>
      </c>
      <c r="G60" s="1">
        <v>46146</v>
      </c>
      <c r="H60" s="1">
        <v>46183</v>
      </c>
      <c r="I60" s="1">
        <v>46184</v>
      </c>
      <c r="J60">
        <v>5</v>
      </c>
      <c r="K60" s="1"/>
      <c r="L60" s="7">
        <v>0.43</v>
      </c>
      <c r="M60" s="7">
        <v>1</v>
      </c>
      <c r="N60" s="7">
        <v>0.27906976744186046</v>
      </c>
      <c r="O60" s="7">
        <v>0.18604651162790695</v>
      </c>
      <c r="P60" s="7">
        <v>0.2558139534883721</v>
      </c>
      <c r="Q60" s="7">
        <v>0.18604651162790695</v>
      </c>
      <c r="R60" s="7">
        <v>9.3023255813953487E-2</v>
      </c>
      <c r="S60" s="7">
        <v>0.08</v>
      </c>
      <c r="T60" s="7">
        <v>0.88888888888888895</v>
      </c>
      <c r="U60" s="7">
        <v>0.22222222222222221</v>
      </c>
      <c r="V60" s="7">
        <v>0.22222222222222221</v>
      </c>
      <c r="W60" s="7">
        <v>0</v>
      </c>
      <c r="X60" s="7">
        <v>0.1111111111111111</v>
      </c>
      <c r="Y60" s="7">
        <v>0.1111111111111111</v>
      </c>
      <c r="Z60" s="7">
        <v>0.22222222222222221</v>
      </c>
      <c r="AA60" s="7">
        <v>0.03</v>
      </c>
      <c r="AB60" s="7">
        <v>0.27272727272727271</v>
      </c>
      <c r="AC60" s="7">
        <v>0.27272727272727271</v>
      </c>
      <c r="AD60" s="7">
        <v>0</v>
      </c>
      <c r="AE60" s="7">
        <v>0</v>
      </c>
      <c r="AF60" s="7">
        <v>0</v>
      </c>
      <c r="AG60" s="7">
        <v>0</v>
      </c>
      <c r="AH60" s="7">
        <v>0.2349999999999999</v>
      </c>
      <c r="AI60" s="7">
        <v>0.63513513513513487</v>
      </c>
      <c r="AJ60" s="7">
        <v>5.4054054054054029E-2</v>
      </c>
      <c r="AK60" s="7">
        <v>5.4054054054054029E-2</v>
      </c>
      <c r="AL60" s="7">
        <v>0</v>
      </c>
      <c r="AM60" s="7">
        <v>8.1081081081081058E-2</v>
      </c>
      <c r="AN60" s="7">
        <v>8.1081081081081058E-2</v>
      </c>
      <c r="AO60" s="7">
        <v>6.7567567567567557E-2</v>
      </c>
      <c r="AP60" s="7">
        <v>0</v>
      </c>
      <c r="AQ60" s="7">
        <v>0</v>
      </c>
      <c r="AR60" s="7">
        <v>0</v>
      </c>
      <c r="AS60" s="7">
        <v>0</v>
      </c>
      <c r="AT60" s="7">
        <v>8.1081081081081058E-2</v>
      </c>
      <c r="AU60" s="7">
        <v>0</v>
      </c>
      <c r="AV60" s="7">
        <v>0</v>
      </c>
      <c r="AW60" s="7">
        <v>5.4054054054054029E-2</v>
      </c>
      <c r="AX60" s="7">
        <v>5.4054054054054029E-2</v>
      </c>
      <c r="AY60" s="7">
        <v>2.7027027027027015E-2</v>
      </c>
      <c r="AZ60" s="7">
        <v>0</v>
      </c>
      <c r="BA60" s="7">
        <v>5.4054054054054029E-2</v>
      </c>
      <c r="BB60" s="7">
        <v>0</v>
      </c>
      <c r="BC60" s="7">
        <v>0</v>
      </c>
      <c r="BD60">
        <v>2.7027027027027015E-2</v>
      </c>
      <c r="BE60">
        <v>31.32</v>
      </c>
      <c r="BF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60" s="42">
        <f>+IF(AVANCE[[#This Row],[FECHA INICIO REAL]]="","",AVANCE[[#This Row],[FECHA INICIO REAL]]-AVANCE[[#This Row],[FECHA INICIO TEORICO]])</f>
        <v>-1</v>
      </c>
      <c r="BH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" spans="1:61" x14ac:dyDescent="0.25">
      <c r="A61" t="s">
        <v>857</v>
      </c>
      <c r="B61" t="s">
        <v>885</v>
      </c>
      <c r="C61">
        <v>2282600060</v>
      </c>
      <c r="D61" t="s">
        <v>833</v>
      </c>
      <c r="E61" s="4">
        <v>0.94</v>
      </c>
      <c r="F61" s="1">
        <v>46147</v>
      </c>
      <c r="G61" s="1">
        <v>46149</v>
      </c>
      <c r="H61" s="1">
        <v>46185</v>
      </c>
      <c r="I61" s="1">
        <v>46184</v>
      </c>
      <c r="J61">
        <v>3</v>
      </c>
      <c r="K61" s="1"/>
      <c r="L61" s="7">
        <v>0.43</v>
      </c>
      <c r="M61" s="7">
        <v>1</v>
      </c>
      <c r="N61" s="7">
        <v>0.27906976744186046</v>
      </c>
      <c r="O61" s="7">
        <v>0.18604651162790695</v>
      </c>
      <c r="P61" s="7">
        <v>0.2558139534883721</v>
      </c>
      <c r="Q61" s="7">
        <v>0.18604651162790695</v>
      </c>
      <c r="R61" s="7">
        <v>9.3023255813953487E-2</v>
      </c>
      <c r="S61" s="7">
        <v>0.09</v>
      </c>
      <c r="T61" s="7">
        <v>1</v>
      </c>
      <c r="U61" s="7">
        <v>0.22222222222222221</v>
      </c>
      <c r="V61" s="7">
        <v>0.22222222222222221</v>
      </c>
      <c r="W61" s="7">
        <v>0.1111111111111111</v>
      </c>
      <c r="X61" s="7">
        <v>0.1111111111111111</v>
      </c>
      <c r="Y61" s="7">
        <v>0.1111111111111111</v>
      </c>
      <c r="Z61" s="7">
        <v>0.22222222222222221</v>
      </c>
      <c r="AA61" s="7">
        <v>0.1</v>
      </c>
      <c r="AB61" s="7">
        <v>0.90909090909090917</v>
      </c>
      <c r="AC61" s="7">
        <v>0.27272727272727271</v>
      </c>
      <c r="AD61" s="7">
        <v>0.27272727272727271</v>
      </c>
      <c r="AE61" s="7">
        <v>0</v>
      </c>
      <c r="AF61" s="7">
        <v>0.18181818181818185</v>
      </c>
      <c r="AG61" s="7">
        <v>0.18181818181818185</v>
      </c>
      <c r="AH61" s="7">
        <v>0.3199999999999999</v>
      </c>
      <c r="AI61" s="7">
        <v>0.86486486486486469</v>
      </c>
      <c r="AJ61" s="7">
        <v>5.4054054054054029E-2</v>
      </c>
      <c r="AK61" s="7">
        <v>5.4054054054054029E-2</v>
      </c>
      <c r="AL61" s="7">
        <v>2.7027027027027015E-2</v>
      </c>
      <c r="AM61" s="7">
        <v>8.1081081081081058E-2</v>
      </c>
      <c r="AN61" s="7">
        <v>8.1081081081081058E-2</v>
      </c>
      <c r="AO61" s="7">
        <v>6.7567567567567557E-2</v>
      </c>
      <c r="AP61" s="7">
        <v>5.4054054054054029E-2</v>
      </c>
      <c r="AQ61" s="7">
        <v>0</v>
      </c>
      <c r="AR61" s="7">
        <v>0</v>
      </c>
      <c r="AS61" s="7">
        <v>0</v>
      </c>
      <c r="AT61" s="7">
        <v>8.1081081081081058E-2</v>
      </c>
      <c r="AU61" s="7">
        <v>5.4054054054054029E-2</v>
      </c>
      <c r="AV61" s="7">
        <v>0</v>
      </c>
      <c r="AW61" s="7">
        <v>5.4054054054054029E-2</v>
      </c>
      <c r="AX61" s="7">
        <v>5.4054054054054029E-2</v>
      </c>
      <c r="AY61" s="7">
        <v>2.7027027027027015E-2</v>
      </c>
      <c r="AZ61" s="7">
        <v>0</v>
      </c>
      <c r="BA61" s="7">
        <v>5.4054054054054029E-2</v>
      </c>
      <c r="BB61" s="7">
        <v>8.1081081081081058E-2</v>
      </c>
      <c r="BC61" s="7">
        <v>1.3513513513513507E-2</v>
      </c>
      <c r="BD61">
        <v>2.7027027027027015E-2</v>
      </c>
      <c r="BE61">
        <v>28.87</v>
      </c>
      <c r="BF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1" s="42">
        <f>+IF(AVANCE[[#This Row],[FECHA INICIO REAL]]="","",AVANCE[[#This Row],[FECHA INICIO REAL]]-AVANCE[[#This Row],[FECHA INICIO TEORICO]])</f>
        <v>2</v>
      </c>
      <c r="BH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" spans="1:61" x14ac:dyDescent="0.25">
      <c r="A62" t="s">
        <v>857</v>
      </c>
      <c r="B62" t="s">
        <v>886</v>
      </c>
      <c r="C62">
        <v>2282600061</v>
      </c>
      <c r="D62" t="s">
        <v>833</v>
      </c>
      <c r="E62" s="4">
        <v>0.94</v>
      </c>
      <c r="F62" s="1">
        <v>46148</v>
      </c>
      <c r="G62" s="1">
        <v>46150</v>
      </c>
      <c r="H62" s="1">
        <v>46185</v>
      </c>
      <c r="I62" s="1">
        <v>46185</v>
      </c>
      <c r="J62">
        <v>3</v>
      </c>
      <c r="K62" s="1"/>
      <c r="L62" s="7">
        <v>0.43</v>
      </c>
      <c r="M62" s="7">
        <v>1</v>
      </c>
      <c r="N62" s="7">
        <v>0.27906976744186046</v>
      </c>
      <c r="O62" s="7">
        <v>0.18604651162790695</v>
      </c>
      <c r="P62" s="7">
        <v>0.2558139534883721</v>
      </c>
      <c r="Q62" s="7">
        <v>0.18604651162790695</v>
      </c>
      <c r="R62" s="7">
        <v>9.3023255813953487E-2</v>
      </c>
      <c r="S62" s="7">
        <v>0.09</v>
      </c>
      <c r="T62" s="7">
        <v>1</v>
      </c>
      <c r="U62" s="7">
        <v>0.22222222222222221</v>
      </c>
      <c r="V62" s="7">
        <v>0.22222222222222221</v>
      </c>
      <c r="W62" s="7">
        <v>0.1111111111111111</v>
      </c>
      <c r="X62" s="7">
        <v>0.1111111111111111</v>
      </c>
      <c r="Y62" s="7">
        <v>0.1111111111111111</v>
      </c>
      <c r="Z62" s="7">
        <v>0.22222222222222221</v>
      </c>
      <c r="AA62" s="7">
        <v>0.1</v>
      </c>
      <c r="AB62" s="7">
        <v>0.90909090909090917</v>
      </c>
      <c r="AC62" s="7">
        <v>0.27272727272727271</v>
      </c>
      <c r="AD62" s="7">
        <v>0.27272727272727271</v>
      </c>
      <c r="AE62" s="7">
        <v>0</v>
      </c>
      <c r="AF62" s="7">
        <v>0.18181818181818185</v>
      </c>
      <c r="AG62" s="7">
        <v>0.18181818181818185</v>
      </c>
      <c r="AH62" s="7">
        <v>0.3199999999999999</v>
      </c>
      <c r="AI62" s="7">
        <v>0.86486486486486469</v>
      </c>
      <c r="AJ62" s="7">
        <v>5.4054054054054029E-2</v>
      </c>
      <c r="AK62" s="7">
        <v>5.4054054054054029E-2</v>
      </c>
      <c r="AL62" s="7">
        <v>2.7027027027027015E-2</v>
      </c>
      <c r="AM62" s="7">
        <v>8.1081081081081058E-2</v>
      </c>
      <c r="AN62" s="7">
        <v>8.1081081081081058E-2</v>
      </c>
      <c r="AO62" s="7">
        <v>6.7567567567567557E-2</v>
      </c>
      <c r="AP62" s="7">
        <v>5.4054054054054029E-2</v>
      </c>
      <c r="AQ62" s="7">
        <v>0</v>
      </c>
      <c r="AR62" s="7">
        <v>0</v>
      </c>
      <c r="AS62" s="7">
        <v>0</v>
      </c>
      <c r="AT62" s="7">
        <v>8.1081081081081058E-2</v>
      </c>
      <c r="AU62" s="7">
        <v>5.4054054054054029E-2</v>
      </c>
      <c r="AV62" s="7">
        <v>0</v>
      </c>
      <c r="AW62" s="7">
        <v>5.4054054054054029E-2</v>
      </c>
      <c r="AX62" s="7">
        <v>5.4054054054054029E-2</v>
      </c>
      <c r="AY62" s="7">
        <v>2.7027027027027015E-2</v>
      </c>
      <c r="AZ62" s="7">
        <v>0</v>
      </c>
      <c r="BA62" s="7">
        <v>5.4054054054054029E-2</v>
      </c>
      <c r="BB62" s="7">
        <v>8.1081081081081058E-2</v>
      </c>
      <c r="BC62" s="7">
        <v>1.3513513513513507E-2</v>
      </c>
      <c r="BD62">
        <v>2.7027027027027015E-2</v>
      </c>
      <c r="BE62">
        <v>28.87</v>
      </c>
      <c r="BF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2" s="42">
        <f>+IF(AVANCE[[#This Row],[FECHA INICIO REAL]]="","",AVANCE[[#This Row],[FECHA INICIO REAL]]-AVANCE[[#This Row],[FECHA INICIO TEORICO]])</f>
        <v>2</v>
      </c>
      <c r="BH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" spans="1:61" x14ac:dyDescent="0.25">
      <c r="A63" t="s">
        <v>857</v>
      </c>
      <c r="B63" t="s">
        <v>887</v>
      </c>
      <c r="C63">
        <v>2302600062</v>
      </c>
      <c r="D63" t="s">
        <v>834</v>
      </c>
      <c r="E63" s="4">
        <v>0.65999999999999992</v>
      </c>
      <c r="F63" s="1">
        <v>46148</v>
      </c>
      <c r="G63" s="1">
        <v>46149</v>
      </c>
      <c r="H63" s="1">
        <v>46185</v>
      </c>
      <c r="I63" s="1">
        <v>46185</v>
      </c>
      <c r="J63">
        <v>3</v>
      </c>
      <c r="K63" s="1"/>
      <c r="L63" s="7">
        <v>0.43</v>
      </c>
      <c r="M63" s="7">
        <v>1</v>
      </c>
      <c r="N63" s="7">
        <v>0.27906976744186046</v>
      </c>
      <c r="O63" s="7">
        <v>0.18604651162790695</v>
      </c>
      <c r="P63" s="7">
        <v>0.2558139534883721</v>
      </c>
      <c r="Q63" s="7">
        <v>0.18604651162790695</v>
      </c>
      <c r="R63" s="7">
        <v>9.3023255813953487E-2</v>
      </c>
      <c r="S63" s="7">
        <v>3.9999999999999994E-2</v>
      </c>
      <c r="T63" s="7">
        <v>0.44444444444444442</v>
      </c>
      <c r="U63" s="7">
        <v>0.22222222222222221</v>
      </c>
      <c r="V63" s="7">
        <v>0.22222222222222221</v>
      </c>
      <c r="W63" s="7">
        <v>0</v>
      </c>
      <c r="X63" s="7">
        <v>0</v>
      </c>
      <c r="Y63" s="7">
        <v>0</v>
      </c>
      <c r="Z63" s="7">
        <v>0</v>
      </c>
      <c r="AA63" s="7">
        <v>0.03</v>
      </c>
      <c r="AB63" s="7">
        <v>0.27272727272727271</v>
      </c>
      <c r="AC63" s="7">
        <v>0.27272727272727271</v>
      </c>
      <c r="AD63" s="7">
        <v>0</v>
      </c>
      <c r="AE63" s="7">
        <v>0</v>
      </c>
      <c r="AF63" s="7">
        <v>0</v>
      </c>
      <c r="AG63" s="7">
        <v>0</v>
      </c>
      <c r="AH63" s="7">
        <v>0.15999999999999998</v>
      </c>
      <c r="AI63" s="7">
        <v>0.43243243243243235</v>
      </c>
      <c r="AJ63" s="7">
        <v>0</v>
      </c>
      <c r="AK63" s="7">
        <v>5.4054054054054029E-2</v>
      </c>
      <c r="AL63" s="7">
        <v>0</v>
      </c>
      <c r="AM63" s="7">
        <v>8.1081081081081058E-2</v>
      </c>
      <c r="AN63" s="7">
        <v>8.1081081081081058E-2</v>
      </c>
      <c r="AO63" s="7">
        <v>0</v>
      </c>
      <c r="AP63" s="7">
        <v>0</v>
      </c>
      <c r="AQ63" s="7">
        <v>0</v>
      </c>
      <c r="AR63" s="7">
        <v>0</v>
      </c>
      <c r="AS63" s="7">
        <v>0</v>
      </c>
      <c r="AT63" s="7">
        <v>0</v>
      </c>
      <c r="AU63" s="7">
        <v>0</v>
      </c>
      <c r="AV63" s="7">
        <v>0</v>
      </c>
      <c r="AW63" s="7">
        <v>5.4054054054054029E-2</v>
      </c>
      <c r="AX63" s="7">
        <v>5.4054054054054029E-2</v>
      </c>
      <c r="AY63" s="7">
        <v>2.7027027027027015E-2</v>
      </c>
      <c r="AZ63" s="7">
        <v>0</v>
      </c>
      <c r="BA63" s="7">
        <v>5.4054054054054029E-2</v>
      </c>
      <c r="BB63" s="7">
        <v>0</v>
      </c>
      <c r="BC63" s="7">
        <v>0</v>
      </c>
      <c r="BD63">
        <v>2.7027027027027015E-2</v>
      </c>
      <c r="BE63">
        <v>31.32</v>
      </c>
      <c r="BF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63" s="42">
        <f>+IF(AVANCE[[#This Row],[FECHA INICIO REAL]]="","",AVANCE[[#This Row],[FECHA INICIO REAL]]-AVANCE[[#This Row],[FECHA INICIO TEORICO]])</f>
        <v>1</v>
      </c>
      <c r="BH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" spans="1:61" x14ac:dyDescent="0.25">
      <c r="A64" t="s">
        <v>857</v>
      </c>
      <c r="B64" t="s">
        <v>888</v>
      </c>
      <c r="C64">
        <v>2302600063</v>
      </c>
      <c r="D64" t="s">
        <v>834</v>
      </c>
      <c r="E64" s="4">
        <v>0.71</v>
      </c>
      <c r="F64" s="1">
        <v>46149</v>
      </c>
      <c r="G64" s="1">
        <v>46147</v>
      </c>
      <c r="H64" s="1">
        <v>46188</v>
      </c>
      <c r="I64" s="1">
        <v>46186</v>
      </c>
      <c r="J64">
        <v>0</v>
      </c>
      <c r="K64" s="1"/>
      <c r="L64" s="7">
        <v>0.43</v>
      </c>
      <c r="M64" s="7">
        <v>1</v>
      </c>
      <c r="N64" s="7">
        <v>0.27906976744186046</v>
      </c>
      <c r="O64" s="7">
        <v>0.18604651162790695</v>
      </c>
      <c r="P64" s="7">
        <v>0.2558139534883721</v>
      </c>
      <c r="Q64" s="7">
        <v>0.18604651162790695</v>
      </c>
      <c r="R64" s="7">
        <v>9.3023255813953487E-2</v>
      </c>
      <c r="S64" s="7">
        <v>0.05</v>
      </c>
      <c r="T64" s="7">
        <v>0.55555555555555558</v>
      </c>
      <c r="U64" s="7">
        <v>0.22222222222222221</v>
      </c>
      <c r="V64" s="7">
        <v>0.22222222222222221</v>
      </c>
      <c r="W64" s="7">
        <v>0</v>
      </c>
      <c r="X64" s="7">
        <v>0.1111111111111111</v>
      </c>
      <c r="Y64" s="7">
        <v>0</v>
      </c>
      <c r="Z64" s="7">
        <v>0</v>
      </c>
      <c r="AA64" s="7">
        <v>0.03</v>
      </c>
      <c r="AB64" s="7">
        <v>0.27272727272727271</v>
      </c>
      <c r="AC64" s="7">
        <v>0.27272727272727271</v>
      </c>
      <c r="AD64" s="7">
        <v>0</v>
      </c>
      <c r="AE64" s="7">
        <v>0</v>
      </c>
      <c r="AF64" s="7">
        <v>0</v>
      </c>
      <c r="AG64" s="7">
        <v>0</v>
      </c>
      <c r="AH64" s="7">
        <v>0.19999999999999993</v>
      </c>
      <c r="AI64" s="7">
        <v>0.54054054054054035</v>
      </c>
      <c r="AJ64" s="7">
        <v>0</v>
      </c>
      <c r="AK64" s="7">
        <v>5.4054054054054029E-2</v>
      </c>
      <c r="AL64" s="7">
        <v>2.7027027027027015E-2</v>
      </c>
      <c r="AM64" s="7">
        <v>8.1081081081081058E-2</v>
      </c>
      <c r="AN64" s="7">
        <v>8.1081081081081058E-2</v>
      </c>
      <c r="AO64" s="7">
        <v>6.7567567567567557E-2</v>
      </c>
      <c r="AP64" s="7">
        <v>0</v>
      </c>
      <c r="AQ64" s="7">
        <v>0</v>
      </c>
      <c r="AR64" s="7">
        <v>0</v>
      </c>
      <c r="AS64" s="7">
        <v>1.3513513513513507E-2</v>
      </c>
      <c r="AT64" s="7">
        <v>0</v>
      </c>
      <c r="AU64" s="7">
        <v>0</v>
      </c>
      <c r="AV64" s="7">
        <v>0</v>
      </c>
      <c r="AW64" s="7">
        <v>5.4054054054054029E-2</v>
      </c>
      <c r="AX64" s="7">
        <v>5.4054054054054029E-2</v>
      </c>
      <c r="AY64" s="7">
        <v>2.7027027027027015E-2</v>
      </c>
      <c r="AZ64" s="7">
        <v>0</v>
      </c>
      <c r="BA64" s="7">
        <v>5.4054054054054029E-2</v>
      </c>
      <c r="BB64" s="7">
        <v>0</v>
      </c>
      <c r="BC64" s="7">
        <v>0</v>
      </c>
      <c r="BD64">
        <v>2.7027027027027015E-2</v>
      </c>
      <c r="BE64">
        <v>31.32</v>
      </c>
      <c r="BF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64" s="42">
        <f>+IF(AVANCE[[#This Row],[FECHA INICIO REAL]]="","",AVANCE[[#This Row],[FECHA INICIO REAL]]-AVANCE[[#This Row],[FECHA INICIO TEORICO]])</f>
        <v>-2</v>
      </c>
      <c r="BH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" spans="1:61" x14ac:dyDescent="0.25">
      <c r="A65" t="s">
        <v>857</v>
      </c>
      <c r="B65" t="s">
        <v>889</v>
      </c>
      <c r="C65">
        <v>2282600064</v>
      </c>
      <c r="D65" t="s">
        <v>833</v>
      </c>
      <c r="E65" s="4">
        <v>0.94</v>
      </c>
      <c r="F65" s="1">
        <v>46149</v>
      </c>
      <c r="G65" s="1">
        <v>46149</v>
      </c>
      <c r="H65" s="1">
        <v>46177</v>
      </c>
      <c r="I65" s="1">
        <v>46186</v>
      </c>
      <c r="J65">
        <v>11</v>
      </c>
      <c r="K65" s="1"/>
      <c r="L65" s="7">
        <v>0.43</v>
      </c>
      <c r="M65" s="7">
        <v>1</v>
      </c>
      <c r="N65" s="7">
        <v>0.27906976744186046</v>
      </c>
      <c r="O65" s="7">
        <v>0.18604651162790695</v>
      </c>
      <c r="P65" s="7">
        <v>0.2558139534883721</v>
      </c>
      <c r="Q65" s="7">
        <v>0.18604651162790695</v>
      </c>
      <c r="R65" s="7">
        <v>9.3023255813953487E-2</v>
      </c>
      <c r="S65" s="7">
        <v>0.09</v>
      </c>
      <c r="T65" s="7">
        <v>1</v>
      </c>
      <c r="U65" s="7">
        <v>0.22222222222222221</v>
      </c>
      <c r="V65" s="7">
        <v>0.22222222222222221</v>
      </c>
      <c r="W65" s="7">
        <v>0.1111111111111111</v>
      </c>
      <c r="X65" s="7">
        <v>0.1111111111111111</v>
      </c>
      <c r="Y65" s="7">
        <v>0.1111111111111111</v>
      </c>
      <c r="Z65" s="7">
        <v>0.22222222222222221</v>
      </c>
      <c r="AA65" s="7">
        <v>0.1</v>
      </c>
      <c r="AB65" s="7">
        <v>0.90909090909090917</v>
      </c>
      <c r="AC65" s="7">
        <v>0.27272727272727271</v>
      </c>
      <c r="AD65" s="7">
        <v>0.27272727272727271</v>
      </c>
      <c r="AE65" s="7">
        <v>0</v>
      </c>
      <c r="AF65" s="7">
        <v>0.18181818181818185</v>
      </c>
      <c r="AG65" s="7">
        <v>0.18181818181818185</v>
      </c>
      <c r="AH65" s="7">
        <v>0.3199999999999999</v>
      </c>
      <c r="AI65" s="7">
        <v>0.86486486486486469</v>
      </c>
      <c r="AJ65" s="7">
        <v>5.4054054054054029E-2</v>
      </c>
      <c r="AK65" s="7">
        <v>5.4054054054054029E-2</v>
      </c>
      <c r="AL65" s="7">
        <v>2.7027027027027015E-2</v>
      </c>
      <c r="AM65" s="7">
        <v>8.1081081081081058E-2</v>
      </c>
      <c r="AN65" s="7">
        <v>8.1081081081081058E-2</v>
      </c>
      <c r="AO65" s="7">
        <v>6.7567567567567557E-2</v>
      </c>
      <c r="AP65" s="7">
        <v>5.4054054054054029E-2</v>
      </c>
      <c r="AQ65" s="7">
        <v>0</v>
      </c>
      <c r="AR65" s="7">
        <v>0</v>
      </c>
      <c r="AS65" s="7">
        <v>0</v>
      </c>
      <c r="AT65" s="7">
        <v>8.1081081081081058E-2</v>
      </c>
      <c r="AU65" s="7">
        <v>5.4054054054054029E-2</v>
      </c>
      <c r="AV65" s="7">
        <v>0</v>
      </c>
      <c r="AW65" s="7">
        <v>5.4054054054054029E-2</v>
      </c>
      <c r="AX65" s="7">
        <v>5.4054054054054029E-2</v>
      </c>
      <c r="AY65" s="7">
        <v>2.7027027027027015E-2</v>
      </c>
      <c r="AZ65" s="7">
        <v>0</v>
      </c>
      <c r="BA65" s="7">
        <v>5.4054054054054029E-2</v>
      </c>
      <c r="BB65" s="7">
        <v>8.1081081081081058E-2</v>
      </c>
      <c r="BC65" s="7">
        <v>1.3513513513513507E-2</v>
      </c>
      <c r="BD65">
        <v>2.7027027027027015E-2</v>
      </c>
      <c r="BE65">
        <v>28.87</v>
      </c>
      <c r="BF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5" s="42">
        <f>+IF(AVANCE[[#This Row],[FECHA INICIO REAL]]="","",AVANCE[[#This Row],[FECHA INICIO REAL]]-AVANCE[[#This Row],[FECHA INICIO TEORICO]])</f>
        <v>0</v>
      </c>
      <c r="BH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" spans="1:61" x14ac:dyDescent="0.25">
      <c r="A66" t="s">
        <v>890</v>
      </c>
      <c r="B66" t="s">
        <v>891</v>
      </c>
      <c r="C66">
        <v>2282600065</v>
      </c>
      <c r="D66" t="s">
        <v>833</v>
      </c>
      <c r="E66" s="4">
        <v>0.92499999999999982</v>
      </c>
      <c r="F66" s="1">
        <v>46150</v>
      </c>
      <c r="G66" s="1">
        <v>46153</v>
      </c>
      <c r="H66" s="1">
        <v>46182</v>
      </c>
      <c r="I66" s="1">
        <v>46176</v>
      </c>
      <c r="J66">
        <v>6</v>
      </c>
      <c r="K66" s="1"/>
      <c r="L66" s="7">
        <v>0.43</v>
      </c>
      <c r="M66" s="7">
        <v>1</v>
      </c>
      <c r="N66" s="7">
        <v>0.27906976744186046</v>
      </c>
      <c r="O66" s="7">
        <v>0.18604651162790695</v>
      </c>
      <c r="P66" s="7">
        <v>0.2558139534883721</v>
      </c>
      <c r="Q66" s="7">
        <v>0.18604651162790695</v>
      </c>
      <c r="R66" s="7">
        <v>9.3023255813953487E-2</v>
      </c>
      <c r="S66" s="7">
        <v>0.09</v>
      </c>
      <c r="T66" s="7">
        <v>1</v>
      </c>
      <c r="U66" s="7">
        <v>0.22222222222222221</v>
      </c>
      <c r="V66" s="7">
        <v>0.22222222222222221</v>
      </c>
      <c r="W66" s="7">
        <v>0.1111111111111111</v>
      </c>
      <c r="X66" s="7">
        <v>0.1111111111111111</v>
      </c>
      <c r="Y66" s="7">
        <v>0.1111111111111111</v>
      </c>
      <c r="Z66" s="7">
        <v>0.22222222222222221</v>
      </c>
      <c r="AA66" s="7">
        <v>0.1</v>
      </c>
      <c r="AB66" s="7">
        <v>0.90909090909090917</v>
      </c>
      <c r="AC66" s="7">
        <v>0.27272727272727271</v>
      </c>
      <c r="AD66" s="7">
        <v>0.27272727272727271</v>
      </c>
      <c r="AE66" s="7">
        <v>0</v>
      </c>
      <c r="AF66" s="7">
        <v>0.18181818181818185</v>
      </c>
      <c r="AG66" s="7">
        <v>0.18181818181818185</v>
      </c>
      <c r="AH66" s="7">
        <v>0.30499999999999988</v>
      </c>
      <c r="AI66" s="7">
        <v>0.82432432432432401</v>
      </c>
      <c r="AJ66" s="7">
        <v>5.4054054054054029E-2</v>
      </c>
      <c r="AK66" s="7">
        <v>5.4054054054054029E-2</v>
      </c>
      <c r="AL66" s="7">
        <v>2.7027027027027015E-2</v>
      </c>
      <c r="AM66" s="7">
        <v>8.1081081081081058E-2</v>
      </c>
      <c r="AN66" s="7">
        <v>8.1081081081081058E-2</v>
      </c>
      <c r="AO66" s="7">
        <v>6.7567567567567557E-2</v>
      </c>
      <c r="AP66" s="7">
        <v>5.4054054054054029E-2</v>
      </c>
      <c r="AQ66" s="7">
        <v>0</v>
      </c>
      <c r="AR66" s="7">
        <v>0</v>
      </c>
      <c r="AS66" s="7">
        <v>1.3513513513513507E-2</v>
      </c>
      <c r="AT66" s="7">
        <v>8.1081081081081058E-2</v>
      </c>
      <c r="AU66" s="7">
        <v>5.4054054054054029E-2</v>
      </c>
      <c r="AV66" s="7">
        <v>0</v>
      </c>
      <c r="AW66" s="7">
        <v>5.4054054054054029E-2</v>
      </c>
      <c r="AX66" s="7">
        <v>5.4054054054054029E-2</v>
      </c>
      <c r="AY66" s="7">
        <v>2.7027027027027015E-2</v>
      </c>
      <c r="AZ66" s="7">
        <v>0</v>
      </c>
      <c r="BA66" s="7">
        <v>0</v>
      </c>
      <c r="BB66" s="7">
        <v>8.1081081081081058E-2</v>
      </c>
      <c r="BC66" s="7">
        <v>1.3513513513513507E-2</v>
      </c>
      <c r="BD66">
        <v>2.7027027027027015E-2</v>
      </c>
      <c r="BE66">
        <v>28.87</v>
      </c>
      <c r="BF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6" s="42">
        <f>+IF(AVANCE[[#This Row],[FECHA INICIO REAL]]="","",AVANCE[[#This Row],[FECHA INICIO REAL]]-AVANCE[[#This Row],[FECHA INICIO TEORICO]])</f>
        <v>3</v>
      </c>
      <c r="BH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" spans="1:61" x14ac:dyDescent="0.25">
      <c r="A67" t="s">
        <v>890</v>
      </c>
      <c r="B67" t="s">
        <v>892</v>
      </c>
      <c r="C67">
        <v>2302600066</v>
      </c>
      <c r="D67" t="s">
        <v>834</v>
      </c>
      <c r="E67" s="4">
        <v>0.7</v>
      </c>
      <c r="F67" s="1">
        <v>46150</v>
      </c>
      <c r="G67" s="1">
        <v>46154</v>
      </c>
      <c r="H67" s="1">
        <v>46188</v>
      </c>
      <c r="I67" s="1">
        <v>46186</v>
      </c>
      <c r="J67">
        <v>0</v>
      </c>
      <c r="K67" s="1"/>
      <c r="L67" s="7">
        <v>0.43</v>
      </c>
      <c r="M67" s="7">
        <v>1</v>
      </c>
      <c r="N67" s="7">
        <v>0.27906976744186046</v>
      </c>
      <c r="O67" s="7">
        <v>0.18604651162790695</v>
      </c>
      <c r="P67" s="7">
        <v>0.2558139534883721</v>
      </c>
      <c r="Q67" s="7">
        <v>0.18604651162790695</v>
      </c>
      <c r="R67" s="7">
        <v>9.3023255813953487E-2</v>
      </c>
      <c r="S67" s="7">
        <v>3.9999999999999994E-2</v>
      </c>
      <c r="T67" s="7">
        <v>0.44444444444444442</v>
      </c>
      <c r="U67" s="7">
        <v>0.22222222222222221</v>
      </c>
      <c r="V67" s="7">
        <v>0.22222222222222221</v>
      </c>
      <c r="W67" s="7">
        <v>0</v>
      </c>
      <c r="X67" s="7">
        <v>0</v>
      </c>
      <c r="Y67" s="7">
        <v>0</v>
      </c>
      <c r="Z67" s="7">
        <v>0</v>
      </c>
      <c r="AA67" s="7">
        <v>0.06</v>
      </c>
      <c r="AB67" s="7">
        <v>0.54545454545454541</v>
      </c>
      <c r="AC67" s="7">
        <v>0.27272727272727271</v>
      </c>
      <c r="AD67" s="7">
        <v>0.27272727272727271</v>
      </c>
      <c r="AE67" s="7">
        <v>0</v>
      </c>
      <c r="AF67" s="7">
        <v>0</v>
      </c>
      <c r="AG67" s="7">
        <v>0</v>
      </c>
      <c r="AH67" s="7">
        <v>0.16999999999999996</v>
      </c>
      <c r="AI67" s="7">
        <v>0.45945945945945937</v>
      </c>
      <c r="AJ67" s="7">
        <v>0</v>
      </c>
      <c r="AK67" s="7">
        <v>5.4054054054054029E-2</v>
      </c>
      <c r="AL67" s="7">
        <v>2.7027027027027015E-2</v>
      </c>
      <c r="AM67" s="7">
        <v>8.1081081081081058E-2</v>
      </c>
      <c r="AN67" s="7">
        <v>8.1081081081081058E-2</v>
      </c>
      <c r="AO67" s="7">
        <v>0</v>
      </c>
      <c r="AP67" s="7">
        <v>0</v>
      </c>
      <c r="AQ67" s="7">
        <v>0</v>
      </c>
      <c r="AR67" s="7">
        <v>0</v>
      </c>
      <c r="AS67" s="7">
        <v>0</v>
      </c>
      <c r="AT67" s="7">
        <v>0</v>
      </c>
      <c r="AU67" s="7">
        <v>0</v>
      </c>
      <c r="AV67" s="7">
        <v>0</v>
      </c>
      <c r="AW67" s="7">
        <v>5.4054054054054029E-2</v>
      </c>
      <c r="AX67" s="7">
        <v>5.4054054054054029E-2</v>
      </c>
      <c r="AY67" s="7">
        <v>2.7027027027027015E-2</v>
      </c>
      <c r="AZ67" s="7">
        <v>0</v>
      </c>
      <c r="BA67" s="7">
        <v>5.4054054054054029E-2</v>
      </c>
      <c r="BB67" s="7">
        <v>0</v>
      </c>
      <c r="BC67" s="7">
        <v>0</v>
      </c>
      <c r="BD67">
        <v>2.7027027027027015E-2</v>
      </c>
      <c r="BE67">
        <v>31.32</v>
      </c>
      <c r="BF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67" s="42">
        <f>+IF(AVANCE[[#This Row],[FECHA INICIO REAL]]="","",AVANCE[[#This Row],[FECHA INICIO REAL]]-AVANCE[[#This Row],[FECHA INICIO TEORICO]])</f>
        <v>4</v>
      </c>
      <c r="BH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" spans="1:61" x14ac:dyDescent="0.25">
      <c r="A68" t="s">
        <v>890</v>
      </c>
      <c r="B68" t="s">
        <v>893</v>
      </c>
      <c r="C68">
        <v>2302600067</v>
      </c>
      <c r="D68" t="s">
        <v>834</v>
      </c>
      <c r="E68" s="4">
        <v>0.7649999999999999</v>
      </c>
      <c r="F68" s="1">
        <v>46153</v>
      </c>
      <c r="G68" s="1">
        <v>46158</v>
      </c>
      <c r="H68" s="1">
        <v>46188</v>
      </c>
      <c r="I68" s="1">
        <v>46189</v>
      </c>
      <c r="J68">
        <v>0</v>
      </c>
      <c r="K68" s="1"/>
      <c r="L68" s="7">
        <v>0.43</v>
      </c>
      <c r="M68" s="7">
        <v>1</v>
      </c>
      <c r="N68" s="7">
        <v>0.27906976744186046</v>
      </c>
      <c r="O68" s="7">
        <v>0.18604651162790695</v>
      </c>
      <c r="P68" s="7">
        <v>0.2558139534883721</v>
      </c>
      <c r="Q68" s="7">
        <v>0.18604651162790695</v>
      </c>
      <c r="R68" s="7">
        <v>9.3023255813953487E-2</v>
      </c>
      <c r="S68" s="7">
        <v>0.05</v>
      </c>
      <c r="T68" s="7">
        <v>0.55555555555555558</v>
      </c>
      <c r="U68" s="7">
        <v>0.22222222222222221</v>
      </c>
      <c r="V68" s="7">
        <v>0.22222222222222221</v>
      </c>
      <c r="W68" s="7">
        <v>0</v>
      </c>
      <c r="X68" s="7">
        <v>0.1111111111111111</v>
      </c>
      <c r="Y68" s="7">
        <v>0</v>
      </c>
      <c r="Z68" s="7">
        <v>0</v>
      </c>
      <c r="AA68" s="7">
        <v>0.03</v>
      </c>
      <c r="AB68" s="7">
        <v>0.27272727272727271</v>
      </c>
      <c r="AC68" s="7">
        <v>0.27272727272727271</v>
      </c>
      <c r="AD68" s="7">
        <v>0</v>
      </c>
      <c r="AE68" s="7">
        <v>0</v>
      </c>
      <c r="AF68" s="7">
        <v>0</v>
      </c>
      <c r="AG68" s="7">
        <v>0</v>
      </c>
      <c r="AH68" s="7">
        <v>0.25499999999999989</v>
      </c>
      <c r="AI68" s="7">
        <v>0.68918918918918892</v>
      </c>
      <c r="AJ68" s="7">
        <v>5.4054054054054029E-2</v>
      </c>
      <c r="AK68" s="7">
        <v>5.4054054054054029E-2</v>
      </c>
      <c r="AL68" s="7">
        <v>0</v>
      </c>
      <c r="AM68" s="7">
        <v>8.1081081081081058E-2</v>
      </c>
      <c r="AN68" s="7">
        <v>8.1081081081081058E-2</v>
      </c>
      <c r="AO68" s="7">
        <v>6.7567567567567557E-2</v>
      </c>
      <c r="AP68" s="7">
        <v>5.4054054054054029E-2</v>
      </c>
      <c r="AQ68" s="7">
        <v>0</v>
      </c>
      <c r="AR68" s="7">
        <v>0</v>
      </c>
      <c r="AS68" s="7">
        <v>0</v>
      </c>
      <c r="AT68" s="7">
        <v>0</v>
      </c>
      <c r="AU68" s="7">
        <v>0</v>
      </c>
      <c r="AV68" s="7">
        <v>0</v>
      </c>
      <c r="AW68" s="7">
        <v>5.4054054054054029E-2</v>
      </c>
      <c r="AX68" s="7">
        <v>5.4054054054054029E-2</v>
      </c>
      <c r="AY68" s="7">
        <v>2.7027027027027015E-2</v>
      </c>
      <c r="AZ68" s="7">
        <v>0</v>
      </c>
      <c r="BA68" s="7">
        <v>5.4054054054054029E-2</v>
      </c>
      <c r="BB68" s="7">
        <v>8.1081081081081058E-2</v>
      </c>
      <c r="BC68" s="7">
        <v>0</v>
      </c>
      <c r="BD68">
        <v>2.7027027027027015E-2</v>
      </c>
      <c r="BE68">
        <v>31.32</v>
      </c>
      <c r="BF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68" s="42">
        <f>+IF(AVANCE[[#This Row],[FECHA INICIO REAL]]="","",AVANCE[[#This Row],[FECHA INICIO REAL]]-AVANCE[[#This Row],[FECHA INICIO TEORICO]])</f>
        <v>5</v>
      </c>
      <c r="BH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" spans="1:61" x14ac:dyDescent="0.25">
      <c r="A69" t="s">
        <v>890</v>
      </c>
      <c r="B69" t="s">
        <v>894</v>
      </c>
      <c r="C69">
        <v>2282600068</v>
      </c>
      <c r="D69" t="s">
        <v>833</v>
      </c>
      <c r="E69" s="4">
        <v>0.8899999999999999</v>
      </c>
      <c r="F69" s="1">
        <v>46153</v>
      </c>
      <c r="G69" s="1">
        <v>46156</v>
      </c>
      <c r="H69" s="1">
        <v>46182</v>
      </c>
      <c r="I69" s="1">
        <v>46179</v>
      </c>
      <c r="J69">
        <v>6</v>
      </c>
      <c r="K69" s="1"/>
      <c r="L69" s="7">
        <v>0.43</v>
      </c>
      <c r="M69" s="7">
        <v>1</v>
      </c>
      <c r="N69" s="7">
        <v>0.27906976744186046</v>
      </c>
      <c r="O69" s="7">
        <v>0.18604651162790695</v>
      </c>
      <c r="P69" s="7">
        <v>0.2558139534883721</v>
      </c>
      <c r="Q69" s="7">
        <v>0.18604651162790695</v>
      </c>
      <c r="R69" s="7">
        <v>9.3023255813953487E-2</v>
      </c>
      <c r="S69" s="7">
        <v>0.09</v>
      </c>
      <c r="T69" s="7">
        <v>1</v>
      </c>
      <c r="U69" s="7">
        <v>0.22222222222222221</v>
      </c>
      <c r="V69" s="7">
        <v>0.22222222222222221</v>
      </c>
      <c r="W69" s="7">
        <v>0.1111111111111111</v>
      </c>
      <c r="X69" s="7">
        <v>0.1111111111111111</v>
      </c>
      <c r="Y69" s="7">
        <v>0.1111111111111111</v>
      </c>
      <c r="Z69" s="7">
        <v>0.22222222222222221</v>
      </c>
      <c r="AA69" s="7">
        <v>6.9999999999999993E-2</v>
      </c>
      <c r="AB69" s="7">
        <v>0.63636363636363635</v>
      </c>
      <c r="AC69" s="7">
        <v>0.27272727272727271</v>
      </c>
      <c r="AD69" s="7">
        <v>0</v>
      </c>
      <c r="AE69" s="7">
        <v>0</v>
      </c>
      <c r="AF69" s="7">
        <v>0.18181818181818185</v>
      </c>
      <c r="AG69" s="7">
        <v>0.18181818181818185</v>
      </c>
      <c r="AH69" s="7">
        <v>0.29999999999999988</v>
      </c>
      <c r="AI69" s="7">
        <v>0.81081081081081052</v>
      </c>
      <c r="AJ69" s="7">
        <v>5.4054054054054029E-2</v>
      </c>
      <c r="AK69" s="7">
        <v>5.4054054054054029E-2</v>
      </c>
      <c r="AL69" s="7">
        <v>2.7027027027027015E-2</v>
      </c>
      <c r="AM69" s="7">
        <v>8.1081081081081058E-2</v>
      </c>
      <c r="AN69" s="7">
        <v>8.1081081081081058E-2</v>
      </c>
      <c r="AO69" s="7">
        <v>6.7567567567567557E-2</v>
      </c>
      <c r="AP69" s="7">
        <v>5.4054054054054029E-2</v>
      </c>
      <c r="AQ69" s="7">
        <v>0</v>
      </c>
      <c r="AR69" s="7">
        <v>0</v>
      </c>
      <c r="AS69" s="7">
        <v>0</v>
      </c>
      <c r="AT69" s="7">
        <v>8.1081081081081058E-2</v>
      </c>
      <c r="AU69" s="7">
        <v>5.4054054054054029E-2</v>
      </c>
      <c r="AV69" s="7">
        <v>0</v>
      </c>
      <c r="AW69" s="7">
        <v>5.4054054054054029E-2</v>
      </c>
      <c r="AX69" s="7">
        <v>5.4054054054054029E-2</v>
      </c>
      <c r="AY69" s="7">
        <v>2.7027027027027015E-2</v>
      </c>
      <c r="AZ69" s="7">
        <v>0</v>
      </c>
      <c r="BA69" s="7">
        <v>0</v>
      </c>
      <c r="BB69" s="7">
        <v>8.1081081081081058E-2</v>
      </c>
      <c r="BC69" s="7">
        <v>1.3513513513513507E-2</v>
      </c>
      <c r="BD69">
        <v>2.7027027027027015E-2</v>
      </c>
      <c r="BE69">
        <v>28.87</v>
      </c>
      <c r="BF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69" s="42">
        <f>+IF(AVANCE[[#This Row],[FECHA INICIO REAL]]="","",AVANCE[[#This Row],[FECHA INICIO REAL]]-AVANCE[[#This Row],[FECHA INICIO TEORICO]])</f>
        <v>3</v>
      </c>
      <c r="BH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" spans="1:61" x14ac:dyDescent="0.25">
      <c r="A70" t="s">
        <v>890</v>
      </c>
      <c r="B70" t="s">
        <v>895</v>
      </c>
      <c r="C70">
        <v>2282600069</v>
      </c>
      <c r="D70" t="s">
        <v>833</v>
      </c>
      <c r="E70" s="4">
        <v>0.91999999999999982</v>
      </c>
      <c r="F70" s="1">
        <v>46154</v>
      </c>
      <c r="G70" s="1">
        <v>46156</v>
      </c>
      <c r="H70" s="1">
        <v>46188</v>
      </c>
      <c r="I70" s="1">
        <v>46180</v>
      </c>
      <c r="J70">
        <v>0</v>
      </c>
      <c r="K70" s="1"/>
      <c r="L70" s="7">
        <v>0.43</v>
      </c>
      <c r="M70" s="7">
        <v>1</v>
      </c>
      <c r="N70" s="7">
        <v>0.27906976744186046</v>
      </c>
      <c r="O70" s="7">
        <v>0.18604651162790695</v>
      </c>
      <c r="P70" s="7">
        <v>0.2558139534883721</v>
      </c>
      <c r="Q70" s="7">
        <v>0.18604651162790695</v>
      </c>
      <c r="R70" s="7">
        <v>9.3023255813953487E-2</v>
      </c>
      <c r="S70" s="7">
        <v>0.09</v>
      </c>
      <c r="T70" s="7">
        <v>1</v>
      </c>
      <c r="U70" s="7">
        <v>0.22222222222222221</v>
      </c>
      <c r="V70" s="7">
        <v>0.22222222222222221</v>
      </c>
      <c r="W70" s="7">
        <v>0.1111111111111111</v>
      </c>
      <c r="X70" s="7">
        <v>0.1111111111111111</v>
      </c>
      <c r="Y70" s="7">
        <v>0.1111111111111111</v>
      </c>
      <c r="Z70" s="7">
        <v>0.22222222222222221</v>
      </c>
      <c r="AA70" s="7">
        <v>6.9999999999999993E-2</v>
      </c>
      <c r="AB70" s="7">
        <v>0.63636363636363635</v>
      </c>
      <c r="AC70" s="7">
        <v>0.27272727272727271</v>
      </c>
      <c r="AD70" s="7">
        <v>0</v>
      </c>
      <c r="AE70" s="7">
        <v>0</v>
      </c>
      <c r="AF70" s="7">
        <v>0.18181818181818185</v>
      </c>
      <c r="AG70" s="7">
        <v>0.18181818181818185</v>
      </c>
      <c r="AH70" s="7">
        <v>0.32999999999999985</v>
      </c>
      <c r="AI70" s="7">
        <v>0.89189189189189155</v>
      </c>
      <c r="AJ70" s="7">
        <v>5.4054054054054029E-2</v>
      </c>
      <c r="AK70" s="7">
        <v>5.4054054054054029E-2</v>
      </c>
      <c r="AL70" s="7">
        <v>2.7027027027027015E-2</v>
      </c>
      <c r="AM70" s="7">
        <v>8.1081081081081058E-2</v>
      </c>
      <c r="AN70" s="7">
        <v>8.1081081081081058E-2</v>
      </c>
      <c r="AO70" s="7">
        <v>6.7567567567567557E-2</v>
      </c>
      <c r="AP70" s="7">
        <v>5.4054054054054029E-2</v>
      </c>
      <c r="AQ70" s="7">
        <v>0</v>
      </c>
      <c r="AR70" s="7">
        <v>0</v>
      </c>
      <c r="AS70" s="7">
        <v>0</v>
      </c>
      <c r="AT70" s="7">
        <v>8.1081081081081058E-2</v>
      </c>
      <c r="AU70" s="7">
        <v>5.4054054054054029E-2</v>
      </c>
      <c r="AV70" s="7">
        <v>2.7027027027027015E-2</v>
      </c>
      <c r="AW70" s="7">
        <v>5.4054054054054029E-2</v>
      </c>
      <c r="AX70" s="7">
        <v>5.4054054054054029E-2</v>
      </c>
      <c r="AY70" s="7">
        <v>2.7027027027027015E-2</v>
      </c>
      <c r="AZ70" s="7">
        <v>0</v>
      </c>
      <c r="BA70" s="7">
        <v>5.4054054054054029E-2</v>
      </c>
      <c r="BB70" s="7">
        <v>8.1081081081081058E-2</v>
      </c>
      <c r="BC70" s="7">
        <v>1.3513513513513507E-2</v>
      </c>
      <c r="BD70">
        <v>2.7027027027027015E-2</v>
      </c>
      <c r="BE70">
        <v>28.87</v>
      </c>
      <c r="BF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0" s="42">
        <f>+IF(AVANCE[[#This Row],[FECHA INICIO REAL]]="","",AVANCE[[#This Row],[FECHA INICIO REAL]]-AVANCE[[#This Row],[FECHA INICIO TEORICO]])</f>
        <v>2</v>
      </c>
      <c r="BH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1" spans="1:61" x14ac:dyDescent="0.25">
      <c r="A71" t="s">
        <v>890</v>
      </c>
      <c r="B71" t="s">
        <v>896</v>
      </c>
      <c r="C71">
        <v>2302600070</v>
      </c>
      <c r="D71" t="s">
        <v>834</v>
      </c>
      <c r="E71" s="4">
        <v>0.65999999999999992</v>
      </c>
      <c r="F71" s="1">
        <v>46154</v>
      </c>
      <c r="G71" s="1">
        <v>46158</v>
      </c>
      <c r="H71" s="1">
        <v>46185</v>
      </c>
      <c r="I71" s="1">
        <v>46190</v>
      </c>
      <c r="J71">
        <v>3</v>
      </c>
      <c r="K71" s="1"/>
      <c r="L71" s="7">
        <v>0.43</v>
      </c>
      <c r="M71" s="7">
        <v>1</v>
      </c>
      <c r="N71" s="7">
        <v>0.27906976744186046</v>
      </c>
      <c r="O71" s="7">
        <v>0.18604651162790695</v>
      </c>
      <c r="P71" s="7">
        <v>0.2558139534883721</v>
      </c>
      <c r="Q71" s="7">
        <v>0.18604651162790695</v>
      </c>
      <c r="R71" s="7">
        <v>9.3023255813953487E-2</v>
      </c>
      <c r="S71" s="7">
        <v>3.9999999999999994E-2</v>
      </c>
      <c r="T71" s="7">
        <v>0.44444444444444442</v>
      </c>
      <c r="U71" s="7">
        <v>0.22222222222222221</v>
      </c>
      <c r="V71" s="7">
        <v>0.22222222222222221</v>
      </c>
      <c r="W71" s="7">
        <v>0</v>
      </c>
      <c r="X71" s="7">
        <v>0</v>
      </c>
      <c r="Y71" s="7">
        <v>0</v>
      </c>
      <c r="Z71" s="7">
        <v>0</v>
      </c>
      <c r="AA71" s="7">
        <v>0.03</v>
      </c>
      <c r="AB71" s="7">
        <v>0.27272727272727271</v>
      </c>
      <c r="AC71" s="7">
        <v>0.27272727272727271</v>
      </c>
      <c r="AD71" s="7">
        <v>0</v>
      </c>
      <c r="AE71" s="7">
        <v>0</v>
      </c>
      <c r="AF71" s="7">
        <v>0</v>
      </c>
      <c r="AG71" s="7">
        <v>0</v>
      </c>
      <c r="AH71" s="7">
        <v>0.15999999999999998</v>
      </c>
      <c r="AI71" s="7">
        <v>0.43243243243243235</v>
      </c>
      <c r="AJ71" s="7">
        <v>0</v>
      </c>
      <c r="AK71" s="7">
        <v>5.4054054054054029E-2</v>
      </c>
      <c r="AL71" s="7">
        <v>0</v>
      </c>
      <c r="AM71" s="7">
        <v>8.1081081081081058E-2</v>
      </c>
      <c r="AN71" s="7">
        <v>8.1081081081081058E-2</v>
      </c>
      <c r="AO71" s="7">
        <v>0</v>
      </c>
      <c r="AP71" s="7">
        <v>0</v>
      </c>
      <c r="AQ71" s="7">
        <v>0</v>
      </c>
      <c r="AR71" s="7">
        <v>0</v>
      </c>
      <c r="AS71" s="7">
        <v>0</v>
      </c>
      <c r="AT71" s="7">
        <v>0</v>
      </c>
      <c r="AU71" s="7">
        <v>0</v>
      </c>
      <c r="AV71" s="7">
        <v>0</v>
      </c>
      <c r="AW71" s="7">
        <v>5.4054054054054029E-2</v>
      </c>
      <c r="AX71" s="7">
        <v>5.4054054054054029E-2</v>
      </c>
      <c r="AY71" s="7">
        <v>2.7027027027027015E-2</v>
      </c>
      <c r="AZ71" s="7">
        <v>0</v>
      </c>
      <c r="BA71" s="7">
        <v>5.4054054054054029E-2</v>
      </c>
      <c r="BB71" s="7">
        <v>0</v>
      </c>
      <c r="BC71" s="7">
        <v>0</v>
      </c>
      <c r="BD71">
        <v>2.7027027027027015E-2</v>
      </c>
      <c r="BE71">
        <v>31.32</v>
      </c>
      <c r="BF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71" s="42">
        <f>+IF(AVANCE[[#This Row],[FECHA INICIO REAL]]="","",AVANCE[[#This Row],[FECHA INICIO REAL]]-AVANCE[[#This Row],[FECHA INICIO TEORICO]])</f>
        <v>4</v>
      </c>
      <c r="BH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2" spans="1:61" x14ac:dyDescent="0.25">
      <c r="A72" t="s">
        <v>890</v>
      </c>
      <c r="B72" t="s">
        <v>897</v>
      </c>
      <c r="C72">
        <v>2302600071</v>
      </c>
      <c r="D72" t="s">
        <v>834</v>
      </c>
      <c r="E72" s="4">
        <v>0.7</v>
      </c>
      <c r="F72" s="1">
        <v>46155</v>
      </c>
      <c r="G72" s="1">
        <v>46156</v>
      </c>
      <c r="H72" s="1">
        <v>46185</v>
      </c>
      <c r="I72" s="1">
        <v>46191</v>
      </c>
      <c r="J72">
        <v>3</v>
      </c>
      <c r="K72" s="1"/>
      <c r="L72" s="7">
        <v>0.43</v>
      </c>
      <c r="M72" s="7">
        <v>1</v>
      </c>
      <c r="N72" s="7">
        <v>0.27906976744186046</v>
      </c>
      <c r="O72" s="7">
        <v>0.18604651162790695</v>
      </c>
      <c r="P72" s="7">
        <v>0.2558139534883721</v>
      </c>
      <c r="Q72" s="7">
        <v>0.18604651162790695</v>
      </c>
      <c r="R72" s="7">
        <v>9.3023255813953487E-2</v>
      </c>
      <c r="S72" s="7">
        <v>0.05</v>
      </c>
      <c r="T72" s="7">
        <v>0.55555555555555558</v>
      </c>
      <c r="U72" s="7">
        <v>0.22222222222222221</v>
      </c>
      <c r="V72" s="7">
        <v>0.22222222222222221</v>
      </c>
      <c r="W72" s="7">
        <v>0</v>
      </c>
      <c r="X72" s="7">
        <v>0.1111111111111111</v>
      </c>
      <c r="Y72" s="7">
        <v>0</v>
      </c>
      <c r="Z72" s="7">
        <v>0</v>
      </c>
      <c r="AA72" s="7">
        <v>0.06</v>
      </c>
      <c r="AB72" s="7">
        <v>0.54545454545454541</v>
      </c>
      <c r="AC72" s="7">
        <v>0.27272727272727271</v>
      </c>
      <c r="AD72" s="7">
        <v>0.27272727272727271</v>
      </c>
      <c r="AE72" s="7">
        <v>0</v>
      </c>
      <c r="AF72" s="7">
        <v>0</v>
      </c>
      <c r="AG72" s="7">
        <v>0</v>
      </c>
      <c r="AH72" s="7">
        <v>0.15999999999999998</v>
      </c>
      <c r="AI72" s="7">
        <v>0.43243243243243235</v>
      </c>
      <c r="AJ72" s="7">
        <v>5.4054054054054029E-2</v>
      </c>
      <c r="AK72" s="7">
        <v>5.4054054054054029E-2</v>
      </c>
      <c r="AL72" s="7">
        <v>0</v>
      </c>
      <c r="AM72" s="7">
        <v>8.1081081081081058E-2</v>
      </c>
      <c r="AN72" s="7">
        <v>8.1081081081081058E-2</v>
      </c>
      <c r="AO72" s="7">
        <v>0</v>
      </c>
      <c r="AP72" s="7">
        <v>0</v>
      </c>
      <c r="AQ72" s="7">
        <v>0</v>
      </c>
      <c r="AR72" s="7">
        <v>0</v>
      </c>
      <c r="AS72" s="7">
        <v>0</v>
      </c>
      <c r="AT72" s="7">
        <v>0</v>
      </c>
      <c r="AU72" s="7">
        <v>0</v>
      </c>
      <c r="AV72" s="7">
        <v>0</v>
      </c>
      <c r="AW72" s="7">
        <v>5.4054054054054029E-2</v>
      </c>
      <c r="AX72" s="7">
        <v>0</v>
      </c>
      <c r="AY72" s="7">
        <v>2.7027027027027015E-2</v>
      </c>
      <c r="AZ72" s="7">
        <v>0</v>
      </c>
      <c r="BA72" s="7">
        <v>5.4054054054054029E-2</v>
      </c>
      <c r="BB72" s="7">
        <v>0</v>
      </c>
      <c r="BC72" s="7">
        <v>0</v>
      </c>
      <c r="BD72">
        <v>2.7027027027027015E-2</v>
      </c>
      <c r="BE72">
        <v>31.32</v>
      </c>
      <c r="BF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72" s="42">
        <f>+IF(AVANCE[[#This Row],[FECHA INICIO REAL]]="","",AVANCE[[#This Row],[FECHA INICIO REAL]]-AVANCE[[#This Row],[FECHA INICIO TEORICO]])</f>
        <v>1</v>
      </c>
      <c r="BH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3" spans="1:61" x14ac:dyDescent="0.25">
      <c r="A73" t="s">
        <v>890</v>
      </c>
      <c r="B73" t="s">
        <v>898</v>
      </c>
      <c r="C73">
        <v>2282600072</v>
      </c>
      <c r="D73" t="s">
        <v>833</v>
      </c>
      <c r="E73" s="4">
        <v>0.95499999999999985</v>
      </c>
      <c r="F73" s="1">
        <v>46155</v>
      </c>
      <c r="G73" s="1">
        <v>46154</v>
      </c>
      <c r="H73" s="1">
        <v>46185</v>
      </c>
      <c r="I73" s="1">
        <v>46181</v>
      </c>
      <c r="J73">
        <v>3</v>
      </c>
      <c r="K73" s="1"/>
      <c r="L73" s="7">
        <v>0.43</v>
      </c>
      <c r="M73" s="7">
        <v>1</v>
      </c>
      <c r="N73" s="7">
        <v>0.27906976744186046</v>
      </c>
      <c r="O73" s="7">
        <v>0.18604651162790695</v>
      </c>
      <c r="P73" s="7">
        <v>0.2558139534883721</v>
      </c>
      <c r="Q73" s="7">
        <v>0.18604651162790695</v>
      </c>
      <c r="R73" s="7">
        <v>9.3023255813953487E-2</v>
      </c>
      <c r="S73" s="7">
        <v>0.09</v>
      </c>
      <c r="T73" s="7">
        <v>1</v>
      </c>
      <c r="U73" s="7">
        <v>0.22222222222222221</v>
      </c>
      <c r="V73" s="7">
        <v>0.22222222222222221</v>
      </c>
      <c r="W73" s="7">
        <v>0.1111111111111111</v>
      </c>
      <c r="X73" s="7">
        <v>0.1111111111111111</v>
      </c>
      <c r="Y73" s="7">
        <v>0.1111111111111111</v>
      </c>
      <c r="Z73" s="7">
        <v>0.22222222222222221</v>
      </c>
      <c r="AA73" s="7">
        <v>0.1</v>
      </c>
      <c r="AB73" s="7">
        <v>0.90909090909090917</v>
      </c>
      <c r="AC73" s="7">
        <v>0.27272727272727271</v>
      </c>
      <c r="AD73" s="7">
        <v>0.27272727272727271</v>
      </c>
      <c r="AE73" s="7">
        <v>0</v>
      </c>
      <c r="AF73" s="7">
        <v>0.18181818181818185</v>
      </c>
      <c r="AG73" s="7">
        <v>0.18181818181818185</v>
      </c>
      <c r="AH73" s="7">
        <v>0.33499999999999985</v>
      </c>
      <c r="AI73" s="7">
        <v>0.90540540540540515</v>
      </c>
      <c r="AJ73" s="7">
        <v>5.4054054054054029E-2</v>
      </c>
      <c r="AK73" s="7">
        <v>5.4054054054054029E-2</v>
      </c>
      <c r="AL73" s="7">
        <v>2.7027027027027015E-2</v>
      </c>
      <c r="AM73" s="7">
        <v>8.1081081081081058E-2</v>
      </c>
      <c r="AN73" s="7">
        <v>8.1081081081081058E-2</v>
      </c>
      <c r="AO73" s="7">
        <v>6.7567567567567557E-2</v>
      </c>
      <c r="AP73" s="7">
        <v>5.4054054054054029E-2</v>
      </c>
      <c r="AQ73" s="7">
        <v>0</v>
      </c>
      <c r="AR73" s="7">
        <v>0</v>
      </c>
      <c r="AS73" s="7">
        <v>1.3513513513513507E-2</v>
      </c>
      <c r="AT73" s="7">
        <v>8.1081081081081058E-2</v>
      </c>
      <c r="AU73" s="7">
        <v>5.4054054054054029E-2</v>
      </c>
      <c r="AV73" s="7">
        <v>2.7027027027027015E-2</v>
      </c>
      <c r="AW73" s="7">
        <v>5.4054054054054029E-2</v>
      </c>
      <c r="AX73" s="7">
        <v>5.4054054054054029E-2</v>
      </c>
      <c r="AY73" s="7">
        <v>2.7027027027027015E-2</v>
      </c>
      <c r="AZ73" s="7">
        <v>0</v>
      </c>
      <c r="BA73" s="7">
        <v>5.4054054054054029E-2</v>
      </c>
      <c r="BB73" s="7">
        <v>8.1081081081081058E-2</v>
      </c>
      <c r="BC73" s="7">
        <v>1.3513513513513507E-2</v>
      </c>
      <c r="BD73">
        <v>2.7027027027027015E-2</v>
      </c>
      <c r="BE73">
        <v>28.87</v>
      </c>
      <c r="BF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73" s="42">
        <f>+IF(AVANCE[[#This Row],[FECHA INICIO REAL]]="","",AVANCE[[#This Row],[FECHA INICIO REAL]]-AVANCE[[#This Row],[FECHA INICIO TEORICO]])</f>
        <v>-1</v>
      </c>
      <c r="BH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4" spans="1:61" x14ac:dyDescent="0.25">
      <c r="A74" t="s">
        <v>890</v>
      </c>
      <c r="B74" t="s">
        <v>899</v>
      </c>
      <c r="C74">
        <v>2282600073</v>
      </c>
      <c r="D74" t="s">
        <v>833</v>
      </c>
      <c r="E74" s="4">
        <v>0.85499999999999987</v>
      </c>
      <c r="F74" s="1">
        <v>46156</v>
      </c>
      <c r="G74" s="1">
        <v>46167</v>
      </c>
      <c r="H74" s="1">
        <v>46188</v>
      </c>
      <c r="I74" s="1">
        <v>46182</v>
      </c>
      <c r="J74">
        <v>0</v>
      </c>
      <c r="K74" s="1"/>
      <c r="L74" s="7">
        <v>0.43</v>
      </c>
      <c r="M74" s="7">
        <v>1</v>
      </c>
      <c r="N74" s="7">
        <v>0.27906976744186046</v>
      </c>
      <c r="O74" s="7">
        <v>0.18604651162790695</v>
      </c>
      <c r="P74" s="7">
        <v>0.2558139534883721</v>
      </c>
      <c r="Q74" s="7">
        <v>0.18604651162790695</v>
      </c>
      <c r="R74" s="7">
        <v>9.3023255813953487E-2</v>
      </c>
      <c r="S74" s="7">
        <v>0.09</v>
      </c>
      <c r="T74" s="7">
        <v>1</v>
      </c>
      <c r="U74" s="7">
        <v>0.22222222222222221</v>
      </c>
      <c r="V74" s="7">
        <v>0.22222222222222221</v>
      </c>
      <c r="W74" s="7">
        <v>0.1111111111111111</v>
      </c>
      <c r="X74" s="7">
        <v>0.1111111111111111</v>
      </c>
      <c r="Y74" s="7">
        <v>0.1111111111111111</v>
      </c>
      <c r="Z74" s="7">
        <v>0.22222222222222221</v>
      </c>
      <c r="AA74" s="7">
        <v>6.9999999999999993E-2</v>
      </c>
      <c r="AB74" s="7">
        <v>0.63636363636363635</v>
      </c>
      <c r="AC74" s="7">
        <v>0.27272727272727271</v>
      </c>
      <c r="AD74" s="7">
        <v>0</v>
      </c>
      <c r="AE74" s="7">
        <v>0</v>
      </c>
      <c r="AF74" s="7">
        <v>0.18181818181818185</v>
      </c>
      <c r="AG74" s="7">
        <v>0.18181818181818185</v>
      </c>
      <c r="AH74" s="7">
        <v>0.2649999999999999</v>
      </c>
      <c r="AI74" s="7">
        <v>0.7162162162162159</v>
      </c>
      <c r="AJ74" s="7">
        <v>5.4054054054054029E-2</v>
      </c>
      <c r="AK74" s="7">
        <v>5.4054054054054029E-2</v>
      </c>
      <c r="AL74" s="7">
        <v>2.7027027027027015E-2</v>
      </c>
      <c r="AM74" s="7">
        <v>8.1081081081081058E-2</v>
      </c>
      <c r="AN74" s="7">
        <v>8.1081081081081058E-2</v>
      </c>
      <c r="AO74" s="7">
        <v>0</v>
      </c>
      <c r="AP74" s="7">
        <v>5.4054054054054029E-2</v>
      </c>
      <c r="AQ74" s="7">
        <v>0</v>
      </c>
      <c r="AR74" s="7">
        <v>0</v>
      </c>
      <c r="AS74" s="7">
        <v>0</v>
      </c>
      <c r="AT74" s="7">
        <v>0</v>
      </c>
      <c r="AU74" s="7">
        <v>5.4054054054054029E-2</v>
      </c>
      <c r="AV74" s="7">
        <v>0</v>
      </c>
      <c r="AW74" s="7">
        <v>5.4054054054054029E-2</v>
      </c>
      <c r="AX74" s="7">
        <v>5.4054054054054029E-2</v>
      </c>
      <c r="AY74" s="7">
        <v>2.7027027027027015E-2</v>
      </c>
      <c r="AZ74" s="7">
        <v>0</v>
      </c>
      <c r="BA74" s="7">
        <v>5.4054054054054029E-2</v>
      </c>
      <c r="BB74" s="7">
        <v>8.1081081081081058E-2</v>
      </c>
      <c r="BC74" s="7">
        <v>1.3513513513513507E-2</v>
      </c>
      <c r="BD74">
        <v>2.7027027027027015E-2</v>
      </c>
      <c r="BE74">
        <v>28.87</v>
      </c>
      <c r="BF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4" s="42">
        <f>+IF(AVANCE[[#This Row],[FECHA INICIO REAL]]="","",AVANCE[[#This Row],[FECHA INICIO REAL]]-AVANCE[[#This Row],[FECHA INICIO TEORICO]])</f>
        <v>11</v>
      </c>
      <c r="BH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5" spans="1:61" x14ac:dyDescent="0.25">
      <c r="A75" t="s">
        <v>890</v>
      </c>
      <c r="B75" t="s">
        <v>900</v>
      </c>
      <c r="C75">
        <v>2302600074</v>
      </c>
      <c r="D75" t="s">
        <v>834</v>
      </c>
      <c r="E75" s="4">
        <v>0.63</v>
      </c>
      <c r="F75" s="1">
        <v>46156</v>
      </c>
      <c r="G75" s="1">
        <v>46161</v>
      </c>
      <c r="H75" s="1">
        <v>46183</v>
      </c>
      <c r="I75" s="1">
        <v>46192</v>
      </c>
      <c r="J75">
        <v>5</v>
      </c>
      <c r="K75" s="1"/>
      <c r="L75" s="7">
        <v>0.43</v>
      </c>
      <c r="M75" s="7">
        <v>1</v>
      </c>
      <c r="N75" s="7">
        <v>0.27906976744186046</v>
      </c>
      <c r="O75" s="7">
        <v>0.18604651162790695</v>
      </c>
      <c r="P75" s="7">
        <v>0.2558139534883721</v>
      </c>
      <c r="Q75" s="7">
        <v>0.18604651162790695</v>
      </c>
      <c r="R75" s="7">
        <v>9.3023255813953487E-2</v>
      </c>
      <c r="S75" s="7">
        <v>3.9999999999999994E-2</v>
      </c>
      <c r="T75" s="7">
        <v>0.44444444444444442</v>
      </c>
      <c r="U75" s="7">
        <v>0.22222222222222221</v>
      </c>
      <c r="V75" s="7">
        <v>0.22222222222222221</v>
      </c>
      <c r="W75" s="7">
        <v>0</v>
      </c>
      <c r="X75" s="7">
        <v>0</v>
      </c>
      <c r="Y75" s="7">
        <v>0</v>
      </c>
      <c r="Z75" s="7">
        <v>0</v>
      </c>
      <c r="AA75" s="7">
        <v>0.03</v>
      </c>
      <c r="AB75" s="7">
        <v>0.27272727272727271</v>
      </c>
      <c r="AC75" s="7">
        <v>0.27272727272727271</v>
      </c>
      <c r="AD75" s="7">
        <v>0</v>
      </c>
      <c r="AE75" s="7">
        <v>0</v>
      </c>
      <c r="AF75" s="7">
        <v>0</v>
      </c>
      <c r="AG75" s="7">
        <v>0</v>
      </c>
      <c r="AH75" s="7">
        <v>0.12999999999999998</v>
      </c>
      <c r="AI75" s="7">
        <v>0.35135135135135126</v>
      </c>
      <c r="AJ75" s="7">
        <v>0</v>
      </c>
      <c r="AK75" s="7">
        <v>5.4054054054054029E-2</v>
      </c>
      <c r="AL75" s="7">
        <v>0</v>
      </c>
      <c r="AM75" s="7">
        <v>8.1081081081081058E-2</v>
      </c>
      <c r="AN75" s="7">
        <v>0</v>
      </c>
      <c r="AO75" s="7">
        <v>0</v>
      </c>
      <c r="AP75" s="7">
        <v>0</v>
      </c>
      <c r="AQ75" s="7">
        <v>0</v>
      </c>
      <c r="AR75" s="7">
        <v>0</v>
      </c>
      <c r="AS75" s="7">
        <v>0</v>
      </c>
      <c r="AT75" s="7">
        <v>0</v>
      </c>
      <c r="AU75" s="7">
        <v>0</v>
      </c>
      <c r="AV75" s="7">
        <v>0</v>
      </c>
      <c r="AW75" s="7">
        <v>5.4054054054054029E-2</v>
      </c>
      <c r="AX75" s="7">
        <v>5.4054054054054029E-2</v>
      </c>
      <c r="AY75" s="7">
        <v>2.7027027027027015E-2</v>
      </c>
      <c r="AZ75" s="7">
        <v>0</v>
      </c>
      <c r="BA75" s="7">
        <v>5.4054054054054029E-2</v>
      </c>
      <c r="BB75" s="7">
        <v>0</v>
      </c>
      <c r="BC75" s="7">
        <v>0</v>
      </c>
      <c r="BD75">
        <v>2.7027027027027015E-2</v>
      </c>
      <c r="BE75">
        <v>31.32</v>
      </c>
      <c r="BF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75" s="42">
        <f>+IF(AVANCE[[#This Row],[FECHA INICIO REAL]]="","",AVANCE[[#This Row],[FECHA INICIO REAL]]-AVANCE[[#This Row],[FECHA INICIO TEORICO]])</f>
        <v>5</v>
      </c>
      <c r="BH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6" spans="1:61" x14ac:dyDescent="0.25">
      <c r="A76" t="s">
        <v>890</v>
      </c>
      <c r="B76" t="s">
        <v>901</v>
      </c>
      <c r="C76">
        <v>2302600075</v>
      </c>
      <c r="D76" t="s">
        <v>834</v>
      </c>
      <c r="E76" s="4">
        <v>0.64999999999999991</v>
      </c>
      <c r="F76" s="1">
        <v>46157</v>
      </c>
      <c r="G76" s="1">
        <v>46160</v>
      </c>
      <c r="H76" s="1">
        <v>46188</v>
      </c>
      <c r="I76" s="1">
        <v>46193</v>
      </c>
      <c r="J76">
        <v>0</v>
      </c>
      <c r="K76" s="1"/>
      <c r="L76" s="7">
        <v>0.43</v>
      </c>
      <c r="M76" s="7">
        <v>1</v>
      </c>
      <c r="N76" s="7">
        <v>0.27906976744186046</v>
      </c>
      <c r="O76" s="7">
        <v>0.18604651162790695</v>
      </c>
      <c r="P76" s="7">
        <v>0.2558139534883721</v>
      </c>
      <c r="Q76" s="7">
        <v>0.18604651162790695</v>
      </c>
      <c r="R76" s="7">
        <v>9.3023255813953487E-2</v>
      </c>
      <c r="S76" s="7">
        <v>3.9999999999999994E-2</v>
      </c>
      <c r="T76" s="7">
        <v>0.44444444444444442</v>
      </c>
      <c r="U76" s="7">
        <v>0.22222222222222221</v>
      </c>
      <c r="V76" s="7">
        <v>0.22222222222222221</v>
      </c>
      <c r="W76" s="7">
        <v>0</v>
      </c>
      <c r="X76" s="7">
        <v>0</v>
      </c>
      <c r="Y76" s="7">
        <v>0</v>
      </c>
      <c r="Z76" s="7">
        <v>0</v>
      </c>
      <c r="AA76" s="7">
        <v>0.03</v>
      </c>
      <c r="AB76" s="7">
        <v>0.27272727272727271</v>
      </c>
      <c r="AC76" s="7">
        <v>0.27272727272727271</v>
      </c>
      <c r="AD76" s="7">
        <v>0</v>
      </c>
      <c r="AE76" s="7">
        <v>0</v>
      </c>
      <c r="AF76" s="7">
        <v>0</v>
      </c>
      <c r="AG76" s="7">
        <v>0</v>
      </c>
      <c r="AH76" s="7">
        <v>0.14999999999999997</v>
      </c>
      <c r="AI76" s="7">
        <v>0.40540540540540526</v>
      </c>
      <c r="AJ76" s="7">
        <v>0</v>
      </c>
      <c r="AK76" s="7">
        <v>5.4054054054054029E-2</v>
      </c>
      <c r="AL76" s="7">
        <v>0</v>
      </c>
      <c r="AM76" s="7">
        <v>8.1081081081081058E-2</v>
      </c>
      <c r="AN76" s="7">
        <v>8.1081081081081058E-2</v>
      </c>
      <c r="AO76" s="7">
        <v>0</v>
      </c>
      <c r="AP76" s="7">
        <v>0</v>
      </c>
      <c r="AQ76" s="7">
        <v>0</v>
      </c>
      <c r="AR76" s="7">
        <v>0</v>
      </c>
      <c r="AS76" s="7">
        <v>0</v>
      </c>
      <c r="AT76" s="7">
        <v>0</v>
      </c>
      <c r="AU76" s="7">
        <v>0</v>
      </c>
      <c r="AV76" s="7">
        <v>0</v>
      </c>
      <c r="AW76" s="7">
        <v>5.4054054054054029E-2</v>
      </c>
      <c r="AX76" s="7">
        <v>5.4054054054054029E-2</v>
      </c>
      <c r="AY76" s="7">
        <v>2.7027027027027015E-2</v>
      </c>
      <c r="AZ76" s="7">
        <v>0</v>
      </c>
      <c r="BA76" s="7">
        <v>5.4054054054054029E-2</v>
      </c>
      <c r="BB76" s="7">
        <v>0</v>
      </c>
      <c r="BC76" s="7">
        <v>0</v>
      </c>
      <c r="BD76">
        <v>0</v>
      </c>
      <c r="BE76">
        <v>31.32</v>
      </c>
      <c r="BF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76" s="42">
        <f>+IF(AVANCE[[#This Row],[FECHA INICIO REAL]]="","",AVANCE[[#This Row],[FECHA INICIO REAL]]-AVANCE[[#This Row],[FECHA INICIO TEORICO]])</f>
        <v>3</v>
      </c>
      <c r="BH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7" spans="1:61" x14ac:dyDescent="0.25">
      <c r="A77" t="s">
        <v>890</v>
      </c>
      <c r="B77" t="s">
        <v>902</v>
      </c>
      <c r="C77">
        <v>2282600076</v>
      </c>
      <c r="D77" t="s">
        <v>833</v>
      </c>
      <c r="E77" s="4">
        <v>0.80500000000000005</v>
      </c>
      <c r="F77" s="1">
        <v>46157</v>
      </c>
      <c r="G77" s="1">
        <v>46169</v>
      </c>
      <c r="H77" s="1">
        <v>46184</v>
      </c>
      <c r="I77" s="1">
        <v>46183</v>
      </c>
      <c r="J77">
        <v>4</v>
      </c>
      <c r="K77" s="1"/>
      <c r="L77" s="7">
        <v>0.43</v>
      </c>
      <c r="M77" s="7">
        <v>1</v>
      </c>
      <c r="N77" s="7">
        <v>0.27906976744186046</v>
      </c>
      <c r="O77" s="7">
        <v>0.18604651162790695</v>
      </c>
      <c r="P77" s="7">
        <v>0.2558139534883721</v>
      </c>
      <c r="Q77" s="7">
        <v>0.18604651162790695</v>
      </c>
      <c r="R77" s="7">
        <v>9.3023255813953487E-2</v>
      </c>
      <c r="S77" s="7">
        <v>0.09</v>
      </c>
      <c r="T77" s="7">
        <v>1</v>
      </c>
      <c r="U77" s="7">
        <v>0.22222222222222221</v>
      </c>
      <c r="V77" s="7">
        <v>0.22222222222222221</v>
      </c>
      <c r="W77" s="7">
        <v>0.1111111111111111</v>
      </c>
      <c r="X77" s="7">
        <v>0.1111111111111111</v>
      </c>
      <c r="Y77" s="7">
        <v>0.1111111111111111</v>
      </c>
      <c r="Z77" s="7">
        <v>0.22222222222222221</v>
      </c>
      <c r="AA77" s="7">
        <v>6.9999999999999993E-2</v>
      </c>
      <c r="AB77" s="7">
        <v>0.63636363636363635</v>
      </c>
      <c r="AC77" s="7">
        <v>0.27272727272727271</v>
      </c>
      <c r="AD77" s="7">
        <v>0</v>
      </c>
      <c r="AE77" s="7">
        <v>0</v>
      </c>
      <c r="AF77" s="7">
        <v>0.18181818181818185</v>
      </c>
      <c r="AG77" s="7">
        <v>0.18181818181818185</v>
      </c>
      <c r="AH77" s="7">
        <v>0.21499999999999991</v>
      </c>
      <c r="AI77" s="7">
        <v>0.58108108108108092</v>
      </c>
      <c r="AJ77" s="7">
        <v>5.4054054054054029E-2</v>
      </c>
      <c r="AK77" s="7">
        <v>5.4054054054054029E-2</v>
      </c>
      <c r="AL77" s="7">
        <v>2.7027027027027015E-2</v>
      </c>
      <c r="AM77" s="7">
        <v>8.1081081081081058E-2</v>
      </c>
      <c r="AN77" s="7">
        <v>0</v>
      </c>
      <c r="AO77" s="7">
        <v>0</v>
      </c>
      <c r="AP77" s="7">
        <v>5.4054054054054029E-2</v>
      </c>
      <c r="AQ77" s="7">
        <v>0</v>
      </c>
      <c r="AR77" s="7">
        <v>0</v>
      </c>
      <c r="AS77" s="7">
        <v>0</v>
      </c>
      <c r="AT77" s="7">
        <v>0</v>
      </c>
      <c r="AU77" s="7">
        <v>5.4054054054054029E-2</v>
      </c>
      <c r="AV77" s="7">
        <v>0</v>
      </c>
      <c r="AW77" s="7">
        <v>5.4054054054054029E-2</v>
      </c>
      <c r="AX77" s="7">
        <v>5.4054054054054029E-2</v>
      </c>
      <c r="AY77" s="7">
        <v>2.7027027027027015E-2</v>
      </c>
      <c r="AZ77" s="7">
        <v>0</v>
      </c>
      <c r="BA77" s="7">
        <v>0</v>
      </c>
      <c r="BB77" s="7">
        <v>8.1081081081081058E-2</v>
      </c>
      <c r="BC77" s="7">
        <v>1.3513513513513507E-2</v>
      </c>
      <c r="BD77">
        <v>2.7027027027027015E-2</v>
      </c>
      <c r="BE77">
        <v>28.87</v>
      </c>
      <c r="BF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7" s="42">
        <f>+IF(AVANCE[[#This Row],[FECHA INICIO REAL]]="","",AVANCE[[#This Row],[FECHA INICIO REAL]]-AVANCE[[#This Row],[FECHA INICIO TEORICO]])</f>
        <v>12</v>
      </c>
      <c r="BH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8" spans="1:61" x14ac:dyDescent="0.25">
      <c r="A78" t="s">
        <v>890</v>
      </c>
      <c r="B78" t="s">
        <v>903</v>
      </c>
      <c r="C78">
        <v>2282600077</v>
      </c>
      <c r="D78" t="s">
        <v>833</v>
      </c>
      <c r="E78" s="4">
        <v>0.8949999999999998</v>
      </c>
      <c r="F78" s="1">
        <v>46160</v>
      </c>
      <c r="G78" s="1">
        <v>46168</v>
      </c>
      <c r="H78" s="1">
        <v>46188</v>
      </c>
      <c r="I78" s="1">
        <v>46186</v>
      </c>
      <c r="J78">
        <v>0</v>
      </c>
      <c r="K78" s="1"/>
      <c r="L78" s="7">
        <v>0.43</v>
      </c>
      <c r="M78" s="7">
        <v>1</v>
      </c>
      <c r="N78" s="7">
        <v>0.27906976744186046</v>
      </c>
      <c r="O78" s="7">
        <v>0.18604651162790695</v>
      </c>
      <c r="P78" s="7">
        <v>0.2558139534883721</v>
      </c>
      <c r="Q78" s="7">
        <v>0.18604651162790695</v>
      </c>
      <c r="R78" s="7">
        <v>9.3023255813953487E-2</v>
      </c>
      <c r="S78" s="7">
        <v>0.09</v>
      </c>
      <c r="T78" s="7">
        <v>1</v>
      </c>
      <c r="U78" s="7">
        <v>0.22222222222222221</v>
      </c>
      <c r="V78" s="7">
        <v>0.22222222222222221</v>
      </c>
      <c r="W78" s="7">
        <v>0.1111111111111111</v>
      </c>
      <c r="X78" s="7">
        <v>0.1111111111111111</v>
      </c>
      <c r="Y78" s="7">
        <v>0.1111111111111111</v>
      </c>
      <c r="Z78" s="7">
        <v>0.22222222222222221</v>
      </c>
      <c r="AA78" s="7">
        <v>6.9999999999999993E-2</v>
      </c>
      <c r="AB78" s="7">
        <v>0.63636363636363635</v>
      </c>
      <c r="AC78" s="7">
        <v>0.27272727272727271</v>
      </c>
      <c r="AD78" s="7">
        <v>0</v>
      </c>
      <c r="AE78" s="7">
        <v>0</v>
      </c>
      <c r="AF78" s="7">
        <v>0.18181818181818185</v>
      </c>
      <c r="AG78" s="7">
        <v>0.18181818181818185</v>
      </c>
      <c r="AH78" s="7">
        <v>0.30499999999999988</v>
      </c>
      <c r="AI78" s="7">
        <v>0.82432432432432401</v>
      </c>
      <c r="AJ78" s="7">
        <v>5.4054054054054029E-2</v>
      </c>
      <c r="AK78" s="7">
        <v>5.4054054054054029E-2</v>
      </c>
      <c r="AL78" s="7">
        <v>2.7027027027027015E-2</v>
      </c>
      <c r="AM78" s="7">
        <v>8.1081081081081058E-2</v>
      </c>
      <c r="AN78" s="7">
        <v>8.1081081081081058E-2</v>
      </c>
      <c r="AO78" s="7">
        <v>0</v>
      </c>
      <c r="AP78" s="7">
        <v>5.4054054054054029E-2</v>
      </c>
      <c r="AQ78" s="7">
        <v>0</v>
      </c>
      <c r="AR78" s="7">
        <v>0</v>
      </c>
      <c r="AS78" s="7">
        <v>0</v>
      </c>
      <c r="AT78" s="7">
        <v>8.1081081081081058E-2</v>
      </c>
      <c r="AU78" s="7">
        <v>5.4054054054054029E-2</v>
      </c>
      <c r="AV78" s="7">
        <v>2.7027027027027015E-2</v>
      </c>
      <c r="AW78" s="7">
        <v>5.4054054054054029E-2</v>
      </c>
      <c r="AX78" s="7">
        <v>5.4054054054054029E-2</v>
      </c>
      <c r="AY78" s="7">
        <v>2.7027027027027015E-2</v>
      </c>
      <c r="AZ78" s="7">
        <v>0</v>
      </c>
      <c r="BA78" s="7">
        <v>5.4054054054054029E-2</v>
      </c>
      <c r="BB78" s="7">
        <v>8.1081081081081058E-2</v>
      </c>
      <c r="BC78" s="7">
        <v>1.3513513513513507E-2</v>
      </c>
      <c r="BD78">
        <v>2.7027027027027015E-2</v>
      </c>
      <c r="BE78">
        <v>28.87</v>
      </c>
      <c r="BF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8" s="42">
        <f>+IF(AVANCE[[#This Row],[FECHA INICIO REAL]]="","",AVANCE[[#This Row],[FECHA INICIO REAL]]-AVANCE[[#This Row],[FECHA INICIO TEORICO]])</f>
        <v>8</v>
      </c>
      <c r="BH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9" spans="1:61" x14ac:dyDescent="0.25">
      <c r="A79" t="s">
        <v>890</v>
      </c>
      <c r="B79" t="s">
        <v>904</v>
      </c>
      <c r="C79">
        <v>2302600078</v>
      </c>
      <c r="D79" t="s">
        <v>834</v>
      </c>
      <c r="E79" s="4">
        <v>0.6399999999999999</v>
      </c>
      <c r="F79" s="1">
        <v>46160</v>
      </c>
      <c r="G79" s="1">
        <v>46158</v>
      </c>
      <c r="H79" s="1">
        <v>46188</v>
      </c>
      <c r="I79" s="1">
        <v>46196</v>
      </c>
      <c r="J79">
        <v>0</v>
      </c>
      <c r="K79" s="1"/>
      <c r="L79" s="7">
        <v>0.43</v>
      </c>
      <c r="M79" s="7">
        <v>1</v>
      </c>
      <c r="N79" s="7">
        <v>0.27906976744186046</v>
      </c>
      <c r="O79" s="7">
        <v>0.18604651162790695</v>
      </c>
      <c r="P79" s="7">
        <v>0.2558139534883721</v>
      </c>
      <c r="Q79" s="7">
        <v>0.18604651162790695</v>
      </c>
      <c r="R79" s="7">
        <v>9.3023255813953487E-2</v>
      </c>
      <c r="S79" s="7">
        <v>3.9999999999999994E-2</v>
      </c>
      <c r="T79" s="7">
        <v>0.44444444444444442</v>
      </c>
      <c r="U79" s="7">
        <v>0.22222222222222221</v>
      </c>
      <c r="V79" s="7">
        <v>0.22222222222222221</v>
      </c>
      <c r="W79" s="7">
        <v>0</v>
      </c>
      <c r="X79" s="7">
        <v>0</v>
      </c>
      <c r="Y79" s="7">
        <v>0</v>
      </c>
      <c r="Z79" s="7">
        <v>0</v>
      </c>
      <c r="AA79" s="7">
        <v>0.03</v>
      </c>
      <c r="AB79" s="7">
        <v>0.27272727272727271</v>
      </c>
      <c r="AC79" s="7">
        <v>0.27272727272727271</v>
      </c>
      <c r="AD79" s="7">
        <v>0</v>
      </c>
      <c r="AE79" s="7">
        <v>0</v>
      </c>
      <c r="AF79" s="7">
        <v>0</v>
      </c>
      <c r="AG79" s="7">
        <v>0</v>
      </c>
      <c r="AH79" s="7">
        <v>0.13999999999999996</v>
      </c>
      <c r="AI79" s="7">
        <v>0.37837837837837834</v>
      </c>
      <c r="AJ79" s="7">
        <v>0</v>
      </c>
      <c r="AK79" s="7">
        <v>5.4054054054054029E-2</v>
      </c>
      <c r="AL79" s="7">
        <v>0</v>
      </c>
      <c r="AM79" s="7">
        <v>8.1081081081081058E-2</v>
      </c>
      <c r="AN79" s="7">
        <v>8.1081081081081058E-2</v>
      </c>
      <c r="AO79" s="7">
        <v>0</v>
      </c>
      <c r="AP79" s="7">
        <v>0</v>
      </c>
      <c r="AQ79" s="7">
        <v>0</v>
      </c>
      <c r="AR79" s="7">
        <v>0</v>
      </c>
      <c r="AS79" s="7">
        <v>0</v>
      </c>
      <c r="AT79" s="7">
        <v>0</v>
      </c>
      <c r="AU79" s="7">
        <v>0</v>
      </c>
      <c r="AV79" s="7">
        <v>0</v>
      </c>
      <c r="AW79" s="7">
        <v>5.4054054054054029E-2</v>
      </c>
      <c r="AX79" s="7">
        <v>5.4054054054054029E-2</v>
      </c>
      <c r="AY79" s="7">
        <v>2.7027027027027015E-2</v>
      </c>
      <c r="AZ79" s="7">
        <v>0</v>
      </c>
      <c r="BA79" s="7">
        <v>0</v>
      </c>
      <c r="BB79" s="7">
        <v>0</v>
      </c>
      <c r="BC79" s="7">
        <v>0</v>
      </c>
      <c r="BD79">
        <v>2.7027027027027015E-2</v>
      </c>
      <c r="BE79">
        <v>31.32</v>
      </c>
      <c r="BF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79" s="42">
        <f>+IF(AVANCE[[#This Row],[FECHA INICIO REAL]]="","",AVANCE[[#This Row],[FECHA INICIO REAL]]-AVANCE[[#This Row],[FECHA INICIO TEORICO]])</f>
        <v>-2</v>
      </c>
      <c r="BH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0" spans="1:61" x14ac:dyDescent="0.25">
      <c r="A80" t="s">
        <v>890</v>
      </c>
      <c r="B80" t="s">
        <v>905</v>
      </c>
      <c r="C80">
        <v>2302600079</v>
      </c>
      <c r="D80" t="s">
        <v>834</v>
      </c>
      <c r="E80" s="4">
        <v>0.65999999999999992</v>
      </c>
      <c r="F80" s="1">
        <v>46161</v>
      </c>
      <c r="G80" s="1">
        <v>46162</v>
      </c>
      <c r="H80" s="1">
        <v>46183</v>
      </c>
      <c r="I80" s="1">
        <v>46197</v>
      </c>
      <c r="J80">
        <v>5</v>
      </c>
      <c r="K80" s="1"/>
      <c r="L80" s="7">
        <v>0.43</v>
      </c>
      <c r="M80" s="7">
        <v>1</v>
      </c>
      <c r="N80" s="7">
        <v>0.27906976744186046</v>
      </c>
      <c r="O80" s="7">
        <v>0.18604651162790695</v>
      </c>
      <c r="P80" s="7">
        <v>0.2558139534883721</v>
      </c>
      <c r="Q80" s="7">
        <v>0.18604651162790695</v>
      </c>
      <c r="R80" s="7">
        <v>9.3023255813953487E-2</v>
      </c>
      <c r="S80" s="7">
        <v>3.9999999999999994E-2</v>
      </c>
      <c r="T80" s="7">
        <v>0.44444444444444442</v>
      </c>
      <c r="U80" s="7">
        <v>0.22222222222222221</v>
      </c>
      <c r="V80" s="7">
        <v>0.22222222222222221</v>
      </c>
      <c r="W80" s="7">
        <v>0</v>
      </c>
      <c r="X80" s="7">
        <v>0</v>
      </c>
      <c r="Y80" s="7">
        <v>0</v>
      </c>
      <c r="Z80" s="7">
        <v>0</v>
      </c>
      <c r="AA80" s="7">
        <v>0.03</v>
      </c>
      <c r="AB80" s="7">
        <v>0.27272727272727271</v>
      </c>
      <c r="AC80" s="7">
        <v>0.27272727272727271</v>
      </c>
      <c r="AD80" s="7">
        <v>0</v>
      </c>
      <c r="AE80" s="7">
        <v>0</v>
      </c>
      <c r="AF80" s="7">
        <v>0</v>
      </c>
      <c r="AG80" s="7">
        <v>0</v>
      </c>
      <c r="AH80" s="7">
        <v>0.15999999999999998</v>
      </c>
      <c r="AI80" s="7">
        <v>0.43243243243243235</v>
      </c>
      <c r="AJ80" s="7">
        <v>0</v>
      </c>
      <c r="AK80" s="7">
        <v>5.4054054054054029E-2</v>
      </c>
      <c r="AL80" s="7">
        <v>0</v>
      </c>
      <c r="AM80" s="7">
        <v>8.1081081081081058E-2</v>
      </c>
      <c r="AN80" s="7">
        <v>0</v>
      </c>
      <c r="AO80" s="7">
        <v>0</v>
      </c>
      <c r="AP80" s="7">
        <v>0</v>
      </c>
      <c r="AQ80" s="7">
        <v>0</v>
      </c>
      <c r="AR80" s="7">
        <v>0</v>
      </c>
      <c r="AS80" s="7">
        <v>0</v>
      </c>
      <c r="AT80" s="7">
        <v>8.1081081081081058E-2</v>
      </c>
      <c r="AU80" s="7">
        <v>0</v>
      </c>
      <c r="AV80" s="7">
        <v>0</v>
      </c>
      <c r="AW80" s="7">
        <v>5.4054054054054029E-2</v>
      </c>
      <c r="AX80" s="7">
        <v>5.4054054054054029E-2</v>
      </c>
      <c r="AY80" s="7">
        <v>2.7027027027027015E-2</v>
      </c>
      <c r="AZ80" s="7">
        <v>0</v>
      </c>
      <c r="BA80" s="7">
        <v>5.4054054054054029E-2</v>
      </c>
      <c r="BB80" s="7">
        <v>0</v>
      </c>
      <c r="BC80" s="7">
        <v>0</v>
      </c>
      <c r="BD80">
        <v>2.7027027027027015E-2</v>
      </c>
      <c r="BE80">
        <v>31.32</v>
      </c>
      <c r="BF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80" s="42">
        <f>+IF(AVANCE[[#This Row],[FECHA INICIO REAL]]="","",AVANCE[[#This Row],[FECHA INICIO REAL]]-AVANCE[[#This Row],[FECHA INICIO TEORICO]])</f>
        <v>1</v>
      </c>
      <c r="BH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1" spans="1:61" x14ac:dyDescent="0.25">
      <c r="A81" t="s">
        <v>890</v>
      </c>
      <c r="B81" t="s">
        <v>906</v>
      </c>
      <c r="C81">
        <v>2282600080</v>
      </c>
      <c r="D81" t="s">
        <v>833</v>
      </c>
      <c r="E81" s="4">
        <v>0.86499999999999988</v>
      </c>
      <c r="F81" s="1">
        <v>46161</v>
      </c>
      <c r="G81" s="1">
        <v>46168</v>
      </c>
      <c r="H81" s="1">
        <v>46188</v>
      </c>
      <c r="I81" s="1">
        <v>46187</v>
      </c>
      <c r="J81">
        <v>0</v>
      </c>
      <c r="K81" s="1"/>
      <c r="L81" s="7">
        <v>0.43</v>
      </c>
      <c r="M81" s="7">
        <v>1</v>
      </c>
      <c r="N81" s="7">
        <v>0.27906976744186046</v>
      </c>
      <c r="O81" s="7">
        <v>0.18604651162790695</v>
      </c>
      <c r="P81" s="7">
        <v>0.2558139534883721</v>
      </c>
      <c r="Q81" s="7">
        <v>0.18604651162790695</v>
      </c>
      <c r="R81" s="7">
        <v>9.3023255813953487E-2</v>
      </c>
      <c r="S81" s="7">
        <v>0.09</v>
      </c>
      <c r="T81" s="7">
        <v>1</v>
      </c>
      <c r="U81" s="7">
        <v>0.22222222222222221</v>
      </c>
      <c r="V81" s="7">
        <v>0.22222222222222221</v>
      </c>
      <c r="W81" s="7">
        <v>0.1111111111111111</v>
      </c>
      <c r="X81" s="7">
        <v>0.1111111111111111</v>
      </c>
      <c r="Y81" s="7">
        <v>0.1111111111111111</v>
      </c>
      <c r="Z81" s="7">
        <v>0.22222222222222221</v>
      </c>
      <c r="AA81" s="7">
        <v>6.9999999999999993E-2</v>
      </c>
      <c r="AB81" s="7">
        <v>0.63636363636363635</v>
      </c>
      <c r="AC81" s="7">
        <v>0.27272727272727271</v>
      </c>
      <c r="AD81" s="7">
        <v>0</v>
      </c>
      <c r="AE81" s="7">
        <v>0</v>
      </c>
      <c r="AF81" s="7">
        <v>0.18181818181818185</v>
      </c>
      <c r="AG81" s="7">
        <v>0.18181818181818185</v>
      </c>
      <c r="AH81" s="7">
        <v>0.27499999999999991</v>
      </c>
      <c r="AI81" s="7">
        <v>0.74324324324324309</v>
      </c>
      <c r="AJ81" s="7">
        <v>5.4054054054054029E-2</v>
      </c>
      <c r="AK81" s="7">
        <v>5.4054054054054029E-2</v>
      </c>
      <c r="AL81" s="7">
        <v>2.7027027027027015E-2</v>
      </c>
      <c r="AM81" s="7">
        <v>8.1081081081081058E-2</v>
      </c>
      <c r="AN81" s="7">
        <v>8.1081081081081058E-2</v>
      </c>
      <c r="AO81" s="7">
        <v>0</v>
      </c>
      <c r="AP81" s="7">
        <v>5.4054054054054029E-2</v>
      </c>
      <c r="AQ81" s="7">
        <v>0</v>
      </c>
      <c r="AR81" s="7">
        <v>0</v>
      </c>
      <c r="AS81" s="7">
        <v>0</v>
      </c>
      <c r="AT81" s="7">
        <v>0</v>
      </c>
      <c r="AU81" s="7">
        <v>5.4054054054054029E-2</v>
      </c>
      <c r="AV81" s="7">
        <v>2.7027027027027015E-2</v>
      </c>
      <c r="AW81" s="7">
        <v>5.4054054054054029E-2</v>
      </c>
      <c r="AX81" s="7">
        <v>5.4054054054054029E-2</v>
      </c>
      <c r="AY81" s="7">
        <v>2.7027027027027015E-2</v>
      </c>
      <c r="AZ81" s="7">
        <v>0</v>
      </c>
      <c r="BA81" s="7">
        <v>5.4054054054054029E-2</v>
      </c>
      <c r="BB81" s="7">
        <v>8.1081081081081058E-2</v>
      </c>
      <c r="BC81" s="7">
        <v>1.3513513513513507E-2</v>
      </c>
      <c r="BD81">
        <v>2.7027027027027015E-2</v>
      </c>
      <c r="BE81">
        <v>28.87</v>
      </c>
      <c r="BF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1" s="42">
        <f>+IF(AVANCE[[#This Row],[FECHA INICIO REAL]]="","",AVANCE[[#This Row],[FECHA INICIO REAL]]-AVANCE[[#This Row],[FECHA INICIO TEORICO]])</f>
        <v>7</v>
      </c>
      <c r="BH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2" spans="1:61" x14ac:dyDescent="0.25">
      <c r="A82" t="s">
        <v>890</v>
      </c>
      <c r="B82" t="s">
        <v>907</v>
      </c>
      <c r="C82">
        <v>2282600081</v>
      </c>
      <c r="D82" t="s">
        <v>833</v>
      </c>
      <c r="E82" s="4">
        <v>0.73499999999999999</v>
      </c>
      <c r="F82" s="1">
        <v>46162</v>
      </c>
      <c r="G82" s="1">
        <v>46171</v>
      </c>
      <c r="H82" s="1">
        <v>46184</v>
      </c>
      <c r="I82" s="1">
        <v>46188</v>
      </c>
      <c r="J82">
        <v>4</v>
      </c>
      <c r="K82" s="1"/>
      <c r="L82" s="7">
        <v>0.43</v>
      </c>
      <c r="M82" s="7">
        <v>1</v>
      </c>
      <c r="N82" s="7">
        <v>0.27906976744186046</v>
      </c>
      <c r="O82" s="7">
        <v>0.18604651162790695</v>
      </c>
      <c r="P82" s="7">
        <v>0.2558139534883721</v>
      </c>
      <c r="Q82" s="7">
        <v>0.18604651162790695</v>
      </c>
      <c r="R82" s="7">
        <v>9.3023255813953487E-2</v>
      </c>
      <c r="S82" s="7">
        <v>0.09</v>
      </c>
      <c r="T82" s="7">
        <v>1</v>
      </c>
      <c r="U82" s="7">
        <v>0.22222222222222221</v>
      </c>
      <c r="V82" s="7">
        <v>0.22222222222222221</v>
      </c>
      <c r="W82" s="7">
        <v>0.1111111111111111</v>
      </c>
      <c r="X82" s="7">
        <v>0.1111111111111111</v>
      </c>
      <c r="Y82" s="7">
        <v>0.1111111111111111</v>
      </c>
      <c r="Z82" s="7">
        <v>0.22222222222222221</v>
      </c>
      <c r="AA82" s="7">
        <v>0.03</v>
      </c>
      <c r="AB82" s="7">
        <v>0.27272727272727271</v>
      </c>
      <c r="AC82" s="7">
        <v>0.27272727272727271</v>
      </c>
      <c r="AD82" s="7">
        <v>0</v>
      </c>
      <c r="AE82" s="7">
        <v>0</v>
      </c>
      <c r="AF82" s="7">
        <v>0</v>
      </c>
      <c r="AG82" s="7">
        <v>0</v>
      </c>
      <c r="AH82" s="7">
        <v>0.18499999999999991</v>
      </c>
      <c r="AI82" s="7">
        <v>0.49999999999999983</v>
      </c>
      <c r="AJ82" s="7">
        <v>5.4054054054054029E-2</v>
      </c>
      <c r="AK82" s="7">
        <v>5.4054054054054029E-2</v>
      </c>
      <c r="AL82" s="7">
        <v>0</v>
      </c>
      <c r="AM82" s="7">
        <v>8.1081081081081058E-2</v>
      </c>
      <c r="AN82" s="7">
        <v>0</v>
      </c>
      <c r="AO82" s="7">
        <v>0</v>
      </c>
      <c r="AP82" s="7">
        <v>5.4054054054054029E-2</v>
      </c>
      <c r="AQ82" s="7">
        <v>0</v>
      </c>
      <c r="AR82" s="7">
        <v>0</v>
      </c>
      <c r="AS82" s="7">
        <v>0</v>
      </c>
      <c r="AT82" s="7">
        <v>0</v>
      </c>
      <c r="AU82" s="7">
        <v>5.4054054054054029E-2</v>
      </c>
      <c r="AV82" s="7">
        <v>0</v>
      </c>
      <c r="AW82" s="7">
        <v>0</v>
      </c>
      <c r="AX82" s="7">
        <v>5.4054054054054029E-2</v>
      </c>
      <c r="AY82" s="7">
        <v>2.7027027027027015E-2</v>
      </c>
      <c r="AZ82" s="7">
        <v>0</v>
      </c>
      <c r="BA82" s="7">
        <v>0</v>
      </c>
      <c r="BB82" s="7">
        <v>8.1081081081081058E-2</v>
      </c>
      <c r="BC82" s="7">
        <v>1.3513513513513507E-2</v>
      </c>
      <c r="BD82">
        <v>2.7027027027027015E-2</v>
      </c>
      <c r="BE82">
        <v>28.87</v>
      </c>
      <c r="BF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82" s="42">
        <f>+IF(AVANCE[[#This Row],[FECHA INICIO REAL]]="","",AVANCE[[#This Row],[FECHA INICIO REAL]]-AVANCE[[#This Row],[FECHA INICIO TEORICO]])</f>
        <v>9</v>
      </c>
      <c r="BH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3" spans="1:61" x14ac:dyDescent="0.25">
      <c r="A83" t="s">
        <v>890</v>
      </c>
      <c r="B83" t="s">
        <v>908</v>
      </c>
      <c r="C83">
        <v>2302600082</v>
      </c>
      <c r="D83" t="s">
        <v>834</v>
      </c>
      <c r="E83" s="4">
        <v>0.56999999999999995</v>
      </c>
      <c r="F83" s="1">
        <v>46162</v>
      </c>
      <c r="G83" s="1">
        <v>46171</v>
      </c>
      <c r="H83" s="1">
        <v>46188</v>
      </c>
      <c r="I83" s="1">
        <v>46198</v>
      </c>
      <c r="J83">
        <v>0</v>
      </c>
      <c r="K83" s="1"/>
      <c r="L83" s="7">
        <v>0.43</v>
      </c>
      <c r="M83" s="7">
        <v>1</v>
      </c>
      <c r="N83" s="7">
        <v>0.27906976744186046</v>
      </c>
      <c r="O83" s="7">
        <v>0.18604651162790695</v>
      </c>
      <c r="P83" s="7">
        <v>0.2558139534883721</v>
      </c>
      <c r="Q83" s="7">
        <v>0.18604651162790695</v>
      </c>
      <c r="R83" s="7">
        <v>9.3023255813953487E-2</v>
      </c>
      <c r="S83" s="7">
        <v>3.9999999999999994E-2</v>
      </c>
      <c r="T83" s="7">
        <v>0.44444444444444442</v>
      </c>
      <c r="U83" s="7">
        <v>0.22222222222222221</v>
      </c>
      <c r="V83" s="7">
        <v>0.22222222222222221</v>
      </c>
      <c r="W83" s="7">
        <v>0</v>
      </c>
      <c r="X83" s="7">
        <v>0</v>
      </c>
      <c r="Y83" s="7">
        <v>0</v>
      </c>
      <c r="Z83" s="7">
        <v>0</v>
      </c>
      <c r="AA83" s="7">
        <v>0.03</v>
      </c>
      <c r="AB83" s="7">
        <v>0.27272727272727271</v>
      </c>
      <c r="AC83" s="7">
        <v>0.27272727272727271</v>
      </c>
      <c r="AD83" s="7">
        <v>0</v>
      </c>
      <c r="AE83" s="7">
        <v>0</v>
      </c>
      <c r="AF83" s="7">
        <v>0</v>
      </c>
      <c r="AG83" s="7">
        <v>0</v>
      </c>
      <c r="AH83" s="7">
        <v>6.9999999999999979E-2</v>
      </c>
      <c r="AI83" s="7">
        <v>0.18918918918918912</v>
      </c>
      <c r="AJ83" s="7">
        <v>0</v>
      </c>
      <c r="AK83" s="7">
        <v>5.4054054054054029E-2</v>
      </c>
      <c r="AL83" s="7">
        <v>0</v>
      </c>
      <c r="AM83" s="7">
        <v>8.1081081081081058E-2</v>
      </c>
      <c r="AN83" s="7">
        <v>0</v>
      </c>
      <c r="AO83" s="7">
        <v>0</v>
      </c>
      <c r="AP83" s="7">
        <v>0</v>
      </c>
      <c r="AQ83" s="7">
        <v>0</v>
      </c>
      <c r="AR83" s="7">
        <v>0</v>
      </c>
      <c r="AS83" s="7">
        <v>0</v>
      </c>
      <c r="AT83" s="7">
        <v>0</v>
      </c>
      <c r="AU83" s="7">
        <v>0</v>
      </c>
      <c r="AV83" s="7">
        <v>0</v>
      </c>
      <c r="AW83" s="7">
        <v>0</v>
      </c>
      <c r="AX83" s="7">
        <v>0</v>
      </c>
      <c r="AY83" s="7">
        <v>2.7027027027027015E-2</v>
      </c>
      <c r="AZ83" s="7">
        <v>0</v>
      </c>
      <c r="BA83" s="7">
        <v>0</v>
      </c>
      <c r="BB83" s="7">
        <v>0</v>
      </c>
      <c r="BC83" s="7">
        <v>0</v>
      </c>
      <c r="BD83">
        <v>2.7027027027027015E-2</v>
      </c>
      <c r="BE83">
        <v>31.32</v>
      </c>
      <c r="BF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83" s="42">
        <f>+IF(AVANCE[[#This Row],[FECHA INICIO REAL]]="","",AVANCE[[#This Row],[FECHA INICIO REAL]]-AVANCE[[#This Row],[FECHA INICIO TEORICO]])</f>
        <v>9</v>
      </c>
      <c r="BH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4" spans="1:61" x14ac:dyDescent="0.25">
      <c r="A84" t="s">
        <v>890</v>
      </c>
      <c r="B84" t="s">
        <v>909</v>
      </c>
      <c r="C84">
        <v>2302600083</v>
      </c>
      <c r="D84" t="s">
        <v>834</v>
      </c>
      <c r="E84" s="4">
        <v>0.54999999999999993</v>
      </c>
      <c r="F84" s="1">
        <v>46164</v>
      </c>
      <c r="G84" s="1">
        <v>46174</v>
      </c>
      <c r="H84" s="1">
        <v>46188</v>
      </c>
      <c r="I84" s="1">
        <v>46200</v>
      </c>
      <c r="J84">
        <v>0</v>
      </c>
      <c r="K84" s="1"/>
      <c r="L84" s="7">
        <v>0.43</v>
      </c>
      <c r="M84" s="7">
        <v>1</v>
      </c>
      <c r="N84" s="7">
        <v>0.27906976744186046</v>
      </c>
      <c r="O84" s="7">
        <v>0.18604651162790695</v>
      </c>
      <c r="P84" s="7">
        <v>0.2558139534883721</v>
      </c>
      <c r="Q84" s="7">
        <v>0.18604651162790695</v>
      </c>
      <c r="R84" s="7">
        <v>9.3023255813953487E-2</v>
      </c>
      <c r="S84" s="7">
        <v>3.9999999999999994E-2</v>
      </c>
      <c r="T84" s="7">
        <v>0.44444444444444442</v>
      </c>
      <c r="U84" s="7">
        <v>0.22222222222222221</v>
      </c>
      <c r="V84" s="7">
        <v>0.22222222222222221</v>
      </c>
      <c r="W84" s="7">
        <v>0</v>
      </c>
      <c r="X84" s="7">
        <v>0</v>
      </c>
      <c r="Y84" s="7">
        <v>0</v>
      </c>
      <c r="Z84" s="7">
        <v>0</v>
      </c>
      <c r="AA84" s="7">
        <v>0.03</v>
      </c>
      <c r="AB84" s="7">
        <v>0.27272727272727271</v>
      </c>
      <c r="AC84" s="7">
        <v>0.27272727272727271</v>
      </c>
      <c r="AD84" s="7">
        <v>0</v>
      </c>
      <c r="AE84" s="7">
        <v>0</v>
      </c>
      <c r="AF84" s="7">
        <v>0</v>
      </c>
      <c r="AG84" s="7">
        <v>0</v>
      </c>
      <c r="AH84" s="7">
        <v>4.9999999999999982E-2</v>
      </c>
      <c r="AI84" s="7">
        <v>0.13513513513513509</v>
      </c>
      <c r="AJ84" s="7">
        <v>0</v>
      </c>
      <c r="AK84" s="7">
        <v>5.4054054054054029E-2</v>
      </c>
      <c r="AL84" s="7">
        <v>0</v>
      </c>
      <c r="AM84" s="7">
        <v>0</v>
      </c>
      <c r="AN84" s="7">
        <v>0</v>
      </c>
      <c r="AO84" s="7">
        <v>0</v>
      </c>
      <c r="AP84" s="7">
        <v>0</v>
      </c>
      <c r="AQ84" s="7">
        <v>0</v>
      </c>
      <c r="AR84" s="7">
        <v>0</v>
      </c>
      <c r="AS84" s="7">
        <v>0</v>
      </c>
      <c r="AT84" s="7">
        <v>0</v>
      </c>
      <c r="AU84" s="7">
        <v>0</v>
      </c>
      <c r="AV84" s="7">
        <v>0</v>
      </c>
      <c r="AW84" s="7">
        <v>0</v>
      </c>
      <c r="AX84" s="7">
        <v>5.4054054054054029E-2</v>
      </c>
      <c r="AY84" s="7">
        <v>2.7027027027027015E-2</v>
      </c>
      <c r="AZ84" s="7">
        <v>0</v>
      </c>
      <c r="BA84" s="7">
        <v>0</v>
      </c>
      <c r="BB84" s="7">
        <v>0</v>
      </c>
      <c r="BC84" s="7">
        <v>0</v>
      </c>
      <c r="BD84">
        <v>0</v>
      </c>
      <c r="BE84">
        <v>31.32</v>
      </c>
      <c r="BF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84" s="42">
        <f>+IF(AVANCE[[#This Row],[FECHA INICIO REAL]]="","",AVANCE[[#This Row],[FECHA INICIO REAL]]-AVANCE[[#This Row],[FECHA INICIO TEORICO]])</f>
        <v>10</v>
      </c>
      <c r="BH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5" spans="1:61" x14ac:dyDescent="0.25">
      <c r="A85" t="s">
        <v>890</v>
      </c>
      <c r="B85" t="s">
        <v>910</v>
      </c>
      <c r="C85">
        <v>2282600084</v>
      </c>
      <c r="D85" t="s">
        <v>833</v>
      </c>
      <c r="E85" s="4">
        <v>0.39</v>
      </c>
      <c r="F85" s="1">
        <v>46164</v>
      </c>
      <c r="G85" s="1">
        <v>46171</v>
      </c>
      <c r="H85" s="1">
        <v>46176</v>
      </c>
      <c r="I85" s="1">
        <v>46190</v>
      </c>
      <c r="J85">
        <v>12</v>
      </c>
      <c r="K85" s="1"/>
      <c r="L85" s="7">
        <v>0.39</v>
      </c>
      <c r="M85" s="7">
        <v>0.90697674418604635</v>
      </c>
      <c r="N85" s="7">
        <v>0.27906976744186046</v>
      </c>
      <c r="O85" s="7">
        <v>0.18604651162790695</v>
      </c>
      <c r="P85" s="7">
        <v>0.2558139534883721</v>
      </c>
      <c r="Q85" s="7">
        <v>0.18604651162790695</v>
      </c>
      <c r="R85" s="7">
        <v>0</v>
      </c>
      <c r="S85" s="7">
        <v>0</v>
      </c>
      <c r="T85" s="7">
        <v>0</v>
      </c>
      <c r="U85" s="7">
        <v>0</v>
      </c>
      <c r="V85" s="7">
        <v>0</v>
      </c>
      <c r="W85" s="7">
        <v>0</v>
      </c>
      <c r="X85" s="7">
        <v>0</v>
      </c>
      <c r="Y85" s="7">
        <v>0</v>
      </c>
      <c r="Z85" s="7">
        <v>0</v>
      </c>
      <c r="AA85" s="7">
        <v>0</v>
      </c>
      <c r="AB85" s="7">
        <v>0</v>
      </c>
      <c r="AC85" s="7">
        <v>0</v>
      </c>
      <c r="AD85" s="7">
        <v>0</v>
      </c>
      <c r="AE85" s="7">
        <v>0</v>
      </c>
      <c r="AF85" s="7">
        <v>0</v>
      </c>
      <c r="AG85" s="7">
        <v>0</v>
      </c>
      <c r="AH85" s="7">
        <v>0</v>
      </c>
      <c r="AI85" s="7">
        <v>0</v>
      </c>
      <c r="AJ85" s="7">
        <v>0</v>
      </c>
      <c r="AK85" s="7">
        <v>0</v>
      </c>
      <c r="AL85" s="7">
        <v>0</v>
      </c>
      <c r="AM85" s="7">
        <v>0</v>
      </c>
      <c r="AN85" s="7">
        <v>0</v>
      </c>
      <c r="AO85" s="7">
        <v>0</v>
      </c>
      <c r="AP85" s="7">
        <v>0</v>
      </c>
      <c r="AQ85" s="7">
        <v>0</v>
      </c>
      <c r="AR85" s="7">
        <v>0</v>
      </c>
      <c r="AS85" s="7">
        <v>0</v>
      </c>
      <c r="AT85" s="7">
        <v>0</v>
      </c>
      <c r="AU85" s="7">
        <v>0</v>
      </c>
      <c r="AV85" s="7">
        <v>0</v>
      </c>
      <c r="AW85" s="7">
        <v>0</v>
      </c>
      <c r="AX85" s="7">
        <v>0</v>
      </c>
      <c r="AY85" s="7">
        <v>0</v>
      </c>
      <c r="AZ85" s="7">
        <v>0</v>
      </c>
      <c r="BA85" s="7">
        <v>0</v>
      </c>
      <c r="BB85" s="7">
        <v>0</v>
      </c>
      <c r="BC85" s="7">
        <v>0</v>
      </c>
      <c r="BD85">
        <v>0</v>
      </c>
      <c r="BE85">
        <v>28.87</v>
      </c>
      <c r="BF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85" s="42">
        <f>+IF(AVANCE[[#This Row],[FECHA INICIO REAL]]="","",AVANCE[[#This Row],[FECHA INICIO REAL]]-AVANCE[[#This Row],[FECHA INICIO TEORICO]])</f>
        <v>7</v>
      </c>
      <c r="BH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6" spans="1:61" x14ac:dyDescent="0.25">
      <c r="A86" t="s">
        <v>890</v>
      </c>
      <c r="B86" t="s">
        <v>911</v>
      </c>
      <c r="C86">
        <v>2282600085</v>
      </c>
      <c r="D86" t="s">
        <v>833</v>
      </c>
      <c r="E86" s="4">
        <v>0.46999999999999992</v>
      </c>
      <c r="F86" s="1">
        <v>46167</v>
      </c>
      <c r="G86" s="1">
        <v>46171</v>
      </c>
      <c r="H86" s="1">
        <v>46188</v>
      </c>
      <c r="I86" s="1">
        <v>46193</v>
      </c>
      <c r="J86">
        <v>0</v>
      </c>
      <c r="K86" s="1"/>
      <c r="L86" s="7">
        <v>0.39</v>
      </c>
      <c r="M86" s="7">
        <v>0.90697674418604635</v>
      </c>
      <c r="N86" s="7">
        <v>0.27906976744186046</v>
      </c>
      <c r="O86" s="7">
        <v>0.18604651162790695</v>
      </c>
      <c r="P86" s="7">
        <v>0.2558139534883721</v>
      </c>
      <c r="Q86" s="7">
        <v>0.18604651162790695</v>
      </c>
      <c r="R86" s="7">
        <v>0</v>
      </c>
      <c r="S86" s="7">
        <v>0</v>
      </c>
      <c r="T86" s="7">
        <v>0</v>
      </c>
      <c r="U86" s="7">
        <v>0</v>
      </c>
      <c r="V86" s="7">
        <v>0</v>
      </c>
      <c r="W86" s="7">
        <v>0</v>
      </c>
      <c r="X86" s="7">
        <v>0</v>
      </c>
      <c r="Y86" s="7">
        <v>0</v>
      </c>
      <c r="Z86" s="7">
        <v>0</v>
      </c>
      <c r="AA86" s="7">
        <v>0.03</v>
      </c>
      <c r="AB86" s="7">
        <v>0.27272727272727271</v>
      </c>
      <c r="AC86" s="7">
        <v>0.27272727272727271</v>
      </c>
      <c r="AD86" s="7">
        <v>0</v>
      </c>
      <c r="AE86" s="7">
        <v>0</v>
      </c>
      <c r="AF86" s="7">
        <v>0</v>
      </c>
      <c r="AG86" s="7">
        <v>0</v>
      </c>
      <c r="AH86" s="7">
        <v>4.9999999999999982E-2</v>
      </c>
      <c r="AI86" s="7">
        <v>0.13513513513513509</v>
      </c>
      <c r="AJ86" s="7">
        <v>0</v>
      </c>
      <c r="AK86" s="7">
        <v>5.4054054054054029E-2</v>
      </c>
      <c r="AL86" s="7">
        <v>0</v>
      </c>
      <c r="AM86" s="7">
        <v>8.1081081081081058E-2</v>
      </c>
      <c r="AN86" s="7">
        <v>0</v>
      </c>
      <c r="AO86" s="7">
        <v>0</v>
      </c>
      <c r="AP86" s="7">
        <v>0</v>
      </c>
      <c r="AQ86" s="7">
        <v>0</v>
      </c>
      <c r="AR86" s="7">
        <v>0</v>
      </c>
      <c r="AS86" s="7">
        <v>0</v>
      </c>
      <c r="AT86" s="7">
        <v>0</v>
      </c>
      <c r="AU86" s="7">
        <v>0</v>
      </c>
      <c r="AV86" s="7">
        <v>0</v>
      </c>
      <c r="AW86" s="7">
        <v>0</v>
      </c>
      <c r="AX86" s="7">
        <v>0</v>
      </c>
      <c r="AY86" s="7">
        <v>0</v>
      </c>
      <c r="AZ86" s="7">
        <v>0</v>
      </c>
      <c r="BA86" s="7">
        <v>0</v>
      </c>
      <c r="BB86" s="7">
        <v>0</v>
      </c>
      <c r="BC86" s="7">
        <v>0</v>
      </c>
      <c r="BD86">
        <v>0</v>
      </c>
      <c r="BE86">
        <v>28.87</v>
      </c>
      <c r="BF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40-49%</v>
      </c>
      <c r="BG86" s="42">
        <f>+IF(AVANCE[[#This Row],[FECHA INICIO REAL]]="","",AVANCE[[#This Row],[FECHA INICIO REAL]]-AVANCE[[#This Row],[FECHA INICIO TEORICO]])</f>
        <v>4</v>
      </c>
      <c r="BH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7" spans="1:61" x14ac:dyDescent="0.25">
      <c r="A87" t="s">
        <v>890</v>
      </c>
      <c r="B87" t="s">
        <v>912</v>
      </c>
      <c r="C87">
        <v>2302600086</v>
      </c>
      <c r="D87" t="s">
        <v>834</v>
      </c>
      <c r="E87" s="4">
        <v>0.45</v>
      </c>
      <c r="F87" s="1">
        <v>46167</v>
      </c>
      <c r="G87" s="1">
        <v>46176</v>
      </c>
      <c r="H87" s="1">
        <v>46188</v>
      </c>
      <c r="I87" s="1">
        <v>46203</v>
      </c>
      <c r="J87">
        <v>0</v>
      </c>
      <c r="K87" s="1"/>
      <c r="L87" s="7">
        <v>0.43</v>
      </c>
      <c r="M87" s="7">
        <v>1</v>
      </c>
      <c r="N87" s="7">
        <v>0.27906976744186046</v>
      </c>
      <c r="O87" s="7">
        <v>0.18604651162790695</v>
      </c>
      <c r="P87" s="7">
        <v>0.2558139534883721</v>
      </c>
      <c r="Q87" s="7">
        <v>0.18604651162790695</v>
      </c>
      <c r="R87" s="7">
        <v>9.3023255813953487E-2</v>
      </c>
      <c r="S87" s="7">
        <v>1.9999999999999997E-2</v>
      </c>
      <c r="T87" s="7">
        <v>0.22222222222222221</v>
      </c>
      <c r="U87" s="7">
        <v>0</v>
      </c>
      <c r="V87" s="7">
        <v>0.22222222222222221</v>
      </c>
      <c r="W87" s="7">
        <v>0</v>
      </c>
      <c r="X87" s="7">
        <v>0</v>
      </c>
      <c r="Y87" s="7">
        <v>0</v>
      </c>
      <c r="Z87" s="7">
        <v>0</v>
      </c>
      <c r="AA87" s="7">
        <v>0</v>
      </c>
      <c r="AB87" s="7">
        <v>0</v>
      </c>
      <c r="AC87" s="7">
        <v>0</v>
      </c>
      <c r="AD87" s="7">
        <v>0</v>
      </c>
      <c r="AE87" s="7">
        <v>0</v>
      </c>
      <c r="AF87" s="7">
        <v>0</v>
      </c>
      <c r="AG87" s="7">
        <v>0</v>
      </c>
      <c r="AH87" s="7">
        <v>0</v>
      </c>
      <c r="AI87" s="7">
        <v>0</v>
      </c>
      <c r="AJ87" s="7">
        <v>0</v>
      </c>
      <c r="AK87" s="7">
        <v>0</v>
      </c>
      <c r="AL87" s="7">
        <v>0</v>
      </c>
      <c r="AM87" s="7">
        <v>0</v>
      </c>
      <c r="AN87" s="7">
        <v>0</v>
      </c>
      <c r="AO87" s="7">
        <v>0</v>
      </c>
      <c r="AP87" s="7">
        <v>0</v>
      </c>
      <c r="AQ87" s="7">
        <v>0</v>
      </c>
      <c r="AR87" s="7">
        <v>0</v>
      </c>
      <c r="AS87" s="7">
        <v>0</v>
      </c>
      <c r="AT87" s="7">
        <v>0</v>
      </c>
      <c r="AU87" s="7">
        <v>0</v>
      </c>
      <c r="AV87" s="7">
        <v>0</v>
      </c>
      <c r="AW87" s="7">
        <v>0</v>
      </c>
      <c r="AX87" s="7">
        <v>0</v>
      </c>
      <c r="AY87" s="7">
        <v>0</v>
      </c>
      <c r="AZ87" s="7">
        <v>0</v>
      </c>
      <c r="BA87" s="7">
        <v>0</v>
      </c>
      <c r="BB87" s="7">
        <v>0</v>
      </c>
      <c r="BC87" s="7">
        <v>0</v>
      </c>
      <c r="BD87">
        <v>0</v>
      </c>
      <c r="BE87">
        <v>31.32</v>
      </c>
      <c r="BF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40-49%</v>
      </c>
      <c r="BG87" s="42">
        <f>+IF(AVANCE[[#This Row],[FECHA INICIO REAL]]="","",AVANCE[[#This Row],[FECHA INICIO REAL]]-AVANCE[[#This Row],[FECHA INICIO TEORICO]])</f>
        <v>9</v>
      </c>
      <c r="BH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8" spans="1:61" x14ac:dyDescent="0.25">
      <c r="A88" t="s">
        <v>890</v>
      </c>
      <c r="B88" t="s">
        <v>913</v>
      </c>
      <c r="C88">
        <v>2302600087</v>
      </c>
      <c r="D88" t="s">
        <v>834</v>
      </c>
      <c r="E88" s="4">
        <v>0.59</v>
      </c>
      <c r="F88" s="1">
        <v>46168</v>
      </c>
      <c r="G88" s="1">
        <v>46171</v>
      </c>
      <c r="H88" s="1">
        <v>46183</v>
      </c>
      <c r="I88" s="1">
        <v>46204</v>
      </c>
      <c r="J88">
        <v>5</v>
      </c>
      <c r="K88" s="1"/>
      <c r="L88" s="7">
        <v>0.43</v>
      </c>
      <c r="M88" s="7">
        <v>1</v>
      </c>
      <c r="N88" s="7">
        <v>0.27906976744186046</v>
      </c>
      <c r="O88" s="7">
        <v>0.18604651162790695</v>
      </c>
      <c r="P88" s="7">
        <v>0.2558139534883721</v>
      </c>
      <c r="Q88" s="7">
        <v>0.18604651162790695</v>
      </c>
      <c r="R88" s="7">
        <v>9.3023255813953487E-2</v>
      </c>
      <c r="S88" s="7">
        <v>3.9999999999999994E-2</v>
      </c>
      <c r="T88" s="7">
        <v>0.44444444444444442</v>
      </c>
      <c r="U88" s="7">
        <v>0.22222222222222221</v>
      </c>
      <c r="V88" s="7">
        <v>0.22222222222222221</v>
      </c>
      <c r="W88" s="7">
        <v>0</v>
      </c>
      <c r="X88" s="7">
        <v>0</v>
      </c>
      <c r="Y88" s="7">
        <v>0</v>
      </c>
      <c r="Z88" s="7">
        <v>0</v>
      </c>
      <c r="AA88" s="7">
        <v>0.03</v>
      </c>
      <c r="AB88" s="7">
        <v>0.27272727272727271</v>
      </c>
      <c r="AC88" s="7">
        <v>0.27272727272727271</v>
      </c>
      <c r="AD88" s="7">
        <v>0</v>
      </c>
      <c r="AE88" s="7">
        <v>0</v>
      </c>
      <c r="AF88" s="7">
        <v>0</v>
      </c>
      <c r="AG88" s="7">
        <v>0</v>
      </c>
      <c r="AH88" s="7">
        <v>8.9999999999999969E-2</v>
      </c>
      <c r="AI88" s="7">
        <v>0.24324324324324317</v>
      </c>
      <c r="AJ88" s="7">
        <v>0</v>
      </c>
      <c r="AK88" s="7">
        <v>5.4054054054054029E-2</v>
      </c>
      <c r="AL88" s="7">
        <v>0</v>
      </c>
      <c r="AM88" s="7">
        <v>8.1081081081081058E-2</v>
      </c>
      <c r="AN88" s="7">
        <v>0</v>
      </c>
      <c r="AO88" s="7">
        <v>0</v>
      </c>
      <c r="AP88" s="7">
        <v>0</v>
      </c>
      <c r="AQ88" s="7">
        <v>0</v>
      </c>
      <c r="AR88" s="7">
        <v>0</v>
      </c>
      <c r="AS88" s="7">
        <v>0</v>
      </c>
      <c r="AT88" s="7">
        <v>0</v>
      </c>
      <c r="AU88" s="7">
        <v>0</v>
      </c>
      <c r="AV88" s="7">
        <v>0</v>
      </c>
      <c r="AW88" s="7">
        <v>0</v>
      </c>
      <c r="AX88" s="7">
        <v>0</v>
      </c>
      <c r="AY88" s="7">
        <v>2.7027027027027015E-2</v>
      </c>
      <c r="AZ88" s="7">
        <v>0</v>
      </c>
      <c r="BA88" s="7">
        <v>5.4054054054054029E-2</v>
      </c>
      <c r="BB88" s="7">
        <v>0</v>
      </c>
      <c r="BC88" s="7">
        <v>0</v>
      </c>
      <c r="BD88">
        <v>2.7027027027027015E-2</v>
      </c>
      <c r="BE88">
        <v>31.32</v>
      </c>
      <c r="BF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88" s="42">
        <f>+IF(AVANCE[[#This Row],[FECHA INICIO REAL]]="","",AVANCE[[#This Row],[FECHA INICIO REAL]]-AVANCE[[#This Row],[FECHA INICIO TEORICO]])</f>
        <v>3</v>
      </c>
      <c r="BH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9" spans="1:61" x14ac:dyDescent="0.25">
      <c r="A89" t="s">
        <v>890</v>
      </c>
      <c r="B89" t="s">
        <v>914</v>
      </c>
      <c r="C89">
        <v>2282600088</v>
      </c>
      <c r="D89" t="s">
        <v>833</v>
      </c>
      <c r="E89" s="4">
        <v>0.8899999999999999</v>
      </c>
      <c r="F89" s="1">
        <v>46168</v>
      </c>
      <c r="G89" s="1">
        <v>46171</v>
      </c>
      <c r="H89" s="1">
        <v>46185</v>
      </c>
      <c r="I89" s="1">
        <v>46194</v>
      </c>
      <c r="J89">
        <v>3</v>
      </c>
      <c r="K89" s="1"/>
      <c r="L89" s="7">
        <v>0.43</v>
      </c>
      <c r="M89" s="7">
        <v>1</v>
      </c>
      <c r="N89" s="7">
        <v>0.27906976744186046</v>
      </c>
      <c r="O89" s="7">
        <v>0.18604651162790695</v>
      </c>
      <c r="P89" s="7">
        <v>0.2558139534883721</v>
      </c>
      <c r="Q89" s="7">
        <v>0.18604651162790695</v>
      </c>
      <c r="R89" s="7">
        <v>9.3023255813953487E-2</v>
      </c>
      <c r="S89" s="7">
        <v>0.09</v>
      </c>
      <c r="T89" s="7">
        <v>1</v>
      </c>
      <c r="U89" s="7">
        <v>0.22222222222222221</v>
      </c>
      <c r="V89" s="7">
        <v>0.22222222222222221</v>
      </c>
      <c r="W89" s="7">
        <v>0.1111111111111111</v>
      </c>
      <c r="X89" s="7">
        <v>0.1111111111111111</v>
      </c>
      <c r="Y89" s="7">
        <v>0.1111111111111111</v>
      </c>
      <c r="Z89" s="7">
        <v>0.22222222222222221</v>
      </c>
      <c r="AA89" s="7">
        <v>6.9999999999999993E-2</v>
      </c>
      <c r="AB89" s="7">
        <v>0.63636363636363635</v>
      </c>
      <c r="AC89" s="7">
        <v>0.27272727272727271</v>
      </c>
      <c r="AD89" s="7">
        <v>0</v>
      </c>
      <c r="AE89" s="7">
        <v>0</v>
      </c>
      <c r="AF89" s="7">
        <v>0.18181818181818185</v>
      </c>
      <c r="AG89" s="7">
        <v>0.18181818181818185</v>
      </c>
      <c r="AH89" s="7">
        <v>0.29999999999999988</v>
      </c>
      <c r="AI89" s="7">
        <v>0.81081081081081052</v>
      </c>
      <c r="AJ89" s="7">
        <v>5.4054054054054029E-2</v>
      </c>
      <c r="AK89" s="7">
        <v>5.4054054054054029E-2</v>
      </c>
      <c r="AL89" s="7">
        <v>2.7027027027027015E-2</v>
      </c>
      <c r="AM89" s="7">
        <v>8.1081081081081058E-2</v>
      </c>
      <c r="AN89" s="7">
        <v>8.1081081081081058E-2</v>
      </c>
      <c r="AO89" s="7">
        <v>6.7567567567567557E-2</v>
      </c>
      <c r="AP89" s="7">
        <v>5.4054054054054029E-2</v>
      </c>
      <c r="AQ89" s="7">
        <v>0</v>
      </c>
      <c r="AR89" s="7">
        <v>0</v>
      </c>
      <c r="AS89" s="7">
        <v>0</v>
      </c>
      <c r="AT89" s="7">
        <v>8.1081081081081058E-2</v>
      </c>
      <c r="AU89" s="7">
        <v>5.4054054054054029E-2</v>
      </c>
      <c r="AV89" s="7">
        <v>0</v>
      </c>
      <c r="AW89" s="7">
        <v>5.4054054054054029E-2</v>
      </c>
      <c r="AX89" s="7">
        <v>5.4054054054054029E-2</v>
      </c>
      <c r="AY89" s="7">
        <v>2.7027027027027015E-2</v>
      </c>
      <c r="AZ89" s="7">
        <v>0</v>
      </c>
      <c r="BA89" s="7">
        <v>0</v>
      </c>
      <c r="BB89" s="7">
        <v>8.1081081081081058E-2</v>
      </c>
      <c r="BC89" s="7">
        <v>1.3513513513513507E-2</v>
      </c>
      <c r="BD89">
        <v>2.7027027027027015E-2</v>
      </c>
      <c r="BE89">
        <v>28.87</v>
      </c>
      <c r="BF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9" s="42">
        <f>+IF(AVANCE[[#This Row],[FECHA INICIO REAL]]="","",AVANCE[[#This Row],[FECHA INICIO REAL]]-AVANCE[[#This Row],[FECHA INICIO TEORICO]])</f>
        <v>3</v>
      </c>
      <c r="BH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0" spans="1:61" x14ac:dyDescent="0.25">
      <c r="A90" t="s">
        <v>890</v>
      </c>
      <c r="B90" t="s">
        <v>915</v>
      </c>
      <c r="C90">
        <v>2282600089</v>
      </c>
      <c r="D90" t="s">
        <v>833</v>
      </c>
      <c r="E90" s="4">
        <v>0.39</v>
      </c>
      <c r="F90" s="1">
        <v>46169</v>
      </c>
      <c r="G90" s="1">
        <v>46178</v>
      </c>
      <c r="H90" s="1">
        <v>46183</v>
      </c>
      <c r="I90" s="1">
        <v>46195</v>
      </c>
      <c r="J90">
        <v>5</v>
      </c>
      <c r="K90" s="1"/>
      <c r="L90" s="7">
        <v>0.39</v>
      </c>
      <c r="M90" s="7">
        <v>0.90697674418604635</v>
      </c>
      <c r="N90" s="7">
        <v>0.27906976744186046</v>
      </c>
      <c r="O90" s="7">
        <v>0.18604651162790695</v>
      </c>
      <c r="P90" s="7">
        <v>0.2558139534883721</v>
      </c>
      <c r="Q90" s="7">
        <v>0.18604651162790695</v>
      </c>
      <c r="R90" s="7">
        <v>0</v>
      </c>
      <c r="S90" s="7">
        <v>0</v>
      </c>
      <c r="T90" s="7">
        <v>0</v>
      </c>
      <c r="U90" s="7">
        <v>0</v>
      </c>
      <c r="V90" s="7">
        <v>0</v>
      </c>
      <c r="W90" s="7">
        <v>0</v>
      </c>
      <c r="X90" s="7">
        <v>0</v>
      </c>
      <c r="Y90" s="7">
        <v>0</v>
      </c>
      <c r="Z90" s="7">
        <v>0</v>
      </c>
      <c r="AA90" s="7">
        <v>0</v>
      </c>
      <c r="AB90" s="7">
        <v>0</v>
      </c>
      <c r="AC90" s="7">
        <v>0</v>
      </c>
      <c r="AD90" s="7">
        <v>0</v>
      </c>
      <c r="AE90" s="7">
        <v>0</v>
      </c>
      <c r="AF90" s="7">
        <v>0</v>
      </c>
      <c r="AG90" s="7">
        <v>0</v>
      </c>
      <c r="AH90" s="7">
        <v>0</v>
      </c>
      <c r="AI90" s="7">
        <v>0</v>
      </c>
      <c r="AJ90" s="7">
        <v>0</v>
      </c>
      <c r="AK90" s="7">
        <v>0</v>
      </c>
      <c r="AL90" s="7">
        <v>0</v>
      </c>
      <c r="AM90" s="7">
        <v>0</v>
      </c>
      <c r="AN90" s="7">
        <v>0</v>
      </c>
      <c r="AO90" s="7">
        <v>0</v>
      </c>
      <c r="AP90" s="7">
        <v>0</v>
      </c>
      <c r="AQ90" s="7">
        <v>0</v>
      </c>
      <c r="AR90" s="7">
        <v>0</v>
      </c>
      <c r="AS90" s="7">
        <v>0</v>
      </c>
      <c r="AT90" s="7">
        <v>0</v>
      </c>
      <c r="AU90" s="7">
        <v>0</v>
      </c>
      <c r="AV90" s="7">
        <v>0</v>
      </c>
      <c r="AW90" s="7">
        <v>0</v>
      </c>
      <c r="AX90" s="7">
        <v>0</v>
      </c>
      <c r="AY90" s="7">
        <v>0</v>
      </c>
      <c r="AZ90" s="7">
        <v>0</v>
      </c>
      <c r="BA90" s="7">
        <v>0</v>
      </c>
      <c r="BB90" s="7">
        <v>0</v>
      </c>
      <c r="BC90" s="7">
        <v>0</v>
      </c>
      <c r="BD90">
        <v>0</v>
      </c>
      <c r="BE90">
        <v>28.87</v>
      </c>
      <c r="BF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0" s="42">
        <f>+IF(AVANCE[[#This Row],[FECHA INICIO REAL]]="","",AVANCE[[#This Row],[FECHA INICIO REAL]]-AVANCE[[#This Row],[FECHA INICIO TEORICO]])</f>
        <v>9</v>
      </c>
      <c r="BH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1" spans="1:61" x14ac:dyDescent="0.25">
      <c r="A91" t="s">
        <v>890</v>
      </c>
      <c r="B91" t="s">
        <v>916</v>
      </c>
      <c r="C91">
        <v>2302600090</v>
      </c>
      <c r="D91" t="s">
        <v>834</v>
      </c>
      <c r="E91" s="4">
        <v>0.39</v>
      </c>
      <c r="F91" s="1">
        <v>46169</v>
      </c>
      <c r="G91" s="1">
        <v>46176</v>
      </c>
      <c r="H91" s="1">
        <v>46182</v>
      </c>
      <c r="I91" s="1">
        <v>46205</v>
      </c>
      <c r="J91">
        <v>6</v>
      </c>
      <c r="K91" s="1"/>
      <c r="L91" s="7">
        <v>0.39</v>
      </c>
      <c r="M91" s="7">
        <v>0.90697674418604635</v>
      </c>
      <c r="N91" s="7">
        <v>0.27906976744186046</v>
      </c>
      <c r="O91" s="7">
        <v>0.18604651162790695</v>
      </c>
      <c r="P91" s="7">
        <v>0.2558139534883721</v>
      </c>
      <c r="Q91" s="7">
        <v>0.18604651162790695</v>
      </c>
      <c r="R91" s="7">
        <v>0</v>
      </c>
      <c r="S91" s="7">
        <v>0</v>
      </c>
      <c r="T91" s="7">
        <v>0</v>
      </c>
      <c r="U91" s="7">
        <v>0</v>
      </c>
      <c r="V91" s="7">
        <v>0</v>
      </c>
      <c r="W91" s="7">
        <v>0</v>
      </c>
      <c r="X91" s="7">
        <v>0</v>
      </c>
      <c r="Y91" s="7">
        <v>0</v>
      </c>
      <c r="Z91" s="7">
        <v>0</v>
      </c>
      <c r="AA91" s="7">
        <v>0</v>
      </c>
      <c r="AB91" s="7">
        <v>0</v>
      </c>
      <c r="AC91" s="7">
        <v>0</v>
      </c>
      <c r="AD91" s="7">
        <v>0</v>
      </c>
      <c r="AE91" s="7">
        <v>0</v>
      </c>
      <c r="AF91" s="7">
        <v>0</v>
      </c>
      <c r="AG91" s="7">
        <v>0</v>
      </c>
      <c r="AH91" s="7">
        <v>0</v>
      </c>
      <c r="AI91" s="7">
        <v>0</v>
      </c>
      <c r="AJ91" s="7">
        <v>0</v>
      </c>
      <c r="AK91" s="7">
        <v>0</v>
      </c>
      <c r="AL91" s="7">
        <v>0</v>
      </c>
      <c r="AM91" s="7">
        <v>0</v>
      </c>
      <c r="AN91" s="7">
        <v>0</v>
      </c>
      <c r="AO91" s="7">
        <v>0</v>
      </c>
      <c r="AP91" s="7">
        <v>0</v>
      </c>
      <c r="AQ91" s="7">
        <v>0</v>
      </c>
      <c r="AR91" s="7">
        <v>0</v>
      </c>
      <c r="AS91" s="7">
        <v>0</v>
      </c>
      <c r="AT91" s="7">
        <v>0</v>
      </c>
      <c r="AU91" s="7">
        <v>0</v>
      </c>
      <c r="AV91" s="7">
        <v>0</v>
      </c>
      <c r="AW91" s="7">
        <v>0</v>
      </c>
      <c r="AX91" s="7">
        <v>0</v>
      </c>
      <c r="AY91" s="7">
        <v>0</v>
      </c>
      <c r="AZ91" s="7">
        <v>0</v>
      </c>
      <c r="BA91" s="7">
        <v>0</v>
      </c>
      <c r="BB91" s="7">
        <v>0</v>
      </c>
      <c r="BC91" s="7">
        <v>0</v>
      </c>
      <c r="BD91">
        <v>0</v>
      </c>
      <c r="BE91">
        <v>31.32</v>
      </c>
      <c r="BF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1" s="42">
        <f>+IF(AVANCE[[#This Row],[FECHA INICIO REAL]]="","",AVANCE[[#This Row],[FECHA INICIO REAL]]-AVANCE[[#This Row],[FECHA INICIO TEORICO]])</f>
        <v>7</v>
      </c>
      <c r="BH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2" spans="1:61" x14ac:dyDescent="0.25">
      <c r="A92" t="s">
        <v>890</v>
      </c>
      <c r="B92" t="s">
        <v>917</v>
      </c>
      <c r="C92">
        <v>2302600091</v>
      </c>
      <c r="D92" t="s">
        <v>834</v>
      </c>
      <c r="E92" s="4">
        <v>0.39</v>
      </c>
      <c r="F92" s="1">
        <v>46170</v>
      </c>
      <c r="G92" s="1">
        <v>46181</v>
      </c>
      <c r="H92" s="1">
        <v>46183</v>
      </c>
      <c r="I92" s="1">
        <v>46206</v>
      </c>
      <c r="J92">
        <v>5</v>
      </c>
      <c r="K92" s="1"/>
      <c r="L92" s="7">
        <v>0.39</v>
      </c>
      <c r="M92" s="7">
        <v>0.90697674418604635</v>
      </c>
      <c r="N92" s="7">
        <v>0.27906976744186046</v>
      </c>
      <c r="O92" s="7">
        <v>0.18604651162790695</v>
      </c>
      <c r="P92" s="7">
        <v>0.2558139534883721</v>
      </c>
      <c r="Q92" s="7">
        <v>0.18604651162790695</v>
      </c>
      <c r="R92" s="7">
        <v>0</v>
      </c>
      <c r="S92" s="7">
        <v>0</v>
      </c>
      <c r="T92" s="7">
        <v>0</v>
      </c>
      <c r="U92" s="7">
        <v>0</v>
      </c>
      <c r="V92" s="7">
        <v>0</v>
      </c>
      <c r="W92" s="7">
        <v>0</v>
      </c>
      <c r="X92" s="7">
        <v>0</v>
      </c>
      <c r="Y92" s="7">
        <v>0</v>
      </c>
      <c r="Z92" s="7">
        <v>0</v>
      </c>
      <c r="AA92" s="7">
        <v>0</v>
      </c>
      <c r="AB92" s="7">
        <v>0</v>
      </c>
      <c r="AC92" s="7">
        <v>0</v>
      </c>
      <c r="AD92" s="7">
        <v>0</v>
      </c>
      <c r="AE92" s="7">
        <v>0</v>
      </c>
      <c r="AF92" s="7">
        <v>0</v>
      </c>
      <c r="AG92" s="7">
        <v>0</v>
      </c>
      <c r="AH92" s="7">
        <v>0</v>
      </c>
      <c r="AI92" s="7">
        <v>0</v>
      </c>
      <c r="AJ92" s="7">
        <v>0</v>
      </c>
      <c r="AK92" s="7">
        <v>0</v>
      </c>
      <c r="AL92" s="7">
        <v>0</v>
      </c>
      <c r="AM92" s="7">
        <v>0</v>
      </c>
      <c r="AN92" s="7">
        <v>0</v>
      </c>
      <c r="AO92" s="7">
        <v>0</v>
      </c>
      <c r="AP92" s="7">
        <v>0</v>
      </c>
      <c r="AQ92" s="7">
        <v>0</v>
      </c>
      <c r="AR92" s="7">
        <v>0</v>
      </c>
      <c r="AS92" s="7">
        <v>0</v>
      </c>
      <c r="AT92" s="7">
        <v>0</v>
      </c>
      <c r="AU92" s="7">
        <v>0</v>
      </c>
      <c r="AV92" s="7">
        <v>0</v>
      </c>
      <c r="AW92" s="7">
        <v>0</v>
      </c>
      <c r="AX92" s="7">
        <v>0</v>
      </c>
      <c r="AY92" s="7">
        <v>0</v>
      </c>
      <c r="AZ92" s="7">
        <v>0</v>
      </c>
      <c r="BA92" s="7">
        <v>0</v>
      </c>
      <c r="BB92" s="7">
        <v>0</v>
      </c>
      <c r="BC92" s="7">
        <v>0</v>
      </c>
      <c r="BD92">
        <v>0</v>
      </c>
      <c r="BE92">
        <v>31.32</v>
      </c>
      <c r="BF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2" s="42">
        <f>+IF(AVANCE[[#This Row],[FECHA INICIO REAL]]="","",AVANCE[[#This Row],[FECHA INICIO REAL]]-AVANCE[[#This Row],[FECHA INICIO TEORICO]])</f>
        <v>11</v>
      </c>
      <c r="BH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3" spans="1:61" x14ac:dyDescent="0.25">
      <c r="A93" t="s">
        <v>890</v>
      </c>
      <c r="B93" t="s">
        <v>918</v>
      </c>
      <c r="C93">
        <v>2282600092</v>
      </c>
      <c r="D93" t="s">
        <v>833</v>
      </c>
      <c r="E93" s="4">
        <v>0.39</v>
      </c>
      <c r="F93" s="1">
        <v>46170</v>
      </c>
      <c r="G93" s="1">
        <v>46184</v>
      </c>
      <c r="H93" s="1">
        <v>46184</v>
      </c>
      <c r="I93" s="1">
        <v>46196</v>
      </c>
      <c r="J93">
        <v>4</v>
      </c>
      <c r="K93" s="1"/>
      <c r="L93" s="7">
        <v>0.39</v>
      </c>
      <c r="M93" s="7">
        <v>0.90697674418604635</v>
      </c>
      <c r="N93" s="7">
        <v>0.27906976744186046</v>
      </c>
      <c r="O93" s="7">
        <v>0.18604651162790695</v>
      </c>
      <c r="P93" s="7">
        <v>0.2558139534883721</v>
      </c>
      <c r="Q93" s="7">
        <v>0.18604651162790695</v>
      </c>
      <c r="R93" s="7">
        <v>0</v>
      </c>
      <c r="S93" s="7">
        <v>0</v>
      </c>
      <c r="T93" s="7">
        <v>0</v>
      </c>
      <c r="U93" s="7">
        <v>0</v>
      </c>
      <c r="V93" s="7">
        <v>0</v>
      </c>
      <c r="W93" s="7">
        <v>0</v>
      </c>
      <c r="X93" s="7">
        <v>0</v>
      </c>
      <c r="Y93" s="7">
        <v>0</v>
      </c>
      <c r="Z93" s="7">
        <v>0</v>
      </c>
      <c r="AA93" s="7">
        <v>0</v>
      </c>
      <c r="AB93" s="7">
        <v>0</v>
      </c>
      <c r="AC93" s="7">
        <v>0</v>
      </c>
      <c r="AD93" s="7">
        <v>0</v>
      </c>
      <c r="AE93" s="7">
        <v>0</v>
      </c>
      <c r="AF93" s="7">
        <v>0</v>
      </c>
      <c r="AG93" s="7">
        <v>0</v>
      </c>
      <c r="AH93" s="7">
        <v>0</v>
      </c>
      <c r="AI93" s="7">
        <v>0</v>
      </c>
      <c r="AJ93" s="7">
        <v>0</v>
      </c>
      <c r="AK93" s="7">
        <v>0</v>
      </c>
      <c r="AL93" s="7">
        <v>0</v>
      </c>
      <c r="AM93" s="7">
        <v>0</v>
      </c>
      <c r="AN93" s="7">
        <v>0</v>
      </c>
      <c r="AO93" s="7">
        <v>0</v>
      </c>
      <c r="AP93" s="7">
        <v>0</v>
      </c>
      <c r="AQ93" s="7">
        <v>0</v>
      </c>
      <c r="AR93" s="7">
        <v>0</v>
      </c>
      <c r="AS93" s="7">
        <v>0</v>
      </c>
      <c r="AT93" s="7">
        <v>0</v>
      </c>
      <c r="AU93" s="7">
        <v>0</v>
      </c>
      <c r="AV93" s="7">
        <v>0</v>
      </c>
      <c r="AW93" s="7">
        <v>0</v>
      </c>
      <c r="AX93" s="7">
        <v>0</v>
      </c>
      <c r="AY93" s="7">
        <v>0</v>
      </c>
      <c r="AZ93" s="7">
        <v>0</v>
      </c>
      <c r="BA93" s="7">
        <v>0</v>
      </c>
      <c r="BB93" s="7">
        <v>0</v>
      </c>
      <c r="BC93" s="7">
        <v>0</v>
      </c>
      <c r="BD93">
        <v>0</v>
      </c>
      <c r="BE93">
        <v>28.87</v>
      </c>
      <c r="BF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3" s="42">
        <f>+IF(AVANCE[[#This Row],[FECHA INICIO REAL]]="","",AVANCE[[#This Row],[FECHA INICIO REAL]]-AVANCE[[#This Row],[FECHA INICIO TEORICO]])</f>
        <v>14</v>
      </c>
      <c r="BH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4" spans="1:61" x14ac:dyDescent="0.25">
      <c r="A94" t="s">
        <v>890</v>
      </c>
      <c r="B94" t="s">
        <v>919</v>
      </c>
      <c r="C94">
        <v>2282600093</v>
      </c>
      <c r="D94" t="s">
        <v>833</v>
      </c>
      <c r="E94" s="4">
        <v>0.39</v>
      </c>
      <c r="F94" s="1">
        <v>46171</v>
      </c>
      <c r="G94" s="1">
        <v>46184</v>
      </c>
      <c r="H94" s="1">
        <v>46184</v>
      </c>
      <c r="I94" s="1">
        <v>46197</v>
      </c>
      <c r="J94">
        <v>4</v>
      </c>
      <c r="K94" s="1"/>
      <c r="L94" s="7">
        <v>0.39</v>
      </c>
      <c r="M94" s="7">
        <v>0.90697674418604635</v>
      </c>
      <c r="N94" s="7">
        <v>0.27906976744186046</v>
      </c>
      <c r="O94" s="7">
        <v>0.18604651162790695</v>
      </c>
      <c r="P94" s="7">
        <v>0.2558139534883721</v>
      </c>
      <c r="Q94" s="7">
        <v>0.18604651162790695</v>
      </c>
      <c r="R94" s="7">
        <v>0</v>
      </c>
      <c r="S94" s="7">
        <v>0</v>
      </c>
      <c r="T94" s="7">
        <v>0</v>
      </c>
      <c r="U94" s="7">
        <v>0</v>
      </c>
      <c r="V94" s="7">
        <v>0</v>
      </c>
      <c r="W94" s="7">
        <v>0</v>
      </c>
      <c r="X94" s="7">
        <v>0</v>
      </c>
      <c r="Y94" s="7">
        <v>0</v>
      </c>
      <c r="Z94" s="7">
        <v>0</v>
      </c>
      <c r="AA94" s="7">
        <v>0</v>
      </c>
      <c r="AB94" s="7">
        <v>0</v>
      </c>
      <c r="AC94" s="7">
        <v>0</v>
      </c>
      <c r="AD94" s="7">
        <v>0</v>
      </c>
      <c r="AE94" s="7">
        <v>0</v>
      </c>
      <c r="AF94" s="7">
        <v>0</v>
      </c>
      <c r="AG94" s="7">
        <v>0</v>
      </c>
      <c r="AH94" s="7">
        <v>0</v>
      </c>
      <c r="AI94" s="7">
        <v>0</v>
      </c>
      <c r="AJ94" s="7">
        <v>0</v>
      </c>
      <c r="AK94" s="7">
        <v>0</v>
      </c>
      <c r="AL94" s="7">
        <v>0</v>
      </c>
      <c r="AM94" s="7">
        <v>0</v>
      </c>
      <c r="AN94" s="7">
        <v>0</v>
      </c>
      <c r="AO94" s="7">
        <v>0</v>
      </c>
      <c r="AP94" s="7">
        <v>0</v>
      </c>
      <c r="AQ94" s="7">
        <v>0</v>
      </c>
      <c r="AR94" s="7">
        <v>0</v>
      </c>
      <c r="AS94" s="7">
        <v>0</v>
      </c>
      <c r="AT94" s="7">
        <v>0</v>
      </c>
      <c r="AU94" s="7">
        <v>0</v>
      </c>
      <c r="AV94" s="7">
        <v>0</v>
      </c>
      <c r="AW94" s="7">
        <v>0</v>
      </c>
      <c r="AX94" s="7">
        <v>0</v>
      </c>
      <c r="AY94" s="7">
        <v>0</v>
      </c>
      <c r="AZ94" s="7">
        <v>0</v>
      </c>
      <c r="BA94" s="7">
        <v>0</v>
      </c>
      <c r="BB94" s="7">
        <v>0</v>
      </c>
      <c r="BC94" s="7">
        <v>0</v>
      </c>
      <c r="BD94">
        <v>0</v>
      </c>
      <c r="BE94">
        <v>28.87</v>
      </c>
      <c r="BF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4" s="42">
        <f>+IF(AVANCE[[#This Row],[FECHA INICIO REAL]]="","",AVANCE[[#This Row],[FECHA INICIO REAL]]-AVANCE[[#This Row],[FECHA INICIO TEORICO]])</f>
        <v>13</v>
      </c>
      <c r="BH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5" spans="1:61" x14ac:dyDescent="0.25">
      <c r="A95" t="s">
        <v>890</v>
      </c>
      <c r="B95" t="s">
        <v>920</v>
      </c>
      <c r="C95">
        <v>2302600094</v>
      </c>
      <c r="D95" t="s">
        <v>834</v>
      </c>
      <c r="E95" s="4">
        <v>0.39</v>
      </c>
      <c r="F95" s="1">
        <v>46171</v>
      </c>
      <c r="G95" s="1">
        <v>46181</v>
      </c>
      <c r="H95" s="1">
        <v>46183</v>
      </c>
      <c r="I95" s="1">
        <v>46207</v>
      </c>
      <c r="J95">
        <v>5</v>
      </c>
      <c r="K95" s="1"/>
      <c r="L95" s="7">
        <v>0.39</v>
      </c>
      <c r="M95" s="7">
        <v>0.90697674418604635</v>
      </c>
      <c r="N95" s="7">
        <v>0.27906976744186046</v>
      </c>
      <c r="O95" s="7">
        <v>0.18604651162790695</v>
      </c>
      <c r="P95" s="7">
        <v>0.2558139534883721</v>
      </c>
      <c r="Q95" s="7">
        <v>0.18604651162790695</v>
      </c>
      <c r="R95" s="7">
        <v>0</v>
      </c>
      <c r="S95" s="7">
        <v>0</v>
      </c>
      <c r="T95" s="7">
        <v>0</v>
      </c>
      <c r="U95" s="7">
        <v>0</v>
      </c>
      <c r="V95" s="7">
        <v>0</v>
      </c>
      <c r="W95" s="7">
        <v>0</v>
      </c>
      <c r="X95" s="7">
        <v>0</v>
      </c>
      <c r="Y95" s="7">
        <v>0</v>
      </c>
      <c r="Z95" s="7">
        <v>0</v>
      </c>
      <c r="AA95" s="7">
        <v>0</v>
      </c>
      <c r="AB95" s="7">
        <v>0</v>
      </c>
      <c r="AC95" s="7">
        <v>0</v>
      </c>
      <c r="AD95" s="7">
        <v>0</v>
      </c>
      <c r="AE95" s="7">
        <v>0</v>
      </c>
      <c r="AF95" s="7">
        <v>0</v>
      </c>
      <c r="AG95" s="7">
        <v>0</v>
      </c>
      <c r="AH95" s="7">
        <v>0</v>
      </c>
      <c r="AI95" s="7">
        <v>0</v>
      </c>
      <c r="AJ95" s="7">
        <v>0</v>
      </c>
      <c r="AK95" s="7">
        <v>0</v>
      </c>
      <c r="AL95" s="7">
        <v>0</v>
      </c>
      <c r="AM95" s="7">
        <v>0</v>
      </c>
      <c r="AN95" s="7">
        <v>0</v>
      </c>
      <c r="AO95" s="7">
        <v>0</v>
      </c>
      <c r="AP95" s="7">
        <v>0</v>
      </c>
      <c r="AQ95" s="7">
        <v>0</v>
      </c>
      <c r="AR95" s="7">
        <v>0</v>
      </c>
      <c r="AS95" s="7">
        <v>0</v>
      </c>
      <c r="AT95" s="7">
        <v>0</v>
      </c>
      <c r="AU95" s="7">
        <v>0</v>
      </c>
      <c r="AV95" s="7">
        <v>0</v>
      </c>
      <c r="AW95" s="7">
        <v>0</v>
      </c>
      <c r="AX95" s="7">
        <v>0</v>
      </c>
      <c r="AY95" s="7">
        <v>0</v>
      </c>
      <c r="AZ95" s="7">
        <v>0</v>
      </c>
      <c r="BA95" s="7">
        <v>0</v>
      </c>
      <c r="BB95" s="7">
        <v>0</v>
      </c>
      <c r="BC95" s="7">
        <v>0</v>
      </c>
      <c r="BD95">
        <v>0</v>
      </c>
      <c r="BE95">
        <v>31.32</v>
      </c>
      <c r="BF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5" s="42">
        <f>+IF(AVANCE[[#This Row],[FECHA INICIO REAL]]="","",AVANCE[[#This Row],[FECHA INICIO REAL]]-AVANCE[[#This Row],[FECHA INICIO TEORICO]])</f>
        <v>10</v>
      </c>
      <c r="BH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6" spans="1:61" x14ac:dyDescent="0.25">
      <c r="A96" t="s">
        <v>890</v>
      </c>
      <c r="B96" t="s">
        <v>921</v>
      </c>
      <c r="C96">
        <v>2302600095</v>
      </c>
      <c r="D96" t="s">
        <v>834</v>
      </c>
      <c r="E96" s="4">
        <v>0.43</v>
      </c>
      <c r="F96" s="1">
        <v>46174</v>
      </c>
      <c r="G96" s="1">
        <v>46177</v>
      </c>
      <c r="H96" s="1">
        <v>46183</v>
      </c>
      <c r="I96" s="1">
        <v>46210</v>
      </c>
      <c r="J96">
        <v>5</v>
      </c>
      <c r="K96" s="1"/>
      <c r="L96" s="7">
        <v>0.43</v>
      </c>
      <c r="M96" s="7">
        <v>1</v>
      </c>
      <c r="N96" s="7">
        <v>0.27906976744186046</v>
      </c>
      <c r="O96" s="7">
        <v>0.18604651162790695</v>
      </c>
      <c r="P96" s="7">
        <v>0.2558139534883721</v>
      </c>
      <c r="Q96" s="7">
        <v>0.18604651162790695</v>
      </c>
      <c r="R96" s="7">
        <v>9.3023255813953487E-2</v>
      </c>
      <c r="S96" s="7">
        <v>0</v>
      </c>
      <c r="T96" s="7">
        <v>0</v>
      </c>
      <c r="U96" s="7">
        <v>0</v>
      </c>
      <c r="V96" s="7">
        <v>0</v>
      </c>
      <c r="W96" s="7">
        <v>0</v>
      </c>
      <c r="X96" s="7">
        <v>0</v>
      </c>
      <c r="Y96" s="7">
        <v>0</v>
      </c>
      <c r="Z96" s="7">
        <v>0</v>
      </c>
      <c r="AA96" s="7">
        <v>0</v>
      </c>
      <c r="AB96" s="7">
        <v>0</v>
      </c>
      <c r="AC96" s="7">
        <v>0</v>
      </c>
      <c r="AD96" s="7">
        <v>0</v>
      </c>
      <c r="AE96" s="7">
        <v>0</v>
      </c>
      <c r="AF96" s="7">
        <v>0</v>
      </c>
      <c r="AG96" s="7">
        <v>0</v>
      </c>
      <c r="AH96" s="7">
        <v>0</v>
      </c>
      <c r="AI96" s="7">
        <v>0</v>
      </c>
      <c r="AJ96" s="7">
        <v>0</v>
      </c>
      <c r="AK96" s="7">
        <v>0</v>
      </c>
      <c r="AL96" s="7">
        <v>0</v>
      </c>
      <c r="AM96" s="7">
        <v>0</v>
      </c>
      <c r="AN96" s="7">
        <v>0</v>
      </c>
      <c r="AO96" s="7">
        <v>0</v>
      </c>
      <c r="AP96" s="7">
        <v>0</v>
      </c>
      <c r="AQ96" s="7">
        <v>0</v>
      </c>
      <c r="AR96" s="7">
        <v>0</v>
      </c>
      <c r="AS96" s="7">
        <v>0</v>
      </c>
      <c r="AT96" s="7">
        <v>0</v>
      </c>
      <c r="AU96" s="7">
        <v>0</v>
      </c>
      <c r="AV96" s="7">
        <v>0</v>
      </c>
      <c r="AW96" s="7">
        <v>0</v>
      </c>
      <c r="AX96" s="7">
        <v>0</v>
      </c>
      <c r="AY96" s="7">
        <v>0</v>
      </c>
      <c r="AZ96" s="7">
        <v>0</v>
      </c>
      <c r="BA96" s="7">
        <v>0</v>
      </c>
      <c r="BB96" s="7">
        <v>0</v>
      </c>
      <c r="BC96" s="7">
        <v>0</v>
      </c>
      <c r="BD96">
        <v>0</v>
      </c>
      <c r="BE96">
        <v>31.32</v>
      </c>
      <c r="BF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40-49%</v>
      </c>
      <c r="BG96" s="42">
        <f>+IF(AVANCE[[#This Row],[FECHA INICIO REAL]]="","",AVANCE[[#This Row],[FECHA INICIO REAL]]-AVANCE[[#This Row],[FECHA INICIO TEORICO]])</f>
        <v>3</v>
      </c>
      <c r="BH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7" spans="1:61" x14ac:dyDescent="0.25">
      <c r="A97" t="s">
        <v>890</v>
      </c>
      <c r="B97" t="s">
        <v>922</v>
      </c>
      <c r="C97">
        <v>2282600096</v>
      </c>
      <c r="D97" t="s">
        <v>833</v>
      </c>
      <c r="E97" s="4">
        <v>0.39</v>
      </c>
      <c r="F97" s="1">
        <v>46174</v>
      </c>
      <c r="G97" s="1">
        <v>46177</v>
      </c>
      <c r="H97" s="1">
        <v>46181</v>
      </c>
      <c r="I97" s="1">
        <v>46200</v>
      </c>
      <c r="J97">
        <v>7</v>
      </c>
      <c r="K97" s="1"/>
      <c r="L97" s="7">
        <v>0.39</v>
      </c>
      <c r="M97" s="7">
        <v>0.90697674418604635</v>
      </c>
      <c r="N97" s="7">
        <v>0.27906976744186046</v>
      </c>
      <c r="O97" s="7">
        <v>0.18604651162790695</v>
      </c>
      <c r="P97" s="7">
        <v>0.2558139534883721</v>
      </c>
      <c r="Q97" s="7">
        <v>0.18604651162790695</v>
      </c>
      <c r="R97" s="7">
        <v>0</v>
      </c>
      <c r="S97" s="7">
        <v>0</v>
      </c>
      <c r="T97" s="7">
        <v>0</v>
      </c>
      <c r="U97" s="7">
        <v>0</v>
      </c>
      <c r="V97" s="7">
        <v>0</v>
      </c>
      <c r="W97" s="7">
        <v>0</v>
      </c>
      <c r="X97" s="7">
        <v>0</v>
      </c>
      <c r="Y97" s="7">
        <v>0</v>
      </c>
      <c r="Z97" s="7">
        <v>0</v>
      </c>
      <c r="AA97" s="7">
        <v>0</v>
      </c>
      <c r="AB97" s="7">
        <v>0</v>
      </c>
      <c r="AC97" s="7">
        <v>0</v>
      </c>
      <c r="AD97" s="7">
        <v>0</v>
      </c>
      <c r="AE97" s="7">
        <v>0</v>
      </c>
      <c r="AF97" s="7">
        <v>0</v>
      </c>
      <c r="AG97" s="7">
        <v>0</v>
      </c>
      <c r="AH97" s="7">
        <v>0</v>
      </c>
      <c r="AI97" s="7">
        <v>0</v>
      </c>
      <c r="AJ97" s="7">
        <v>0</v>
      </c>
      <c r="AK97" s="7">
        <v>0</v>
      </c>
      <c r="AL97" s="7">
        <v>0</v>
      </c>
      <c r="AM97" s="7">
        <v>0</v>
      </c>
      <c r="AN97" s="7">
        <v>0</v>
      </c>
      <c r="AO97" s="7">
        <v>0</v>
      </c>
      <c r="AP97" s="7">
        <v>0</v>
      </c>
      <c r="AQ97" s="7">
        <v>0</v>
      </c>
      <c r="AR97" s="7">
        <v>0</v>
      </c>
      <c r="AS97" s="7">
        <v>0</v>
      </c>
      <c r="AT97" s="7">
        <v>0</v>
      </c>
      <c r="AU97" s="7">
        <v>0</v>
      </c>
      <c r="AV97" s="7">
        <v>0</v>
      </c>
      <c r="AW97" s="7">
        <v>0</v>
      </c>
      <c r="AX97" s="7">
        <v>0</v>
      </c>
      <c r="AY97" s="7">
        <v>0</v>
      </c>
      <c r="AZ97" s="7">
        <v>0</v>
      </c>
      <c r="BA97" s="7">
        <v>0</v>
      </c>
      <c r="BB97" s="7">
        <v>0</v>
      </c>
      <c r="BC97" s="7">
        <v>0</v>
      </c>
      <c r="BD97">
        <v>0</v>
      </c>
      <c r="BE97">
        <v>28.87</v>
      </c>
      <c r="BF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7" s="42">
        <f>+IF(AVANCE[[#This Row],[FECHA INICIO REAL]]="","",AVANCE[[#This Row],[FECHA INICIO REAL]]-AVANCE[[#This Row],[FECHA INICIO TEORICO]])</f>
        <v>3</v>
      </c>
      <c r="BH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8" spans="1:61" x14ac:dyDescent="0.25">
      <c r="A98" t="s">
        <v>923</v>
      </c>
      <c r="B98" t="s">
        <v>924</v>
      </c>
      <c r="C98">
        <v>2282600097</v>
      </c>
      <c r="D98" t="s">
        <v>833</v>
      </c>
      <c r="E98" s="4">
        <v>0.12</v>
      </c>
      <c r="F98" s="1">
        <v>46175</v>
      </c>
      <c r="G98" s="1">
        <v>46184</v>
      </c>
      <c r="H98" s="1">
        <v>46184</v>
      </c>
      <c r="I98" s="1">
        <v>46199</v>
      </c>
      <c r="J98">
        <v>4</v>
      </c>
      <c r="K98" s="1"/>
      <c r="L98" s="7">
        <v>0.12</v>
      </c>
      <c r="M98" s="7">
        <v>0.27906976744186046</v>
      </c>
      <c r="N98" s="7">
        <v>0.27906976744186046</v>
      </c>
      <c r="O98" s="7">
        <v>0</v>
      </c>
      <c r="P98" s="7">
        <v>0</v>
      </c>
      <c r="Q98" s="7">
        <v>0</v>
      </c>
      <c r="R98" s="7">
        <v>0</v>
      </c>
      <c r="S98" s="7">
        <v>0</v>
      </c>
      <c r="T98" s="7">
        <v>0</v>
      </c>
      <c r="U98" s="7">
        <v>0</v>
      </c>
      <c r="V98" s="7">
        <v>0</v>
      </c>
      <c r="W98" s="7">
        <v>0</v>
      </c>
      <c r="X98" s="7">
        <v>0</v>
      </c>
      <c r="Y98" s="7">
        <v>0</v>
      </c>
      <c r="Z98" s="7">
        <v>0</v>
      </c>
      <c r="AA98" s="7">
        <v>0</v>
      </c>
      <c r="AB98" s="7">
        <v>0</v>
      </c>
      <c r="AC98" s="7">
        <v>0</v>
      </c>
      <c r="AD98" s="7">
        <v>0</v>
      </c>
      <c r="AE98" s="7">
        <v>0</v>
      </c>
      <c r="AF98" s="7">
        <v>0</v>
      </c>
      <c r="AG98" s="7">
        <v>0</v>
      </c>
      <c r="AH98" s="7">
        <v>0</v>
      </c>
      <c r="AI98" s="7">
        <v>0</v>
      </c>
      <c r="AJ98" s="7">
        <v>0</v>
      </c>
      <c r="AK98" s="7">
        <v>0</v>
      </c>
      <c r="AL98" s="7">
        <v>0</v>
      </c>
      <c r="AM98" s="7">
        <v>0</v>
      </c>
      <c r="AN98" s="7">
        <v>0</v>
      </c>
      <c r="AO98" s="7">
        <v>0</v>
      </c>
      <c r="AP98" s="7">
        <v>0</v>
      </c>
      <c r="AQ98" s="7">
        <v>0</v>
      </c>
      <c r="AR98" s="7">
        <v>0</v>
      </c>
      <c r="AS98" s="7">
        <v>0</v>
      </c>
      <c r="AT98" s="7">
        <v>0</v>
      </c>
      <c r="AU98" s="7">
        <v>0</v>
      </c>
      <c r="AV98" s="7">
        <v>0</v>
      </c>
      <c r="AW98" s="7">
        <v>0</v>
      </c>
      <c r="AX98" s="7">
        <v>0</v>
      </c>
      <c r="AY98" s="7">
        <v>0</v>
      </c>
      <c r="AZ98" s="7">
        <v>0</v>
      </c>
      <c r="BA98" s="7">
        <v>0</v>
      </c>
      <c r="BB98" s="7">
        <v>0</v>
      </c>
      <c r="BC98" s="7">
        <v>0</v>
      </c>
      <c r="BD98">
        <v>0</v>
      </c>
      <c r="BE98">
        <v>28.87</v>
      </c>
      <c r="BF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98" s="42">
        <f>+IF(AVANCE[[#This Row],[FECHA INICIO REAL]]="","",AVANCE[[#This Row],[FECHA INICIO REAL]]-AVANCE[[#This Row],[FECHA INICIO TEORICO]])</f>
        <v>9</v>
      </c>
      <c r="BH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9" spans="1:61" x14ac:dyDescent="0.25">
      <c r="A99" t="s">
        <v>923</v>
      </c>
      <c r="B99" t="s">
        <v>925</v>
      </c>
      <c r="C99">
        <v>2302600098</v>
      </c>
      <c r="D99" t="s">
        <v>834</v>
      </c>
      <c r="E99" s="4">
        <v>0.39</v>
      </c>
      <c r="F99" s="1">
        <v>46175</v>
      </c>
      <c r="G99" s="1">
        <v>46184</v>
      </c>
      <c r="H99" s="1">
        <v>46188</v>
      </c>
      <c r="I99" s="1">
        <v>46209</v>
      </c>
      <c r="J99">
        <v>0</v>
      </c>
      <c r="K99" s="1"/>
      <c r="L99" s="7">
        <v>0.39</v>
      </c>
      <c r="M99" s="7">
        <v>0.90697674418604635</v>
      </c>
      <c r="N99" s="7">
        <v>0.27906976744186046</v>
      </c>
      <c r="O99" s="7">
        <v>0.18604651162790695</v>
      </c>
      <c r="P99" s="7">
        <v>0.2558139534883721</v>
      </c>
      <c r="Q99" s="7">
        <v>0.18604651162790695</v>
      </c>
      <c r="R99" s="7">
        <v>0</v>
      </c>
      <c r="S99" s="7">
        <v>0</v>
      </c>
      <c r="T99" s="7">
        <v>0</v>
      </c>
      <c r="U99" s="7">
        <v>0</v>
      </c>
      <c r="V99" s="7">
        <v>0</v>
      </c>
      <c r="W99" s="7">
        <v>0</v>
      </c>
      <c r="X99" s="7">
        <v>0</v>
      </c>
      <c r="Y99" s="7">
        <v>0</v>
      </c>
      <c r="Z99" s="7">
        <v>0</v>
      </c>
      <c r="AA99" s="7">
        <v>0</v>
      </c>
      <c r="AB99" s="7">
        <v>0</v>
      </c>
      <c r="AC99" s="7">
        <v>0</v>
      </c>
      <c r="AD99" s="7">
        <v>0</v>
      </c>
      <c r="AE99" s="7">
        <v>0</v>
      </c>
      <c r="AF99" s="7">
        <v>0</v>
      </c>
      <c r="AG99" s="7">
        <v>0</v>
      </c>
      <c r="AH99" s="7">
        <v>0</v>
      </c>
      <c r="AI99" s="7">
        <v>0</v>
      </c>
      <c r="AJ99" s="7">
        <v>0</v>
      </c>
      <c r="AK99" s="7">
        <v>0</v>
      </c>
      <c r="AL99" s="7">
        <v>0</v>
      </c>
      <c r="AM99" s="7">
        <v>0</v>
      </c>
      <c r="AN99" s="7">
        <v>0</v>
      </c>
      <c r="AO99" s="7">
        <v>0</v>
      </c>
      <c r="AP99" s="7">
        <v>0</v>
      </c>
      <c r="AQ99" s="7">
        <v>0</v>
      </c>
      <c r="AR99" s="7">
        <v>0</v>
      </c>
      <c r="AS99" s="7">
        <v>0</v>
      </c>
      <c r="AT99" s="7">
        <v>0</v>
      </c>
      <c r="AU99" s="7">
        <v>0</v>
      </c>
      <c r="AV99" s="7">
        <v>0</v>
      </c>
      <c r="AW99" s="7">
        <v>0</v>
      </c>
      <c r="AX99" s="7">
        <v>0</v>
      </c>
      <c r="AY99" s="7">
        <v>0</v>
      </c>
      <c r="AZ99" s="7">
        <v>0</v>
      </c>
      <c r="BA99" s="7">
        <v>0</v>
      </c>
      <c r="BB99" s="7">
        <v>0</v>
      </c>
      <c r="BC99" s="7">
        <v>0</v>
      </c>
      <c r="BD99">
        <v>0</v>
      </c>
      <c r="BE99">
        <v>31.32</v>
      </c>
      <c r="BF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9" s="42">
        <f>+IF(AVANCE[[#This Row],[FECHA INICIO REAL]]="","",AVANCE[[#This Row],[FECHA INICIO REAL]]-AVANCE[[#This Row],[FECHA INICIO TEORICO]])</f>
        <v>9</v>
      </c>
      <c r="BH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0" spans="1:61" x14ac:dyDescent="0.25">
      <c r="A100" t="s">
        <v>923</v>
      </c>
      <c r="B100" t="s">
        <v>926</v>
      </c>
      <c r="C100">
        <v>2302600099</v>
      </c>
      <c r="D100" t="s">
        <v>834</v>
      </c>
      <c r="E100" s="4">
        <v>0</v>
      </c>
      <c r="F100" s="1">
        <v>46176</v>
      </c>
      <c r="G100" s="1"/>
      <c r="H100" s="1">
        <v>0</v>
      </c>
      <c r="I100" s="1">
        <v>46210</v>
      </c>
      <c r="J100">
        <v>46188</v>
      </c>
      <c r="K100" s="1"/>
      <c r="L100" s="7">
        <v>0</v>
      </c>
      <c r="M100" s="7">
        <v>0</v>
      </c>
      <c r="N100" s="7">
        <v>0</v>
      </c>
      <c r="O100" s="7">
        <v>0</v>
      </c>
      <c r="P100" s="7">
        <v>0</v>
      </c>
      <c r="Q100" s="7">
        <v>0</v>
      </c>
      <c r="R100" s="7">
        <v>0</v>
      </c>
      <c r="S100" s="7">
        <v>0</v>
      </c>
      <c r="T100" s="7">
        <v>0</v>
      </c>
      <c r="U100" s="7">
        <v>0</v>
      </c>
      <c r="V100" s="7">
        <v>0</v>
      </c>
      <c r="W100" s="7">
        <v>0</v>
      </c>
      <c r="X100" s="7">
        <v>0</v>
      </c>
      <c r="Y100" s="7">
        <v>0</v>
      </c>
      <c r="Z100" s="7">
        <v>0</v>
      </c>
      <c r="AA100" s="7">
        <v>0</v>
      </c>
      <c r="AB100" s="7">
        <v>0</v>
      </c>
      <c r="AC100" s="7">
        <v>0</v>
      </c>
      <c r="AD100" s="7">
        <v>0</v>
      </c>
      <c r="AE100" s="7">
        <v>0</v>
      </c>
      <c r="AF100" s="7">
        <v>0</v>
      </c>
      <c r="AG100" s="7">
        <v>0</v>
      </c>
      <c r="AH100" s="7">
        <v>0</v>
      </c>
      <c r="AI100" s="7">
        <v>0</v>
      </c>
      <c r="AJ100" s="7">
        <v>0</v>
      </c>
      <c r="AK100" s="7">
        <v>0</v>
      </c>
      <c r="AL100" s="7">
        <v>0</v>
      </c>
      <c r="AM100" s="7">
        <v>0</v>
      </c>
      <c r="AN100" s="7">
        <v>0</v>
      </c>
      <c r="AO100" s="7">
        <v>0</v>
      </c>
      <c r="AP100" s="7">
        <v>0</v>
      </c>
      <c r="AQ100" s="7">
        <v>0</v>
      </c>
      <c r="AR100" s="7">
        <v>0</v>
      </c>
      <c r="AS100" s="7">
        <v>0</v>
      </c>
      <c r="AT100" s="7">
        <v>0</v>
      </c>
      <c r="AU100" s="7">
        <v>0</v>
      </c>
      <c r="AV100" s="7">
        <v>0</v>
      </c>
      <c r="AW100" s="7">
        <v>0</v>
      </c>
      <c r="AX100" s="7">
        <v>0</v>
      </c>
      <c r="AY100" s="7">
        <v>0</v>
      </c>
      <c r="AZ100" s="7">
        <v>0</v>
      </c>
      <c r="BA100" s="7">
        <v>0</v>
      </c>
      <c r="BB100" s="7">
        <v>0</v>
      </c>
      <c r="BC100" s="7">
        <v>0</v>
      </c>
      <c r="BD100">
        <v>0</v>
      </c>
      <c r="BE100">
        <v>31.32</v>
      </c>
      <c r="BF1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0" s="42" t="str">
        <f>+IF(AVANCE[[#This Row],[FECHA INICIO REAL]]="","",AVANCE[[#This Row],[FECHA INICIO REAL]]-AVANCE[[#This Row],[FECHA INICIO TEORICO]])</f>
        <v/>
      </c>
      <c r="BH1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1" spans="1:61" x14ac:dyDescent="0.25">
      <c r="A101" t="s">
        <v>923</v>
      </c>
      <c r="B101" t="s">
        <v>927</v>
      </c>
      <c r="C101">
        <v>2282600100</v>
      </c>
      <c r="D101" t="s">
        <v>833</v>
      </c>
      <c r="E101" s="4">
        <v>0.12</v>
      </c>
      <c r="F101" s="1">
        <v>46176</v>
      </c>
      <c r="G101" s="1">
        <v>46188</v>
      </c>
      <c r="H101" s="1">
        <v>46188</v>
      </c>
      <c r="I101" s="1">
        <v>46200</v>
      </c>
      <c r="J101">
        <v>0</v>
      </c>
      <c r="K101" s="1"/>
      <c r="L101" s="7">
        <v>0.12</v>
      </c>
      <c r="M101" s="7">
        <v>0.27906976744186046</v>
      </c>
      <c r="N101" s="7">
        <v>0.27906976744186046</v>
      </c>
      <c r="O101" s="7">
        <v>0</v>
      </c>
      <c r="P101" s="7">
        <v>0</v>
      </c>
      <c r="Q101" s="7">
        <v>0</v>
      </c>
      <c r="R101" s="7">
        <v>0</v>
      </c>
      <c r="S101" s="7">
        <v>0</v>
      </c>
      <c r="T101" s="7">
        <v>0</v>
      </c>
      <c r="U101" s="7">
        <v>0</v>
      </c>
      <c r="V101" s="7">
        <v>0</v>
      </c>
      <c r="W101" s="7">
        <v>0</v>
      </c>
      <c r="X101" s="7">
        <v>0</v>
      </c>
      <c r="Y101" s="7">
        <v>0</v>
      </c>
      <c r="Z101" s="7">
        <v>0</v>
      </c>
      <c r="AA101" s="7">
        <v>0</v>
      </c>
      <c r="AB101" s="7">
        <v>0</v>
      </c>
      <c r="AC101" s="7">
        <v>0</v>
      </c>
      <c r="AD101" s="7">
        <v>0</v>
      </c>
      <c r="AE101" s="7">
        <v>0</v>
      </c>
      <c r="AF101" s="7">
        <v>0</v>
      </c>
      <c r="AG101" s="7">
        <v>0</v>
      </c>
      <c r="AH101" s="7">
        <v>0</v>
      </c>
      <c r="AI101" s="7">
        <v>0</v>
      </c>
      <c r="AJ101" s="7">
        <v>0</v>
      </c>
      <c r="AK101" s="7">
        <v>0</v>
      </c>
      <c r="AL101" s="7">
        <v>0</v>
      </c>
      <c r="AM101" s="7">
        <v>0</v>
      </c>
      <c r="AN101" s="7">
        <v>0</v>
      </c>
      <c r="AO101" s="7">
        <v>0</v>
      </c>
      <c r="AP101" s="7">
        <v>0</v>
      </c>
      <c r="AQ101" s="7">
        <v>0</v>
      </c>
      <c r="AR101" s="7">
        <v>0</v>
      </c>
      <c r="AS101" s="7">
        <v>0</v>
      </c>
      <c r="AT101" s="7">
        <v>0</v>
      </c>
      <c r="AU101" s="7">
        <v>0</v>
      </c>
      <c r="AV101" s="7">
        <v>0</v>
      </c>
      <c r="AW101" s="7">
        <v>0</v>
      </c>
      <c r="AX101" s="7">
        <v>0</v>
      </c>
      <c r="AY101" s="7">
        <v>0</v>
      </c>
      <c r="AZ101" s="7">
        <v>0</v>
      </c>
      <c r="BA101" s="7">
        <v>0</v>
      </c>
      <c r="BB101" s="7">
        <v>0</v>
      </c>
      <c r="BC101" s="7">
        <v>0</v>
      </c>
      <c r="BD101">
        <v>0</v>
      </c>
      <c r="BE101">
        <v>28.87</v>
      </c>
      <c r="BF1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101" s="42">
        <f>+IF(AVANCE[[#This Row],[FECHA INICIO REAL]]="","",AVANCE[[#This Row],[FECHA INICIO REAL]]-AVANCE[[#This Row],[FECHA INICIO TEORICO]])</f>
        <v>12</v>
      </c>
      <c r="BH1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2" spans="1:61" x14ac:dyDescent="0.25">
      <c r="A102" t="s">
        <v>923</v>
      </c>
      <c r="B102" t="s">
        <v>928</v>
      </c>
      <c r="C102">
        <v>2282600101</v>
      </c>
      <c r="D102" t="s">
        <v>833</v>
      </c>
      <c r="E102" s="4">
        <v>0</v>
      </c>
      <c r="F102" s="1">
        <v>46177</v>
      </c>
      <c r="G102" s="1"/>
      <c r="H102" s="1">
        <v>0</v>
      </c>
      <c r="I102" s="1">
        <v>46201</v>
      </c>
      <c r="J102">
        <v>46188</v>
      </c>
      <c r="K102" s="1"/>
      <c r="L102" s="7">
        <v>0</v>
      </c>
      <c r="M102" s="7">
        <v>0</v>
      </c>
      <c r="N102" s="7">
        <v>0</v>
      </c>
      <c r="O102" s="7">
        <v>0</v>
      </c>
      <c r="P102" s="7">
        <v>0</v>
      </c>
      <c r="Q102" s="7">
        <v>0</v>
      </c>
      <c r="R102" s="7">
        <v>0</v>
      </c>
      <c r="S102" s="7">
        <v>0</v>
      </c>
      <c r="T102" s="7">
        <v>0</v>
      </c>
      <c r="U102" s="7">
        <v>0</v>
      </c>
      <c r="V102" s="7">
        <v>0</v>
      </c>
      <c r="W102" s="7">
        <v>0</v>
      </c>
      <c r="X102" s="7">
        <v>0</v>
      </c>
      <c r="Y102" s="7">
        <v>0</v>
      </c>
      <c r="Z102" s="7">
        <v>0</v>
      </c>
      <c r="AA102" s="7">
        <v>0</v>
      </c>
      <c r="AB102" s="7">
        <v>0</v>
      </c>
      <c r="AC102" s="7">
        <v>0</v>
      </c>
      <c r="AD102" s="7">
        <v>0</v>
      </c>
      <c r="AE102" s="7">
        <v>0</v>
      </c>
      <c r="AF102" s="7">
        <v>0</v>
      </c>
      <c r="AG102" s="7">
        <v>0</v>
      </c>
      <c r="AH102" s="7">
        <v>0</v>
      </c>
      <c r="AI102" s="7">
        <v>0</v>
      </c>
      <c r="AJ102" s="7">
        <v>0</v>
      </c>
      <c r="AK102" s="7">
        <v>0</v>
      </c>
      <c r="AL102" s="7">
        <v>0</v>
      </c>
      <c r="AM102" s="7">
        <v>0</v>
      </c>
      <c r="AN102" s="7">
        <v>0</v>
      </c>
      <c r="AO102" s="7">
        <v>0</v>
      </c>
      <c r="AP102" s="7">
        <v>0</v>
      </c>
      <c r="AQ102" s="7">
        <v>0</v>
      </c>
      <c r="AR102" s="7">
        <v>0</v>
      </c>
      <c r="AS102" s="7">
        <v>0</v>
      </c>
      <c r="AT102" s="7">
        <v>0</v>
      </c>
      <c r="AU102" s="7">
        <v>0</v>
      </c>
      <c r="AV102" s="7">
        <v>0</v>
      </c>
      <c r="AW102" s="7">
        <v>0</v>
      </c>
      <c r="AX102" s="7">
        <v>0</v>
      </c>
      <c r="AY102" s="7">
        <v>0</v>
      </c>
      <c r="AZ102" s="7">
        <v>0</v>
      </c>
      <c r="BA102" s="7">
        <v>0</v>
      </c>
      <c r="BB102" s="7">
        <v>0</v>
      </c>
      <c r="BC102" s="7">
        <v>0</v>
      </c>
      <c r="BD102">
        <v>0</v>
      </c>
      <c r="BE102">
        <v>28.87</v>
      </c>
      <c r="BF1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2" s="42" t="str">
        <f>+IF(AVANCE[[#This Row],[FECHA INICIO REAL]]="","",AVANCE[[#This Row],[FECHA INICIO REAL]]-AVANCE[[#This Row],[FECHA INICIO TEORICO]])</f>
        <v/>
      </c>
      <c r="BH1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3" spans="1:61" x14ac:dyDescent="0.25">
      <c r="A103" t="s">
        <v>923</v>
      </c>
      <c r="B103" t="s">
        <v>929</v>
      </c>
      <c r="C103">
        <v>2302600102</v>
      </c>
      <c r="D103" t="s">
        <v>834</v>
      </c>
      <c r="E103" s="4">
        <v>0</v>
      </c>
      <c r="F103" s="1">
        <v>46177</v>
      </c>
      <c r="G103" s="1"/>
      <c r="H103" s="1">
        <v>0</v>
      </c>
      <c r="I103" s="1">
        <v>46211</v>
      </c>
      <c r="J103">
        <v>46188</v>
      </c>
      <c r="K103" s="1"/>
      <c r="L103" s="7">
        <v>0</v>
      </c>
      <c r="M103" s="7">
        <v>0</v>
      </c>
      <c r="N103" s="7">
        <v>0</v>
      </c>
      <c r="O103" s="7">
        <v>0</v>
      </c>
      <c r="P103" s="7">
        <v>0</v>
      </c>
      <c r="Q103" s="7">
        <v>0</v>
      </c>
      <c r="R103" s="7">
        <v>0</v>
      </c>
      <c r="S103" s="7">
        <v>0</v>
      </c>
      <c r="T103" s="7">
        <v>0</v>
      </c>
      <c r="U103" s="7">
        <v>0</v>
      </c>
      <c r="V103" s="7">
        <v>0</v>
      </c>
      <c r="W103" s="7">
        <v>0</v>
      </c>
      <c r="X103" s="7">
        <v>0</v>
      </c>
      <c r="Y103" s="7">
        <v>0</v>
      </c>
      <c r="Z103" s="7">
        <v>0</v>
      </c>
      <c r="AA103" s="7">
        <v>0</v>
      </c>
      <c r="AB103" s="7">
        <v>0</v>
      </c>
      <c r="AC103" s="7">
        <v>0</v>
      </c>
      <c r="AD103" s="7">
        <v>0</v>
      </c>
      <c r="AE103" s="7">
        <v>0</v>
      </c>
      <c r="AF103" s="7">
        <v>0</v>
      </c>
      <c r="AG103" s="7">
        <v>0</v>
      </c>
      <c r="AH103" s="7">
        <v>0</v>
      </c>
      <c r="AI103" s="7">
        <v>0</v>
      </c>
      <c r="AJ103" s="7">
        <v>0</v>
      </c>
      <c r="AK103" s="7">
        <v>0</v>
      </c>
      <c r="AL103" s="7">
        <v>0</v>
      </c>
      <c r="AM103" s="7">
        <v>0</v>
      </c>
      <c r="AN103" s="7">
        <v>0</v>
      </c>
      <c r="AO103" s="7">
        <v>0</v>
      </c>
      <c r="AP103" s="7">
        <v>0</v>
      </c>
      <c r="AQ103" s="7">
        <v>0</v>
      </c>
      <c r="AR103" s="7">
        <v>0</v>
      </c>
      <c r="AS103" s="7">
        <v>0</v>
      </c>
      <c r="AT103" s="7">
        <v>0</v>
      </c>
      <c r="AU103" s="7">
        <v>0</v>
      </c>
      <c r="AV103" s="7">
        <v>0</v>
      </c>
      <c r="AW103" s="7">
        <v>0</v>
      </c>
      <c r="AX103" s="7">
        <v>0</v>
      </c>
      <c r="AY103" s="7">
        <v>0</v>
      </c>
      <c r="AZ103" s="7">
        <v>0</v>
      </c>
      <c r="BA103" s="7">
        <v>0</v>
      </c>
      <c r="BB103" s="7">
        <v>0</v>
      </c>
      <c r="BC103" s="7">
        <v>0</v>
      </c>
      <c r="BD103">
        <v>0</v>
      </c>
      <c r="BE103">
        <v>31.32</v>
      </c>
      <c r="BF1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3" s="42" t="str">
        <f>+IF(AVANCE[[#This Row],[FECHA INICIO REAL]]="","",AVANCE[[#This Row],[FECHA INICIO REAL]]-AVANCE[[#This Row],[FECHA INICIO TEORICO]])</f>
        <v/>
      </c>
      <c r="BH1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4" spans="1:61" x14ac:dyDescent="0.25">
      <c r="A104" t="s">
        <v>923</v>
      </c>
      <c r="B104" t="s">
        <v>930</v>
      </c>
      <c r="C104">
        <v>2302600103</v>
      </c>
      <c r="D104" t="s">
        <v>834</v>
      </c>
      <c r="E104" s="4">
        <v>0.39</v>
      </c>
      <c r="F104" s="1">
        <v>46178</v>
      </c>
      <c r="G104" s="1">
        <v>46184</v>
      </c>
      <c r="H104" s="1">
        <v>46188</v>
      </c>
      <c r="I104" s="1">
        <v>46212</v>
      </c>
      <c r="J104">
        <v>0</v>
      </c>
      <c r="K104" s="1"/>
      <c r="L104" s="7">
        <v>0.39</v>
      </c>
      <c r="M104" s="7">
        <v>0.90697674418604635</v>
      </c>
      <c r="N104" s="7">
        <v>0.27906976744186046</v>
      </c>
      <c r="O104" s="7">
        <v>0.18604651162790695</v>
      </c>
      <c r="P104" s="7">
        <v>0.2558139534883721</v>
      </c>
      <c r="Q104" s="7">
        <v>0.18604651162790695</v>
      </c>
      <c r="R104" s="7">
        <v>0</v>
      </c>
      <c r="S104" s="7">
        <v>0</v>
      </c>
      <c r="T104" s="7">
        <v>0</v>
      </c>
      <c r="U104" s="7">
        <v>0</v>
      </c>
      <c r="V104" s="7">
        <v>0</v>
      </c>
      <c r="W104" s="7">
        <v>0</v>
      </c>
      <c r="X104" s="7">
        <v>0</v>
      </c>
      <c r="Y104" s="7">
        <v>0</v>
      </c>
      <c r="Z104" s="7">
        <v>0</v>
      </c>
      <c r="AA104" s="7">
        <v>0</v>
      </c>
      <c r="AB104" s="7">
        <v>0</v>
      </c>
      <c r="AC104" s="7">
        <v>0</v>
      </c>
      <c r="AD104" s="7">
        <v>0</v>
      </c>
      <c r="AE104" s="7">
        <v>0</v>
      </c>
      <c r="AF104" s="7">
        <v>0</v>
      </c>
      <c r="AG104" s="7">
        <v>0</v>
      </c>
      <c r="AH104" s="7">
        <v>0</v>
      </c>
      <c r="AI104" s="7">
        <v>0</v>
      </c>
      <c r="AJ104" s="7">
        <v>0</v>
      </c>
      <c r="AK104" s="7">
        <v>0</v>
      </c>
      <c r="AL104" s="7">
        <v>0</v>
      </c>
      <c r="AM104" s="7">
        <v>0</v>
      </c>
      <c r="AN104" s="7">
        <v>0</v>
      </c>
      <c r="AO104" s="7">
        <v>0</v>
      </c>
      <c r="AP104" s="7">
        <v>0</v>
      </c>
      <c r="AQ104" s="7">
        <v>0</v>
      </c>
      <c r="AR104" s="7">
        <v>0</v>
      </c>
      <c r="AS104" s="7">
        <v>0</v>
      </c>
      <c r="AT104" s="7">
        <v>0</v>
      </c>
      <c r="AU104" s="7">
        <v>0</v>
      </c>
      <c r="AV104" s="7">
        <v>0</v>
      </c>
      <c r="AW104" s="7">
        <v>0</v>
      </c>
      <c r="AX104" s="7">
        <v>0</v>
      </c>
      <c r="AY104" s="7">
        <v>0</v>
      </c>
      <c r="AZ104" s="7">
        <v>0</v>
      </c>
      <c r="BA104" s="7">
        <v>0</v>
      </c>
      <c r="BB104" s="7">
        <v>0</v>
      </c>
      <c r="BC104" s="7">
        <v>0</v>
      </c>
      <c r="BD104">
        <v>0</v>
      </c>
      <c r="BE104">
        <v>31.32</v>
      </c>
      <c r="BF1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04" s="42">
        <f>+IF(AVANCE[[#This Row],[FECHA INICIO REAL]]="","",AVANCE[[#This Row],[FECHA INICIO REAL]]-AVANCE[[#This Row],[FECHA INICIO TEORICO]])</f>
        <v>6</v>
      </c>
      <c r="BH1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5" spans="1:61" x14ac:dyDescent="0.25">
      <c r="A105" t="s">
        <v>923</v>
      </c>
      <c r="B105" t="s">
        <v>931</v>
      </c>
      <c r="C105">
        <v>2282600104</v>
      </c>
      <c r="D105" t="s">
        <v>833</v>
      </c>
      <c r="E105" s="4">
        <v>0.39</v>
      </c>
      <c r="F105" s="1">
        <v>46178</v>
      </c>
      <c r="G105" s="1">
        <v>46184</v>
      </c>
      <c r="H105" s="1">
        <v>46185</v>
      </c>
      <c r="I105" s="1">
        <v>46202</v>
      </c>
      <c r="J105">
        <v>3</v>
      </c>
      <c r="K105" s="1"/>
      <c r="L105" s="7">
        <v>0.39</v>
      </c>
      <c r="M105" s="7">
        <v>0.90697674418604635</v>
      </c>
      <c r="N105" s="7">
        <v>0.27906976744186046</v>
      </c>
      <c r="O105" s="7">
        <v>0.18604651162790695</v>
      </c>
      <c r="P105" s="7">
        <v>0.2558139534883721</v>
      </c>
      <c r="Q105" s="7">
        <v>0.18604651162790695</v>
      </c>
      <c r="R105" s="7">
        <v>0</v>
      </c>
      <c r="S105" s="7">
        <v>0</v>
      </c>
      <c r="T105" s="7">
        <v>0</v>
      </c>
      <c r="U105" s="7">
        <v>0</v>
      </c>
      <c r="V105" s="7">
        <v>0</v>
      </c>
      <c r="W105" s="7">
        <v>0</v>
      </c>
      <c r="X105" s="7">
        <v>0</v>
      </c>
      <c r="Y105" s="7">
        <v>0</v>
      </c>
      <c r="Z105" s="7">
        <v>0</v>
      </c>
      <c r="AA105" s="7">
        <v>0</v>
      </c>
      <c r="AB105" s="7">
        <v>0</v>
      </c>
      <c r="AC105" s="7">
        <v>0</v>
      </c>
      <c r="AD105" s="7">
        <v>0</v>
      </c>
      <c r="AE105" s="7">
        <v>0</v>
      </c>
      <c r="AF105" s="7">
        <v>0</v>
      </c>
      <c r="AG105" s="7">
        <v>0</v>
      </c>
      <c r="AH105" s="7">
        <v>0</v>
      </c>
      <c r="AI105" s="7">
        <v>0</v>
      </c>
      <c r="AJ105" s="7">
        <v>0</v>
      </c>
      <c r="AK105" s="7">
        <v>0</v>
      </c>
      <c r="AL105" s="7">
        <v>0</v>
      </c>
      <c r="AM105" s="7">
        <v>0</v>
      </c>
      <c r="AN105" s="7">
        <v>0</v>
      </c>
      <c r="AO105" s="7">
        <v>0</v>
      </c>
      <c r="AP105" s="7">
        <v>0</v>
      </c>
      <c r="AQ105" s="7">
        <v>0</v>
      </c>
      <c r="AR105" s="7">
        <v>0</v>
      </c>
      <c r="AS105" s="7">
        <v>0</v>
      </c>
      <c r="AT105" s="7">
        <v>0</v>
      </c>
      <c r="AU105" s="7">
        <v>0</v>
      </c>
      <c r="AV105" s="7">
        <v>0</v>
      </c>
      <c r="AW105" s="7">
        <v>0</v>
      </c>
      <c r="AX105" s="7">
        <v>0</v>
      </c>
      <c r="AY105" s="7">
        <v>0</v>
      </c>
      <c r="AZ105" s="7">
        <v>0</v>
      </c>
      <c r="BA105" s="7">
        <v>0</v>
      </c>
      <c r="BB105" s="7">
        <v>0</v>
      </c>
      <c r="BC105" s="7">
        <v>0</v>
      </c>
      <c r="BD105">
        <v>0</v>
      </c>
      <c r="BE105">
        <v>28.87</v>
      </c>
      <c r="BF1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105" s="42">
        <f>+IF(AVANCE[[#This Row],[FECHA INICIO REAL]]="","",AVANCE[[#This Row],[FECHA INICIO REAL]]-AVANCE[[#This Row],[FECHA INICIO TEORICO]])</f>
        <v>6</v>
      </c>
      <c r="BH1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1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6" spans="1:61" x14ac:dyDescent="0.25">
      <c r="A106" t="s">
        <v>923</v>
      </c>
      <c r="B106" t="s">
        <v>932</v>
      </c>
      <c r="C106">
        <v>2282600105</v>
      </c>
      <c r="D106" t="s">
        <v>833</v>
      </c>
      <c r="E106" s="4">
        <v>0</v>
      </c>
      <c r="F106" s="1">
        <v>46181</v>
      </c>
      <c r="G106" s="1"/>
      <c r="H106" s="1">
        <v>0</v>
      </c>
      <c r="I106" s="1">
        <v>46205</v>
      </c>
      <c r="J106">
        <v>46188</v>
      </c>
      <c r="K106" s="1"/>
      <c r="L106" s="7">
        <v>0</v>
      </c>
      <c r="M106" s="7">
        <v>0</v>
      </c>
      <c r="N106" s="7">
        <v>0</v>
      </c>
      <c r="O106" s="7">
        <v>0</v>
      </c>
      <c r="P106" s="7">
        <v>0</v>
      </c>
      <c r="Q106" s="7">
        <v>0</v>
      </c>
      <c r="R106" s="7">
        <v>0</v>
      </c>
      <c r="S106" s="7">
        <v>0</v>
      </c>
      <c r="T106" s="7">
        <v>0</v>
      </c>
      <c r="U106" s="7">
        <v>0</v>
      </c>
      <c r="V106" s="7">
        <v>0</v>
      </c>
      <c r="W106" s="7">
        <v>0</v>
      </c>
      <c r="X106" s="7">
        <v>0</v>
      </c>
      <c r="Y106" s="7">
        <v>0</v>
      </c>
      <c r="Z106" s="7">
        <v>0</v>
      </c>
      <c r="AA106" s="7">
        <v>0</v>
      </c>
      <c r="AB106" s="7">
        <v>0</v>
      </c>
      <c r="AC106" s="7">
        <v>0</v>
      </c>
      <c r="AD106" s="7">
        <v>0</v>
      </c>
      <c r="AE106" s="7">
        <v>0</v>
      </c>
      <c r="AF106" s="7">
        <v>0</v>
      </c>
      <c r="AG106" s="7">
        <v>0</v>
      </c>
      <c r="AH106" s="7">
        <v>0</v>
      </c>
      <c r="AI106" s="7">
        <v>0</v>
      </c>
      <c r="AJ106" s="7">
        <v>0</v>
      </c>
      <c r="AK106" s="7">
        <v>0</v>
      </c>
      <c r="AL106" s="7">
        <v>0</v>
      </c>
      <c r="AM106" s="7">
        <v>0</v>
      </c>
      <c r="AN106" s="7">
        <v>0</v>
      </c>
      <c r="AO106" s="7">
        <v>0</v>
      </c>
      <c r="AP106" s="7">
        <v>0</v>
      </c>
      <c r="AQ106" s="7">
        <v>0</v>
      </c>
      <c r="AR106" s="7">
        <v>0</v>
      </c>
      <c r="AS106" s="7">
        <v>0</v>
      </c>
      <c r="AT106" s="7">
        <v>0</v>
      </c>
      <c r="AU106" s="7">
        <v>0</v>
      </c>
      <c r="AV106" s="7">
        <v>0</v>
      </c>
      <c r="AW106" s="7">
        <v>0</v>
      </c>
      <c r="AX106" s="7">
        <v>0</v>
      </c>
      <c r="AY106" s="7">
        <v>0</v>
      </c>
      <c r="AZ106" s="7">
        <v>0</v>
      </c>
      <c r="BA106" s="7">
        <v>0</v>
      </c>
      <c r="BB106" s="7">
        <v>0</v>
      </c>
      <c r="BC106" s="7">
        <v>0</v>
      </c>
      <c r="BD106">
        <v>0</v>
      </c>
      <c r="BE106">
        <v>28.87</v>
      </c>
      <c r="BF1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6" s="42" t="str">
        <f>+IF(AVANCE[[#This Row],[FECHA INICIO REAL]]="","",AVANCE[[#This Row],[FECHA INICIO REAL]]-AVANCE[[#This Row],[FECHA INICIO TEORICO]])</f>
        <v/>
      </c>
      <c r="BH1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7" spans="1:61" x14ac:dyDescent="0.25">
      <c r="A107" t="s">
        <v>923</v>
      </c>
      <c r="B107" t="s">
        <v>933</v>
      </c>
      <c r="C107">
        <v>2302600106</v>
      </c>
      <c r="D107" t="s">
        <v>834</v>
      </c>
      <c r="E107" s="4">
        <v>0</v>
      </c>
      <c r="F107" s="1">
        <v>46181</v>
      </c>
      <c r="G107" s="1"/>
      <c r="H107" s="1">
        <v>0</v>
      </c>
      <c r="I107" s="1">
        <v>46215</v>
      </c>
      <c r="J107">
        <v>46188</v>
      </c>
      <c r="K107" s="1"/>
      <c r="L107" s="7">
        <v>0</v>
      </c>
      <c r="M107" s="7">
        <v>0</v>
      </c>
      <c r="N107" s="7">
        <v>0</v>
      </c>
      <c r="O107" s="7">
        <v>0</v>
      </c>
      <c r="P107" s="7">
        <v>0</v>
      </c>
      <c r="Q107" s="7">
        <v>0</v>
      </c>
      <c r="R107" s="7">
        <v>0</v>
      </c>
      <c r="S107" s="7">
        <v>0</v>
      </c>
      <c r="T107" s="7">
        <v>0</v>
      </c>
      <c r="U107" s="7">
        <v>0</v>
      </c>
      <c r="V107" s="7">
        <v>0</v>
      </c>
      <c r="W107" s="7">
        <v>0</v>
      </c>
      <c r="X107" s="7">
        <v>0</v>
      </c>
      <c r="Y107" s="7">
        <v>0</v>
      </c>
      <c r="Z107" s="7">
        <v>0</v>
      </c>
      <c r="AA107" s="7">
        <v>0</v>
      </c>
      <c r="AB107" s="7">
        <v>0</v>
      </c>
      <c r="AC107" s="7">
        <v>0</v>
      </c>
      <c r="AD107" s="7">
        <v>0</v>
      </c>
      <c r="AE107" s="7">
        <v>0</v>
      </c>
      <c r="AF107" s="7">
        <v>0</v>
      </c>
      <c r="AG107" s="7">
        <v>0</v>
      </c>
      <c r="AH107" s="7">
        <v>0</v>
      </c>
      <c r="AI107" s="7">
        <v>0</v>
      </c>
      <c r="AJ107" s="7">
        <v>0</v>
      </c>
      <c r="AK107" s="7">
        <v>0</v>
      </c>
      <c r="AL107" s="7">
        <v>0</v>
      </c>
      <c r="AM107" s="7">
        <v>0</v>
      </c>
      <c r="AN107" s="7">
        <v>0</v>
      </c>
      <c r="AO107" s="7">
        <v>0</v>
      </c>
      <c r="AP107" s="7">
        <v>0</v>
      </c>
      <c r="AQ107" s="7">
        <v>0</v>
      </c>
      <c r="AR107" s="7">
        <v>0</v>
      </c>
      <c r="AS107" s="7">
        <v>0</v>
      </c>
      <c r="AT107" s="7">
        <v>0</v>
      </c>
      <c r="AU107" s="7">
        <v>0</v>
      </c>
      <c r="AV107" s="7">
        <v>0</v>
      </c>
      <c r="AW107" s="7">
        <v>0</v>
      </c>
      <c r="AX107" s="7">
        <v>0</v>
      </c>
      <c r="AY107" s="7">
        <v>0</v>
      </c>
      <c r="AZ107" s="7">
        <v>0</v>
      </c>
      <c r="BA107" s="7">
        <v>0</v>
      </c>
      <c r="BB107" s="7">
        <v>0</v>
      </c>
      <c r="BC107" s="7">
        <v>0</v>
      </c>
      <c r="BD107">
        <v>0</v>
      </c>
      <c r="BE107">
        <v>31.32</v>
      </c>
      <c r="BF1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7" s="42" t="str">
        <f>+IF(AVANCE[[#This Row],[FECHA INICIO REAL]]="","",AVANCE[[#This Row],[FECHA INICIO REAL]]-AVANCE[[#This Row],[FECHA INICIO TEORICO]])</f>
        <v/>
      </c>
      <c r="BH1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8" spans="1:61" x14ac:dyDescent="0.25">
      <c r="A108" t="s">
        <v>923</v>
      </c>
      <c r="B108" t="s">
        <v>934</v>
      </c>
      <c r="C108">
        <v>2302600107</v>
      </c>
      <c r="D108" t="s">
        <v>834</v>
      </c>
      <c r="E108" s="4">
        <v>0</v>
      </c>
      <c r="F108" s="1">
        <v>46182</v>
      </c>
      <c r="G108" s="1"/>
      <c r="H108" s="1">
        <v>0</v>
      </c>
      <c r="I108" s="1">
        <v>46216</v>
      </c>
      <c r="J108">
        <v>46188</v>
      </c>
      <c r="K108" s="1"/>
      <c r="L108" s="7">
        <v>0</v>
      </c>
      <c r="M108" s="7">
        <v>0</v>
      </c>
      <c r="N108" s="7">
        <v>0</v>
      </c>
      <c r="O108" s="7">
        <v>0</v>
      </c>
      <c r="P108" s="7">
        <v>0</v>
      </c>
      <c r="Q108" s="7">
        <v>0</v>
      </c>
      <c r="R108" s="7">
        <v>0</v>
      </c>
      <c r="S108" s="7">
        <v>0</v>
      </c>
      <c r="T108" s="7">
        <v>0</v>
      </c>
      <c r="U108" s="7">
        <v>0</v>
      </c>
      <c r="V108" s="7">
        <v>0</v>
      </c>
      <c r="W108" s="7">
        <v>0</v>
      </c>
      <c r="X108" s="7">
        <v>0</v>
      </c>
      <c r="Y108" s="7">
        <v>0</v>
      </c>
      <c r="Z108" s="7">
        <v>0</v>
      </c>
      <c r="AA108" s="7">
        <v>0</v>
      </c>
      <c r="AB108" s="7">
        <v>0</v>
      </c>
      <c r="AC108" s="7">
        <v>0</v>
      </c>
      <c r="AD108" s="7">
        <v>0</v>
      </c>
      <c r="AE108" s="7">
        <v>0</v>
      </c>
      <c r="AF108" s="7">
        <v>0</v>
      </c>
      <c r="AG108" s="7">
        <v>0</v>
      </c>
      <c r="AH108" s="7">
        <v>0</v>
      </c>
      <c r="AI108" s="7">
        <v>0</v>
      </c>
      <c r="AJ108" s="7">
        <v>0</v>
      </c>
      <c r="AK108" s="7">
        <v>0</v>
      </c>
      <c r="AL108" s="7">
        <v>0</v>
      </c>
      <c r="AM108" s="7">
        <v>0</v>
      </c>
      <c r="AN108" s="7">
        <v>0</v>
      </c>
      <c r="AO108" s="7">
        <v>0</v>
      </c>
      <c r="AP108" s="7">
        <v>0</v>
      </c>
      <c r="AQ108" s="7">
        <v>0</v>
      </c>
      <c r="AR108" s="7">
        <v>0</v>
      </c>
      <c r="AS108" s="7">
        <v>0</v>
      </c>
      <c r="AT108" s="7">
        <v>0</v>
      </c>
      <c r="AU108" s="7">
        <v>0</v>
      </c>
      <c r="AV108" s="7">
        <v>0</v>
      </c>
      <c r="AW108" s="7">
        <v>0</v>
      </c>
      <c r="AX108" s="7">
        <v>0</v>
      </c>
      <c r="AY108" s="7">
        <v>0</v>
      </c>
      <c r="AZ108" s="7">
        <v>0</v>
      </c>
      <c r="BA108" s="7">
        <v>0</v>
      </c>
      <c r="BB108" s="7">
        <v>0</v>
      </c>
      <c r="BC108" s="7">
        <v>0</v>
      </c>
      <c r="BD108">
        <v>0</v>
      </c>
      <c r="BE108">
        <v>31.32</v>
      </c>
      <c r="BF1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8" s="42" t="str">
        <f>+IF(AVANCE[[#This Row],[FECHA INICIO REAL]]="","",AVANCE[[#This Row],[FECHA INICIO REAL]]-AVANCE[[#This Row],[FECHA INICIO TEORICO]])</f>
        <v/>
      </c>
      <c r="BH1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9" spans="1:61" x14ac:dyDescent="0.25">
      <c r="A109" t="s">
        <v>923</v>
      </c>
      <c r="B109" t="s">
        <v>935</v>
      </c>
      <c r="C109">
        <v>2282600108</v>
      </c>
      <c r="D109" t="s">
        <v>833</v>
      </c>
      <c r="E109" s="4">
        <v>0</v>
      </c>
      <c r="F109" s="1">
        <v>46182</v>
      </c>
      <c r="G109" s="1"/>
      <c r="H109" s="1">
        <v>0</v>
      </c>
      <c r="I109" s="1">
        <v>46206</v>
      </c>
      <c r="J109">
        <v>46188</v>
      </c>
      <c r="K109" s="1"/>
      <c r="L109" s="7">
        <v>0</v>
      </c>
      <c r="M109" s="7">
        <v>0</v>
      </c>
      <c r="N109" s="7">
        <v>0</v>
      </c>
      <c r="O109" s="7">
        <v>0</v>
      </c>
      <c r="P109" s="7">
        <v>0</v>
      </c>
      <c r="Q109" s="7">
        <v>0</v>
      </c>
      <c r="R109" s="7">
        <v>0</v>
      </c>
      <c r="S109" s="7">
        <v>0</v>
      </c>
      <c r="T109" s="7">
        <v>0</v>
      </c>
      <c r="U109" s="7">
        <v>0</v>
      </c>
      <c r="V109" s="7">
        <v>0</v>
      </c>
      <c r="W109" s="7">
        <v>0</v>
      </c>
      <c r="X109" s="7">
        <v>0</v>
      </c>
      <c r="Y109" s="7">
        <v>0</v>
      </c>
      <c r="Z109" s="7">
        <v>0</v>
      </c>
      <c r="AA109" s="7">
        <v>0</v>
      </c>
      <c r="AB109" s="7">
        <v>0</v>
      </c>
      <c r="AC109" s="7">
        <v>0</v>
      </c>
      <c r="AD109" s="7">
        <v>0</v>
      </c>
      <c r="AE109" s="7">
        <v>0</v>
      </c>
      <c r="AF109" s="7">
        <v>0</v>
      </c>
      <c r="AG109" s="7">
        <v>0</v>
      </c>
      <c r="AH109" s="7">
        <v>0</v>
      </c>
      <c r="AI109" s="7">
        <v>0</v>
      </c>
      <c r="AJ109" s="7">
        <v>0</v>
      </c>
      <c r="AK109" s="7">
        <v>0</v>
      </c>
      <c r="AL109" s="7">
        <v>0</v>
      </c>
      <c r="AM109" s="7">
        <v>0</v>
      </c>
      <c r="AN109" s="7">
        <v>0</v>
      </c>
      <c r="AO109" s="7">
        <v>0</v>
      </c>
      <c r="AP109" s="7">
        <v>0</v>
      </c>
      <c r="AQ109" s="7">
        <v>0</v>
      </c>
      <c r="AR109" s="7">
        <v>0</v>
      </c>
      <c r="AS109" s="7">
        <v>0</v>
      </c>
      <c r="AT109" s="7">
        <v>0</v>
      </c>
      <c r="AU109" s="7">
        <v>0</v>
      </c>
      <c r="AV109" s="7">
        <v>0</v>
      </c>
      <c r="AW109" s="7">
        <v>0</v>
      </c>
      <c r="AX109" s="7">
        <v>0</v>
      </c>
      <c r="AY109" s="7">
        <v>0</v>
      </c>
      <c r="AZ109" s="7">
        <v>0</v>
      </c>
      <c r="BA109" s="7">
        <v>0</v>
      </c>
      <c r="BB109" s="7">
        <v>0</v>
      </c>
      <c r="BC109" s="7">
        <v>0</v>
      </c>
      <c r="BD109">
        <v>0</v>
      </c>
      <c r="BE109">
        <v>28.87</v>
      </c>
      <c r="BF1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9" s="42" t="str">
        <f>+IF(AVANCE[[#This Row],[FECHA INICIO REAL]]="","",AVANCE[[#This Row],[FECHA INICIO REAL]]-AVANCE[[#This Row],[FECHA INICIO TEORICO]])</f>
        <v/>
      </c>
      <c r="BH1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0" spans="1:61" x14ac:dyDescent="0.25">
      <c r="A110" t="s">
        <v>923</v>
      </c>
      <c r="B110" t="s">
        <v>936</v>
      </c>
      <c r="C110">
        <v>2282600109</v>
      </c>
      <c r="D110" t="s">
        <v>833</v>
      </c>
      <c r="E110" s="4">
        <v>0</v>
      </c>
      <c r="F110" s="1">
        <v>46183</v>
      </c>
      <c r="G110" s="1"/>
      <c r="H110" s="1">
        <v>0</v>
      </c>
      <c r="I110" s="1">
        <v>46207</v>
      </c>
      <c r="J110">
        <v>46188</v>
      </c>
      <c r="K110" s="1"/>
      <c r="L110" s="7">
        <v>0</v>
      </c>
      <c r="M110" s="7">
        <v>0</v>
      </c>
      <c r="N110" s="7">
        <v>0</v>
      </c>
      <c r="O110" s="7">
        <v>0</v>
      </c>
      <c r="P110" s="7">
        <v>0</v>
      </c>
      <c r="Q110" s="7">
        <v>0</v>
      </c>
      <c r="R110" s="7">
        <v>0</v>
      </c>
      <c r="S110" s="7">
        <v>0</v>
      </c>
      <c r="T110" s="7">
        <v>0</v>
      </c>
      <c r="U110" s="7">
        <v>0</v>
      </c>
      <c r="V110" s="7">
        <v>0</v>
      </c>
      <c r="W110" s="7">
        <v>0</v>
      </c>
      <c r="X110" s="7">
        <v>0</v>
      </c>
      <c r="Y110" s="7">
        <v>0</v>
      </c>
      <c r="Z110" s="7">
        <v>0</v>
      </c>
      <c r="AA110" s="7">
        <v>0</v>
      </c>
      <c r="AB110" s="7">
        <v>0</v>
      </c>
      <c r="AC110" s="7">
        <v>0</v>
      </c>
      <c r="AD110" s="7">
        <v>0</v>
      </c>
      <c r="AE110" s="7">
        <v>0</v>
      </c>
      <c r="AF110" s="7">
        <v>0</v>
      </c>
      <c r="AG110" s="7">
        <v>0</v>
      </c>
      <c r="AH110" s="7">
        <v>0</v>
      </c>
      <c r="AI110" s="7">
        <v>0</v>
      </c>
      <c r="AJ110" s="7">
        <v>0</v>
      </c>
      <c r="AK110" s="7">
        <v>0</v>
      </c>
      <c r="AL110" s="7">
        <v>0</v>
      </c>
      <c r="AM110" s="7">
        <v>0</v>
      </c>
      <c r="AN110" s="7">
        <v>0</v>
      </c>
      <c r="AO110" s="7">
        <v>0</v>
      </c>
      <c r="AP110" s="7">
        <v>0</v>
      </c>
      <c r="AQ110" s="7">
        <v>0</v>
      </c>
      <c r="AR110" s="7">
        <v>0</v>
      </c>
      <c r="AS110" s="7">
        <v>0</v>
      </c>
      <c r="AT110" s="7">
        <v>0</v>
      </c>
      <c r="AU110" s="7">
        <v>0</v>
      </c>
      <c r="AV110" s="7">
        <v>0</v>
      </c>
      <c r="AW110" s="7">
        <v>0</v>
      </c>
      <c r="AX110" s="7">
        <v>0</v>
      </c>
      <c r="AY110" s="7">
        <v>0</v>
      </c>
      <c r="AZ110" s="7">
        <v>0</v>
      </c>
      <c r="BA110" s="7">
        <v>0</v>
      </c>
      <c r="BB110" s="7">
        <v>0</v>
      </c>
      <c r="BC110" s="7">
        <v>0</v>
      </c>
      <c r="BD110">
        <v>0</v>
      </c>
      <c r="BE110">
        <v>28.87</v>
      </c>
      <c r="BF1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0" s="42" t="str">
        <f>+IF(AVANCE[[#This Row],[FECHA INICIO REAL]]="","",AVANCE[[#This Row],[FECHA INICIO REAL]]-AVANCE[[#This Row],[FECHA INICIO TEORICO]])</f>
        <v/>
      </c>
      <c r="BH1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1" spans="1:61" x14ac:dyDescent="0.25">
      <c r="A111" t="s">
        <v>923</v>
      </c>
      <c r="B111" t="s">
        <v>937</v>
      </c>
      <c r="C111">
        <v>2302600110</v>
      </c>
      <c r="D111" t="s">
        <v>834</v>
      </c>
      <c r="E111" s="4">
        <v>0</v>
      </c>
      <c r="F111" s="1">
        <v>46183</v>
      </c>
      <c r="G111" s="1"/>
      <c r="H111" s="1">
        <v>0</v>
      </c>
      <c r="I111" s="1">
        <v>46217</v>
      </c>
      <c r="J111">
        <v>46188</v>
      </c>
      <c r="K111" s="1"/>
      <c r="L111" s="7">
        <v>0</v>
      </c>
      <c r="M111" s="7">
        <v>0</v>
      </c>
      <c r="N111" s="7">
        <v>0</v>
      </c>
      <c r="O111" s="7">
        <v>0</v>
      </c>
      <c r="P111" s="7">
        <v>0</v>
      </c>
      <c r="Q111" s="7">
        <v>0</v>
      </c>
      <c r="R111" s="7">
        <v>0</v>
      </c>
      <c r="S111" s="7">
        <v>0</v>
      </c>
      <c r="T111" s="7">
        <v>0</v>
      </c>
      <c r="U111" s="7">
        <v>0</v>
      </c>
      <c r="V111" s="7">
        <v>0</v>
      </c>
      <c r="W111" s="7">
        <v>0</v>
      </c>
      <c r="X111" s="7">
        <v>0</v>
      </c>
      <c r="Y111" s="7">
        <v>0</v>
      </c>
      <c r="Z111" s="7">
        <v>0</v>
      </c>
      <c r="AA111" s="7">
        <v>0</v>
      </c>
      <c r="AB111" s="7">
        <v>0</v>
      </c>
      <c r="AC111" s="7">
        <v>0</v>
      </c>
      <c r="AD111" s="7">
        <v>0</v>
      </c>
      <c r="AE111" s="7">
        <v>0</v>
      </c>
      <c r="AF111" s="7">
        <v>0</v>
      </c>
      <c r="AG111" s="7">
        <v>0</v>
      </c>
      <c r="AH111" s="7">
        <v>0</v>
      </c>
      <c r="AI111" s="7">
        <v>0</v>
      </c>
      <c r="AJ111" s="7">
        <v>0</v>
      </c>
      <c r="AK111" s="7">
        <v>0</v>
      </c>
      <c r="AL111" s="7">
        <v>0</v>
      </c>
      <c r="AM111" s="7">
        <v>0</v>
      </c>
      <c r="AN111" s="7">
        <v>0</v>
      </c>
      <c r="AO111" s="7">
        <v>0</v>
      </c>
      <c r="AP111" s="7">
        <v>0</v>
      </c>
      <c r="AQ111" s="7">
        <v>0</v>
      </c>
      <c r="AR111" s="7">
        <v>0</v>
      </c>
      <c r="AS111" s="7">
        <v>0</v>
      </c>
      <c r="AT111" s="7">
        <v>0</v>
      </c>
      <c r="AU111" s="7">
        <v>0</v>
      </c>
      <c r="AV111" s="7">
        <v>0</v>
      </c>
      <c r="AW111" s="7">
        <v>0</v>
      </c>
      <c r="AX111" s="7">
        <v>0</v>
      </c>
      <c r="AY111" s="7">
        <v>0</v>
      </c>
      <c r="AZ111" s="7">
        <v>0</v>
      </c>
      <c r="BA111" s="7">
        <v>0</v>
      </c>
      <c r="BB111" s="7">
        <v>0</v>
      </c>
      <c r="BC111" s="7">
        <v>0</v>
      </c>
      <c r="BD111">
        <v>0</v>
      </c>
      <c r="BE111">
        <v>31.32</v>
      </c>
      <c r="BF1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1" s="42" t="str">
        <f>+IF(AVANCE[[#This Row],[FECHA INICIO REAL]]="","",AVANCE[[#This Row],[FECHA INICIO REAL]]-AVANCE[[#This Row],[FECHA INICIO TEORICO]])</f>
        <v/>
      </c>
      <c r="BH1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2" spans="1:61" x14ac:dyDescent="0.25">
      <c r="A112" t="s">
        <v>923</v>
      </c>
      <c r="B112" t="s">
        <v>938</v>
      </c>
      <c r="C112">
        <v>2302600111</v>
      </c>
      <c r="D112" t="s">
        <v>834</v>
      </c>
      <c r="E112" s="4">
        <v>0</v>
      </c>
      <c r="F112" s="1">
        <v>46184</v>
      </c>
      <c r="G112" s="1"/>
      <c r="H112" s="1">
        <v>0</v>
      </c>
      <c r="I112" s="1">
        <v>46218</v>
      </c>
      <c r="J112">
        <v>46188</v>
      </c>
      <c r="K112" s="1"/>
      <c r="L112" s="7">
        <v>0</v>
      </c>
      <c r="M112" s="7">
        <v>0</v>
      </c>
      <c r="N112" s="7">
        <v>0</v>
      </c>
      <c r="O112" s="7">
        <v>0</v>
      </c>
      <c r="P112" s="7">
        <v>0</v>
      </c>
      <c r="Q112" s="7">
        <v>0</v>
      </c>
      <c r="R112" s="7">
        <v>0</v>
      </c>
      <c r="S112" s="7">
        <v>0</v>
      </c>
      <c r="T112" s="7">
        <v>0</v>
      </c>
      <c r="U112" s="7">
        <v>0</v>
      </c>
      <c r="V112" s="7">
        <v>0</v>
      </c>
      <c r="W112" s="7">
        <v>0</v>
      </c>
      <c r="X112" s="7">
        <v>0</v>
      </c>
      <c r="Y112" s="7">
        <v>0</v>
      </c>
      <c r="Z112" s="7">
        <v>0</v>
      </c>
      <c r="AA112" s="7">
        <v>0</v>
      </c>
      <c r="AB112" s="7">
        <v>0</v>
      </c>
      <c r="AC112" s="7">
        <v>0</v>
      </c>
      <c r="AD112" s="7">
        <v>0</v>
      </c>
      <c r="AE112" s="7">
        <v>0</v>
      </c>
      <c r="AF112" s="7">
        <v>0</v>
      </c>
      <c r="AG112" s="7">
        <v>0</v>
      </c>
      <c r="AH112" s="7">
        <v>0</v>
      </c>
      <c r="AI112" s="7">
        <v>0</v>
      </c>
      <c r="AJ112" s="7">
        <v>0</v>
      </c>
      <c r="AK112" s="7">
        <v>0</v>
      </c>
      <c r="AL112" s="7">
        <v>0</v>
      </c>
      <c r="AM112" s="7">
        <v>0</v>
      </c>
      <c r="AN112" s="7">
        <v>0</v>
      </c>
      <c r="AO112" s="7">
        <v>0</v>
      </c>
      <c r="AP112" s="7">
        <v>0</v>
      </c>
      <c r="AQ112" s="7">
        <v>0</v>
      </c>
      <c r="AR112" s="7">
        <v>0</v>
      </c>
      <c r="AS112" s="7">
        <v>0</v>
      </c>
      <c r="AT112" s="7">
        <v>0</v>
      </c>
      <c r="AU112" s="7">
        <v>0</v>
      </c>
      <c r="AV112" s="7">
        <v>0</v>
      </c>
      <c r="AW112" s="7">
        <v>0</v>
      </c>
      <c r="AX112" s="7">
        <v>0</v>
      </c>
      <c r="AY112" s="7">
        <v>0</v>
      </c>
      <c r="AZ112" s="7">
        <v>0</v>
      </c>
      <c r="BA112" s="7">
        <v>0</v>
      </c>
      <c r="BB112" s="7">
        <v>0</v>
      </c>
      <c r="BC112" s="7">
        <v>0</v>
      </c>
      <c r="BD112">
        <v>0</v>
      </c>
      <c r="BE112">
        <v>31.32</v>
      </c>
      <c r="BF1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2" s="42" t="str">
        <f>+IF(AVANCE[[#This Row],[FECHA INICIO REAL]]="","",AVANCE[[#This Row],[FECHA INICIO REAL]]-AVANCE[[#This Row],[FECHA INICIO TEORICO]])</f>
        <v/>
      </c>
      <c r="BH1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3" spans="1:61" x14ac:dyDescent="0.25">
      <c r="A113" t="s">
        <v>923</v>
      </c>
      <c r="B113" t="s">
        <v>939</v>
      </c>
      <c r="C113">
        <v>2282600112</v>
      </c>
      <c r="D113" t="s">
        <v>833</v>
      </c>
      <c r="E113" s="4">
        <v>0</v>
      </c>
      <c r="F113" s="1">
        <v>46184</v>
      </c>
      <c r="G113" s="1"/>
      <c r="H113" s="1">
        <v>0</v>
      </c>
      <c r="I113" s="1">
        <v>46208</v>
      </c>
      <c r="J113">
        <v>46188</v>
      </c>
      <c r="K113" s="1"/>
      <c r="L113" s="7">
        <v>0</v>
      </c>
      <c r="M113" s="7">
        <v>0</v>
      </c>
      <c r="N113" s="7">
        <v>0</v>
      </c>
      <c r="O113" s="7">
        <v>0</v>
      </c>
      <c r="P113" s="7">
        <v>0</v>
      </c>
      <c r="Q113" s="7">
        <v>0</v>
      </c>
      <c r="R113" s="7">
        <v>0</v>
      </c>
      <c r="S113" s="7">
        <v>0</v>
      </c>
      <c r="T113" s="7">
        <v>0</v>
      </c>
      <c r="U113" s="7">
        <v>0</v>
      </c>
      <c r="V113" s="7">
        <v>0</v>
      </c>
      <c r="W113" s="7">
        <v>0</v>
      </c>
      <c r="X113" s="7">
        <v>0</v>
      </c>
      <c r="Y113" s="7">
        <v>0</v>
      </c>
      <c r="Z113" s="7">
        <v>0</v>
      </c>
      <c r="AA113" s="7">
        <v>0</v>
      </c>
      <c r="AB113" s="7">
        <v>0</v>
      </c>
      <c r="AC113" s="7">
        <v>0</v>
      </c>
      <c r="AD113" s="7">
        <v>0</v>
      </c>
      <c r="AE113" s="7">
        <v>0</v>
      </c>
      <c r="AF113" s="7">
        <v>0</v>
      </c>
      <c r="AG113" s="7">
        <v>0</v>
      </c>
      <c r="AH113" s="7">
        <v>0</v>
      </c>
      <c r="AI113" s="7">
        <v>0</v>
      </c>
      <c r="AJ113" s="7">
        <v>0</v>
      </c>
      <c r="AK113" s="7">
        <v>0</v>
      </c>
      <c r="AL113" s="7">
        <v>0</v>
      </c>
      <c r="AM113" s="7">
        <v>0</v>
      </c>
      <c r="AN113" s="7">
        <v>0</v>
      </c>
      <c r="AO113" s="7">
        <v>0</v>
      </c>
      <c r="AP113" s="7">
        <v>0</v>
      </c>
      <c r="AQ113" s="7">
        <v>0</v>
      </c>
      <c r="AR113" s="7">
        <v>0</v>
      </c>
      <c r="AS113" s="7">
        <v>0</v>
      </c>
      <c r="AT113" s="7">
        <v>0</v>
      </c>
      <c r="AU113" s="7">
        <v>0</v>
      </c>
      <c r="AV113" s="7">
        <v>0</v>
      </c>
      <c r="AW113" s="7">
        <v>0</v>
      </c>
      <c r="AX113" s="7">
        <v>0</v>
      </c>
      <c r="AY113" s="7">
        <v>0</v>
      </c>
      <c r="AZ113" s="7">
        <v>0</v>
      </c>
      <c r="BA113" s="7">
        <v>0</v>
      </c>
      <c r="BB113" s="7">
        <v>0</v>
      </c>
      <c r="BC113" s="7">
        <v>0</v>
      </c>
      <c r="BD113">
        <v>0</v>
      </c>
      <c r="BE113">
        <v>28.87</v>
      </c>
      <c r="BF1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3" s="42" t="str">
        <f>+IF(AVANCE[[#This Row],[FECHA INICIO REAL]]="","",AVANCE[[#This Row],[FECHA INICIO REAL]]-AVANCE[[#This Row],[FECHA INICIO TEORICO]])</f>
        <v/>
      </c>
      <c r="BH1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4" spans="1:61" x14ac:dyDescent="0.25">
      <c r="A114" t="s">
        <v>923</v>
      </c>
      <c r="B114" t="s">
        <v>940</v>
      </c>
      <c r="C114">
        <v>2282600113</v>
      </c>
      <c r="D114" t="s">
        <v>833</v>
      </c>
      <c r="E114" s="4">
        <v>0</v>
      </c>
      <c r="F114" s="1">
        <v>46185</v>
      </c>
      <c r="G114" s="1"/>
      <c r="H114" s="1">
        <v>0</v>
      </c>
      <c r="I114" s="1">
        <v>46209</v>
      </c>
      <c r="J114">
        <v>46188</v>
      </c>
      <c r="K114" s="1"/>
      <c r="L114" s="7">
        <v>0</v>
      </c>
      <c r="M114" s="7">
        <v>0</v>
      </c>
      <c r="N114" s="7">
        <v>0</v>
      </c>
      <c r="O114" s="7">
        <v>0</v>
      </c>
      <c r="P114" s="7">
        <v>0</v>
      </c>
      <c r="Q114" s="7">
        <v>0</v>
      </c>
      <c r="R114" s="7">
        <v>0</v>
      </c>
      <c r="S114" s="7">
        <v>0</v>
      </c>
      <c r="T114" s="7">
        <v>0</v>
      </c>
      <c r="U114" s="7">
        <v>0</v>
      </c>
      <c r="V114" s="7">
        <v>0</v>
      </c>
      <c r="W114" s="7">
        <v>0</v>
      </c>
      <c r="X114" s="7">
        <v>0</v>
      </c>
      <c r="Y114" s="7">
        <v>0</v>
      </c>
      <c r="Z114" s="7">
        <v>0</v>
      </c>
      <c r="AA114" s="7">
        <v>0</v>
      </c>
      <c r="AB114" s="7">
        <v>0</v>
      </c>
      <c r="AC114" s="7">
        <v>0</v>
      </c>
      <c r="AD114" s="7">
        <v>0</v>
      </c>
      <c r="AE114" s="7">
        <v>0</v>
      </c>
      <c r="AF114" s="7">
        <v>0</v>
      </c>
      <c r="AG114" s="7">
        <v>0</v>
      </c>
      <c r="AH114" s="7">
        <v>0</v>
      </c>
      <c r="AI114" s="7">
        <v>0</v>
      </c>
      <c r="AJ114" s="7">
        <v>0</v>
      </c>
      <c r="AK114" s="7">
        <v>0</v>
      </c>
      <c r="AL114" s="7">
        <v>0</v>
      </c>
      <c r="AM114" s="7">
        <v>0</v>
      </c>
      <c r="AN114" s="7">
        <v>0</v>
      </c>
      <c r="AO114" s="7">
        <v>0</v>
      </c>
      <c r="AP114" s="7">
        <v>0</v>
      </c>
      <c r="AQ114" s="7">
        <v>0</v>
      </c>
      <c r="AR114" s="7">
        <v>0</v>
      </c>
      <c r="AS114" s="7">
        <v>0</v>
      </c>
      <c r="AT114" s="7">
        <v>0</v>
      </c>
      <c r="AU114" s="7">
        <v>0</v>
      </c>
      <c r="AV114" s="7">
        <v>0</v>
      </c>
      <c r="AW114" s="7">
        <v>0</v>
      </c>
      <c r="AX114" s="7">
        <v>0</v>
      </c>
      <c r="AY114" s="7">
        <v>0</v>
      </c>
      <c r="AZ114" s="7">
        <v>0</v>
      </c>
      <c r="BA114" s="7">
        <v>0</v>
      </c>
      <c r="BB114" s="7">
        <v>0</v>
      </c>
      <c r="BC114" s="7">
        <v>0</v>
      </c>
      <c r="BD114">
        <v>0</v>
      </c>
      <c r="BE114">
        <v>28.87</v>
      </c>
      <c r="BF1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4" s="42" t="str">
        <f>+IF(AVANCE[[#This Row],[FECHA INICIO REAL]]="","",AVANCE[[#This Row],[FECHA INICIO REAL]]-AVANCE[[#This Row],[FECHA INICIO TEORICO]])</f>
        <v/>
      </c>
      <c r="BH1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5" spans="1:61" x14ac:dyDescent="0.25">
      <c r="A115" t="s">
        <v>923</v>
      </c>
      <c r="B115" t="s">
        <v>941</v>
      </c>
      <c r="C115">
        <v>2302600114</v>
      </c>
      <c r="D115" t="s">
        <v>834</v>
      </c>
      <c r="E115" s="4">
        <v>0</v>
      </c>
      <c r="F115" s="1">
        <v>46185</v>
      </c>
      <c r="G115" s="1"/>
      <c r="H115" s="1">
        <v>0</v>
      </c>
      <c r="I115" s="1">
        <v>46219</v>
      </c>
      <c r="J115">
        <v>46188</v>
      </c>
      <c r="K115" s="1"/>
      <c r="L115" s="7">
        <v>0</v>
      </c>
      <c r="M115" s="7">
        <v>0</v>
      </c>
      <c r="N115" s="7">
        <v>0</v>
      </c>
      <c r="O115" s="7">
        <v>0</v>
      </c>
      <c r="P115" s="7">
        <v>0</v>
      </c>
      <c r="Q115" s="7">
        <v>0</v>
      </c>
      <c r="R115" s="7">
        <v>0</v>
      </c>
      <c r="S115" s="7">
        <v>0</v>
      </c>
      <c r="T115" s="7">
        <v>0</v>
      </c>
      <c r="U115" s="7">
        <v>0</v>
      </c>
      <c r="V115" s="7">
        <v>0</v>
      </c>
      <c r="W115" s="7">
        <v>0</v>
      </c>
      <c r="X115" s="7">
        <v>0</v>
      </c>
      <c r="Y115" s="7">
        <v>0</v>
      </c>
      <c r="Z115" s="7">
        <v>0</v>
      </c>
      <c r="AA115" s="7">
        <v>0</v>
      </c>
      <c r="AB115" s="7">
        <v>0</v>
      </c>
      <c r="AC115" s="7">
        <v>0</v>
      </c>
      <c r="AD115" s="7">
        <v>0</v>
      </c>
      <c r="AE115" s="7">
        <v>0</v>
      </c>
      <c r="AF115" s="7">
        <v>0</v>
      </c>
      <c r="AG115" s="7">
        <v>0</v>
      </c>
      <c r="AH115" s="7">
        <v>0</v>
      </c>
      <c r="AI115" s="7">
        <v>0</v>
      </c>
      <c r="AJ115" s="7">
        <v>0</v>
      </c>
      <c r="AK115" s="7">
        <v>0</v>
      </c>
      <c r="AL115" s="7">
        <v>0</v>
      </c>
      <c r="AM115" s="7">
        <v>0</v>
      </c>
      <c r="AN115" s="7">
        <v>0</v>
      </c>
      <c r="AO115" s="7">
        <v>0</v>
      </c>
      <c r="AP115" s="7">
        <v>0</v>
      </c>
      <c r="AQ115" s="7">
        <v>0</v>
      </c>
      <c r="AR115" s="7">
        <v>0</v>
      </c>
      <c r="AS115" s="7">
        <v>0</v>
      </c>
      <c r="AT115" s="7">
        <v>0</v>
      </c>
      <c r="AU115" s="7">
        <v>0</v>
      </c>
      <c r="AV115" s="7">
        <v>0</v>
      </c>
      <c r="AW115" s="7">
        <v>0</v>
      </c>
      <c r="AX115" s="7">
        <v>0</v>
      </c>
      <c r="AY115" s="7">
        <v>0</v>
      </c>
      <c r="AZ115" s="7">
        <v>0</v>
      </c>
      <c r="BA115" s="7">
        <v>0</v>
      </c>
      <c r="BB115" s="7">
        <v>0</v>
      </c>
      <c r="BC115" s="7">
        <v>0</v>
      </c>
      <c r="BD115">
        <v>0</v>
      </c>
      <c r="BE115">
        <v>31.32</v>
      </c>
      <c r="BF1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5" s="42" t="str">
        <f>+IF(AVANCE[[#This Row],[FECHA INICIO REAL]]="","",AVANCE[[#This Row],[FECHA INICIO REAL]]-AVANCE[[#This Row],[FECHA INICIO TEORICO]])</f>
        <v/>
      </c>
      <c r="BH1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6" spans="1:61" x14ac:dyDescent="0.25">
      <c r="A116" t="s">
        <v>923</v>
      </c>
      <c r="B116" t="s">
        <v>942</v>
      </c>
      <c r="C116">
        <v>2302600115</v>
      </c>
      <c r="D116" t="s">
        <v>834</v>
      </c>
      <c r="E116" s="4">
        <v>0</v>
      </c>
      <c r="F116" s="1">
        <v>46188</v>
      </c>
      <c r="G116" s="1"/>
      <c r="H116" s="1">
        <v>0</v>
      </c>
      <c r="I116" s="1">
        <v>46222</v>
      </c>
      <c r="J116">
        <v>46188</v>
      </c>
      <c r="K116" s="1"/>
      <c r="L116" s="7">
        <v>0</v>
      </c>
      <c r="M116" s="7">
        <v>0</v>
      </c>
      <c r="N116" s="7">
        <v>0</v>
      </c>
      <c r="O116" s="7">
        <v>0</v>
      </c>
      <c r="P116" s="7">
        <v>0</v>
      </c>
      <c r="Q116" s="7">
        <v>0</v>
      </c>
      <c r="R116" s="7">
        <v>0</v>
      </c>
      <c r="S116" s="7">
        <v>0</v>
      </c>
      <c r="T116" s="7">
        <v>0</v>
      </c>
      <c r="U116" s="7">
        <v>0</v>
      </c>
      <c r="V116" s="7">
        <v>0</v>
      </c>
      <c r="W116" s="7">
        <v>0</v>
      </c>
      <c r="X116" s="7">
        <v>0</v>
      </c>
      <c r="Y116" s="7">
        <v>0</v>
      </c>
      <c r="Z116" s="7">
        <v>0</v>
      </c>
      <c r="AA116" s="7">
        <v>0</v>
      </c>
      <c r="AB116" s="7">
        <v>0</v>
      </c>
      <c r="AC116" s="7">
        <v>0</v>
      </c>
      <c r="AD116" s="7">
        <v>0</v>
      </c>
      <c r="AE116" s="7">
        <v>0</v>
      </c>
      <c r="AF116" s="7">
        <v>0</v>
      </c>
      <c r="AG116" s="7">
        <v>0</v>
      </c>
      <c r="AH116" s="7">
        <v>0</v>
      </c>
      <c r="AI116" s="7">
        <v>0</v>
      </c>
      <c r="AJ116" s="7">
        <v>0</v>
      </c>
      <c r="AK116" s="7">
        <v>0</v>
      </c>
      <c r="AL116" s="7">
        <v>0</v>
      </c>
      <c r="AM116" s="7">
        <v>0</v>
      </c>
      <c r="AN116" s="7">
        <v>0</v>
      </c>
      <c r="AO116" s="7">
        <v>0</v>
      </c>
      <c r="AP116" s="7">
        <v>0</v>
      </c>
      <c r="AQ116" s="7">
        <v>0</v>
      </c>
      <c r="AR116" s="7">
        <v>0</v>
      </c>
      <c r="AS116" s="7">
        <v>0</v>
      </c>
      <c r="AT116" s="7">
        <v>0</v>
      </c>
      <c r="AU116" s="7">
        <v>0</v>
      </c>
      <c r="AV116" s="7">
        <v>0</v>
      </c>
      <c r="AW116" s="7">
        <v>0</v>
      </c>
      <c r="AX116" s="7">
        <v>0</v>
      </c>
      <c r="AY116" s="7">
        <v>0</v>
      </c>
      <c r="AZ116" s="7">
        <v>0</v>
      </c>
      <c r="BA116" s="7">
        <v>0</v>
      </c>
      <c r="BB116" s="7">
        <v>0</v>
      </c>
      <c r="BC116" s="7">
        <v>0</v>
      </c>
      <c r="BD116">
        <v>0</v>
      </c>
      <c r="BE116">
        <v>31.32</v>
      </c>
      <c r="BF1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6" s="42" t="str">
        <f>+IF(AVANCE[[#This Row],[FECHA INICIO REAL]]="","",AVANCE[[#This Row],[FECHA INICIO REAL]]-AVANCE[[#This Row],[FECHA INICIO TEORICO]])</f>
        <v/>
      </c>
      <c r="BH1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7" spans="1:61" x14ac:dyDescent="0.25">
      <c r="A117" t="s">
        <v>923</v>
      </c>
      <c r="B117" t="s">
        <v>943</v>
      </c>
      <c r="C117">
        <v>2282600116</v>
      </c>
      <c r="D117" t="s">
        <v>833</v>
      </c>
      <c r="E117" s="4">
        <v>0</v>
      </c>
      <c r="F117" s="1">
        <v>46188</v>
      </c>
      <c r="G117" s="1"/>
      <c r="H117" s="1">
        <v>0</v>
      </c>
      <c r="I117" s="1">
        <v>46212</v>
      </c>
      <c r="J117">
        <v>46188</v>
      </c>
      <c r="K117" s="1"/>
      <c r="L117" s="7">
        <v>0</v>
      </c>
      <c r="M117" s="7">
        <v>0</v>
      </c>
      <c r="N117" s="7">
        <v>0</v>
      </c>
      <c r="O117" s="7">
        <v>0</v>
      </c>
      <c r="P117" s="7">
        <v>0</v>
      </c>
      <c r="Q117" s="7">
        <v>0</v>
      </c>
      <c r="R117" s="7">
        <v>0</v>
      </c>
      <c r="S117" s="7">
        <v>0</v>
      </c>
      <c r="T117" s="7">
        <v>0</v>
      </c>
      <c r="U117" s="7">
        <v>0</v>
      </c>
      <c r="V117" s="7">
        <v>0</v>
      </c>
      <c r="W117" s="7">
        <v>0</v>
      </c>
      <c r="X117" s="7">
        <v>0</v>
      </c>
      <c r="Y117" s="7">
        <v>0</v>
      </c>
      <c r="Z117" s="7">
        <v>0</v>
      </c>
      <c r="AA117" s="7">
        <v>0</v>
      </c>
      <c r="AB117" s="7">
        <v>0</v>
      </c>
      <c r="AC117" s="7">
        <v>0</v>
      </c>
      <c r="AD117" s="7">
        <v>0</v>
      </c>
      <c r="AE117" s="7">
        <v>0</v>
      </c>
      <c r="AF117" s="7">
        <v>0</v>
      </c>
      <c r="AG117" s="7">
        <v>0</v>
      </c>
      <c r="AH117" s="7">
        <v>0</v>
      </c>
      <c r="AI117" s="7">
        <v>0</v>
      </c>
      <c r="AJ117" s="7">
        <v>0</v>
      </c>
      <c r="AK117" s="7">
        <v>0</v>
      </c>
      <c r="AL117" s="7">
        <v>0</v>
      </c>
      <c r="AM117" s="7">
        <v>0</v>
      </c>
      <c r="AN117" s="7">
        <v>0</v>
      </c>
      <c r="AO117" s="7">
        <v>0</v>
      </c>
      <c r="AP117" s="7">
        <v>0</v>
      </c>
      <c r="AQ117" s="7">
        <v>0</v>
      </c>
      <c r="AR117" s="7">
        <v>0</v>
      </c>
      <c r="AS117" s="7">
        <v>0</v>
      </c>
      <c r="AT117" s="7">
        <v>0</v>
      </c>
      <c r="AU117" s="7">
        <v>0</v>
      </c>
      <c r="AV117" s="7">
        <v>0</v>
      </c>
      <c r="AW117" s="7">
        <v>0</v>
      </c>
      <c r="AX117" s="7">
        <v>0</v>
      </c>
      <c r="AY117" s="7">
        <v>0</v>
      </c>
      <c r="AZ117" s="7">
        <v>0</v>
      </c>
      <c r="BA117" s="7">
        <v>0</v>
      </c>
      <c r="BB117" s="7">
        <v>0</v>
      </c>
      <c r="BC117" s="7">
        <v>0</v>
      </c>
      <c r="BD117">
        <v>0</v>
      </c>
      <c r="BE117">
        <v>28.87</v>
      </c>
      <c r="BF1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7" s="42" t="str">
        <f>+IF(AVANCE[[#This Row],[FECHA INICIO REAL]]="","",AVANCE[[#This Row],[FECHA INICIO REAL]]-AVANCE[[#This Row],[FECHA INICIO TEORICO]])</f>
        <v/>
      </c>
      <c r="BH1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8" spans="1:61" x14ac:dyDescent="0.25">
      <c r="A118" t="s">
        <v>923</v>
      </c>
      <c r="B118" t="s">
        <v>944</v>
      </c>
      <c r="C118">
        <v>2282600117</v>
      </c>
      <c r="D118" t="s">
        <v>833</v>
      </c>
      <c r="E118" s="4">
        <v>0</v>
      </c>
      <c r="F118" s="1">
        <v>46189</v>
      </c>
      <c r="G118" s="1"/>
      <c r="H118" s="1">
        <v>0</v>
      </c>
      <c r="I118" s="1">
        <v>46213</v>
      </c>
      <c r="J118">
        <v>46188</v>
      </c>
      <c r="K118" s="1"/>
      <c r="L118" s="7">
        <v>0</v>
      </c>
      <c r="M118" s="7">
        <v>0</v>
      </c>
      <c r="N118" s="7">
        <v>0</v>
      </c>
      <c r="O118" s="7">
        <v>0</v>
      </c>
      <c r="P118" s="7">
        <v>0</v>
      </c>
      <c r="Q118" s="7">
        <v>0</v>
      </c>
      <c r="R118" s="7">
        <v>0</v>
      </c>
      <c r="S118" s="7">
        <v>0</v>
      </c>
      <c r="T118" s="7">
        <v>0</v>
      </c>
      <c r="U118" s="7">
        <v>0</v>
      </c>
      <c r="V118" s="7">
        <v>0</v>
      </c>
      <c r="W118" s="7">
        <v>0</v>
      </c>
      <c r="X118" s="7">
        <v>0</v>
      </c>
      <c r="Y118" s="7">
        <v>0</v>
      </c>
      <c r="Z118" s="7">
        <v>0</v>
      </c>
      <c r="AA118" s="7">
        <v>0</v>
      </c>
      <c r="AB118" s="7">
        <v>0</v>
      </c>
      <c r="AC118" s="7">
        <v>0</v>
      </c>
      <c r="AD118" s="7">
        <v>0</v>
      </c>
      <c r="AE118" s="7">
        <v>0</v>
      </c>
      <c r="AF118" s="7">
        <v>0</v>
      </c>
      <c r="AG118" s="7">
        <v>0</v>
      </c>
      <c r="AH118" s="7">
        <v>0</v>
      </c>
      <c r="AI118" s="7">
        <v>0</v>
      </c>
      <c r="AJ118" s="7">
        <v>0</v>
      </c>
      <c r="AK118" s="7">
        <v>0</v>
      </c>
      <c r="AL118" s="7">
        <v>0</v>
      </c>
      <c r="AM118" s="7">
        <v>0</v>
      </c>
      <c r="AN118" s="7">
        <v>0</v>
      </c>
      <c r="AO118" s="7">
        <v>0</v>
      </c>
      <c r="AP118" s="7">
        <v>0</v>
      </c>
      <c r="AQ118" s="7">
        <v>0</v>
      </c>
      <c r="AR118" s="7">
        <v>0</v>
      </c>
      <c r="AS118" s="7">
        <v>0</v>
      </c>
      <c r="AT118" s="7">
        <v>0</v>
      </c>
      <c r="AU118" s="7">
        <v>0</v>
      </c>
      <c r="AV118" s="7">
        <v>0</v>
      </c>
      <c r="AW118" s="7">
        <v>0</v>
      </c>
      <c r="AX118" s="7">
        <v>0</v>
      </c>
      <c r="AY118" s="7">
        <v>0</v>
      </c>
      <c r="AZ118" s="7">
        <v>0</v>
      </c>
      <c r="BA118" s="7">
        <v>0</v>
      </c>
      <c r="BB118" s="7">
        <v>0</v>
      </c>
      <c r="BC118" s="7">
        <v>0</v>
      </c>
      <c r="BD118">
        <v>0</v>
      </c>
      <c r="BE118">
        <v>28.87</v>
      </c>
      <c r="BF1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8" s="42" t="str">
        <f>+IF(AVANCE[[#This Row],[FECHA INICIO REAL]]="","",AVANCE[[#This Row],[FECHA INICIO REAL]]-AVANCE[[#This Row],[FECHA INICIO TEORICO]])</f>
        <v/>
      </c>
      <c r="BH1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9" spans="1:61" x14ac:dyDescent="0.25">
      <c r="A119" t="s">
        <v>923</v>
      </c>
      <c r="B119" t="s">
        <v>945</v>
      </c>
      <c r="C119">
        <v>2302600118</v>
      </c>
      <c r="D119" t="s">
        <v>834</v>
      </c>
      <c r="E119" s="4">
        <v>0</v>
      </c>
      <c r="F119" s="1">
        <v>46189</v>
      </c>
      <c r="G119" s="1"/>
      <c r="H119" s="1">
        <v>0</v>
      </c>
      <c r="I119" s="1">
        <v>46223</v>
      </c>
      <c r="J119">
        <v>46188</v>
      </c>
      <c r="K119" s="1"/>
      <c r="L119" s="7">
        <v>0</v>
      </c>
      <c r="M119" s="7">
        <v>0</v>
      </c>
      <c r="N119" s="7">
        <v>0</v>
      </c>
      <c r="O119" s="7">
        <v>0</v>
      </c>
      <c r="P119" s="7">
        <v>0</v>
      </c>
      <c r="Q119" s="7">
        <v>0</v>
      </c>
      <c r="R119" s="7">
        <v>0</v>
      </c>
      <c r="S119" s="7">
        <v>0</v>
      </c>
      <c r="T119" s="7">
        <v>0</v>
      </c>
      <c r="U119" s="7">
        <v>0</v>
      </c>
      <c r="V119" s="7">
        <v>0</v>
      </c>
      <c r="W119" s="7">
        <v>0</v>
      </c>
      <c r="X119" s="7">
        <v>0</v>
      </c>
      <c r="Y119" s="7">
        <v>0</v>
      </c>
      <c r="Z119" s="7">
        <v>0</v>
      </c>
      <c r="AA119" s="7">
        <v>0</v>
      </c>
      <c r="AB119" s="7">
        <v>0</v>
      </c>
      <c r="AC119" s="7">
        <v>0</v>
      </c>
      <c r="AD119" s="7">
        <v>0</v>
      </c>
      <c r="AE119" s="7">
        <v>0</v>
      </c>
      <c r="AF119" s="7">
        <v>0</v>
      </c>
      <c r="AG119" s="7">
        <v>0</v>
      </c>
      <c r="AH119" s="7">
        <v>0</v>
      </c>
      <c r="AI119" s="7">
        <v>0</v>
      </c>
      <c r="AJ119" s="7">
        <v>0</v>
      </c>
      <c r="AK119" s="7">
        <v>0</v>
      </c>
      <c r="AL119" s="7">
        <v>0</v>
      </c>
      <c r="AM119" s="7">
        <v>0</v>
      </c>
      <c r="AN119" s="7">
        <v>0</v>
      </c>
      <c r="AO119" s="7">
        <v>0</v>
      </c>
      <c r="AP119" s="7">
        <v>0</v>
      </c>
      <c r="AQ119" s="7">
        <v>0</v>
      </c>
      <c r="AR119" s="7">
        <v>0</v>
      </c>
      <c r="AS119" s="7">
        <v>0</v>
      </c>
      <c r="AT119" s="7">
        <v>0</v>
      </c>
      <c r="AU119" s="7">
        <v>0</v>
      </c>
      <c r="AV119" s="7">
        <v>0</v>
      </c>
      <c r="AW119" s="7">
        <v>0</v>
      </c>
      <c r="AX119" s="7">
        <v>0</v>
      </c>
      <c r="AY119" s="7">
        <v>0</v>
      </c>
      <c r="AZ119" s="7">
        <v>0</v>
      </c>
      <c r="BA119" s="7">
        <v>0</v>
      </c>
      <c r="BB119" s="7">
        <v>0</v>
      </c>
      <c r="BC119" s="7">
        <v>0</v>
      </c>
      <c r="BD119">
        <v>0</v>
      </c>
      <c r="BE119">
        <v>31.32</v>
      </c>
      <c r="BF1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9" s="42" t="str">
        <f>+IF(AVANCE[[#This Row],[FECHA INICIO REAL]]="","",AVANCE[[#This Row],[FECHA INICIO REAL]]-AVANCE[[#This Row],[FECHA INICIO TEORICO]])</f>
        <v/>
      </c>
      <c r="BH1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0" spans="1:61" x14ac:dyDescent="0.25">
      <c r="A120" t="s">
        <v>923</v>
      </c>
      <c r="B120" t="s">
        <v>946</v>
      </c>
      <c r="C120">
        <v>2302600119</v>
      </c>
      <c r="D120" t="s">
        <v>834</v>
      </c>
      <c r="E120" s="4">
        <v>0</v>
      </c>
      <c r="F120" s="1">
        <v>46190</v>
      </c>
      <c r="G120" s="1"/>
      <c r="H120" s="1">
        <v>0</v>
      </c>
      <c r="I120" s="1">
        <v>46224</v>
      </c>
      <c r="J120">
        <v>46188</v>
      </c>
      <c r="K120" s="1"/>
      <c r="L120" s="7">
        <v>0</v>
      </c>
      <c r="M120" s="7">
        <v>0</v>
      </c>
      <c r="N120" s="7">
        <v>0</v>
      </c>
      <c r="O120" s="7">
        <v>0</v>
      </c>
      <c r="P120" s="7">
        <v>0</v>
      </c>
      <c r="Q120" s="7">
        <v>0</v>
      </c>
      <c r="R120" s="7">
        <v>0</v>
      </c>
      <c r="S120" s="7">
        <v>0</v>
      </c>
      <c r="T120" s="7">
        <v>0</v>
      </c>
      <c r="U120" s="7">
        <v>0</v>
      </c>
      <c r="V120" s="7">
        <v>0</v>
      </c>
      <c r="W120" s="7">
        <v>0</v>
      </c>
      <c r="X120" s="7">
        <v>0</v>
      </c>
      <c r="Y120" s="7">
        <v>0</v>
      </c>
      <c r="Z120" s="7">
        <v>0</v>
      </c>
      <c r="AA120" s="7">
        <v>0</v>
      </c>
      <c r="AB120" s="7">
        <v>0</v>
      </c>
      <c r="AC120" s="7">
        <v>0</v>
      </c>
      <c r="AD120" s="7">
        <v>0</v>
      </c>
      <c r="AE120" s="7">
        <v>0</v>
      </c>
      <c r="AF120" s="7">
        <v>0</v>
      </c>
      <c r="AG120" s="7">
        <v>0</v>
      </c>
      <c r="AH120" s="7">
        <v>0</v>
      </c>
      <c r="AI120" s="7">
        <v>0</v>
      </c>
      <c r="AJ120" s="7">
        <v>0</v>
      </c>
      <c r="AK120" s="7">
        <v>0</v>
      </c>
      <c r="AL120" s="7">
        <v>0</v>
      </c>
      <c r="AM120" s="7">
        <v>0</v>
      </c>
      <c r="AN120" s="7">
        <v>0</v>
      </c>
      <c r="AO120" s="7">
        <v>0</v>
      </c>
      <c r="AP120" s="7">
        <v>0</v>
      </c>
      <c r="AQ120" s="7">
        <v>0</v>
      </c>
      <c r="AR120" s="7">
        <v>0</v>
      </c>
      <c r="AS120" s="7">
        <v>0</v>
      </c>
      <c r="AT120" s="7">
        <v>0</v>
      </c>
      <c r="AU120" s="7">
        <v>0</v>
      </c>
      <c r="AV120" s="7">
        <v>0</v>
      </c>
      <c r="AW120" s="7">
        <v>0</v>
      </c>
      <c r="AX120" s="7">
        <v>0</v>
      </c>
      <c r="AY120" s="7">
        <v>0</v>
      </c>
      <c r="AZ120" s="7">
        <v>0</v>
      </c>
      <c r="BA120" s="7">
        <v>0</v>
      </c>
      <c r="BB120" s="7">
        <v>0</v>
      </c>
      <c r="BC120" s="7">
        <v>0</v>
      </c>
      <c r="BD120">
        <v>0</v>
      </c>
      <c r="BE120">
        <v>31.32</v>
      </c>
      <c r="BF1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0" s="42" t="str">
        <f>+IF(AVANCE[[#This Row],[FECHA INICIO REAL]]="","",AVANCE[[#This Row],[FECHA INICIO REAL]]-AVANCE[[#This Row],[FECHA INICIO TEORICO]])</f>
        <v/>
      </c>
      <c r="BH1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1" spans="1:61" x14ac:dyDescent="0.25">
      <c r="A121" t="s">
        <v>923</v>
      </c>
      <c r="B121" t="s">
        <v>947</v>
      </c>
      <c r="C121">
        <v>2282600120</v>
      </c>
      <c r="D121" t="s">
        <v>833</v>
      </c>
      <c r="E121" s="4">
        <v>0</v>
      </c>
      <c r="F121" s="1">
        <v>46190</v>
      </c>
      <c r="G121" s="1"/>
      <c r="H121" s="1">
        <v>0</v>
      </c>
      <c r="I121" s="1">
        <v>46214</v>
      </c>
      <c r="J121">
        <v>46188</v>
      </c>
      <c r="K121" s="1"/>
      <c r="L121" s="7">
        <v>0</v>
      </c>
      <c r="M121" s="7">
        <v>0</v>
      </c>
      <c r="N121" s="7">
        <v>0</v>
      </c>
      <c r="O121" s="7">
        <v>0</v>
      </c>
      <c r="P121" s="7">
        <v>0</v>
      </c>
      <c r="Q121" s="7">
        <v>0</v>
      </c>
      <c r="R121" s="7">
        <v>0</v>
      </c>
      <c r="S121" s="7">
        <v>0</v>
      </c>
      <c r="T121" s="7">
        <v>0</v>
      </c>
      <c r="U121" s="7">
        <v>0</v>
      </c>
      <c r="V121" s="7">
        <v>0</v>
      </c>
      <c r="W121" s="7">
        <v>0</v>
      </c>
      <c r="X121" s="7">
        <v>0</v>
      </c>
      <c r="Y121" s="7">
        <v>0</v>
      </c>
      <c r="Z121" s="7">
        <v>0</v>
      </c>
      <c r="AA121" s="7">
        <v>0</v>
      </c>
      <c r="AB121" s="7">
        <v>0</v>
      </c>
      <c r="AC121" s="7">
        <v>0</v>
      </c>
      <c r="AD121" s="7">
        <v>0</v>
      </c>
      <c r="AE121" s="7">
        <v>0</v>
      </c>
      <c r="AF121" s="7">
        <v>0</v>
      </c>
      <c r="AG121" s="7">
        <v>0</v>
      </c>
      <c r="AH121" s="7">
        <v>0</v>
      </c>
      <c r="AI121" s="7">
        <v>0</v>
      </c>
      <c r="AJ121" s="7">
        <v>0</v>
      </c>
      <c r="AK121" s="7">
        <v>0</v>
      </c>
      <c r="AL121" s="7">
        <v>0</v>
      </c>
      <c r="AM121" s="7">
        <v>0</v>
      </c>
      <c r="AN121" s="7">
        <v>0</v>
      </c>
      <c r="AO121" s="7">
        <v>0</v>
      </c>
      <c r="AP121" s="7">
        <v>0</v>
      </c>
      <c r="AQ121" s="7">
        <v>0</v>
      </c>
      <c r="AR121" s="7">
        <v>0</v>
      </c>
      <c r="AS121" s="7">
        <v>0</v>
      </c>
      <c r="AT121" s="7">
        <v>0</v>
      </c>
      <c r="AU121" s="7">
        <v>0</v>
      </c>
      <c r="AV121" s="7">
        <v>0</v>
      </c>
      <c r="AW121" s="7">
        <v>0</v>
      </c>
      <c r="AX121" s="7">
        <v>0</v>
      </c>
      <c r="AY121" s="7">
        <v>0</v>
      </c>
      <c r="AZ121" s="7">
        <v>0</v>
      </c>
      <c r="BA121" s="7">
        <v>0</v>
      </c>
      <c r="BB121" s="7">
        <v>0</v>
      </c>
      <c r="BC121" s="7">
        <v>0</v>
      </c>
      <c r="BD121">
        <v>0</v>
      </c>
      <c r="BE121">
        <v>28.87</v>
      </c>
      <c r="BF1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1" s="42" t="str">
        <f>+IF(AVANCE[[#This Row],[FECHA INICIO REAL]]="","",AVANCE[[#This Row],[FECHA INICIO REAL]]-AVANCE[[#This Row],[FECHA INICIO TEORICO]])</f>
        <v/>
      </c>
      <c r="BH1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2" spans="1:61" x14ac:dyDescent="0.25">
      <c r="A122" t="s">
        <v>923</v>
      </c>
      <c r="B122" t="s">
        <v>948</v>
      </c>
      <c r="C122">
        <v>2282600121</v>
      </c>
      <c r="D122" t="s">
        <v>833</v>
      </c>
      <c r="E122" s="4">
        <v>0</v>
      </c>
      <c r="F122" s="1">
        <v>46191</v>
      </c>
      <c r="G122" s="1"/>
      <c r="H122" s="1">
        <v>0</v>
      </c>
      <c r="I122" s="1">
        <v>46215</v>
      </c>
      <c r="J122">
        <v>46188</v>
      </c>
      <c r="K122" s="1"/>
      <c r="L122" s="7">
        <v>0</v>
      </c>
      <c r="M122" s="7">
        <v>0</v>
      </c>
      <c r="N122" s="7">
        <v>0</v>
      </c>
      <c r="O122" s="7">
        <v>0</v>
      </c>
      <c r="P122" s="7">
        <v>0</v>
      </c>
      <c r="Q122" s="7">
        <v>0</v>
      </c>
      <c r="R122" s="7">
        <v>0</v>
      </c>
      <c r="S122" s="7">
        <v>0</v>
      </c>
      <c r="T122" s="7">
        <v>0</v>
      </c>
      <c r="U122" s="7">
        <v>0</v>
      </c>
      <c r="V122" s="7">
        <v>0</v>
      </c>
      <c r="W122" s="7">
        <v>0</v>
      </c>
      <c r="X122" s="7">
        <v>0</v>
      </c>
      <c r="Y122" s="7">
        <v>0</v>
      </c>
      <c r="Z122" s="7">
        <v>0</v>
      </c>
      <c r="AA122" s="7">
        <v>0</v>
      </c>
      <c r="AB122" s="7">
        <v>0</v>
      </c>
      <c r="AC122" s="7">
        <v>0</v>
      </c>
      <c r="AD122" s="7">
        <v>0</v>
      </c>
      <c r="AE122" s="7">
        <v>0</v>
      </c>
      <c r="AF122" s="7">
        <v>0</v>
      </c>
      <c r="AG122" s="7">
        <v>0</v>
      </c>
      <c r="AH122" s="7">
        <v>0</v>
      </c>
      <c r="AI122" s="7">
        <v>0</v>
      </c>
      <c r="AJ122" s="7">
        <v>0</v>
      </c>
      <c r="AK122" s="7">
        <v>0</v>
      </c>
      <c r="AL122" s="7">
        <v>0</v>
      </c>
      <c r="AM122" s="7">
        <v>0</v>
      </c>
      <c r="AN122" s="7">
        <v>0</v>
      </c>
      <c r="AO122" s="7">
        <v>0</v>
      </c>
      <c r="AP122" s="7">
        <v>0</v>
      </c>
      <c r="AQ122" s="7">
        <v>0</v>
      </c>
      <c r="AR122" s="7">
        <v>0</v>
      </c>
      <c r="AS122" s="7">
        <v>0</v>
      </c>
      <c r="AT122" s="7">
        <v>0</v>
      </c>
      <c r="AU122" s="7">
        <v>0</v>
      </c>
      <c r="AV122" s="7">
        <v>0</v>
      </c>
      <c r="AW122" s="7">
        <v>0</v>
      </c>
      <c r="AX122" s="7">
        <v>0</v>
      </c>
      <c r="AY122" s="7">
        <v>0</v>
      </c>
      <c r="AZ122" s="7">
        <v>0</v>
      </c>
      <c r="BA122" s="7">
        <v>0</v>
      </c>
      <c r="BB122" s="7">
        <v>0</v>
      </c>
      <c r="BC122" s="7">
        <v>0</v>
      </c>
      <c r="BD122">
        <v>0</v>
      </c>
      <c r="BE122">
        <v>28.87</v>
      </c>
      <c r="BF1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2" s="42" t="str">
        <f>+IF(AVANCE[[#This Row],[FECHA INICIO REAL]]="","",AVANCE[[#This Row],[FECHA INICIO REAL]]-AVANCE[[#This Row],[FECHA INICIO TEORICO]])</f>
        <v/>
      </c>
      <c r="BH1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3" spans="1:61" x14ac:dyDescent="0.25">
      <c r="A123" t="s">
        <v>923</v>
      </c>
      <c r="B123" t="s">
        <v>949</v>
      </c>
      <c r="C123">
        <v>2302600122</v>
      </c>
      <c r="D123" t="s">
        <v>834</v>
      </c>
      <c r="E123" s="4">
        <v>0</v>
      </c>
      <c r="F123" s="1">
        <v>46191</v>
      </c>
      <c r="G123" s="1"/>
      <c r="H123" s="1">
        <v>0</v>
      </c>
      <c r="I123" s="1">
        <v>46225</v>
      </c>
      <c r="J123">
        <v>46188</v>
      </c>
      <c r="K123" s="1"/>
      <c r="L123" s="7">
        <v>0</v>
      </c>
      <c r="M123" s="7">
        <v>0</v>
      </c>
      <c r="N123" s="7">
        <v>0</v>
      </c>
      <c r="O123" s="7">
        <v>0</v>
      </c>
      <c r="P123" s="7">
        <v>0</v>
      </c>
      <c r="Q123" s="7">
        <v>0</v>
      </c>
      <c r="R123" s="7">
        <v>0</v>
      </c>
      <c r="S123" s="7">
        <v>0</v>
      </c>
      <c r="T123" s="7">
        <v>0</v>
      </c>
      <c r="U123" s="7">
        <v>0</v>
      </c>
      <c r="V123" s="7">
        <v>0</v>
      </c>
      <c r="W123" s="7">
        <v>0</v>
      </c>
      <c r="X123" s="7">
        <v>0</v>
      </c>
      <c r="Y123" s="7">
        <v>0</v>
      </c>
      <c r="Z123" s="7">
        <v>0</v>
      </c>
      <c r="AA123" s="7">
        <v>0</v>
      </c>
      <c r="AB123" s="7">
        <v>0</v>
      </c>
      <c r="AC123" s="7">
        <v>0</v>
      </c>
      <c r="AD123" s="7">
        <v>0</v>
      </c>
      <c r="AE123" s="7">
        <v>0</v>
      </c>
      <c r="AF123" s="7">
        <v>0</v>
      </c>
      <c r="AG123" s="7">
        <v>0</v>
      </c>
      <c r="AH123" s="7">
        <v>0</v>
      </c>
      <c r="AI123" s="7">
        <v>0</v>
      </c>
      <c r="AJ123" s="7">
        <v>0</v>
      </c>
      <c r="AK123" s="7">
        <v>0</v>
      </c>
      <c r="AL123" s="7">
        <v>0</v>
      </c>
      <c r="AM123" s="7">
        <v>0</v>
      </c>
      <c r="AN123" s="7">
        <v>0</v>
      </c>
      <c r="AO123" s="7">
        <v>0</v>
      </c>
      <c r="AP123" s="7">
        <v>0</v>
      </c>
      <c r="AQ123" s="7">
        <v>0</v>
      </c>
      <c r="AR123" s="7">
        <v>0</v>
      </c>
      <c r="AS123" s="7">
        <v>0</v>
      </c>
      <c r="AT123" s="7">
        <v>0</v>
      </c>
      <c r="AU123" s="7">
        <v>0</v>
      </c>
      <c r="AV123" s="7">
        <v>0</v>
      </c>
      <c r="AW123" s="7">
        <v>0</v>
      </c>
      <c r="AX123" s="7">
        <v>0</v>
      </c>
      <c r="AY123" s="7">
        <v>0</v>
      </c>
      <c r="AZ123" s="7">
        <v>0</v>
      </c>
      <c r="BA123" s="7">
        <v>0</v>
      </c>
      <c r="BB123" s="7">
        <v>0</v>
      </c>
      <c r="BC123" s="7">
        <v>0</v>
      </c>
      <c r="BD123">
        <v>0</v>
      </c>
      <c r="BE123">
        <v>31.32</v>
      </c>
      <c r="BF1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3" s="42" t="str">
        <f>+IF(AVANCE[[#This Row],[FECHA INICIO REAL]]="","",AVANCE[[#This Row],[FECHA INICIO REAL]]-AVANCE[[#This Row],[FECHA INICIO TEORICO]])</f>
        <v/>
      </c>
      <c r="BH1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4" spans="1:61" x14ac:dyDescent="0.25">
      <c r="A124" t="s">
        <v>923</v>
      </c>
      <c r="B124" t="s">
        <v>950</v>
      </c>
      <c r="C124">
        <v>2302600123</v>
      </c>
      <c r="D124" t="s">
        <v>834</v>
      </c>
      <c r="E124" s="4">
        <v>0</v>
      </c>
      <c r="F124" s="1">
        <v>46192</v>
      </c>
      <c r="G124" s="1"/>
      <c r="H124" s="1">
        <v>0</v>
      </c>
      <c r="I124" s="1">
        <v>46226</v>
      </c>
      <c r="J124">
        <v>46188</v>
      </c>
      <c r="K124" s="1"/>
      <c r="L124" s="7">
        <v>0</v>
      </c>
      <c r="M124" s="7">
        <v>0</v>
      </c>
      <c r="N124" s="7">
        <v>0</v>
      </c>
      <c r="O124" s="7">
        <v>0</v>
      </c>
      <c r="P124" s="7">
        <v>0</v>
      </c>
      <c r="Q124" s="7">
        <v>0</v>
      </c>
      <c r="R124" s="7">
        <v>0</v>
      </c>
      <c r="S124" s="7">
        <v>0</v>
      </c>
      <c r="T124" s="7">
        <v>0</v>
      </c>
      <c r="U124" s="7">
        <v>0</v>
      </c>
      <c r="V124" s="7">
        <v>0</v>
      </c>
      <c r="W124" s="7">
        <v>0</v>
      </c>
      <c r="X124" s="7">
        <v>0</v>
      </c>
      <c r="Y124" s="7">
        <v>0</v>
      </c>
      <c r="Z124" s="7">
        <v>0</v>
      </c>
      <c r="AA124" s="7">
        <v>0</v>
      </c>
      <c r="AB124" s="7">
        <v>0</v>
      </c>
      <c r="AC124" s="7">
        <v>0</v>
      </c>
      <c r="AD124" s="7">
        <v>0</v>
      </c>
      <c r="AE124" s="7">
        <v>0</v>
      </c>
      <c r="AF124" s="7">
        <v>0</v>
      </c>
      <c r="AG124" s="7">
        <v>0</v>
      </c>
      <c r="AH124" s="7">
        <v>0</v>
      </c>
      <c r="AI124" s="7">
        <v>0</v>
      </c>
      <c r="AJ124" s="7">
        <v>0</v>
      </c>
      <c r="AK124" s="7">
        <v>0</v>
      </c>
      <c r="AL124" s="7">
        <v>0</v>
      </c>
      <c r="AM124" s="7">
        <v>0</v>
      </c>
      <c r="AN124" s="7">
        <v>0</v>
      </c>
      <c r="AO124" s="7">
        <v>0</v>
      </c>
      <c r="AP124" s="7">
        <v>0</v>
      </c>
      <c r="AQ124" s="7">
        <v>0</v>
      </c>
      <c r="AR124" s="7">
        <v>0</v>
      </c>
      <c r="AS124" s="7">
        <v>0</v>
      </c>
      <c r="AT124" s="7">
        <v>0</v>
      </c>
      <c r="AU124" s="7">
        <v>0</v>
      </c>
      <c r="AV124" s="7">
        <v>0</v>
      </c>
      <c r="AW124" s="7">
        <v>0</v>
      </c>
      <c r="AX124" s="7">
        <v>0</v>
      </c>
      <c r="AY124" s="7">
        <v>0</v>
      </c>
      <c r="AZ124" s="7">
        <v>0</v>
      </c>
      <c r="BA124" s="7">
        <v>0</v>
      </c>
      <c r="BB124" s="7">
        <v>0</v>
      </c>
      <c r="BC124" s="7">
        <v>0</v>
      </c>
      <c r="BD124">
        <v>0</v>
      </c>
      <c r="BE124">
        <v>31.32</v>
      </c>
      <c r="BF1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4" s="42" t="str">
        <f>+IF(AVANCE[[#This Row],[FECHA INICIO REAL]]="","",AVANCE[[#This Row],[FECHA INICIO REAL]]-AVANCE[[#This Row],[FECHA INICIO TEORICO]])</f>
        <v/>
      </c>
      <c r="BH1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5" spans="1:61" x14ac:dyDescent="0.25">
      <c r="A125" t="s">
        <v>923</v>
      </c>
      <c r="B125" t="s">
        <v>951</v>
      </c>
      <c r="C125">
        <v>2282600124</v>
      </c>
      <c r="D125" t="s">
        <v>833</v>
      </c>
      <c r="E125" s="4">
        <v>0</v>
      </c>
      <c r="F125" s="1">
        <v>46192</v>
      </c>
      <c r="G125" s="1"/>
      <c r="H125" s="1">
        <v>0</v>
      </c>
      <c r="I125" s="1">
        <v>46216</v>
      </c>
      <c r="J125">
        <v>46188</v>
      </c>
      <c r="K125" s="1"/>
      <c r="L125" s="7">
        <v>0</v>
      </c>
      <c r="M125" s="7">
        <v>0</v>
      </c>
      <c r="N125" s="7">
        <v>0</v>
      </c>
      <c r="O125" s="7">
        <v>0</v>
      </c>
      <c r="P125" s="7">
        <v>0</v>
      </c>
      <c r="Q125" s="7">
        <v>0</v>
      </c>
      <c r="R125" s="7">
        <v>0</v>
      </c>
      <c r="S125" s="7">
        <v>0</v>
      </c>
      <c r="T125" s="7">
        <v>0</v>
      </c>
      <c r="U125" s="7">
        <v>0</v>
      </c>
      <c r="V125" s="7">
        <v>0</v>
      </c>
      <c r="W125" s="7">
        <v>0</v>
      </c>
      <c r="X125" s="7">
        <v>0</v>
      </c>
      <c r="Y125" s="7">
        <v>0</v>
      </c>
      <c r="Z125" s="7">
        <v>0</v>
      </c>
      <c r="AA125" s="7">
        <v>0</v>
      </c>
      <c r="AB125" s="7">
        <v>0</v>
      </c>
      <c r="AC125" s="7">
        <v>0</v>
      </c>
      <c r="AD125" s="7">
        <v>0</v>
      </c>
      <c r="AE125" s="7">
        <v>0</v>
      </c>
      <c r="AF125" s="7">
        <v>0</v>
      </c>
      <c r="AG125" s="7">
        <v>0</v>
      </c>
      <c r="AH125" s="7">
        <v>0</v>
      </c>
      <c r="AI125" s="7">
        <v>0</v>
      </c>
      <c r="AJ125" s="7">
        <v>0</v>
      </c>
      <c r="AK125" s="7">
        <v>0</v>
      </c>
      <c r="AL125" s="7">
        <v>0</v>
      </c>
      <c r="AM125" s="7">
        <v>0</v>
      </c>
      <c r="AN125" s="7">
        <v>0</v>
      </c>
      <c r="AO125" s="7">
        <v>0</v>
      </c>
      <c r="AP125" s="7">
        <v>0</v>
      </c>
      <c r="AQ125" s="7">
        <v>0</v>
      </c>
      <c r="AR125" s="7">
        <v>0</v>
      </c>
      <c r="AS125" s="7">
        <v>0</v>
      </c>
      <c r="AT125" s="7">
        <v>0</v>
      </c>
      <c r="AU125" s="7">
        <v>0</v>
      </c>
      <c r="AV125" s="7">
        <v>0</v>
      </c>
      <c r="AW125" s="7">
        <v>0</v>
      </c>
      <c r="AX125" s="7">
        <v>0</v>
      </c>
      <c r="AY125" s="7">
        <v>0</v>
      </c>
      <c r="AZ125" s="7">
        <v>0</v>
      </c>
      <c r="BA125" s="7">
        <v>0</v>
      </c>
      <c r="BB125" s="7">
        <v>0</v>
      </c>
      <c r="BC125" s="7">
        <v>0</v>
      </c>
      <c r="BD125">
        <v>0</v>
      </c>
      <c r="BE125">
        <v>28.87</v>
      </c>
      <c r="BF1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5" s="42" t="str">
        <f>+IF(AVANCE[[#This Row],[FECHA INICIO REAL]]="","",AVANCE[[#This Row],[FECHA INICIO REAL]]-AVANCE[[#This Row],[FECHA INICIO TEORICO]])</f>
        <v/>
      </c>
      <c r="BH1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6" spans="1:61" x14ac:dyDescent="0.25">
      <c r="A126" t="s">
        <v>923</v>
      </c>
      <c r="B126" t="s">
        <v>952</v>
      </c>
      <c r="C126">
        <v>2282600125</v>
      </c>
      <c r="D126" t="s">
        <v>833</v>
      </c>
      <c r="E126" s="4">
        <v>0</v>
      </c>
      <c r="F126" s="1">
        <v>46195</v>
      </c>
      <c r="G126" s="1"/>
      <c r="H126" s="1">
        <v>0</v>
      </c>
      <c r="I126" s="1">
        <v>46219</v>
      </c>
      <c r="J126">
        <v>46188</v>
      </c>
      <c r="K126" s="1"/>
      <c r="L126" s="7">
        <v>0</v>
      </c>
      <c r="M126" s="7">
        <v>0</v>
      </c>
      <c r="N126" s="7">
        <v>0</v>
      </c>
      <c r="O126" s="7">
        <v>0</v>
      </c>
      <c r="P126" s="7">
        <v>0</v>
      </c>
      <c r="Q126" s="7">
        <v>0</v>
      </c>
      <c r="R126" s="7">
        <v>0</v>
      </c>
      <c r="S126" s="7">
        <v>0</v>
      </c>
      <c r="T126" s="7">
        <v>0</v>
      </c>
      <c r="U126" s="7">
        <v>0</v>
      </c>
      <c r="V126" s="7">
        <v>0</v>
      </c>
      <c r="W126" s="7">
        <v>0</v>
      </c>
      <c r="X126" s="7">
        <v>0</v>
      </c>
      <c r="Y126" s="7">
        <v>0</v>
      </c>
      <c r="Z126" s="7">
        <v>0</v>
      </c>
      <c r="AA126" s="7">
        <v>0</v>
      </c>
      <c r="AB126" s="7">
        <v>0</v>
      </c>
      <c r="AC126" s="7">
        <v>0</v>
      </c>
      <c r="AD126" s="7">
        <v>0</v>
      </c>
      <c r="AE126" s="7">
        <v>0</v>
      </c>
      <c r="AF126" s="7">
        <v>0</v>
      </c>
      <c r="AG126" s="7">
        <v>0</v>
      </c>
      <c r="AH126" s="7">
        <v>0</v>
      </c>
      <c r="AI126" s="7">
        <v>0</v>
      </c>
      <c r="AJ126" s="7">
        <v>0</v>
      </c>
      <c r="AK126" s="7">
        <v>0</v>
      </c>
      <c r="AL126" s="7">
        <v>0</v>
      </c>
      <c r="AM126" s="7">
        <v>0</v>
      </c>
      <c r="AN126" s="7">
        <v>0</v>
      </c>
      <c r="AO126" s="7">
        <v>0</v>
      </c>
      <c r="AP126" s="7">
        <v>0</v>
      </c>
      <c r="AQ126" s="7">
        <v>0</v>
      </c>
      <c r="AR126" s="7">
        <v>0</v>
      </c>
      <c r="AS126" s="7">
        <v>0</v>
      </c>
      <c r="AT126" s="7">
        <v>0</v>
      </c>
      <c r="AU126" s="7">
        <v>0</v>
      </c>
      <c r="AV126" s="7">
        <v>0</v>
      </c>
      <c r="AW126" s="7">
        <v>0</v>
      </c>
      <c r="AX126" s="7">
        <v>0</v>
      </c>
      <c r="AY126" s="7">
        <v>0</v>
      </c>
      <c r="AZ126" s="7">
        <v>0</v>
      </c>
      <c r="BA126" s="7">
        <v>0</v>
      </c>
      <c r="BB126" s="7">
        <v>0</v>
      </c>
      <c r="BC126" s="7">
        <v>0</v>
      </c>
      <c r="BD126">
        <v>0</v>
      </c>
      <c r="BE126">
        <v>28.87</v>
      </c>
      <c r="BF1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6" s="42" t="str">
        <f>+IF(AVANCE[[#This Row],[FECHA INICIO REAL]]="","",AVANCE[[#This Row],[FECHA INICIO REAL]]-AVANCE[[#This Row],[FECHA INICIO TEORICO]])</f>
        <v/>
      </c>
      <c r="BH1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7" spans="1:61" x14ac:dyDescent="0.25">
      <c r="A127" t="s">
        <v>923</v>
      </c>
      <c r="B127" t="s">
        <v>953</v>
      </c>
      <c r="C127">
        <v>2302600126</v>
      </c>
      <c r="D127" t="s">
        <v>834</v>
      </c>
      <c r="E127" s="4">
        <v>0</v>
      </c>
      <c r="F127" s="1">
        <v>46195</v>
      </c>
      <c r="G127" s="1"/>
      <c r="H127" s="1">
        <v>0</v>
      </c>
      <c r="I127" s="1">
        <v>46229</v>
      </c>
      <c r="J127">
        <v>46188</v>
      </c>
      <c r="K127" s="1"/>
      <c r="L127" s="7">
        <v>0</v>
      </c>
      <c r="M127" s="7">
        <v>0</v>
      </c>
      <c r="N127" s="7">
        <v>0</v>
      </c>
      <c r="O127" s="7">
        <v>0</v>
      </c>
      <c r="P127" s="7">
        <v>0</v>
      </c>
      <c r="Q127" s="7">
        <v>0</v>
      </c>
      <c r="R127" s="7">
        <v>0</v>
      </c>
      <c r="S127" s="7">
        <v>0</v>
      </c>
      <c r="T127" s="7">
        <v>0</v>
      </c>
      <c r="U127" s="7">
        <v>0</v>
      </c>
      <c r="V127" s="7">
        <v>0</v>
      </c>
      <c r="W127" s="7">
        <v>0</v>
      </c>
      <c r="X127" s="7">
        <v>0</v>
      </c>
      <c r="Y127" s="7">
        <v>0</v>
      </c>
      <c r="Z127" s="7">
        <v>0</v>
      </c>
      <c r="AA127" s="7">
        <v>0</v>
      </c>
      <c r="AB127" s="7">
        <v>0</v>
      </c>
      <c r="AC127" s="7">
        <v>0</v>
      </c>
      <c r="AD127" s="7">
        <v>0</v>
      </c>
      <c r="AE127" s="7">
        <v>0</v>
      </c>
      <c r="AF127" s="7">
        <v>0</v>
      </c>
      <c r="AG127" s="7">
        <v>0</v>
      </c>
      <c r="AH127" s="7">
        <v>0</v>
      </c>
      <c r="AI127" s="7">
        <v>0</v>
      </c>
      <c r="AJ127" s="7">
        <v>0</v>
      </c>
      <c r="AK127" s="7">
        <v>0</v>
      </c>
      <c r="AL127" s="7">
        <v>0</v>
      </c>
      <c r="AM127" s="7">
        <v>0</v>
      </c>
      <c r="AN127" s="7">
        <v>0</v>
      </c>
      <c r="AO127" s="7">
        <v>0</v>
      </c>
      <c r="AP127" s="7">
        <v>0</v>
      </c>
      <c r="AQ127" s="7">
        <v>0</v>
      </c>
      <c r="AR127" s="7">
        <v>0</v>
      </c>
      <c r="AS127" s="7">
        <v>0</v>
      </c>
      <c r="AT127" s="7">
        <v>0</v>
      </c>
      <c r="AU127" s="7">
        <v>0</v>
      </c>
      <c r="AV127" s="7">
        <v>0</v>
      </c>
      <c r="AW127" s="7">
        <v>0</v>
      </c>
      <c r="AX127" s="7">
        <v>0</v>
      </c>
      <c r="AY127" s="7">
        <v>0</v>
      </c>
      <c r="AZ127" s="7">
        <v>0</v>
      </c>
      <c r="BA127" s="7">
        <v>0</v>
      </c>
      <c r="BB127" s="7">
        <v>0</v>
      </c>
      <c r="BC127" s="7">
        <v>0</v>
      </c>
      <c r="BD127">
        <v>0</v>
      </c>
      <c r="BE127">
        <v>31.32</v>
      </c>
      <c r="BF1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7" s="42" t="str">
        <f>+IF(AVANCE[[#This Row],[FECHA INICIO REAL]]="","",AVANCE[[#This Row],[FECHA INICIO REAL]]-AVANCE[[#This Row],[FECHA INICIO TEORICO]])</f>
        <v/>
      </c>
      <c r="BH1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8" spans="1:61" x14ac:dyDescent="0.25">
      <c r="A128" t="s">
        <v>923</v>
      </c>
      <c r="B128" t="s">
        <v>954</v>
      </c>
      <c r="C128">
        <v>2302600127</v>
      </c>
      <c r="D128" t="s">
        <v>834</v>
      </c>
      <c r="E128" s="4">
        <v>0</v>
      </c>
      <c r="F128" s="1">
        <v>46196</v>
      </c>
      <c r="G128" s="1"/>
      <c r="H128" s="1">
        <v>0</v>
      </c>
      <c r="I128" s="1">
        <v>46230</v>
      </c>
      <c r="J128">
        <v>46188</v>
      </c>
      <c r="K128" s="1"/>
      <c r="L128" s="7">
        <v>0</v>
      </c>
      <c r="M128" s="7">
        <v>0</v>
      </c>
      <c r="N128" s="7">
        <v>0</v>
      </c>
      <c r="O128" s="7">
        <v>0</v>
      </c>
      <c r="P128" s="7">
        <v>0</v>
      </c>
      <c r="Q128" s="7">
        <v>0</v>
      </c>
      <c r="R128" s="7">
        <v>0</v>
      </c>
      <c r="S128" s="7">
        <v>0</v>
      </c>
      <c r="T128" s="7">
        <v>0</v>
      </c>
      <c r="U128" s="7">
        <v>0</v>
      </c>
      <c r="V128" s="7">
        <v>0</v>
      </c>
      <c r="W128" s="7">
        <v>0</v>
      </c>
      <c r="X128" s="7">
        <v>0</v>
      </c>
      <c r="Y128" s="7">
        <v>0</v>
      </c>
      <c r="Z128" s="7">
        <v>0</v>
      </c>
      <c r="AA128" s="7">
        <v>0</v>
      </c>
      <c r="AB128" s="7">
        <v>0</v>
      </c>
      <c r="AC128" s="7">
        <v>0</v>
      </c>
      <c r="AD128" s="7">
        <v>0</v>
      </c>
      <c r="AE128" s="7">
        <v>0</v>
      </c>
      <c r="AF128" s="7">
        <v>0</v>
      </c>
      <c r="AG128" s="7">
        <v>0</v>
      </c>
      <c r="AH128" s="7">
        <v>0</v>
      </c>
      <c r="AI128" s="7">
        <v>0</v>
      </c>
      <c r="AJ128" s="7">
        <v>0</v>
      </c>
      <c r="AK128" s="7">
        <v>0</v>
      </c>
      <c r="AL128" s="7">
        <v>0</v>
      </c>
      <c r="AM128" s="7">
        <v>0</v>
      </c>
      <c r="AN128" s="7">
        <v>0</v>
      </c>
      <c r="AO128" s="7">
        <v>0</v>
      </c>
      <c r="AP128" s="7">
        <v>0</v>
      </c>
      <c r="AQ128" s="7">
        <v>0</v>
      </c>
      <c r="AR128" s="7">
        <v>0</v>
      </c>
      <c r="AS128" s="7">
        <v>0</v>
      </c>
      <c r="AT128" s="7">
        <v>0</v>
      </c>
      <c r="AU128" s="7">
        <v>0</v>
      </c>
      <c r="AV128" s="7">
        <v>0</v>
      </c>
      <c r="AW128" s="7">
        <v>0</v>
      </c>
      <c r="AX128" s="7">
        <v>0</v>
      </c>
      <c r="AY128" s="7">
        <v>0</v>
      </c>
      <c r="AZ128" s="7">
        <v>0</v>
      </c>
      <c r="BA128" s="7">
        <v>0</v>
      </c>
      <c r="BB128" s="7">
        <v>0</v>
      </c>
      <c r="BC128" s="7">
        <v>0</v>
      </c>
      <c r="BD128">
        <v>0</v>
      </c>
      <c r="BE128">
        <v>31.32</v>
      </c>
      <c r="BF1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8" s="42" t="str">
        <f>+IF(AVANCE[[#This Row],[FECHA INICIO REAL]]="","",AVANCE[[#This Row],[FECHA INICIO REAL]]-AVANCE[[#This Row],[FECHA INICIO TEORICO]])</f>
        <v/>
      </c>
      <c r="BH1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9" spans="1:61" x14ac:dyDescent="0.25">
      <c r="A129" t="s">
        <v>923</v>
      </c>
      <c r="B129" t="s">
        <v>955</v>
      </c>
      <c r="C129">
        <v>2282600128</v>
      </c>
      <c r="D129" t="s">
        <v>833</v>
      </c>
      <c r="E129" s="4">
        <v>0</v>
      </c>
      <c r="F129" s="1">
        <v>46196</v>
      </c>
      <c r="G129" s="1"/>
      <c r="H129" s="1">
        <v>0</v>
      </c>
      <c r="I129" s="1">
        <v>46220</v>
      </c>
      <c r="J129">
        <v>46188</v>
      </c>
      <c r="K129" s="1"/>
      <c r="L129" s="7">
        <v>0</v>
      </c>
      <c r="M129" s="7">
        <v>0</v>
      </c>
      <c r="N129" s="7">
        <v>0</v>
      </c>
      <c r="O129" s="7">
        <v>0</v>
      </c>
      <c r="P129" s="7">
        <v>0</v>
      </c>
      <c r="Q129" s="7">
        <v>0</v>
      </c>
      <c r="R129" s="7">
        <v>0</v>
      </c>
      <c r="S129" s="7">
        <v>0</v>
      </c>
      <c r="T129" s="7">
        <v>0</v>
      </c>
      <c r="U129" s="7">
        <v>0</v>
      </c>
      <c r="V129" s="7">
        <v>0</v>
      </c>
      <c r="W129" s="7">
        <v>0</v>
      </c>
      <c r="X129" s="7">
        <v>0</v>
      </c>
      <c r="Y129" s="7">
        <v>0</v>
      </c>
      <c r="Z129" s="7">
        <v>0</v>
      </c>
      <c r="AA129" s="7">
        <v>0</v>
      </c>
      <c r="AB129" s="7">
        <v>0</v>
      </c>
      <c r="AC129" s="7">
        <v>0</v>
      </c>
      <c r="AD129" s="7">
        <v>0</v>
      </c>
      <c r="AE129" s="7">
        <v>0</v>
      </c>
      <c r="AF129" s="7">
        <v>0</v>
      </c>
      <c r="AG129" s="7">
        <v>0</v>
      </c>
      <c r="AH129" s="7">
        <v>0</v>
      </c>
      <c r="AI129" s="7">
        <v>0</v>
      </c>
      <c r="AJ129" s="7">
        <v>0</v>
      </c>
      <c r="AK129" s="7">
        <v>0</v>
      </c>
      <c r="AL129" s="7">
        <v>0</v>
      </c>
      <c r="AM129" s="7">
        <v>0</v>
      </c>
      <c r="AN129" s="7">
        <v>0</v>
      </c>
      <c r="AO129" s="7">
        <v>0</v>
      </c>
      <c r="AP129" s="7">
        <v>0</v>
      </c>
      <c r="AQ129" s="7">
        <v>0</v>
      </c>
      <c r="AR129" s="7">
        <v>0</v>
      </c>
      <c r="AS129" s="7">
        <v>0</v>
      </c>
      <c r="AT129" s="7">
        <v>0</v>
      </c>
      <c r="AU129" s="7">
        <v>0</v>
      </c>
      <c r="AV129" s="7">
        <v>0</v>
      </c>
      <c r="AW129" s="7">
        <v>0</v>
      </c>
      <c r="AX129" s="7">
        <v>0</v>
      </c>
      <c r="AY129" s="7">
        <v>0</v>
      </c>
      <c r="AZ129" s="7">
        <v>0</v>
      </c>
      <c r="BA129" s="7">
        <v>0</v>
      </c>
      <c r="BB129" s="7">
        <v>0</v>
      </c>
      <c r="BC129" s="7">
        <v>0</v>
      </c>
      <c r="BD129">
        <v>0</v>
      </c>
      <c r="BE129">
        <v>28.87</v>
      </c>
      <c r="BF1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9" s="42" t="str">
        <f>+IF(AVANCE[[#This Row],[FECHA INICIO REAL]]="","",AVANCE[[#This Row],[FECHA INICIO REAL]]-AVANCE[[#This Row],[FECHA INICIO TEORICO]])</f>
        <v/>
      </c>
      <c r="BH1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0" spans="1:61" x14ac:dyDescent="0.25">
      <c r="A130" t="s">
        <v>956</v>
      </c>
      <c r="B130" t="s">
        <v>957</v>
      </c>
      <c r="C130">
        <v>2282600129</v>
      </c>
      <c r="D130" t="s">
        <v>833</v>
      </c>
      <c r="E130" s="4">
        <v>0</v>
      </c>
      <c r="F130" s="1">
        <v>46197</v>
      </c>
      <c r="G130" s="1"/>
      <c r="H130" s="1">
        <v>0</v>
      </c>
      <c r="I130" s="1">
        <v>46219</v>
      </c>
      <c r="J130">
        <v>46188</v>
      </c>
      <c r="K130" s="1"/>
      <c r="L130" s="7">
        <v>0</v>
      </c>
      <c r="M130" s="7">
        <v>0</v>
      </c>
      <c r="N130" s="7">
        <v>0</v>
      </c>
      <c r="O130" s="7">
        <v>0</v>
      </c>
      <c r="P130" s="7">
        <v>0</v>
      </c>
      <c r="Q130" s="7">
        <v>0</v>
      </c>
      <c r="R130" s="7">
        <v>0</v>
      </c>
      <c r="S130" s="7">
        <v>0</v>
      </c>
      <c r="T130" s="7">
        <v>0</v>
      </c>
      <c r="U130" s="7">
        <v>0</v>
      </c>
      <c r="V130" s="7">
        <v>0</v>
      </c>
      <c r="W130" s="7">
        <v>0</v>
      </c>
      <c r="X130" s="7">
        <v>0</v>
      </c>
      <c r="Y130" s="7">
        <v>0</v>
      </c>
      <c r="Z130" s="7">
        <v>0</v>
      </c>
      <c r="AA130" s="7">
        <v>0</v>
      </c>
      <c r="AB130" s="7">
        <v>0</v>
      </c>
      <c r="AC130" s="7">
        <v>0</v>
      </c>
      <c r="AD130" s="7">
        <v>0</v>
      </c>
      <c r="AE130" s="7">
        <v>0</v>
      </c>
      <c r="AF130" s="7">
        <v>0</v>
      </c>
      <c r="AG130" s="7">
        <v>0</v>
      </c>
      <c r="AH130" s="7">
        <v>0</v>
      </c>
      <c r="AI130" s="7">
        <v>0</v>
      </c>
      <c r="AJ130" s="7">
        <v>0</v>
      </c>
      <c r="AK130" s="7">
        <v>0</v>
      </c>
      <c r="AL130" s="7">
        <v>0</v>
      </c>
      <c r="AM130" s="7">
        <v>0</v>
      </c>
      <c r="AN130" s="7">
        <v>0</v>
      </c>
      <c r="AO130" s="7">
        <v>0</v>
      </c>
      <c r="AP130" s="7">
        <v>0</v>
      </c>
      <c r="AQ130" s="7">
        <v>0</v>
      </c>
      <c r="AR130" s="7">
        <v>0</v>
      </c>
      <c r="AS130" s="7">
        <v>0</v>
      </c>
      <c r="AT130" s="7">
        <v>0</v>
      </c>
      <c r="AU130" s="7">
        <v>0</v>
      </c>
      <c r="AV130" s="7">
        <v>0</v>
      </c>
      <c r="AW130" s="7">
        <v>0</v>
      </c>
      <c r="AX130" s="7">
        <v>0</v>
      </c>
      <c r="AY130" s="7">
        <v>0</v>
      </c>
      <c r="AZ130" s="7">
        <v>0</v>
      </c>
      <c r="BA130" s="7">
        <v>0</v>
      </c>
      <c r="BB130" s="7">
        <v>0</v>
      </c>
      <c r="BC130" s="7">
        <v>0</v>
      </c>
      <c r="BD130">
        <v>0</v>
      </c>
      <c r="BE130">
        <v>28.87</v>
      </c>
      <c r="BF1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0" s="42" t="str">
        <f>+IF(AVANCE[[#This Row],[FECHA INICIO REAL]]="","",AVANCE[[#This Row],[FECHA INICIO REAL]]-AVANCE[[#This Row],[FECHA INICIO TEORICO]])</f>
        <v/>
      </c>
      <c r="BH1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1" spans="1:61" x14ac:dyDescent="0.25">
      <c r="A131" t="s">
        <v>956</v>
      </c>
      <c r="B131" t="s">
        <v>958</v>
      </c>
      <c r="C131">
        <v>2302600130</v>
      </c>
      <c r="D131" t="s">
        <v>834</v>
      </c>
      <c r="E131" s="4">
        <v>0</v>
      </c>
      <c r="F131" s="1">
        <v>46197</v>
      </c>
      <c r="G131" s="1"/>
      <c r="H131" s="1">
        <v>0</v>
      </c>
      <c r="I131" s="1">
        <v>46229</v>
      </c>
      <c r="J131">
        <v>46188</v>
      </c>
      <c r="K131" s="1"/>
      <c r="L131" s="7">
        <v>0</v>
      </c>
      <c r="M131" s="7">
        <v>0</v>
      </c>
      <c r="N131" s="7">
        <v>0</v>
      </c>
      <c r="O131" s="7">
        <v>0</v>
      </c>
      <c r="P131" s="7">
        <v>0</v>
      </c>
      <c r="Q131" s="7">
        <v>0</v>
      </c>
      <c r="R131" s="7">
        <v>0</v>
      </c>
      <c r="S131" s="7">
        <v>0</v>
      </c>
      <c r="T131" s="7">
        <v>0</v>
      </c>
      <c r="U131" s="7">
        <v>0</v>
      </c>
      <c r="V131" s="7">
        <v>0</v>
      </c>
      <c r="W131" s="7">
        <v>0</v>
      </c>
      <c r="X131" s="7">
        <v>0</v>
      </c>
      <c r="Y131" s="7">
        <v>0</v>
      </c>
      <c r="Z131" s="7">
        <v>0</v>
      </c>
      <c r="AA131" s="7">
        <v>0</v>
      </c>
      <c r="AB131" s="7">
        <v>0</v>
      </c>
      <c r="AC131" s="7">
        <v>0</v>
      </c>
      <c r="AD131" s="7">
        <v>0</v>
      </c>
      <c r="AE131" s="7">
        <v>0</v>
      </c>
      <c r="AF131" s="7">
        <v>0</v>
      </c>
      <c r="AG131" s="7">
        <v>0</v>
      </c>
      <c r="AH131" s="7">
        <v>0</v>
      </c>
      <c r="AI131" s="7">
        <v>0</v>
      </c>
      <c r="AJ131" s="7">
        <v>0</v>
      </c>
      <c r="AK131" s="7">
        <v>0</v>
      </c>
      <c r="AL131" s="7">
        <v>0</v>
      </c>
      <c r="AM131" s="7">
        <v>0</v>
      </c>
      <c r="AN131" s="7">
        <v>0</v>
      </c>
      <c r="AO131" s="7">
        <v>0</v>
      </c>
      <c r="AP131" s="7">
        <v>0</v>
      </c>
      <c r="AQ131" s="7">
        <v>0</v>
      </c>
      <c r="AR131" s="7">
        <v>0</v>
      </c>
      <c r="AS131" s="7">
        <v>0</v>
      </c>
      <c r="AT131" s="7">
        <v>0</v>
      </c>
      <c r="AU131" s="7">
        <v>0</v>
      </c>
      <c r="AV131" s="7">
        <v>0</v>
      </c>
      <c r="AW131" s="7">
        <v>0</v>
      </c>
      <c r="AX131" s="7">
        <v>0</v>
      </c>
      <c r="AY131" s="7">
        <v>0</v>
      </c>
      <c r="AZ131" s="7">
        <v>0</v>
      </c>
      <c r="BA131" s="7">
        <v>0</v>
      </c>
      <c r="BB131" s="7">
        <v>0</v>
      </c>
      <c r="BC131" s="7">
        <v>0</v>
      </c>
      <c r="BD131">
        <v>0</v>
      </c>
      <c r="BE131">
        <v>31.32</v>
      </c>
      <c r="BF1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1" s="42" t="str">
        <f>+IF(AVANCE[[#This Row],[FECHA INICIO REAL]]="","",AVANCE[[#This Row],[FECHA INICIO REAL]]-AVANCE[[#This Row],[FECHA INICIO TEORICO]])</f>
        <v/>
      </c>
      <c r="BH1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2" spans="1:61" x14ac:dyDescent="0.25">
      <c r="A132" t="s">
        <v>956</v>
      </c>
      <c r="B132" t="s">
        <v>959</v>
      </c>
      <c r="C132">
        <v>2302600131</v>
      </c>
      <c r="D132" t="s">
        <v>834</v>
      </c>
      <c r="E132" s="4">
        <v>0</v>
      </c>
      <c r="F132" s="1">
        <v>46198</v>
      </c>
      <c r="G132" s="1"/>
      <c r="H132" s="1">
        <v>0</v>
      </c>
      <c r="I132" s="1">
        <v>46230</v>
      </c>
      <c r="J132">
        <v>46188</v>
      </c>
      <c r="K132" s="1"/>
      <c r="L132" s="7">
        <v>0</v>
      </c>
      <c r="M132" s="7">
        <v>0</v>
      </c>
      <c r="N132" s="7">
        <v>0</v>
      </c>
      <c r="O132" s="7">
        <v>0</v>
      </c>
      <c r="P132" s="7">
        <v>0</v>
      </c>
      <c r="Q132" s="7">
        <v>0</v>
      </c>
      <c r="R132" s="7">
        <v>0</v>
      </c>
      <c r="S132" s="7">
        <v>0</v>
      </c>
      <c r="T132" s="7">
        <v>0</v>
      </c>
      <c r="U132" s="7">
        <v>0</v>
      </c>
      <c r="V132" s="7">
        <v>0</v>
      </c>
      <c r="W132" s="7">
        <v>0</v>
      </c>
      <c r="X132" s="7">
        <v>0</v>
      </c>
      <c r="Y132" s="7">
        <v>0</v>
      </c>
      <c r="Z132" s="7">
        <v>0</v>
      </c>
      <c r="AA132" s="7">
        <v>0</v>
      </c>
      <c r="AB132" s="7">
        <v>0</v>
      </c>
      <c r="AC132" s="7">
        <v>0</v>
      </c>
      <c r="AD132" s="7">
        <v>0</v>
      </c>
      <c r="AE132" s="7">
        <v>0</v>
      </c>
      <c r="AF132" s="7">
        <v>0</v>
      </c>
      <c r="AG132" s="7">
        <v>0</v>
      </c>
      <c r="AH132" s="7">
        <v>0</v>
      </c>
      <c r="AI132" s="7">
        <v>0</v>
      </c>
      <c r="AJ132" s="7">
        <v>0</v>
      </c>
      <c r="AK132" s="7">
        <v>0</v>
      </c>
      <c r="AL132" s="7">
        <v>0</v>
      </c>
      <c r="AM132" s="7">
        <v>0</v>
      </c>
      <c r="AN132" s="7">
        <v>0</v>
      </c>
      <c r="AO132" s="7">
        <v>0</v>
      </c>
      <c r="AP132" s="7">
        <v>0</v>
      </c>
      <c r="AQ132" s="7">
        <v>0</v>
      </c>
      <c r="AR132" s="7">
        <v>0</v>
      </c>
      <c r="AS132" s="7">
        <v>0</v>
      </c>
      <c r="AT132" s="7">
        <v>0</v>
      </c>
      <c r="AU132" s="7">
        <v>0</v>
      </c>
      <c r="AV132" s="7">
        <v>0</v>
      </c>
      <c r="AW132" s="7">
        <v>0</v>
      </c>
      <c r="AX132" s="7">
        <v>0</v>
      </c>
      <c r="AY132" s="7">
        <v>0</v>
      </c>
      <c r="AZ132" s="7">
        <v>0</v>
      </c>
      <c r="BA132" s="7">
        <v>0</v>
      </c>
      <c r="BB132" s="7">
        <v>0</v>
      </c>
      <c r="BC132" s="7">
        <v>0</v>
      </c>
      <c r="BD132">
        <v>0</v>
      </c>
      <c r="BE132">
        <v>31.32</v>
      </c>
      <c r="BF1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2" s="42" t="str">
        <f>+IF(AVANCE[[#This Row],[FECHA INICIO REAL]]="","",AVANCE[[#This Row],[FECHA INICIO REAL]]-AVANCE[[#This Row],[FECHA INICIO TEORICO]])</f>
        <v/>
      </c>
      <c r="BH1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3" spans="1:61" x14ac:dyDescent="0.25">
      <c r="A133" t="s">
        <v>956</v>
      </c>
      <c r="B133" t="s">
        <v>960</v>
      </c>
      <c r="C133">
        <v>2282600132</v>
      </c>
      <c r="D133" t="s">
        <v>833</v>
      </c>
      <c r="E133" s="4">
        <v>0</v>
      </c>
      <c r="F133" s="1">
        <v>46198</v>
      </c>
      <c r="G133" s="1"/>
      <c r="H133" s="1">
        <v>0</v>
      </c>
      <c r="I133" s="1">
        <v>46220</v>
      </c>
      <c r="J133">
        <v>46188</v>
      </c>
      <c r="K133" s="1"/>
      <c r="L133" s="7">
        <v>0</v>
      </c>
      <c r="M133" s="7">
        <v>0</v>
      </c>
      <c r="N133" s="7">
        <v>0</v>
      </c>
      <c r="O133" s="7">
        <v>0</v>
      </c>
      <c r="P133" s="7">
        <v>0</v>
      </c>
      <c r="Q133" s="7">
        <v>0</v>
      </c>
      <c r="R133" s="7">
        <v>0</v>
      </c>
      <c r="S133" s="7">
        <v>0</v>
      </c>
      <c r="T133" s="7">
        <v>0</v>
      </c>
      <c r="U133" s="7">
        <v>0</v>
      </c>
      <c r="V133" s="7">
        <v>0</v>
      </c>
      <c r="W133" s="7">
        <v>0</v>
      </c>
      <c r="X133" s="7">
        <v>0</v>
      </c>
      <c r="Y133" s="7">
        <v>0</v>
      </c>
      <c r="Z133" s="7">
        <v>0</v>
      </c>
      <c r="AA133" s="7">
        <v>0</v>
      </c>
      <c r="AB133" s="7">
        <v>0</v>
      </c>
      <c r="AC133" s="7">
        <v>0</v>
      </c>
      <c r="AD133" s="7">
        <v>0</v>
      </c>
      <c r="AE133" s="7">
        <v>0</v>
      </c>
      <c r="AF133" s="7">
        <v>0</v>
      </c>
      <c r="AG133" s="7">
        <v>0</v>
      </c>
      <c r="AH133" s="7">
        <v>0</v>
      </c>
      <c r="AI133" s="7">
        <v>0</v>
      </c>
      <c r="AJ133" s="7">
        <v>0</v>
      </c>
      <c r="AK133" s="7">
        <v>0</v>
      </c>
      <c r="AL133" s="7">
        <v>0</v>
      </c>
      <c r="AM133" s="7">
        <v>0</v>
      </c>
      <c r="AN133" s="7">
        <v>0</v>
      </c>
      <c r="AO133" s="7">
        <v>0</v>
      </c>
      <c r="AP133" s="7">
        <v>0</v>
      </c>
      <c r="AQ133" s="7">
        <v>0</v>
      </c>
      <c r="AR133" s="7">
        <v>0</v>
      </c>
      <c r="AS133" s="7">
        <v>0</v>
      </c>
      <c r="AT133" s="7">
        <v>0</v>
      </c>
      <c r="AU133" s="7">
        <v>0</v>
      </c>
      <c r="AV133" s="7">
        <v>0</v>
      </c>
      <c r="AW133" s="7">
        <v>0</v>
      </c>
      <c r="AX133" s="7">
        <v>0</v>
      </c>
      <c r="AY133" s="7">
        <v>0</v>
      </c>
      <c r="AZ133" s="7">
        <v>0</v>
      </c>
      <c r="BA133" s="7">
        <v>0</v>
      </c>
      <c r="BB133" s="7">
        <v>0</v>
      </c>
      <c r="BC133" s="7">
        <v>0</v>
      </c>
      <c r="BD133">
        <v>0</v>
      </c>
      <c r="BE133">
        <v>28.87</v>
      </c>
      <c r="BF1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3" s="42" t="str">
        <f>+IF(AVANCE[[#This Row],[FECHA INICIO REAL]]="","",AVANCE[[#This Row],[FECHA INICIO REAL]]-AVANCE[[#This Row],[FECHA INICIO TEORICO]])</f>
        <v/>
      </c>
      <c r="BH1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4" spans="1:61" x14ac:dyDescent="0.25">
      <c r="A134" t="s">
        <v>956</v>
      </c>
      <c r="B134" t="s">
        <v>961</v>
      </c>
      <c r="C134">
        <v>2282600133</v>
      </c>
      <c r="D134" t="s">
        <v>833</v>
      </c>
      <c r="E134" s="4">
        <v>0</v>
      </c>
      <c r="F134" s="1">
        <v>46198</v>
      </c>
      <c r="G134" s="1"/>
      <c r="H134" s="1">
        <v>0</v>
      </c>
      <c r="I134" s="1">
        <v>46220</v>
      </c>
      <c r="J134">
        <v>46188</v>
      </c>
      <c r="K134" s="1"/>
      <c r="L134" s="7">
        <v>0</v>
      </c>
      <c r="M134" s="7">
        <v>0</v>
      </c>
      <c r="N134" s="7">
        <v>0</v>
      </c>
      <c r="O134" s="7">
        <v>0</v>
      </c>
      <c r="P134" s="7">
        <v>0</v>
      </c>
      <c r="Q134" s="7">
        <v>0</v>
      </c>
      <c r="R134" s="7">
        <v>0</v>
      </c>
      <c r="S134" s="7">
        <v>0</v>
      </c>
      <c r="T134" s="7">
        <v>0</v>
      </c>
      <c r="U134" s="7">
        <v>0</v>
      </c>
      <c r="V134" s="7">
        <v>0</v>
      </c>
      <c r="W134" s="7">
        <v>0</v>
      </c>
      <c r="X134" s="7">
        <v>0</v>
      </c>
      <c r="Y134" s="7">
        <v>0</v>
      </c>
      <c r="Z134" s="7">
        <v>0</v>
      </c>
      <c r="AA134" s="7">
        <v>0</v>
      </c>
      <c r="AB134" s="7">
        <v>0</v>
      </c>
      <c r="AC134" s="7">
        <v>0</v>
      </c>
      <c r="AD134" s="7">
        <v>0</v>
      </c>
      <c r="AE134" s="7">
        <v>0</v>
      </c>
      <c r="AF134" s="7">
        <v>0</v>
      </c>
      <c r="AG134" s="7">
        <v>0</v>
      </c>
      <c r="AH134" s="7">
        <v>0</v>
      </c>
      <c r="AI134" s="7">
        <v>0</v>
      </c>
      <c r="AJ134" s="7">
        <v>0</v>
      </c>
      <c r="AK134" s="7">
        <v>0</v>
      </c>
      <c r="AL134" s="7">
        <v>0</v>
      </c>
      <c r="AM134" s="7">
        <v>0</v>
      </c>
      <c r="AN134" s="7">
        <v>0</v>
      </c>
      <c r="AO134" s="7">
        <v>0</v>
      </c>
      <c r="AP134" s="7">
        <v>0</v>
      </c>
      <c r="AQ134" s="7">
        <v>0</v>
      </c>
      <c r="AR134" s="7">
        <v>0</v>
      </c>
      <c r="AS134" s="7">
        <v>0</v>
      </c>
      <c r="AT134" s="7">
        <v>0</v>
      </c>
      <c r="AU134" s="7">
        <v>0</v>
      </c>
      <c r="AV134" s="7">
        <v>0</v>
      </c>
      <c r="AW134" s="7">
        <v>0</v>
      </c>
      <c r="AX134" s="7">
        <v>0</v>
      </c>
      <c r="AY134" s="7">
        <v>0</v>
      </c>
      <c r="AZ134" s="7">
        <v>0</v>
      </c>
      <c r="BA134" s="7">
        <v>0</v>
      </c>
      <c r="BB134" s="7">
        <v>0</v>
      </c>
      <c r="BC134" s="7">
        <v>0</v>
      </c>
      <c r="BD134">
        <v>0</v>
      </c>
      <c r="BE134">
        <v>28.87</v>
      </c>
      <c r="BF1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4" s="42" t="str">
        <f>+IF(AVANCE[[#This Row],[FECHA INICIO REAL]]="","",AVANCE[[#This Row],[FECHA INICIO REAL]]-AVANCE[[#This Row],[FECHA INICIO TEORICO]])</f>
        <v/>
      </c>
      <c r="BH1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5" spans="1:61" x14ac:dyDescent="0.25">
      <c r="A135" t="s">
        <v>956</v>
      </c>
      <c r="B135" t="s">
        <v>962</v>
      </c>
      <c r="C135">
        <v>2302600134</v>
      </c>
      <c r="D135" t="s">
        <v>834</v>
      </c>
      <c r="E135" s="4">
        <v>0</v>
      </c>
      <c r="F135" s="1">
        <v>46199</v>
      </c>
      <c r="G135" s="1"/>
      <c r="H135" s="1">
        <v>0</v>
      </c>
      <c r="I135" s="1">
        <v>46231</v>
      </c>
      <c r="J135">
        <v>46188</v>
      </c>
      <c r="K135" s="1"/>
      <c r="L135" s="7">
        <v>0</v>
      </c>
      <c r="M135" s="7">
        <v>0</v>
      </c>
      <c r="N135" s="7">
        <v>0</v>
      </c>
      <c r="O135" s="7">
        <v>0</v>
      </c>
      <c r="P135" s="7">
        <v>0</v>
      </c>
      <c r="Q135" s="7">
        <v>0</v>
      </c>
      <c r="R135" s="7">
        <v>0</v>
      </c>
      <c r="S135" s="7">
        <v>0</v>
      </c>
      <c r="T135" s="7">
        <v>0</v>
      </c>
      <c r="U135" s="7">
        <v>0</v>
      </c>
      <c r="V135" s="7">
        <v>0</v>
      </c>
      <c r="W135" s="7">
        <v>0</v>
      </c>
      <c r="X135" s="7">
        <v>0</v>
      </c>
      <c r="Y135" s="7">
        <v>0</v>
      </c>
      <c r="Z135" s="7">
        <v>0</v>
      </c>
      <c r="AA135" s="7">
        <v>0</v>
      </c>
      <c r="AB135" s="7">
        <v>0</v>
      </c>
      <c r="AC135" s="7">
        <v>0</v>
      </c>
      <c r="AD135" s="7">
        <v>0</v>
      </c>
      <c r="AE135" s="7">
        <v>0</v>
      </c>
      <c r="AF135" s="7">
        <v>0</v>
      </c>
      <c r="AG135" s="7">
        <v>0</v>
      </c>
      <c r="AH135" s="7">
        <v>0</v>
      </c>
      <c r="AI135" s="7">
        <v>0</v>
      </c>
      <c r="AJ135" s="7">
        <v>0</v>
      </c>
      <c r="AK135" s="7">
        <v>0</v>
      </c>
      <c r="AL135" s="7">
        <v>0</v>
      </c>
      <c r="AM135" s="7">
        <v>0</v>
      </c>
      <c r="AN135" s="7">
        <v>0</v>
      </c>
      <c r="AO135" s="7">
        <v>0</v>
      </c>
      <c r="AP135" s="7">
        <v>0</v>
      </c>
      <c r="AQ135" s="7">
        <v>0</v>
      </c>
      <c r="AR135" s="7">
        <v>0</v>
      </c>
      <c r="AS135" s="7">
        <v>0</v>
      </c>
      <c r="AT135" s="7">
        <v>0</v>
      </c>
      <c r="AU135" s="7">
        <v>0</v>
      </c>
      <c r="AV135" s="7">
        <v>0</v>
      </c>
      <c r="AW135" s="7">
        <v>0</v>
      </c>
      <c r="AX135" s="7">
        <v>0</v>
      </c>
      <c r="AY135" s="7">
        <v>0</v>
      </c>
      <c r="AZ135" s="7">
        <v>0</v>
      </c>
      <c r="BA135" s="7">
        <v>0</v>
      </c>
      <c r="BB135" s="7">
        <v>0</v>
      </c>
      <c r="BC135" s="7">
        <v>0</v>
      </c>
      <c r="BD135">
        <v>0</v>
      </c>
      <c r="BE135">
        <v>31.32</v>
      </c>
      <c r="BF1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5" s="42" t="str">
        <f>+IF(AVANCE[[#This Row],[FECHA INICIO REAL]]="","",AVANCE[[#This Row],[FECHA INICIO REAL]]-AVANCE[[#This Row],[FECHA INICIO TEORICO]])</f>
        <v/>
      </c>
      <c r="BH1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6" spans="1:61" x14ac:dyDescent="0.25">
      <c r="A136" t="s">
        <v>956</v>
      </c>
      <c r="B136" t="s">
        <v>963</v>
      </c>
      <c r="C136">
        <v>2302600135</v>
      </c>
      <c r="D136" t="s">
        <v>834</v>
      </c>
      <c r="E136" s="4">
        <v>0</v>
      </c>
      <c r="F136" s="1">
        <v>46199</v>
      </c>
      <c r="G136" s="1"/>
      <c r="H136" s="1">
        <v>0</v>
      </c>
      <c r="I136" s="1">
        <v>46231</v>
      </c>
      <c r="J136">
        <v>46188</v>
      </c>
      <c r="K136" s="1"/>
      <c r="L136" s="7">
        <v>0</v>
      </c>
      <c r="M136" s="7">
        <v>0</v>
      </c>
      <c r="N136" s="7">
        <v>0</v>
      </c>
      <c r="O136" s="7">
        <v>0</v>
      </c>
      <c r="P136" s="7">
        <v>0</v>
      </c>
      <c r="Q136" s="7">
        <v>0</v>
      </c>
      <c r="R136" s="7">
        <v>0</v>
      </c>
      <c r="S136" s="7">
        <v>0</v>
      </c>
      <c r="T136" s="7">
        <v>0</v>
      </c>
      <c r="U136" s="7">
        <v>0</v>
      </c>
      <c r="V136" s="7">
        <v>0</v>
      </c>
      <c r="W136" s="7">
        <v>0</v>
      </c>
      <c r="X136" s="7">
        <v>0</v>
      </c>
      <c r="Y136" s="7">
        <v>0</v>
      </c>
      <c r="Z136" s="7">
        <v>0</v>
      </c>
      <c r="AA136" s="7">
        <v>0</v>
      </c>
      <c r="AB136" s="7">
        <v>0</v>
      </c>
      <c r="AC136" s="7">
        <v>0</v>
      </c>
      <c r="AD136" s="7">
        <v>0</v>
      </c>
      <c r="AE136" s="7">
        <v>0</v>
      </c>
      <c r="AF136" s="7">
        <v>0</v>
      </c>
      <c r="AG136" s="7">
        <v>0</v>
      </c>
      <c r="AH136" s="7">
        <v>0</v>
      </c>
      <c r="AI136" s="7">
        <v>0</v>
      </c>
      <c r="AJ136" s="7">
        <v>0</v>
      </c>
      <c r="AK136" s="7">
        <v>0</v>
      </c>
      <c r="AL136" s="7">
        <v>0</v>
      </c>
      <c r="AM136" s="7">
        <v>0</v>
      </c>
      <c r="AN136" s="7">
        <v>0</v>
      </c>
      <c r="AO136" s="7">
        <v>0</v>
      </c>
      <c r="AP136" s="7">
        <v>0</v>
      </c>
      <c r="AQ136" s="7">
        <v>0</v>
      </c>
      <c r="AR136" s="7">
        <v>0</v>
      </c>
      <c r="AS136" s="7">
        <v>0</v>
      </c>
      <c r="AT136" s="7">
        <v>0</v>
      </c>
      <c r="AU136" s="7">
        <v>0</v>
      </c>
      <c r="AV136" s="7">
        <v>0</v>
      </c>
      <c r="AW136" s="7">
        <v>0</v>
      </c>
      <c r="AX136" s="7">
        <v>0</v>
      </c>
      <c r="AY136" s="7">
        <v>0</v>
      </c>
      <c r="AZ136" s="7">
        <v>0</v>
      </c>
      <c r="BA136" s="7">
        <v>0</v>
      </c>
      <c r="BB136" s="7">
        <v>0</v>
      </c>
      <c r="BC136" s="7">
        <v>0</v>
      </c>
      <c r="BD136">
        <v>0</v>
      </c>
      <c r="BE136">
        <v>31.32</v>
      </c>
      <c r="BF1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6" s="42" t="str">
        <f>+IF(AVANCE[[#This Row],[FECHA INICIO REAL]]="","",AVANCE[[#This Row],[FECHA INICIO REAL]]-AVANCE[[#This Row],[FECHA INICIO TEORICO]])</f>
        <v/>
      </c>
      <c r="BH1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7" spans="1:61" x14ac:dyDescent="0.25">
      <c r="A137" t="s">
        <v>956</v>
      </c>
      <c r="B137" t="s">
        <v>964</v>
      </c>
      <c r="C137">
        <v>2282600136</v>
      </c>
      <c r="D137" t="s">
        <v>833</v>
      </c>
      <c r="E137" s="4">
        <v>0</v>
      </c>
      <c r="F137" s="1">
        <v>46202</v>
      </c>
      <c r="G137" s="1"/>
      <c r="H137" s="1">
        <v>0</v>
      </c>
      <c r="I137" s="1">
        <v>46224</v>
      </c>
      <c r="J137">
        <v>46188</v>
      </c>
      <c r="K137" s="1"/>
      <c r="L137" s="7">
        <v>0</v>
      </c>
      <c r="M137" s="7">
        <v>0</v>
      </c>
      <c r="N137" s="7">
        <v>0</v>
      </c>
      <c r="O137" s="7">
        <v>0</v>
      </c>
      <c r="P137" s="7">
        <v>0</v>
      </c>
      <c r="Q137" s="7">
        <v>0</v>
      </c>
      <c r="R137" s="7">
        <v>0</v>
      </c>
      <c r="S137" s="7">
        <v>0</v>
      </c>
      <c r="T137" s="7">
        <v>0</v>
      </c>
      <c r="U137" s="7">
        <v>0</v>
      </c>
      <c r="V137" s="7">
        <v>0</v>
      </c>
      <c r="W137" s="7">
        <v>0</v>
      </c>
      <c r="X137" s="7">
        <v>0</v>
      </c>
      <c r="Y137" s="7">
        <v>0</v>
      </c>
      <c r="Z137" s="7">
        <v>0</v>
      </c>
      <c r="AA137" s="7">
        <v>0</v>
      </c>
      <c r="AB137" s="7">
        <v>0</v>
      </c>
      <c r="AC137" s="7">
        <v>0</v>
      </c>
      <c r="AD137" s="7">
        <v>0</v>
      </c>
      <c r="AE137" s="7">
        <v>0</v>
      </c>
      <c r="AF137" s="7">
        <v>0</v>
      </c>
      <c r="AG137" s="7">
        <v>0</v>
      </c>
      <c r="AH137" s="7">
        <v>0</v>
      </c>
      <c r="AI137" s="7">
        <v>0</v>
      </c>
      <c r="AJ137" s="7">
        <v>0</v>
      </c>
      <c r="AK137" s="7">
        <v>0</v>
      </c>
      <c r="AL137" s="7">
        <v>0</v>
      </c>
      <c r="AM137" s="7">
        <v>0</v>
      </c>
      <c r="AN137" s="7">
        <v>0</v>
      </c>
      <c r="AO137" s="7">
        <v>0</v>
      </c>
      <c r="AP137" s="7">
        <v>0</v>
      </c>
      <c r="AQ137" s="7">
        <v>0</v>
      </c>
      <c r="AR137" s="7">
        <v>0</v>
      </c>
      <c r="AS137" s="7">
        <v>0</v>
      </c>
      <c r="AT137" s="7">
        <v>0</v>
      </c>
      <c r="AU137" s="7">
        <v>0</v>
      </c>
      <c r="AV137" s="7">
        <v>0</v>
      </c>
      <c r="AW137" s="7">
        <v>0</v>
      </c>
      <c r="AX137" s="7">
        <v>0</v>
      </c>
      <c r="AY137" s="7">
        <v>0</v>
      </c>
      <c r="AZ137" s="7">
        <v>0</v>
      </c>
      <c r="BA137" s="7">
        <v>0</v>
      </c>
      <c r="BB137" s="7">
        <v>0</v>
      </c>
      <c r="BC137" s="7">
        <v>0</v>
      </c>
      <c r="BD137">
        <v>0</v>
      </c>
      <c r="BE137">
        <v>28.87</v>
      </c>
      <c r="BF1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7" s="42" t="str">
        <f>+IF(AVANCE[[#This Row],[FECHA INICIO REAL]]="","",AVANCE[[#This Row],[FECHA INICIO REAL]]-AVANCE[[#This Row],[FECHA INICIO TEORICO]])</f>
        <v/>
      </c>
      <c r="BH1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8" spans="1:61" x14ac:dyDescent="0.25">
      <c r="A138" t="s">
        <v>956</v>
      </c>
      <c r="B138" t="s">
        <v>965</v>
      </c>
      <c r="C138">
        <v>2282600137</v>
      </c>
      <c r="D138" t="s">
        <v>833</v>
      </c>
      <c r="E138" s="4">
        <v>0</v>
      </c>
      <c r="F138" s="1">
        <v>46202</v>
      </c>
      <c r="G138" s="1"/>
      <c r="H138" s="1">
        <v>0</v>
      </c>
      <c r="I138" s="1">
        <v>46224</v>
      </c>
      <c r="J138">
        <v>46188</v>
      </c>
      <c r="K138" s="1"/>
      <c r="L138" s="7">
        <v>0</v>
      </c>
      <c r="M138" s="7">
        <v>0</v>
      </c>
      <c r="N138" s="7">
        <v>0</v>
      </c>
      <c r="O138" s="7">
        <v>0</v>
      </c>
      <c r="P138" s="7">
        <v>0</v>
      </c>
      <c r="Q138" s="7">
        <v>0</v>
      </c>
      <c r="R138" s="7">
        <v>0</v>
      </c>
      <c r="S138" s="7">
        <v>0</v>
      </c>
      <c r="T138" s="7">
        <v>0</v>
      </c>
      <c r="U138" s="7">
        <v>0</v>
      </c>
      <c r="V138" s="7">
        <v>0</v>
      </c>
      <c r="W138" s="7">
        <v>0</v>
      </c>
      <c r="X138" s="7">
        <v>0</v>
      </c>
      <c r="Y138" s="7">
        <v>0</v>
      </c>
      <c r="Z138" s="7">
        <v>0</v>
      </c>
      <c r="AA138" s="7">
        <v>0</v>
      </c>
      <c r="AB138" s="7">
        <v>0</v>
      </c>
      <c r="AC138" s="7">
        <v>0</v>
      </c>
      <c r="AD138" s="7">
        <v>0</v>
      </c>
      <c r="AE138" s="7">
        <v>0</v>
      </c>
      <c r="AF138" s="7">
        <v>0</v>
      </c>
      <c r="AG138" s="7">
        <v>0</v>
      </c>
      <c r="AH138" s="7">
        <v>0</v>
      </c>
      <c r="AI138" s="7">
        <v>0</v>
      </c>
      <c r="AJ138" s="7">
        <v>0</v>
      </c>
      <c r="AK138" s="7">
        <v>0</v>
      </c>
      <c r="AL138" s="7">
        <v>0</v>
      </c>
      <c r="AM138" s="7">
        <v>0</v>
      </c>
      <c r="AN138" s="7">
        <v>0</v>
      </c>
      <c r="AO138" s="7">
        <v>0</v>
      </c>
      <c r="AP138" s="7">
        <v>0</v>
      </c>
      <c r="AQ138" s="7">
        <v>0</v>
      </c>
      <c r="AR138" s="7">
        <v>0</v>
      </c>
      <c r="AS138" s="7">
        <v>0</v>
      </c>
      <c r="AT138" s="7">
        <v>0</v>
      </c>
      <c r="AU138" s="7">
        <v>0</v>
      </c>
      <c r="AV138" s="7">
        <v>0</v>
      </c>
      <c r="AW138" s="7">
        <v>0</v>
      </c>
      <c r="AX138" s="7">
        <v>0</v>
      </c>
      <c r="AY138" s="7">
        <v>0</v>
      </c>
      <c r="AZ138" s="7">
        <v>0</v>
      </c>
      <c r="BA138" s="7">
        <v>0</v>
      </c>
      <c r="BB138" s="7">
        <v>0</v>
      </c>
      <c r="BC138" s="7">
        <v>0</v>
      </c>
      <c r="BD138">
        <v>0</v>
      </c>
      <c r="BE138">
        <v>28.87</v>
      </c>
      <c r="BF1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8" s="42" t="str">
        <f>+IF(AVANCE[[#This Row],[FECHA INICIO REAL]]="","",AVANCE[[#This Row],[FECHA INICIO REAL]]-AVANCE[[#This Row],[FECHA INICIO TEORICO]])</f>
        <v/>
      </c>
      <c r="BH1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9" spans="1:61" x14ac:dyDescent="0.25">
      <c r="A139" t="s">
        <v>956</v>
      </c>
      <c r="B139" t="s">
        <v>966</v>
      </c>
      <c r="C139">
        <v>2302600138</v>
      </c>
      <c r="D139" t="s">
        <v>834</v>
      </c>
      <c r="E139" s="4">
        <v>0</v>
      </c>
      <c r="F139" s="1">
        <v>46202</v>
      </c>
      <c r="G139" s="1"/>
      <c r="H139" s="1">
        <v>0</v>
      </c>
      <c r="I139" s="1">
        <v>46234</v>
      </c>
      <c r="J139">
        <v>46188</v>
      </c>
      <c r="K139" s="1"/>
      <c r="L139" s="7">
        <v>0</v>
      </c>
      <c r="M139" s="7">
        <v>0</v>
      </c>
      <c r="N139" s="7">
        <v>0</v>
      </c>
      <c r="O139" s="7">
        <v>0</v>
      </c>
      <c r="P139" s="7">
        <v>0</v>
      </c>
      <c r="Q139" s="7">
        <v>0</v>
      </c>
      <c r="R139" s="7">
        <v>0</v>
      </c>
      <c r="S139" s="7">
        <v>0</v>
      </c>
      <c r="T139" s="7">
        <v>0</v>
      </c>
      <c r="U139" s="7">
        <v>0</v>
      </c>
      <c r="V139" s="7">
        <v>0</v>
      </c>
      <c r="W139" s="7">
        <v>0</v>
      </c>
      <c r="X139" s="7">
        <v>0</v>
      </c>
      <c r="Y139" s="7">
        <v>0</v>
      </c>
      <c r="Z139" s="7">
        <v>0</v>
      </c>
      <c r="AA139" s="7">
        <v>0</v>
      </c>
      <c r="AB139" s="7">
        <v>0</v>
      </c>
      <c r="AC139" s="7">
        <v>0</v>
      </c>
      <c r="AD139" s="7">
        <v>0</v>
      </c>
      <c r="AE139" s="7">
        <v>0</v>
      </c>
      <c r="AF139" s="7">
        <v>0</v>
      </c>
      <c r="AG139" s="7">
        <v>0</v>
      </c>
      <c r="AH139" s="7">
        <v>0</v>
      </c>
      <c r="AI139" s="7">
        <v>0</v>
      </c>
      <c r="AJ139" s="7">
        <v>0</v>
      </c>
      <c r="AK139" s="7">
        <v>0</v>
      </c>
      <c r="AL139" s="7">
        <v>0</v>
      </c>
      <c r="AM139" s="7">
        <v>0</v>
      </c>
      <c r="AN139" s="7">
        <v>0</v>
      </c>
      <c r="AO139" s="7">
        <v>0</v>
      </c>
      <c r="AP139" s="7">
        <v>0</v>
      </c>
      <c r="AQ139" s="7">
        <v>0</v>
      </c>
      <c r="AR139" s="7">
        <v>0</v>
      </c>
      <c r="AS139" s="7">
        <v>0</v>
      </c>
      <c r="AT139" s="7">
        <v>0</v>
      </c>
      <c r="AU139" s="7">
        <v>0</v>
      </c>
      <c r="AV139" s="7">
        <v>0</v>
      </c>
      <c r="AW139" s="7">
        <v>0</v>
      </c>
      <c r="AX139" s="7">
        <v>0</v>
      </c>
      <c r="AY139" s="7">
        <v>0</v>
      </c>
      <c r="AZ139" s="7">
        <v>0</v>
      </c>
      <c r="BA139" s="7">
        <v>0</v>
      </c>
      <c r="BB139" s="7">
        <v>0</v>
      </c>
      <c r="BC139" s="7">
        <v>0</v>
      </c>
      <c r="BD139">
        <v>0</v>
      </c>
      <c r="BE139">
        <v>31.32</v>
      </c>
      <c r="BF1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9" s="42" t="str">
        <f>+IF(AVANCE[[#This Row],[FECHA INICIO REAL]]="","",AVANCE[[#This Row],[FECHA INICIO REAL]]-AVANCE[[#This Row],[FECHA INICIO TEORICO]])</f>
        <v/>
      </c>
      <c r="BH1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0" spans="1:61" x14ac:dyDescent="0.25">
      <c r="A140" t="s">
        <v>956</v>
      </c>
      <c r="B140" t="s">
        <v>967</v>
      </c>
      <c r="C140">
        <v>2302600139</v>
      </c>
      <c r="D140" t="s">
        <v>834</v>
      </c>
      <c r="E140" s="4">
        <v>0</v>
      </c>
      <c r="F140" s="1">
        <v>46203</v>
      </c>
      <c r="G140" s="1"/>
      <c r="H140" s="1">
        <v>0</v>
      </c>
      <c r="I140" s="1">
        <v>46235</v>
      </c>
      <c r="J140">
        <v>46188</v>
      </c>
      <c r="K140" s="1"/>
      <c r="L140" s="7">
        <v>0</v>
      </c>
      <c r="M140" s="7">
        <v>0</v>
      </c>
      <c r="N140" s="7">
        <v>0</v>
      </c>
      <c r="O140" s="7">
        <v>0</v>
      </c>
      <c r="P140" s="7">
        <v>0</v>
      </c>
      <c r="Q140" s="7">
        <v>0</v>
      </c>
      <c r="R140" s="7">
        <v>0</v>
      </c>
      <c r="S140" s="7">
        <v>0</v>
      </c>
      <c r="T140" s="7">
        <v>0</v>
      </c>
      <c r="U140" s="7">
        <v>0</v>
      </c>
      <c r="V140" s="7">
        <v>0</v>
      </c>
      <c r="W140" s="7">
        <v>0</v>
      </c>
      <c r="X140" s="7">
        <v>0</v>
      </c>
      <c r="Y140" s="7">
        <v>0</v>
      </c>
      <c r="Z140" s="7">
        <v>0</v>
      </c>
      <c r="AA140" s="7">
        <v>0</v>
      </c>
      <c r="AB140" s="7">
        <v>0</v>
      </c>
      <c r="AC140" s="7">
        <v>0</v>
      </c>
      <c r="AD140" s="7">
        <v>0</v>
      </c>
      <c r="AE140" s="7">
        <v>0</v>
      </c>
      <c r="AF140" s="7">
        <v>0</v>
      </c>
      <c r="AG140" s="7">
        <v>0</v>
      </c>
      <c r="AH140" s="7">
        <v>0</v>
      </c>
      <c r="AI140" s="7">
        <v>0</v>
      </c>
      <c r="AJ140" s="7">
        <v>0</v>
      </c>
      <c r="AK140" s="7">
        <v>0</v>
      </c>
      <c r="AL140" s="7">
        <v>0</v>
      </c>
      <c r="AM140" s="7">
        <v>0</v>
      </c>
      <c r="AN140" s="7">
        <v>0</v>
      </c>
      <c r="AO140" s="7">
        <v>0</v>
      </c>
      <c r="AP140" s="7">
        <v>0</v>
      </c>
      <c r="AQ140" s="7">
        <v>0</v>
      </c>
      <c r="AR140" s="7">
        <v>0</v>
      </c>
      <c r="AS140" s="7">
        <v>0</v>
      </c>
      <c r="AT140" s="7">
        <v>0</v>
      </c>
      <c r="AU140" s="7">
        <v>0</v>
      </c>
      <c r="AV140" s="7">
        <v>0</v>
      </c>
      <c r="AW140" s="7">
        <v>0</v>
      </c>
      <c r="AX140" s="7">
        <v>0</v>
      </c>
      <c r="AY140" s="7">
        <v>0</v>
      </c>
      <c r="AZ140" s="7">
        <v>0</v>
      </c>
      <c r="BA140" s="7">
        <v>0</v>
      </c>
      <c r="BB140" s="7">
        <v>0</v>
      </c>
      <c r="BC140" s="7">
        <v>0</v>
      </c>
      <c r="BD140">
        <v>0</v>
      </c>
      <c r="BE140">
        <v>31.32</v>
      </c>
      <c r="BF1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0" s="42" t="str">
        <f>+IF(AVANCE[[#This Row],[FECHA INICIO REAL]]="","",AVANCE[[#This Row],[FECHA INICIO REAL]]-AVANCE[[#This Row],[FECHA INICIO TEORICO]])</f>
        <v/>
      </c>
      <c r="BH1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1" spans="1:61" x14ac:dyDescent="0.25">
      <c r="A141" t="s">
        <v>956</v>
      </c>
      <c r="B141" t="s">
        <v>968</v>
      </c>
      <c r="C141">
        <v>2282600140</v>
      </c>
      <c r="D141" t="s">
        <v>833</v>
      </c>
      <c r="E141" s="4">
        <v>0</v>
      </c>
      <c r="F141" s="1">
        <v>46203</v>
      </c>
      <c r="G141" s="1"/>
      <c r="H141" s="1">
        <v>0</v>
      </c>
      <c r="I141" s="1">
        <v>46225</v>
      </c>
      <c r="J141">
        <v>46188</v>
      </c>
      <c r="K141" s="1"/>
      <c r="L141" s="7">
        <v>0</v>
      </c>
      <c r="M141" s="7">
        <v>0</v>
      </c>
      <c r="N141" s="7">
        <v>0</v>
      </c>
      <c r="O141" s="7">
        <v>0</v>
      </c>
      <c r="P141" s="7">
        <v>0</v>
      </c>
      <c r="Q141" s="7">
        <v>0</v>
      </c>
      <c r="R141" s="7">
        <v>0</v>
      </c>
      <c r="S141" s="7">
        <v>0</v>
      </c>
      <c r="T141" s="7">
        <v>0</v>
      </c>
      <c r="U141" s="7">
        <v>0</v>
      </c>
      <c r="V141" s="7">
        <v>0</v>
      </c>
      <c r="W141" s="7">
        <v>0</v>
      </c>
      <c r="X141" s="7">
        <v>0</v>
      </c>
      <c r="Y141" s="7">
        <v>0</v>
      </c>
      <c r="Z141" s="7">
        <v>0</v>
      </c>
      <c r="AA141" s="7">
        <v>0</v>
      </c>
      <c r="AB141" s="7">
        <v>0</v>
      </c>
      <c r="AC141" s="7">
        <v>0</v>
      </c>
      <c r="AD141" s="7">
        <v>0</v>
      </c>
      <c r="AE141" s="7">
        <v>0</v>
      </c>
      <c r="AF141" s="7">
        <v>0</v>
      </c>
      <c r="AG141" s="7">
        <v>0</v>
      </c>
      <c r="AH141" s="7">
        <v>0</v>
      </c>
      <c r="AI141" s="7">
        <v>0</v>
      </c>
      <c r="AJ141" s="7">
        <v>0</v>
      </c>
      <c r="AK141" s="7">
        <v>0</v>
      </c>
      <c r="AL141" s="7">
        <v>0</v>
      </c>
      <c r="AM141" s="7">
        <v>0</v>
      </c>
      <c r="AN141" s="7">
        <v>0</v>
      </c>
      <c r="AO141" s="7">
        <v>0</v>
      </c>
      <c r="AP141" s="7">
        <v>0</v>
      </c>
      <c r="AQ141" s="7">
        <v>0</v>
      </c>
      <c r="AR141" s="7">
        <v>0</v>
      </c>
      <c r="AS141" s="7">
        <v>0</v>
      </c>
      <c r="AT141" s="7">
        <v>0</v>
      </c>
      <c r="AU141" s="7">
        <v>0</v>
      </c>
      <c r="AV141" s="7">
        <v>0</v>
      </c>
      <c r="AW141" s="7">
        <v>0</v>
      </c>
      <c r="AX141" s="7">
        <v>0</v>
      </c>
      <c r="AY141" s="7">
        <v>0</v>
      </c>
      <c r="AZ141" s="7">
        <v>0</v>
      </c>
      <c r="BA141" s="7">
        <v>0</v>
      </c>
      <c r="BB141" s="7">
        <v>0</v>
      </c>
      <c r="BC141" s="7">
        <v>0</v>
      </c>
      <c r="BD141">
        <v>0</v>
      </c>
      <c r="BE141">
        <v>28.87</v>
      </c>
      <c r="BF1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1" s="42" t="str">
        <f>+IF(AVANCE[[#This Row],[FECHA INICIO REAL]]="","",AVANCE[[#This Row],[FECHA INICIO REAL]]-AVANCE[[#This Row],[FECHA INICIO TEORICO]])</f>
        <v/>
      </c>
      <c r="BH1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2" spans="1:61" x14ac:dyDescent="0.25">
      <c r="A142" t="s">
        <v>956</v>
      </c>
      <c r="B142" t="s">
        <v>969</v>
      </c>
      <c r="C142">
        <v>2282600141</v>
      </c>
      <c r="D142" t="s">
        <v>833</v>
      </c>
      <c r="E142" s="4">
        <v>0</v>
      </c>
      <c r="F142" s="1">
        <v>46204</v>
      </c>
      <c r="G142" s="1"/>
      <c r="H142" s="1">
        <v>0</v>
      </c>
      <c r="I142" s="1">
        <v>46226</v>
      </c>
      <c r="J142">
        <v>46188</v>
      </c>
      <c r="K142" s="1"/>
      <c r="L142" s="7">
        <v>0</v>
      </c>
      <c r="M142" s="7">
        <v>0</v>
      </c>
      <c r="N142" s="7">
        <v>0</v>
      </c>
      <c r="O142" s="7">
        <v>0</v>
      </c>
      <c r="P142" s="7">
        <v>0</v>
      </c>
      <c r="Q142" s="7">
        <v>0</v>
      </c>
      <c r="R142" s="7">
        <v>0</v>
      </c>
      <c r="S142" s="7">
        <v>0</v>
      </c>
      <c r="T142" s="7">
        <v>0</v>
      </c>
      <c r="U142" s="7">
        <v>0</v>
      </c>
      <c r="V142" s="7">
        <v>0</v>
      </c>
      <c r="W142" s="7">
        <v>0</v>
      </c>
      <c r="X142" s="7">
        <v>0</v>
      </c>
      <c r="Y142" s="7">
        <v>0</v>
      </c>
      <c r="Z142" s="7">
        <v>0</v>
      </c>
      <c r="AA142" s="7">
        <v>0</v>
      </c>
      <c r="AB142" s="7">
        <v>0</v>
      </c>
      <c r="AC142" s="7">
        <v>0</v>
      </c>
      <c r="AD142" s="7">
        <v>0</v>
      </c>
      <c r="AE142" s="7">
        <v>0</v>
      </c>
      <c r="AF142" s="7">
        <v>0</v>
      </c>
      <c r="AG142" s="7">
        <v>0</v>
      </c>
      <c r="AH142" s="7">
        <v>0</v>
      </c>
      <c r="AI142" s="7">
        <v>0</v>
      </c>
      <c r="AJ142" s="7">
        <v>0</v>
      </c>
      <c r="AK142" s="7">
        <v>0</v>
      </c>
      <c r="AL142" s="7">
        <v>0</v>
      </c>
      <c r="AM142" s="7">
        <v>0</v>
      </c>
      <c r="AN142" s="7">
        <v>0</v>
      </c>
      <c r="AO142" s="7">
        <v>0</v>
      </c>
      <c r="AP142" s="7">
        <v>0</v>
      </c>
      <c r="AQ142" s="7">
        <v>0</v>
      </c>
      <c r="AR142" s="7">
        <v>0</v>
      </c>
      <c r="AS142" s="7">
        <v>0</v>
      </c>
      <c r="AT142" s="7">
        <v>0</v>
      </c>
      <c r="AU142" s="7">
        <v>0</v>
      </c>
      <c r="AV142" s="7">
        <v>0</v>
      </c>
      <c r="AW142" s="7">
        <v>0</v>
      </c>
      <c r="AX142" s="7">
        <v>0</v>
      </c>
      <c r="AY142" s="7">
        <v>0</v>
      </c>
      <c r="AZ142" s="7">
        <v>0</v>
      </c>
      <c r="BA142" s="7">
        <v>0</v>
      </c>
      <c r="BB142" s="7">
        <v>0</v>
      </c>
      <c r="BC142" s="7">
        <v>0</v>
      </c>
      <c r="BD142">
        <v>0</v>
      </c>
      <c r="BE142">
        <v>28.87</v>
      </c>
      <c r="BF1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2" s="42" t="str">
        <f>+IF(AVANCE[[#This Row],[FECHA INICIO REAL]]="","",AVANCE[[#This Row],[FECHA INICIO REAL]]-AVANCE[[#This Row],[FECHA INICIO TEORICO]])</f>
        <v/>
      </c>
      <c r="BH1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3" spans="1:61" x14ac:dyDescent="0.25">
      <c r="A143" t="s">
        <v>956</v>
      </c>
      <c r="B143" t="s">
        <v>970</v>
      </c>
      <c r="C143">
        <v>2302600142</v>
      </c>
      <c r="D143" t="s">
        <v>834</v>
      </c>
      <c r="E143" s="4">
        <v>0</v>
      </c>
      <c r="F143" s="1">
        <v>46204</v>
      </c>
      <c r="G143" s="1"/>
      <c r="H143" s="1">
        <v>0</v>
      </c>
      <c r="I143" s="1">
        <v>46236</v>
      </c>
      <c r="J143">
        <v>46188</v>
      </c>
      <c r="K143" s="1"/>
      <c r="L143" s="7">
        <v>0</v>
      </c>
      <c r="M143" s="7">
        <v>0</v>
      </c>
      <c r="N143" s="7">
        <v>0</v>
      </c>
      <c r="O143" s="7">
        <v>0</v>
      </c>
      <c r="P143" s="7">
        <v>0</v>
      </c>
      <c r="Q143" s="7">
        <v>0</v>
      </c>
      <c r="R143" s="7">
        <v>0</v>
      </c>
      <c r="S143" s="7">
        <v>0</v>
      </c>
      <c r="T143" s="7">
        <v>0</v>
      </c>
      <c r="U143" s="7">
        <v>0</v>
      </c>
      <c r="V143" s="7">
        <v>0</v>
      </c>
      <c r="W143" s="7">
        <v>0</v>
      </c>
      <c r="X143" s="7">
        <v>0</v>
      </c>
      <c r="Y143" s="7">
        <v>0</v>
      </c>
      <c r="Z143" s="7">
        <v>0</v>
      </c>
      <c r="AA143" s="7">
        <v>0</v>
      </c>
      <c r="AB143" s="7">
        <v>0</v>
      </c>
      <c r="AC143" s="7">
        <v>0</v>
      </c>
      <c r="AD143" s="7">
        <v>0</v>
      </c>
      <c r="AE143" s="7">
        <v>0</v>
      </c>
      <c r="AF143" s="7">
        <v>0</v>
      </c>
      <c r="AG143" s="7">
        <v>0</v>
      </c>
      <c r="AH143" s="7">
        <v>0</v>
      </c>
      <c r="AI143" s="7">
        <v>0</v>
      </c>
      <c r="AJ143" s="7">
        <v>0</v>
      </c>
      <c r="AK143" s="7">
        <v>0</v>
      </c>
      <c r="AL143" s="7">
        <v>0</v>
      </c>
      <c r="AM143" s="7">
        <v>0</v>
      </c>
      <c r="AN143" s="7">
        <v>0</v>
      </c>
      <c r="AO143" s="7">
        <v>0</v>
      </c>
      <c r="AP143" s="7">
        <v>0</v>
      </c>
      <c r="AQ143" s="7">
        <v>0</v>
      </c>
      <c r="AR143" s="7">
        <v>0</v>
      </c>
      <c r="AS143" s="7">
        <v>0</v>
      </c>
      <c r="AT143" s="7">
        <v>0</v>
      </c>
      <c r="AU143" s="7">
        <v>0</v>
      </c>
      <c r="AV143" s="7">
        <v>0</v>
      </c>
      <c r="AW143" s="7">
        <v>0</v>
      </c>
      <c r="AX143" s="7">
        <v>0</v>
      </c>
      <c r="AY143" s="7">
        <v>0</v>
      </c>
      <c r="AZ143" s="7">
        <v>0</v>
      </c>
      <c r="BA143" s="7">
        <v>0</v>
      </c>
      <c r="BB143" s="7">
        <v>0</v>
      </c>
      <c r="BC143" s="7">
        <v>0</v>
      </c>
      <c r="BD143">
        <v>0</v>
      </c>
      <c r="BE143">
        <v>31.32</v>
      </c>
      <c r="BF1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3" s="42" t="str">
        <f>+IF(AVANCE[[#This Row],[FECHA INICIO REAL]]="","",AVANCE[[#This Row],[FECHA INICIO REAL]]-AVANCE[[#This Row],[FECHA INICIO TEORICO]])</f>
        <v/>
      </c>
      <c r="BH1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4" spans="1:61" x14ac:dyDescent="0.25">
      <c r="A144" t="s">
        <v>956</v>
      </c>
      <c r="B144" t="s">
        <v>971</v>
      </c>
      <c r="C144">
        <v>2302600143</v>
      </c>
      <c r="D144" t="s">
        <v>834</v>
      </c>
      <c r="E144" s="4">
        <v>0</v>
      </c>
      <c r="F144" s="1">
        <v>46204</v>
      </c>
      <c r="G144" s="1"/>
      <c r="H144" s="1">
        <v>0</v>
      </c>
      <c r="I144" s="1">
        <v>46236</v>
      </c>
      <c r="J144">
        <v>46188</v>
      </c>
      <c r="K144" s="1"/>
      <c r="L144" s="7">
        <v>0</v>
      </c>
      <c r="M144" s="7">
        <v>0</v>
      </c>
      <c r="N144" s="7">
        <v>0</v>
      </c>
      <c r="O144" s="7">
        <v>0</v>
      </c>
      <c r="P144" s="7">
        <v>0</v>
      </c>
      <c r="Q144" s="7">
        <v>0</v>
      </c>
      <c r="R144" s="7">
        <v>0</v>
      </c>
      <c r="S144" s="7">
        <v>0</v>
      </c>
      <c r="T144" s="7">
        <v>0</v>
      </c>
      <c r="U144" s="7">
        <v>0</v>
      </c>
      <c r="V144" s="7">
        <v>0</v>
      </c>
      <c r="W144" s="7">
        <v>0</v>
      </c>
      <c r="X144" s="7">
        <v>0</v>
      </c>
      <c r="Y144" s="7">
        <v>0</v>
      </c>
      <c r="Z144" s="7">
        <v>0</v>
      </c>
      <c r="AA144" s="7">
        <v>0</v>
      </c>
      <c r="AB144" s="7">
        <v>0</v>
      </c>
      <c r="AC144" s="7">
        <v>0</v>
      </c>
      <c r="AD144" s="7">
        <v>0</v>
      </c>
      <c r="AE144" s="7">
        <v>0</v>
      </c>
      <c r="AF144" s="7">
        <v>0</v>
      </c>
      <c r="AG144" s="7">
        <v>0</v>
      </c>
      <c r="AH144" s="7">
        <v>0</v>
      </c>
      <c r="AI144" s="7">
        <v>0</v>
      </c>
      <c r="AJ144" s="7">
        <v>0</v>
      </c>
      <c r="AK144" s="7">
        <v>0</v>
      </c>
      <c r="AL144" s="7">
        <v>0</v>
      </c>
      <c r="AM144" s="7">
        <v>0</v>
      </c>
      <c r="AN144" s="7">
        <v>0</v>
      </c>
      <c r="AO144" s="7">
        <v>0</v>
      </c>
      <c r="AP144" s="7">
        <v>0</v>
      </c>
      <c r="AQ144" s="7">
        <v>0</v>
      </c>
      <c r="AR144" s="7">
        <v>0</v>
      </c>
      <c r="AS144" s="7">
        <v>0</v>
      </c>
      <c r="AT144" s="7">
        <v>0</v>
      </c>
      <c r="AU144" s="7">
        <v>0</v>
      </c>
      <c r="AV144" s="7">
        <v>0</v>
      </c>
      <c r="AW144" s="7">
        <v>0</v>
      </c>
      <c r="AX144" s="7">
        <v>0</v>
      </c>
      <c r="AY144" s="7">
        <v>0</v>
      </c>
      <c r="AZ144" s="7">
        <v>0</v>
      </c>
      <c r="BA144" s="7">
        <v>0</v>
      </c>
      <c r="BB144" s="7">
        <v>0</v>
      </c>
      <c r="BC144" s="7">
        <v>0</v>
      </c>
      <c r="BD144">
        <v>0</v>
      </c>
      <c r="BE144">
        <v>31.32</v>
      </c>
      <c r="BF1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4" s="42" t="str">
        <f>+IF(AVANCE[[#This Row],[FECHA INICIO REAL]]="","",AVANCE[[#This Row],[FECHA INICIO REAL]]-AVANCE[[#This Row],[FECHA INICIO TEORICO]])</f>
        <v/>
      </c>
      <c r="BH1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5" spans="1:61" x14ac:dyDescent="0.25">
      <c r="A145" t="s">
        <v>956</v>
      </c>
      <c r="B145" t="s">
        <v>972</v>
      </c>
      <c r="C145">
        <v>2282600144</v>
      </c>
      <c r="D145" t="s">
        <v>833</v>
      </c>
      <c r="E145" s="4">
        <v>0</v>
      </c>
      <c r="F145" s="1">
        <v>46205</v>
      </c>
      <c r="G145" s="1"/>
      <c r="H145" s="1">
        <v>0</v>
      </c>
      <c r="I145" s="1">
        <v>46227</v>
      </c>
      <c r="J145">
        <v>46188</v>
      </c>
      <c r="K145" s="1"/>
      <c r="L145" s="7">
        <v>0</v>
      </c>
      <c r="M145" s="7">
        <v>0</v>
      </c>
      <c r="N145" s="7">
        <v>0</v>
      </c>
      <c r="O145" s="7">
        <v>0</v>
      </c>
      <c r="P145" s="7">
        <v>0</v>
      </c>
      <c r="Q145" s="7">
        <v>0</v>
      </c>
      <c r="R145" s="7">
        <v>0</v>
      </c>
      <c r="S145" s="7">
        <v>0</v>
      </c>
      <c r="T145" s="7">
        <v>0</v>
      </c>
      <c r="U145" s="7">
        <v>0</v>
      </c>
      <c r="V145" s="7">
        <v>0</v>
      </c>
      <c r="W145" s="7">
        <v>0</v>
      </c>
      <c r="X145" s="7">
        <v>0</v>
      </c>
      <c r="Y145" s="7">
        <v>0</v>
      </c>
      <c r="Z145" s="7">
        <v>0</v>
      </c>
      <c r="AA145" s="7">
        <v>0</v>
      </c>
      <c r="AB145" s="7">
        <v>0</v>
      </c>
      <c r="AC145" s="7">
        <v>0</v>
      </c>
      <c r="AD145" s="7">
        <v>0</v>
      </c>
      <c r="AE145" s="7">
        <v>0</v>
      </c>
      <c r="AF145" s="7">
        <v>0</v>
      </c>
      <c r="AG145" s="7">
        <v>0</v>
      </c>
      <c r="AH145" s="7">
        <v>0</v>
      </c>
      <c r="AI145" s="7">
        <v>0</v>
      </c>
      <c r="AJ145" s="7">
        <v>0</v>
      </c>
      <c r="AK145" s="7">
        <v>0</v>
      </c>
      <c r="AL145" s="7">
        <v>0</v>
      </c>
      <c r="AM145" s="7">
        <v>0</v>
      </c>
      <c r="AN145" s="7">
        <v>0</v>
      </c>
      <c r="AO145" s="7">
        <v>0</v>
      </c>
      <c r="AP145" s="7">
        <v>0</v>
      </c>
      <c r="AQ145" s="7">
        <v>0</v>
      </c>
      <c r="AR145" s="7">
        <v>0</v>
      </c>
      <c r="AS145" s="7">
        <v>0</v>
      </c>
      <c r="AT145" s="7">
        <v>0</v>
      </c>
      <c r="AU145" s="7">
        <v>0</v>
      </c>
      <c r="AV145" s="7">
        <v>0</v>
      </c>
      <c r="AW145" s="7">
        <v>0</v>
      </c>
      <c r="AX145" s="7">
        <v>0</v>
      </c>
      <c r="AY145" s="7">
        <v>0</v>
      </c>
      <c r="AZ145" s="7">
        <v>0</v>
      </c>
      <c r="BA145" s="7">
        <v>0</v>
      </c>
      <c r="BB145" s="7">
        <v>0</v>
      </c>
      <c r="BC145" s="7">
        <v>0</v>
      </c>
      <c r="BD145">
        <v>0</v>
      </c>
      <c r="BE145">
        <v>28.87</v>
      </c>
      <c r="BF1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5" s="42" t="str">
        <f>+IF(AVANCE[[#This Row],[FECHA INICIO REAL]]="","",AVANCE[[#This Row],[FECHA INICIO REAL]]-AVANCE[[#This Row],[FECHA INICIO TEORICO]])</f>
        <v/>
      </c>
      <c r="BH1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6" spans="1:61" x14ac:dyDescent="0.25">
      <c r="A146" t="s">
        <v>956</v>
      </c>
      <c r="B146" t="s">
        <v>973</v>
      </c>
      <c r="C146">
        <v>2282600145</v>
      </c>
      <c r="D146" t="s">
        <v>833</v>
      </c>
      <c r="E146" s="4">
        <v>0</v>
      </c>
      <c r="F146" s="1">
        <v>46205</v>
      </c>
      <c r="G146" s="1"/>
      <c r="H146" s="1">
        <v>0</v>
      </c>
      <c r="I146" s="1">
        <v>46227</v>
      </c>
      <c r="J146">
        <v>46188</v>
      </c>
      <c r="K146" s="1"/>
      <c r="L146" s="7">
        <v>0</v>
      </c>
      <c r="M146" s="7">
        <v>0</v>
      </c>
      <c r="N146" s="7">
        <v>0</v>
      </c>
      <c r="O146" s="7">
        <v>0</v>
      </c>
      <c r="P146" s="7">
        <v>0</v>
      </c>
      <c r="Q146" s="7">
        <v>0</v>
      </c>
      <c r="R146" s="7">
        <v>0</v>
      </c>
      <c r="S146" s="7">
        <v>0</v>
      </c>
      <c r="T146" s="7">
        <v>0</v>
      </c>
      <c r="U146" s="7">
        <v>0</v>
      </c>
      <c r="V146" s="7">
        <v>0</v>
      </c>
      <c r="W146" s="7">
        <v>0</v>
      </c>
      <c r="X146" s="7">
        <v>0</v>
      </c>
      <c r="Y146" s="7">
        <v>0</v>
      </c>
      <c r="Z146" s="7">
        <v>0</v>
      </c>
      <c r="AA146" s="7">
        <v>0</v>
      </c>
      <c r="AB146" s="7">
        <v>0</v>
      </c>
      <c r="AC146" s="7">
        <v>0</v>
      </c>
      <c r="AD146" s="7">
        <v>0</v>
      </c>
      <c r="AE146" s="7">
        <v>0</v>
      </c>
      <c r="AF146" s="7">
        <v>0</v>
      </c>
      <c r="AG146" s="7">
        <v>0</v>
      </c>
      <c r="AH146" s="7">
        <v>0</v>
      </c>
      <c r="AI146" s="7">
        <v>0</v>
      </c>
      <c r="AJ146" s="7">
        <v>0</v>
      </c>
      <c r="AK146" s="7">
        <v>0</v>
      </c>
      <c r="AL146" s="7">
        <v>0</v>
      </c>
      <c r="AM146" s="7">
        <v>0</v>
      </c>
      <c r="AN146" s="7">
        <v>0</v>
      </c>
      <c r="AO146" s="7">
        <v>0</v>
      </c>
      <c r="AP146" s="7">
        <v>0</v>
      </c>
      <c r="AQ146" s="7">
        <v>0</v>
      </c>
      <c r="AR146" s="7">
        <v>0</v>
      </c>
      <c r="AS146" s="7">
        <v>0</v>
      </c>
      <c r="AT146" s="7">
        <v>0</v>
      </c>
      <c r="AU146" s="7">
        <v>0</v>
      </c>
      <c r="AV146" s="7">
        <v>0</v>
      </c>
      <c r="AW146" s="7">
        <v>0</v>
      </c>
      <c r="AX146" s="7">
        <v>0</v>
      </c>
      <c r="AY146" s="7">
        <v>0</v>
      </c>
      <c r="AZ146" s="7">
        <v>0</v>
      </c>
      <c r="BA146" s="7">
        <v>0</v>
      </c>
      <c r="BB146" s="7">
        <v>0</v>
      </c>
      <c r="BC146" s="7">
        <v>0</v>
      </c>
      <c r="BD146">
        <v>0</v>
      </c>
      <c r="BE146">
        <v>28.87</v>
      </c>
      <c r="BF1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6" s="42" t="str">
        <f>+IF(AVANCE[[#This Row],[FECHA INICIO REAL]]="","",AVANCE[[#This Row],[FECHA INICIO REAL]]-AVANCE[[#This Row],[FECHA INICIO TEORICO]])</f>
        <v/>
      </c>
      <c r="BH1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7" spans="1:61" x14ac:dyDescent="0.25">
      <c r="A147" t="s">
        <v>956</v>
      </c>
      <c r="B147" t="s">
        <v>974</v>
      </c>
      <c r="C147">
        <v>2302600146</v>
      </c>
      <c r="D147" t="s">
        <v>834</v>
      </c>
      <c r="E147" s="4">
        <v>0</v>
      </c>
      <c r="F147" s="1">
        <v>46206</v>
      </c>
      <c r="G147" s="1"/>
      <c r="H147" s="1">
        <v>0</v>
      </c>
      <c r="I147" s="1">
        <v>46238</v>
      </c>
      <c r="J147">
        <v>46188</v>
      </c>
      <c r="K147" s="1"/>
      <c r="L147" s="7">
        <v>0</v>
      </c>
      <c r="M147" s="7">
        <v>0</v>
      </c>
      <c r="N147" s="7">
        <v>0</v>
      </c>
      <c r="O147" s="7">
        <v>0</v>
      </c>
      <c r="P147" s="7">
        <v>0</v>
      </c>
      <c r="Q147" s="7">
        <v>0</v>
      </c>
      <c r="R147" s="7">
        <v>0</v>
      </c>
      <c r="S147" s="7">
        <v>0</v>
      </c>
      <c r="T147" s="7">
        <v>0</v>
      </c>
      <c r="U147" s="7">
        <v>0</v>
      </c>
      <c r="V147" s="7">
        <v>0</v>
      </c>
      <c r="W147" s="7">
        <v>0</v>
      </c>
      <c r="X147" s="7">
        <v>0</v>
      </c>
      <c r="Y147" s="7">
        <v>0</v>
      </c>
      <c r="Z147" s="7">
        <v>0</v>
      </c>
      <c r="AA147" s="7">
        <v>0</v>
      </c>
      <c r="AB147" s="7">
        <v>0</v>
      </c>
      <c r="AC147" s="7">
        <v>0</v>
      </c>
      <c r="AD147" s="7">
        <v>0</v>
      </c>
      <c r="AE147" s="7">
        <v>0</v>
      </c>
      <c r="AF147" s="7">
        <v>0</v>
      </c>
      <c r="AG147" s="7">
        <v>0</v>
      </c>
      <c r="AH147" s="7">
        <v>0</v>
      </c>
      <c r="AI147" s="7">
        <v>0</v>
      </c>
      <c r="AJ147" s="7">
        <v>0</v>
      </c>
      <c r="AK147" s="7">
        <v>0</v>
      </c>
      <c r="AL147" s="7">
        <v>0</v>
      </c>
      <c r="AM147" s="7">
        <v>0</v>
      </c>
      <c r="AN147" s="7">
        <v>0</v>
      </c>
      <c r="AO147" s="7">
        <v>0</v>
      </c>
      <c r="AP147" s="7">
        <v>0</v>
      </c>
      <c r="AQ147" s="7">
        <v>0</v>
      </c>
      <c r="AR147" s="7">
        <v>0</v>
      </c>
      <c r="AS147" s="7">
        <v>0</v>
      </c>
      <c r="AT147" s="7">
        <v>0</v>
      </c>
      <c r="AU147" s="7">
        <v>0</v>
      </c>
      <c r="AV147" s="7">
        <v>0</v>
      </c>
      <c r="AW147" s="7">
        <v>0</v>
      </c>
      <c r="AX147" s="7">
        <v>0</v>
      </c>
      <c r="AY147" s="7">
        <v>0</v>
      </c>
      <c r="AZ147" s="7">
        <v>0</v>
      </c>
      <c r="BA147" s="7">
        <v>0</v>
      </c>
      <c r="BB147" s="7">
        <v>0</v>
      </c>
      <c r="BC147" s="7">
        <v>0</v>
      </c>
      <c r="BD147">
        <v>0</v>
      </c>
      <c r="BE147">
        <v>31.32</v>
      </c>
      <c r="BF1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7" s="42" t="str">
        <f>+IF(AVANCE[[#This Row],[FECHA INICIO REAL]]="","",AVANCE[[#This Row],[FECHA INICIO REAL]]-AVANCE[[#This Row],[FECHA INICIO TEORICO]])</f>
        <v/>
      </c>
      <c r="BH1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8" spans="1:61" x14ac:dyDescent="0.25">
      <c r="A148" t="s">
        <v>956</v>
      </c>
      <c r="B148" t="s">
        <v>975</v>
      </c>
      <c r="C148">
        <v>2302600147</v>
      </c>
      <c r="D148" t="s">
        <v>834</v>
      </c>
      <c r="E148" s="4">
        <v>0</v>
      </c>
      <c r="F148" s="1">
        <v>46206</v>
      </c>
      <c r="G148" s="1"/>
      <c r="H148" s="1">
        <v>0</v>
      </c>
      <c r="I148" s="1">
        <v>46238</v>
      </c>
      <c r="J148">
        <v>46188</v>
      </c>
      <c r="K148" s="1"/>
      <c r="L148" s="7">
        <v>0</v>
      </c>
      <c r="M148" s="7">
        <v>0</v>
      </c>
      <c r="N148" s="7">
        <v>0</v>
      </c>
      <c r="O148" s="7">
        <v>0</v>
      </c>
      <c r="P148" s="7">
        <v>0</v>
      </c>
      <c r="Q148" s="7">
        <v>0</v>
      </c>
      <c r="R148" s="7">
        <v>0</v>
      </c>
      <c r="S148" s="7">
        <v>0</v>
      </c>
      <c r="T148" s="7">
        <v>0</v>
      </c>
      <c r="U148" s="7">
        <v>0</v>
      </c>
      <c r="V148" s="7">
        <v>0</v>
      </c>
      <c r="W148" s="7">
        <v>0</v>
      </c>
      <c r="X148" s="7">
        <v>0</v>
      </c>
      <c r="Y148" s="7">
        <v>0</v>
      </c>
      <c r="Z148" s="7">
        <v>0</v>
      </c>
      <c r="AA148" s="7">
        <v>0</v>
      </c>
      <c r="AB148" s="7">
        <v>0</v>
      </c>
      <c r="AC148" s="7">
        <v>0</v>
      </c>
      <c r="AD148" s="7">
        <v>0</v>
      </c>
      <c r="AE148" s="7">
        <v>0</v>
      </c>
      <c r="AF148" s="7">
        <v>0</v>
      </c>
      <c r="AG148" s="7">
        <v>0</v>
      </c>
      <c r="AH148" s="7">
        <v>0</v>
      </c>
      <c r="AI148" s="7">
        <v>0</v>
      </c>
      <c r="AJ148" s="7">
        <v>0</v>
      </c>
      <c r="AK148" s="7">
        <v>0</v>
      </c>
      <c r="AL148" s="7">
        <v>0</v>
      </c>
      <c r="AM148" s="7">
        <v>0</v>
      </c>
      <c r="AN148" s="7">
        <v>0</v>
      </c>
      <c r="AO148" s="7">
        <v>0</v>
      </c>
      <c r="AP148" s="7">
        <v>0</v>
      </c>
      <c r="AQ148" s="7">
        <v>0</v>
      </c>
      <c r="AR148" s="7">
        <v>0</v>
      </c>
      <c r="AS148" s="7">
        <v>0</v>
      </c>
      <c r="AT148" s="7">
        <v>0</v>
      </c>
      <c r="AU148" s="7">
        <v>0</v>
      </c>
      <c r="AV148" s="7">
        <v>0</v>
      </c>
      <c r="AW148" s="7">
        <v>0</v>
      </c>
      <c r="AX148" s="7">
        <v>0</v>
      </c>
      <c r="AY148" s="7">
        <v>0</v>
      </c>
      <c r="AZ148" s="7">
        <v>0</v>
      </c>
      <c r="BA148" s="7">
        <v>0</v>
      </c>
      <c r="BB148" s="7">
        <v>0</v>
      </c>
      <c r="BC148" s="7">
        <v>0</v>
      </c>
      <c r="BD148">
        <v>0</v>
      </c>
      <c r="BE148">
        <v>31.32</v>
      </c>
      <c r="BF1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8" s="42" t="str">
        <f>+IF(AVANCE[[#This Row],[FECHA INICIO REAL]]="","",AVANCE[[#This Row],[FECHA INICIO REAL]]-AVANCE[[#This Row],[FECHA INICIO TEORICO]])</f>
        <v/>
      </c>
      <c r="BH1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9" spans="1:61" x14ac:dyDescent="0.25">
      <c r="A149" t="s">
        <v>956</v>
      </c>
      <c r="B149" t="s">
        <v>976</v>
      </c>
      <c r="C149">
        <v>2282600148</v>
      </c>
      <c r="D149" t="s">
        <v>833</v>
      </c>
      <c r="E149" s="4">
        <v>0</v>
      </c>
      <c r="F149" s="1">
        <v>46206</v>
      </c>
      <c r="G149" s="1"/>
      <c r="H149" s="1">
        <v>0</v>
      </c>
      <c r="I149" s="1">
        <v>46228</v>
      </c>
      <c r="J149">
        <v>46188</v>
      </c>
      <c r="K149" s="1"/>
      <c r="L149" s="7">
        <v>0</v>
      </c>
      <c r="M149" s="7">
        <v>0</v>
      </c>
      <c r="N149" s="7">
        <v>0</v>
      </c>
      <c r="O149" s="7">
        <v>0</v>
      </c>
      <c r="P149" s="7">
        <v>0</v>
      </c>
      <c r="Q149" s="7">
        <v>0</v>
      </c>
      <c r="R149" s="7">
        <v>0</v>
      </c>
      <c r="S149" s="7">
        <v>0</v>
      </c>
      <c r="T149" s="7">
        <v>0</v>
      </c>
      <c r="U149" s="7">
        <v>0</v>
      </c>
      <c r="V149" s="7">
        <v>0</v>
      </c>
      <c r="W149" s="7">
        <v>0</v>
      </c>
      <c r="X149" s="7">
        <v>0</v>
      </c>
      <c r="Y149" s="7">
        <v>0</v>
      </c>
      <c r="Z149" s="7">
        <v>0</v>
      </c>
      <c r="AA149" s="7">
        <v>0</v>
      </c>
      <c r="AB149" s="7">
        <v>0</v>
      </c>
      <c r="AC149" s="7">
        <v>0</v>
      </c>
      <c r="AD149" s="7">
        <v>0</v>
      </c>
      <c r="AE149" s="7">
        <v>0</v>
      </c>
      <c r="AF149" s="7">
        <v>0</v>
      </c>
      <c r="AG149" s="7">
        <v>0</v>
      </c>
      <c r="AH149" s="7">
        <v>0</v>
      </c>
      <c r="AI149" s="7">
        <v>0</v>
      </c>
      <c r="AJ149" s="7">
        <v>0</v>
      </c>
      <c r="AK149" s="7">
        <v>0</v>
      </c>
      <c r="AL149" s="7">
        <v>0</v>
      </c>
      <c r="AM149" s="7">
        <v>0</v>
      </c>
      <c r="AN149" s="7">
        <v>0</v>
      </c>
      <c r="AO149" s="7">
        <v>0</v>
      </c>
      <c r="AP149" s="7">
        <v>0</v>
      </c>
      <c r="AQ149" s="7">
        <v>0</v>
      </c>
      <c r="AR149" s="7">
        <v>0</v>
      </c>
      <c r="AS149" s="7">
        <v>0</v>
      </c>
      <c r="AT149" s="7">
        <v>0</v>
      </c>
      <c r="AU149" s="7">
        <v>0</v>
      </c>
      <c r="AV149" s="7">
        <v>0</v>
      </c>
      <c r="AW149" s="7">
        <v>0</v>
      </c>
      <c r="AX149" s="7">
        <v>0</v>
      </c>
      <c r="AY149" s="7">
        <v>0</v>
      </c>
      <c r="AZ149" s="7">
        <v>0</v>
      </c>
      <c r="BA149" s="7">
        <v>0</v>
      </c>
      <c r="BB149" s="7">
        <v>0</v>
      </c>
      <c r="BC149" s="7">
        <v>0</v>
      </c>
      <c r="BD149">
        <v>0</v>
      </c>
      <c r="BE149">
        <v>28.87</v>
      </c>
      <c r="BF1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9" s="42" t="str">
        <f>+IF(AVANCE[[#This Row],[FECHA INICIO REAL]]="","",AVANCE[[#This Row],[FECHA INICIO REAL]]-AVANCE[[#This Row],[FECHA INICIO TEORICO]])</f>
        <v/>
      </c>
      <c r="BH1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0" spans="1:61" x14ac:dyDescent="0.25">
      <c r="A150" t="s">
        <v>956</v>
      </c>
      <c r="B150" t="s">
        <v>977</v>
      </c>
      <c r="C150">
        <v>2282600149</v>
      </c>
      <c r="D150" t="s">
        <v>833</v>
      </c>
      <c r="E150" s="4">
        <v>0</v>
      </c>
      <c r="F150" s="1">
        <v>46209</v>
      </c>
      <c r="G150" s="1"/>
      <c r="H150" s="1">
        <v>0</v>
      </c>
      <c r="I150" s="1">
        <v>46231</v>
      </c>
      <c r="J150">
        <v>46188</v>
      </c>
      <c r="K150" s="1"/>
      <c r="L150" s="7">
        <v>0</v>
      </c>
      <c r="M150" s="7">
        <v>0</v>
      </c>
      <c r="N150" s="7">
        <v>0</v>
      </c>
      <c r="O150" s="7">
        <v>0</v>
      </c>
      <c r="P150" s="7">
        <v>0</v>
      </c>
      <c r="Q150" s="7">
        <v>0</v>
      </c>
      <c r="R150" s="7">
        <v>0</v>
      </c>
      <c r="S150" s="7">
        <v>0</v>
      </c>
      <c r="T150" s="7">
        <v>0</v>
      </c>
      <c r="U150" s="7">
        <v>0</v>
      </c>
      <c r="V150" s="7">
        <v>0</v>
      </c>
      <c r="W150" s="7">
        <v>0</v>
      </c>
      <c r="X150" s="7">
        <v>0</v>
      </c>
      <c r="Y150" s="7">
        <v>0</v>
      </c>
      <c r="Z150" s="7">
        <v>0</v>
      </c>
      <c r="AA150" s="7">
        <v>0</v>
      </c>
      <c r="AB150" s="7">
        <v>0</v>
      </c>
      <c r="AC150" s="7">
        <v>0</v>
      </c>
      <c r="AD150" s="7">
        <v>0</v>
      </c>
      <c r="AE150" s="7">
        <v>0</v>
      </c>
      <c r="AF150" s="7">
        <v>0</v>
      </c>
      <c r="AG150" s="7">
        <v>0</v>
      </c>
      <c r="AH150" s="7">
        <v>0</v>
      </c>
      <c r="AI150" s="7">
        <v>0</v>
      </c>
      <c r="AJ150" s="7">
        <v>0</v>
      </c>
      <c r="AK150" s="7">
        <v>0</v>
      </c>
      <c r="AL150" s="7">
        <v>0</v>
      </c>
      <c r="AM150" s="7">
        <v>0</v>
      </c>
      <c r="AN150" s="7">
        <v>0</v>
      </c>
      <c r="AO150" s="7">
        <v>0</v>
      </c>
      <c r="AP150" s="7">
        <v>0</v>
      </c>
      <c r="AQ150" s="7">
        <v>0</v>
      </c>
      <c r="AR150" s="7">
        <v>0</v>
      </c>
      <c r="AS150" s="7">
        <v>0</v>
      </c>
      <c r="AT150" s="7">
        <v>0</v>
      </c>
      <c r="AU150" s="7">
        <v>0</v>
      </c>
      <c r="AV150" s="7">
        <v>0</v>
      </c>
      <c r="AW150" s="7">
        <v>0</v>
      </c>
      <c r="AX150" s="7">
        <v>0</v>
      </c>
      <c r="AY150" s="7">
        <v>0</v>
      </c>
      <c r="AZ150" s="7">
        <v>0</v>
      </c>
      <c r="BA150" s="7">
        <v>0</v>
      </c>
      <c r="BB150" s="7">
        <v>0</v>
      </c>
      <c r="BC150" s="7">
        <v>0</v>
      </c>
      <c r="BD150">
        <v>0</v>
      </c>
      <c r="BE150">
        <v>28.87</v>
      </c>
      <c r="BF1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0" s="42" t="str">
        <f>+IF(AVANCE[[#This Row],[FECHA INICIO REAL]]="","",AVANCE[[#This Row],[FECHA INICIO REAL]]-AVANCE[[#This Row],[FECHA INICIO TEORICO]])</f>
        <v/>
      </c>
      <c r="BH1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1" spans="1:61" x14ac:dyDescent="0.25">
      <c r="A151" t="s">
        <v>956</v>
      </c>
      <c r="B151" t="s">
        <v>978</v>
      </c>
      <c r="C151">
        <v>2302600150</v>
      </c>
      <c r="D151" t="s">
        <v>834</v>
      </c>
      <c r="E151" s="4">
        <v>0</v>
      </c>
      <c r="F151" s="1">
        <v>46209</v>
      </c>
      <c r="G151" s="1"/>
      <c r="H151" s="1">
        <v>0</v>
      </c>
      <c r="I151" s="1">
        <v>46241</v>
      </c>
      <c r="J151">
        <v>46188</v>
      </c>
      <c r="K151" s="1"/>
      <c r="L151" s="7">
        <v>0</v>
      </c>
      <c r="M151" s="7">
        <v>0</v>
      </c>
      <c r="N151" s="7">
        <v>0</v>
      </c>
      <c r="O151" s="7">
        <v>0</v>
      </c>
      <c r="P151" s="7">
        <v>0</v>
      </c>
      <c r="Q151" s="7">
        <v>0</v>
      </c>
      <c r="R151" s="7">
        <v>0</v>
      </c>
      <c r="S151" s="7">
        <v>0</v>
      </c>
      <c r="T151" s="7">
        <v>0</v>
      </c>
      <c r="U151" s="7">
        <v>0</v>
      </c>
      <c r="V151" s="7">
        <v>0</v>
      </c>
      <c r="W151" s="7">
        <v>0</v>
      </c>
      <c r="X151" s="7">
        <v>0</v>
      </c>
      <c r="Y151" s="7">
        <v>0</v>
      </c>
      <c r="Z151" s="7">
        <v>0</v>
      </c>
      <c r="AA151" s="7">
        <v>0</v>
      </c>
      <c r="AB151" s="7">
        <v>0</v>
      </c>
      <c r="AC151" s="7">
        <v>0</v>
      </c>
      <c r="AD151" s="7">
        <v>0</v>
      </c>
      <c r="AE151" s="7">
        <v>0</v>
      </c>
      <c r="AF151" s="7">
        <v>0</v>
      </c>
      <c r="AG151" s="7">
        <v>0</v>
      </c>
      <c r="AH151" s="7">
        <v>0</v>
      </c>
      <c r="AI151" s="7">
        <v>0</v>
      </c>
      <c r="AJ151" s="7">
        <v>0</v>
      </c>
      <c r="AK151" s="7">
        <v>0</v>
      </c>
      <c r="AL151" s="7">
        <v>0</v>
      </c>
      <c r="AM151" s="7">
        <v>0</v>
      </c>
      <c r="AN151" s="7">
        <v>0</v>
      </c>
      <c r="AO151" s="7">
        <v>0</v>
      </c>
      <c r="AP151" s="7">
        <v>0</v>
      </c>
      <c r="AQ151" s="7">
        <v>0</v>
      </c>
      <c r="AR151" s="7">
        <v>0</v>
      </c>
      <c r="AS151" s="7">
        <v>0</v>
      </c>
      <c r="AT151" s="7">
        <v>0</v>
      </c>
      <c r="AU151" s="7">
        <v>0</v>
      </c>
      <c r="AV151" s="7">
        <v>0</v>
      </c>
      <c r="AW151" s="7">
        <v>0</v>
      </c>
      <c r="AX151" s="7">
        <v>0</v>
      </c>
      <c r="AY151" s="7">
        <v>0</v>
      </c>
      <c r="AZ151" s="7">
        <v>0</v>
      </c>
      <c r="BA151" s="7">
        <v>0</v>
      </c>
      <c r="BB151" s="7">
        <v>0</v>
      </c>
      <c r="BC151" s="7">
        <v>0</v>
      </c>
      <c r="BD151">
        <v>0</v>
      </c>
      <c r="BE151">
        <v>31.32</v>
      </c>
      <c r="BF1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1" s="42" t="str">
        <f>+IF(AVANCE[[#This Row],[FECHA INICIO REAL]]="","",AVANCE[[#This Row],[FECHA INICIO REAL]]-AVANCE[[#This Row],[FECHA INICIO TEORICO]])</f>
        <v/>
      </c>
      <c r="BH1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2" spans="1:61" x14ac:dyDescent="0.25">
      <c r="A152" t="s">
        <v>956</v>
      </c>
      <c r="B152" t="s">
        <v>979</v>
      </c>
      <c r="C152">
        <v>2302600151</v>
      </c>
      <c r="D152" t="s">
        <v>834</v>
      </c>
      <c r="E152" s="4">
        <v>0</v>
      </c>
      <c r="F152" s="1">
        <v>46210</v>
      </c>
      <c r="G152" s="1"/>
      <c r="H152" s="1">
        <v>0</v>
      </c>
      <c r="I152" s="1">
        <v>46242</v>
      </c>
      <c r="J152">
        <v>46188</v>
      </c>
      <c r="K152" s="1"/>
      <c r="L152" s="7">
        <v>0</v>
      </c>
      <c r="M152" s="7">
        <v>0</v>
      </c>
      <c r="N152" s="7">
        <v>0</v>
      </c>
      <c r="O152" s="7">
        <v>0</v>
      </c>
      <c r="P152" s="7">
        <v>0</v>
      </c>
      <c r="Q152" s="7">
        <v>0</v>
      </c>
      <c r="R152" s="7">
        <v>0</v>
      </c>
      <c r="S152" s="7">
        <v>0</v>
      </c>
      <c r="T152" s="7">
        <v>0</v>
      </c>
      <c r="U152" s="7">
        <v>0</v>
      </c>
      <c r="V152" s="7">
        <v>0</v>
      </c>
      <c r="W152" s="7">
        <v>0</v>
      </c>
      <c r="X152" s="7">
        <v>0</v>
      </c>
      <c r="Y152" s="7">
        <v>0</v>
      </c>
      <c r="Z152" s="7">
        <v>0</v>
      </c>
      <c r="AA152" s="7">
        <v>0</v>
      </c>
      <c r="AB152" s="7">
        <v>0</v>
      </c>
      <c r="AC152" s="7">
        <v>0</v>
      </c>
      <c r="AD152" s="7">
        <v>0</v>
      </c>
      <c r="AE152" s="7">
        <v>0</v>
      </c>
      <c r="AF152" s="7">
        <v>0</v>
      </c>
      <c r="AG152" s="7">
        <v>0</v>
      </c>
      <c r="AH152" s="7">
        <v>0</v>
      </c>
      <c r="AI152" s="7">
        <v>0</v>
      </c>
      <c r="AJ152" s="7">
        <v>0</v>
      </c>
      <c r="AK152" s="7">
        <v>0</v>
      </c>
      <c r="AL152" s="7">
        <v>0</v>
      </c>
      <c r="AM152" s="7">
        <v>0</v>
      </c>
      <c r="AN152" s="7">
        <v>0</v>
      </c>
      <c r="AO152" s="7">
        <v>0</v>
      </c>
      <c r="AP152" s="7">
        <v>0</v>
      </c>
      <c r="AQ152" s="7">
        <v>0</v>
      </c>
      <c r="AR152" s="7">
        <v>0</v>
      </c>
      <c r="AS152" s="7">
        <v>0</v>
      </c>
      <c r="AT152" s="7">
        <v>0</v>
      </c>
      <c r="AU152" s="7">
        <v>0</v>
      </c>
      <c r="AV152" s="7">
        <v>0</v>
      </c>
      <c r="AW152" s="7">
        <v>0</v>
      </c>
      <c r="AX152" s="7">
        <v>0</v>
      </c>
      <c r="AY152" s="7">
        <v>0</v>
      </c>
      <c r="AZ152" s="7">
        <v>0</v>
      </c>
      <c r="BA152" s="7">
        <v>0</v>
      </c>
      <c r="BB152" s="7">
        <v>0</v>
      </c>
      <c r="BC152" s="7">
        <v>0</v>
      </c>
      <c r="BD152">
        <v>0</v>
      </c>
      <c r="BE152">
        <v>31.32</v>
      </c>
      <c r="BF1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2" s="42" t="str">
        <f>+IF(AVANCE[[#This Row],[FECHA INICIO REAL]]="","",AVANCE[[#This Row],[FECHA INICIO REAL]]-AVANCE[[#This Row],[FECHA INICIO TEORICO]])</f>
        <v/>
      </c>
      <c r="BH1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3" spans="1:61" x14ac:dyDescent="0.25">
      <c r="A153" t="s">
        <v>956</v>
      </c>
      <c r="B153" t="s">
        <v>980</v>
      </c>
      <c r="C153">
        <v>2282600152</v>
      </c>
      <c r="D153" t="s">
        <v>833</v>
      </c>
      <c r="E153" s="4">
        <v>0</v>
      </c>
      <c r="F153" s="1">
        <v>46210</v>
      </c>
      <c r="G153" s="1"/>
      <c r="H153" s="1">
        <v>0</v>
      </c>
      <c r="I153" s="1">
        <v>46232</v>
      </c>
      <c r="J153">
        <v>46188</v>
      </c>
      <c r="K153" s="1"/>
      <c r="L153" s="7">
        <v>0</v>
      </c>
      <c r="M153" s="7">
        <v>0</v>
      </c>
      <c r="N153" s="7">
        <v>0</v>
      </c>
      <c r="O153" s="7">
        <v>0</v>
      </c>
      <c r="P153" s="7">
        <v>0</v>
      </c>
      <c r="Q153" s="7">
        <v>0</v>
      </c>
      <c r="R153" s="7">
        <v>0</v>
      </c>
      <c r="S153" s="7">
        <v>0</v>
      </c>
      <c r="T153" s="7">
        <v>0</v>
      </c>
      <c r="U153" s="7">
        <v>0</v>
      </c>
      <c r="V153" s="7">
        <v>0</v>
      </c>
      <c r="W153" s="7">
        <v>0</v>
      </c>
      <c r="X153" s="7">
        <v>0</v>
      </c>
      <c r="Y153" s="7">
        <v>0</v>
      </c>
      <c r="Z153" s="7">
        <v>0</v>
      </c>
      <c r="AA153" s="7">
        <v>0</v>
      </c>
      <c r="AB153" s="7">
        <v>0</v>
      </c>
      <c r="AC153" s="7">
        <v>0</v>
      </c>
      <c r="AD153" s="7">
        <v>0</v>
      </c>
      <c r="AE153" s="7">
        <v>0</v>
      </c>
      <c r="AF153" s="7">
        <v>0</v>
      </c>
      <c r="AG153" s="7">
        <v>0</v>
      </c>
      <c r="AH153" s="7">
        <v>0</v>
      </c>
      <c r="AI153" s="7">
        <v>0</v>
      </c>
      <c r="AJ153" s="7">
        <v>0</v>
      </c>
      <c r="AK153" s="7">
        <v>0</v>
      </c>
      <c r="AL153" s="7">
        <v>0</v>
      </c>
      <c r="AM153" s="7">
        <v>0</v>
      </c>
      <c r="AN153" s="7">
        <v>0</v>
      </c>
      <c r="AO153" s="7">
        <v>0</v>
      </c>
      <c r="AP153" s="7">
        <v>0</v>
      </c>
      <c r="AQ153" s="7">
        <v>0</v>
      </c>
      <c r="AR153" s="7">
        <v>0</v>
      </c>
      <c r="AS153" s="7">
        <v>0</v>
      </c>
      <c r="AT153" s="7">
        <v>0</v>
      </c>
      <c r="AU153" s="7">
        <v>0</v>
      </c>
      <c r="AV153" s="7">
        <v>0</v>
      </c>
      <c r="AW153" s="7">
        <v>0</v>
      </c>
      <c r="AX153" s="7">
        <v>0</v>
      </c>
      <c r="AY153" s="7">
        <v>0</v>
      </c>
      <c r="AZ153" s="7">
        <v>0</v>
      </c>
      <c r="BA153" s="7">
        <v>0</v>
      </c>
      <c r="BB153" s="7">
        <v>0</v>
      </c>
      <c r="BC153" s="7">
        <v>0</v>
      </c>
      <c r="BD153">
        <v>0</v>
      </c>
      <c r="BE153">
        <v>28.87</v>
      </c>
      <c r="BF1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3" s="42" t="str">
        <f>+IF(AVANCE[[#This Row],[FECHA INICIO REAL]]="","",AVANCE[[#This Row],[FECHA INICIO REAL]]-AVANCE[[#This Row],[FECHA INICIO TEORICO]])</f>
        <v/>
      </c>
      <c r="BH1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4" spans="1:61" x14ac:dyDescent="0.25">
      <c r="A154" t="s">
        <v>956</v>
      </c>
      <c r="B154" t="s">
        <v>981</v>
      </c>
      <c r="C154">
        <v>2282600153</v>
      </c>
      <c r="D154" t="s">
        <v>833</v>
      </c>
      <c r="E154" s="4">
        <v>0</v>
      </c>
      <c r="F154" s="1">
        <v>46210</v>
      </c>
      <c r="G154" s="1"/>
      <c r="H154" s="1">
        <v>0</v>
      </c>
      <c r="I154" s="1">
        <v>46232</v>
      </c>
      <c r="J154">
        <v>46188</v>
      </c>
      <c r="K154" s="1"/>
      <c r="L154" s="7">
        <v>0</v>
      </c>
      <c r="M154" s="7">
        <v>0</v>
      </c>
      <c r="N154" s="7">
        <v>0</v>
      </c>
      <c r="O154" s="7">
        <v>0</v>
      </c>
      <c r="P154" s="7">
        <v>0</v>
      </c>
      <c r="Q154" s="7">
        <v>0</v>
      </c>
      <c r="R154" s="7">
        <v>0</v>
      </c>
      <c r="S154" s="7">
        <v>0</v>
      </c>
      <c r="T154" s="7">
        <v>0</v>
      </c>
      <c r="U154" s="7">
        <v>0</v>
      </c>
      <c r="V154" s="7">
        <v>0</v>
      </c>
      <c r="W154" s="7">
        <v>0</v>
      </c>
      <c r="X154" s="7">
        <v>0</v>
      </c>
      <c r="Y154" s="7">
        <v>0</v>
      </c>
      <c r="Z154" s="7">
        <v>0</v>
      </c>
      <c r="AA154" s="7">
        <v>0</v>
      </c>
      <c r="AB154" s="7">
        <v>0</v>
      </c>
      <c r="AC154" s="7">
        <v>0</v>
      </c>
      <c r="AD154" s="7">
        <v>0</v>
      </c>
      <c r="AE154" s="7">
        <v>0</v>
      </c>
      <c r="AF154" s="7">
        <v>0</v>
      </c>
      <c r="AG154" s="7">
        <v>0</v>
      </c>
      <c r="AH154" s="7">
        <v>0</v>
      </c>
      <c r="AI154" s="7">
        <v>0</v>
      </c>
      <c r="AJ154" s="7">
        <v>0</v>
      </c>
      <c r="AK154" s="7">
        <v>0</v>
      </c>
      <c r="AL154" s="7">
        <v>0</v>
      </c>
      <c r="AM154" s="7">
        <v>0</v>
      </c>
      <c r="AN154" s="7">
        <v>0</v>
      </c>
      <c r="AO154" s="7">
        <v>0</v>
      </c>
      <c r="AP154" s="7">
        <v>0</v>
      </c>
      <c r="AQ154" s="7">
        <v>0</v>
      </c>
      <c r="AR154" s="7">
        <v>0</v>
      </c>
      <c r="AS154" s="7">
        <v>0</v>
      </c>
      <c r="AT154" s="7">
        <v>0</v>
      </c>
      <c r="AU154" s="7">
        <v>0</v>
      </c>
      <c r="AV154" s="7">
        <v>0</v>
      </c>
      <c r="AW154" s="7">
        <v>0</v>
      </c>
      <c r="AX154" s="7">
        <v>0</v>
      </c>
      <c r="AY154" s="7">
        <v>0</v>
      </c>
      <c r="AZ154" s="7">
        <v>0</v>
      </c>
      <c r="BA154" s="7">
        <v>0</v>
      </c>
      <c r="BB154" s="7">
        <v>0</v>
      </c>
      <c r="BC154" s="7">
        <v>0</v>
      </c>
      <c r="BD154">
        <v>0</v>
      </c>
      <c r="BE154">
        <v>28.87</v>
      </c>
      <c r="BF1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4" s="42" t="str">
        <f>+IF(AVANCE[[#This Row],[FECHA INICIO REAL]]="","",AVANCE[[#This Row],[FECHA INICIO REAL]]-AVANCE[[#This Row],[FECHA INICIO TEORICO]])</f>
        <v/>
      </c>
      <c r="BH1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5" spans="1:61" x14ac:dyDescent="0.25">
      <c r="A155" t="s">
        <v>956</v>
      </c>
      <c r="B155" t="s">
        <v>982</v>
      </c>
      <c r="C155">
        <v>2302600154</v>
      </c>
      <c r="D155" t="s">
        <v>834</v>
      </c>
      <c r="E155" s="4">
        <v>0</v>
      </c>
      <c r="F155" s="1">
        <v>46211</v>
      </c>
      <c r="G155" s="1"/>
      <c r="H155" s="1">
        <v>0</v>
      </c>
      <c r="I155" s="1">
        <v>46243</v>
      </c>
      <c r="J155">
        <v>46188</v>
      </c>
      <c r="K155" s="1"/>
      <c r="L155" s="7">
        <v>0</v>
      </c>
      <c r="M155" s="7">
        <v>0</v>
      </c>
      <c r="N155" s="7">
        <v>0</v>
      </c>
      <c r="O155" s="7">
        <v>0</v>
      </c>
      <c r="P155" s="7">
        <v>0</v>
      </c>
      <c r="Q155" s="7">
        <v>0</v>
      </c>
      <c r="R155" s="7">
        <v>0</v>
      </c>
      <c r="S155" s="7">
        <v>0</v>
      </c>
      <c r="T155" s="7">
        <v>0</v>
      </c>
      <c r="U155" s="7">
        <v>0</v>
      </c>
      <c r="V155" s="7">
        <v>0</v>
      </c>
      <c r="W155" s="7">
        <v>0</v>
      </c>
      <c r="X155" s="7">
        <v>0</v>
      </c>
      <c r="Y155" s="7">
        <v>0</v>
      </c>
      <c r="Z155" s="7">
        <v>0</v>
      </c>
      <c r="AA155" s="7">
        <v>0</v>
      </c>
      <c r="AB155" s="7">
        <v>0</v>
      </c>
      <c r="AC155" s="7">
        <v>0</v>
      </c>
      <c r="AD155" s="7">
        <v>0</v>
      </c>
      <c r="AE155" s="7">
        <v>0</v>
      </c>
      <c r="AF155" s="7">
        <v>0</v>
      </c>
      <c r="AG155" s="7">
        <v>0</v>
      </c>
      <c r="AH155" s="7">
        <v>0</v>
      </c>
      <c r="AI155" s="7">
        <v>0</v>
      </c>
      <c r="AJ155" s="7">
        <v>0</v>
      </c>
      <c r="AK155" s="7">
        <v>0</v>
      </c>
      <c r="AL155" s="7">
        <v>0</v>
      </c>
      <c r="AM155" s="7">
        <v>0</v>
      </c>
      <c r="AN155" s="7">
        <v>0</v>
      </c>
      <c r="AO155" s="7">
        <v>0</v>
      </c>
      <c r="AP155" s="7">
        <v>0</v>
      </c>
      <c r="AQ155" s="7">
        <v>0</v>
      </c>
      <c r="AR155" s="7">
        <v>0</v>
      </c>
      <c r="AS155" s="7">
        <v>0</v>
      </c>
      <c r="AT155" s="7">
        <v>0</v>
      </c>
      <c r="AU155" s="7">
        <v>0</v>
      </c>
      <c r="AV155" s="7">
        <v>0</v>
      </c>
      <c r="AW155" s="7">
        <v>0</v>
      </c>
      <c r="AX155" s="7">
        <v>0</v>
      </c>
      <c r="AY155" s="7">
        <v>0</v>
      </c>
      <c r="AZ155" s="7">
        <v>0</v>
      </c>
      <c r="BA155" s="7">
        <v>0</v>
      </c>
      <c r="BB155" s="7">
        <v>0</v>
      </c>
      <c r="BC155" s="7">
        <v>0</v>
      </c>
      <c r="BD155">
        <v>0</v>
      </c>
      <c r="BE155">
        <v>31.32</v>
      </c>
      <c r="BF1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5" s="42" t="str">
        <f>+IF(AVANCE[[#This Row],[FECHA INICIO REAL]]="","",AVANCE[[#This Row],[FECHA INICIO REAL]]-AVANCE[[#This Row],[FECHA INICIO TEORICO]])</f>
        <v/>
      </c>
      <c r="BH1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6" spans="1:61" x14ac:dyDescent="0.25">
      <c r="A156" t="s">
        <v>956</v>
      </c>
      <c r="B156" t="s">
        <v>983</v>
      </c>
      <c r="C156">
        <v>2302600155</v>
      </c>
      <c r="D156" t="s">
        <v>834</v>
      </c>
      <c r="E156" s="4">
        <v>0</v>
      </c>
      <c r="F156" s="1">
        <v>46211</v>
      </c>
      <c r="G156" s="1"/>
      <c r="H156" s="1">
        <v>0</v>
      </c>
      <c r="I156" s="1">
        <v>46243</v>
      </c>
      <c r="J156">
        <v>46188</v>
      </c>
      <c r="K156" s="1"/>
      <c r="L156" s="7">
        <v>0</v>
      </c>
      <c r="M156" s="7">
        <v>0</v>
      </c>
      <c r="N156" s="7">
        <v>0</v>
      </c>
      <c r="O156" s="7">
        <v>0</v>
      </c>
      <c r="P156" s="7">
        <v>0</v>
      </c>
      <c r="Q156" s="7">
        <v>0</v>
      </c>
      <c r="R156" s="7">
        <v>0</v>
      </c>
      <c r="S156" s="7">
        <v>0</v>
      </c>
      <c r="T156" s="7">
        <v>0</v>
      </c>
      <c r="U156" s="7">
        <v>0</v>
      </c>
      <c r="V156" s="7">
        <v>0</v>
      </c>
      <c r="W156" s="7">
        <v>0</v>
      </c>
      <c r="X156" s="7">
        <v>0</v>
      </c>
      <c r="Y156" s="7">
        <v>0</v>
      </c>
      <c r="Z156" s="7">
        <v>0</v>
      </c>
      <c r="AA156" s="7">
        <v>0</v>
      </c>
      <c r="AB156" s="7">
        <v>0</v>
      </c>
      <c r="AC156" s="7">
        <v>0</v>
      </c>
      <c r="AD156" s="7">
        <v>0</v>
      </c>
      <c r="AE156" s="7">
        <v>0</v>
      </c>
      <c r="AF156" s="7">
        <v>0</v>
      </c>
      <c r="AG156" s="7">
        <v>0</v>
      </c>
      <c r="AH156" s="7">
        <v>0</v>
      </c>
      <c r="AI156" s="7">
        <v>0</v>
      </c>
      <c r="AJ156" s="7">
        <v>0</v>
      </c>
      <c r="AK156" s="7">
        <v>0</v>
      </c>
      <c r="AL156" s="7">
        <v>0</v>
      </c>
      <c r="AM156" s="7">
        <v>0</v>
      </c>
      <c r="AN156" s="7">
        <v>0</v>
      </c>
      <c r="AO156" s="7">
        <v>0</v>
      </c>
      <c r="AP156" s="7">
        <v>0</v>
      </c>
      <c r="AQ156" s="7">
        <v>0</v>
      </c>
      <c r="AR156" s="7">
        <v>0</v>
      </c>
      <c r="AS156" s="7">
        <v>0</v>
      </c>
      <c r="AT156" s="7">
        <v>0</v>
      </c>
      <c r="AU156" s="7">
        <v>0</v>
      </c>
      <c r="AV156" s="7">
        <v>0</v>
      </c>
      <c r="AW156" s="7">
        <v>0</v>
      </c>
      <c r="AX156" s="7">
        <v>0</v>
      </c>
      <c r="AY156" s="7">
        <v>0</v>
      </c>
      <c r="AZ156" s="7">
        <v>0</v>
      </c>
      <c r="BA156" s="7">
        <v>0</v>
      </c>
      <c r="BB156" s="7">
        <v>0</v>
      </c>
      <c r="BC156" s="7">
        <v>0</v>
      </c>
      <c r="BD156">
        <v>0</v>
      </c>
      <c r="BE156">
        <v>31.32</v>
      </c>
      <c r="BF1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6" s="42" t="str">
        <f>+IF(AVANCE[[#This Row],[FECHA INICIO REAL]]="","",AVANCE[[#This Row],[FECHA INICIO REAL]]-AVANCE[[#This Row],[FECHA INICIO TEORICO]])</f>
        <v/>
      </c>
      <c r="BH1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7" spans="1:61" x14ac:dyDescent="0.25">
      <c r="A157" t="s">
        <v>956</v>
      </c>
      <c r="B157" t="s">
        <v>984</v>
      </c>
      <c r="C157">
        <v>2282600156</v>
      </c>
      <c r="D157" t="s">
        <v>833</v>
      </c>
      <c r="E157" s="4">
        <v>0</v>
      </c>
      <c r="F157" s="1">
        <v>46212</v>
      </c>
      <c r="G157" s="1"/>
      <c r="H157" s="1">
        <v>0</v>
      </c>
      <c r="I157" s="1">
        <v>46234</v>
      </c>
      <c r="J157">
        <v>46188</v>
      </c>
      <c r="K157" s="1"/>
      <c r="L157" s="7">
        <v>0</v>
      </c>
      <c r="M157" s="7">
        <v>0</v>
      </c>
      <c r="N157" s="7">
        <v>0</v>
      </c>
      <c r="O157" s="7">
        <v>0</v>
      </c>
      <c r="P157" s="7">
        <v>0</v>
      </c>
      <c r="Q157" s="7">
        <v>0</v>
      </c>
      <c r="R157" s="7">
        <v>0</v>
      </c>
      <c r="S157" s="7">
        <v>0</v>
      </c>
      <c r="T157" s="7">
        <v>0</v>
      </c>
      <c r="U157" s="7">
        <v>0</v>
      </c>
      <c r="V157" s="7">
        <v>0</v>
      </c>
      <c r="W157" s="7">
        <v>0</v>
      </c>
      <c r="X157" s="7">
        <v>0</v>
      </c>
      <c r="Y157" s="7">
        <v>0</v>
      </c>
      <c r="Z157" s="7">
        <v>0</v>
      </c>
      <c r="AA157" s="7">
        <v>0</v>
      </c>
      <c r="AB157" s="7">
        <v>0</v>
      </c>
      <c r="AC157" s="7">
        <v>0</v>
      </c>
      <c r="AD157" s="7">
        <v>0</v>
      </c>
      <c r="AE157" s="7">
        <v>0</v>
      </c>
      <c r="AF157" s="7">
        <v>0</v>
      </c>
      <c r="AG157" s="7">
        <v>0</v>
      </c>
      <c r="AH157" s="7">
        <v>0</v>
      </c>
      <c r="AI157" s="7">
        <v>0</v>
      </c>
      <c r="AJ157" s="7">
        <v>0</v>
      </c>
      <c r="AK157" s="7">
        <v>0</v>
      </c>
      <c r="AL157" s="7">
        <v>0</v>
      </c>
      <c r="AM157" s="7">
        <v>0</v>
      </c>
      <c r="AN157" s="7">
        <v>0</v>
      </c>
      <c r="AO157" s="7">
        <v>0</v>
      </c>
      <c r="AP157" s="7">
        <v>0</v>
      </c>
      <c r="AQ157" s="7">
        <v>0</v>
      </c>
      <c r="AR157" s="7">
        <v>0</v>
      </c>
      <c r="AS157" s="7">
        <v>0</v>
      </c>
      <c r="AT157" s="7">
        <v>0</v>
      </c>
      <c r="AU157" s="7">
        <v>0</v>
      </c>
      <c r="AV157" s="7">
        <v>0</v>
      </c>
      <c r="AW157" s="7">
        <v>0</v>
      </c>
      <c r="AX157" s="7">
        <v>0</v>
      </c>
      <c r="AY157" s="7">
        <v>0</v>
      </c>
      <c r="AZ157" s="7">
        <v>0</v>
      </c>
      <c r="BA157" s="7">
        <v>0</v>
      </c>
      <c r="BB157" s="7">
        <v>0</v>
      </c>
      <c r="BC157" s="7">
        <v>0</v>
      </c>
      <c r="BD157">
        <v>0</v>
      </c>
      <c r="BE157">
        <v>28.87</v>
      </c>
      <c r="BF1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7" s="42" t="str">
        <f>+IF(AVANCE[[#This Row],[FECHA INICIO REAL]]="","",AVANCE[[#This Row],[FECHA INICIO REAL]]-AVANCE[[#This Row],[FECHA INICIO TEORICO]])</f>
        <v/>
      </c>
      <c r="BH1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8" spans="1:61" x14ac:dyDescent="0.25">
      <c r="A158" t="s">
        <v>956</v>
      </c>
      <c r="B158" t="s">
        <v>985</v>
      </c>
      <c r="C158">
        <v>2282600157</v>
      </c>
      <c r="D158" t="s">
        <v>833</v>
      </c>
      <c r="E158" s="4">
        <v>0</v>
      </c>
      <c r="F158" s="1">
        <v>46212</v>
      </c>
      <c r="G158" s="1"/>
      <c r="H158" s="1">
        <v>0</v>
      </c>
      <c r="I158" s="1">
        <v>46234</v>
      </c>
      <c r="J158">
        <v>46188</v>
      </c>
      <c r="K158" s="1"/>
      <c r="L158" s="7">
        <v>0</v>
      </c>
      <c r="M158" s="7">
        <v>0</v>
      </c>
      <c r="N158" s="7">
        <v>0</v>
      </c>
      <c r="O158" s="7">
        <v>0</v>
      </c>
      <c r="P158" s="7">
        <v>0</v>
      </c>
      <c r="Q158" s="7">
        <v>0</v>
      </c>
      <c r="R158" s="7">
        <v>0</v>
      </c>
      <c r="S158" s="7">
        <v>0</v>
      </c>
      <c r="T158" s="7">
        <v>0</v>
      </c>
      <c r="U158" s="7">
        <v>0</v>
      </c>
      <c r="V158" s="7">
        <v>0</v>
      </c>
      <c r="W158" s="7">
        <v>0</v>
      </c>
      <c r="X158" s="7">
        <v>0</v>
      </c>
      <c r="Y158" s="7">
        <v>0</v>
      </c>
      <c r="Z158" s="7">
        <v>0</v>
      </c>
      <c r="AA158" s="7">
        <v>0</v>
      </c>
      <c r="AB158" s="7">
        <v>0</v>
      </c>
      <c r="AC158" s="7">
        <v>0</v>
      </c>
      <c r="AD158" s="7">
        <v>0</v>
      </c>
      <c r="AE158" s="7">
        <v>0</v>
      </c>
      <c r="AF158" s="7">
        <v>0</v>
      </c>
      <c r="AG158" s="7">
        <v>0</v>
      </c>
      <c r="AH158" s="7">
        <v>0</v>
      </c>
      <c r="AI158" s="7">
        <v>0</v>
      </c>
      <c r="AJ158" s="7">
        <v>0</v>
      </c>
      <c r="AK158" s="7">
        <v>0</v>
      </c>
      <c r="AL158" s="7">
        <v>0</v>
      </c>
      <c r="AM158" s="7">
        <v>0</v>
      </c>
      <c r="AN158" s="7">
        <v>0</v>
      </c>
      <c r="AO158" s="7">
        <v>0</v>
      </c>
      <c r="AP158" s="7">
        <v>0</v>
      </c>
      <c r="AQ158" s="7">
        <v>0</v>
      </c>
      <c r="AR158" s="7">
        <v>0</v>
      </c>
      <c r="AS158" s="7">
        <v>0</v>
      </c>
      <c r="AT158" s="7">
        <v>0</v>
      </c>
      <c r="AU158" s="7">
        <v>0</v>
      </c>
      <c r="AV158" s="7">
        <v>0</v>
      </c>
      <c r="AW158" s="7">
        <v>0</v>
      </c>
      <c r="AX158" s="7">
        <v>0</v>
      </c>
      <c r="AY158" s="7">
        <v>0</v>
      </c>
      <c r="AZ158" s="7">
        <v>0</v>
      </c>
      <c r="BA158" s="7">
        <v>0</v>
      </c>
      <c r="BB158" s="7">
        <v>0</v>
      </c>
      <c r="BC158" s="7">
        <v>0</v>
      </c>
      <c r="BD158">
        <v>0</v>
      </c>
      <c r="BE158">
        <v>28.87</v>
      </c>
      <c r="BF1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8" s="42" t="str">
        <f>+IF(AVANCE[[#This Row],[FECHA INICIO REAL]]="","",AVANCE[[#This Row],[FECHA INICIO REAL]]-AVANCE[[#This Row],[FECHA INICIO TEORICO]])</f>
        <v/>
      </c>
      <c r="BH1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9" spans="1:61" x14ac:dyDescent="0.25">
      <c r="A159" t="s">
        <v>956</v>
      </c>
      <c r="B159" t="s">
        <v>986</v>
      </c>
      <c r="C159">
        <v>2302600158</v>
      </c>
      <c r="D159" t="s">
        <v>834</v>
      </c>
      <c r="E159" s="4">
        <v>0</v>
      </c>
      <c r="F159" s="1">
        <v>46212</v>
      </c>
      <c r="G159" s="1"/>
      <c r="H159" s="1">
        <v>0</v>
      </c>
      <c r="I159" s="1">
        <v>46244</v>
      </c>
      <c r="J159">
        <v>46188</v>
      </c>
      <c r="K159" s="1"/>
      <c r="L159" s="7">
        <v>0</v>
      </c>
      <c r="M159" s="7">
        <v>0</v>
      </c>
      <c r="N159" s="7">
        <v>0</v>
      </c>
      <c r="O159" s="7">
        <v>0</v>
      </c>
      <c r="P159" s="7">
        <v>0</v>
      </c>
      <c r="Q159" s="7">
        <v>0</v>
      </c>
      <c r="R159" s="7">
        <v>0</v>
      </c>
      <c r="S159" s="7">
        <v>0</v>
      </c>
      <c r="T159" s="7">
        <v>0</v>
      </c>
      <c r="U159" s="7">
        <v>0</v>
      </c>
      <c r="V159" s="7">
        <v>0</v>
      </c>
      <c r="W159" s="7">
        <v>0</v>
      </c>
      <c r="X159" s="7">
        <v>0</v>
      </c>
      <c r="Y159" s="7">
        <v>0</v>
      </c>
      <c r="Z159" s="7">
        <v>0</v>
      </c>
      <c r="AA159" s="7">
        <v>0</v>
      </c>
      <c r="AB159" s="7">
        <v>0</v>
      </c>
      <c r="AC159" s="7">
        <v>0</v>
      </c>
      <c r="AD159" s="7">
        <v>0</v>
      </c>
      <c r="AE159" s="7">
        <v>0</v>
      </c>
      <c r="AF159" s="7">
        <v>0</v>
      </c>
      <c r="AG159" s="7">
        <v>0</v>
      </c>
      <c r="AH159" s="7">
        <v>0</v>
      </c>
      <c r="AI159" s="7">
        <v>0</v>
      </c>
      <c r="AJ159" s="7">
        <v>0</v>
      </c>
      <c r="AK159" s="7">
        <v>0</v>
      </c>
      <c r="AL159" s="7">
        <v>0</v>
      </c>
      <c r="AM159" s="7">
        <v>0</v>
      </c>
      <c r="AN159" s="7">
        <v>0</v>
      </c>
      <c r="AO159" s="7">
        <v>0</v>
      </c>
      <c r="AP159" s="7">
        <v>0</v>
      </c>
      <c r="AQ159" s="7">
        <v>0</v>
      </c>
      <c r="AR159" s="7">
        <v>0</v>
      </c>
      <c r="AS159" s="7">
        <v>0</v>
      </c>
      <c r="AT159" s="7">
        <v>0</v>
      </c>
      <c r="AU159" s="7">
        <v>0</v>
      </c>
      <c r="AV159" s="7">
        <v>0</v>
      </c>
      <c r="AW159" s="7">
        <v>0</v>
      </c>
      <c r="AX159" s="7">
        <v>0</v>
      </c>
      <c r="AY159" s="7">
        <v>0</v>
      </c>
      <c r="AZ159" s="7">
        <v>0</v>
      </c>
      <c r="BA159" s="7">
        <v>0</v>
      </c>
      <c r="BB159" s="7">
        <v>0</v>
      </c>
      <c r="BC159" s="7">
        <v>0</v>
      </c>
      <c r="BD159">
        <v>0</v>
      </c>
      <c r="BE159">
        <v>31.32</v>
      </c>
      <c r="BF1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9" s="42" t="str">
        <f>+IF(AVANCE[[#This Row],[FECHA INICIO REAL]]="","",AVANCE[[#This Row],[FECHA INICIO REAL]]-AVANCE[[#This Row],[FECHA INICIO TEORICO]])</f>
        <v/>
      </c>
      <c r="BH1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0" spans="1:61" x14ac:dyDescent="0.25">
      <c r="A160" t="s">
        <v>956</v>
      </c>
      <c r="B160" t="s">
        <v>987</v>
      </c>
      <c r="C160">
        <v>2302600159</v>
      </c>
      <c r="D160" t="s">
        <v>834</v>
      </c>
      <c r="E160" s="4">
        <v>0</v>
      </c>
      <c r="F160" s="1">
        <v>46213</v>
      </c>
      <c r="G160" s="1"/>
      <c r="H160" s="1">
        <v>0</v>
      </c>
      <c r="I160" s="1">
        <v>46245</v>
      </c>
      <c r="J160">
        <v>46188</v>
      </c>
      <c r="K160" s="1"/>
      <c r="L160" s="7">
        <v>0</v>
      </c>
      <c r="M160" s="7">
        <v>0</v>
      </c>
      <c r="N160" s="7">
        <v>0</v>
      </c>
      <c r="O160" s="7">
        <v>0</v>
      </c>
      <c r="P160" s="7">
        <v>0</v>
      </c>
      <c r="Q160" s="7">
        <v>0</v>
      </c>
      <c r="R160" s="7">
        <v>0</v>
      </c>
      <c r="S160" s="7">
        <v>0</v>
      </c>
      <c r="T160" s="7">
        <v>0</v>
      </c>
      <c r="U160" s="7">
        <v>0</v>
      </c>
      <c r="V160" s="7">
        <v>0</v>
      </c>
      <c r="W160" s="7">
        <v>0</v>
      </c>
      <c r="X160" s="7">
        <v>0</v>
      </c>
      <c r="Y160" s="7">
        <v>0</v>
      </c>
      <c r="Z160" s="7">
        <v>0</v>
      </c>
      <c r="AA160" s="7">
        <v>0</v>
      </c>
      <c r="AB160" s="7">
        <v>0</v>
      </c>
      <c r="AC160" s="7">
        <v>0</v>
      </c>
      <c r="AD160" s="7">
        <v>0</v>
      </c>
      <c r="AE160" s="7">
        <v>0</v>
      </c>
      <c r="AF160" s="7">
        <v>0</v>
      </c>
      <c r="AG160" s="7">
        <v>0</v>
      </c>
      <c r="AH160" s="7">
        <v>0</v>
      </c>
      <c r="AI160" s="7">
        <v>0</v>
      </c>
      <c r="AJ160" s="7">
        <v>0</v>
      </c>
      <c r="AK160" s="7">
        <v>0</v>
      </c>
      <c r="AL160" s="7">
        <v>0</v>
      </c>
      <c r="AM160" s="7">
        <v>0</v>
      </c>
      <c r="AN160" s="7">
        <v>0</v>
      </c>
      <c r="AO160" s="7">
        <v>0</v>
      </c>
      <c r="AP160" s="7">
        <v>0</v>
      </c>
      <c r="AQ160" s="7">
        <v>0</v>
      </c>
      <c r="AR160" s="7">
        <v>0</v>
      </c>
      <c r="AS160" s="7">
        <v>0</v>
      </c>
      <c r="AT160" s="7">
        <v>0</v>
      </c>
      <c r="AU160" s="7">
        <v>0</v>
      </c>
      <c r="AV160" s="7">
        <v>0</v>
      </c>
      <c r="AW160" s="7">
        <v>0</v>
      </c>
      <c r="AX160" s="7">
        <v>0</v>
      </c>
      <c r="AY160" s="7">
        <v>0</v>
      </c>
      <c r="AZ160" s="7">
        <v>0</v>
      </c>
      <c r="BA160" s="7">
        <v>0</v>
      </c>
      <c r="BB160" s="7">
        <v>0</v>
      </c>
      <c r="BC160" s="7">
        <v>0</v>
      </c>
      <c r="BD160">
        <v>0</v>
      </c>
      <c r="BE160">
        <v>31.32</v>
      </c>
      <c r="BF1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0" s="42" t="str">
        <f>+IF(AVANCE[[#This Row],[FECHA INICIO REAL]]="","",AVANCE[[#This Row],[FECHA INICIO REAL]]-AVANCE[[#This Row],[FECHA INICIO TEORICO]])</f>
        <v/>
      </c>
      <c r="BH1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1" spans="1:61" x14ac:dyDescent="0.25">
      <c r="A161" t="s">
        <v>956</v>
      </c>
      <c r="B161" t="s">
        <v>988</v>
      </c>
      <c r="C161">
        <v>2282600160</v>
      </c>
      <c r="D161" t="s">
        <v>833</v>
      </c>
      <c r="E161" s="4">
        <v>0</v>
      </c>
      <c r="F161" s="1">
        <v>46213</v>
      </c>
      <c r="G161" s="1"/>
      <c r="H161" s="1">
        <v>0</v>
      </c>
      <c r="I161" s="1">
        <v>46235</v>
      </c>
      <c r="J161">
        <v>46188</v>
      </c>
      <c r="K161" s="1"/>
      <c r="L161" s="7">
        <v>0</v>
      </c>
      <c r="M161" s="7">
        <v>0</v>
      </c>
      <c r="N161" s="7">
        <v>0</v>
      </c>
      <c r="O161" s="7">
        <v>0</v>
      </c>
      <c r="P161" s="7">
        <v>0</v>
      </c>
      <c r="Q161" s="7">
        <v>0</v>
      </c>
      <c r="R161" s="7">
        <v>0</v>
      </c>
      <c r="S161" s="7">
        <v>0</v>
      </c>
      <c r="T161" s="7">
        <v>0</v>
      </c>
      <c r="U161" s="7">
        <v>0</v>
      </c>
      <c r="V161" s="7">
        <v>0</v>
      </c>
      <c r="W161" s="7">
        <v>0</v>
      </c>
      <c r="X161" s="7">
        <v>0</v>
      </c>
      <c r="Y161" s="7">
        <v>0</v>
      </c>
      <c r="Z161" s="7">
        <v>0</v>
      </c>
      <c r="AA161" s="7">
        <v>0</v>
      </c>
      <c r="AB161" s="7">
        <v>0</v>
      </c>
      <c r="AC161" s="7">
        <v>0</v>
      </c>
      <c r="AD161" s="7">
        <v>0</v>
      </c>
      <c r="AE161" s="7">
        <v>0</v>
      </c>
      <c r="AF161" s="7">
        <v>0</v>
      </c>
      <c r="AG161" s="7">
        <v>0</v>
      </c>
      <c r="AH161" s="7">
        <v>0</v>
      </c>
      <c r="AI161" s="7">
        <v>0</v>
      </c>
      <c r="AJ161" s="7">
        <v>0</v>
      </c>
      <c r="AK161" s="7">
        <v>0</v>
      </c>
      <c r="AL161" s="7">
        <v>0</v>
      </c>
      <c r="AM161" s="7">
        <v>0</v>
      </c>
      <c r="AN161" s="7">
        <v>0</v>
      </c>
      <c r="AO161" s="7">
        <v>0</v>
      </c>
      <c r="AP161" s="7">
        <v>0</v>
      </c>
      <c r="AQ161" s="7">
        <v>0</v>
      </c>
      <c r="AR161" s="7">
        <v>0</v>
      </c>
      <c r="AS161" s="7">
        <v>0</v>
      </c>
      <c r="AT161" s="7">
        <v>0</v>
      </c>
      <c r="AU161" s="7">
        <v>0</v>
      </c>
      <c r="AV161" s="7">
        <v>0</v>
      </c>
      <c r="AW161" s="7">
        <v>0</v>
      </c>
      <c r="AX161" s="7">
        <v>0</v>
      </c>
      <c r="AY161" s="7">
        <v>0</v>
      </c>
      <c r="AZ161" s="7">
        <v>0</v>
      </c>
      <c r="BA161" s="7">
        <v>0</v>
      </c>
      <c r="BB161" s="7">
        <v>0</v>
      </c>
      <c r="BC161" s="7">
        <v>0</v>
      </c>
      <c r="BD161">
        <v>0</v>
      </c>
      <c r="BE161">
        <v>28.87</v>
      </c>
      <c r="BF1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1" s="42" t="str">
        <f>+IF(AVANCE[[#This Row],[FECHA INICIO REAL]]="","",AVANCE[[#This Row],[FECHA INICIO REAL]]-AVANCE[[#This Row],[FECHA INICIO TEORICO]])</f>
        <v/>
      </c>
      <c r="BH1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2" spans="1:61" x14ac:dyDescent="0.25">
      <c r="A162" t="s">
        <v>989</v>
      </c>
      <c r="B162" t="s">
        <v>990</v>
      </c>
      <c r="C162">
        <v>2282600161</v>
      </c>
      <c r="D162" t="s">
        <v>833</v>
      </c>
      <c r="E162" s="4">
        <v>0</v>
      </c>
      <c r="F162" s="1">
        <v>46216</v>
      </c>
      <c r="G162" s="1"/>
      <c r="H162" s="1">
        <v>0</v>
      </c>
      <c r="I162" s="1">
        <v>46236</v>
      </c>
      <c r="J162">
        <v>46188</v>
      </c>
      <c r="K162" s="1"/>
      <c r="L162" s="7">
        <v>0</v>
      </c>
      <c r="M162" s="7">
        <v>0</v>
      </c>
      <c r="N162" s="7">
        <v>0</v>
      </c>
      <c r="O162" s="7">
        <v>0</v>
      </c>
      <c r="P162" s="7">
        <v>0</v>
      </c>
      <c r="Q162" s="7">
        <v>0</v>
      </c>
      <c r="R162" s="7">
        <v>0</v>
      </c>
      <c r="S162" s="7">
        <v>0</v>
      </c>
      <c r="T162" s="7">
        <v>0</v>
      </c>
      <c r="U162" s="7">
        <v>0</v>
      </c>
      <c r="V162" s="7">
        <v>0</v>
      </c>
      <c r="W162" s="7">
        <v>0</v>
      </c>
      <c r="X162" s="7">
        <v>0</v>
      </c>
      <c r="Y162" s="7">
        <v>0</v>
      </c>
      <c r="Z162" s="7">
        <v>0</v>
      </c>
      <c r="AA162" s="7">
        <v>0</v>
      </c>
      <c r="AB162" s="7">
        <v>0</v>
      </c>
      <c r="AC162" s="7">
        <v>0</v>
      </c>
      <c r="AD162" s="7">
        <v>0</v>
      </c>
      <c r="AE162" s="7">
        <v>0</v>
      </c>
      <c r="AF162" s="7">
        <v>0</v>
      </c>
      <c r="AG162" s="7">
        <v>0</v>
      </c>
      <c r="AH162" s="7">
        <v>0</v>
      </c>
      <c r="AI162" s="7">
        <v>0</v>
      </c>
      <c r="AJ162" s="7">
        <v>0</v>
      </c>
      <c r="AK162" s="7">
        <v>0</v>
      </c>
      <c r="AL162" s="7">
        <v>0</v>
      </c>
      <c r="AM162" s="7">
        <v>0</v>
      </c>
      <c r="AN162" s="7">
        <v>0</v>
      </c>
      <c r="AO162" s="7">
        <v>0</v>
      </c>
      <c r="AP162" s="7">
        <v>0</v>
      </c>
      <c r="AQ162" s="7">
        <v>0</v>
      </c>
      <c r="AR162" s="7">
        <v>0</v>
      </c>
      <c r="AS162" s="7">
        <v>0</v>
      </c>
      <c r="AT162" s="7">
        <v>0</v>
      </c>
      <c r="AU162" s="7">
        <v>0</v>
      </c>
      <c r="AV162" s="7">
        <v>0</v>
      </c>
      <c r="AW162" s="7">
        <v>0</v>
      </c>
      <c r="AX162" s="7">
        <v>0</v>
      </c>
      <c r="AY162" s="7">
        <v>0</v>
      </c>
      <c r="AZ162" s="7">
        <v>0</v>
      </c>
      <c r="BA162" s="7">
        <v>0</v>
      </c>
      <c r="BB162" s="7">
        <v>0</v>
      </c>
      <c r="BC162" s="7">
        <v>0</v>
      </c>
      <c r="BD162">
        <v>0</v>
      </c>
      <c r="BE162">
        <v>28.87</v>
      </c>
      <c r="BF1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2" s="42" t="str">
        <f>+IF(AVANCE[[#This Row],[FECHA INICIO REAL]]="","",AVANCE[[#This Row],[FECHA INICIO REAL]]-AVANCE[[#This Row],[FECHA INICIO TEORICO]])</f>
        <v/>
      </c>
      <c r="BH1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3" spans="1:61" x14ac:dyDescent="0.25">
      <c r="A163" t="s">
        <v>989</v>
      </c>
      <c r="B163" t="s">
        <v>991</v>
      </c>
      <c r="C163">
        <v>2302600162</v>
      </c>
      <c r="D163" t="s">
        <v>834</v>
      </c>
      <c r="E163" s="4">
        <v>0</v>
      </c>
      <c r="F163" s="1">
        <v>46216</v>
      </c>
      <c r="G163" s="1"/>
      <c r="H163" s="1">
        <v>0</v>
      </c>
      <c r="I163" s="1">
        <v>46246</v>
      </c>
      <c r="J163">
        <v>46188</v>
      </c>
      <c r="K163" s="1"/>
      <c r="L163" s="7">
        <v>0</v>
      </c>
      <c r="M163" s="7">
        <v>0</v>
      </c>
      <c r="N163" s="7">
        <v>0</v>
      </c>
      <c r="O163" s="7">
        <v>0</v>
      </c>
      <c r="P163" s="7">
        <v>0</v>
      </c>
      <c r="Q163" s="7">
        <v>0</v>
      </c>
      <c r="R163" s="7">
        <v>0</v>
      </c>
      <c r="S163" s="7">
        <v>0</v>
      </c>
      <c r="T163" s="7">
        <v>0</v>
      </c>
      <c r="U163" s="7">
        <v>0</v>
      </c>
      <c r="V163" s="7">
        <v>0</v>
      </c>
      <c r="W163" s="7">
        <v>0</v>
      </c>
      <c r="X163" s="7">
        <v>0</v>
      </c>
      <c r="Y163" s="7">
        <v>0</v>
      </c>
      <c r="Z163" s="7">
        <v>0</v>
      </c>
      <c r="AA163" s="7">
        <v>0</v>
      </c>
      <c r="AB163" s="7">
        <v>0</v>
      </c>
      <c r="AC163" s="7">
        <v>0</v>
      </c>
      <c r="AD163" s="7">
        <v>0</v>
      </c>
      <c r="AE163" s="7">
        <v>0</v>
      </c>
      <c r="AF163" s="7">
        <v>0</v>
      </c>
      <c r="AG163" s="7">
        <v>0</v>
      </c>
      <c r="AH163" s="7">
        <v>0</v>
      </c>
      <c r="AI163" s="7">
        <v>0</v>
      </c>
      <c r="AJ163" s="7">
        <v>0</v>
      </c>
      <c r="AK163" s="7">
        <v>0</v>
      </c>
      <c r="AL163" s="7">
        <v>0</v>
      </c>
      <c r="AM163" s="7">
        <v>0</v>
      </c>
      <c r="AN163" s="7">
        <v>0</v>
      </c>
      <c r="AO163" s="7">
        <v>0</v>
      </c>
      <c r="AP163" s="7">
        <v>0</v>
      </c>
      <c r="AQ163" s="7">
        <v>0</v>
      </c>
      <c r="AR163" s="7">
        <v>0</v>
      </c>
      <c r="AS163" s="7">
        <v>0</v>
      </c>
      <c r="AT163" s="7">
        <v>0</v>
      </c>
      <c r="AU163" s="7">
        <v>0</v>
      </c>
      <c r="AV163" s="7">
        <v>0</v>
      </c>
      <c r="AW163" s="7">
        <v>0</v>
      </c>
      <c r="AX163" s="7">
        <v>0</v>
      </c>
      <c r="AY163" s="7">
        <v>0</v>
      </c>
      <c r="AZ163" s="7">
        <v>0</v>
      </c>
      <c r="BA163" s="7">
        <v>0</v>
      </c>
      <c r="BB163" s="7">
        <v>0</v>
      </c>
      <c r="BC163" s="7">
        <v>0</v>
      </c>
      <c r="BD163">
        <v>0</v>
      </c>
      <c r="BE163">
        <v>31.32</v>
      </c>
      <c r="BF1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3" s="42" t="str">
        <f>+IF(AVANCE[[#This Row],[FECHA INICIO REAL]]="","",AVANCE[[#This Row],[FECHA INICIO REAL]]-AVANCE[[#This Row],[FECHA INICIO TEORICO]])</f>
        <v/>
      </c>
      <c r="BH1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4" spans="1:61" x14ac:dyDescent="0.25">
      <c r="A164" t="s">
        <v>989</v>
      </c>
      <c r="B164" t="s">
        <v>992</v>
      </c>
      <c r="C164">
        <v>2302600163</v>
      </c>
      <c r="D164" t="s">
        <v>834</v>
      </c>
      <c r="E164" s="4">
        <v>0</v>
      </c>
      <c r="F164" s="1">
        <v>46216</v>
      </c>
      <c r="G164" s="1"/>
      <c r="H164" s="1">
        <v>0</v>
      </c>
      <c r="I164" s="1">
        <v>46246</v>
      </c>
      <c r="J164">
        <v>46188</v>
      </c>
      <c r="K164" s="1"/>
      <c r="L164" s="7">
        <v>0</v>
      </c>
      <c r="M164" s="7">
        <v>0</v>
      </c>
      <c r="N164" s="7">
        <v>0</v>
      </c>
      <c r="O164" s="7">
        <v>0</v>
      </c>
      <c r="P164" s="7">
        <v>0</v>
      </c>
      <c r="Q164" s="7">
        <v>0</v>
      </c>
      <c r="R164" s="7">
        <v>0</v>
      </c>
      <c r="S164" s="7">
        <v>0</v>
      </c>
      <c r="T164" s="7">
        <v>0</v>
      </c>
      <c r="U164" s="7">
        <v>0</v>
      </c>
      <c r="V164" s="7">
        <v>0</v>
      </c>
      <c r="W164" s="7">
        <v>0</v>
      </c>
      <c r="X164" s="7">
        <v>0</v>
      </c>
      <c r="Y164" s="7">
        <v>0</v>
      </c>
      <c r="Z164" s="7">
        <v>0</v>
      </c>
      <c r="AA164" s="7">
        <v>0</v>
      </c>
      <c r="AB164" s="7">
        <v>0</v>
      </c>
      <c r="AC164" s="7">
        <v>0</v>
      </c>
      <c r="AD164" s="7">
        <v>0</v>
      </c>
      <c r="AE164" s="7">
        <v>0</v>
      </c>
      <c r="AF164" s="7">
        <v>0</v>
      </c>
      <c r="AG164" s="7">
        <v>0</v>
      </c>
      <c r="AH164" s="7">
        <v>0</v>
      </c>
      <c r="AI164" s="7">
        <v>0</v>
      </c>
      <c r="AJ164" s="7">
        <v>0</v>
      </c>
      <c r="AK164" s="7">
        <v>0</v>
      </c>
      <c r="AL164" s="7">
        <v>0</v>
      </c>
      <c r="AM164" s="7">
        <v>0</v>
      </c>
      <c r="AN164" s="7">
        <v>0</v>
      </c>
      <c r="AO164" s="7">
        <v>0</v>
      </c>
      <c r="AP164" s="7">
        <v>0</v>
      </c>
      <c r="AQ164" s="7">
        <v>0</v>
      </c>
      <c r="AR164" s="7">
        <v>0</v>
      </c>
      <c r="AS164" s="7">
        <v>0</v>
      </c>
      <c r="AT164" s="7">
        <v>0</v>
      </c>
      <c r="AU164" s="7">
        <v>0</v>
      </c>
      <c r="AV164" s="7">
        <v>0</v>
      </c>
      <c r="AW164" s="7">
        <v>0</v>
      </c>
      <c r="AX164" s="7">
        <v>0</v>
      </c>
      <c r="AY164" s="7">
        <v>0</v>
      </c>
      <c r="AZ164" s="7">
        <v>0</v>
      </c>
      <c r="BA164" s="7">
        <v>0</v>
      </c>
      <c r="BB164" s="7">
        <v>0</v>
      </c>
      <c r="BC164" s="7">
        <v>0</v>
      </c>
      <c r="BD164">
        <v>0</v>
      </c>
      <c r="BE164">
        <v>31.32</v>
      </c>
      <c r="BF1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4" s="42" t="str">
        <f>+IF(AVANCE[[#This Row],[FECHA INICIO REAL]]="","",AVANCE[[#This Row],[FECHA INICIO REAL]]-AVANCE[[#This Row],[FECHA INICIO TEORICO]])</f>
        <v/>
      </c>
      <c r="BH1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5" spans="1:61" x14ac:dyDescent="0.25">
      <c r="A165" t="s">
        <v>989</v>
      </c>
      <c r="B165" t="s">
        <v>993</v>
      </c>
      <c r="C165">
        <v>2282600164</v>
      </c>
      <c r="D165" t="s">
        <v>833</v>
      </c>
      <c r="E165" s="4">
        <v>0</v>
      </c>
      <c r="F165" s="1">
        <v>46217</v>
      </c>
      <c r="G165" s="1"/>
      <c r="H165" s="1">
        <v>0</v>
      </c>
      <c r="I165" s="1">
        <v>46237</v>
      </c>
      <c r="J165">
        <v>46188</v>
      </c>
      <c r="K165" s="1"/>
      <c r="L165" s="7">
        <v>0</v>
      </c>
      <c r="M165" s="7">
        <v>0</v>
      </c>
      <c r="N165" s="7">
        <v>0</v>
      </c>
      <c r="O165" s="7">
        <v>0</v>
      </c>
      <c r="P165" s="7">
        <v>0</v>
      </c>
      <c r="Q165" s="7">
        <v>0</v>
      </c>
      <c r="R165" s="7">
        <v>0</v>
      </c>
      <c r="S165" s="7">
        <v>0</v>
      </c>
      <c r="T165" s="7">
        <v>0</v>
      </c>
      <c r="U165" s="7">
        <v>0</v>
      </c>
      <c r="V165" s="7">
        <v>0</v>
      </c>
      <c r="W165" s="7">
        <v>0</v>
      </c>
      <c r="X165" s="7">
        <v>0</v>
      </c>
      <c r="Y165" s="7">
        <v>0</v>
      </c>
      <c r="Z165" s="7">
        <v>0</v>
      </c>
      <c r="AA165" s="7">
        <v>0</v>
      </c>
      <c r="AB165" s="7">
        <v>0</v>
      </c>
      <c r="AC165" s="7">
        <v>0</v>
      </c>
      <c r="AD165" s="7">
        <v>0</v>
      </c>
      <c r="AE165" s="7">
        <v>0</v>
      </c>
      <c r="AF165" s="7">
        <v>0</v>
      </c>
      <c r="AG165" s="7">
        <v>0</v>
      </c>
      <c r="AH165" s="7">
        <v>0</v>
      </c>
      <c r="AI165" s="7">
        <v>0</v>
      </c>
      <c r="AJ165" s="7">
        <v>0</v>
      </c>
      <c r="AK165" s="7">
        <v>0</v>
      </c>
      <c r="AL165" s="7">
        <v>0</v>
      </c>
      <c r="AM165" s="7">
        <v>0</v>
      </c>
      <c r="AN165" s="7">
        <v>0</v>
      </c>
      <c r="AO165" s="7">
        <v>0</v>
      </c>
      <c r="AP165" s="7">
        <v>0</v>
      </c>
      <c r="AQ165" s="7">
        <v>0</v>
      </c>
      <c r="AR165" s="7">
        <v>0</v>
      </c>
      <c r="AS165" s="7">
        <v>0</v>
      </c>
      <c r="AT165" s="7">
        <v>0</v>
      </c>
      <c r="AU165" s="7">
        <v>0</v>
      </c>
      <c r="AV165" s="7">
        <v>0</v>
      </c>
      <c r="AW165" s="7">
        <v>0</v>
      </c>
      <c r="AX165" s="7">
        <v>0</v>
      </c>
      <c r="AY165" s="7">
        <v>0</v>
      </c>
      <c r="AZ165" s="7">
        <v>0</v>
      </c>
      <c r="BA165" s="7">
        <v>0</v>
      </c>
      <c r="BB165" s="7">
        <v>0</v>
      </c>
      <c r="BC165" s="7">
        <v>0</v>
      </c>
      <c r="BD165">
        <v>0</v>
      </c>
      <c r="BE165">
        <v>28.87</v>
      </c>
      <c r="BF1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5" s="42" t="str">
        <f>+IF(AVANCE[[#This Row],[FECHA INICIO REAL]]="","",AVANCE[[#This Row],[FECHA INICIO REAL]]-AVANCE[[#This Row],[FECHA INICIO TEORICO]])</f>
        <v/>
      </c>
      <c r="BH1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6" spans="1:61" x14ac:dyDescent="0.25">
      <c r="A166" t="s">
        <v>989</v>
      </c>
      <c r="B166" t="s">
        <v>994</v>
      </c>
      <c r="C166">
        <v>2282600165</v>
      </c>
      <c r="D166" t="s">
        <v>833</v>
      </c>
      <c r="E166" s="4">
        <v>0</v>
      </c>
      <c r="F166" s="1">
        <v>46217</v>
      </c>
      <c r="G166" s="1"/>
      <c r="H166" s="1">
        <v>0</v>
      </c>
      <c r="I166" s="1">
        <v>46237</v>
      </c>
      <c r="J166">
        <v>46188</v>
      </c>
      <c r="K166" s="1"/>
      <c r="L166" s="7">
        <v>0</v>
      </c>
      <c r="M166" s="7">
        <v>0</v>
      </c>
      <c r="N166" s="7">
        <v>0</v>
      </c>
      <c r="O166" s="7">
        <v>0</v>
      </c>
      <c r="P166" s="7">
        <v>0</v>
      </c>
      <c r="Q166" s="7">
        <v>0</v>
      </c>
      <c r="R166" s="7">
        <v>0</v>
      </c>
      <c r="S166" s="7">
        <v>0</v>
      </c>
      <c r="T166" s="7">
        <v>0</v>
      </c>
      <c r="U166" s="7">
        <v>0</v>
      </c>
      <c r="V166" s="7">
        <v>0</v>
      </c>
      <c r="W166" s="7">
        <v>0</v>
      </c>
      <c r="X166" s="7">
        <v>0</v>
      </c>
      <c r="Y166" s="7">
        <v>0</v>
      </c>
      <c r="Z166" s="7">
        <v>0</v>
      </c>
      <c r="AA166" s="7">
        <v>0</v>
      </c>
      <c r="AB166" s="7">
        <v>0</v>
      </c>
      <c r="AC166" s="7">
        <v>0</v>
      </c>
      <c r="AD166" s="7">
        <v>0</v>
      </c>
      <c r="AE166" s="7">
        <v>0</v>
      </c>
      <c r="AF166" s="7">
        <v>0</v>
      </c>
      <c r="AG166" s="7">
        <v>0</v>
      </c>
      <c r="AH166" s="7">
        <v>0</v>
      </c>
      <c r="AI166" s="7">
        <v>0</v>
      </c>
      <c r="AJ166" s="7">
        <v>0</v>
      </c>
      <c r="AK166" s="7">
        <v>0</v>
      </c>
      <c r="AL166" s="7">
        <v>0</v>
      </c>
      <c r="AM166" s="7">
        <v>0</v>
      </c>
      <c r="AN166" s="7">
        <v>0</v>
      </c>
      <c r="AO166" s="7">
        <v>0</v>
      </c>
      <c r="AP166" s="7">
        <v>0</v>
      </c>
      <c r="AQ166" s="7">
        <v>0</v>
      </c>
      <c r="AR166" s="7">
        <v>0</v>
      </c>
      <c r="AS166" s="7">
        <v>0</v>
      </c>
      <c r="AT166" s="7">
        <v>0</v>
      </c>
      <c r="AU166" s="7">
        <v>0</v>
      </c>
      <c r="AV166" s="7">
        <v>0</v>
      </c>
      <c r="AW166" s="7">
        <v>0</v>
      </c>
      <c r="AX166" s="7">
        <v>0</v>
      </c>
      <c r="AY166" s="7">
        <v>0</v>
      </c>
      <c r="AZ166" s="7">
        <v>0</v>
      </c>
      <c r="BA166" s="7">
        <v>0</v>
      </c>
      <c r="BB166" s="7">
        <v>0</v>
      </c>
      <c r="BC166" s="7">
        <v>0</v>
      </c>
      <c r="BD166">
        <v>0</v>
      </c>
      <c r="BE166">
        <v>28.87</v>
      </c>
      <c r="BF1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6" s="42" t="str">
        <f>+IF(AVANCE[[#This Row],[FECHA INICIO REAL]]="","",AVANCE[[#This Row],[FECHA INICIO REAL]]-AVANCE[[#This Row],[FECHA INICIO TEORICO]])</f>
        <v/>
      </c>
      <c r="BH1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7" spans="1:61" x14ac:dyDescent="0.25">
      <c r="A167" t="s">
        <v>989</v>
      </c>
      <c r="B167" t="s">
        <v>995</v>
      </c>
      <c r="C167">
        <v>2302600166</v>
      </c>
      <c r="D167" t="s">
        <v>834</v>
      </c>
      <c r="E167" s="4">
        <v>0</v>
      </c>
      <c r="F167" s="1">
        <v>46218</v>
      </c>
      <c r="G167" s="1"/>
      <c r="H167" s="1">
        <v>0</v>
      </c>
      <c r="I167" s="1">
        <v>46248</v>
      </c>
      <c r="J167">
        <v>46188</v>
      </c>
      <c r="K167" s="1"/>
      <c r="L167" s="7">
        <v>0</v>
      </c>
      <c r="M167" s="7">
        <v>0</v>
      </c>
      <c r="N167" s="7">
        <v>0</v>
      </c>
      <c r="O167" s="7">
        <v>0</v>
      </c>
      <c r="P167" s="7">
        <v>0</v>
      </c>
      <c r="Q167" s="7">
        <v>0</v>
      </c>
      <c r="R167" s="7">
        <v>0</v>
      </c>
      <c r="S167" s="7">
        <v>0</v>
      </c>
      <c r="T167" s="7">
        <v>0</v>
      </c>
      <c r="U167" s="7">
        <v>0</v>
      </c>
      <c r="V167" s="7">
        <v>0</v>
      </c>
      <c r="W167" s="7">
        <v>0</v>
      </c>
      <c r="X167" s="7">
        <v>0</v>
      </c>
      <c r="Y167" s="7">
        <v>0</v>
      </c>
      <c r="Z167" s="7">
        <v>0</v>
      </c>
      <c r="AA167" s="7">
        <v>0</v>
      </c>
      <c r="AB167" s="7">
        <v>0</v>
      </c>
      <c r="AC167" s="7">
        <v>0</v>
      </c>
      <c r="AD167" s="7">
        <v>0</v>
      </c>
      <c r="AE167" s="7">
        <v>0</v>
      </c>
      <c r="AF167" s="7">
        <v>0</v>
      </c>
      <c r="AG167" s="7">
        <v>0</v>
      </c>
      <c r="AH167" s="7">
        <v>0</v>
      </c>
      <c r="AI167" s="7">
        <v>0</v>
      </c>
      <c r="AJ167" s="7">
        <v>0</v>
      </c>
      <c r="AK167" s="7">
        <v>0</v>
      </c>
      <c r="AL167" s="7">
        <v>0</v>
      </c>
      <c r="AM167" s="7">
        <v>0</v>
      </c>
      <c r="AN167" s="7">
        <v>0</v>
      </c>
      <c r="AO167" s="7">
        <v>0</v>
      </c>
      <c r="AP167" s="7">
        <v>0</v>
      </c>
      <c r="AQ167" s="7">
        <v>0</v>
      </c>
      <c r="AR167" s="7">
        <v>0</v>
      </c>
      <c r="AS167" s="7">
        <v>0</v>
      </c>
      <c r="AT167" s="7">
        <v>0</v>
      </c>
      <c r="AU167" s="7">
        <v>0</v>
      </c>
      <c r="AV167" s="7">
        <v>0</v>
      </c>
      <c r="AW167" s="7">
        <v>0</v>
      </c>
      <c r="AX167" s="7">
        <v>0</v>
      </c>
      <c r="AY167" s="7">
        <v>0</v>
      </c>
      <c r="AZ167" s="7">
        <v>0</v>
      </c>
      <c r="BA167" s="7">
        <v>0</v>
      </c>
      <c r="BB167" s="7">
        <v>0</v>
      </c>
      <c r="BC167" s="7">
        <v>0</v>
      </c>
      <c r="BD167">
        <v>0</v>
      </c>
      <c r="BE167">
        <v>31.32</v>
      </c>
      <c r="BF1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7" s="42" t="str">
        <f>+IF(AVANCE[[#This Row],[FECHA INICIO REAL]]="","",AVANCE[[#This Row],[FECHA INICIO REAL]]-AVANCE[[#This Row],[FECHA INICIO TEORICO]])</f>
        <v/>
      </c>
      <c r="BH1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8" spans="1:61" x14ac:dyDescent="0.25">
      <c r="A168" t="s">
        <v>989</v>
      </c>
      <c r="B168" t="s">
        <v>996</v>
      </c>
      <c r="C168">
        <v>2302600167</v>
      </c>
      <c r="D168" t="s">
        <v>834</v>
      </c>
      <c r="E168" s="4">
        <v>0</v>
      </c>
      <c r="F168" s="1">
        <v>46218</v>
      </c>
      <c r="G168" s="1"/>
      <c r="H168" s="1">
        <v>0</v>
      </c>
      <c r="I168" s="1">
        <v>46248</v>
      </c>
      <c r="J168">
        <v>46188</v>
      </c>
      <c r="K168" s="1"/>
      <c r="L168" s="7">
        <v>0</v>
      </c>
      <c r="M168" s="7">
        <v>0</v>
      </c>
      <c r="N168" s="7">
        <v>0</v>
      </c>
      <c r="O168" s="7">
        <v>0</v>
      </c>
      <c r="P168" s="7">
        <v>0</v>
      </c>
      <c r="Q168" s="7">
        <v>0</v>
      </c>
      <c r="R168" s="7">
        <v>0</v>
      </c>
      <c r="S168" s="7">
        <v>0</v>
      </c>
      <c r="T168" s="7">
        <v>0</v>
      </c>
      <c r="U168" s="7">
        <v>0</v>
      </c>
      <c r="V168" s="7">
        <v>0</v>
      </c>
      <c r="W168" s="7">
        <v>0</v>
      </c>
      <c r="X168" s="7">
        <v>0</v>
      </c>
      <c r="Y168" s="7">
        <v>0</v>
      </c>
      <c r="Z168" s="7">
        <v>0</v>
      </c>
      <c r="AA168" s="7">
        <v>0</v>
      </c>
      <c r="AB168" s="7">
        <v>0</v>
      </c>
      <c r="AC168" s="7">
        <v>0</v>
      </c>
      <c r="AD168" s="7">
        <v>0</v>
      </c>
      <c r="AE168" s="7">
        <v>0</v>
      </c>
      <c r="AF168" s="7">
        <v>0</v>
      </c>
      <c r="AG168" s="7">
        <v>0</v>
      </c>
      <c r="AH168" s="7">
        <v>0</v>
      </c>
      <c r="AI168" s="7">
        <v>0</v>
      </c>
      <c r="AJ168" s="7">
        <v>0</v>
      </c>
      <c r="AK168" s="7">
        <v>0</v>
      </c>
      <c r="AL168" s="7">
        <v>0</v>
      </c>
      <c r="AM168" s="7">
        <v>0</v>
      </c>
      <c r="AN168" s="7">
        <v>0</v>
      </c>
      <c r="AO168" s="7">
        <v>0</v>
      </c>
      <c r="AP168" s="7">
        <v>0</v>
      </c>
      <c r="AQ168" s="7">
        <v>0</v>
      </c>
      <c r="AR168" s="7">
        <v>0</v>
      </c>
      <c r="AS168" s="7">
        <v>0</v>
      </c>
      <c r="AT168" s="7">
        <v>0</v>
      </c>
      <c r="AU168" s="7">
        <v>0</v>
      </c>
      <c r="AV168" s="7">
        <v>0</v>
      </c>
      <c r="AW168" s="7">
        <v>0</v>
      </c>
      <c r="AX168" s="7">
        <v>0</v>
      </c>
      <c r="AY168" s="7">
        <v>0</v>
      </c>
      <c r="AZ168" s="7">
        <v>0</v>
      </c>
      <c r="BA168" s="7">
        <v>0</v>
      </c>
      <c r="BB168" s="7">
        <v>0</v>
      </c>
      <c r="BC168" s="7">
        <v>0</v>
      </c>
      <c r="BD168">
        <v>0</v>
      </c>
      <c r="BE168">
        <v>31.32</v>
      </c>
      <c r="BF1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8" s="42" t="str">
        <f>+IF(AVANCE[[#This Row],[FECHA INICIO REAL]]="","",AVANCE[[#This Row],[FECHA INICIO REAL]]-AVANCE[[#This Row],[FECHA INICIO TEORICO]])</f>
        <v/>
      </c>
      <c r="BH1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9" spans="1:61" x14ac:dyDescent="0.25">
      <c r="A169" t="s">
        <v>989</v>
      </c>
      <c r="B169" t="s">
        <v>997</v>
      </c>
      <c r="C169">
        <v>2282600168</v>
      </c>
      <c r="D169" t="s">
        <v>833</v>
      </c>
      <c r="E169" s="4">
        <v>0</v>
      </c>
      <c r="F169" s="1">
        <v>46218</v>
      </c>
      <c r="G169" s="1"/>
      <c r="H169" s="1">
        <v>0</v>
      </c>
      <c r="I169" s="1">
        <v>46238</v>
      </c>
      <c r="J169">
        <v>46188</v>
      </c>
      <c r="K169" s="1"/>
      <c r="L169" s="7">
        <v>0</v>
      </c>
      <c r="M169" s="7">
        <v>0</v>
      </c>
      <c r="N169" s="7">
        <v>0</v>
      </c>
      <c r="O169" s="7">
        <v>0</v>
      </c>
      <c r="P169" s="7">
        <v>0</v>
      </c>
      <c r="Q169" s="7">
        <v>0</v>
      </c>
      <c r="R169" s="7">
        <v>0</v>
      </c>
      <c r="S169" s="7">
        <v>0</v>
      </c>
      <c r="T169" s="7">
        <v>0</v>
      </c>
      <c r="U169" s="7">
        <v>0</v>
      </c>
      <c r="V169" s="7">
        <v>0</v>
      </c>
      <c r="W169" s="7">
        <v>0</v>
      </c>
      <c r="X169" s="7">
        <v>0</v>
      </c>
      <c r="Y169" s="7">
        <v>0</v>
      </c>
      <c r="Z169" s="7">
        <v>0</v>
      </c>
      <c r="AA169" s="7">
        <v>0</v>
      </c>
      <c r="AB169" s="7">
        <v>0</v>
      </c>
      <c r="AC169" s="7">
        <v>0</v>
      </c>
      <c r="AD169" s="7">
        <v>0</v>
      </c>
      <c r="AE169" s="7">
        <v>0</v>
      </c>
      <c r="AF169" s="7">
        <v>0</v>
      </c>
      <c r="AG169" s="7">
        <v>0</v>
      </c>
      <c r="AH169" s="7">
        <v>0</v>
      </c>
      <c r="AI169" s="7">
        <v>0</v>
      </c>
      <c r="AJ169" s="7">
        <v>0</v>
      </c>
      <c r="AK169" s="7">
        <v>0</v>
      </c>
      <c r="AL169" s="7">
        <v>0</v>
      </c>
      <c r="AM169" s="7">
        <v>0</v>
      </c>
      <c r="AN169" s="7">
        <v>0</v>
      </c>
      <c r="AO169" s="7">
        <v>0</v>
      </c>
      <c r="AP169" s="7">
        <v>0</v>
      </c>
      <c r="AQ169" s="7">
        <v>0</v>
      </c>
      <c r="AR169" s="7">
        <v>0</v>
      </c>
      <c r="AS169" s="7">
        <v>0</v>
      </c>
      <c r="AT169" s="7">
        <v>0</v>
      </c>
      <c r="AU169" s="7">
        <v>0</v>
      </c>
      <c r="AV169" s="7">
        <v>0</v>
      </c>
      <c r="AW169" s="7">
        <v>0</v>
      </c>
      <c r="AX169" s="7">
        <v>0</v>
      </c>
      <c r="AY169" s="7">
        <v>0</v>
      </c>
      <c r="AZ169" s="7">
        <v>0</v>
      </c>
      <c r="BA169" s="7">
        <v>0</v>
      </c>
      <c r="BB169" s="7">
        <v>0</v>
      </c>
      <c r="BC169" s="7">
        <v>0</v>
      </c>
      <c r="BD169">
        <v>0</v>
      </c>
      <c r="BE169">
        <v>28.87</v>
      </c>
      <c r="BF1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9" s="42" t="str">
        <f>+IF(AVANCE[[#This Row],[FECHA INICIO REAL]]="","",AVANCE[[#This Row],[FECHA INICIO REAL]]-AVANCE[[#This Row],[FECHA INICIO TEORICO]])</f>
        <v/>
      </c>
      <c r="BH1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0" spans="1:61" x14ac:dyDescent="0.25">
      <c r="A170" t="s">
        <v>989</v>
      </c>
      <c r="B170" t="s">
        <v>998</v>
      </c>
      <c r="C170">
        <v>2282600169</v>
      </c>
      <c r="D170" t="s">
        <v>833</v>
      </c>
      <c r="E170" s="4">
        <v>0</v>
      </c>
      <c r="F170" s="1">
        <v>46219</v>
      </c>
      <c r="G170" s="1"/>
      <c r="H170" s="1">
        <v>0</v>
      </c>
      <c r="I170" s="1">
        <v>46239</v>
      </c>
      <c r="J170">
        <v>46188</v>
      </c>
      <c r="K170" s="1"/>
      <c r="L170" s="7">
        <v>0</v>
      </c>
      <c r="M170" s="7">
        <v>0</v>
      </c>
      <c r="N170" s="7">
        <v>0</v>
      </c>
      <c r="O170" s="7">
        <v>0</v>
      </c>
      <c r="P170" s="7">
        <v>0</v>
      </c>
      <c r="Q170" s="7">
        <v>0</v>
      </c>
      <c r="R170" s="7">
        <v>0</v>
      </c>
      <c r="S170" s="7">
        <v>0</v>
      </c>
      <c r="T170" s="7">
        <v>0</v>
      </c>
      <c r="U170" s="7">
        <v>0</v>
      </c>
      <c r="V170" s="7">
        <v>0</v>
      </c>
      <c r="W170" s="7">
        <v>0</v>
      </c>
      <c r="X170" s="7">
        <v>0</v>
      </c>
      <c r="Y170" s="7">
        <v>0</v>
      </c>
      <c r="Z170" s="7">
        <v>0</v>
      </c>
      <c r="AA170" s="7">
        <v>0</v>
      </c>
      <c r="AB170" s="7">
        <v>0</v>
      </c>
      <c r="AC170" s="7">
        <v>0</v>
      </c>
      <c r="AD170" s="7">
        <v>0</v>
      </c>
      <c r="AE170" s="7">
        <v>0</v>
      </c>
      <c r="AF170" s="7">
        <v>0</v>
      </c>
      <c r="AG170" s="7">
        <v>0</v>
      </c>
      <c r="AH170" s="7">
        <v>0</v>
      </c>
      <c r="AI170" s="7">
        <v>0</v>
      </c>
      <c r="AJ170" s="7">
        <v>0</v>
      </c>
      <c r="AK170" s="7">
        <v>0</v>
      </c>
      <c r="AL170" s="7">
        <v>0</v>
      </c>
      <c r="AM170" s="7">
        <v>0</v>
      </c>
      <c r="AN170" s="7">
        <v>0</v>
      </c>
      <c r="AO170" s="7">
        <v>0</v>
      </c>
      <c r="AP170" s="7">
        <v>0</v>
      </c>
      <c r="AQ170" s="7">
        <v>0</v>
      </c>
      <c r="AR170" s="7">
        <v>0</v>
      </c>
      <c r="AS170" s="7">
        <v>0</v>
      </c>
      <c r="AT170" s="7">
        <v>0</v>
      </c>
      <c r="AU170" s="7">
        <v>0</v>
      </c>
      <c r="AV170" s="7">
        <v>0</v>
      </c>
      <c r="AW170" s="7">
        <v>0</v>
      </c>
      <c r="AX170" s="7">
        <v>0</v>
      </c>
      <c r="AY170" s="7">
        <v>0</v>
      </c>
      <c r="AZ170" s="7">
        <v>0</v>
      </c>
      <c r="BA170" s="7">
        <v>0</v>
      </c>
      <c r="BB170" s="7">
        <v>0</v>
      </c>
      <c r="BC170" s="7">
        <v>0</v>
      </c>
      <c r="BD170">
        <v>0</v>
      </c>
      <c r="BE170">
        <v>28.87</v>
      </c>
      <c r="BF1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0" s="42" t="str">
        <f>+IF(AVANCE[[#This Row],[FECHA INICIO REAL]]="","",AVANCE[[#This Row],[FECHA INICIO REAL]]-AVANCE[[#This Row],[FECHA INICIO TEORICO]])</f>
        <v/>
      </c>
      <c r="BH1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1" spans="1:61" x14ac:dyDescent="0.25">
      <c r="A171" t="s">
        <v>989</v>
      </c>
      <c r="B171" t="s">
        <v>999</v>
      </c>
      <c r="C171">
        <v>2302600170</v>
      </c>
      <c r="D171" t="s">
        <v>834</v>
      </c>
      <c r="E171" s="4">
        <v>0</v>
      </c>
      <c r="F171" s="1">
        <v>46219</v>
      </c>
      <c r="G171" s="1"/>
      <c r="H171" s="1">
        <v>0</v>
      </c>
      <c r="I171" s="1">
        <v>46249</v>
      </c>
      <c r="J171">
        <v>46188</v>
      </c>
      <c r="K171" s="1"/>
      <c r="L171" s="7">
        <v>0</v>
      </c>
      <c r="M171" s="7">
        <v>0</v>
      </c>
      <c r="N171" s="7">
        <v>0</v>
      </c>
      <c r="O171" s="7">
        <v>0</v>
      </c>
      <c r="P171" s="7">
        <v>0</v>
      </c>
      <c r="Q171" s="7">
        <v>0</v>
      </c>
      <c r="R171" s="7">
        <v>0</v>
      </c>
      <c r="S171" s="7">
        <v>0</v>
      </c>
      <c r="T171" s="7">
        <v>0</v>
      </c>
      <c r="U171" s="7">
        <v>0</v>
      </c>
      <c r="V171" s="7">
        <v>0</v>
      </c>
      <c r="W171" s="7">
        <v>0</v>
      </c>
      <c r="X171" s="7">
        <v>0</v>
      </c>
      <c r="Y171" s="7">
        <v>0</v>
      </c>
      <c r="Z171" s="7">
        <v>0</v>
      </c>
      <c r="AA171" s="7">
        <v>0</v>
      </c>
      <c r="AB171" s="7">
        <v>0</v>
      </c>
      <c r="AC171" s="7">
        <v>0</v>
      </c>
      <c r="AD171" s="7">
        <v>0</v>
      </c>
      <c r="AE171" s="7">
        <v>0</v>
      </c>
      <c r="AF171" s="7">
        <v>0</v>
      </c>
      <c r="AG171" s="7">
        <v>0</v>
      </c>
      <c r="AH171" s="7">
        <v>0</v>
      </c>
      <c r="AI171" s="7">
        <v>0</v>
      </c>
      <c r="AJ171" s="7">
        <v>0</v>
      </c>
      <c r="AK171" s="7">
        <v>0</v>
      </c>
      <c r="AL171" s="7">
        <v>0</v>
      </c>
      <c r="AM171" s="7">
        <v>0</v>
      </c>
      <c r="AN171" s="7">
        <v>0</v>
      </c>
      <c r="AO171" s="7">
        <v>0</v>
      </c>
      <c r="AP171" s="7">
        <v>0</v>
      </c>
      <c r="AQ171" s="7">
        <v>0</v>
      </c>
      <c r="AR171" s="7">
        <v>0</v>
      </c>
      <c r="AS171" s="7">
        <v>0</v>
      </c>
      <c r="AT171" s="7">
        <v>0</v>
      </c>
      <c r="AU171" s="7">
        <v>0</v>
      </c>
      <c r="AV171" s="7">
        <v>0</v>
      </c>
      <c r="AW171" s="7">
        <v>0</v>
      </c>
      <c r="AX171" s="7">
        <v>0</v>
      </c>
      <c r="AY171" s="7">
        <v>0</v>
      </c>
      <c r="AZ171" s="7">
        <v>0</v>
      </c>
      <c r="BA171" s="7">
        <v>0</v>
      </c>
      <c r="BB171" s="7">
        <v>0</v>
      </c>
      <c r="BC171" s="7">
        <v>0</v>
      </c>
      <c r="BD171">
        <v>0</v>
      </c>
      <c r="BE171">
        <v>31.32</v>
      </c>
      <c r="BF1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1" s="42" t="str">
        <f>+IF(AVANCE[[#This Row],[FECHA INICIO REAL]]="","",AVANCE[[#This Row],[FECHA INICIO REAL]]-AVANCE[[#This Row],[FECHA INICIO TEORICO]])</f>
        <v/>
      </c>
      <c r="BH1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2" spans="1:61" x14ac:dyDescent="0.25">
      <c r="A172" t="s">
        <v>989</v>
      </c>
      <c r="B172" t="s">
        <v>1000</v>
      </c>
      <c r="C172">
        <v>2302600171</v>
      </c>
      <c r="D172" t="s">
        <v>834</v>
      </c>
      <c r="E172" s="4">
        <v>0</v>
      </c>
      <c r="F172" s="1">
        <v>46220</v>
      </c>
      <c r="G172" s="1"/>
      <c r="H172" s="1">
        <v>0</v>
      </c>
      <c r="I172" s="1">
        <v>46250</v>
      </c>
      <c r="J172">
        <v>46188</v>
      </c>
      <c r="K172" s="1"/>
      <c r="L172" s="7">
        <v>0</v>
      </c>
      <c r="M172" s="7">
        <v>0</v>
      </c>
      <c r="N172" s="7">
        <v>0</v>
      </c>
      <c r="O172" s="7">
        <v>0</v>
      </c>
      <c r="P172" s="7">
        <v>0</v>
      </c>
      <c r="Q172" s="7">
        <v>0</v>
      </c>
      <c r="R172" s="7">
        <v>0</v>
      </c>
      <c r="S172" s="7">
        <v>0</v>
      </c>
      <c r="T172" s="7">
        <v>0</v>
      </c>
      <c r="U172" s="7">
        <v>0</v>
      </c>
      <c r="V172" s="7">
        <v>0</v>
      </c>
      <c r="W172" s="7">
        <v>0</v>
      </c>
      <c r="X172" s="7">
        <v>0</v>
      </c>
      <c r="Y172" s="7">
        <v>0</v>
      </c>
      <c r="Z172" s="7">
        <v>0</v>
      </c>
      <c r="AA172" s="7">
        <v>0</v>
      </c>
      <c r="AB172" s="7">
        <v>0</v>
      </c>
      <c r="AC172" s="7">
        <v>0</v>
      </c>
      <c r="AD172" s="7">
        <v>0</v>
      </c>
      <c r="AE172" s="7">
        <v>0</v>
      </c>
      <c r="AF172" s="7">
        <v>0</v>
      </c>
      <c r="AG172" s="7">
        <v>0</v>
      </c>
      <c r="AH172" s="7">
        <v>0</v>
      </c>
      <c r="AI172" s="7">
        <v>0</v>
      </c>
      <c r="AJ172" s="7">
        <v>0</v>
      </c>
      <c r="AK172" s="7">
        <v>0</v>
      </c>
      <c r="AL172" s="7">
        <v>0</v>
      </c>
      <c r="AM172" s="7">
        <v>0</v>
      </c>
      <c r="AN172" s="7">
        <v>0</v>
      </c>
      <c r="AO172" s="7">
        <v>0</v>
      </c>
      <c r="AP172" s="7">
        <v>0</v>
      </c>
      <c r="AQ172" s="7">
        <v>0</v>
      </c>
      <c r="AR172" s="7">
        <v>0</v>
      </c>
      <c r="AS172" s="7">
        <v>0</v>
      </c>
      <c r="AT172" s="7">
        <v>0</v>
      </c>
      <c r="AU172" s="7">
        <v>0</v>
      </c>
      <c r="AV172" s="7">
        <v>0</v>
      </c>
      <c r="AW172" s="7">
        <v>0</v>
      </c>
      <c r="AX172" s="7">
        <v>0</v>
      </c>
      <c r="AY172" s="7">
        <v>0</v>
      </c>
      <c r="AZ172" s="7">
        <v>0</v>
      </c>
      <c r="BA172" s="7">
        <v>0</v>
      </c>
      <c r="BB172" s="7">
        <v>0</v>
      </c>
      <c r="BC172" s="7">
        <v>0</v>
      </c>
      <c r="BD172">
        <v>0</v>
      </c>
      <c r="BE172">
        <v>31.32</v>
      </c>
      <c r="BF1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2" s="42" t="str">
        <f>+IF(AVANCE[[#This Row],[FECHA INICIO REAL]]="","",AVANCE[[#This Row],[FECHA INICIO REAL]]-AVANCE[[#This Row],[FECHA INICIO TEORICO]])</f>
        <v/>
      </c>
      <c r="BH1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3" spans="1:61" x14ac:dyDescent="0.25">
      <c r="A173" t="s">
        <v>989</v>
      </c>
      <c r="B173" t="s">
        <v>1001</v>
      </c>
      <c r="C173">
        <v>2282600172</v>
      </c>
      <c r="D173" t="s">
        <v>833</v>
      </c>
      <c r="E173" s="4">
        <v>0</v>
      </c>
      <c r="F173" s="1">
        <v>46220</v>
      </c>
      <c r="G173" s="1"/>
      <c r="H173" s="1">
        <v>0</v>
      </c>
      <c r="I173" s="1">
        <v>46240</v>
      </c>
      <c r="J173">
        <v>46188</v>
      </c>
      <c r="K173" s="1"/>
      <c r="L173" s="7">
        <v>0</v>
      </c>
      <c r="M173" s="7">
        <v>0</v>
      </c>
      <c r="N173" s="7">
        <v>0</v>
      </c>
      <c r="O173" s="7">
        <v>0</v>
      </c>
      <c r="P173" s="7">
        <v>0</v>
      </c>
      <c r="Q173" s="7">
        <v>0</v>
      </c>
      <c r="R173" s="7">
        <v>0</v>
      </c>
      <c r="S173" s="7">
        <v>0</v>
      </c>
      <c r="T173" s="7">
        <v>0</v>
      </c>
      <c r="U173" s="7">
        <v>0</v>
      </c>
      <c r="V173" s="7">
        <v>0</v>
      </c>
      <c r="W173" s="7">
        <v>0</v>
      </c>
      <c r="X173" s="7">
        <v>0</v>
      </c>
      <c r="Y173" s="7">
        <v>0</v>
      </c>
      <c r="Z173" s="7">
        <v>0</v>
      </c>
      <c r="AA173" s="7">
        <v>0</v>
      </c>
      <c r="AB173" s="7">
        <v>0</v>
      </c>
      <c r="AC173" s="7">
        <v>0</v>
      </c>
      <c r="AD173" s="7">
        <v>0</v>
      </c>
      <c r="AE173" s="7">
        <v>0</v>
      </c>
      <c r="AF173" s="7">
        <v>0</v>
      </c>
      <c r="AG173" s="7">
        <v>0</v>
      </c>
      <c r="AH173" s="7">
        <v>0</v>
      </c>
      <c r="AI173" s="7">
        <v>0</v>
      </c>
      <c r="AJ173" s="7">
        <v>0</v>
      </c>
      <c r="AK173" s="7">
        <v>0</v>
      </c>
      <c r="AL173" s="7">
        <v>0</v>
      </c>
      <c r="AM173" s="7">
        <v>0</v>
      </c>
      <c r="AN173" s="7">
        <v>0</v>
      </c>
      <c r="AO173" s="7">
        <v>0</v>
      </c>
      <c r="AP173" s="7">
        <v>0</v>
      </c>
      <c r="AQ173" s="7">
        <v>0</v>
      </c>
      <c r="AR173" s="7">
        <v>0</v>
      </c>
      <c r="AS173" s="7">
        <v>0</v>
      </c>
      <c r="AT173" s="7">
        <v>0</v>
      </c>
      <c r="AU173" s="7">
        <v>0</v>
      </c>
      <c r="AV173" s="7">
        <v>0</v>
      </c>
      <c r="AW173" s="7">
        <v>0</v>
      </c>
      <c r="AX173" s="7">
        <v>0</v>
      </c>
      <c r="AY173" s="7">
        <v>0</v>
      </c>
      <c r="AZ173" s="7">
        <v>0</v>
      </c>
      <c r="BA173" s="7">
        <v>0</v>
      </c>
      <c r="BB173" s="7">
        <v>0</v>
      </c>
      <c r="BC173" s="7">
        <v>0</v>
      </c>
      <c r="BD173">
        <v>0</v>
      </c>
      <c r="BE173">
        <v>28.87</v>
      </c>
      <c r="BF1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3" s="42" t="str">
        <f>+IF(AVANCE[[#This Row],[FECHA INICIO REAL]]="","",AVANCE[[#This Row],[FECHA INICIO REAL]]-AVANCE[[#This Row],[FECHA INICIO TEORICO]])</f>
        <v/>
      </c>
      <c r="BH1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4" spans="1:61" x14ac:dyDescent="0.25">
      <c r="A174" t="s">
        <v>989</v>
      </c>
      <c r="B174" t="s">
        <v>1002</v>
      </c>
      <c r="C174">
        <v>2282600173</v>
      </c>
      <c r="D174" t="s">
        <v>833</v>
      </c>
      <c r="E174" s="4">
        <v>0</v>
      </c>
      <c r="F174" s="1">
        <v>46220</v>
      </c>
      <c r="G174" s="1"/>
      <c r="H174" s="1">
        <v>0</v>
      </c>
      <c r="I174" s="1">
        <v>46240</v>
      </c>
      <c r="J174">
        <v>46188</v>
      </c>
      <c r="K174" s="1"/>
      <c r="L174" s="7">
        <v>0</v>
      </c>
      <c r="M174" s="7">
        <v>0</v>
      </c>
      <c r="N174" s="7">
        <v>0</v>
      </c>
      <c r="O174" s="7">
        <v>0</v>
      </c>
      <c r="P174" s="7">
        <v>0</v>
      </c>
      <c r="Q174" s="7">
        <v>0</v>
      </c>
      <c r="R174" s="7">
        <v>0</v>
      </c>
      <c r="S174" s="7">
        <v>0</v>
      </c>
      <c r="T174" s="7">
        <v>0</v>
      </c>
      <c r="U174" s="7">
        <v>0</v>
      </c>
      <c r="V174" s="7">
        <v>0</v>
      </c>
      <c r="W174" s="7">
        <v>0</v>
      </c>
      <c r="X174" s="7">
        <v>0</v>
      </c>
      <c r="Y174" s="7">
        <v>0</v>
      </c>
      <c r="Z174" s="7">
        <v>0</v>
      </c>
      <c r="AA174" s="7">
        <v>0</v>
      </c>
      <c r="AB174" s="7">
        <v>0</v>
      </c>
      <c r="AC174" s="7">
        <v>0</v>
      </c>
      <c r="AD174" s="7">
        <v>0</v>
      </c>
      <c r="AE174" s="7">
        <v>0</v>
      </c>
      <c r="AF174" s="7">
        <v>0</v>
      </c>
      <c r="AG174" s="7">
        <v>0</v>
      </c>
      <c r="AH174" s="7">
        <v>0</v>
      </c>
      <c r="AI174" s="7">
        <v>0</v>
      </c>
      <c r="AJ174" s="7">
        <v>0</v>
      </c>
      <c r="AK174" s="7">
        <v>0</v>
      </c>
      <c r="AL174" s="7">
        <v>0</v>
      </c>
      <c r="AM174" s="7">
        <v>0</v>
      </c>
      <c r="AN174" s="7">
        <v>0</v>
      </c>
      <c r="AO174" s="7">
        <v>0</v>
      </c>
      <c r="AP174" s="7">
        <v>0</v>
      </c>
      <c r="AQ174" s="7">
        <v>0</v>
      </c>
      <c r="AR174" s="7">
        <v>0</v>
      </c>
      <c r="AS174" s="7">
        <v>0</v>
      </c>
      <c r="AT174" s="7">
        <v>0</v>
      </c>
      <c r="AU174" s="7">
        <v>0</v>
      </c>
      <c r="AV174" s="7">
        <v>0</v>
      </c>
      <c r="AW174" s="7">
        <v>0</v>
      </c>
      <c r="AX174" s="7">
        <v>0</v>
      </c>
      <c r="AY174" s="7">
        <v>0</v>
      </c>
      <c r="AZ174" s="7">
        <v>0</v>
      </c>
      <c r="BA174" s="7">
        <v>0</v>
      </c>
      <c r="BB174" s="7">
        <v>0</v>
      </c>
      <c r="BC174" s="7">
        <v>0</v>
      </c>
      <c r="BD174">
        <v>0</v>
      </c>
      <c r="BE174">
        <v>28.87</v>
      </c>
      <c r="BF1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4" s="42" t="str">
        <f>+IF(AVANCE[[#This Row],[FECHA INICIO REAL]]="","",AVANCE[[#This Row],[FECHA INICIO REAL]]-AVANCE[[#This Row],[FECHA INICIO TEORICO]])</f>
        <v/>
      </c>
      <c r="BH1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5" spans="1:61" x14ac:dyDescent="0.25">
      <c r="A175" t="s">
        <v>989</v>
      </c>
      <c r="B175" t="s">
        <v>1003</v>
      </c>
      <c r="C175">
        <v>2302600174</v>
      </c>
      <c r="D175" t="s">
        <v>834</v>
      </c>
      <c r="E175" s="4">
        <v>0</v>
      </c>
      <c r="F175" s="1">
        <v>46223</v>
      </c>
      <c r="G175" s="1"/>
      <c r="H175" s="1">
        <v>0</v>
      </c>
      <c r="I175" s="1">
        <v>46253</v>
      </c>
      <c r="J175">
        <v>46188</v>
      </c>
      <c r="K175" s="1"/>
      <c r="L175" s="7">
        <v>0</v>
      </c>
      <c r="M175" s="7">
        <v>0</v>
      </c>
      <c r="N175" s="7">
        <v>0</v>
      </c>
      <c r="O175" s="7">
        <v>0</v>
      </c>
      <c r="P175" s="7">
        <v>0</v>
      </c>
      <c r="Q175" s="7">
        <v>0</v>
      </c>
      <c r="R175" s="7">
        <v>0</v>
      </c>
      <c r="S175" s="7">
        <v>0</v>
      </c>
      <c r="T175" s="7">
        <v>0</v>
      </c>
      <c r="U175" s="7">
        <v>0</v>
      </c>
      <c r="V175" s="7">
        <v>0</v>
      </c>
      <c r="W175" s="7">
        <v>0</v>
      </c>
      <c r="X175" s="7">
        <v>0</v>
      </c>
      <c r="Y175" s="7">
        <v>0</v>
      </c>
      <c r="Z175" s="7">
        <v>0</v>
      </c>
      <c r="AA175" s="7">
        <v>0</v>
      </c>
      <c r="AB175" s="7">
        <v>0</v>
      </c>
      <c r="AC175" s="7">
        <v>0</v>
      </c>
      <c r="AD175" s="7">
        <v>0</v>
      </c>
      <c r="AE175" s="7">
        <v>0</v>
      </c>
      <c r="AF175" s="7">
        <v>0</v>
      </c>
      <c r="AG175" s="7">
        <v>0</v>
      </c>
      <c r="AH175" s="7">
        <v>0</v>
      </c>
      <c r="AI175" s="7">
        <v>0</v>
      </c>
      <c r="AJ175" s="7">
        <v>0</v>
      </c>
      <c r="AK175" s="7">
        <v>0</v>
      </c>
      <c r="AL175" s="7">
        <v>0</v>
      </c>
      <c r="AM175" s="7">
        <v>0</v>
      </c>
      <c r="AN175" s="7">
        <v>0</v>
      </c>
      <c r="AO175" s="7">
        <v>0</v>
      </c>
      <c r="AP175" s="7">
        <v>0</v>
      </c>
      <c r="AQ175" s="7">
        <v>0</v>
      </c>
      <c r="AR175" s="7">
        <v>0</v>
      </c>
      <c r="AS175" s="7">
        <v>0</v>
      </c>
      <c r="AT175" s="7">
        <v>0</v>
      </c>
      <c r="AU175" s="7">
        <v>0</v>
      </c>
      <c r="AV175" s="7">
        <v>0</v>
      </c>
      <c r="AW175" s="7">
        <v>0</v>
      </c>
      <c r="AX175" s="7">
        <v>0</v>
      </c>
      <c r="AY175" s="7">
        <v>0</v>
      </c>
      <c r="AZ175" s="7">
        <v>0</v>
      </c>
      <c r="BA175" s="7">
        <v>0</v>
      </c>
      <c r="BB175" s="7">
        <v>0</v>
      </c>
      <c r="BC175" s="7">
        <v>0</v>
      </c>
      <c r="BD175">
        <v>0</v>
      </c>
      <c r="BE175">
        <v>31.32</v>
      </c>
      <c r="BF1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5" s="42" t="str">
        <f>+IF(AVANCE[[#This Row],[FECHA INICIO REAL]]="","",AVANCE[[#This Row],[FECHA INICIO REAL]]-AVANCE[[#This Row],[FECHA INICIO TEORICO]])</f>
        <v/>
      </c>
      <c r="BH1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6" spans="1:61" x14ac:dyDescent="0.25">
      <c r="A176" t="s">
        <v>989</v>
      </c>
      <c r="B176" t="s">
        <v>1004</v>
      </c>
      <c r="C176">
        <v>2302600175</v>
      </c>
      <c r="D176" t="s">
        <v>834</v>
      </c>
      <c r="E176" s="4">
        <v>0</v>
      </c>
      <c r="F176" s="1">
        <v>46223</v>
      </c>
      <c r="G176" s="1"/>
      <c r="H176" s="1">
        <v>0</v>
      </c>
      <c r="I176" s="1">
        <v>46253</v>
      </c>
      <c r="J176">
        <v>46188</v>
      </c>
      <c r="K176" s="1"/>
      <c r="L176" s="7">
        <v>0</v>
      </c>
      <c r="M176" s="7">
        <v>0</v>
      </c>
      <c r="N176" s="7">
        <v>0</v>
      </c>
      <c r="O176" s="7">
        <v>0</v>
      </c>
      <c r="P176" s="7">
        <v>0</v>
      </c>
      <c r="Q176" s="7">
        <v>0</v>
      </c>
      <c r="R176" s="7">
        <v>0</v>
      </c>
      <c r="S176" s="7">
        <v>0</v>
      </c>
      <c r="T176" s="7">
        <v>0</v>
      </c>
      <c r="U176" s="7">
        <v>0</v>
      </c>
      <c r="V176" s="7">
        <v>0</v>
      </c>
      <c r="W176" s="7">
        <v>0</v>
      </c>
      <c r="X176" s="7">
        <v>0</v>
      </c>
      <c r="Y176" s="7">
        <v>0</v>
      </c>
      <c r="Z176" s="7">
        <v>0</v>
      </c>
      <c r="AA176" s="7">
        <v>0</v>
      </c>
      <c r="AB176" s="7">
        <v>0</v>
      </c>
      <c r="AC176" s="7">
        <v>0</v>
      </c>
      <c r="AD176" s="7">
        <v>0</v>
      </c>
      <c r="AE176" s="7">
        <v>0</v>
      </c>
      <c r="AF176" s="7">
        <v>0</v>
      </c>
      <c r="AG176" s="7">
        <v>0</v>
      </c>
      <c r="AH176" s="7">
        <v>0</v>
      </c>
      <c r="AI176" s="7">
        <v>0</v>
      </c>
      <c r="AJ176" s="7">
        <v>0</v>
      </c>
      <c r="AK176" s="7">
        <v>0</v>
      </c>
      <c r="AL176" s="7">
        <v>0</v>
      </c>
      <c r="AM176" s="7">
        <v>0</v>
      </c>
      <c r="AN176" s="7">
        <v>0</v>
      </c>
      <c r="AO176" s="7">
        <v>0</v>
      </c>
      <c r="AP176" s="7">
        <v>0</v>
      </c>
      <c r="AQ176" s="7">
        <v>0</v>
      </c>
      <c r="AR176" s="7">
        <v>0</v>
      </c>
      <c r="AS176" s="7">
        <v>0</v>
      </c>
      <c r="AT176" s="7">
        <v>0</v>
      </c>
      <c r="AU176" s="7">
        <v>0</v>
      </c>
      <c r="AV176" s="7">
        <v>0</v>
      </c>
      <c r="AW176" s="7">
        <v>0</v>
      </c>
      <c r="AX176" s="7">
        <v>0</v>
      </c>
      <c r="AY176" s="7">
        <v>0</v>
      </c>
      <c r="AZ176" s="7">
        <v>0</v>
      </c>
      <c r="BA176" s="7">
        <v>0</v>
      </c>
      <c r="BB176" s="7">
        <v>0</v>
      </c>
      <c r="BC176" s="7">
        <v>0</v>
      </c>
      <c r="BD176">
        <v>0</v>
      </c>
      <c r="BE176">
        <v>31.32</v>
      </c>
      <c r="BF1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6" s="42" t="str">
        <f>+IF(AVANCE[[#This Row],[FECHA INICIO REAL]]="","",AVANCE[[#This Row],[FECHA INICIO REAL]]-AVANCE[[#This Row],[FECHA INICIO TEORICO]])</f>
        <v/>
      </c>
      <c r="BH1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7" spans="1:61" x14ac:dyDescent="0.25">
      <c r="A177" t="s">
        <v>989</v>
      </c>
      <c r="B177" t="s">
        <v>1005</v>
      </c>
      <c r="C177">
        <v>2282600176</v>
      </c>
      <c r="D177" t="s">
        <v>833</v>
      </c>
      <c r="E177" s="4">
        <v>0</v>
      </c>
      <c r="F177" s="1">
        <v>46224</v>
      </c>
      <c r="G177" s="1"/>
      <c r="H177" s="1">
        <v>0</v>
      </c>
      <c r="I177" s="1">
        <v>46244</v>
      </c>
      <c r="J177">
        <v>46188</v>
      </c>
      <c r="K177" s="1"/>
      <c r="L177" s="7">
        <v>0</v>
      </c>
      <c r="M177" s="7">
        <v>0</v>
      </c>
      <c r="N177" s="7">
        <v>0</v>
      </c>
      <c r="O177" s="7">
        <v>0</v>
      </c>
      <c r="P177" s="7">
        <v>0</v>
      </c>
      <c r="Q177" s="7">
        <v>0</v>
      </c>
      <c r="R177" s="7">
        <v>0</v>
      </c>
      <c r="S177" s="7">
        <v>0</v>
      </c>
      <c r="T177" s="7">
        <v>0</v>
      </c>
      <c r="U177" s="7">
        <v>0</v>
      </c>
      <c r="V177" s="7">
        <v>0</v>
      </c>
      <c r="W177" s="7">
        <v>0</v>
      </c>
      <c r="X177" s="7">
        <v>0</v>
      </c>
      <c r="Y177" s="7">
        <v>0</v>
      </c>
      <c r="Z177" s="7">
        <v>0</v>
      </c>
      <c r="AA177" s="7">
        <v>0</v>
      </c>
      <c r="AB177" s="7">
        <v>0</v>
      </c>
      <c r="AC177" s="7">
        <v>0</v>
      </c>
      <c r="AD177" s="7">
        <v>0</v>
      </c>
      <c r="AE177" s="7">
        <v>0</v>
      </c>
      <c r="AF177" s="7">
        <v>0</v>
      </c>
      <c r="AG177" s="7">
        <v>0</v>
      </c>
      <c r="AH177" s="7">
        <v>0</v>
      </c>
      <c r="AI177" s="7">
        <v>0</v>
      </c>
      <c r="AJ177" s="7">
        <v>0</v>
      </c>
      <c r="AK177" s="7">
        <v>0</v>
      </c>
      <c r="AL177" s="7">
        <v>0</v>
      </c>
      <c r="AM177" s="7">
        <v>0</v>
      </c>
      <c r="AN177" s="7">
        <v>0</v>
      </c>
      <c r="AO177" s="7">
        <v>0</v>
      </c>
      <c r="AP177" s="7">
        <v>0</v>
      </c>
      <c r="AQ177" s="7">
        <v>0</v>
      </c>
      <c r="AR177" s="7">
        <v>0</v>
      </c>
      <c r="AS177" s="7">
        <v>0</v>
      </c>
      <c r="AT177" s="7">
        <v>0</v>
      </c>
      <c r="AU177" s="7">
        <v>0</v>
      </c>
      <c r="AV177" s="7">
        <v>0</v>
      </c>
      <c r="AW177" s="7">
        <v>0</v>
      </c>
      <c r="AX177" s="7">
        <v>0</v>
      </c>
      <c r="AY177" s="7">
        <v>0</v>
      </c>
      <c r="AZ177" s="7">
        <v>0</v>
      </c>
      <c r="BA177" s="7">
        <v>0</v>
      </c>
      <c r="BB177" s="7">
        <v>0</v>
      </c>
      <c r="BC177" s="7">
        <v>0</v>
      </c>
      <c r="BD177">
        <v>0</v>
      </c>
      <c r="BE177">
        <v>28.87</v>
      </c>
      <c r="BF1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7" s="42" t="str">
        <f>+IF(AVANCE[[#This Row],[FECHA INICIO REAL]]="","",AVANCE[[#This Row],[FECHA INICIO REAL]]-AVANCE[[#This Row],[FECHA INICIO TEORICO]])</f>
        <v/>
      </c>
      <c r="BH1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8" spans="1:61" x14ac:dyDescent="0.25">
      <c r="A178" t="s">
        <v>989</v>
      </c>
      <c r="B178" t="s">
        <v>1006</v>
      </c>
      <c r="C178">
        <v>2282600177</v>
      </c>
      <c r="D178" t="s">
        <v>833</v>
      </c>
      <c r="E178" s="4">
        <v>0</v>
      </c>
      <c r="F178" s="1">
        <v>46224</v>
      </c>
      <c r="G178" s="1"/>
      <c r="H178" s="1">
        <v>0</v>
      </c>
      <c r="I178" s="1">
        <v>46244</v>
      </c>
      <c r="J178">
        <v>46188</v>
      </c>
      <c r="K178" s="1"/>
      <c r="L178" s="7">
        <v>0</v>
      </c>
      <c r="M178" s="7">
        <v>0</v>
      </c>
      <c r="N178" s="7">
        <v>0</v>
      </c>
      <c r="O178" s="7">
        <v>0</v>
      </c>
      <c r="P178" s="7">
        <v>0</v>
      </c>
      <c r="Q178" s="7">
        <v>0</v>
      </c>
      <c r="R178" s="7">
        <v>0</v>
      </c>
      <c r="S178" s="7">
        <v>0</v>
      </c>
      <c r="T178" s="7">
        <v>0</v>
      </c>
      <c r="U178" s="7">
        <v>0</v>
      </c>
      <c r="V178" s="7">
        <v>0</v>
      </c>
      <c r="W178" s="7">
        <v>0</v>
      </c>
      <c r="X178" s="7">
        <v>0</v>
      </c>
      <c r="Y178" s="7">
        <v>0</v>
      </c>
      <c r="Z178" s="7">
        <v>0</v>
      </c>
      <c r="AA178" s="7">
        <v>0</v>
      </c>
      <c r="AB178" s="7">
        <v>0</v>
      </c>
      <c r="AC178" s="7">
        <v>0</v>
      </c>
      <c r="AD178" s="7">
        <v>0</v>
      </c>
      <c r="AE178" s="7">
        <v>0</v>
      </c>
      <c r="AF178" s="7">
        <v>0</v>
      </c>
      <c r="AG178" s="7">
        <v>0</v>
      </c>
      <c r="AH178" s="7">
        <v>0</v>
      </c>
      <c r="AI178" s="7">
        <v>0</v>
      </c>
      <c r="AJ178" s="7">
        <v>0</v>
      </c>
      <c r="AK178" s="7">
        <v>0</v>
      </c>
      <c r="AL178" s="7">
        <v>0</v>
      </c>
      <c r="AM178" s="7">
        <v>0</v>
      </c>
      <c r="AN178" s="7">
        <v>0</v>
      </c>
      <c r="AO178" s="7">
        <v>0</v>
      </c>
      <c r="AP178" s="7">
        <v>0</v>
      </c>
      <c r="AQ178" s="7">
        <v>0</v>
      </c>
      <c r="AR178" s="7">
        <v>0</v>
      </c>
      <c r="AS178" s="7">
        <v>0</v>
      </c>
      <c r="AT178" s="7">
        <v>0</v>
      </c>
      <c r="AU178" s="7">
        <v>0</v>
      </c>
      <c r="AV178" s="7">
        <v>0</v>
      </c>
      <c r="AW178" s="7">
        <v>0</v>
      </c>
      <c r="AX178" s="7">
        <v>0</v>
      </c>
      <c r="AY178" s="7">
        <v>0</v>
      </c>
      <c r="AZ178" s="7">
        <v>0</v>
      </c>
      <c r="BA178" s="7">
        <v>0</v>
      </c>
      <c r="BB178" s="7">
        <v>0</v>
      </c>
      <c r="BC178" s="7">
        <v>0</v>
      </c>
      <c r="BD178">
        <v>0</v>
      </c>
      <c r="BE178">
        <v>28.87</v>
      </c>
      <c r="BF1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8" s="42" t="str">
        <f>+IF(AVANCE[[#This Row],[FECHA INICIO REAL]]="","",AVANCE[[#This Row],[FECHA INICIO REAL]]-AVANCE[[#This Row],[FECHA INICIO TEORICO]])</f>
        <v/>
      </c>
      <c r="BH1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9" spans="1:61" x14ac:dyDescent="0.25">
      <c r="A179" t="s">
        <v>989</v>
      </c>
      <c r="B179" t="s">
        <v>1007</v>
      </c>
      <c r="C179">
        <v>2302600178</v>
      </c>
      <c r="D179" t="s">
        <v>834</v>
      </c>
      <c r="E179" s="4">
        <v>0</v>
      </c>
      <c r="F179" s="1">
        <v>46224</v>
      </c>
      <c r="G179" s="1"/>
      <c r="H179" s="1">
        <v>0</v>
      </c>
      <c r="I179" s="1">
        <v>46254</v>
      </c>
      <c r="J179">
        <v>46188</v>
      </c>
      <c r="K179" s="1"/>
      <c r="L179" s="7">
        <v>0</v>
      </c>
      <c r="M179" s="7">
        <v>0</v>
      </c>
      <c r="N179" s="7">
        <v>0</v>
      </c>
      <c r="O179" s="7">
        <v>0</v>
      </c>
      <c r="P179" s="7">
        <v>0</v>
      </c>
      <c r="Q179" s="7">
        <v>0</v>
      </c>
      <c r="R179" s="7">
        <v>0</v>
      </c>
      <c r="S179" s="7">
        <v>0</v>
      </c>
      <c r="T179" s="7">
        <v>0</v>
      </c>
      <c r="U179" s="7">
        <v>0</v>
      </c>
      <c r="V179" s="7">
        <v>0</v>
      </c>
      <c r="W179" s="7">
        <v>0</v>
      </c>
      <c r="X179" s="7">
        <v>0</v>
      </c>
      <c r="Y179" s="7">
        <v>0</v>
      </c>
      <c r="Z179" s="7">
        <v>0</v>
      </c>
      <c r="AA179" s="7">
        <v>0</v>
      </c>
      <c r="AB179" s="7">
        <v>0</v>
      </c>
      <c r="AC179" s="7">
        <v>0</v>
      </c>
      <c r="AD179" s="7">
        <v>0</v>
      </c>
      <c r="AE179" s="7">
        <v>0</v>
      </c>
      <c r="AF179" s="7">
        <v>0</v>
      </c>
      <c r="AG179" s="7">
        <v>0</v>
      </c>
      <c r="AH179" s="7">
        <v>0</v>
      </c>
      <c r="AI179" s="7">
        <v>0</v>
      </c>
      <c r="AJ179" s="7">
        <v>0</v>
      </c>
      <c r="AK179" s="7">
        <v>0</v>
      </c>
      <c r="AL179" s="7">
        <v>0</v>
      </c>
      <c r="AM179" s="7">
        <v>0</v>
      </c>
      <c r="AN179" s="7">
        <v>0</v>
      </c>
      <c r="AO179" s="7">
        <v>0</v>
      </c>
      <c r="AP179" s="7">
        <v>0</v>
      </c>
      <c r="AQ179" s="7">
        <v>0</v>
      </c>
      <c r="AR179" s="7">
        <v>0</v>
      </c>
      <c r="AS179" s="7">
        <v>0</v>
      </c>
      <c r="AT179" s="7">
        <v>0</v>
      </c>
      <c r="AU179" s="7">
        <v>0</v>
      </c>
      <c r="AV179" s="7">
        <v>0</v>
      </c>
      <c r="AW179" s="7">
        <v>0</v>
      </c>
      <c r="AX179" s="7">
        <v>0</v>
      </c>
      <c r="AY179" s="7">
        <v>0</v>
      </c>
      <c r="AZ179" s="7">
        <v>0</v>
      </c>
      <c r="BA179" s="7">
        <v>0</v>
      </c>
      <c r="BB179" s="7">
        <v>0</v>
      </c>
      <c r="BC179" s="7">
        <v>0</v>
      </c>
      <c r="BD179">
        <v>0</v>
      </c>
      <c r="BE179">
        <v>31.32</v>
      </c>
      <c r="BF1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9" s="42" t="str">
        <f>+IF(AVANCE[[#This Row],[FECHA INICIO REAL]]="","",AVANCE[[#This Row],[FECHA INICIO REAL]]-AVANCE[[#This Row],[FECHA INICIO TEORICO]])</f>
        <v/>
      </c>
      <c r="BH1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0" spans="1:61" x14ac:dyDescent="0.25">
      <c r="A180" t="s">
        <v>989</v>
      </c>
      <c r="B180" t="s">
        <v>1008</v>
      </c>
      <c r="C180">
        <v>2302600179</v>
      </c>
      <c r="D180" t="s">
        <v>834</v>
      </c>
      <c r="E180" s="4">
        <v>0</v>
      </c>
      <c r="F180" s="1">
        <v>46225</v>
      </c>
      <c r="G180" s="1"/>
      <c r="H180" s="1">
        <v>0</v>
      </c>
      <c r="I180" s="1">
        <v>46255</v>
      </c>
      <c r="J180">
        <v>46188</v>
      </c>
      <c r="K180" s="1"/>
      <c r="L180" s="7">
        <v>0</v>
      </c>
      <c r="M180" s="7">
        <v>0</v>
      </c>
      <c r="N180" s="7">
        <v>0</v>
      </c>
      <c r="O180" s="7">
        <v>0</v>
      </c>
      <c r="P180" s="7">
        <v>0</v>
      </c>
      <c r="Q180" s="7">
        <v>0</v>
      </c>
      <c r="R180" s="7">
        <v>0</v>
      </c>
      <c r="S180" s="7">
        <v>0</v>
      </c>
      <c r="T180" s="7">
        <v>0</v>
      </c>
      <c r="U180" s="7">
        <v>0</v>
      </c>
      <c r="V180" s="7">
        <v>0</v>
      </c>
      <c r="W180" s="7">
        <v>0</v>
      </c>
      <c r="X180" s="7">
        <v>0</v>
      </c>
      <c r="Y180" s="7">
        <v>0</v>
      </c>
      <c r="Z180" s="7">
        <v>0</v>
      </c>
      <c r="AA180" s="7">
        <v>0</v>
      </c>
      <c r="AB180" s="7">
        <v>0</v>
      </c>
      <c r="AC180" s="7">
        <v>0</v>
      </c>
      <c r="AD180" s="7">
        <v>0</v>
      </c>
      <c r="AE180" s="7">
        <v>0</v>
      </c>
      <c r="AF180" s="7">
        <v>0</v>
      </c>
      <c r="AG180" s="7">
        <v>0</v>
      </c>
      <c r="AH180" s="7">
        <v>0</v>
      </c>
      <c r="AI180" s="7">
        <v>0</v>
      </c>
      <c r="AJ180" s="7">
        <v>0</v>
      </c>
      <c r="AK180" s="7">
        <v>0</v>
      </c>
      <c r="AL180" s="7">
        <v>0</v>
      </c>
      <c r="AM180" s="7">
        <v>0</v>
      </c>
      <c r="AN180" s="7">
        <v>0</v>
      </c>
      <c r="AO180" s="7">
        <v>0</v>
      </c>
      <c r="AP180" s="7">
        <v>0</v>
      </c>
      <c r="AQ180" s="7">
        <v>0</v>
      </c>
      <c r="AR180" s="7">
        <v>0</v>
      </c>
      <c r="AS180" s="7">
        <v>0</v>
      </c>
      <c r="AT180" s="7">
        <v>0</v>
      </c>
      <c r="AU180" s="7">
        <v>0</v>
      </c>
      <c r="AV180" s="7">
        <v>0</v>
      </c>
      <c r="AW180" s="7">
        <v>0</v>
      </c>
      <c r="AX180" s="7">
        <v>0</v>
      </c>
      <c r="AY180" s="7">
        <v>0</v>
      </c>
      <c r="AZ180" s="7">
        <v>0</v>
      </c>
      <c r="BA180" s="7">
        <v>0</v>
      </c>
      <c r="BB180" s="7">
        <v>0</v>
      </c>
      <c r="BC180" s="7">
        <v>0</v>
      </c>
      <c r="BD180">
        <v>0</v>
      </c>
      <c r="BE180">
        <v>31.32</v>
      </c>
      <c r="BF1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0" s="42" t="str">
        <f>+IF(AVANCE[[#This Row],[FECHA INICIO REAL]]="","",AVANCE[[#This Row],[FECHA INICIO REAL]]-AVANCE[[#This Row],[FECHA INICIO TEORICO]])</f>
        <v/>
      </c>
      <c r="BH1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1" spans="1:61" x14ac:dyDescent="0.25">
      <c r="A181" t="s">
        <v>989</v>
      </c>
      <c r="B181" t="s">
        <v>1009</v>
      </c>
      <c r="C181">
        <v>2282600180</v>
      </c>
      <c r="D181" t="s">
        <v>833</v>
      </c>
      <c r="E181" s="4">
        <v>0</v>
      </c>
      <c r="F181" s="1">
        <v>46225</v>
      </c>
      <c r="G181" s="1"/>
      <c r="H181" s="1">
        <v>0</v>
      </c>
      <c r="I181" s="1">
        <v>46245</v>
      </c>
      <c r="J181">
        <v>46188</v>
      </c>
      <c r="K181" s="1"/>
      <c r="L181" s="7">
        <v>0</v>
      </c>
      <c r="M181" s="7">
        <v>0</v>
      </c>
      <c r="N181" s="7">
        <v>0</v>
      </c>
      <c r="O181" s="7">
        <v>0</v>
      </c>
      <c r="P181" s="7">
        <v>0</v>
      </c>
      <c r="Q181" s="7">
        <v>0</v>
      </c>
      <c r="R181" s="7">
        <v>0</v>
      </c>
      <c r="S181" s="7">
        <v>0</v>
      </c>
      <c r="T181" s="7">
        <v>0</v>
      </c>
      <c r="U181" s="7">
        <v>0</v>
      </c>
      <c r="V181" s="7">
        <v>0</v>
      </c>
      <c r="W181" s="7">
        <v>0</v>
      </c>
      <c r="X181" s="7">
        <v>0</v>
      </c>
      <c r="Y181" s="7">
        <v>0</v>
      </c>
      <c r="Z181" s="7">
        <v>0</v>
      </c>
      <c r="AA181" s="7">
        <v>0</v>
      </c>
      <c r="AB181" s="7">
        <v>0</v>
      </c>
      <c r="AC181" s="7">
        <v>0</v>
      </c>
      <c r="AD181" s="7">
        <v>0</v>
      </c>
      <c r="AE181" s="7">
        <v>0</v>
      </c>
      <c r="AF181" s="7">
        <v>0</v>
      </c>
      <c r="AG181" s="7">
        <v>0</v>
      </c>
      <c r="AH181" s="7">
        <v>0</v>
      </c>
      <c r="AI181" s="7">
        <v>0</v>
      </c>
      <c r="AJ181" s="7">
        <v>0</v>
      </c>
      <c r="AK181" s="7">
        <v>0</v>
      </c>
      <c r="AL181" s="7">
        <v>0</v>
      </c>
      <c r="AM181" s="7">
        <v>0</v>
      </c>
      <c r="AN181" s="7">
        <v>0</v>
      </c>
      <c r="AO181" s="7">
        <v>0</v>
      </c>
      <c r="AP181" s="7">
        <v>0</v>
      </c>
      <c r="AQ181" s="7">
        <v>0</v>
      </c>
      <c r="AR181" s="7">
        <v>0</v>
      </c>
      <c r="AS181" s="7">
        <v>0</v>
      </c>
      <c r="AT181" s="7">
        <v>0</v>
      </c>
      <c r="AU181" s="7">
        <v>0</v>
      </c>
      <c r="AV181" s="7">
        <v>0</v>
      </c>
      <c r="AW181" s="7">
        <v>0</v>
      </c>
      <c r="AX181" s="7">
        <v>0</v>
      </c>
      <c r="AY181" s="7">
        <v>0</v>
      </c>
      <c r="AZ181" s="7">
        <v>0</v>
      </c>
      <c r="BA181" s="7">
        <v>0</v>
      </c>
      <c r="BB181" s="7">
        <v>0</v>
      </c>
      <c r="BC181" s="7">
        <v>0</v>
      </c>
      <c r="BD181">
        <v>0</v>
      </c>
      <c r="BE181">
        <v>28.87</v>
      </c>
      <c r="BF1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1" s="42" t="str">
        <f>+IF(AVANCE[[#This Row],[FECHA INICIO REAL]]="","",AVANCE[[#This Row],[FECHA INICIO REAL]]-AVANCE[[#This Row],[FECHA INICIO TEORICO]])</f>
        <v/>
      </c>
      <c r="BH1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2" spans="1:61" x14ac:dyDescent="0.25">
      <c r="A182" t="s">
        <v>989</v>
      </c>
      <c r="B182" t="s">
        <v>1010</v>
      </c>
      <c r="C182">
        <v>2282600181</v>
      </c>
      <c r="D182" t="s">
        <v>833</v>
      </c>
      <c r="E182" s="4">
        <v>0</v>
      </c>
      <c r="F182" s="1">
        <v>46226</v>
      </c>
      <c r="G182" s="1"/>
      <c r="H182" s="1">
        <v>0</v>
      </c>
      <c r="I182" s="1">
        <v>46246</v>
      </c>
      <c r="J182">
        <v>46188</v>
      </c>
      <c r="K182" s="1"/>
      <c r="L182" s="7">
        <v>0</v>
      </c>
      <c r="M182" s="7">
        <v>0</v>
      </c>
      <c r="N182" s="7">
        <v>0</v>
      </c>
      <c r="O182" s="7">
        <v>0</v>
      </c>
      <c r="P182" s="7">
        <v>0</v>
      </c>
      <c r="Q182" s="7">
        <v>0</v>
      </c>
      <c r="R182" s="7">
        <v>0</v>
      </c>
      <c r="S182" s="7">
        <v>0</v>
      </c>
      <c r="T182" s="7">
        <v>0</v>
      </c>
      <c r="U182" s="7">
        <v>0</v>
      </c>
      <c r="V182" s="7">
        <v>0</v>
      </c>
      <c r="W182" s="7">
        <v>0</v>
      </c>
      <c r="X182" s="7">
        <v>0</v>
      </c>
      <c r="Y182" s="7">
        <v>0</v>
      </c>
      <c r="Z182" s="7">
        <v>0</v>
      </c>
      <c r="AA182" s="7">
        <v>0</v>
      </c>
      <c r="AB182" s="7">
        <v>0</v>
      </c>
      <c r="AC182" s="7">
        <v>0</v>
      </c>
      <c r="AD182" s="7">
        <v>0</v>
      </c>
      <c r="AE182" s="7">
        <v>0</v>
      </c>
      <c r="AF182" s="7">
        <v>0</v>
      </c>
      <c r="AG182" s="7">
        <v>0</v>
      </c>
      <c r="AH182" s="7">
        <v>0</v>
      </c>
      <c r="AI182" s="7">
        <v>0</v>
      </c>
      <c r="AJ182" s="7">
        <v>0</v>
      </c>
      <c r="AK182" s="7">
        <v>0</v>
      </c>
      <c r="AL182" s="7">
        <v>0</v>
      </c>
      <c r="AM182" s="7">
        <v>0</v>
      </c>
      <c r="AN182" s="7">
        <v>0</v>
      </c>
      <c r="AO182" s="7">
        <v>0</v>
      </c>
      <c r="AP182" s="7">
        <v>0</v>
      </c>
      <c r="AQ182" s="7">
        <v>0</v>
      </c>
      <c r="AR182" s="7">
        <v>0</v>
      </c>
      <c r="AS182" s="7">
        <v>0</v>
      </c>
      <c r="AT182" s="7">
        <v>0</v>
      </c>
      <c r="AU182" s="7">
        <v>0</v>
      </c>
      <c r="AV182" s="7">
        <v>0</v>
      </c>
      <c r="AW182" s="7">
        <v>0</v>
      </c>
      <c r="AX182" s="7">
        <v>0</v>
      </c>
      <c r="AY182" s="7">
        <v>0</v>
      </c>
      <c r="AZ182" s="7">
        <v>0</v>
      </c>
      <c r="BA182" s="7">
        <v>0</v>
      </c>
      <c r="BB182" s="7">
        <v>0</v>
      </c>
      <c r="BC182" s="7">
        <v>0</v>
      </c>
      <c r="BD182">
        <v>0</v>
      </c>
      <c r="BE182">
        <v>28.87</v>
      </c>
      <c r="BF1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2" s="42" t="str">
        <f>+IF(AVANCE[[#This Row],[FECHA INICIO REAL]]="","",AVANCE[[#This Row],[FECHA INICIO REAL]]-AVANCE[[#This Row],[FECHA INICIO TEORICO]])</f>
        <v/>
      </c>
      <c r="BH1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3" spans="1:61" x14ac:dyDescent="0.25">
      <c r="A183" t="s">
        <v>989</v>
      </c>
      <c r="B183" t="s">
        <v>1011</v>
      </c>
      <c r="C183">
        <v>2302600182</v>
      </c>
      <c r="D183" t="s">
        <v>834</v>
      </c>
      <c r="E183" s="4">
        <v>0</v>
      </c>
      <c r="F183" s="1">
        <v>46226</v>
      </c>
      <c r="G183" s="1"/>
      <c r="H183" s="1">
        <v>0</v>
      </c>
      <c r="I183" s="1">
        <v>46256</v>
      </c>
      <c r="J183">
        <v>46188</v>
      </c>
      <c r="K183" s="1"/>
      <c r="L183" s="7">
        <v>0</v>
      </c>
      <c r="M183" s="7">
        <v>0</v>
      </c>
      <c r="N183" s="7">
        <v>0</v>
      </c>
      <c r="O183" s="7">
        <v>0</v>
      </c>
      <c r="P183" s="7">
        <v>0</v>
      </c>
      <c r="Q183" s="7">
        <v>0</v>
      </c>
      <c r="R183" s="7">
        <v>0</v>
      </c>
      <c r="S183" s="7">
        <v>0</v>
      </c>
      <c r="T183" s="7">
        <v>0</v>
      </c>
      <c r="U183" s="7">
        <v>0</v>
      </c>
      <c r="V183" s="7">
        <v>0</v>
      </c>
      <c r="W183" s="7">
        <v>0</v>
      </c>
      <c r="X183" s="7">
        <v>0</v>
      </c>
      <c r="Y183" s="7">
        <v>0</v>
      </c>
      <c r="Z183" s="7">
        <v>0</v>
      </c>
      <c r="AA183" s="7">
        <v>0</v>
      </c>
      <c r="AB183" s="7">
        <v>0</v>
      </c>
      <c r="AC183" s="7">
        <v>0</v>
      </c>
      <c r="AD183" s="7">
        <v>0</v>
      </c>
      <c r="AE183" s="7">
        <v>0</v>
      </c>
      <c r="AF183" s="7">
        <v>0</v>
      </c>
      <c r="AG183" s="7">
        <v>0</v>
      </c>
      <c r="AH183" s="7">
        <v>0</v>
      </c>
      <c r="AI183" s="7">
        <v>0</v>
      </c>
      <c r="AJ183" s="7">
        <v>0</v>
      </c>
      <c r="AK183" s="7">
        <v>0</v>
      </c>
      <c r="AL183" s="7">
        <v>0</v>
      </c>
      <c r="AM183" s="7">
        <v>0</v>
      </c>
      <c r="AN183" s="7">
        <v>0</v>
      </c>
      <c r="AO183" s="7">
        <v>0</v>
      </c>
      <c r="AP183" s="7">
        <v>0</v>
      </c>
      <c r="AQ183" s="7">
        <v>0</v>
      </c>
      <c r="AR183" s="7">
        <v>0</v>
      </c>
      <c r="AS183" s="7">
        <v>0</v>
      </c>
      <c r="AT183" s="7">
        <v>0</v>
      </c>
      <c r="AU183" s="7">
        <v>0</v>
      </c>
      <c r="AV183" s="7">
        <v>0</v>
      </c>
      <c r="AW183" s="7">
        <v>0</v>
      </c>
      <c r="AX183" s="7">
        <v>0</v>
      </c>
      <c r="AY183" s="7">
        <v>0</v>
      </c>
      <c r="AZ183" s="7">
        <v>0</v>
      </c>
      <c r="BA183" s="7">
        <v>0</v>
      </c>
      <c r="BB183" s="7">
        <v>0</v>
      </c>
      <c r="BC183" s="7">
        <v>0</v>
      </c>
      <c r="BD183">
        <v>0</v>
      </c>
      <c r="BE183">
        <v>31.32</v>
      </c>
      <c r="BF1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3" s="42" t="str">
        <f>+IF(AVANCE[[#This Row],[FECHA INICIO REAL]]="","",AVANCE[[#This Row],[FECHA INICIO REAL]]-AVANCE[[#This Row],[FECHA INICIO TEORICO]])</f>
        <v/>
      </c>
      <c r="BH1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4" spans="1:61" x14ac:dyDescent="0.25">
      <c r="A184" t="s">
        <v>989</v>
      </c>
      <c r="B184" t="s">
        <v>1012</v>
      </c>
      <c r="C184">
        <v>2302600183</v>
      </c>
      <c r="D184" t="s">
        <v>834</v>
      </c>
      <c r="E184" s="4">
        <v>0</v>
      </c>
      <c r="F184" s="1">
        <v>46226</v>
      </c>
      <c r="G184" s="1"/>
      <c r="H184" s="1">
        <v>0</v>
      </c>
      <c r="I184" s="1">
        <v>46256</v>
      </c>
      <c r="J184">
        <v>46188</v>
      </c>
      <c r="K184" s="1"/>
      <c r="L184" s="7">
        <v>0</v>
      </c>
      <c r="M184" s="7">
        <v>0</v>
      </c>
      <c r="N184" s="7">
        <v>0</v>
      </c>
      <c r="O184" s="7">
        <v>0</v>
      </c>
      <c r="P184" s="7">
        <v>0</v>
      </c>
      <c r="Q184" s="7">
        <v>0</v>
      </c>
      <c r="R184" s="7">
        <v>0</v>
      </c>
      <c r="S184" s="7">
        <v>0</v>
      </c>
      <c r="T184" s="7">
        <v>0</v>
      </c>
      <c r="U184" s="7">
        <v>0</v>
      </c>
      <c r="V184" s="7">
        <v>0</v>
      </c>
      <c r="W184" s="7">
        <v>0</v>
      </c>
      <c r="X184" s="7">
        <v>0</v>
      </c>
      <c r="Y184" s="7">
        <v>0</v>
      </c>
      <c r="Z184" s="7">
        <v>0</v>
      </c>
      <c r="AA184" s="7">
        <v>0</v>
      </c>
      <c r="AB184" s="7">
        <v>0</v>
      </c>
      <c r="AC184" s="7">
        <v>0</v>
      </c>
      <c r="AD184" s="7">
        <v>0</v>
      </c>
      <c r="AE184" s="7">
        <v>0</v>
      </c>
      <c r="AF184" s="7">
        <v>0</v>
      </c>
      <c r="AG184" s="7">
        <v>0</v>
      </c>
      <c r="AH184" s="7">
        <v>0</v>
      </c>
      <c r="AI184" s="7">
        <v>0</v>
      </c>
      <c r="AJ184" s="7">
        <v>0</v>
      </c>
      <c r="AK184" s="7">
        <v>0</v>
      </c>
      <c r="AL184" s="7">
        <v>0</v>
      </c>
      <c r="AM184" s="7">
        <v>0</v>
      </c>
      <c r="AN184" s="7">
        <v>0</v>
      </c>
      <c r="AO184" s="7">
        <v>0</v>
      </c>
      <c r="AP184" s="7">
        <v>0</v>
      </c>
      <c r="AQ184" s="7">
        <v>0</v>
      </c>
      <c r="AR184" s="7">
        <v>0</v>
      </c>
      <c r="AS184" s="7">
        <v>0</v>
      </c>
      <c r="AT184" s="7">
        <v>0</v>
      </c>
      <c r="AU184" s="7">
        <v>0</v>
      </c>
      <c r="AV184" s="7">
        <v>0</v>
      </c>
      <c r="AW184" s="7">
        <v>0</v>
      </c>
      <c r="AX184" s="7">
        <v>0</v>
      </c>
      <c r="AY184" s="7">
        <v>0</v>
      </c>
      <c r="AZ184" s="7">
        <v>0</v>
      </c>
      <c r="BA184" s="7">
        <v>0</v>
      </c>
      <c r="BB184" s="7">
        <v>0</v>
      </c>
      <c r="BC184" s="7">
        <v>0</v>
      </c>
      <c r="BD184">
        <v>0</v>
      </c>
      <c r="BE184">
        <v>31.32</v>
      </c>
      <c r="BF1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4" s="42" t="str">
        <f>+IF(AVANCE[[#This Row],[FECHA INICIO REAL]]="","",AVANCE[[#This Row],[FECHA INICIO REAL]]-AVANCE[[#This Row],[FECHA INICIO TEORICO]])</f>
        <v/>
      </c>
      <c r="BH1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5" spans="1:61" x14ac:dyDescent="0.25">
      <c r="A185" t="s">
        <v>989</v>
      </c>
      <c r="B185" t="s">
        <v>1013</v>
      </c>
      <c r="C185">
        <v>2282600184</v>
      </c>
      <c r="D185" t="s">
        <v>833</v>
      </c>
      <c r="E185" s="4">
        <v>0</v>
      </c>
      <c r="F185" s="1">
        <v>46227</v>
      </c>
      <c r="G185" s="1"/>
      <c r="H185" s="1">
        <v>0</v>
      </c>
      <c r="I185" s="1">
        <v>46247</v>
      </c>
      <c r="J185">
        <v>46188</v>
      </c>
      <c r="K185" s="1"/>
      <c r="L185" s="7">
        <v>0</v>
      </c>
      <c r="M185" s="7">
        <v>0</v>
      </c>
      <c r="N185" s="7">
        <v>0</v>
      </c>
      <c r="O185" s="7">
        <v>0</v>
      </c>
      <c r="P185" s="7">
        <v>0</v>
      </c>
      <c r="Q185" s="7">
        <v>0</v>
      </c>
      <c r="R185" s="7">
        <v>0</v>
      </c>
      <c r="S185" s="7">
        <v>0</v>
      </c>
      <c r="T185" s="7">
        <v>0</v>
      </c>
      <c r="U185" s="7">
        <v>0</v>
      </c>
      <c r="V185" s="7">
        <v>0</v>
      </c>
      <c r="W185" s="7">
        <v>0</v>
      </c>
      <c r="X185" s="7">
        <v>0</v>
      </c>
      <c r="Y185" s="7">
        <v>0</v>
      </c>
      <c r="Z185" s="7">
        <v>0</v>
      </c>
      <c r="AA185" s="7">
        <v>0</v>
      </c>
      <c r="AB185" s="7">
        <v>0</v>
      </c>
      <c r="AC185" s="7">
        <v>0</v>
      </c>
      <c r="AD185" s="7">
        <v>0</v>
      </c>
      <c r="AE185" s="7">
        <v>0</v>
      </c>
      <c r="AF185" s="7">
        <v>0</v>
      </c>
      <c r="AG185" s="7">
        <v>0</v>
      </c>
      <c r="AH185" s="7">
        <v>0</v>
      </c>
      <c r="AI185" s="7">
        <v>0</v>
      </c>
      <c r="AJ185" s="7">
        <v>0</v>
      </c>
      <c r="AK185" s="7">
        <v>0</v>
      </c>
      <c r="AL185" s="7">
        <v>0</v>
      </c>
      <c r="AM185" s="7">
        <v>0</v>
      </c>
      <c r="AN185" s="7">
        <v>0</v>
      </c>
      <c r="AO185" s="7">
        <v>0</v>
      </c>
      <c r="AP185" s="7">
        <v>0</v>
      </c>
      <c r="AQ185" s="7">
        <v>0</v>
      </c>
      <c r="AR185" s="7">
        <v>0</v>
      </c>
      <c r="AS185" s="7">
        <v>0</v>
      </c>
      <c r="AT185" s="7">
        <v>0</v>
      </c>
      <c r="AU185" s="7">
        <v>0</v>
      </c>
      <c r="AV185" s="7">
        <v>0</v>
      </c>
      <c r="AW185" s="7">
        <v>0</v>
      </c>
      <c r="AX185" s="7">
        <v>0</v>
      </c>
      <c r="AY185" s="7">
        <v>0</v>
      </c>
      <c r="AZ185" s="7">
        <v>0</v>
      </c>
      <c r="BA185" s="7">
        <v>0</v>
      </c>
      <c r="BB185" s="7">
        <v>0</v>
      </c>
      <c r="BC185" s="7">
        <v>0</v>
      </c>
      <c r="BD185">
        <v>0</v>
      </c>
      <c r="BE185">
        <v>28.87</v>
      </c>
      <c r="BF1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5" s="42" t="str">
        <f>+IF(AVANCE[[#This Row],[FECHA INICIO REAL]]="","",AVANCE[[#This Row],[FECHA INICIO REAL]]-AVANCE[[#This Row],[FECHA INICIO TEORICO]])</f>
        <v/>
      </c>
      <c r="BH1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6" spans="1:61" x14ac:dyDescent="0.25">
      <c r="A186" t="s">
        <v>989</v>
      </c>
      <c r="B186" t="s">
        <v>1014</v>
      </c>
      <c r="C186">
        <v>2282600185</v>
      </c>
      <c r="D186" t="s">
        <v>833</v>
      </c>
      <c r="E186" s="4">
        <v>0</v>
      </c>
      <c r="F186" s="1">
        <v>46227</v>
      </c>
      <c r="G186" s="1"/>
      <c r="H186" s="1">
        <v>0</v>
      </c>
      <c r="I186" s="1">
        <v>46247</v>
      </c>
      <c r="J186">
        <v>46188</v>
      </c>
      <c r="K186" s="1"/>
      <c r="L186" s="7">
        <v>0</v>
      </c>
      <c r="M186" s="7">
        <v>0</v>
      </c>
      <c r="N186" s="7">
        <v>0</v>
      </c>
      <c r="O186" s="7">
        <v>0</v>
      </c>
      <c r="P186" s="7">
        <v>0</v>
      </c>
      <c r="Q186" s="7">
        <v>0</v>
      </c>
      <c r="R186" s="7">
        <v>0</v>
      </c>
      <c r="S186" s="7">
        <v>0</v>
      </c>
      <c r="T186" s="7">
        <v>0</v>
      </c>
      <c r="U186" s="7">
        <v>0</v>
      </c>
      <c r="V186" s="7">
        <v>0</v>
      </c>
      <c r="W186" s="7">
        <v>0</v>
      </c>
      <c r="X186" s="7">
        <v>0</v>
      </c>
      <c r="Y186" s="7">
        <v>0</v>
      </c>
      <c r="Z186" s="7">
        <v>0</v>
      </c>
      <c r="AA186" s="7">
        <v>0</v>
      </c>
      <c r="AB186" s="7">
        <v>0</v>
      </c>
      <c r="AC186" s="7">
        <v>0</v>
      </c>
      <c r="AD186" s="7">
        <v>0</v>
      </c>
      <c r="AE186" s="7">
        <v>0</v>
      </c>
      <c r="AF186" s="7">
        <v>0</v>
      </c>
      <c r="AG186" s="7">
        <v>0</v>
      </c>
      <c r="AH186" s="7">
        <v>0</v>
      </c>
      <c r="AI186" s="7">
        <v>0</v>
      </c>
      <c r="AJ186" s="7">
        <v>0</v>
      </c>
      <c r="AK186" s="7">
        <v>0</v>
      </c>
      <c r="AL186" s="7">
        <v>0</v>
      </c>
      <c r="AM186" s="7">
        <v>0</v>
      </c>
      <c r="AN186" s="7">
        <v>0</v>
      </c>
      <c r="AO186" s="7">
        <v>0</v>
      </c>
      <c r="AP186" s="7">
        <v>0</v>
      </c>
      <c r="AQ186" s="7">
        <v>0</v>
      </c>
      <c r="AR186" s="7">
        <v>0</v>
      </c>
      <c r="AS186" s="7">
        <v>0</v>
      </c>
      <c r="AT186" s="7">
        <v>0</v>
      </c>
      <c r="AU186" s="7">
        <v>0</v>
      </c>
      <c r="AV186" s="7">
        <v>0</v>
      </c>
      <c r="AW186" s="7">
        <v>0</v>
      </c>
      <c r="AX186" s="7">
        <v>0</v>
      </c>
      <c r="AY186" s="7">
        <v>0</v>
      </c>
      <c r="AZ186" s="7">
        <v>0</v>
      </c>
      <c r="BA186" s="7">
        <v>0</v>
      </c>
      <c r="BB186" s="7">
        <v>0</v>
      </c>
      <c r="BC186" s="7">
        <v>0</v>
      </c>
      <c r="BD186">
        <v>0</v>
      </c>
      <c r="BE186">
        <v>28.87</v>
      </c>
      <c r="BF1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6" s="42" t="str">
        <f>+IF(AVANCE[[#This Row],[FECHA INICIO REAL]]="","",AVANCE[[#This Row],[FECHA INICIO REAL]]-AVANCE[[#This Row],[FECHA INICIO TEORICO]])</f>
        <v/>
      </c>
      <c r="BH1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7" spans="1:61" x14ac:dyDescent="0.25">
      <c r="A187" t="s">
        <v>989</v>
      </c>
      <c r="B187" t="s">
        <v>1015</v>
      </c>
      <c r="C187">
        <v>2302600186</v>
      </c>
      <c r="D187" t="s">
        <v>834</v>
      </c>
      <c r="E187" s="4">
        <v>0</v>
      </c>
      <c r="F187" s="1">
        <v>46230</v>
      </c>
      <c r="G187" s="1"/>
      <c r="H187" s="1">
        <v>0</v>
      </c>
      <c r="I187" s="1">
        <v>46260</v>
      </c>
      <c r="J187">
        <v>46188</v>
      </c>
      <c r="K187" s="1"/>
      <c r="L187" s="7">
        <v>0</v>
      </c>
      <c r="M187" s="7">
        <v>0</v>
      </c>
      <c r="N187" s="7">
        <v>0</v>
      </c>
      <c r="O187" s="7">
        <v>0</v>
      </c>
      <c r="P187" s="7">
        <v>0</v>
      </c>
      <c r="Q187" s="7">
        <v>0</v>
      </c>
      <c r="R187" s="7">
        <v>0</v>
      </c>
      <c r="S187" s="7">
        <v>0</v>
      </c>
      <c r="T187" s="7">
        <v>0</v>
      </c>
      <c r="U187" s="7">
        <v>0</v>
      </c>
      <c r="V187" s="7">
        <v>0</v>
      </c>
      <c r="W187" s="7">
        <v>0</v>
      </c>
      <c r="X187" s="7">
        <v>0</v>
      </c>
      <c r="Y187" s="7">
        <v>0</v>
      </c>
      <c r="Z187" s="7">
        <v>0</v>
      </c>
      <c r="AA187" s="7">
        <v>0</v>
      </c>
      <c r="AB187" s="7">
        <v>0</v>
      </c>
      <c r="AC187" s="7">
        <v>0</v>
      </c>
      <c r="AD187" s="7">
        <v>0</v>
      </c>
      <c r="AE187" s="7">
        <v>0</v>
      </c>
      <c r="AF187" s="7">
        <v>0</v>
      </c>
      <c r="AG187" s="7">
        <v>0</v>
      </c>
      <c r="AH187" s="7">
        <v>0</v>
      </c>
      <c r="AI187" s="7">
        <v>0</v>
      </c>
      <c r="AJ187" s="7">
        <v>0</v>
      </c>
      <c r="AK187" s="7">
        <v>0</v>
      </c>
      <c r="AL187" s="7">
        <v>0</v>
      </c>
      <c r="AM187" s="7">
        <v>0</v>
      </c>
      <c r="AN187" s="7">
        <v>0</v>
      </c>
      <c r="AO187" s="7">
        <v>0</v>
      </c>
      <c r="AP187" s="7">
        <v>0</v>
      </c>
      <c r="AQ187" s="7">
        <v>0</v>
      </c>
      <c r="AR187" s="7">
        <v>0</v>
      </c>
      <c r="AS187" s="7">
        <v>0</v>
      </c>
      <c r="AT187" s="7">
        <v>0</v>
      </c>
      <c r="AU187" s="7">
        <v>0</v>
      </c>
      <c r="AV187" s="7">
        <v>0</v>
      </c>
      <c r="AW187" s="7">
        <v>0</v>
      </c>
      <c r="AX187" s="7">
        <v>0</v>
      </c>
      <c r="AY187" s="7">
        <v>0</v>
      </c>
      <c r="AZ187" s="7">
        <v>0</v>
      </c>
      <c r="BA187" s="7">
        <v>0</v>
      </c>
      <c r="BB187" s="7">
        <v>0</v>
      </c>
      <c r="BC187" s="7">
        <v>0</v>
      </c>
      <c r="BD187">
        <v>0</v>
      </c>
      <c r="BE187">
        <v>31.32</v>
      </c>
      <c r="BF1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7" s="42" t="str">
        <f>+IF(AVANCE[[#This Row],[FECHA INICIO REAL]]="","",AVANCE[[#This Row],[FECHA INICIO REAL]]-AVANCE[[#This Row],[FECHA INICIO TEORICO]])</f>
        <v/>
      </c>
      <c r="BH1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8" spans="1:61" x14ac:dyDescent="0.25">
      <c r="A188" t="s">
        <v>989</v>
      </c>
      <c r="B188" t="s">
        <v>1016</v>
      </c>
      <c r="C188">
        <v>2302600187</v>
      </c>
      <c r="D188" t="s">
        <v>834</v>
      </c>
      <c r="E188" s="4">
        <v>0</v>
      </c>
      <c r="F188" s="1">
        <v>46230</v>
      </c>
      <c r="G188" s="1"/>
      <c r="H188" s="1">
        <v>0</v>
      </c>
      <c r="I188" s="1">
        <v>46260</v>
      </c>
      <c r="J188">
        <v>46188</v>
      </c>
      <c r="K188" s="1"/>
      <c r="L188" s="7">
        <v>0</v>
      </c>
      <c r="M188" s="7">
        <v>0</v>
      </c>
      <c r="N188" s="7">
        <v>0</v>
      </c>
      <c r="O188" s="7">
        <v>0</v>
      </c>
      <c r="P188" s="7">
        <v>0</v>
      </c>
      <c r="Q188" s="7">
        <v>0</v>
      </c>
      <c r="R188" s="7">
        <v>0</v>
      </c>
      <c r="S188" s="7">
        <v>0</v>
      </c>
      <c r="T188" s="7">
        <v>0</v>
      </c>
      <c r="U188" s="7">
        <v>0</v>
      </c>
      <c r="V188" s="7">
        <v>0</v>
      </c>
      <c r="W188" s="7">
        <v>0</v>
      </c>
      <c r="X188" s="7">
        <v>0</v>
      </c>
      <c r="Y188" s="7">
        <v>0</v>
      </c>
      <c r="Z188" s="7">
        <v>0</v>
      </c>
      <c r="AA188" s="7">
        <v>0</v>
      </c>
      <c r="AB188" s="7">
        <v>0</v>
      </c>
      <c r="AC188" s="7">
        <v>0</v>
      </c>
      <c r="AD188" s="7">
        <v>0</v>
      </c>
      <c r="AE188" s="7">
        <v>0</v>
      </c>
      <c r="AF188" s="7">
        <v>0</v>
      </c>
      <c r="AG188" s="7">
        <v>0</v>
      </c>
      <c r="AH188" s="7">
        <v>0</v>
      </c>
      <c r="AI188" s="7">
        <v>0</v>
      </c>
      <c r="AJ188" s="7">
        <v>0</v>
      </c>
      <c r="AK188" s="7">
        <v>0</v>
      </c>
      <c r="AL188" s="7">
        <v>0</v>
      </c>
      <c r="AM188" s="7">
        <v>0</v>
      </c>
      <c r="AN188" s="7">
        <v>0</v>
      </c>
      <c r="AO188" s="7">
        <v>0</v>
      </c>
      <c r="AP188" s="7">
        <v>0</v>
      </c>
      <c r="AQ188" s="7">
        <v>0</v>
      </c>
      <c r="AR188" s="7">
        <v>0</v>
      </c>
      <c r="AS188" s="7">
        <v>0</v>
      </c>
      <c r="AT188" s="7">
        <v>0</v>
      </c>
      <c r="AU188" s="7">
        <v>0</v>
      </c>
      <c r="AV188" s="7">
        <v>0</v>
      </c>
      <c r="AW188" s="7">
        <v>0</v>
      </c>
      <c r="AX188" s="7">
        <v>0</v>
      </c>
      <c r="AY188" s="7">
        <v>0</v>
      </c>
      <c r="AZ188" s="7">
        <v>0</v>
      </c>
      <c r="BA188" s="7">
        <v>0</v>
      </c>
      <c r="BB188" s="7">
        <v>0</v>
      </c>
      <c r="BC188" s="7">
        <v>0</v>
      </c>
      <c r="BD188">
        <v>0</v>
      </c>
      <c r="BE188">
        <v>31.32</v>
      </c>
      <c r="BF1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8" s="42" t="str">
        <f>+IF(AVANCE[[#This Row],[FECHA INICIO REAL]]="","",AVANCE[[#This Row],[FECHA INICIO REAL]]-AVANCE[[#This Row],[FECHA INICIO TEORICO]])</f>
        <v/>
      </c>
      <c r="BH1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9" spans="1:61" x14ac:dyDescent="0.25">
      <c r="A189" t="s">
        <v>989</v>
      </c>
      <c r="B189" t="s">
        <v>1017</v>
      </c>
      <c r="C189">
        <v>2282600188</v>
      </c>
      <c r="D189" t="s">
        <v>833</v>
      </c>
      <c r="E189" s="4">
        <v>0</v>
      </c>
      <c r="F189" s="1">
        <v>46230</v>
      </c>
      <c r="G189" s="1"/>
      <c r="H189" s="1">
        <v>0</v>
      </c>
      <c r="I189" s="1">
        <v>46250</v>
      </c>
      <c r="J189">
        <v>46188</v>
      </c>
      <c r="K189" s="1"/>
      <c r="L189" s="7">
        <v>0</v>
      </c>
      <c r="M189" s="7">
        <v>0</v>
      </c>
      <c r="N189" s="7">
        <v>0</v>
      </c>
      <c r="O189" s="7">
        <v>0</v>
      </c>
      <c r="P189" s="7">
        <v>0</v>
      </c>
      <c r="Q189" s="7">
        <v>0</v>
      </c>
      <c r="R189" s="7">
        <v>0</v>
      </c>
      <c r="S189" s="7">
        <v>0</v>
      </c>
      <c r="T189" s="7">
        <v>0</v>
      </c>
      <c r="U189" s="7">
        <v>0</v>
      </c>
      <c r="V189" s="7">
        <v>0</v>
      </c>
      <c r="W189" s="7">
        <v>0</v>
      </c>
      <c r="X189" s="7">
        <v>0</v>
      </c>
      <c r="Y189" s="7">
        <v>0</v>
      </c>
      <c r="Z189" s="7">
        <v>0</v>
      </c>
      <c r="AA189" s="7">
        <v>0</v>
      </c>
      <c r="AB189" s="7">
        <v>0</v>
      </c>
      <c r="AC189" s="7">
        <v>0</v>
      </c>
      <c r="AD189" s="7">
        <v>0</v>
      </c>
      <c r="AE189" s="7">
        <v>0</v>
      </c>
      <c r="AF189" s="7">
        <v>0</v>
      </c>
      <c r="AG189" s="7">
        <v>0</v>
      </c>
      <c r="AH189" s="7">
        <v>0</v>
      </c>
      <c r="AI189" s="7">
        <v>0</v>
      </c>
      <c r="AJ189" s="7">
        <v>0</v>
      </c>
      <c r="AK189" s="7">
        <v>0</v>
      </c>
      <c r="AL189" s="7">
        <v>0</v>
      </c>
      <c r="AM189" s="7">
        <v>0</v>
      </c>
      <c r="AN189" s="7">
        <v>0</v>
      </c>
      <c r="AO189" s="7">
        <v>0</v>
      </c>
      <c r="AP189" s="7">
        <v>0</v>
      </c>
      <c r="AQ189" s="7">
        <v>0</v>
      </c>
      <c r="AR189" s="7">
        <v>0</v>
      </c>
      <c r="AS189" s="7">
        <v>0</v>
      </c>
      <c r="AT189" s="7">
        <v>0</v>
      </c>
      <c r="AU189" s="7">
        <v>0</v>
      </c>
      <c r="AV189" s="7">
        <v>0</v>
      </c>
      <c r="AW189" s="7">
        <v>0</v>
      </c>
      <c r="AX189" s="7">
        <v>0</v>
      </c>
      <c r="AY189" s="7">
        <v>0</v>
      </c>
      <c r="AZ189" s="7">
        <v>0</v>
      </c>
      <c r="BA189" s="7">
        <v>0</v>
      </c>
      <c r="BB189" s="7">
        <v>0</v>
      </c>
      <c r="BC189" s="7">
        <v>0</v>
      </c>
      <c r="BD189">
        <v>0</v>
      </c>
      <c r="BE189">
        <v>28.87</v>
      </c>
      <c r="BF1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9" s="42" t="str">
        <f>+IF(AVANCE[[#This Row],[FECHA INICIO REAL]]="","",AVANCE[[#This Row],[FECHA INICIO REAL]]-AVANCE[[#This Row],[FECHA INICIO TEORICO]])</f>
        <v/>
      </c>
      <c r="BH1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0" spans="1:61" x14ac:dyDescent="0.25">
      <c r="A190" t="s">
        <v>989</v>
      </c>
      <c r="B190" t="s">
        <v>1018</v>
      </c>
      <c r="C190">
        <v>2282600189</v>
      </c>
      <c r="D190" t="s">
        <v>833</v>
      </c>
      <c r="E190" s="4">
        <v>0</v>
      </c>
      <c r="F190" s="1">
        <v>46231</v>
      </c>
      <c r="G190" s="1"/>
      <c r="H190" s="1">
        <v>0</v>
      </c>
      <c r="I190" s="1">
        <v>46251</v>
      </c>
      <c r="J190">
        <v>46188</v>
      </c>
      <c r="K190" s="1"/>
      <c r="L190" s="7">
        <v>0</v>
      </c>
      <c r="M190" s="7">
        <v>0</v>
      </c>
      <c r="N190" s="7">
        <v>0</v>
      </c>
      <c r="O190" s="7">
        <v>0</v>
      </c>
      <c r="P190" s="7">
        <v>0</v>
      </c>
      <c r="Q190" s="7">
        <v>0</v>
      </c>
      <c r="R190" s="7">
        <v>0</v>
      </c>
      <c r="S190" s="7">
        <v>0</v>
      </c>
      <c r="T190" s="7">
        <v>0</v>
      </c>
      <c r="U190" s="7">
        <v>0</v>
      </c>
      <c r="V190" s="7">
        <v>0</v>
      </c>
      <c r="W190" s="7">
        <v>0</v>
      </c>
      <c r="X190" s="7">
        <v>0</v>
      </c>
      <c r="Y190" s="7">
        <v>0</v>
      </c>
      <c r="Z190" s="7">
        <v>0</v>
      </c>
      <c r="AA190" s="7">
        <v>0</v>
      </c>
      <c r="AB190" s="7">
        <v>0</v>
      </c>
      <c r="AC190" s="7">
        <v>0</v>
      </c>
      <c r="AD190" s="7">
        <v>0</v>
      </c>
      <c r="AE190" s="7">
        <v>0</v>
      </c>
      <c r="AF190" s="7">
        <v>0</v>
      </c>
      <c r="AG190" s="7">
        <v>0</v>
      </c>
      <c r="AH190" s="7">
        <v>0</v>
      </c>
      <c r="AI190" s="7">
        <v>0</v>
      </c>
      <c r="AJ190" s="7">
        <v>0</v>
      </c>
      <c r="AK190" s="7">
        <v>0</v>
      </c>
      <c r="AL190" s="7">
        <v>0</v>
      </c>
      <c r="AM190" s="7">
        <v>0</v>
      </c>
      <c r="AN190" s="7">
        <v>0</v>
      </c>
      <c r="AO190" s="7">
        <v>0</v>
      </c>
      <c r="AP190" s="7">
        <v>0</v>
      </c>
      <c r="AQ190" s="7">
        <v>0</v>
      </c>
      <c r="AR190" s="7">
        <v>0</v>
      </c>
      <c r="AS190" s="7">
        <v>0</v>
      </c>
      <c r="AT190" s="7">
        <v>0</v>
      </c>
      <c r="AU190" s="7">
        <v>0</v>
      </c>
      <c r="AV190" s="7">
        <v>0</v>
      </c>
      <c r="AW190" s="7">
        <v>0</v>
      </c>
      <c r="AX190" s="7">
        <v>0</v>
      </c>
      <c r="AY190" s="7">
        <v>0</v>
      </c>
      <c r="AZ190" s="7">
        <v>0</v>
      </c>
      <c r="BA190" s="7">
        <v>0</v>
      </c>
      <c r="BB190" s="7">
        <v>0</v>
      </c>
      <c r="BC190" s="7">
        <v>0</v>
      </c>
      <c r="BD190">
        <v>0</v>
      </c>
      <c r="BE190">
        <v>28.87</v>
      </c>
      <c r="BF1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0" s="42" t="str">
        <f>+IF(AVANCE[[#This Row],[FECHA INICIO REAL]]="","",AVANCE[[#This Row],[FECHA INICIO REAL]]-AVANCE[[#This Row],[FECHA INICIO TEORICO]])</f>
        <v/>
      </c>
      <c r="BH1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1" spans="1:61" x14ac:dyDescent="0.25">
      <c r="A191" t="s">
        <v>989</v>
      </c>
      <c r="B191" t="s">
        <v>1019</v>
      </c>
      <c r="C191">
        <v>2302600190</v>
      </c>
      <c r="D191" t="s">
        <v>834</v>
      </c>
      <c r="E191" s="4">
        <v>0</v>
      </c>
      <c r="F191" s="1">
        <v>46231</v>
      </c>
      <c r="G191" s="1"/>
      <c r="H191" s="1">
        <v>0</v>
      </c>
      <c r="I191" s="1">
        <v>46261</v>
      </c>
      <c r="J191">
        <v>46188</v>
      </c>
      <c r="K191" s="1"/>
      <c r="L191" s="7">
        <v>0</v>
      </c>
      <c r="M191" s="7">
        <v>0</v>
      </c>
      <c r="N191" s="7">
        <v>0</v>
      </c>
      <c r="O191" s="7">
        <v>0</v>
      </c>
      <c r="P191" s="7">
        <v>0</v>
      </c>
      <c r="Q191" s="7">
        <v>0</v>
      </c>
      <c r="R191" s="7">
        <v>0</v>
      </c>
      <c r="S191" s="7">
        <v>0</v>
      </c>
      <c r="T191" s="7">
        <v>0</v>
      </c>
      <c r="U191" s="7">
        <v>0</v>
      </c>
      <c r="V191" s="7">
        <v>0</v>
      </c>
      <c r="W191" s="7">
        <v>0</v>
      </c>
      <c r="X191" s="7">
        <v>0</v>
      </c>
      <c r="Y191" s="7">
        <v>0</v>
      </c>
      <c r="Z191" s="7">
        <v>0</v>
      </c>
      <c r="AA191" s="7">
        <v>0</v>
      </c>
      <c r="AB191" s="7">
        <v>0</v>
      </c>
      <c r="AC191" s="7">
        <v>0</v>
      </c>
      <c r="AD191" s="7">
        <v>0</v>
      </c>
      <c r="AE191" s="7">
        <v>0</v>
      </c>
      <c r="AF191" s="7">
        <v>0</v>
      </c>
      <c r="AG191" s="7">
        <v>0</v>
      </c>
      <c r="AH191" s="7">
        <v>0</v>
      </c>
      <c r="AI191" s="7">
        <v>0</v>
      </c>
      <c r="AJ191" s="7">
        <v>0</v>
      </c>
      <c r="AK191" s="7">
        <v>0</v>
      </c>
      <c r="AL191" s="7">
        <v>0</v>
      </c>
      <c r="AM191" s="7">
        <v>0</v>
      </c>
      <c r="AN191" s="7">
        <v>0</v>
      </c>
      <c r="AO191" s="7">
        <v>0</v>
      </c>
      <c r="AP191" s="7">
        <v>0</v>
      </c>
      <c r="AQ191" s="7">
        <v>0</v>
      </c>
      <c r="AR191" s="7">
        <v>0</v>
      </c>
      <c r="AS191" s="7">
        <v>0</v>
      </c>
      <c r="AT191" s="7">
        <v>0</v>
      </c>
      <c r="AU191" s="7">
        <v>0</v>
      </c>
      <c r="AV191" s="7">
        <v>0</v>
      </c>
      <c r="AW191" s="7">
        <v>0</v>
      </c>
      <c r="AX191" s="7">
        <v>0</v>
      </c>
      <c r="AY191" s="7">
        <v>0</v>
      </c>
      <c r="AZ191" s="7">
        <v>0</v>
      </c>
      <c r="BA191" s="7">
        <v>0</v>
      </c>
      <c r="BB191" s="7">
        <v>0</v>
      </c>
      <c r="BC191" s="7">
        <v>0</v>
      </c>
      <c r="BD191">
        <v>0</v>
      </c>
      <c r="BE191">
        <v>31.32</v>
      </c>
      <c r="BF1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1" s="42" t="str">
        <f>+IF(AVANCE[[#This Row],[FECHA INICIO REAL]]="","",AVANCE[[#This Row],[FECHA INICIO REAL]]-AVANCE[[#This Row],[FECHA INICIO TEORICO]])</f>
        <v/>
      </c>
      <c r="BH1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2" spans="1:61" x14ac:dyDescent="0.25">
      <c r="A192" t="s">
        <v>989</v>
      </c>
      <c r="B192" t="s">
        <v>1020</v>
      </c>
      <c r="C192">
        <v>2302600191</v>
      </c>
      <c r="D192" t="s">
        <v>834</v>
      </c>
      <c r="E192" s="4">
        <v>0</v>
      </c>
      <c r="F192" s="1">
        <v>46232</v>
      </c>
      <c r="G192" s="1"/>
      <c r="H192" s="1">
        <v>0</v>
      </c>
      <c r="I192" s="1">
        <v>46262</v>
      </c>
      <c r="J192">
        <v>46188</v>
      </c>
      <c r="K192" s="1"/>
      <c r="L192" s="7">
        <v>0</v>
      </c>
      <c r="M192" s="7">
        <v>0</v>
      </c>
      <c r="N192" s="7">
        <v>0</v>
      </c>
      <c r="O192" s="7">
        <v>0</v>
      </c>
      <c r="P192" s="7">
        <v>0</v>
      </c>
      <c r="Q192" s="7">
        <v>0</v>
      </c>
      <c r="R192" s="7">
        <v>0</v>
      </c>
      <c r="S192" s="7">
        <v>0</v>
      </c>
      <c r="T192" s="7">
        <v>0</v>
      </c>
      <c r="U192" s="7">
        <v>0</v>
      </c>
      <c r="V192" s="7">
        <v>0</v>
      </c>
      <c r="W192" s="7">
        <v>0</v>
      </c>
      <c r="X192" s="7">
        <v>0</v>
      </c>
      <c r="Y192" s="7">
        <v>0</v>
      </c>
      <c r="Z192" s="7">
        <v>0</v>
      </c>
      <c r="AA192" s="7">
        <v>0</v>
      </c>
      <c r="AB192" s="7">
        <v>0</v>
      </c>
      <c r="AC192" s="7">
        <v>0</v>
      </c>
      <c r="AD192" s="7">
        <v>0</v>
      </c>
      <c r="AE192" s="7">
        <v>0</v>
      </c>
      <c r="AF192" s="7">
        <v>0</v>
      </c>
      <c r="AG192" s="7">
        <v>0</v>
      </c>
      <c r="AH192" s="7">
        <v>0</v>
      </c>
      <c r="AI192" s="7">
        <v>0</v>
      </c>
      <c r="AJ192" s="7">
        <v>0</v>
      </c>
      <c r="AK192" s="7">
        <v>0</v>
      </c>
      <c r="AL192" s="7">
        <v>0</v>
      </c>
      <c r="AM192" s="7">
        <v>0</v>
      </c>
      <c r="AN192" s="7">
        <v>0</v>
      </c>
      <c r="AO192" s="7">
        <v>0</v>
      </c>
      <c r="AP192" s="7">
        <v>0</v>
      </c>
      <c r="AQ192" s="7">
        <v>0</v>
      </c>
      <c r="AR192" s="7">
        <v>0</v>
      </c>
      <c r="AS192" s="7">
        <v>0</v>
      </c>
      <c r="AT192" s="7">
        <v>0</v>
      </c>
      <c r="AU192" s="7">
        <v>0</v>
      </c>
      <c r="AV192" s="7">
        <v>0</v>
      </c>
      <c r="AW192" s="7">
        <v>0</v>
      </c>
      <c r="AX192" s="7">
        <v>0</v>
      </c>
      <c r="AY192" s="7">
        <v>0</v>
      </c>
      <c r="AZ192" s="7">
        <v>0</v>
      </c>
      <c r="BA192" s="7">
        <v>0</v>
      </c>
      <c r="BB192" s="7">
        <v>0</v>
      </c>
      <c r="BC192" s="7">
        <v>0</v>
      </c>
      <c r="BD192">
        <v>0</v>
      </c>
      <c r="BE192">
        <v>31.32</v>
      </c>
      <c r="BF1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2" s="42" t="str">
        <f>+IF(AVANCE[[#This Row],[FECHA INICIO REAL]]="","",AVANCE[[#This Row],[FECHA INICIO REAL]]-AVANCE[[#This Row],[FECHA INICIO TEORICO]])</f>
        <v/>
      </c>
      <c r="BH1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3" spans="1:61" x14ac:dyDescent="0.25">
      <c r="A193" t="s">
        <v>989</v>
      </c>
      <c r="B193" t="s">
        <v>1021</v>
      </c>
      <c r="C193">
        <v>2282600192</v>
      </c>
      <c r="D193" t="s">
        <v>833</v>
      </c>
      <c r="E193" s="4">
        <v>0</v>
      </c>
      <c r="F193" s="1">
        <v>46232</v>
      </c>
      <c r="G193" s="1"/>
      <c r="H193" s="1">
        <v>0</v>
      </c>
      <c r="I193" s="1">
        <v>46252</v>
      </c>
      <c r="J193">
        <v>46188</v>
      </c>
      <c r="K193" s="1"/>
      <c r="L193" s="7">
        <v>0</v>
      </c>
      <c r="M193" s="7">
        <v>0</v>
      </c>
      <c r="N193" s="7">
        <v>0</v>
      </c>
      <c r="O193" s="7">
        <v>0</v>
      </c>
      <c r="P193" s="7">
        <v>0</v>
      </c>
      <c r="Q193" s="7">
        <v>0</v>
      </c>
      <c r="R193" s="7">
        <v>0</v>
      </c>
      <c r="S193" s="7">
        <v>0</v>
      </c>
      <c r="T193" s="7">
        <v>0</v>
      </c>
      <c r="U193" s="7">
        <v>0</v>
      </c>
      <c r="V193" s="7">
        <v>0</v>
      </c>
      <c r="W193" s="7">
        <v>0</v>
      </c>
      <c r="X193" s="7">
        <v>0</v>
      </c>
      <c r="Y193" s="7">
        <v>0</v>
      </c>
      <c r="Z193" s="7">
        <v>0</v>
      </c>
      <c r="AA193" s="7">
        <v>0</v>
      </c>
      <c r="AB193" s="7">
        <v>0</v>
      </c>
      <c r="AC193" s="7">
        <v>0</v>
      </c>
      <c r="AD193" s="7">
        <v>0</v>
      </c>
      <c r="AE193" s="7">
        <v>0</v>
      </c>
      <c r="AF193" s="7">
        <v>0</v>
      </c>
      <c r="AG193" s="7">
        <v>0</v>
      </c>
      <c r="AH193" s="7">
        <v>0</v>
      </c>
      <c r="AI193" s="7">
        <v>0</v>
      </c>
      <c r="AJ193" s="7">
        <v>0</v>
      </c>
      <c r="AK193" s="7">
        <v>0</v>
      </c>
      <c r="AL193" s="7">
        <v>0</v>
      </c>
      <c r="AM193" s="7">
        <v>0</v>
      </c>
      <c r="AN193" s="7">
        <v>0</v>
      </c>
      <c r="AO193" s="7">
        <v>0</v>
      </c>
      <c r="AP193" s="7">
        <v>0</v>
      </c>
      <c r="AQ193" s="7">
        <v>0</v>
      </c>
      <c r="AR193" s="7">
        <v>0</v>
      </c>
      <c r="AS193" s="7">
        <v>0</v>
      </c>
      <c r="AT193" s="7">
        <v>0</v>
      </c>
      <c r="AU193" s="7">
        <v>0</v>
      </c>
      <c r="AV193" s="7">
        <v>0</v>
      </c>
      <c r="AW193" s="7">
        <v>0</v>
      </c>
      <c r="AX193" s="7">
        <v>0</v>
      </c>
      <c r="AY193" s="7">
        <v>0</v>
      </c>
      <c r="AZ193" s="7">
        <v>0</v>
      </c>
      <c r="BA193" s="7">
        <v>0</v>
      </c>
      <c r="BB193" s="7">
        <v>0</v>
      </c>
      <c r="BC193" s="7">
        <v>0</v>
      </c>
      <c r="BD193">
        <v>0</v>
      </c>
      <c r="BE193">
        <v>28.87</v>
      </c>
      <c r="BF1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3" s="42" t="str">
        <f>+IF(AVANCE[[#This Row],[FECHA INICIO REAL]]="","",AVANCE[[#This Row],[FECHA INICIO REAL]]-AVANCE[[#This Row],[FECHA INICIO TEORICO]])</f>
        <v/>
      </c>
      <c r="BH1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4" spans="1:61" x14ac:dyDescent="0.25">
      <c r="A194" t="s">
        <v>1022</v>
      </c>
      <c r="B194" t="s">
        <v>1023</v>
      </c>
      <c r="C194">
        <v>2282600193</v>
      </c>
      <c r="D194" t="s">
        <v>833</v>
      </c>
      <c r="E194" s="4">
        <v>0</v>
      </c>
      <c r="F194" s="1">
        <v>46232</v>
      </c>
      <c r="G194" s="1"/>
      <c r="H194" s="1">
        <v>0</v>
      </c>
      <c r="I194" s="1">
        <v>46252</v>
      </c>
      <c r="J194">
        <v>46188</v>
      </c>
      <c r="K194" s="1"/>
      <c r="L194" s="7">
        <v>0</v>
      </c>
      <c r="M194" s="7">
        <v>0</v>
      </c>
      <c r="N194" s="7">
        <v>0</v>
      </c>
      <c r="O194" s="7">
        <v>0</v>
      </c>
      <c r="P194" s="7">
        <v>0</v>
      </c>
      <c r="Q194" s="7">
        <v>0</v>
      </c>
      <c r="R194" s="7">
        <v>0</v>
      </c>
      <c r="S194" s="7">
        <v>0</v>
      </c>
      <c r="T194" s="7">
        <v>0</v>
      </c>
      <c r="U194" s="7">
        <v>0</v>
      </c>
      <c r="V194" s="7">
        <v>0</v>
      </c>
      <c r="W194" s="7">
        <v>0</v>
      </c>
      <c r="X194" s="7">
        <v>0</v>
      </c>
      <c r="Y194" s="7">
        <v>0</v>
      </c>
      <c r="Z194" s="7">
        <v>0</v>
      </c>
      <c r="AA194" s="7">
        <v>0</v>
      </c>
      <c r="AB194" s="7">
        <v>0</v>
      </c>
      <c r="AC194" s="7">
        <v>0</v>
      </c>
      <c r="AD194" s="7">
        <v>0</v>
      </c>
      <c r="AE194" s="7">
        <v>0</v>
      </c>
      <c r="AF194" s="7">
        <v>0</v>
      </c>
      <c r="AG194" s="7">
        <v>0</v>
      </c>
      <c r="AH194" s="7">
        <v>0</v>
      </c>
      <c r="AI194" s="7">
        <v>0</v>
      </c>
      <c r="AJ194" s="7">
        <v>0</v>
      </c>
      <c r="AK194" s="7">
        <v>0</v>
      </c>
      <c r="AL194" s="7">
        <v>0</v>
      </c>
      <c r="AM194" s="7">
        <v>0</v>
      </c>
      <c r="AN194" s="7">
        <v>0</v>
      </c>
      <c r="AO194" s="7">
        <v>0</v>
      </c>
      <c r="AP194" s="7">
        <v>0</v>
      </c>
      <c r="AQ194" s="7">
        <v>0</v>
      </c>
      <c r="AR194" s="7">
        <v>0</v>
      </c>
      <c r="AS194" s="7">
        <v>0</v>
      </c>
      <c r="AT194" s="7">
        <v>0</v>
      </c>
      <c r="AU194" s="7">
        <v>0</v>
      </c>
      <c r="AV194" s="7">
        <v>0</v>
      </c>
      <c r="AW194" s="7">
        <v>0</v>
      </c>
      <c r="AX194" s="7">
        <v>0</v>
      </c>
      <c r="AY194" s="7">
        <v>0</v>
      </c>
      <c r="AZ194" s="7">
        <v>0</v>
      </c>
      <c r="BA194" s="7">
        <v>0</v>
      </c>
      <c r="BB194" s="7">
        <v>0</v>
      </c>
      <c r="BC194" s="7">
        <v>0</v>
      </c>
      <c r="BD194">
        <v>0</v>
      </c>
      <c r="BE194">
        <v>28.87</v>
      </c>
      <c r="BF1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4" s="42" t="str">
        <f>+IF(AVANCE[[#This Row],[FECHA INICIO REAL]]="","",AVANCE[[#This Row],[FECHA INICIO REAL]]-AVANCE[[#This Row],[FECHA INICIO TEORICO]])</f>
        <v/>
      </c>
      <c r="BH1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5" spans="1:61" x14ac:dyDescent="0.25">
      <c r="A195" t="s">
        <v>1022</v>
      </c>
      <c r="B195" t="s">
        <v>1024</v>
      </c>
      <c r="C195">
        <v>2302600194</v>
      </c>
      <c r="D195" t="s">
        <v>834</v>
      </c>
      <c r="E195" s="4">
        <v>0</v>
      </c>
      <c r="F195" s="1">
        <v>46233</v>
      </c>
      <c r="G195" s="1"/>
      <c r="H195" s="1">
        <v>0</v>
      </c>
      <c r="I195" s="1">
        <v>46263</v>
      </c>
      <c r="J195">
        <v>46188</v>
      </c>
      <c r="K195" s="1"/>
      <c r="L195" s="7">
        <v>0</v>
      </c>
      <c r="M195" s="7">
        <v>0</v>
      </c>
      <c r="N195" s="7">
        <v>0</v>
      </c>
      <c r="O195" s="7">
        <v>0</v>
      </c>
      <c r="P195" s="7">
        <v>0</v>
      </c>
      <c r="Q195" s="7">
        <v>0</v>
      </c>
      <c r="R195" s="7">
        <v>0</v>
      </c>
      <c r="S195" s="7">
        <v>0</v>
      </c>
      <c r="T195" s="7">
        <v>0</v>
      </c>
      <c r="U195" s="7">
        <v>0</v>
      </c>
      <c r="V195" s="7">
        <v>0</v>
      </c>
      <c r="W195" s="7">
        <v>0</v>
      </c>
      <c r="X195" s="7">
        <v>0</v>
      </c>
      <c r="Y195" s="7">
        <v>0</v>
      </c>
      <c r="Z195" s="7">
        <v>0</v>
      </c>
      <c r="AA195" s="7">
        <v>0</v>
      </c>
      <c r="AB195" s="7">
        <v>0</v>
      </c>
      <c r="AC195" s="7">
        <v>0</v>
      </c>
      <c r="AD195" s="7">
        <v>0</v>
      </c>
      <c r="AE195" s="7">
        <v>0</v>
      </c>
      <c r="AF195" s="7">
        <v>0</v>
      </c>
      <c r="AG195" s="7">
        <v>0</v>
      </c>
      <c r="AH195" s="7">
        <v>0</v>
      </c>
      <c r="AI195" s="7">
        <v>0</v>
      </c>
      <c r="AJ195" s="7">
        <v>0</v>
      </c>
      <c r="AK195" s="7">
        <v>0</v>
      </c>
      <c r="AL195" s="7">
        <v>0</v>
      </c>
      <c r="AM195" s="7">
        <v>0</v>
      </c>
      <c r="AN195" s="7">
        <v>0</v>
      </c>
      <c r="AO195" s="7">
        <v>0</v>
      </c>
      <c r="AP195" s="7">
        <v>0</v>
      </c>
      <c r="AQ195" s="7">
        <v>0</v>
      </c>
      <c r="AR195" s="7">
        <v>0</v>
      </c>
      <c r="AS195" s="7">
        <v>0</v>
      </c>
      <c r="AT195" s="7">
        <v>0</v>
      </c>
      <c r="AU195" s="7">
        <v>0</v>
      </c>
      <c r="AV195" s="7">
        <v>0</v>
      </c>
      <c r="AW195" s="7">
        <v>0</v>
      </c>
      <c r="AX195" s="7">
        <v>0</v>
      </c>
      <c r="AY195" s="7">
        <v>0</v>
      </c>
      <c r="AZ195" s="7">
        <v>0</v>
      </c>
      <c r="BA195" s="7">
        <v>0</v>
      </c>
      <c r="BB195" s="7">
        <v>0</v>
      </c>
      <c r="BC195" s="7">
        <v>0</v>
      </c>
      <c r="BD195">
        <v>0</v>
      </c>
      <c r="BE195">
        <v>31.32</v>
      </c>
      <c r="BF1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5" s="42" t="str">
        <f>+IF(AVANCE[[#This Row],[FECHA INICIO REAL]]="","",AVANCE[[#This Row],[FECHA INICIO REAL]]-AVANCE[[#This Row],[FECHA INICIO TEORICO]])</f>
        <v/>
      </c>
      <c r="BH1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6" spans="1:61" x14ac:dyDescent="0.25">
      <c r="A196" t="s">
        <v>1022</v>
      </c>
      <c r="B196" t="s">
        <v>1025</v>
      </c>
      <c r="C196">
        <v>2302600195</v>
      </c>
      <c r="D196" t="s">
        <v>834</v>
      </c>
      <c r="E196" s="4">
        <v>0</v>
      </c>
      <c r="F196" s="1">
        <v>46233</v>
      </c>
      <c r="G196" s="1"/>
      <c r="H196" s="1">
        <v>0</v>
      </c>
      <c r="I196" s="1">
        <v>46263</v>
      </c>
      <c r="J196">
        <v>46188</v>
      </c>
      <c r="K196" s="1"/>
      <c r="L196" s="7">
        <v>0</v>
      </c>
      <c r="M196" s="7">
        <v>0</v>
      </c>
      <c r="N196" s="7">
        <v>0</v>
      </c>
      <c r="O196" s="7">
        <v>0</v>
      </c>
      <c r="P196" s="7">
        <v>0</v>
      </c>
      <c r="Q196" s="7">
        <v>0</v>
      </c>
      <c r="R196" s="7">
        <v>0</v>
      </c>
      <c r="S196" s="7">
        <v>0</v>
      </c>
      <c r="T196" s="7">
        <v>0</v>
      </c>
      <c r="U196" s="7">
        <v>0</v>
      </c>
      <c r="V196" s="7">
        <v>0</v>
      </c>
      <c r="W196" s="7">
        <v>0</v>
      </c>
      <c r="X196" s="7">
        <v>0</v>
      </c>
      <c r="Y196" s="7">
        <v>0</v>
      </c>
      <c r="Z196" s="7">
        <v>0</v>
      </c>
      <c r="AA196" s="7">
        <v>0</v>
      </c>
      <c r="AB196" s="7">
        <v>0</v>
      </c>
      <c r="AC196" s="7">
        <v>0</v>
      </c>
      <c r="AD196" s="7">
        <v>0</v>
      </c>
      <c r="AE196" s="7">
        <v>0</v>
      </c>
      <c r="AF196" s="7">
        <v>0</v>
      </c>
      <c r="AG196" s="7">
        <v>0</v>
      </c>
      <c r="AH196" s="7">
        <v>0</v>
      </c>
      <c r="AI196" s="7">
        <v>0</v>
      </c>
      <c r="AJ196" s="7">
        <v>0</v>
      </c>
      <c r="AK196" s="7">
        <v>0</v>
      </c>
      <c r="AL196" s="7">
        <v>0</v>
      </c>
      <c r="AM196" s="7">
        <v>0</v>
      </c>
      <c r="AN196" s="7">
        <v>0</v>
      </c>
      <c r="AO196" s="7">
        <v>0</v>
      </c>
      <c r="AP196" s="7">
        <v>0</v>
      </c>
      <c r="AQ196" s="7">
        <v>0</v>
      </c>
      <c r="AR196" s="7">
        <v>0</v>
      </c>
      <c r="AS196" s="7">
        <v>0</v>
      </c>
      <c r="AT196" s="7">
        <v>0</v>
      </c>
      <c r="AU196" s="7">
        <v>0</v>
      </c>
      <c r="AV196" s="7">
        <v>0</v>
      </c>
      <c r="AW196" s="7">
        <v>0</v>
      </c>
      <c r="AX196" s="7">
        <v>0</v>
      </c>
      <c r="AY196" s="7">
        <v>0</v>
      </c>
      <c r="AZ196" s="7">
        <v>0</v>
      </c>
      <c r="BA196" s="7">
        <v>0</v>
      </c>
      <c r="BB196" s="7">
        <v>0</v>
      </c>
      <c r="BC196" s="7">
        <v>0</v>
      </c>
      <c r="BD196">
        <v>0</v>
      </c>
      <c r="BE196">
        <v>31.32</v>
      </c>
      <c r="BF1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6" s="42" t="str">
        <f>+IF(AVANCE[[#This Row],[FECHA INICIO REAL]]="","",AVANCE[[#This Row],[FECHA INICIO REAL]]-AVANCE[[#This Row],[FECHA INICIO TEORICO]])</f>
        <v/>
      </c>
      <c r="BH1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7" spans="1:61" x14ac:dyDescent="0.25">
      <c r="A197" t="s">
        <v>1022</v>
      </c>
      <c r="B197" t="s">
        <v>1026</v>
      </c>
      <c r="C197">
        <v>2282600196</v>
      </c>
      <c r="D197" t="s">
        <v>833</v>
      </c>
      <c r="E197" s="4">
        <v>0</v>
      </c>
      <c r="F197" s="1">
        <v>46234</v>
      </c>
      <c r="G197" s="1"/>
      <c r="H197" s="1">
        <v>0</v>
      </c>
      <c r="I197" s="1">
        <v>46254</v>
      </c>
      <c r="J197">
        <v>46188</v>
      </c>
      <c r="K197" s="1"/>
      <c r="L197" s="7">
        <v>0</v>
      </c>
      <c r="M197" s="7">
        <v>0</v>
      </c>
      <c r="N197" s="7">
        <v>0</v>
      </c>
      <c r="O197" s="7">
        <v>0</v>
      </c>
      <c r="P197" s="7">
        <v>0</v>
      </c>
      <c r="Q197" s="7">
        <v>0</v>
      </c>
      <c r="R197" s="7">
        <v>0</v>
      </c>
      <c r="S197" s="7">
        <v>0</v>
      </c>
      <c r="T197" s="7">
        <v>0</v>
      </c>
      <c r="U197" s="7">
        <v>0</v>
      </c>
      <c r="V197" s="7">
        <v>0</v>
      </c>
      <c r="W197" s="7">
        <v>0</v>
      </c>
      <c r="X197" s="7">
        <v>0</v>
      </c>
      <c r="Y197" s="7">
        <v>0</v>
      </c>
      <c r="Z197" s="7">
        <v>0</v>
      </c>
      <c r="AA197" s="7">
        <v>0</v>
      </c>
      <c r="AB197" s="7">
        <v>0</v>
      </c>
      <c r="AC197" s="7">
        <v>0</v>
      </c>
      <c r="AD197" s="7">
        <v>0</v>
      </c>
      <c r="AE197" s="7">
        <v>0</v>
      </c>
      <c r="AF197" s="7">
        <v>0</v>
      </c>
      <c r="AG197" s="7">
        <v>0</v>
      </c>
      <c r="AH197" s="7">
        <v>0</v>
      </c>
      <c r="AI197" s="7">
        <v>0</v>
      </c>
      <c r="AJ197" s="7">
        <v>0</v>
      </c>
      <c r="AK197" s="7">
        <v>0</v>
      </c>
      <c r="AL197" s="7">
        <v>0</v>
      </c>
      <c r="AM197" s="7">
        <v>0</v>
      </c>
      <c r="AN197" s="7">
        <v>0</v>
      </c>
      <c r="AO197" s="7">
        <v>0</v>
      </c>
      <c r="AP197" s="7">
        <v>0</v>
      </c>
      <c r="AQ197" s="7">
        <v>0</v>
      </c>
      <c r="AR197" s="7">
        <v>0</v>
      </c>
      <c r="AS197" s="7">
        <v>0</v>
      </c>
      <c r="AT197" s="7">
        <v>0</v>
      </c>
      <c r="AU197" s="7">
        <v>0</v>
      </c>
      <c r="AV197" s="7">
        <v>0</v>
      </c>
      <c r="AW197" s="7">
        <v>0</v>
      </c>
      <c r="AX197" s="7">
        <v>0</v>
      </c>
      <c r="AY197" s="7">
        <v>0</v>
      </c>
      <c r="AZ197" s="7">
        <v>0</v>
      </c>
      <c r="BA197" s="7">
        <v>0</v>
      </c>
      <c r="BB197" s="7">
        <v>0</v>
      </c>
      <c r="BC197" s="7">
        <v>0</v>
      </c>
      <c r="BD197">
        <v>0</v>
      </c>
      <c r="BE197">
        <v>28.87</v>
      </c>
      <c r="BF1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7" s="42" t="str">
        <f>+IF(AVANCE[[#This Row],[FECHA INICIO REAL]]="","",AVANCE[[#This Row],[FECHA INICIO REAL]]-AVANCE[[#This Row],[FECHA INICIO TEORICO]])</f>
        <v/>
      </c>
      <c r="BH1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8" spans="1:61" x14ac:dyDescent="0.25">
      <c r="A198" t="s">
        <v>1022</v>
      </c>
      <c r="B198" t="s">
        <v>1027</v>
      </c>
      <c r="C198">
        <v>2282600197</v>
      </c>
      <c r="D198" t="s">
        <v>833</v>
      </c>
      <c r="E198" s="4">
        <v>0</v>
      </c>
      <c r="F198" s="1">
        <v>46234</v>
      </c>
      <c r="G198" s="1"/>
      <c r="H198" s="1">
        <v>0</v>
      </c>
      <c r="I198" s="1">
        <v>46254</v>
      </c>
      <c r="J198">
        <v>46188</v>
      </c>
      <c r="K198" s="1"/>
      <c r="L198" s="7">
        <v>0</v>
      </c>
      <c r="M198" s="7">
        <v>0</v>
      </c>
      <c r="N198" s="7">
        <v>0</v>
      </c>
      <c r="O198" s="7">
        <v>0</v>
      </c>
      <c r="P198" s="7">
        <v>0</v>
      </c>
      <c r="Q198" s="7">
        <v>0</v>
      </c>
      <c r="R198" s="7">
        <v>0</v>
      </c>
      <c r="S198" s="7">
        <v>0</v>
      </c>
      <c r="T198" s="7">
        <v>0</v>
      </c>
      <c r="U198" s="7">
        <v>0</v>
      </c>
      <c r="V198" s="7">
        <v>0</v>
      </c>
      <c r="W198" s="7">
        <v>0</v>
      </c>
      <c r="X198" s="7">
        <v>0</v>
      </c>
      <c r="Y198" s="7">
        <v>0</v>
      </c>
      <c r="Z198" s="7">
        <v>0</v>
      </c>
      <c r="AA198" s="7">
        <v>0</v>
      </c>
      <c r="AB198" s="7">
        <v>0</v>
      </c>
      <c r="AC198" s="7">
        <v>0</v>
      </c>
      <c r="AD198" s="7">
        <v>0</v>
      </c>
      <c r="AE198" s="7">
        <v>0</v>
      </c>
      <c r="AF198" s="7">
        <v>0</v>
      </c>
      <c r="AG198" s="7">
        <v>0</v>
      </c>
      <c r="AH198" s="7">
        <v>0</v>
      </c>
      <c r="AI198" s="7">
        <v>0</v>
      </c>
      <c r="AJ198" s="7">
        <v>0</v>
      </c>
      <c r="AK198" s="7">
        <v>0</v>
      </c>
      <c r="AL198" s="7">
        <v>0</v>
      </c>
      <c r="AM198" s="7">
        <v>0</v>
      </c>
      <c r="AN198" s="7">
        <v>0</v>
      </c>
      <c r="AO198" s="7">
        <v>0</v>
      </c>
      <c r="AP198" s="7">
        <v>0</v>
      </c>
      <c r="AQ198" s="7">
        <v>0</v>
      </c>
      <c r="AR198" s="7">
        <v>0</v>
      </c>
      <c r="AS198" s="7">
        <v>0</v>
      </c>
      <c r="AT198" s="7">
        <v>0</v>
      </c>
      <c r="AU198" s="7">
        <v>0</v>
      </c>
      <c r="AV198" s="7">
        <v>0</v>
      </c>
      <c r="AW198" s="7">
        <v>0</v>
      </c>
      <c r="AX198" s="7">
        <v>0</v>
      </c>
      <c r="AY198" s="7">
        <v>0</v>
      </c>
      <c r="AZ198" s="7">
        <v>0</v>
      </c>
      <c r="BA198" s="7">
        <v>0</v>
      </c>
      <c r="BB198" s="7">
        <v>0</v>
      </c>
      <c r="BC198" s="7">
        <v>0</v>
      </c>
      <c r="BD198">
        <v>0</v>
      </c>
      <c r="BE198">
        <v>28.87</v>
      </c>
      <c r="BF1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8" s="42" t="str">
        <f>+IF(AVANCE[[#This Row],[FECHA INICIO REAL]]="","",AVANCE[[#This Row],[FECHA INICIO REAL]]-AVANCE[[#This Row],[FECHA INICIO TEORICO]])</f>
        <v/>
      </c>
      <c r="BH1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9" spans="1:61" x14ac:dyDescent="0.25">
      <c r="A199" t="s">
        <v>1022</v>
      </c>
      <c r="B199" t="s">
        <v>1028</v>
      </c>
      <c r="C199">
        <v>2302600198</v>
      </c>
      <c r="D199" t="s">
        <v>834</v>
      </c>
      <c r="E199" s="4">
        <v>0</v>
      </c>
      <c r="F199" s="1">
        <v>46234</v>
      </c>
      <c r="G199" s="1"/>
      <c r="H199" s="1">
        <v>0</v>
      </c>
      <c r="I199" s="1">
        <v>46264</v>
      </c>
      <c r="J199">
        <v>46188</v>
      </c>
      <c r="K199" s="1"/>
      <c r="L199" s="7">
        <v>0</v>
      </c>
      <c r="M199" s="7">
        <v>0</v>
      </c>
      <c r="N199" s="7">
        <v>0</v>
      </c>
      <c r="O199" s="7">
        <v>0</v>
      </c>
      <c r="P199" s="7">
        <v>0</v>
      </c>
      <c r="Q199" s="7">
        <v>0</v>
      </c>
      <c r="R199" s="7">
        <v>0</v>
      </c>
      <c r="S199" s="7">
        <v>0</v>
      </c>
      <c r="T199" s="7">
        <v>0</v>
      </c>
      <c r="U199" s="7">
        <v>0</v>
      </c>
      <c r="V199" s="7">
        <v>0</v>
      </c>
      <c r="W199" s="7">
        <v>0</v>
      </c>
      <c r="X199" s="7">
        <v>0</v>
      </c>
      <c r="Y199" s="7">
        <v>0</v>
      </c>
      <c r="Z199" s="7">
        <v>0</v>
      </c>
      <c r="AA199" s="7">
        <v>0</v>
      </c>
      <c r="AB199" s="7">
        <v>0</v>
      </c>
      <c r="AC199" s="7">
        <v>0</v>
      </c>
      <c r="AD199" s="7">
        <v>0</v>
      </c>
      <c r="AE199" s="7">
        <v>0</v>
      </c>
      <c r="AF199" s="7">
        <v>0</v>
      </c>
      <c r="AG199" s="7">
        <v>0</v>
      </c>
      <c r="AH199" s="7">
        <v>0</v>
      </c>
      <c r="AI199" s="7">
        <v>0</v>
      </c>
      <c r="AJ199" s="7">
        <v>0</v>
      </c>
      <c r="AK199" s="7">
        <v>0</v>
      </c>
      <c r="AL199" s="7">
        <v>0</v>
      </c>
      <c r="AM199" s="7">
        <v>0</v>
      </c>
      <c r="AN199" s="7">
        <v>0</v>
      </c>
      <c r="AO199" s="7">
        <v>0</v>
      </c>
      <c r="AP199" s="7">
        <v>0</v>
      </c>
      <c r="AQ199" s="7">
        <v>0</v>
      </c>
      <c r="AR199" s="7">
        <v>0</v>
      </c>
      <c r="AS199" s="7">
        <v>0</v>
      </c>
      <c r="AT199" s="7">
        <v>0</v>
      </c>
      <c r="AU199" s="7">
        <v>0</v>
      </c>
      <c r="AV199" s="7">
        <v>0</v>
      </c>
      <c r="AW199" s="7">
        <v>0</v>
      </c>
      <c r="AX199" s="7">
        <v>0</v>
      </c>
      <c r="AY199" s="7">
        <v>0</v>
      </c>
      <c r="AZ199" s="7">
        <v>0</v>
      </c>
      <c r="BA199" s="7">
        <v>0</v>
      </c>
      <c r="BB199" s="7">
        <v>0</v>
      </c>
      <c r="BC199" s="7">
        <v>0</v>
      </c>
      <c r="BD199">
        <v>0</v>
      </c>
      <c r="BE199">
        <v>31.32</v>
      </c>
      <c r="BF1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9" s="42" t="str">
        <f>+IF(AVANCE[[#This Row],[FECHA INICIO REAL]]="","",AVANCE[[#This Row],[FECHA INICIO REAL]]-AVANCE[[#This Row],[FECHA INICIO TEORICO]])</f>
        <v/>
      </c>
      <c r="BH1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0" spans="1:61" x14ac:dyDescent="0.25">
      <c r="A200" t="s">
        <v>1022</v>
      </c>
      <c r="B200" t="s">
        <v>1029</v>
      </c>
      <c r="C200">
        <v>2302600199</v>
      </c>
      <c r="D200" t="s">
        <v>834</v>
      </c>
      <c r="E200" s="4">
        <v>0</v>
      </c>
      <c r="F200" s="1">
        <v>46237</v>
      </c>
      <c r="G200" s="1"/>
      <c r="H200" s="1">
        <v>0</v>
      </c>
      <c r="I200" s="1">
        <v>46267</v>
      </c>
      <c r="J200">
        <v>46188</v>
      </c>
      <c r="K200" s="1"/>
      <c r="L200" s="7">
        <v>0</v>
      </c>
      <c r="M200" s="7">
        <v>0</v>
      </c>
      <c r="N200" s="7">
        <v>0</v>
      </c>
      <c r="O200" s="7">
        <v>0</v>
      </c>
      <c r="P200" s="7">
        <v>0</v>
      </c>
      <c r="Q200" s="7">
        <v>0</v>
      </c>
      <c r="R200" s="7">
        <v>0</v>
      </c>
      <c r="S200" s="7">
        <v>0</v>
      </c>
      <c r="T200" s="7">
        <v>0</v>
      </c>
      <c r="U200" s="7">
        <v>0</v>
      </c>
      <c r="V200" s="7">
        <v>0</v>
      </c>
      <c r="W200" s="7">
        <v>0</v>
      </c>
      <c r="X200" s="7">
        <v>0</v>
      </c>
      <c r="Y200" s="7">
        <v>0</v>
      </c>
      <c r="Z200" s="7">
        <v>0</v>
      </c>
      <c r="AA200" s="7">
        <v>0</v>
      </c>
      <c r="AB200" s="7">
        <v>0</v>
      </c>
      <c r="AC200" s="7">
        <v>0</v>
      </c>
      <c r="AD200" s="7">
        <v>0</v>
      </c>
      <c r="AE200" s="7">
        <v>0</v>
      </c>
      <c r="AF200" s="7">
        <v>0</v>
      </c>
      <c r="AG200" s="7">
        <v>0</v>
      </c>
      <c r="AH200" s="7">
        <v>0</v>
      </c>
      <c r="AI200" s="7">
        <v>0</v>
      </c>
      <c r="AJ200" s="7">
        <v>0</v>
      </c>
      <c r="AK200" s="7">
        <v>0</v>
      </c>
      <c r="AL200" s="7">
        <v>0</v>
      </c>
      <c r="AM200" s="7">
        <v>0</v>
      </c>
      <c r="AN200" s="7">
        <v>0</v>
      </c>
      <c r="AO200" s="7">
        <v>0</v>
      </c>
      <c r="AP200" s="7">
        <v>0</v>
      </c>
      <c r="AQ200" s="7">
        <v>0</v>
      </c>
      <c r="AR200" s="7">
        <v>0</v>
      </c>
      <c r="AS200" s="7">
        <v>0</v>
      </c>
      <c r="AT200" s="7">
        <v>0</v>
      </c>
      <c r="AU200" s="7">
        <v>0</v>
      </c>
      <c r="AV200" s="7">
        <v>0</v>
      </c>
      <c r="AW200" s="7">
        <v>0</v>
      </c>
      <c r="AX200" s="7">
        <v>0</v>
      </c>
      <c r="AY200" s="7">
        <v>0</v>
      </c>
      <c r="AZ200" s="7">
        <v>0</v>
      </c>
      <c r="BA200" s="7">
        <v>0</v>
      </c>
      <c r="BB200" s="7">
        <v>0</v>
      </c>
      <c r="BC200" s="7">
        <v>0</v>
      </c>
      <c r="BD200">
        <v>0</v>
      </c>
      <c r="BE200">
        <v>31.32</v>
      </c>
      <c r="BF2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0" s="42" t="str">
        <f>+IF(AVANCE[[#This Row],[FECHA INICIO REAL]]="","",AVANCE[[#This Row],[FECHA INICIO REAL]]-AVANCE[[#This Row],[FECHA INICIO TEORICO]])</f>
        <v/>
      </c>
      <c r="BH2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1" spans="1:61" x14ac:dyDescent="0.25">
      <c r="A201" t="s">
        <v>1022</v>
      </c>
      <c r="B201" t="s">
        <v>1030</v>
      </c>
      <c r="C201">
        <v>2282600200</v>
      </c>
      <c r="D201" t="s">
        <v>833</v>
      </c>
      <c r="E201" s="4">
        <v>0</v>
      </c>
      <c r="F201" s="1">
        <v>46237</v>
      </c>
      <c r="G201" s="1"/>
      <c r="H201" s="1">
        <v>0</v>
      </c>
      <c r="I201" s="1">
        <v>46257</v>
      </c>
      <c r="J201">
        <v>46188</v>
      </c>
      <c r="K201" s="1"/>
      <c r="L201" s="7">
        <v>0</v>
      </c>
      <c r="M201" s="7">
        <v>0</v>
      </c>
      <c r="N201" s="7">
        <v>0</v>
      </c>
      <c r="O201" s="7">
        <v>0</v>
      </c>
      <c r="P201" s="7">
        <v>0</v>
      </c>
      <c r="Q201" s="7">
        <v>0</v>
      </c>
      <c r="R201" s="7">
        <v>0</v>
      </c>
      <c r="S201" s="7">
        <v>0</v>
      </c>
      <c r="T201" s="7">
        <v>0</v>
      </c>
      <c r="U201" s="7">
        <v>0</v>
      </c>
      <c r="V201" s="7">
        <v>0</v>
      </c>
      <c r="W201" s="7">
        <v>0</v>
      </c>
      <c r="X201" s="7">
        <v>0</v>
      </c>
      <c r="Y201" s="7">
        <v>0</v>
      </c>
      <c r="Z201" s="7">
        <v>0</v>
      </c>
      <c r="AA201" s="7">
        <v>0</v>
      </c>
      <c r="AB201" s="7">
        <v>0</v>
      </c>
      <c r="AC201" s="7">
        <v>0</v>
      </c>
      <c r="AD201" s="7">
        <v>0</v>
      </c>
      <c r="AE201" s="7">
        <v>0</v>
      </c>
      <c r="AF201" s="7">
        <v>0</v>
      </c>
      <c r="AG201" s="7">
        <v>0</v>
      </c>
      <c r="AH201" s="7">
        <v>0</v>
      </c>
      <c r="AI201" s="7">
        <v>0</v>
      </c>
      <c r="AJ201" s="7">
        <v>0</v>
      </c>
      <c r="AK201" s="7">
        <v>0</v>
      </c>
      <c r="AL201" s="7">
        <v>0</v>
      </c>
      <c r="AM201" s="7">
        <v>0</v>
      </c>
      <c r="AN201" s="7">
        <v>0</v>
      </c>
      <c r="AO201" s="7">
        <v>0</v>
      </c>
      <c r="AP201" s="7">
        <v>0</v>
      </c>
      <c r="AQ201" s="7">
        <v>0</v>
      </c>
      <c r="AR201" s="7">
        <v>0</v>
      </c>
      <c r="AS201" s="7">
        <v>0</v>
      </c>
      <c r="AT201" s="7">
        <v>0</v>
      </c>
      <c r="AU201" s="7">
        <v>0</v>
      </c>
      <c r="AV201" s="7">
        <v>0</v>
      </c>
      <c r="AW201" s="7">
        <v>0</v>
      </c>
      <c r="AX201" s="7">
        <v>0</v>
      </c>
      <c r="AY201" s="7">
        <v>0</v>
      </c>
      <c r="AZ201" s="7">
        <v>0</v>
      </c>
      <c r="BA201" s="7">
        <v>0</v>
      </c>
      <c r="BB201" s="7">
        <v>0</v>
      </c>
      <c r="BC201" s="7">
        <v>0</v>
      </c>
      <c r="BD201">
        <v>0</v>
      </c>
      <c r="BE201">
        <v>28.87</v>
      </c>
      <c r="BF2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1" s="42" t="str">
        <f>+IF(AVANCE[[#This Row],[FECHA INICIO REAL]]="","",AVANCE[[#This Row],[FECHA INICIO REAL]]-AVANCE[[#This Row],[FECHA INICIO TEORICO]])</f>
        <v/>
      </c>
      <c r="BH2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2" spans="1:61" x14ac:dyDescent="0.25">
      <c r="A202" t="s">
        <v>1022</v>
      </c>
      <c r="B202" t="s">
        <v>1031</v>
      </c>
      <c r="C202">
        <v>2282600201</v>
      </c>
      <c r="D202" t="s">
        <v>833</v>
      </c>
      <c r="E202" s="4">
        <v>0</v>
      </c>
      <c r="F202" s="1">
        <v>46238</v>
      </c>
      <c r="G202" s="1"/>
      <c r="H202" s="1">
        <v>0</v>
      </c>
      <c r="I202" s="1">
        <v>46258</v>
      </c>
      <c r="J202">
        <v>46188</v>
      </c>
      <c r="K202" s="1"/>
      <c r="L202" s="7">
        <v>0</v>
      </c>
      <c r="M202" s="7">
        <v>0</v>
      </c>
      <c r="N202" s="7">
        <v>0</v>
      </c>
      <c r="O202" s="7">
        <v>0</v>
      </c>
      <c r="P202" s="7">
        <v>0</v>
      </c>
      <c r="Q202" s="7">
        <v>0</v>
      </c>
      <c r="R202" s="7">
        <v>0</v>
      </c>
      <c r="S202" s="7">
        <v>0</v>
      </c>
      <c r="T202" s="7">
        <v>0</v>
      </c>
      <c r="U202" s="7">
        <v>0</v>
      </c>
      <c r="V202" s="7">
        <v>0</v>
      </c>
      <c r="W202" s="7">
        <v>0</v>
      </c>
      <c r="X202" s="7">
        <v>0</v>
      </c>
      <c r="Y202" s="7">
        <v>0</v>
      </c>
      <c r="Z202" s="7">
        <v>0</v>
      </c>
      <c r="AA202" s="7">
        <v>0</v>
      </c>
      <c r="AB202" s="7">
        <v>0</v>
      </c>
      <c r="AC202" s="7">
        <v>0</v>
      </c>
      <c r="AD202" s="7">
        <v>0</v>
      </c>
      <c r="AE202" s="7">
        <v>0</v>
      </c>
      <c r="AF202" s="7">
        <v>0</v>
      </c>
      <c r="AG202" s="7">
        <v>0</v>
      </c>
      <c r="AH202" s="7">
        <v>0</v>
      </c>
      <c r="AI202" s="7">
        <v>0</v>
      </c>
      <c r="AJ202" s="7">
        <v>0</v>
      </c>
      <c r="AK202" s="7">
        <v>0</v>
      </c>
      <c r="AL202" s="7">
        <v>0</v>
      </c>
      <c r="AM202" s="7">
        <v>0</v>
      </c>
      <c r="AN202" s="7">
        <v>0</v>
      </c>
      <c r="AO202" s="7">
        <v>0</v>
      </c>
      <c r="AP202" s="7">
        <v>0</v>
      </c>
      <c r="AQ202" s="7">
        <v>0</v>
      </c>
      <c r="AR202" s="7">
        <v>0</v>
      </c>
      <c r="AS202" s="7">
        <v>0</v>
      </c>
      <c r="AT202" s="7">
        <v>0</v>
      </c>
      <c r="AU202" s="7">
        <v>0</v>
      </c>
      <c r="AV202" s="7">
        <v>0</v>
      </c>
      <c r="AW202" s="7">
        <v>0</v>
      </c>
      <c r="AX202" s="7">
        <v>0</v>
      </c>
      <c r="AY202" s="7">
        <v>0</v>
      </c>
      <c r="AZ202" s="7">
        <v>0</v>
      </c>
      <c r="BA202" s="7">
        <v>0</v>
      </c>
      <c r="BB202" s="7">
        <v>0</v>
      </c>
      <c r="BC202" s="7">
        <v>0</v>
      </c>
      <c r="BD202">
        <v>0</v>
      </c>
      <c r="BE202">
        <v>28.87</v>
      </c>
      <c r="BF2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2" s="42" t="str">
        <f>+IF(AVANCE[[#This Row],[FECHA INICIO REAL]]="","",AVANCE[[#This Row],[FECHA INICIO REAL]]-AVANCE[[#This Row],[FECHA INICIO TEORICO]])</f>
        <v/>
      </c>
      <c r="BH2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3" spans="1:61" x14ac:dyDescent="0.25">
      <c r="A203" t="s">
        <v>1022</v>
      </c>
      <c r="B203" t="s">
        <v>1032</v>
      </c>
      <c r="C203">
        <v>2302600202</v>
      </c>
      <c r="D203" t="s">
        <v>834</v>
      </c>
      <c r="E203" s="4">
        <v>0</v>
      </c>
      <c r="F203" s="1">
        <v>46238</v>
      </c>
      <c r="G203" s="1"/>
      <c r="H203" s="1">
        <v>0</v>
      </c>
      <c r="I203" s="1">
        <v>46268</v>
      </c>
      <c r="J203">
        <v>46188</v>
      </c>
      <c r="K203" s="1"/>
      <c r="L203" s="7">
        <v>0</v>
      </c>
      <c r="M203" s="7">
        <v>0</v>
      </c>
      <c r="N203" s="7">
        <v>0</v>
      </c>
      <c r="O203" s="7">
        <v>0</v>
      </c>
      <c r="P203" s="7">
        <v>0</v>
      </c>
      <c r="Q203" s="7">
        <v>0</v>
      </c>
      <c r="R203" s="7">
        <v>0</v>
      </c>
      <c r="S203" s="7">
        <v>0</v>
      </c>
      <c r="T203" s="7">
        <v>0</v>
      </c>
      <c r="U203" s="7">
        <v>0</v>
      </c>
      <c r="V203" s="7">
        <v>0</v>
      </c>
      <c r="W203" s="7">
        <v>0</v>
      </c>
      <c r="X203" s="7">
        <v>0</v>
      </c>
      <c r="Y203" s="7">
        <v>0</v>
      </c>
      <c r="Z203" s="7">
        <v>0</v>
      </c>
      <c r="AA203" s="7">
        <v>0</v>
      </c>
      <c r="AB203" s="7">
        <v>0</v>
      </c>
      <c r="AC203" s="7">
        <v>0</v>
      </c>
      <c r="AD203" s="7">
        <v>0</v>
      </c>
      <c r="AE203" s="7">
        <v>0</v>
      </c>
      <c r="AF203" s="7">
        <v>0</v>
      </c>
      <c r="AG203" s="7">
        <v>0</v>
      </c>
      <c r="AH203" s="7">
        <v>0</v>
      </c>
      <c r="AI203" s="7">
        <v>0</v>
      </c>
      <c r="AJ203" s="7">
        <v>0</v>
      </c>
      <c r="AK203" s="7">
        <v>0</v>
      </c>
      <c r="AL203" s="7">
        <v>0</v>
      </c>
      <c r="AM203" s="7">
        <v>0</v>
      </c>
      <c r="AN203" s="7">
        <v>0</v>
      </c>
      <c r="AO203" s="7">
        <v>0</v>
      </c>
      <c r="AP203" s="7">
        <v>0</v>
      </c>
      <c r="AQ203" s="7">
        <v>0</v>
      </c>
      <c r="AR203" s="7">
        <v>0</v>
      </c>
      <c r="AS203" s="7">
        <v>0</v>
      </c>
      <c r="AT203" s="7">
        <v>0</v>
      </c>
      <c r="AU203" s="7">
        <v>0</v>
      </c>
      <c r="AV203" s="7">
        <v>0</v>
      </c>
      <c r="AW203" s="7">
        <v>0</v>
      </c>
      <c r="AX203" s="7">
        <v>0</v>
      </c>
      <c r="AY203" s="7">
        <v>0</v>
      </c>
      <c r="AZ203" s="7">
        <v>0</v>
      </c>
      <c r="BA203" s="7">
        <v>0</v>
      </c>
      <c r="BB203" s="7">
        <v>0</v>
      </c>
      <c r="BC203" s="7">
        <v>0</v>
      </c>
      <c r="BD203">
        <v>0</v>
      </c>
      <c r="BE203">
        <v>31.32</v>
      </c>
      <c r="BF2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3" s="42" t="str">
        <f>+IF(AVANCE[[#This Row],[FECHA INICIO REAL]]="","",AVANCE[[#This Row],[FECHA INICIO REAL]]-AVANCE[[#This Row],[FECHA INICIO TEORICO]])</f>
        <v/>
      </c>
      <c r="BH2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4" spans="1:61" x14ac:dyDescent="0.25">
      <c r="A204" t="s">
        <v>1022</v>
      </c>
      <c r="B204" t="s">
        <v>1033</v>
      </c>
      <c r="C204">
        <v>2302600203</v>
      </c>
      <c r="D204" t="s">
        <v>834</v>
      </c>
      <c r="E204" s="4">
        <v>0</v>
      </c>
      <c r="F204" s="1">
        <v>46238</v>
      </c>
      <c r="G204" s="1"/>
      <c r="H204" s="1">
        <v>0</v>
      </c>
      <c r="I204" s="1">
        <v>46268</v>
      </c>
      <c r="J204">
        <v>46188</v>
      </c>
      <c r="K204" s="1"/>
      <c r="L204" s="7">
        <v>0</v>
      </c>
      <c r="M204" s="7">
        <v>0</v>
      </c>
      <c r="N204" s="7">
        <v>0</v>
      </c>
      <c r="O204" s="7">
        <v>0</v>
      </c>
      <c r="P204" s="7">
        <v>0</v>
      </c>
      <c r="Q204" s="7">
        <v>0</v>
      </c>
      <c r="R204" s="7">
        <v>0</v>
      </c>
      <c r="S204" s="7">
        <v>0</v>
      </c>
      <c r="T204" s="7">
        <v>0</v>
      </c>
      <c r="U204" s="7">
        <v>0</v>
      </c>
      <c r="V204" s="7">
        <v>0</v>
      </c>
      <c r="W204" s="7">
        <v>0</v>
      </c>
      <c r="X204" s="7">
        <v>0</v>
      </c>
      <c r="Y204" s="7">
        <v>0</v>
      </c>
      <c r="Z204" s="7">
        <v>0</v>
      </c>
      <c r="AA204" s="7">
        <v>0</v>
      </c>
      <c r="AB204" s="7">
        <v>0</v>
      </c>
      <c r="AC204" s="7">
        <v>0</v>
      </c>
      <c r="AD204" s="7">
        <v>0</v>
      </c>
      <c r="AE204" s="7">
        <v>0</v>
      </c>
      <c r="AF204" s="7">
        <v>0</v>
      </c>
      <c r="AG204" s="7">
        <v>0</v>
      </c>
      <c r="AH204" s="7">
        <v>0</v>
      </c>
      <c r="AI204" s="7">
        <v>0</v>
      </c>
      <c r="AJ204" s="7">
        <v>0</v>
      </c>
      <c r="AK204" s="7">
        <v>0</v>
      </c>
      <c r="AL204" s="7">
        <v>0</v>
      </c>
      <c r="AM204" s="7">
        <v>0</v>
      </c>
      <c r="AN204" s="7">
        <v>0</v>
      </c>
      <c r="AO204" s="7">
        <v>0</v>
      </c>
      <c r="AP204" s="7">
        <v>0</v>
      </c>
      <c r="AQ204" s="7">
        <v>0</v>
      </c>
      <c r="AR204" s="7">
        <v>0</v>
      </c>
      <c r="AS204" s="7">
        <v>0</v>
      </c>
      <c r="AT204" s="7">
        <v>0</v>
      </c>
      <c r="AU204" s="7">
        <v>0</v>
      </c>
      <c r="AV204" s="7">
        <v>0</v>
      </c>
      <c r="AW204" s="7">
        <v>0</v>
      </c>
      <c r="AX204" s="7">
        <v>0</v>
      </c>
      <c r="AY204" s="7">
        <v>0</v>
      </c>
      <c r="AZ204" s="7">
        <v>0</v>
      </c>
      <c r="BA204" s="7">
        <v>0</v>
      </c>
      <c r="BB204" s="7">
        <v>0</v>
      </c>
      <c r="BC204" s="7">
        <v>0</v>
      </c>
      <c r="BD204">
        <v>0</v>
      </c>
      <c r="BE204">
        <v>31.32</v>
      </c>
      <c r="BF2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4" s="42" t="str">
        <f>+IF(AVANCE[[#This Row],[FECHA INICIO REAL]]="","",AVANCE[[#This Row],[FECHA INICIO REAL]]-AVANCE[[#This Row],[FECHA INICIO TEORICO]])</f>
        <v/>
      </c>
      <c r="BH2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5" spans="1:61" x14ac:dyDescent="0.25">
      <c r="A205" t="s">
        <v>1022</v>
      </c>
      <c r="B205" t="s">
        <v>1034</v>
      </c>
      <c r="C205">
        <v>2282600204</v>
      </c>
      <c r="D205" t="s">
        <v>833</v>
      </c>
      <c r="E205" s="4">
        <v>0</v>
      </c>
      <c r="F205" s="1">
        <v>46239</v>
      </c>
      <c r="G205" s="1"/>
      <c r="H205" s="1">
        <v>0</v>
      </c>
      <c r="I205" s="1">
        <v>46259</v>
      </c>
      <c r="J205">
        <v>46188</v>
      </c>
      <c r="K205" s="1"/>
      <c r="L205" s="7">
        <v>0</v>
      </c>
      <c r="M205" s="7">
        <v>0</v>
      </c>
      <c r="N205" s="7">
        <v>0</v>
      </c>
      <c r="O205" s="7">
        <v>0</v>
      </c>
      <c r="P205" s="7">
        <v>0</v>
      </c>
      <c r="Q205" s="7">
        <v>0</v>
      </c>
      <c r="R205" s="7">
        <v>0</v>
      </c>
      <c r="S205" s="7">
        <v>0</v>
      </c>
      <c r="T205" s="7">
        <v>0</v>
      </c>
      <c r="U205" s="7">
        <v>0</v>
      </c>
      <c r="V205" s="7">
        <v>0</v>
      </c>
      <c r="W205" s="7">
        <v>0</v>
      </c>
      <c r="X205" s="7">
        <v>0</v>
      </c>
      <c r="Y205" s="7">
        <v>0</v>
      </c>
      <c r="Z205" s="7">
        <v>0</v>
      </c>
      <c r="AA205" s="7">
        <v>0</v>
      </c>
      <c r="AB205" s="7">
        <v>0</v>
      </c>
      <c r="AC205" s="7">
        <v>0</v>
      </c>
      <c r="AD205" s="7">
        <v>0</v>
      </c>
      <c r="AE205" s="7">
        <v>0</v>
      </c>
      <c r="AF205" s="7">
        <v>0</v>
      </c>
      <c r="AG205" s="7">
        <v>0</v>
      </c>
      <c r="AH205" s="7">
        <v>0</v>
      </c>
      <c r="AI205" s="7">
        <v>0</v>
      </c>
      <c r="AJ205" s="7">
        <v>0</v>
      </c>
      <c r="AK205" s="7">
        <v>0</v>
      </c>
      <c r="AL205" s="7">
        <v>0</v>
      </c>
      <c r="AM205" s="7">
        <v>0</v>
      </c>
      <c r="AN205" s="7">
        <v>0</v>
      </c>
      <c r="AO205" s="7">
        <v>0</v>
      </c>
      <c r="AP205" s="7">
        <v>0</v>
      </c>
      <c r="AQ205" s="7">
        <v>0</v>
      </c>
      <c r="AR205" s="7">
        <v>0</v>
      </c>
      <c r="AS205" s="7">
        <v>0</v>
      </c>
      <c r="AT205" s="7">
        <v>0</v>
      </c>
      <c r="AU205" s="7">
        <v>0</v>
      </c>
      <c r="AV205" s="7">
        <v>0</v>
      </c>
      <c r="AW205" s="7">
        <v>0</v>
      </c>
      <c r="AX205" s="7">
        <v>0</v>
      </c>
      <c r="AY205" s="7">
        <v>0</v>
      </c>
      <c r="AZ205" s="7">
        <v>0</v>
      </c>
      <c r="BA205" s="7">
        <v>0</v>
      </c>
      <c r="BB205" s="7">
        <v>0</v>
      </c>
      <c r="BC205" s="7">
        <v>0</v>
      </c>
      <c r="BD205">
        <v>0</v>
      </c>
      <c r="BE205">
        <v>28.87</v>
      </c>
      <c r="BF2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5" s="42" t="str">
        <f>+IF(AVANCE[[#This Row],[FECHA INICIO REAL]]="","",AVANCE[[#This Row],[FECHA INICIO REAL]]-AVANCE[[#This Row],[FECHA INICIO TEORICO]])</f>
        <v/>
      </c>
      <c r="BH2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6" spans="1:61" x14ac:dyDescent="0.25">
      <c r="A206" t="s">
        <v>1022</v>
      </c>
      <c r="B206" t="s">
        <v>1035</v>
      </c>
      <c r="C206">
        <v>2282600205</v>
      </c>
      <c r="D206" t="s">
        <v>833</v>
      </c>
      <c r="E206" s="4">
        <v>0</v>
      </c>
      <c r="F206" s="1">
        <v>46239</v>
      </c>
      <c r="G206" s="1"/>
      <c r="H206" s="1">
        <v>0</v>
      </c>
      <c r="I206" s="1">
        <v>46259</v>
      </c>
      <c r="J206">
        <v>46188</v>
      </c>
      <c r="K206" s="1"/>
      <c r="L206" s="7">
        <v>0</v>
      </c>
      <c r="M206" s="7">
        <v>0</v>
      </c>
      <c r="N206" s="7">
        <v>0</v>
      </c>
      <c r="O206" s="7">
        <v>0</v>
      </c>
      <c r="P206" s="7">
        <v>0</v>
      </c>
      <c r="Q206" s="7">
        <v>0</v>
      </c>
      <c r="R206" s="7">
        <v>0</v>
      </c>
      <c r="S206" s="7">
        <v>0</v>
      </c>
      <c r="T206" s="7">
        <v>0</v>
      </c>
      <c r="U206" s="7">
        <v>0</v>
      </c>
      <c r="V206" s="7">
        <v>0</v>
      </c>
      <c r="W206" s="7">
        <v>0</v>
      </c>
      <c r="X206" s="7">
        <v>0</v>
      </c>
      <c r="Y206" s="7">
        <v>0</v>
      </c>
      <c r="Z206" s="7">
        <v>0</v>
      </c>
      <c r="AA206" s="7">
        <v>0</v>
      </c>
      <c r="AB206" s="7">
        <v>0</v>
      </c>
      <c r="AC206" s="7">
        <v>0</v>
      </c>
      <c r="AD206" s="7">
        <v>0</v>
      </c>
      <c r="AE206" s="7">
        <v>0</v>
      </c>
      <c r="AF206" s="7">
        <v>0</v>
      </c>
      <c r="AG206" s="7">
        <v>0</v>
      </c>
      <c r="AH206" s="7">
        <v>0</v>
      </c>
      <c r="AI206" s="7">
        <v>0</v>
      </c>
      <c r="AJ206" s="7">
        <v>0</v>
      </c>
      <c r="AK206" s="7">
        <v>0</v>
      </c>
      <c r="AL206" s="7">
        <v>0</v>
      </c>
      <c r="AM206" s="7">
        <v>0</v>
      </c>
      <c r="AN206" s="7">
        <v>0</v>
      </c>
      <c r="AO206" s="7">
        <v>0</v>
      </c>
      <c r="AP206" s="7">
        <v>0</v>
      </c>
      <c r="AQ206" s="7">
        <v>0</v>
      </c>
      <c r="AR206" s="7">
        <v>0</v>
      </c>
      <c r="AS206" s="7">
        <v>0</v>
      </c>
      <c r="AT206" s="7">
        <v>0</v>
      </c>
      <c r="AU206" s="7">
        <v>0</v>
      </c>
      <c r="AV206" s="7">
        <v>0</v>
      </c>
      <c r="AW206" s="7">
        <v>0</v>
      </c>
      <c r="AX206" s="7">
        <v>0</v>
      </c>
      <c r="AY206" s="7">
        <v>0</v>
      </c>
      <c r="AZ206" s="7">
        <v>0</v>
      </c>
      <c r="BA206" s="7">
        <v>0</v>
      </c>
      <c r="BB206" s="7">
        <v>0</v>
      </c>
      <c r="BC206" s="7">
        <v>0</v>
      </c>
      <c r="BD206">
        <v>0</v>
      </c>
      <c r="BE206">
        <v>28.87</v>
      </c>
      <c r="BF2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6" s="42" t="str">
        <f>+IF(AVANCE[[#This Row],[FECHA INICIO REAL]]="","",AVANCE[[#This Row],[FECHA INICIO REAL]]-AVANCE[[#This Row],[FECHA INICIO TEORICO]])</f>
        <v/>
      </c>
      <c r="BH2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7" spans="1:61" x14ac:dyDescent="0.25">
      <c r="A207" t="s">
        <v>1022</v>
      </c>
      <c r="B207" t="s">
        <v>1036</v>
      </c>
      <c r="C207">
        <v>2302600206</v>
      </c>
      <c r="D207" t="s">
        <v>834</v>
      </c>
      <c r="E207" s="4">
        <v>0</v>
      </c>
      <c r="F207" s="1">
        <v>46240</v>
      </c>
      <c r="G207" s="1"/>
      <c r="H207" s="1">
        <v>0</v>
      </c>
      <c r="I207" s="1">
        <v>46270</v>
      </c>
      <c r="J207">
        <v>46188</v>
      </c>
      <c r="K207" s="1"/>
      <c r="L207" s="7">
        <v>0</v>
      </c>
      <c r="M207" s="7">
        <v>0</v>
      </c>
      <c r="N207" s="7">
        <v>0</v>
      </c>
      <c r="O207" s="7">
        <v>0</v>
      </c>
      <c r="P207" s="7">
        <v>0</v>
      </c>
      <c r="Q207" s="7">
        <v>0</v>
      </c>
      <c r="R207" s="7">
        <v>0</v>
      </c>
      <c r="S207" s="7">
        <v>0</v>
      </c>
      <c r="T207" s="7">
        <v>0</v>
      </c>
      <c r="U207" s="7">
        <v>0</v>
      </c>
      <c r="V207" s="7">
        <v>0</v>
      </c>
      <c r="W207" s="7">
        <v>0</v>
      </c>
      <c r="X207" s="7">
        <v>0</v>
      </c>
      <c r="Y207" s="7">
        <v>0</v>
      </c>
      <c r="Z207" s="7">
        <v>0</v>
      </c>
      <c r="AA207" s="7">
        <v>0</v>
      </c>
      <c r="AB207" s="7">
        <v>0</v>
      </c>
      <c r="AC207" s="7">
        <v>0</v>
      </c>
      <c r="AD207" s="7">
        <v>0</v>
      </c>
      <c r="AE207" s="7">
        <v>0</v>
      </c>
      <c r="AF207" s="7">
        <v>0</v>
      </c>
      <c r="AG207" s="7">
        <v>0</v>
      </c>
      <c r="AH207" s="7">
        <v>0</v>
      </c>
      <c r="AI207" s="7">
        <v>0</v>
      </c>
      <c r="AJ207" s="7">
        <v>0</v>
      </c>
      <c r="AK207" s="7">
        <v>0</v>
      </c>
      <c r="AL207" s="7">
        <v>0</v>
      </c>
      <c r="AM207" s="7">
        <v>0</v>
      </c>
      <c r="AN207" s="7">
        <v>0</v>
      </c>
      <c r="AO207" s="7">
        <v>0</v>
      </c>
      <c r="AP207" s="7">
        <v>0</v>
      </c>
      <c r="AQ207" s="7">
        <v>0</v>
      </c>
      <c r="AR207" s="7">
        <v>0</v>
      </c>
      <c r="AS207" s="7">
        <v>0</v>
      </c>
      <c r="AT207" s="7">
        <v>0</v>
      </c>
      <c r="AU207" s="7">
        <v>0</v>
      </c>
      <c r="AV207" s="7">
        <v>0</v>
      </c>
      <c r="AW207" s="7">
        <v>0</v>
      </c>
      <c r="AX207" s="7">
        <v>0</v>
      </c>
      <c r="AY207" s="7">
        <v>0</v>
      </c>
      <c r="AZ207" s="7">
        <v>0</v>
      </c>
      <c r="BA207" s="7">
        <v>0</v>
      </c>
      <c r="BB207" s="7">
        <v>0</v>
      </c>
      <c r="BC207" s="7">
        <v>0</v>
      </c>
      <c r="BD207">
        <v>0</v>
      </c>
      <c r="BE207">
        <v>31.32</v>
      </c>
      <c r="BF2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7" s="42" t="str">
        <f>+IF(AVANCE[[#This Row],[FECHA INICIO REAL]]="","",AVANCE[[#This Row],[FECHA INICIO REAL]]-AVANCE[[#This Row],[FECHA INICIO TEORICO]])</f>
        <v/>
      </c>
      <c r="BH2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8" spans="1:61" x14ac:dyDescent="0.25">
      <c r="A208" t="s">
        <v>1022</v>
      </c>
      <c r="B208" t="s">
        <v>1037</v>
      </c>
      <c r="C208">
        <v>2302600207</v>
      </c>
      <c r="D208" t="s">
        <v>834</v>
      </c>
      <c r="E208" s="4">
        <v>0</v>
      </c>
      <c r="F208" s="1">
        <v>46240</v>
      </c>
      <c r="G208" s="1"/>
      <c r="H208" s="1">
        <v>0</v>
      </c>
      <c r="I208" s="1">
        <v>46270</v>
      </c>
      <c r="J208">
        <v>46188</v>
      </c>
      <c r="K208" s="1"/>
      <c r="L208" s="7">
        <v>0</v>
      </c>
      <c r="M208" s="7">
        <v>0</v>
      </c>
      <c r="N208" s="7">
        <v>0</v>
      </c>
      <c r="O208" s="7">
        <v>0</v>
      </c>
      <c r="P208" s="7">
        <v>0</v>
      </c>
      <c r="Q208" s="7">
        <v>0</v>
      </c>
      <c r="R208" s="7">
        <v>0</v>
      </c>
      <c r="S208" s="7">
        <v>0</v>
      </c>
      <c r="T208" s="7">
        <v>0</v>
      </c>
      <c r="U208" s="7">
        <v>0</v>
      </c>
      <c r="V208" s="7">
        <v>0</v>
      </c>
      <c r="W208" s="7">
        <v>0</v>
      </c>
      <c r="X208" s="7">
        <v>0</v>
      </c>
      <c r="Y208" s="7">
        <v>0</v>
      </c>
      <c r="Z208" s="7">
        <v>0</v>
      </c>
      <c r="AA208" s="7">
        <v>0</v>
      </c>
      <c r="AB208" s="7">
        <v>0</v>
      </c>
      <c r="AC208" s="7">
        <v>0</v>
      </c>
      <c r="AD208" s="7">
        <v>0</v>
      </c>
      <c r="AE208" s="7">
        <v>0</v>
      </c>
      <c r="AF208" s="7">
        <v>0</v>
      </c>
      <c r="AG208" s="7">
        <v>0</v>
      </c>
      <c r="AH208" s="7">
        <v>0</v>
      </c>
      <c r="AI208" s="7">
        <v>0</v>
      </c>
      <c r="AJ208" s="7">
        <v>0</v>
      </c>
      <c r="AK208" s="7">
        <v>0</v>
      </c>
      <c r="AL208" s="7">
        <v>0</v>
      </c>
      <c r="AM208" s="7">
        <v>0</v>
      </c>
      <c r="AN208" s="7">
        <v>0</v>
      </c>
      <c r="AO208" s="7">
        <v>0</v>
      </c>
      <c r="AP208" s="7">
        <v>0</v>
      </c>
      <c r="AQ208" s="7">
        <v>0</v>
      </c>
      <c r="AR208" s="7">
        <v>0</v>
      </c>
      <c r="AS208" s="7">
        <v>0</v>
      </c>
      <c r="AT208" s="7">
        <v>0</v>
      </c>
      <c r="AU208" s="7">
        <v>0</v>
      </c>
      <c r="AV208" s="7">
        <v>0</v>
      </c>
      <c r="AW208" s="7">
        <v>0</v>
      </c>
      <c r="AX208" s="7">
        <v>0</v>
      </c>
      <c r="AY208" s="7">
        <v>0</v>
      </c>
      <c r="AZ208" s="7">
        <v>0</v>
      </c>
      <c r="BA208" s="7">
        <v>0</v>
      </c>
      <c r="BB208" s="7">
        <v>0</v>
      </c>
      <c r="BC208" s="7">
        <v>0</v>
      </c>
      <c r="BD208">
        <v>0</v>
      </c>
      <c r="BE208">
        <v>31.32</v>
      </c>
      <c r="BF2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8" s="42" t="str">
        <f>+IF(AVANCE[[#This Row],[FECHA INICIO REAL]]="","",AVANCE[[#This Row],[FECHA INICIO REAL]]-AVANCE[[#This Row],[FECHA INICIO TEORICO]])</f>
        <v/>
      </c>
      <c r="BH2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9" spans="1:61" x14ac:dyDescent="0.25">
      <c r="A209" t="s">
        <v>1022</v>
      </c>
      <c r="B209" t="s">
        <v>1038</v>
      </c>
      <c r="C209">
        <v>2282600208</v>
      </c>
      <c r="D209" t="s">
        <v>833</v>
      </c>
      <c r="E209" s="4">
        <v>0</v>
      </c>
      <c r="F209" s="1">
        <v>46240</v>
      </c>
      <c r="G209" s="1"/>
      <c r="H209" s="1">
        <v>0</v>
      </c>
      <c r="I209" s="1">
        <v>46260</v>
      </c>
      <c r="J209">
        <v>46188</v>
      </c>
      <c r="K209" s="1"/>
      <c r="L209" s="7">
        <v>0</v>
      </c>
      <c r="M209" s="7">
        <v>0</v>
      </c>
      <c r="N209" s="7">
        <v>0</v>
      </c>
      <c r="O209" s="7">
        <v>0</v>
      </c>
      <c r="P209" s="7">
        <v>0</v>
      </c>
      <c r="Q209" s="7">
        <v>0</v>
      </c>
      <c r="R209" s="7">
        <v>0</v>
      </c>
      <c r="S209" s="7">
        <v>0</v>
      </c>
      <c r="T209" s="7">
        <v>0</v>
      </c>
      <c r="U209" s="7">
        <v>0</v>
      </c>
      <c r="V209" s="7">
        <v>0</v>
      </c>
      <c r="W209" s="7">
        <v>0</v>
      </c>
      <c r="X209" s="7">
        <v>0</v>
      </c>
      <c r="Y209" s="7">
        <v>0</v>
      </c>
      <c r="Z209" s="7">
        <v>0</v>
      </c>
      <c r="AA209" s="7">
        <v>0</v>
      </c>
      <c r="AB209" s="7">
        <v>0</v>
      </c>
      <c r="AC209" s="7">
        <v>0</v>
      </c>
      <c r="AD209" s="7">
        <v>0</v>
      </c>
      <c r="AE209" s="7">
        <v>0</v>
      </c>
      <c r="AF209" s="7">
        <v>0</v>
      </c>
      <c r="AG209" s="7">
        <v>0</v>
      </c>
      <c r="AH209" s="7">
        <v>0</v>
      </c>
      <c r="AI209" s="7">
        <v>0</v>
      </c>
      <c r="AJ209" s="7">
        <v>0</v>
      </c>
      <c r="AK209" s="7">
        <v>0</v>
      </c>
      <c r="AL209" s="7">
        <v>0</v>
      </c>
      <c r="AM209" s="7">
        <v>0</v>
      </c>
      <c r="AN209" s="7">
        <v>0</v>
      </c>
      <c r="AO209" s="7">
        <v>0</v>
      </c>
      <c r="AP209" s="7">
        <v>0</v>
      </c>
      <c r="AQ209" s="7">
        <v>0</v>
      </c>
      <c r="AR209" s="7">
        <v>0</v>
      </c>
      <c r="AS209" s="7">
        <v>0</v>
      </c>
      <c r="AT209" s="7">
        <v>0</v>
      </c>
      <c r="AU209" s="7">
        <v>0</v>
      </c>
      <c r="AV209" s="7">
        <v>0</v>
      </c>
      <c r="AW209" s="7">
        <v>0</v>
      </c>
      <c r="AX209" s="7">
        <v>0</v>
      </c>
      <c r="AY209" s="7">
        <v>0</v>
      </c>
      <c r="AZ209" s="7">
        <v>0</v>
      </c>
      <c r="BA209" s="7">
        <v>0</v>
      </c>
      <c r="BB209" s="7">
        <v>0</v>
      </c>
      <c r="BC209" s="7">
        <v>0</v>
      </c>
      <c r="BD209">
        <v>0</v>
      </c>
      <c r="BE209">
        <v>28.87</v>
      </c>
      <c r="BF2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9" s="42" t="str">
        <f>+IF(AVANCE[[#This Row],[FECHA INICIO REAL]]="","",AVANCE[[#This Row],[FECHA INICIO REAL]]-AVANCE[[#This Row],[FECHA INICIO TEORICO]])</f>
        <v/>
      </c>
      <c r="BH2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0" spans="1:61" x14ac:dyDescent="0.25">
      <c r="A210" t="s">
        <v>1022</v>
      </c>
      <c r="B210" t="s">
        <v>1039</v>
      </c>
      <c r="C210">
        <v>2282600209</v>
      </c>
      <c r="D210" t="s">
        <v>833</v>
      </c>
      <c r="E210" s="4">
        <v>0</v>
      </c>
      <c r="F210" s="1">
        <v>46241</v>
      </c>
      <c r="G210" s="1"/>
      <c r="H210" s="1">
        <v>0</v>
      </c>
      <c r="I210" s="1">
        <v>46261</v>
      </c>
      <c r="J210">
        <v>46188</v>
      </c>
      <c r="K210" s="1"/>
      <c r="L210" s="7">
        <v>0</v>
      </c>
      <c r="M210" s="7">
        <v>0</v>
      </c>
      <c r="N210" s="7">
        <v>0</v>
      </c>
      <c r="O210" s="7">
        <v>0</v>
      </c>
      <c r="P210" s="7">
        <v>0</v>
      </c>
      <c r="Q210" s="7">
        <v>0</v>
      </c>
      <c r="R210" s="7">
        <v>0</v>
      </c>
      <c r="S210" s="7">
        <v>0</v>
      </c>
      <c r="T210" s="7">
        <v>0</v>
      </c>
      <c r="U210" s="7">
        <v>0</v>
      </c>
      <c r="V210" s="7">
        <v>0</v>
      </c>
      <c r="W210" s="7">
        <v>0</v>
      </c>
      <c r="X210" s="7">
        <v>0</v>
      </c>
      <c r="Y210" s="7">
        <v>0</v>
      </c>
      <c r="Z210" s="7">
        <v>0</v>
      </c>
      <c r="AA210" s="7">
        <v>0</v>
      </c>
      <c r="AB210" s="7">
        <v>0</v>
      </c>
      <c r="AC210" s="7">
        <v>0</v>
      </c>
      <c r="AD210" s="7">
        <v>0</v>
      </c>
      <c r="AE210" s="7">
        <v>0</v>
      </c>
      <c r="AF210" s="7">
        <v>0</v>
      </c>
      <c r="AG210" s="7">
        <v>0</v>
      </c>
      <c r="AH210" s="7">
        <v>0</v>
      </c>
      <c r="AI210" s="7">
        <v>0</v>
      </c>
      <c r="AJ210" s="7">
        <v>0</v>
      </c>
      <c r="AK210" s="7">
        <v>0</v>
      </c>
      <c r="AL210" s="7">
        <v>0</v>
      </c>
      <c r="AM210" s="7">
        <v>0</v>
      </c>
      <c r="AN210" s="7">
        <v>0</v>
      </c>
      <c r="AO210" s="7">
        <v>0</v>
      </c>
      <c r="AP210" s="7">
        <v>0</v>
      </c>
      <c r="AQ210" s="7">
        <v>0</v>
      </c>
      <c r="AR210" s="7">
        <v>0</v>
      </c>
      <c r="AS210" s="7">
        <v>0</v>
      </c>
      <c r="AT210" s="7">
        <v>0</v>
      </c>
      <c r="AU210" s="7">
        <v>0</v>
      </c>
      <c r="AV210" s="7">
        <v>0</v>
      </c>
      <c r="AW210" s="7">
        <v>0</v>
      </c>
      <c r="AX210" s="7">
        <v>0</v>
      </c>
      <c r="AY210" s="7">
        <v>0</v>
      </c>
      <c r="AZ210" s="7">
        <v>0</v>
      </c>
      <c r="BA210" s="7">
        <v>0</v>
      </c>
      <c r="BB210" s="7">
        <v>0</v>
      </c>
      <c r="BC210" s="7">
        <v>0</v>
      </c>
      <c r="BD210">
        <v>0</v>
      </c>
      <c r="BE210">
        <v>28.87</v>
      </c>
      <c r="BF2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0" s="42" t="str">
        <f>+IF(AVANCE[[#This Row],[FECHA INICIO REAL]]="","",AVANCE[[#This Row],[FECHA INICIO REAL]]-AVANCE[[#This Row],[FECHA INICIO TEORICO]])</f>
        <v/>
      </c>
      <c r="BH2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1" spans="1:61" x14ac:dyDescent="0.25">
      <c r="A211" t="s">
        <v>1022</v>
      </c>
      <c r="B211" t="s">
        <v>1040</v>
      </c>
      <c r="C211">
        <v>2302600210</v>
      </c>
      <c r="D211" t="s">
        <v>834</v>
      </c>
      <c r="E211" s="4">
        <v>0</v>
      </c>
      <c r="F211" s="1">
        <v>46241</v>
      </c>
      <c r="G211" s="1"/>
      <c r="H211" s="1">
        <v>0</v>
      </c>
      <c r="I211" s="1">
        <v>46271</v>
      </c>
      <c r="J211">
        <v>46188</v>
      </c>
      <c r="K211" s="1"/>
      <c r="L211" s="7">
        <v>0</v>
      </c>
      <c r="M211" s="7">
        <v>0</v>
      </c>
      <c r="N211" s="7">
        <v>0</v>
      </c>
      <c r="O211" s="7">
        <v>0</v>
      </c>
      <c r="P211" s="7">
        <v>0</v>
      </c>
      <c r="Q211" s="7">
        <v>0</v>
      </c>
      <c r="R211" s="7">
        <v>0</v>
      </c>
      <c r="S211" s="7">
        <v>0</v>
      </c>
      <c r="T211" s="7">
        <v>0</v>
      </c>
      <c r="U211" s="7">
        <v>0</v>
      </c>
      <c r="V211" s="7">
        <v>0</v>
      </c>
      <c r="W211" s="7">
        <v>0</v>
      </c>
      <c r="X211" s="7">
        <v>0</v>
      </c>
      <c r="Y211" s="7">
        <v>0</v>
      </c>
      <c r="Z211" s="7">
        <v>0</v>
      </c>
      <c r="AA211" s="7">
        <v>0</v>
      </c>
      <c r="AB211" s="7">
        <v>0</v>
      </c>
      <c r="AC211" s="7">
        <v>0</v>
      </c>
      <c r="AD211" s="7">
        <v>0</v>
      </c>
      <c r="AE211" s="7">
        <v>0</v>
      </c>
      <c r="AF211" s="7">
        <v>0</v>
      </c>
      <c r="AG211" s="7">
        <v>0</v>
      </c>
      <c r="AH211" s="7">
        <v>0</v>
      </c>
      <c r="AI211" s="7">
        <v>0</v>
      </c>
      <c r="AJ211" s="7">
        <v>0</v>
      </c>
      <c r="AK211" s="7">
        <v>0</v>
      </c>
      <c r="AL211" s="7">
        <v>0</v>
      </c>
      <c r="AM211" s="7">
        <v>0</v>
      </c>
      <c r="AN211" s="7">
        <v>0</v>
      </c>
      <c r="AO211" s="7">
        <v>0</v>
      </c>
      <c r="AP211" s="7">
        <v>0</v>
      </c>
      <c r="AQ211" s="7">
        <v>0</v>
      </c>
      <c r="AR211" s="7">
        <v>0</v>
      </c>
      <c r="AS211" s="7">
        <v>0</v>
      </c>
      <c r="AT211" s="7">
        <v>0</v>
      </c>
      <c r="AU211" s="7">
        <v>0</v>
      </c>
      <c r="AV211" s="7">
        <v>0</v>
      </c>
      <c r="AW211" s="7">
        <v>0</v>
      </c>
      <c r="AX211" s="7">
        <v>0</v>
      </c>
      <c r="AY211" s="7">
        <v>0</v>
      </c>
      <c r="AZ211" s="7">
        <v>0</v>
      </c>
      <c r="BA211" s="7">
        <v>0</v>
      </c>
      <c r="BB211" s="7">
        <v>0</v>
      </c>
      <c r="BC211" s="7">
        <v>0</v>
      </c>
      <c r="BD211">
        <v>0</v>
      </c>
      <c r="BE211">
        <v>31.32</v>
      </c>
      <c r="BF2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1" s="42" t="str">
        <f>+IF(AVANCE[[#This Row],[FECHA INICIO REAL]]="","",AVANCE[[#This Row],[FECHA INICIO REAL]]-AVANCE[[#This Row],[FECHA INICIO TEORICO]])</f>
        <v/>
      </c>
      <c r="BH2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2" spans="1:61" x14ac:dyDescent="0.25">
      <c r="A212" t="s">
        <v>1022</v>
      </c>
      <c r="B212" t="s">
        <v>1041</v>
      </c>
      <c r="C212">
        <v>2302600211</v>
      </c>
      <c r="D212" t="s">
        <v>834</v>
      </c>
      <c r="E212" s="4">
        <v>0</v>
      </c>
      <c r="F212" s="1">
        <v>46244</v>
      </c>
      <c r="G212" s="1"/>
      <c r="H212" s="1">
        <v>0</v>
      </c>
      <c r="I212" s="1">
        <v>46274</v>
      </c>
      <c r="J212">
        <v>46188</v>
      </c>
      <c r="K212" s="1"/>
      <c r="L212" s="7">
        <v>0</v>
      </c>
      <c r="M212" s="7">
        <v>0</v>
      </c>
      <c r="N212" s="7">
        <v>0</v>
      </c>
      <c r="O212" s="7">
        <v>0</v>
      </c>
      <c r="P212" s="7">
        <v>0</v>
      </c>
      <c r="Q212" s="7">
        <v>0</v>
      </c>
      <c r="R212" s="7">
        <v>0</v>
      </c>
      <c r="S212" s="7">
        <v>0</v>
      </c>
      <c r="T212" s="7">
        <v>0</v>
      </c>
      <c r="U212" s="7">
        <v>0</v>
      </c>
      <c r="V212" s="7">
        <v>0</v>
      </c>
      <c r="W212" s="7">
        <v>0</v>
      </c>
      <c r="X212" s="7">
        <v>0</v>
      </c>
      <c r="Y212" s="7">
        <v>0</v>
      </c>
      <c r="Z212" s="7">
        <v>0</v>
      </c>
      <c r="AA212" s="7">
        <v>0</v>
      </c>
      <c r="AB212" s="7">
        <v>0</v>
      </c>
      <c r="AC212" s="7">
        <v>0</v>
      </c>
      <c r="AD212" s="7">
        <v>0</v>
      </c>
      <c r="AE212" s="7">
        <v>0</v>
      </c>
      <c r="AF212" s="7">
        <v>0</v>
      </c>
      <c r="AG212" s="7">
        <v>0</v>
      </c>
      <c r="AH212" s="7">
        <v>0</v>
      </c>
      <c r="AI212" s="7">
        <v>0</v>
      </c>
      <c r="AJ212" s="7">
        <v>0</v>
      </c>
      <c r="AK212" s="7">
        <v>0</v>
      </c>
      <c r="AL212" s="7">
        <v>0</v>
      </c>
      <c r="AM212" s="7">
        <v>0</v>
      </c>
      <c r="AN212" s="7">
        <v>0</v>
      </c>
      <c r="AO212" s="7">
        <v>0</v>
      </c>
      <c r="AP212" s="7">
        <v>0</v>
      </c>
      <c r="AQ212" s="7">
        <v>0</v>
      </c>
      <c r="AR212" s="7">
        <v>0</v>
      </c>
      <c r="AS212" s="7">
        <v>0</v>
      </c>
      <c r="AT212" s="7">
        <v>0</v>
      </c>
      <c r="AU212" s="7">
        <v>0</v>
      </c>
      <c r="AV212" s="7">
        <v>0</v>
      </c>
      <c r="AW212" s="7">
        <v>0</v>
      </c>
      <c r="AX212" s="7">
        <v>0</v>
      </c>
      <c r="AY212" s="7">
        <v>0</v>
      </c>
      <c r="AZ212" s="7">
        <v>0</v>
      </c>
      <c r="BA212" s="7">
        <v>0</v>
      </c>
      <c r="BB212" s="7">
        <v>0</v>
      </c>
      <c r="BC212" s="7">
        <v>0</v>
      </c>
      <c r="BD212">
        <v>0</v>
      </c>
      <c r="BE212">
        <v>31.32</v>
      </c>
      <c r="BF2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2" s="42" t="str">
        <f>+IF(AVANCE[[#This Row],[FECHA INICIO REAL]]="","",AVANCE[[#This Row],[FECHA INICIO REAL]]-AVANCE[[#This Row],[FECHA INICIO TEORICO]])</f>
        <v/>
      </c>
      <c r="BH2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3" spans="1:61" x14ac:dyDescent="0.25">
      <c r="A213" t="s">
        <v>1022</v>
      </c>
      <c r="B213" t="s">
        <v>1042</v>
      </c>
      <c r="C213">
        <v>2282600212</v>
      </c>
      <c r="D213" t="s">
        <v>833</v>
      </c>
      <c r="E213" s="4">
        <v>0</v>
      </c>
      <c r="F213" s="1">
        <v>46244</v>
      </c>
      <c r="G213" s="1"/>
      <c r="H213" s="1">
        <v>0</v>
      </c>
      <c r="I213" s="1">
        <v>46264</v>
      </c>
      <c r="J213">
        <v>46188</v>
      </c>
      <c r="K213" s="1"/>
      <c r="L213" s="7">
        <v>0</v>
      </c>
      <c r="M213" s="7">
        <v>0</v>
      </c>
      <c r="N213" s="7">
        <v>0</v>
      </c>
      <c r="O213" s="7">
        <v>0</v>
      </c>
      <c r="P213" s="7">
        <v>0</v>
      </c>
      <c r="Q213" s="7">
        <v>0</v>
      </c>
      <c r="R213" s="7">
        <v>0</v>
      </c>
      <c r="S213" s="7">
        <v>0</v>
      </c>
      <c r="T213" s="7">
        <v>0</v>
      </c>
      <c r="U213" s="7">
        <v>0</v>
      </c>
      <c r="V213" s="7">
        <v>0</v>
      </c>
      <c r="W213" s="7">
        <v>0</v>
      </c>
      <c r="X213" s="7">
        <v>0</v>
      </c>
      <c r="Y213" s="7">
        <v>0</v>
      </c>
      <c r="Z213" s="7">
        <v>0</v>
      </c>
      <c r="AA213" s="7">
        <v>0</v>
      </c>
      <c r="AB213" s="7">
        <v>0</v>
      </c>
      <c r="AC213" s="7">
        <v>0</v>
      </c>
      <c r="AD213" s="7">
        <v>0</v>
      </c>
      <c r="AE213" s="7">
        <v>0</v>
      </c>
      <c r="AF213" s="7">
        <v>0</v>
      </c>
      <c r="AG213" s="7">
        <v>0</v>
      </c>
      <c r="AH213" s="7">
        <v>0</v>
      </c>
      <c r="AI213" s="7">
        <v>0</v>
      </c>
      <c r="AJ213" s="7">
        <v>0</v>
      </c>
      <c r="AK213" s="7">
        <v>0</v>
      </c>
      <c r="AL213" s="7">
        <v>0</v>
      </c>
      <c r="AM213" s="7">
        <v>0</v>
      </c>
      <c r="AN213" s="7">
        <v>0</v>
      </c>
      <c r="AO213" s="7">
        <v>0</v>
      </c>
      <c r="AP213" s="7">
        <v>0</v>
      </c>
      <c r="AQ213" s="7">
        <v>0</v>
      </c>
      <c r="AR213" s="7">
        <v>0</v>
      </c>
      <c r="AS213" s="7">
        <v>0</v>
      </c>
      <c r="AT213" s="7">
        <v>0</v>
      </c>
      <c r="AU213" s="7">
        <v>0</v>
      </c>
      <c r="AV213" s="7">
        <v>0</v>
      </c>
      <c r="AW213" s="7">
        <v>0</v>
      </c>
      <c r="AX213" s="7">
        <v>0</v>
      </c>
      <c r="AY213" s="7">
        <v>0</v>
      </c>
      <c r="AZ213" s="7">
        <v>0</v>
      </c>
      <c r="BA213" s="7">
        <v>0</v>
      </c>
      <c r="BB213" s="7">
        <v>0</v>
      </c>
      <c r="BC213" s="7">
        <v>0</v>
      </c>
      <c r="BD213">
        <v>0</v>
      </c>
      <c r="BE213">
        <v>28.87</v>
      </c>
      <c r="BF2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3" s="42" t="str">
        <f>+IF(AVANCE[[#This Row],[FECHA INICIO REAL]]="","",AVANCE[[#This Row],[FECHA INICIO REAL]]-AVANCE[[#This Row],[FECHA INICIO TEORICO]])</f>
        <v/>
      </c>
      <c r="BH2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4" spans="1:61" x14ac:dyDescent="0.25">
      <c r="A214" t="s">
        <v>1022</v>
      </c>
      <c r="B214" t="s">
        <v>1043</v>
      </c>
      <c r="C214">
        <v>2282600213</v>
      </c>
      <c r="D214" t="s">
        <v>833</v>
      </c>
      <c r="E214" s="4">
        <v>0</v>
      </c>
      <c r="F214" s="1">
        <v>46244</v>
      </c>
      <c r="G214" s="1"/>
      <c r="H214" s="1">
        <v>0</v>
      </c>
      <c r="I214" s="1">
        <v>46264</v>
      </c>
      <c r="J214">
        <v>46188</v>
      </c>
      <c r="K214" s="1"/>
      <c r="L214" s="7">
        <v>0</v>
      </c>
      <c r="M214" s="7">
        <v>0</v>
      </c>
      <c r="N214" s="7">
        <v>0</v>
      </c>
      <c r="O214" s="7">
        <v>0</v>
      </c>
      <c r="P214" s="7">
        <v>0</v>
      </c>
      <c r="Q214" s="7">
        <v>0</v>
      </c>
      <c r="R214" s="7">
        <v>0</v>
      </c>
      <c r="S214" s="7">
        <v>0</v>
      </c>
      <c r="T214" s="7">
        <v>0</v>
      </c>
      <c r="U214" s="7">
        <v>0</v>
      </c>
      <c r="V214" s="7">
        <v>0</v>
      </c>
      <c r="W214" s="7">
        <v>0</v>
      </c>
      <c r="X214" s="7">
        <v>0</v>
      </c>
      <c r="Y214" s="7">
        <v>0</v>
      </c>
      <c r="Z214" s="7">
        <v>0</v>
      </c>
      <c r="AA214" s="7">
        <v>0</v>
      </c>
      <c r="AB214" s="7">
        <v>0</v>
      </c>
      <c r="AC214" s="7">
        <v>0</v>
      </c>
      <c r="AD214" s="7">
        <v>0</v>
      </c>
      <c r="AE214" s="7">
        <v>0</v>
      </c>
      <c r="AF214" s="7">
        <v>0</v>
      </c>
      <c r="AG214" s="7">
        <v>0</v>
      </c>
      <c r="AH214" s="7">
        <v>0</v>
      </c>
      <c r="AI214" s="7">
        <v>0</v>
      </c>
      <c r="AJ214" s="7">
        <v>0</v>
      </c>
      <c r="AK214" s="7">
        <v>0</v>
      </c>
      <c r="AL214" s="7">
        <v>0</v>
      </c>
      <c r="AM214" s="7">
        <v>0</v>
      </c>
      <c r="AN214" s="7">
        <v>0</v>
      </c>
      <c r="AO214" s="7">
        <v>0</v>
      </c>
      <c r="AP214" s="7">
        <v>0</v>
      </c>
      <c r="AQ214" s="7">
        <v>0</v>
      </c>
      <c r="AR214" s="7">
        <v>0</v>
      </c>
      <c r="AS214" s="7">
        <v>0</v>
      </c>
      <c r="AT214" s="7">
        <v>0</v>
      </c>
      <c r="AU214" s="7">
        <v>0</v>
      </c>
      <c r="AV214" s="7">
        <v>0</v>
      </c>
      <c r="AW214" s="7">
        <v>0</v>
      </c>
      <c r="AX214" s="7">
        <v>0</v>
      </c>
      <c r="AY214" s="7">
        <v>0</v>
      </c>
      <c r="AZ214" s="7">
        <v>0</v>
      </c>
      <c r="BA214" s="7">
        <v>0</v>
      </c>
      <c r="BB214" s="7">
        <v>0</v>
      </c>
      <c r="BC214" s="7">
        <v>0</v>
      </c>
      <c r="BD214">
        <v>0</v>
      </c>
      <c r="BE214">
        <v>28.87</v>
      </c>
      <c r="BF2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4" s="42" t="str">
        <f>+IF(AVANCE[[#This Row],[FECHA INICIO REAL]]="","",AVANCE[[#This Row],[FECHA INICIO REAL]]-AVANCE[[#This Row],[FECHA INICIO TEORICO]])</f>
        <v/>
      </c>
      <c r="BH2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5" spans="1:61" x14ac:dyDescent="0.25">
      <c r="A215" t="s">
        <v>1022</v>
      </c>
      <c r="B215" t="s">
        <v>1044</v>
      </c>
      <c r="C215">
        <v>2302600214</v>
      </c>
      <c r="D215" t="s">
        <v>834</v>
      </c>
      <c r="E215" s="4">
        <v>0</v>
      </c>
      <c r="F215" s="1">
        <v>46245</v>
      </c>
      <c r="G215" s="1"/>
      <c r="H215" s="1">
        <v>0</v>
      </c>
      <c r="I215" s="1">
        <v>46275</v>
      </c>
      <c r="J215">
        <v>46188</v>
      </c>
      <c r="K215" s="1"/>
      <c r="L215" s="7">
        <v>0</v>
      </c>
      <c r="M215" s="7">
        <v>0</v>
      </c>
      <c r="N215" s="7">
        <v>0</v>
      </c>
      <c r="O215" s="7">
        <v>0</v>
      </c>
      <c r="P215" s="7">
        <v>0</v>
      </c>
      <c r="Q215" s="7">
        <v>0</v>
      </c>
      <c r="R215" s="7">
        <v>0</v>
      </c>
      <c r="S215" s="7">
        <v>0</v>
      </c>
      <c r="T215" s="7">
        <v>0</v>
      </c>
      <c r="U215" s="7">
        <v>0</v>
      </c>
      <c r="V215" s="7">
        <v>0</v>
      </c>
      <c r="W215" s="7">
        <v>0</v>
      </c>
      <c r="X215" s="7">
        <v>0</v>
      </c>
      <c r="Y215" s="7">
        <v>0</v>
      </c>
      <c r="Z215" s="7">
        <v>0</v>
      </c>
      <c r="AA215" s="7">
        <v>0</v>
      </c>
      <c r="AB215" s="7">
        <v>0</v>
      </c>
      <c r="AC215" s="7">
        <v>0</v>
      </c>
      <c r="AD215" s="7">
        <v>0</v>
      </c>
      <c r="AE215" s="7">
        <v>0</v>
      </c>
      <c r="AF215" s="7">
        <v>0</v>
      </c>
      <c r="AG215" s="7">
        <v>0</v>
      </c>
      <c r="AH215" s="7">
        <v>0</v>
      </c>
      <c r="AI215" s="7">
        <v>0</v>
      </c>
      <c r="AJ215" s="7">
        <v>0</v>
      </c>
      <c r="AK215" s="7">
        <v>0</v>
      </c>
      <c r="AL215" s="7">
        <v>0</v>
      </c>
      <c r="AM215" s="7">
        <v>0</v>
      </c>
      <c r="AN215" s="7">
        <v>0</v>
      </c>
      <c r="AO215" s="7">
        <v>0</v>
      </c>
      <c r="AP215" s="7">
        <v>0</v>
      </c>
      <c r="AQ215" s="7">
        <v>0</v>
      </c>
      <c r="AR215" s="7">
        <v>0</v>
      </c>
      <c r="AS215" s="7">
        <v>0</v>
      </c>
      <c r="AT215" s="7">
        <v>0</v>
      </c>
      <c r="AU215" s="7">
        <v>0</v>
      </c>
      <c r="AV215" s="7">
        <v>0</v>
      </c>
      <c r="AW215" s="7">
        <v>0</v>
      </c>
      <c r="AX215" s="7">
        <v>0</v>
      </c>
      <c r="AY215" s="7">
        <v>0</v>
      </c>
      <c r="AZ215" s="7">
        <v>0</v>
      </c>
      <c r="BA215" s="7">
        <v>0</v>
      </c>
      <c r="BB215" s="7">
        <v>0</v>
      </c>
      <c r="BC215" s="7">
        <v>0</v>
      </c>
      <c r="BD215">
        <v>0</v>
      </c>
      <c r="BE215">
        <v>31.32</v>
      </c>
      <c r="BF2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5" s="42" t="str">
        <f>+IF(AVANCE[[#This Row],[FECHA INICIO REAL]]="","",AVANCE[[#This Row],[FECHA INICIO REAL]]-AVANCE[[#This Row],[FECHA INICIO TEORICO]])</f>
        <v/>
      </c>
      <c r="BH2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6" spans="1:61" x14ac:dyDescent="0.25">
      <c r="A216" t="s">
        <v>1022</v>
      </c>
      <c r="B216" t="s">
        <v>1045</v>
      </c>
      <c r="C216">
        <v>2302600215</v>
      </c>
      <c r="D216" t="s">
        <v>834</v>
      </c>
      <c r="E216" s="4">
        <v>0</v>
      </c>
      <c r="F216" s="1">
        <v>46245</v>
      </c>
      <c r="G216" s="1"/>
      <c r="H216" s="1">
        <v>0</v>
      </c>
      <c r="I216" s="1">
        <v>46275</v>
      </c>
      <c r="J216">
        <v>46188</v>
      </c>
      <c r="K216" s="1"/>
      <c r="L216" s="7">
        <v>0</v>
      </c>
      <c r="M216" s="7">
        <v>0</v>
      </c>
      <c r="N216" s="7">
        <v>0</v>
      </c>
      <c r="O216" s="7">
        <v>0</v>
      </c>
      <c r="P216" s="7">
        <v>0</v>
      </c>
      <c r="Q216" s="7">
        <v>0</v>
      </c>
      <c r="R216" s="7">
        <v>0</v>
      </c>
      <c r="S216" s="7">
        <v>0</v>
      </c>
      <c r="T216" s="7">
        <v>0</v>
      </c>
      <c r="U216" s="7">
        <v>0</v>
      </c>
      <c r="V216" s="7">
        <v>0</v>
      </c>
      <c r="W216" s="7">
        <v>0</v>
      </c>
      <c r="X216" s="7">
        <v>0</v>
      </c>
      <c r="Y216" s="7">
        <v>0</v>
      </c>
      <c r="Z216" s="7">
        <v>0</v>
      </c>
      <c r="AA216" s="7">
        <v>0</v>
      </c>
      <c r="AB216" s="7">
        <v>0</v>
      </c>
      <c r="AC216" s="7">
        <v>0</v>
      </c>
      <c r="AD216" s="7">
        <v>0</v>
      </c>
      <c r="AE216" s="7">
        <v>0</v>
      </c>
      <c r="AF216" s="7">
        <v>0</v>
      </c>
      <c r="AG216" s="7">
        <v>0</v>
      </c>
      <c r="AH216" s="7">
        <v>0</v>
      </c>
      <c r="AI216" s="7">
        <v>0</v>
      </c>
      <c r="AJ216" s="7">
        <v>0</v>
      </c>
      <c r="AK216" s="7">
        <v>0</v>
      </c>
      <c r="AL216" s="7">
        <v>0</v>
      </c>
      <c r="AM216" s="7">
        <v>0</v>
      </c>
      <c r="AN216" s="7">
        <v>0</v>
      </c>
      <c r="AO216" s="7">
        <v>0</v>
      </c>
      <c r="AP216" s="7">
        <v>0</v>
      </c>
      <c r="AQ216" s="7">
        <v>0</v>
      </c>
      <c r="AR216" s="7">
        <v>0</v>
      </c>
      <c r="AS216" s="7">
        <v>0</v>
      </c>
      <c r="AT216" s="7">
        <v>0</v>
      </c>
      <c r="AU216" s="7">
        <v>0</v>
      </c>
      <c r="AV216" s="7">
        <v>0</v>
      </c>
      <c r="AW216" s="7">
        <v>0</v>
      </c>
      <c r="AX216" s="7">
        <v>0</v>
      </c>
      <c r="AY216" s="7">
        <v>0</v>
      </c>
      <c r="AZ216" s="7">
        <v>0</v>
      </c>
      <c r="BA216" s="7">
        <v>0</v>
      </c>
      <c r="BB216" s="7">
        <v>0</v>
      </c>
      <c r="BC216" s="7">
        <v>0</v>
      </c>
      <c r="BD216">
        <v>0</v>
      </c>
      <c r="BE216">
        <v>31.32</v>
      </c>
      <c r="BF2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6" s="42" t="str">
        <f>+IF(AVANCE[[#This Row],[FECHA INICIO REAL]]="","",AVANCE[[#This Row],[FECHA INICIO REAL]]-AVANCE[[#This Row],[FECHA INICIO TEORICO]])</f>
        <v/>
      </c>
      <c r="BH2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7" spans="1:61" x14ac:dyDescent="0.25">
      <c r="A217" t="s">
        <v>1022</v>
      </c>
      <c r="B217" t="s">
        <v>1046</v>
      </c>
      <c r="C217">
        <v>2282600216</v>
      </c>
      <c r="D217" t="s">
        <v>833</v>
      </c>
      <c r="E217" s="4">
        <v>0</v>
      </c>
      <c r="F217" s="1">
        <v>46246</v>
      </c>
      <c r="G217" s="1"/>
      <c r="H217" s="1">
        <v>0</v>
      </c>
      <c r="I217" s="1">
        <v>46266</v>
      </c>
      <c r="J217">
        <v>46188</v>
      </c>
      <c r="K217" s="1"/>
      <c r="L217" s="7">
        <v>0</v>
      </c>
      <c r="M217" s="7">
        <v>0</v>
      </c>
      <c r="N217" s="7">
        <v>0</v>
      </c>
      <c r="O217" s="7">
        <v>0</v>
      </c>
      <c r="P217" s="7">
        <v>0</v>
      </c>
      <c r="Q217" s="7">
        <v>0</v>
      </c>
      <c r="R217" s="7">
        <v>0</v>
      </c>
      <c r="S217" s="7">
        <v>0</v>
      </c>
      <c r="T217" s="7">
        <v>0</v>
      </c>
      <c r="U217" s="7">
        <v>0</v>
      </c>
      <c r="V217" s="7">
        <v>0</v>
      </c>
      <c r="W217" s="7">
        <v>0</v>
      </c>
      <c r="X217" s="7">
        <v>0</v>
      </c>
      <c r="Y217" s="7">
        <v>0</v>
      </c>
      <c r="Z217" s="7">
        <v>0</v>
      </c>
      <c r="AA217" s="7">
        <v>0</v>
      </c>
      <c r="AB217" s="7">
        <v>0</v>
      </c>
      <c r="AC217" s="7">
        <v>0</v>
      </c>
      <c r="AD217" s="7">
        <v>0</v>
      </c>
      <c r="AE217" s="7">
        <v>0</v>
      </c>
      <c r="AF217" s="7">
        <v>0</v>
      </c>
      <c r="AG217" s="7">
        <v>0</v>
      </c>
      <c r="AH217" s="7">
        <v>0</v>
      </c>
      <c r="AI217" s="7">
        <v>0</v>
      </c>
      <c r="AJ217" s="7">
        <v>0</v>
      </c>
      <c r="AK217" s="7">
        <v>0</v>
      </c>
      <c r="AL217" s="7">
        <v>0</v>
      </c>
      <c r="AM217" s="7">
        <v>0</v>
      </c>
      <c r="AN217" s="7">
        <v>0</v>
      </c>
      <c r="AO217" s="7">
        <v>0</v>
      </c>
      <c r="AP217" s="7">
        <v>0</v>
      </c>
      <c r="AQ217" s="7">
        <v>0</v>
      </c>
      <c r="AR217" s="7">
        <v>0</v>
      </c>
      <c r="AS217" s="7">
        <v>0</v>
      </c>
      <c r="AT217" s="7">
        <v>0</v>
      </c>
      <c r="AU217" s="7">
        <v>0</v>
      </c>
      <c r="AV217" s="7">
        <v>0</v>
      </c>
      <c r="AW217" s="7">
        <v>0</v>
      </c>
      <c r="AX217" s="7">
        <v>0</v>
      </c>
      <c r="AY217" s="7">
        <v>0</v>
      </c>
      <c r="AZ217" s="7">
        <v>0</v>
      </c>
      <c r="BA217" s="7">
        <v>0</v>
      </c>
      <c r="BB217" s="7">
        <v>0</v>
      </c>
      <c r="BC217" s="7">
        <v>0</v>
      </c>
      <c r="BD217">
        <v>0</v>
      </c>
      <c r="BE217">
        <v>28.87</v>
      </c>
      <c r="BF2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7" s="42" t="str">
        <f>+IF(AVANCE[[#This Row],[FECHA INICIO REAL]]="","",AVANCE[[#This Row],[FECHA INICIO REAL]]-AVANCE[[#This Row],[FECHA INICIO TEORICO]])</f>
        <v/>
      </c>
      <c r="BH2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8" spans="1:61" x14ac:dyDescent="0.25">
      <c r="A218" t="s">
        <v>1022</v>
      </c>
      <c r="B218" t="s">
        <v>1047</v>
      </c>
      <c r="C218">
        <v>2282600217</v>
      </c>
      <c r="D218" t="s">
        <v>833</v>
      </c>
      <c r="E218" s="4">
        <v>0</v>
      </c>
      <c r="F218" s="1">
        <v>46246</v>
      </c>
      <c r="G218" s="1"/>
      <c r="H218" s="1">
        <v>0</v>
      </c>
      <c r="I218" s="1">
        <v>46266</v>
      </c>
      <c r="J218">
        <v>46188</v>
      </c>
      <c r="K218" s="1"/>
      <c r="L218" s="7">
        <v>0</v>
      </c>
      <c r="M218" s="7">
        <v>0</v>
      </c>
      <c r="N218" s="7">
        <v>0</v>
      </c>
      <c r="O218" s="7">
        <v>0</v>
      </c>
      <c r="P218" s="7">
        <v>0</v>
      </c>
      <c r="Q218" s="7">
        <v>0</v>
      </c>
      <c r="R218" s="7">
        <v>0</v>
      </c>
      <c r="S218" s="7">
        <v>0</v>
      </c>
      <c r="T218" s="7">
        <v>0</v>
      </c>
      <c r="U218" s="7">
        <v>0</v>
      </c>
      <c r="V218" s="7">
        <v>0</v>
      </c>
      <c r="W218" s="7">
        <v>0</v>
      </c>
      <c r="X218" s="7">
        <v>0</v>
      </c>
      <c r="Y218" s="7">
        <v>0</v>
      </c>
      <c r="Z218" s="7">
        <v>0</v>
      </c>
      <c r="AA218" s="7">
        <v>0</v>
      </c>
      <c r="AB218" s="7">
        <v>0</v>
      </c>
      <c r="AC218" s="7">
        <v>0</v>
      </c>
      <c r="AD218" s="7">
        <v>0</v>
      </c>
      <c r="AE218" s="7">
        <v>0</v>
      </c>
      <c r="AF218" s="7">
        <v>0</v>
      </c>
      <c r="AG218" s="7">
        <v>0</v>
      </c>
      <c r="AH218" s="7">
        <v>0</v>
      </c>
      <c r="AI218" s="7">
        <v>0</v>
      </c>
      <c r="AJ218" s="7">
        <v>0</v>
      </c>
      <c r="AK218" s="7">
        <v>0</v>
      </c>
      <c r="AL218" s="7">
        <v>0</v>
      </c>
      <c r="AM218" s="7">
        <v>0</v>
      </c>
      <c r="AN218" s="7">
        <v>0</v>
      </c>
      <c r="AO218" s="7">
        <v>0</v>
      </c>
      <c r="AP218" s="7">
        <v>0</v>
      </c>
      <c r="AQ218" s="7">
        <v>0</v>
      </c>
      <c r="AR218" s="7">
        <v>0</v>
      </c>
      <c r="AS218" s="7">
        <v>0</v>
      </c>
      <c r="AT218" s="7">
        <v>0</v>
      </c>
      <c r="AU218" s="7">
        <v>0</v>
      </c>
      <c r="AV218" s="7">
        <v>0</v>
      </c>
      <c r="AW218" s="7">
        <v>0</v>
      </c>
      <c r="AX218" s="7">
        <v>0</v>
      </c>
      <c r="AY218" s="7">
        <v>0</v>
      </c>
      <c r="AZ218" s="7">
        <v>0</v>
      </c>
      <c r="BA218" s="7">
        <v>0</v>
      </c>
      <c r="BB218" s="7">
        <v>0</v>
      </c>
      <c r="BC218" s="7">
        <v>0</v>
      </c>
      <c r="BD218">
        <v>0</v>
      </c>
      <c r="BE218">
        <v>28.87</v>
      </c>
      <c r="BF2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8" s="42" t="str">
        <f>+IF(AVANCE[[#This Row],[FECHA INICIO REAL]]="","",AVANCE[[#This Row],[FECHA INICIO REAL]]-AVANCE[[#This Row],[FECHA INICIO TEORICO]])</f>
        <v/>
      </c>
      <c r="BH2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9" spans="1:61" x14ac:dyDescent="0.25">
      <c r="A219" t="s">
        <v>1022</v>
      </c>
      <c r="B219" t="s">
        <v>1048</v>
      </c>
      <c r="C219">
        <v>2302600218</v>
      </c>
      <c r="D219" t="s">
        <v>834</v>
      </c>
      <c r="E219" s="4">
        <v>0</v>
      </c>
      <c r="F219" s="1">
        <v>46246</v>
      </c>
      <c r="G219" s="1"/>
      <c r="H219" s="1">
        <v>0</v>
      </c>
      <c r="I219" s="1">
        <v>46276</v>
      </c>
      <c r="J219">
        <v>46188</v>
      </c>
      <c r="K219" s="1"/>
      <c r="L219" s="7">
        <v>0</v>
      </c>
      <c r="M219" s="7">
        <v>0</v>
      </c>
      <c r="N219" s="7">
        <v>0</v>
      </c>
      <c r="O219" s="7">
        <v>0</v>
      </c>
      <c r="P219" s="7">
        <v>0</v>
      </c>
      <c r="Q219" s="7">
        <v>0</v>
      </c>
      <c r="R219" s="7">
        <v>0</v>
      </c>
      <c r="S219" s="7">
        <v>0</v>
      </c>
      <c r="T219" s="7">
        <v>0</v>
      </c>
      <c r="U219" s="7">
        <v>0</v>
      </c>
      <c r="V219" s="7">
        <v>0</v>
      </c>
      <c r="W219" s="7">
        <v>0</v>
      </c>
      <c r="X219" s="7">
        <v>0</v>
      </c>
      <c r="Y219" s="7">
        <v>0</v>
      </c>
      <c r="Z219" s="7">
        <v>0</v>
      </c>
      <c r="AA219" s="7">
        <v>0</v>
      </c>
      <c r="AB219" s="7">
        <v>0</v>
      </c>
      <c r="AC219" s="7">
        <v>0</v>
      </c>
      <c r="AD219" s="7">
        <v>0</v>
      </c>
      <c r="AE219" s="7">
        <v>0</v>
      </c>
      <c r="AF219" s="7">
        <v>0</v>
      </c>
      <c r="AG219" s="7">
        <v>0</v>
      </c>
      <c r="AH219" s="7">
        <v>0</v>
      </c>
      <c r="AI219" s="7">
        <v>0</v>
      </c>
      <c r="AJ219" s="7">
        <v>0</v>
      </c>
      <c r="AK219" s="7">
        <v>0</v>
      </c>
      <c r="AL219" s="7">
        <v>0</v>
      </c>
      <c r="AM219" s="7">
        <v>0</v>
      </c>
      <c r="AN219" s="7">
        <v>0</v>
      </c>
      <c r="AO219" s="7">
        <v>0</v>
      </c>
      <c r="AP219" s="7">
        <v>0</v>
      </c>
      <c r="AQ219" s="7">
        <v>0</v>
      </c>
      <c r="AR219" s="7">
        <v>0</v>
      </c>
      <c r="AS219" s="7">
        <v>0</v>
      </c>
      <c r="AT219" s="7">
        <v>0</v>
      </c>
      <c r="AU219" s="7">
        <v>0</v>
      </c>
      <c r="AV219" s="7">
        <v>0</v>
      </c>
      <c r="AW219" s="7">
        <v>0</v>
      </c>
      <c r="AX219" s="7">
        <v>0</v>
      </c>
      <c r="AY219" s="7">
        <v>0</v>
      </c>
      <c r="AZ219" s="7">
        <v>0</v>
      </c>
      <c r="BA219" s="7">
        <v>0</v>
      </c>
      <c r="BB219" s="7">
        <v>0</v>
      </c>
      <c r="BC219" s="7">
        <v>0</v>
      </c>
      <c r="BD219">
        <v>0</v>
      </c>
      <c r="BE219">
        <v>31.32</v>
      </c>
      <c r="BF2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9" s="42" t="str">
        <f>+IF(AVANCE[[#This Row],[FECHA INICIO REAL]]="","",AVANCE[[#This Row],[FECHA INICIO REAL]]-AVANCE[[#This Row],[FECHA INICIO TEORICO]])</f>
        <v/>
      </c>
      <c r="BH2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0" spans="1:61" x14ac:dyDescent="0.25">
      <c r="A220" t="s">
        <v>1022</v>
      </c>
      <c r="B220" t="s">
        <v>1049</v>
      </c>
      <c r="C220">
        <v>2302600219</v>
      </c>
      <c r="D220" t="s">
        <v>834</v>
      </c>
      <c r="E220" s="4">
        <v>0</v>
      </c>
      <c r="F220" s="1">
        <v>46247</v>
      </c>
      <c r="G220" s="1"/>
      <c r="H220" s="1">
        <v>0</v>
      </c>
      <c r="I220" s="1">
        <v>46277</v>
      </c>
      <c r="J220">
        <v>46188</v>
      </c>
      <c r="K220" s="1"/>
      <c r="L220" s="7">
        <v>0</v>
      </c>
      <c r="M220" s="7">
        <v>0</v>
      </c>
      <c r="N220" s="7">
        <v>0</v>
      </c>
      <c r="O220" s="7">
        <v>0</v>
      </c>
      <c r="P220" s="7">
        <v>0</v>
      </c>
      <c r="Q220" s="7">
        <v>0</v>
      </c>
      <c r="R220" s="7">
        <v>0</v>
      </c>
      <c r="S220" s="7">
        <v>0</v>
      </c>
      <c r="T220" s="7">
        <v>0</v>
      </c>
      <c r="U220" s="7">
        <v>0</v>
      </c>
      <c r="V220" s="7">
        <v>0</v>
      </c>
      <c r="W220" s="7">
        <v>0</v>
      </c>
      <c r="X220" s="7">
        <v>0</v>
      </c>
      <c r="Y220" s="7">
        <v>0</v>
      </c>
      <c r="Z220" s="7">
        <v>0</v>
      </c>
      <c r="AA220" s="7">
        <v>0</v>
      </c>
      <c r="AB220" s="7">
        <v>0</v>
      </c>
      <c r="AC220" s="7">
        <v>0</v>
      </c>
      <c r="AD220" s="7">
        <v>0</v>
      </c>
      <c r="AE220" s="7">
        <v>0</v>
      </c>
      <c r="AF220" s="7">
        <v>0</v>
      </c>
      <c r="AG220" s="7">
        <v>0</v>
      </c>
      <c r="AH220" s="7">
        <v>0</v>
      </c>
      <c r="AI220" s="7">
        <v>0</v>
      </c>
      <c r="AJ220" s="7">
        <v>0</v>
      </c>
      <c r="AK220" s="7">
        <v>0</v>
      </c>
      <c r="AL220" s="7">
        <v>0</v>
      </c>
      <c r="AM220" s="7">
        <v>0</v>
      </c>
      <c r="AN220" s="7">
        <v>0</v>
      </c>
      <c r="AO220" s="7">
        <v>0</v>
      </c>
      <c r="AP220" s="7">
        <v>0</v>
      </c>
      <c r="AQ220" s="7">
        <v>0</v>
      </c>
      <c r="AR220" s="7">
        <v>0</v>
      </c>
      <c r="AS220" s="7">
        <v>0</v>
      </c>
      <c r="AT220" s="7">
        <v>0</v>
      </c>
      <c r="AU220" s="7">
        <v>0</v>
      </c>
      <c r="AV220" s="7">
        <v>0</v>
      </c>
      <c r="AW220" s="7">
        <v>0</v>
      </c>
      <c r="AX220" s="7">
        <v>0</v>
      </c>
      <c r="AY220" s="7">
        <v>0</v>
      </c>
      <c r="AZ220" s="7">
        <v>0</v>
      </c>
      <c r="BA220" s="7">
        <v>0</v>
      </c>
      <c r="BB220" s="7">
        <v>0</v>
      </c>
      <c r="BC220" s="7">
        <v>0</v>
      </c>
      <c r="BD220">
        <v>0</v>
      </c>
      <c r="BE220">
        <v>31.32</v>
      </c>
      <c r="BF2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0" s="42" t="str">
        <f>+IF(AVANCE[[#This Row],[FECHA INICIO REAL]]="","",AVANCE[[#This Row],[FECHA INICIO REAL]]-AVANCE[[#This Row],[FECHA INICIO TEORICO]])</f>
        <v/>
      </c>
      <c r="BH2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1" spans="1:61" x14ac:dyDescent="0.25">
      <c r="A221" t="s">
        <v>1022</v>
      </c>
      <c r="B221" t="s">
        <v>1050</v>
      </c>
      <c r="C221">
        <v>2282600220</v>
      </c>
      <c r="D221" t="s">
        <v>833</v>
      </c>
      <c r="E221" s="4">
        <v>0</v>
      </c>
      <c r="F221" s="1">
        <v>46247</v>
      </c>
      <c r="G221" s="1"/>
      <c r="H221" s="1">
        <v>0</v>
      </c>
      <c r="I221" s="1">
        <v>46267</v>
      </c>
      <c r="J221">
        <v>46188</v>
      </c>
      <c r="K221" s="1"/>
      <c r="L221" s="7">
        <v>0</v>
      </c>
      <c r="M221" s="7">
        <v>0</v>
      </c>
      <c r="N221" s="7">
        <v>0</v>
      </c>
      <c r="O221" s="7">
        <v>0</v>
      </c>
      <c r="P221" s="7">
        <v>0</v>
      </c>
      <c r="Q221" s="7">
        <v>0</v>
      </c>
      <c r="R221" s="7">
        <v>0</v>
      </c>
      <c r="S221" s="7">
        <v>0</v>
      </c>
      <c r="T221" s="7">
        <v>0</v>
      </c>
      <c r="U221" s="7">
        <v>0</v>
      </c>
      <c r="V221" s="7">
        <v>0</v>
      </c>
      <c r="W221" s="7">
        <v>0</v>
      </c>
      <c r="X221" s="7">
        <v>0</v>
      </c>
      <c r="Y221" s="7">
        <v>0</v>
      </c>
      <c r="Z221" s="7">
        <v>0</v>
      </c>
      <c r="AA221" s="7">
        <v>0</v>
      </c>
      <c r="AB221" s="7">
        <v>0</v>
      </c>
      <c r="AC221" s="7">
        <v>0</v>
      </c>
      <c r="AD221" s="7">
        <v>0</v>
      </c>
      <c r="AE221" s="7">
        <v>0</v>
      </c>
      <c r="AF221" s="7">
        <v>0</v>
      </c>
      <c r="AG221" s="7">
        <v>0</v>
      </c>
      <c r="AH221" s="7">
        <v>0</v>
      </c>
      <c r="AI221" s="7">
        <v>0</v>
      </c>
      <c r="AJ221" s="7">
        <v>0</v>
      </c>
      <c r="AK221" s="7">
        <v>0</v>
      </c>
      <c r="AL221" s="7">
        <v>0</v>
      </c>
      <c r="AM221" s="7">
        <v>0</v>
      </c>
      <c r="AN221" s="7">
        <v>0</v>
      </c>
      <c r="AO221" s="7">
        <v>0</v>
      </c>
      <c r="AP221" s="7">
        <v>0</v>
      </c>
      <c r="AQ221" s="7">
        <v>0</v>
      </c>
      <c r="AR221" s="7">
        <v>0</v>
      </c>
      <c r="AS221" s="7">
        <v>0</v>
      </c>
      <c r="AT221" s="7">
        <v>0</v>
      </c>
      <c r="AU221" s="7">
        <v>0</v>
      </c>
      <c r="AV221" s="7">
        <v>0</v>
      </c>
      <c r="AW221" s="7">
        <v>0</v>
      </c>
      <c r="AX221" s="7">
        <v>0</v>
      </c>
      <c r="AY221" s="7">
        <v>0</v>
      </c>
      <c r="AZ221" s="7">
        <v>0</v>
      </c>
      <c r="BA221" s="7">
        <v>0</v>
      </c>
      <c r="BB221" s="7">
        <v>0</v>
      </c>
      <c r="BC221" s="7">
        <v>0</v>
      </c>
      <c r="BD221">
        <v>0</v>
      </c>
      <c r="BE221">
        <v>28.87</v>
      </c>
      <c r="BF2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1" s="42" t="str">
        <f>+IF(AVANCE[[#This Row],[FECHA INICIO REAL]]="","",AVANCE[[#This Row],[FECHA INICIO REAL]]-AVANCE[[#This Row],[FECHA INICIO TEORICO]])</f>
        <v/>
      </c>
      <c r="BH2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2" spans="1:61" x14ac:dyDescent="0.25">
      <c r="A222" t="s">
        <v>1022</v>
      </c>
      <c r="B222" t="s">
        <v>1051</v>
      </c>
      <c r="C222">
        <v>2282600221</v>
      </c>
      <c r="D222" t="s">
        <v>833</v>
      </c>
      <c r="E222" s="4">
        <v>0</v>
      </c>
      <c r="F222" s="1">
        <v>46248</v>
      </c>
      <c r="G222" s="1"/>
      <c r="H222" s="1">
        <v>0</v>
      </c>
      <c r="I222" s="1">
        <v>46268</v>
      </c>
      <c r="J222">
        <v>46188</v>
      </c>
      <c r="K222" s="1"/>
      <c r="L222" s="7">
        <v>0</v>
      </c>
      <c r="M222" s="7">
        <v>0</v>
      </c>
      <c r="N222" s="7">
        <v>0</v>
      </c>
      <c r="O222" s="7">
        <v>0</v>
      </c>
      <c r="P222" s="7">
        <v>0</v>
      </c>
      <c r="Q222" s="7">
        <v>0</v>
      </c>
      <c r="R222" s="7">
        <v>0</v>
      </c>
      <c r="S222" s="7">
        <v>0</v>
      </c>
      <c r="T222" s="7">
        <v>0</v>
      </c>
      <c r="U222" s="7">
        <v>0</v>
      </c>
      <c r="V222" s="7">
        <v>0</v>
      </c>
      <c r="W222" s="7">
        <v>0</v>
      </c>
      <c r="X222" s="7">
        <v>0</v>
      </c>
      <c r="Y222" s="7">
        <v>0</v>
      </c>
      <c r="Z222" s="7">
        <v>0</v>
      </c>
      <c r="AA222" s="7">
        <v>0</v>
      </c>
      <c r="AB222" s="7">
        <v>0</v>
      </c>
      <c r="AC222" s="7">
        <v>0</v>
      </c>
      <c r="AD222" s="7">
        <v>0</v>
      </c>
      <c r="AE222" s="7">
        <v>0</v>
      </c>
      <c r="AF222" s="7">
        <v>0</v>
      </c>
      <c r="AG222" s="7">
        <v>0</v>
      </c>
      <c r="AH222" s="7">
        <v>0</v>
      </c>
      <c r="AI222" s="7">
        <v>0</v>
      </c>
      <c r="AJ222" s="7">
        <v>0</v>
      </c>
      <c r="AK222" s="7">
        <v>0</v>
      </c>
      <c r="AL222" s="7">
        <v>0</v>
      </c>
      <c r="AM222" s="7">
        <v>0</v>
      </c>
      <c r="AN222" s="7">
        <v>0</v>
      </c>
      <c r="AO222" s="7">
        <v>0</v>
      </c>
      <c r="AP222" s="7">
        <v>0</v>
      </c>
      <c r="AQ222" s="7">
        <v>0</v>
      </c>
      <c r="AR222" s="7">
        <v>0</v>
      </c>
      <c r="AS222" s="7">
        <v>0</v>
      </c>
      <c r="AT222" s="7">
        <v>0</v>
      </c>
      <c r="AU222" s="7">
        <v>0</v>
      </c>
      <c r="AV222" s="7">
        <v>0</v>
      </c>
      <c r="AW222" s="7">
        <v>0</v>
      </c>
      <c r="AX222" s="7">
        <v>0</v>
      </c>
      <c r="AY222" s="7">
        <v>0</v>
      </c>
      <c r="AZ222" s="7">
        <v>0</v>
      </c>
      <c r="BA222" s="7">
        <v>0</v>
      </c>
      <c r="BB222" s="7">
        <v>0</v>
      </c>
      <c r="BC222" s="7">
        <v>0</v>
      </c>
      <c r="BD222">
        <v>0</v>
      </c>
      <c r="BE222">
        <v>28.87</v>
      </c>
      <c r="BF2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2" s="42" t="str">
        <f>+IF(AVANCE[[#This Row],[FECHA INICIO REAL]]="","",AVANCE[[#This Row],[FECHA INICIO REAL]]-AVANCE[[#This Row],[FECHA INICIO TEORICO]])</f>
        <v/>
      </c>
      <c r="BH2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3" spans="1:61" x14ac:dyDescent="0.25">
      <c r="A223" t="s">
        <v>1022</v>
      </c>
      <c r="B223" t="s">
        <v>1052</v>
      </c>
      <c r="C223">
        <v>2302600222</v>
      </c>
      <c r="D223" t="s">
        <v>834</v>
      </c>
      <c r="E223" s="4">
        <v>0</v>
      </c>
      <c r="F223" s="1">
        <v>46248</v>
      </c>
      <c r="G223" s="1"/>
      <c r="H223" s="1">
        <v>0</v>
      </c>
      <c r="I223" s="1">
        <v>46278</v>
      </c>
      <c r="J223">
        <v>46188</v>
      </c>
      <c r="K223" s="1"/>
      <c r="L223" s="7">
        <v>0</v>
      </c>
      <c r="M223" s="7">
        <v>0</v>
      </c>
      <c r="N223" s="7">
        <v>0</v>
      </c>
      <c r="O223" s="7">
        <v>0</v>
      </c>
      <c r="P223" s="7">
        <v>0</v>
      </c>
      <c r="Q223" s="7">
        <v>0</v>
      </c>
      <c r="R223" s="7">
        <v>0</v>
      </c>
      <c r="S223" s="7">
        <v>0</v>
      </c>
      <c r="T223" s="7">
        <v>0</v>
      </c>
      <c r="U223" s="7">
        <v>0</v>
      </c>
      <c r="V223" s="7">
        <v>0</v>
      </c>
      <c r="W223" s="7">
        <v>0</v>
      </c>
      <c r="X223" s="7">
        <v>0</v>
      </c>
      <c r="Y223" s="7">
        <v>0</v>
      </c>
      <c r="Z223" s="7">
        <v>0</v>
      </c>
      <c r="AA223" s="7">
        <v>0</v>
      </c>
      <c r="AB223" s="7">
        <v>0</v>
      </c>
      <c r="AC223" s="7">
        <v>0</v>
      </c>
      <c r="AD223" s="7">
        <v>0</v>
      </c>
      <c r="AE223" s="7">
        <v>0</v>
      </c>
      <c r="AF223" s="7">
        <v>0</v>
      </c>
      <c r="AG223" s="7">
        <v>0</v>
      </c>
      <c r="AH223" s="7">
        <v>0</v>
      </c>
      <c r="AI223" s="7">
        <v>0</v>
      </c>
      <c r="AJ223" s="7">
        <v>0</v>
      </c>
      <c r="AK223" s="7">
        <v>0</v>
      </c>
      <c r="AL223" s="7">
        <v>0</v>
      </c>
      <c r="AM223" s="7">
        <v>0</v>
      </c>
      <c r="AN223" s="7">
        <v>0</v>
      </c>
      <c r="AO223" s="7">
        <v>0</v>
      </c>
      <c r="AP223" s="7">
        <v>0</v>
      </c>
      <c r="AQ223" s="7">
        <v>0</v>
      </c>
      <c r="AR223" s="7">
        <v>0</v>
      </c>
      <c r="AS223" s="7">
        <v>0</v>
      </c>
      <c r="AT223" s="7">
        <v>0</v>
      </c>
      <c r="AU223" s="7">
        <v>0</v>
      </c>
      <c r="AV223" s="7">
        <v>0</v>
      </c>
      <c r="AW223" s="7">
        <v>0</v>
      </c>
      <c r="AX223" s="7">
        <v>0</v>
      </c>
      <c r="AY223" s="7">
        <v>0</v>
      </c>
      <c r="AZ223" s="7">
        <v>0</v>
      </c>
      <c r="BA223" s="7">
        <v>0</v>
      </c>
      <c r="BB223" s="7">
        <v>0</v>
      </c>
      <c r="BC223" s="7">
        <v>0</v>
      </c>
      <c r="BD223">
        <v>0</v>
      </c>
      <c r="BE223">
        <v>31.32</v>
      </c>
      <c r="BF2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3" s="42" t="str">
        <f>+IF(AVANCE[[#This Row],[FECHA INICIO REAL]]="","",AVANCE[[#This Row],[FECHA INICIO REAL]]-AVANCE[[#This Row],[FECHA INICIO TEORICO]])</f>
        <v/>
      </c>
      <c r="BH2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4" spans="1:61" x14ac:dyDescent="0.25">
      <c r="A224" t="s">
        <v>1022</v>
      </c>
      <c r="B224" t="s">
        <v>1053</v>
      </c>
      <c r="C224">
        <v>2302600223</v>
      </c>
      <c r="D224" t="s">
        <v>834</v>
      </c>
      <c r="E224" s="4">
        <v>0</v>
      </c>
      <c r="F224" s="1">
        <v>46248</v>
      </c>
      <c r="G224" s="1"/>
      <c r="H224" s="1">
        <v>0</v>
      </c>
      <c r="I224" s="1">
        <v>46278</v>
      </c>
      <c r="J224">
        <v>46188</v>
      </c>
      <c r="K224" s="1"/>
      <c r="L224" s="7">
        <v>0</v>
      </c>
      <c r="M224" s="7">
        <v>0</v>
      </c>
      <c r="N224" s="7">
        <v>0</v>
      </c>
      <c r="O224" s="7">
        <v>0</v>
      </c>
      <c r="P224" s="7">
        <v>0</v>
      </c>
      <c r="Q224" s="7">
        <v>0</v>
      </c>
      <c r="R224" s="7">
        <v>0</v>
      </c>
      <c r="S224" s="7">
        <v>0</v>
      </c>
      <c r="T224" s="7">
        <v>0</v>
      </c>
      <c r="U224" s="7">
        <v>0</v>
      </c>
      <c r="V224" s="7">
        <v>0</v>
      </c>
      <c r="W224" s="7">
        <v>0</v>
      </c>
      <c r="X224" s="7">
        <v>0</v>
      </c>
      <c r="Y224" s="7">
        <v>0</v>
      </c>
      <c r="Z224" s="7">
        <v>0</v>
      </c>
      <c r="AA224" s="7">
        <v>0</v>
      </c>
      <c r="AB224" s="7">
        <v>0</v>
      </c>
      <c r="AC224" s="7">
        <v>0</v>
      </c>
      <c r="AD224" s="7">
        <v>0</v>
      </c>
      <c r="AE224" s="7">
        <v>0</v>
      </c>
      <c r="AF224" s="7">
        <v>0</v>
      </c>
      <c r="AG224" s="7">
        <v>0</v>
      </c>
      <c r="AH224" s="7">
        <v>0</v>
      </c>
      <c r="AI224" s="7">
        <v>0</v>
      </c>
      <c r="AJ224" s="7">
        <v>0</v>
      </c>
      <c r="AK224" s="7">
        <v>0</v>
      </c>
      <c r="AL224" s="7">
        <v>0</v>
      </c>
      <c r="AM224" s="7">
        <v>0</v>
      </c>
      <c r="AN224" s="7">
        <v>0</v>
      </c>
      <c r="AO224" s="7">
        <v>0</v>
      </c>
      <c r="AP224" s="7">
        <v>0</v>
      </c>
      <c r="AQ224" s="7">
        <v>0</v>
      </c>
      <c r="AR224" s="7">
        <v>0</v>
      </c>
      <c r="AS224" s="7">
        <v>0</v>
      </c>
      <c r="AT224" s="7">
        <v>0</v>
      </c>
      <c r="AU224" s="7">
        <v>0</v>
      </c>
      <c r="AV224" s="7">
        <v>0</v>
      </c>
      <c r="AW224" s="7">
        <v>0</v>
      </c>
      <c r="AX224" s="7">
        <v>0</v>
      </c>
      <c r="AY224" s="7">
        <v>0</v>
      </c>
      <c r="AZ224" s="7">
        <v>0</v>
      </c>
      <c r="BA224" s="7">
        <v>0</v>
      </c>
      <c r="BB224" s="7">
        <v>0</v>
      </c>
      <c r="BC224" s="7">
        <v>0</v>
      </c>
      <c r="BD224">
        <v>0</v>
      </c>
      <c r="BE224">
        <v>31.32</v>
      </c>
      <c r="BF2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4" s="42" t="str">
        <f>+IF(AVANCE[[#This Row],[FECHA INICIO REAL]]="","",AVANCE[[#This Row],[FECHA INICIO REAL]]-AVANCE[[#This Row],[FECHA INICIO TEORICO]])</f>
        <v/>
      </c>
      <c r="BH2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5" spans="1:61" x14ac:dyDescent="0.25">
      <c r="A225" t="s">
        <v>1022</v>
      </c>
      <c r="B225" t="s">
        <v>1054</v>
      </c>
      <c r="C225">
        <v>2282600224</v>
      </c>
      <c r="D225" t="s">
        <v>833</v>
      </c>
      <c r="E225" s="4">
        <v>0</v>
      </c>
      <c r="F225" s="1">
        <v>46251</v>
      </c>
      <c r="G225" s="1"/>
      <c r="H225" s="1">
        <v>0</v>
      </c>
      <c r="I225" s="1">
        <v>46271</v>
      </c>
      <c r="J225">
        <v>46188</v>
      </c>
      <c r="K225" s="1"/>
      <c r="L225" s="7">
        <v>0</v>
      </c>
      <c r="M225" s="7">
        <v>0</v>
      </c>
      <c r="N225" s="7">
        <v>0</v>
      </c>
      <c r="O225" s="7">
        <v>0</v>
      </c>
      <c r="P225" s="7">
        <v>0</v>
      </c>
      <c r="Q225" s="7">
        <v>0</v>
      </c>
      <c r="R225" s="7">
        <v>0</v>
      </c>
      <c r="S225" s="7">
        <v>0</v>
      </c>
      <c r="T225" s="7">
        <v>0</v>
      </c>
      <c r="U225" s="7">
        <v>0</v>
      </c>
      <c r="V225" s="7">
        <v>0</v>
      </c>
      <c r="W225" s="7">
        <v>0</v>
      </c>
      <c r="X225" s="7">
        <v>0</v>
      </c>
      <c r="Y225" s="7">
        <v>0</v>
      </c>
      <c r="Z225" s="7">
        <v>0</v>
      </c>
      <c r="AA225" s="7">
        <v>0</v>
      </c>
      <c r="AB225" s="7">
        <v>0</v>
      </c>
      <c r="AC225" s="7">
        <v>0</v>
      </c>
      <c r="AD225" s="7">
        <v>0</v>
      </c>
      <c r="AE225" s="7">
        <v>0</v>
      </c>
      <c r="AF225" s="7">
        <v>0</v>
      </c>
      <c r="AG225" s="7">
        <v>0</v>
      </c>
      <c r="AH225" s="7">
        <v>0</v>
      </c>
      <c r="AI225" s="7">
        <v>0</v>
      </c>
      <c r="AJ225" s="7">
        <v>0</v>
      </c>
      <c r="AK225" s="7">
        <v>0</v>
      </c>
      <c r="AL225" s="7">
        <v>0</v>
      </c>
      <c r="AM225" s="7">
        <v>0</v>
      </c>
      <c r="AN225" s="7">
        <v>0</v>
      </c>
      <c r="AO225" s="7">
        <v>0</v>
      </c>
      <c r="AP225" s="7">
        <v>0</v>
      </c>
      <c r="AQ225" s="7">
        <v>0</v>
      </c>
      <c r="AR225" s="7">
        <v>0</v>
      </c>
      <c r="AS225" s="7">
        <v>0</v>
      </c>
      <c r="AT225" s="7">
        <v>0</v>
      </c>
      <c r="AU225" s="7">
        <v>0</v>
      </c>
      <c r="AV225" s="7">
        <v>0</v>
      </c>
      <c r="AW225" s="7">
        <v>0</v>
      </c>
      <c r="AX225" s="7">
        <v>0</v>
      </c>
      <c r="AY225" s="7">
        <v>0</v>
      </c>
      <c r="AZ225" s="7">
        <v>0</v>
      </c>
      <c r="BA225" s="7">
        <v>0</v>
      </c>
      <c r="BB225" s="7">
        <v>0</v>
      </c>
      <c r="BC225" s="7">
        <v>0</v>
      </c>
      <c r="BD225">
        <v>0</v>
      </c>
      <c r="BE225">
        <v>28.87</v>
      </c>
      <c r="BF2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5" s="42" t="str">
        <f>+IF(AVANCE[[#This Row],[FECHA INICIO REAL]]="","",AVANCE[[#This Row],[FECHA INICIO REAL]]-AVANCE[[#This Row],[FECHA INICIO TEORICO]])</f>
        <v/>
      </c>
      <c r="BH2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6" spans="1:61" x14ac:dyDescent="0.25">
      <c r="A226" t="s">
        <v>1055</v>
      </c>
      <c r="B226" t="s">
        <v>1056</v>
      </c>
      <c r="C226">
        <v>2282600225</v>
      </c>
      <c r="D226" t="s">
        <v>833</v>
      </c>
      <c r="E226" s="4">
        <v>0</v>
      </c>
      <c r="F226" s="1">
        <v>46251</v>
      </c>
      <c r="G226" s="1"/>
      <c r="H226" s="1">
        <v>0</v>
      </c>
      <c r="I226" s="1">
        <v>46271</v>
      </c>
      <c r="J226">
        <v>46188</v>
      </c>
      <c r="K226" s="1"/>
      <c r="L226" s="7">
        <v>0</v>
      </c>
      <c r="M226" s="7">
        <v>0</v>
      </c>
      <c r="N226" s="7">
        <v>0</v>
      </c>
      <c r="O226" s="7">
        <v>0</v>
      </c>
      <c r="P226" s="7">
        <v>0</v>
      </c>
      <c r="Q226" s="7">
        <v>0</v>
      </c>
      <c r="R226" s="7">
        <v>0</v>
      </c>
      <c r="S226" s="7">
        <v>0</v>
      </c>
      <c r="T226" s="7">
        <v>0</v>
      </c>
      <c r="U226" s="7">
        <v>0</v>
      </c>
      <c r="V226" s="7">
        <v>0</v>
      </c>
      <c r="W226" s="7">
        <v>0</v>
      </c>
      <c r="X226" s="7">
        <v>0</v>
      </c>
      <c r="Y226" s="7">
        <v>0</v>
      </c>
      <c r="Z226" s="7">
        <v>0</v>
      </c>
      <c r="AA226" s="7">
        <v>0</v>
      </c>
      <c r="AB226" s="7">
        <v>0</v>
      </c>
      <c r="AC226" s="7">
        <v>0</v>
      </c>
      <c r="AD226" s="7">
        <v>0</v>
      </c>
      <c r="AE226" s="7">
        <v>0</v>
      </c>
      <c r="AF226" s="7">
        <v>0</v>
      </c>
      <c r="AG226" s="7">
        <v>0</v>
      </c>
      <c r="AH226" s="7">
        <v>0</v>
      </c>
      <c r="AI226" s="7">
        <v>0</v>
      </c>
      <c r="AJ226" s="7">
        <v>0</v>
      </c>
      <c r="AK226" s="7">
        <v>0</v>
      </c>
      <c r="AL226" s="7">
        <v>0</v>
      </c>
      <c r="AM226" s="7">
        <v>0</v>
      </c>
      <c r="AN226" s="7">
        <v>0</v>
      </c>
      <c r="AO226" s="7">
        <v>0</v>
      </c>
      <c r="AP226" s="7">
        <v>0</v>
      </c>
      <c r="AQ226" s="7">
        <v>0</v>
      </c>
      <c r="AR226" s="7">
        <v>0</v>
      </c>
      <c r="AS226" s="7">
        <v>0</v>
      </c>
      <c r="AT226" s="7">
        <v>0</v>
      </c>
      <c r="AU226" s="7">
        <v>0</v>
      </c>
      <c r="AV226" s="7">
        <v>0</v>
      </c>
      <c r="AW226" s="7">
        <v>0</v>
      </c>
      <c r="AX226" s="7">
        <v>0</v>
      </c>
      <c r="AY226" s="7">
        <v>0</v>
      </c>
      <c r="AZ226" s="7">
        <v>0</v>
      </c>
      <c r="BA226" s="7">
        <v>0</v>
      </c>
      <c r="BB226" s="7">
        <v>0</v>
      </c>
      <c r="BC226" s="7">
        <v>0</v>
      </c>
      <c r="BD226">
        <v>0</v>
      </c>
      <c r="BE226">
        <v>28.87</v>
      </c>
      <c r="BF2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6" s="42" t="str">
        <f>+IF(AVANCE[[#This Row],[FECHA INICIO REAL]]="","",AVANCE[[#This Row],[FECHA INICIO REAL]]-AVANCE[[#This Row],[FECHA INICIO TEORICO]])</f>
        <v/>
      </c>
      <c r="BH2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7" spans="1:61" x14ac:dyDescent="0.25">
      <c r="A227" t="s">
        <v>1055</v>
      </c>
      <c r="B227" t="s">
        <v>1057</v>
      </c>
      <c r="C227">
        <v>2302600226</v>
      </c>
      <c r="D227" t="s">
        <v>834</v>
      </c>
      <c r="E227" s="4">
        <v>0</v>
      </c>
      <c r="F227" s="1">
        <v>46252</v>
      </c>
      <c r="G227" s="1"/>
      <c r="H227" s="1">
        <v>0</v>
      </c>
      <c r="I227" s="1">
        <v>46282</v>
      </c>
      <c r="J227">
        <v>46188</v>
      </c>
      <c r="K227" s="1"/>
      <c r="L227" s="7">
        <v>0</v>
      </c>
      <c r="M227" s="7">
        <v>0</v>
      </c>
      <c r="N227" s="7">
        <v>0</v>
      </c>
      <c r="O227" s="7">
        <v>0</v>
      </c>
      <c r="P227" s="7">
        <v>0</v>
      </c>
      <c r="Q227" s="7">
        <v>0</v>
      </c>
      <c r="R227" s="7">
        <v>0</v>
      </c>
      <c r="S227" s="7">
        <v>0</v>
      </c>
      <c r="T227" s="7">
        <v>0</v>
      </c>
      <c r="U227" s="7">
        <v>0</v>
      </c>
      <c r="V227" s="7">
        <v>0</v>
      </c>
      <c r="W227" s="7">
        <v>0</v>
      </c>
      <c r="X227" s="7">
        <v>0</v>
      </c>
      <c r="Y227" s="7">
        <v>0</v>
      </c>
      <c r="Z227" s="7">
        <v>0</v>
      </c>
      <c r="AA227" s="7">
        <v>0</v>
      </c>
      <c r="AB227" s="7">
        <v>0</v>
      </c>
      <c r="AC227" s="7">
        <v>0</v>
      </c>
      <c r="AD227" s="7">
        <v>0</v>
      </c>
      <c r="AE227" s="7">
        <v>0</v>
      </c>
      <c r="AF227" s="7">
        <v>0</v>
      </c>
      <c r="AG227" s="7">
        <v>0</v>
      </c>
      <c r="AH227" s="7">
        <v>0</v>
      </c>
      <c r="AI227" s="7">
        <v>0</v>
      </c>
      <c r="AJ227" s="7">
        <v>0</v>
      </c>
      <c r="AK227" s="7">
        <v>0</v>
      </c>
      <c r="AL227" s="7">
        <v>0</v>
      </c>
      <c r="AM227" s="7">
        <v>0</v>
      </c>
      <c r="AN227" s="7">
        <v>0</v>
      </c>
      <c r="AO227" s="7">
        <v>0</v>
      </c>
      <c r="AP227" s="7">
        <v>0</v>
      </c>
      <c r="AQ227" s="7">
        <v>0</v>
      </c>
      <c r="AR227" s="7">
        <v>0</v>
      </c>
      <c r="AS227" s="7">
        <v>0</v>
      </c>
      <c r="AT227" s="7">
        <v>0</v>
      </c>
      <c r="AU227" s="7">
        <v>0</v>
      </c>
      <c r="AV227" s="7">
        <v>0</v>
      </c>
      <c r="AW227" s="7">
        <v>0</v>
      </c>
      <c r="AX227" s="7">
        <v>0</v>
      </c>
      <c r="AY227" s="7">
        <v>0</v>
      </c>
      <c r="AZ227" s="7">
        <v>0</v>
      </c>
      <c r="BA227" s="7">
        <v>0</v>
      </c>
      <c r="BB227" s="7">
        <v>0</v>
      </c>
      <c r="BC227" s="7">
        <v>0</v>
      </c>
      <c r="BD227">
        <v>0</v>
      </c>
      <c r="BE227">
        <v>31.32</v>
      </c>
      <c r="BF2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7" s="42" t="str">
        <f>+IF(AVANCE[[#This Row],[FECHA INICIO REAL]]="","",AVANCE[[#This Row],[FECHA INICIO REAL]]-AVANCE[[#This Row],[FECHA INICIO TEORICO]])</f>
        <v/>
      </c>
      <c r="BH2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8" spans="1:61" x14ac:dyDescent="0.25">
      <c r="A228" t="s">
        <v>1055</v>
      </c>
      <c r="B228" t="s">
        <v>1058</v>
      </c>
      <c r="C228">
        <v>2302600227</v>
      </c>
      <c r="D228" t="s">
        <v>834</v>
      </c>
      <c r="E228" s="4">
        <v>0</v>
      </c>
      <c r="F228" s="1">
        <v>46252</v>
      </c>
      <c r="G228" s="1"/>
      <c r="H228" s="1">
        <v>0</v>
      </c>
      <c r="I228" s="1">
        <v>46282</v>
      </c>
      <c r="J228">
        <v>46188</v>
      </c>
      <c r="K228" s="1"/>
      <c r="L228" s="7">
        <v>0</v>
      </c>
      <c r="M228" s="7">
        <v>0</v>
      </c>
      <c r="N228" s="7">
        <v>0</v>
      </c>
      <c r="O228" s="7">
        <v>0</v>
      </c>
      <c r="P228" s="7">
        <v>0</v>
      </c>
      <c r="Q228" s="7">
        <v>0</v>
      </c>
      <c r="R228" s="7">
        <v>0</v>
      </c>
      <c r="S228" s="7">
        <v>0</v>
      </c>
      <c r="T228" s="7">
        <v>0</v>
      </c>
      <c r="U228" s="7">
        <v>0</v>
      </c>
      <c r="V228" s="7">
        <v>0</v>
      </c>
      <c r="W228" s="7">
        <v>0</v>
      </c>
      <c r="X228" s="7">
        <v>0</v>
      </c>
      <c r="Y228" s="7">
        <v>0</v>
      </c>
      <c r="Z228" s="7">
        <v>0</v>
      </c>
      <c r="AA228" s="7">
        <v>0</v>
      </c>
      <c r="AB228" s="7">
        <v>0</v>
      </c>
      <c r="AC228" s="7">
        <v>0</v>
      </c>
      <c r="AD228" s="7">
        <v>0</v>
      </c>
      <c r="AE228" s="7">
        <v>0</v>
      </c>
      <c r="AF228" s="7">
        <v>0</v>
      </c>
      <c r="AG228" s="7">
        <v>0</v>
      </c>
      <c r="AH228" s="7">
        <v>0</v>
      </c>
      <c r="AI228" s="7">
        <v>0</v>
      </c>
      <c r="AJ228" s="7">
        <v>0</v>
      </c>
      <c r="AK228" s="7">
        <v>0</v>
      </c>
      <c r="AL228" s="7">
        <v>0</v>
      </c>
      <c r="AM228" s="7">
        <v>0</v>
      </c>
      <c r="AN228" s="7">
        <v>0</v>
      </c>
      <c r="AO228" s="7">
        <v>0</v>
      </c>
      <c r="AP228" s="7">
        <v>0</v>
      </c>
      <c r="AQ228" s="7">
        <v>0</v>
      </c>
      <c r="AR228" s="7">
        <v>0</v>
      </c>
      <c r="AS228" s="7">
        <v>0</v>
      </c>
      <c r="AT228" s="7">
        <v>0</v>
      </c>
      <c r="AU228" s="7">
        <v>0</v>
      </c>
      <c r="AV228" s="7">
        <v>0</v>
      </c>
      <c r="AW228" s="7">
        <v>0</v>
      </c>
      <c r="AX228" s="7">
        <v>0</v>
      </c>
      <c r="AY228" s="7">
        <v>0</v>
      </c>
      <c r="AZ228" s="7">
        <v>0</v>
      </c>
      <c r="BA228" s="7">
        <v>0</v>
      </c>
      <c r="BB228" s="7">
        <v>0</v>
      </c>
      <c r="BC228" s="7">
        <v>0</v>
      </c>
      <c r="BD228">
        <v>0</v>
      </c>
      <c r="BE228">
        <v>31.32</v>
      </c>
      <c r="BF2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8" s="42" t="str">
        <f>+IF(AVANCE[[#This Row],[FECHA INICIO REAL]]="","",AVANCE[[#This Row],[FECHA INICIO REAL]]-AVANCE[[#This Row],[FECHA INICIO TEORICO]])</f>
        <v/>
      </c>
      <c r="BH2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9" spans="1:61" x14ac:dyDescent="0.25">
      <c r="A229" t="s">
        <v>1055</v>
      </c>
      <c r="B229" t="s">
        <v>1059</v>
      </c>
      <c r="C229">
        <v>2282600228</v>
      </c>
      <c r="D229" t="s">
        <v>833</v>
      </c>
      <c r="E229" s="4">
        <v>0</v>
      </c>
      <c r="F229" s="1">
        <v>46252</v>
      </c>
      <c r="G229" s="1"/>
      <c r="H229" s="1">
        <v>0</v>
      </c>
      <c r="I229" s="1">
        <v>46272</v>
      </c>
      <c r="J229">
        <v>46188</v>
      </c>
      <c r="K229" s="1"/>
      <c r="L229" s="7">
        <v>0</v>
      </c>
      <c r="M229" s="7">
        <v>0</v>
      </c>
      <c r="N229" s="7">
        <v>0</v>
      </c>
      <c r="O229" s="7">
        <v>0</v>
      </c>
      <c r="P229" s="7">
        <v>0</v>
      </c>
      <c r="Q229" s="7">
        <v>0</v>
      </c>
      <c r="R229" s="7">
        <v>0</v>
      </c>
      <c r="S229" s="7">
        <v>0</v>
      </c>
      <c r="T229" s="7">
        <v>0</v>
      </c>
      <c r="U229" s="7">
        <v>0</v>
      </c>
      <c r="V229" s="7">
        <v>0</v>
      </c>
      <c r="W229" s="7">
        <v>0</v>
      </c>
      <c r="X229" s="7">
        <v>0</v>
      </c>
      <c r="Y229" s="7">
        <v>0</v>
      </c>
      <c r="Z229" s="7">
        <v>0</v>
      </c>
      <c r="AA229" s="7">
        <v>0</v>
      </c>
      <c r="AB229" s="7">
        <v>0</v>
      </c>
      <c r="AC229" s="7">
        <v>0</v>
      </c>
      <c r="AD229" s="7">
        <v>0</v>
      </c>
      <c r="AE229" s="7">
        <v>0</v>
      </c>
      <c r="AF229" s="7">
        <v>0</v>
      </c>
      <c r="AG229" s="7">
        <v>0</v>
      </c>
      <c r="AH229" s="7">
        <v>0</v>
      </c>
      <c r="AI229" s="7">
        <v>0</v>
      </c>
      <c r="AJ229" s="7">
        <v>0</v>
      </c>
      <c r="AK229" s="7">
        <v>0</v>
      </c>
      <c r="AL229" s="7">
        <v>0</v>
      </c>
      <c r="AM229" s="7">
        <v>0</v>
      </c>
      <c r="AN229" s="7">
        <v>0</v>
      </c>
      <c r="AO229" s="7">
        <v>0</v>
      </c>
      <c r="AP229" s="7">
        <v>0</v>
      </c>
      <c r="AQ229" s="7">
        <v>0</v>
      </c>
      <c r="AR229" s="7">
        <v>0</v>
      </c>
      <c r="AS229" s="7">
        <v>0</v>
      </c>
      <c r="AT229" s="7">
        <v>0</v>
      </c>
      <c r="AU229" s="7">
        <v>0</v>
      </c>
      <c r="AV229" s="7">
        <v>0</v>
      </c>
      <c r="AW229" s="7">
        <v>0</v>
      </c>
      <c r="AX229" s="7">
        <v>0</v>
      </c>
      <c r="AY229" s="7">
        <v>0</v>
      </c>
      <c r="AZ229" s="7">
        <v>0</v>
      </c>
      <c r="BA229" s="7">
        <v>0</v>
      </c>
      <c r="BB229" s="7">
        <v>0</v>
      </c>
      <c r="BC229" s="7">
        <v>0</v>
      </c>
      <c r="BD229">
        <v>0</v>
      </c>
      <c r="BE229">
        <v>28.87</v>
      </c>
      <c r="BF2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9" s="42" t="str">
        <f>+IF(AVANCE[[#This Row],[FECHA INICIO REAL]]="","",AVANCE[[#This Row],[FECHA INICIO REAL]]-AVANCE[[#This Row],[FECHA INICIO TEORICO]])</f>
        <v/>
      </c>
      <c r="BH2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0" spans="1:61" x14ac:dyDescent="0.25">
      <c r="A230" t="s">
        <v>1055</v>
      </c>
      <c r="B230" t="s">
        <v>1060</v>
      </c>
      <c r="C230">
        <v>2282600229</v>
      </c>
      <c r="D230" t="s">
        <v>833</v>
      </c>
      <c r="E230" s="4">
        <v>0</v>
      </c>
      <c r="F230" s="1">
        <v>46253</v>
      </c>
      <c r="G230" s="1"/>
      <c r="H230" s="1">
        <v>0</v>
      </c>
      <c r="I230" s="1">
        <v>46273</v>
      </c>
      <c r="J230">
        <v>46188</v>
      </c>
      <c r="K230" s="1"/>
      <c r="L230" s="7">
        <v>0</v>
      </c>
      <c r="M230" s="7">
        <v>0</v>
      </c>
      <c r="N230" s="7">
        <v>0</v>
      </c>
      <c r="O230" s="7">
        <v>0</v>
      </c>
      <c r="P230" s="7">
        <v>0</v>
      </c>
      <c r="Q230" s="7">
        <v>0</v>
      </c>
      <c r="R230" s="7">
        <v>0</v>
      </c>
      <c r="S230" s="7">
        <v>0</v>
      </c>
      <c r="T230" s="7">
        <v>0</v>
      </c>
      <c r="U230" s="7">
        <v>0</v>
      </c>
      <c r="V230" s="7">
        <v>0</v>
      </c>
      <c r="W230" s="7">
        <v>0</v>
      </c>
      <c r="X230" s="7">
        <v>0</v>
      </c>
      <c r="Y230" s="7">
        <v>0</v>
      </c>
      <c r="Z230" s="7">
        <v>0</v>
      </c>
      <c r="AA230" s="7">
        <v>0</v>
      </c>
      <c r="AB230" s="7">
        <v>0</v>
      </c>
      <c r="AC230" s="7">
        <v>0</v>
      </c>
      <c r="AD230" s="7">
        <v>0</v>
      </c>
      <c r="AE230" s="7">
        <v>0</v>
      </c>
      <c r="AF230" s="7">
        <v>0</v>
      </c>
      <c r="AG230" s="7">
        <v>0</v>
      </c>
      <c r="AH230" s="7">
        <v>0</v>
      </c>
      <c r="AI230" s="7">
        <v>0</v>
      </c>
      <c r="AJ230" s="7">
        <v>0</v>
      </c>
      <c r="AK230" s="7">
        <v>0</v>
      </c>
      <c r="AL230" s="7">
        <v>0</v>
      </c>
      <c r="AM230" s="7">
        <v>0</v>
      </c>
      <c r="AN230" s="7">
        <v>0</v>
      </c>
      <c r="AO230" s="7">
        <v>0</v>
      </c>
      <c r="AP230" s="7">
        <v>0</v>
      </c>
      <c r="AQ230" s="7">
        <v>0</v>
      </c>
      <c r="AR230" s="7">
        <v>0</v>
      </c>
      <c r="AS230" s="7">
        <v>0</v>
      </c>
      <c r="AT230" s="7">
        <v>0</v>
      </c>
      <c r="AU230" s="7">
        <v>0</v>
      </c>
      <c r="AV230" s="7">
        <v>0</v>
      </c>
      <c r="AW230" s="7">
        <v>0</v>
      </c>
      <c r="AX230" s="7">
        <v>0</v>
      </c>
      <c r="AY230" s="7">
        <v>0</v>
      </c>
      <c r="AZ230" s="7">
        <v>0</v>
      </c>
      <c r="BA230" s="7">
        <v>0</v>
      </c>
      <c r="BB230" s="7">
        <v>0</v>
      </c>
      <c r="BC230" s="7">
        <v>0</v>
      </c>
      <c r="BD230">
        <v>0</v>
      </c>
      <c r="BE230">
        <v>28.87</v>
      </c>
      <c r="BF2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0" s="42" t="str">
        <f>+IF(AVANCE[[#This Row],[FECHA INICIO REAL]]="","",AVANCE[[#This Row],[FECHA INICIO REAL]]-AVANCE[[#This Row],[FECHA INICIO TEORICO]])</f>
        <v/>
      </c>
      <c r="BH2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1" spans="1:61" x14ac:dyDescent="0.25">
      <c r="A231" t="s">
        <v>1055</v>
      </c>
      <c r="B231" t="s">
        <v>1061</v>
      </c>
      <c r="C231">
        <v>2302600230</v>
      </c>
      <c r="D231" t="s">
        <v>834</v>
      </c>
      <c r="E231" s="4">
        <v>0</v>
      </c>
      <c r="F231" s="1">
        <v>46253</v>
      </c>
      <c r="G231" s="1"/>
      <c r="H231" s="1">
        <v>0</v>
      </c>
      <c r="I231" s="1">
        <v>46283</v>
      </c>
      <c r="J231">
        <v>46188</v>
      </c>
      <c r="K231" s="1"/>
      <c r="L231" s="7">
        <v>0</v>
      </c>
      <c r="M231" s="7">
        <v>0</v>
      </c>
      <c r="N231" s="7">
        <v>0</v>
      </c>
      <c r="O231" s="7">
        <v>0</v>
      </c>
      <c r="P231" s="7">
        <v>0</v>
      </c>
      <c r="Q231" s="7">
        <v>0</v>
      </c>
      <c r="R231" s="7">
        <v>0</v>
      </c>
      <c r="S231" s="7">
        <v>0</v>
      </c>
      <c r="T231" s="7">
        <v>0</v>
      </c>
      <c r="U231" s="7">
        <v>0</v>
      </c>
      <c r="V231" s="7">
        <v>0</v>
      </c>
      <c r="W231" s="7">
        <v>0</v>
      </c>
      <c r="X231" s="7">
        <v>0</v>
      </c>
      <c r="Y231" s="7">
        <v>0</v>
      </c>
      <c r="Z231" s="7">
        <v>0</v>
      </c>
      <c r="AA231" s="7">
        <v>0</v>
      </c>
      <c r="AB231" s="7">
        <v>0</v>
      </c>
      <c r="AC231" s="7">
        <v>0</v>
      </c>
      <c r="AD231" s="7">
        <v>0</v>
      </c>
      <c r="AE231" s="7">
        <v>0</v>
      </c>
      <c r="AF231" s="7">
        <v>0</v>
      </c>
      <c r="AG231" s="7">
        <v>0</v>
      </c>
      <c r="AH231" s="7">
        <v>0</v>
      </c>
      <c r="AI231" s="7">
        <v>0</v>
      </c>
      <c r="AJ231" s="7">
        <v>0</v>
      </c>
      <c r="AK231" s="7">
        <v>0</v>
      </c>
      <c r="AL231" s="7">
        <v>0</v>
      </c>
      <c r="AM231" s="7">
        <v>0</v>
      </c>
      <c r="AN231" s="7">
        <v>0</v>
      </c>
      <c r="AO231" s="7">
        <v>0</v>
      </c>
      <c r="AP231" s="7">
        <v>0</v>
      </c>
      <c r="AQ231" s="7">
        <v>0</v>
      </c>
      <c r="AR231" s="7">
        <v>0</v>
      </c>
      <c r="AS231" s="7">
        <v>0</v>
      </c>
      <c r="AT231" s="7">
        <v>0</v>
      </c>
      <c r="AU231" s="7">
        <v>0</v>
      </c>
      <c r="AV231" s="7">
        <v>0</v>
      </c>
      <c r="AW231" s="7">
        <v>0</v>
      </c>
      <c r="AX231" s="7">
        <v>0</v>
      </c>
      <c r="AY231" s="7">
        <v>0</v>
      </c>
      <c r="AZ231" s="7">
        <v>0</v>
      </c>
      <c r="BA231" s="7">
        <v>0</v>
      </c>
      <c r="BB231" s="7">
        <v>0</v>
      </c>
      <c r="BC231" s="7">
        <v>0</v>
      </c>
      <c r="BD231">
        <v>0</v>
      </c>
      <c r="BE231">
        <v>31.32</v>
      </c>
      <c r="BF2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1" s="42" t="str">
        <f>+IF(AVANCE[[#This Row],[FECHA INICIO REAL]]="","",AVANCE[[#This Row],[FECHA INICIO REAL]]-AVANCE[[#This Row],[FECHA INICIO TEORICO]])</f>
        <v/>
      </c>
      <c r="BH2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2" spans="1:61" x14ac:dyDescent="0.25">
      <c r="A232" t="s">
        <v>1055</v>
      </c>
      <c r="B232" t="s">
        <v>1062</v>
      </c>
      <c r="C232">
        <v>2302600231</v>
      </c>
      <c r="D232" t="s">
        <v>834</v>
      </c>
      <c r="E232" s="4">
        <v>0</v>
      </c>
      <c r="F232" s="1">
        <v>46254</v>
      </c>
      <c r="G232" s="1"/>
      <c r="H232" s="1">
        <v>0</v>
      </c>
      <c r="I232" s="1">
        <v>46284</v>
      </c>
      <c r="J232">
        <v>46188</v>
      </c>
      <c r="K232" s="1"/>
      <c r="L232" s="7">
        <v>0</v>
      </c>
      <c r="M232" s="7">
        <v>0</v>
      </c>
      <c r="N232" s="7">
        <v>0</v>
      </c>
      <c r="O232" s="7">
        <v>0</v>
      </c>
      <c r="P232" s="7">
        <v>0</v>
      </c>
      <c r="Q232" s="7">
        <v>0</v>
      </c>
      <c r="R232" s="7">
        <v>0</v>
      </c>
      <c r="S232" s="7">
        <v>0</v>
      </c>
      <c r="T232" s="7">
        <v>0</v>
      </c>
      <c r="U232" s="7">
        <v>0</v>
      </c>
      <c r="V232" s="7">
        <v>0</v>
      </c>
      <c r="W232" s="7">
        <v>0</v>
      </c>
      <c r="X232" s="7">
        <v>0</v>
      </c>
      <c r="Y232" s="7">
        <v>0</v>
      </c>
      <c r="Z232" s="7">
        <v>0</v>
      </c>
      <c r="AA232" s="7">
        <v>0</v>
      </c>
      <c r="AB232" s="7">
        <v>0</v>
      </c>
      <c r="AC232" s="7">
        <v>0</v>
      </c>
      <c r="AD232" s="7">
        <v>0</v>
      </c>
      <c r="AE232" s="7">
        <v>0</v>
      </c>
      <c r="AF232" s="7">
        <v>0</v>
      </c>
      <c r="AG232" s="7">
        <v>0</v>
      </c>
      <c r="AH232" s="7">
        <v>0</v>
      </c>
      <c r="AI232" s="7">
        <v>0</v>
      </c>
      <c r="AJ232" s="7">
        <v>0</v>
      </c>
      <c r="AK232" s="7">
        <v>0</v>
      </c>
      <c r="AL232" s="7">
        <v>0</v>
      </c>
      <c r="AM232" s="7">
        <v>0</v>
      </c>
      <c r="AN232" s="7">
        <v>0</v>
      </c>
      <c r="AO232" s="7">
        <v>0</v>
      </c>
      <c r="AP232" s="7">
        <v>0</v>
      </c>
      <c r="AQ232" s="7">
        <v>0</v>
      </c>
      <c r="AR232" s="7">
        <v>0</v>
      </c>
      <c r="AS232" s="7">
        <v>0</v>
      </c>
      <c r="AT232" s="7">
        <v>0</v>
      </c>
      <c r="AU232" s="7">
        <v>0</v>
      </c>
      <c r="AV232" s="7">
        <v>0</v>
      </c>
      <c r="AW232" s="7">
        <v>0</v>
      </c>
      <c r="AX232" s="7">
        <v>0</v>
      </c>
      <c r="AY232" s="7">
        <v>0</v>
      </c>
      <c r="AZ232" s="7">
        <v>0</v>
      </c>
      <c r="BA232" s="7">
        <v>0</v>
      </c>
      <c r="BB232" s="7">
        <v>0</v>
      </c>
      <c r="BC232" s="7">
        <v>0</v>
      </c>
      <c r="BD232">
        <v>0</v>
      </c>
      <c r="BE232">
        <v>31.32</v>
      </c>
      <c r="BF2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2" s="42" t="str">
        <f>+IF(AVANCE[[#This Row],[FECHA INICIO REAL]]="","",AVANCE[[#This Row],[FECHA INICIO REAL]]-AVANCE[[#This Row],[FECHA INICIO TEORICO]])</f>
        <v/>
      </c>
      <c r="BH2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3" spans="1:61" x14ac:dyDescent="0.25">
      <c r="A233" t="s">
        <v>1055</v>
      </c>
      <c r="B233" t="s">
        <v>1063</v>
      </c>
      <c r="C233">
        <v>2282600232</v>
      </c>
      <c r="D233" t="s">
        <v>833</v>
      </c>
      <c r="E233" s="4">
        <v>0</v>
      </c>
      <c r="F233" s="1">
        <v>46254</v>
      </c>
      <c r="G233" s="1"/>
      <c r="H233" s="1">
        <v>0</v>
      </c>
      <c r="I233" s="1">
        <v>46274</v>
      </c>
      <c r="J233">
        <v>46188</v>
      </c>
      <c r="K233" s="1"/>
      <c r="L233" s="7">
        <v>0</v>
      </c>
      <c r="M233" s="7">
        <v>0</v>
      </c>
      <c r="N233" s="7">
        <v>0</v>
      </c>
      <c r="O233" s="7">
        <v>0</v>
      </c>
      <c r="P233" s="7">
        <v>0</v>
      </c>
      <c r="Q233" s="7">
        <v>0</v>
      </c>
      <c r="R233" s="7">
        <v>0</v>
      </c>
      <c r="S233" s="7">
        <v>0</v>
      </c>
      <c r="T233" s="7">
        <v>0</v>
      </c>
      <c r="U233" s="7">
        <v>0</v>
      </c>
      <c r="V233" s="7">
        <v>0</v>
      </c>
      <c r="W233" s="7">
        <v>0</v>
      </c>
      <c r="X233" s="7">
        <v>0</v>
      </c>
      <c r="Y233" s="7">
        <v>0</v>
      </c>
      <c r="Z233" s="7">
        <v>0</v>
      </c>
      <c r="AA233" s="7">
        <v>0</v>
      </c>
      <c r="AB233" s="7">
        <v>0</v>
      </c>
      <c r="AC233" s="7">
        <v>0</v>
      </c>
      <c r="AD233" s="7">
        <v>0</v>
      </c>
      <c r="AE233" s="7">
        <v>0</v>
      </c>
      <c r="AF233" s="7">
        <v>0</v>
      </c>
      <c r="AG233" s="7">
        <v>0</v>
      </c>
      <c r="AH233" s="7">
        <v>0</v>
      </c>
      <c r="AI233" s="7">
        <v>0</v>
      </c>
      <c r="AJ233" s="7">
        <v>0</v>
      </c>
      <c r="AK233" s="7">
        <v>0</v>
      </c>
      <c r="AL233" s="7">
        <v>0</v>
      </c>
      <c r="AM233" s="7">
        <v>0</v>
      </c>
      <c r="AN233" s="7">
        <v>0</v>
      </c>
      <c r="AO233" s="7">
        <v>0</v>
      </c>
      <c r="AP233" s="7">
        <v>0</v>
      </c>
      <c r="AQ233" s="7">
        <v>0</v>
      </c>
      <c r="AR233" s="7">
        <v>0</v>
      </c>
      <c r="AS233" s="7">
        <v>0</v>
      </c>
      <c r="AT233" s="7">
        <v>0</v>
      </c>
      <c r="AU233" s="7">
        <v>0</v>
      </c>
      <c r="AV233" s="7">
        <v>0</v>
      </c>
      <c r="AW233" s="7">
        <v>0</v>
      </c>
      <c r="AX233" s="7">
        <v>0</v>
      </c>
      <c r="AY233" s="7">
        <v>0</v>
      </c>
      <c r="AZ233" s="7">
        <v>0</v>
      </c>
      <c r="BA233" s="7">
        <v>0</v>
      </c>
      <c r="BB233" s="7">
        <v>0</v>
      </c>
      <c r="BC233" s="7">
        <v>0</v>
      </c>
      <c r="BD233">
        <v>0</v>
      </c>
      <c r="BE233">
        <v>28.87</v>
      </c>
      <c r="BF2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3" s="42" t="str">
        <f>+IF(AVANCE[[#This Row],[FECHA INICIO REAL]]="","",AVANCE[[#This Row],[FECHA INICIO REAL]]-AVANCE[[#This Row],[FECHA INICIO TEORICO]])</f>
        <v/>
      </c>
      <c r="BH2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4" spans="1:61" x14ac:dyDescent="0.25">
      <c r="A234" t="s">
        <v>1055</v>
      </c>
      <c r="B234" t="s">
        <v>1064</v>
      </c>
      <c r="C234">
        <v>2282600233</v>
      </c>
      <c r="D234" t="s">
        <v>833</v>
      </c>
      <c r="E234" s="4">
        <v>0</v>
      </c>
      <c r="F234" s="1">
        <v>46254</v>
      </c>
      <c r="G234" s="1"/>
      <c r="H234" s="1">
        <v>0</v>
      </c>
      <c r="I234" s="1">
        <v>46274</v>
      </c>
      <c r="J234">
        <v>46188</v>
      </c>
      <c r="K234" s="1"/>
      <c r="L234" s="7">
        <v>0</v>
      </c>
      <c r="M234" s="7">
        <v>0</v>
      </c>
      <c r="N234" s="7">
        <v>0</v>
      </c>
      <c r="O234" s="7">
        <v>0</v>
      </c>
      <c r="P234" s="7">
        <v>0</v>
      </c>
      <c r="Q234" s="7">
        <v>0</v>
      </c>
      <c r="R234" s="7">
        <v>0</v>
      </c>
      <c r="S234" s="7">
        <v>0</v>
      </c>
      <c r="T234" s="7">
        <v>0</v>
      </c>
      <c r="U234" s="7">
        <v>0</v>
      </c>
      <c r="V234" s="7">
        <v>0</v>
      </c>
      <c r="W234" s="7">
        <v>0</v>
      </c>
      <c r="X234" s="7">
        <v>0</v>
      </c>
      <c r="Y234" s="7">
        <v>0</v>
      </c>
      <c r="Z234" s="7">
        <v>0</v>
      </c>
      <c r="AA234" s="7">
        <v>0</v>
      </c>
      <c r="AB234" s="7">
        <v>0</v>
      </c>
      <c r="AC234" s="7">
        <v>0</v>
      </c>
      <c r="AD234" s="7">
        <v>0</v>
      </c>
      <c r="AE234" s="7">
        <v>0</v>
      </c>
      <c r="AF234" s="7">
        <v>0</v>
      </c>
      <c r="AG234" s="7">
        <v>0</v>
      </c>
      <c r="AH234" s="7">
        <v>0</v>
      </c>
      <c r="AI234" s="7">
        <v>0</v>
      </c>
      <c r="AJ234" s="7">
        <v>0</v>
      </c>
      <c r="AK234" s="7">
        <v>0</v>
      </c>
      <c r="AL234" s="7">
        <v>0</v>
      </c>
      <c r="AM234" s="7">
        <v>0</v>
      </c>
      <c r="AN234" s="7">
        <v>0</v>
      </c>
      <c r="AO234" s="7">
        <v>0</v>
      </c>
      <c r="AP234" s="7">
        <v>0</v>
      </c>
      <c r="AQ234" s="7">
        <v>0</v>
      </c>
      <c r="AR234" s="7">
        <v>0</v>
      </c>
      <c r="AS234" s="7">
        <v>0</v>
      </c>
      <c r="AT234" s="7">
        <v>0</v>
      </c>
      <c r="AU234" s="7">
        <v>0</v>
      </c>
      <c r="AV234" s="7">
        <v>0</v>
      </c>
      <c r="AW234" s="7">
        <v>0</v>
      </c>
      <c r="AX234" s="7">
        <v>0</v>
      </c>
      <c r="AY234" s="7">
        <v>0</v>
      </c>
      <c r="AZ234" s="7">
        <v>0</v>
      </c>
      <c r="BA234" s="7">
        <v>0</v>
      </c>
      <c r="BB234" s="7">
        <v>0</v>
      </c>
      <c r="BC234" s="7">
        <v>0</v>
      </c>
      <c r="BD234">
        <v>0</v>
      </c>
      <c r="BE234">
        <v>28.87</v>
      </c>
      <c r="BF2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4" s="42" t="str">
        <f>+IF(AVANCE[[#This Row],[FECHA INICIO REAL]]="","",AVANCE[[#This Row],[FECHA INICIO REAL]]-AVANCE[[#This Row],[FECHA INICIO TEORICO]])</f>
        <v/>
      </c>
      <c r="BH2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5" spans="1:61" x14ac:dyDescent="0.25">
      <c r="A235" t="s">
        <v>1055</v>
      </c>
      <c r="B235" t="s">
        <v>1065</v>
      </c>
      <c r="C235">
        <v>2302600234</v>
      </c>
      <c r="D235" t="s">
        <v>834</v>
      </c>
      <c r="E235" s="4">
        <v>0</v>
      </c>
      <c r="F235" s="1">
        <v>46255</v>
      </c>
      <c r="G235" s="1"/>
      <c r="H235" s="1">
        <v>0</v>
      </c>
      <c r="I235" s="1">
        <v>46285</v>
      </c>
      <c r="J235">
        <v>46188</v>
      </c>
      <c r="K235" s="1"/>
      <c r="L235" s="7">
        <v>0</v>
      </c>
      <c r="M235" s="7">
        <v>0</v>
      </c>
      <c r="N235" s="7">
        <v>0</v>
      </c>
      <c r="O235" s="7">
        <v>0</v>
      </c>
      <c r="P235" s="7">
        <v>0</v>
      </c>
      <c r="Q235" s="7">
        <v>0</v>
      </c>
      <c r="R235" s="7">
        <v>0</v>
      </c>
      <c r="S235" s="7">
        <v>0</v>
      </c>
      <c r="T235" s="7">
        <v>0</v>
      </c>
      <c r="U235" s="7">
        <v>0</v>
      </c>
      <c r="V235" s="7">
        <v>0</v>
      </c>
      <c r="W235" s="7">
        <v>0</v>
      </c>
      <c r="X235" s="7">
        <v>0</v>
      </c>
      <c r="Y235" s="7">
        <v>0</v>
      </c>
      <c r="Z235" s="7">
        <v>0</v>
      </c>
      <c r="AA235" s="7">
        <v>0</v>
      </c>
      <c r="AB235" s="7">
        <v>0</v>
      </c>
      <c r="AC235" s="7">
        <v>0</v>
      </c>
      <c r="AD235" s="7">
        <v>0</v>
      </c>
      <c r="AE235" s="7">
        <v>0</v>
      </c>
      <c r="AF235" s="7">
        <v>0</v>
      </c>
      <c r="AG235" s="7">
        <v>0</v>
      </c>
      <c r="AH235" s="7">
        <v>0</v>
      </c>
      <c r="AI235" s="7">
        <v>0</v>
      </c>
      <c r="AJ235" s="7">
        <v>0</v>
      </c>
      <c r="AK235" s="7">
        <v>0</v>
      </c>
      <c r="AL235" s="7">
        <v>0</v>
      </c>
      <c r="AM235" s="7">
        <v>0</v>
      </c>
      <c r="AN235" s="7">
        <v>0</v>
      </c>
      <c r="AO235" s="7">
        <v>0</v>
      </c>
      <c r="AP235" s="7">
        <v>0</v>
      </c>
      <c r="AQ235" s="7">
        <v>0</v>
      </c>
      <c r="AR235" s="7">
        <v>0</v>
      </c>
      <c r="AS235" s="7">
        <v>0</v>
      </c>
      <c r="AT235" s="7">
        <v>0</v>
      </c>
      <c r="AU235" s="7">
        <v>0</v>
      </c>
      <c r="AV235" s="7">
        <v>0</v>
      </c>
      <c r="AW235" s="7">
        <v>0</v>
      </c>
      <c r="AX235" s="7">
        <v>0</v>
      </c>
      <c r="AY235" s="7">
        <v>0</v>
      </c>
      <c r="AZ235" s="7">
        <v>0</v>
      </c>
      <c r="BA235" s="7">
        <v>0</v>
      </c>
      <c r="BB235" s="7">
        <v>0</v>
      </c>
      <c r="BC235" s="7">
        <v>0</v>
      </c>
      <c r="BD235">
        <v>0</v>
      </c>
      <c r="BE235">
        <v>31.32</v>
      </c>
      <c r="BF2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5" s="42" t="str">
        <f>+IF(AVANCE[[#This Row],[FECHA INICIO REAL]]="","",AVANCE[[#This Row],[FECHA INICIO REAL]]-AVANCE[[#This Row],[FECHA INICIO TEORICO]])</f>
        <v/>
      </c>
      <c r="BH2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6" spans="1:61" x14ac:dyDescent="0.25">
      <c r="A236" t="s">
        <v>1055</v>
      </c>
      <c r="B236" t="s">
        <v>1066</v>
      </c>
      <c r="C236">
        <v>2302600235</v>
      </c>
      <c r="D236" t="s">
        <v>834</v>
      </c>
      <c r="E236" s="4">
        <v>0</v>
      </c>
      <c r="F236" s="1">
        <v>46255</v>
      </c>
      <c r="G236" s="1"/>
      <c r="H236" s="1">
        <v>0</v>
      </c>
      <c r="I236" s="1">
        <v>46285</v>
      </c>
      <c r="J236">
        <v>46188</v>
      </c>
      <c r="K236" s="1"/>
      <c r="L236" s="7">
        <v>0</v>
      </c>
      <c r="M236" s="7">
        <v>0</v>
      </c>
      <c r="N236" s="7">
        <v>0</v>
      </c>
      <c r="O236" s="7">
        <v>0</v>
      </c>
      <c r="P236" s="7">
        <v>0</v>
      </c>
      <c r="Q236" s="7">
        <v>0</v>
      </c>
      <c r="R236" s="7">
        <v>0</v>
      </c>
      <c r="S236" s="7">
        <v>0</v>
      </c>
      <c r="T236" s="7">
        <v>0</v>
      </c>
      <c r="U236" s="7">
        <v>0</v>
      </c>
      <c r="V236" s="7">
        <v>0</v>
      </c>
      <c r="W236" s="7">
        <v>0</v>
      </c>
      <c r="X236" s="7">
        <v>0</v>
      </c>
      <c r="Y236" s="7">
        <v>0</v>
      </c>
      <c r="Z236" s="7">
        <v>0</v>
      </c>
      <c r="AA236" s="7">
        <v>0</v>
      </c>
      <c r="AB236" s="7">
        <v>0</v>
      </c>
      <c r="AC236" s="7">
        <v>0</v>
      </c>
      <c r="AD236" s="7">
        <v>0</v>
      </c>
      <c r="AE236" s="7">
        <v>0</v>
      </c>
      <c r="AF236" s="7">
        <v>0</v>
      </c>
      <c r="AG236" s="7">
        <v>0</v>
      </c>
      <c r="AH236" s="7">
        <v>0</v>
      </c>
      <c r="AI236" s="7">
        <v>0</v>
      </c>
      <c r="AJ236" s="7">
        <v>0</v>
      </c>
      <c r="AK236" s="7">
        <v>0</v>
      </c>
      <c r="AL236" s="7">
        <v>0</v>
      </c>
      <c r="AM236" s="7">
        <v>0</v>
      </c>
      <c r="AN236" s="7">
        <v>0</v>
      </c>
      <c r="AO236" s="7">
        <v>0</v>
      </c>
      <c r="AP236" s="7">
        <v>0</v>
      </c>
      <c r="AQ236" s="7">
        <v>0</v>
      </c>
      <c r="AR236" s="7">
        <v>0</v>
      </c>
      <c r="AS236" s="7">
        <v>0</v>
      </c>
      <c r="AT236" s="7">
        <v>0</v>
      </c>
      <c r="AU236" s="7">
        <v>0</v>
      </c>
      <c r="AV236" s="7">
        <v>0</v>
      </c>
      <c r="AW236" s="7">
        <v>0</v>
      </c>
      <c r="AX236" s="7">
        <v>0</v>
      </c>
      <c r="AY236" s="7">
        <v>0</v>
      </c>
      <c r="AZ236" s="7">
        <v>0</v>
      </c>
      <c r="BA236" s="7">
        <v>0</v>
      </c>
      <c r="BB236" s="7">
        <v>0</v>
      </c>
      <c r="BC236" s="7">
        <v>0</v>
      </c>
      <c r="BD236">
        <v>0</v>
      </c>
      <c r="BE236">
        <v>31.32</v>
      </c>
      <c r="BF2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6" s="42" t="str">
        <f>+IF(AVANCE[[#This Row],[FECHA INICIO REAL]]="","",AVANCE[[#This Row],[FECHA INICIO REAL]]-AVANCE[[#This Row],[FECHA INICIO TEORICO]])</f>
        <v/>
      </c>
      <c r="BH2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7" spans="1:61" x14ac:dyDescent="0.25">
      <c r="A237" t="s">
        <v>1055</v>
      </c>
      <c r="B237" t="s">
        <v>1067</v>
      </c>
      <c r="C237">
        <v>2282600236</v>
      </c>
      <c r="D237" t="s">
        <v>833</v>
      </c>
      <c r="E237" s="4">
        <v>0</v>
      </c>
      <c r="F237" s="1">
        <v>46258</v>
      </c>
      <c r="G237" s="1"/>
      <c r="H237" s="1">
        <v>0</v>
      </c>
      <c r="I237" s="1">
        <v>46278</v>
      </c>
      <c r="J237">
        <v>46188</v>
      </c>
      <c r="K237" s="1"/>
      <c r="L237" s="7">
        <v>0</v>
      </c>
      <c r="M237" s="7">
        <v>0</v>
      </c>
      <c r="N237" s="7">
        <v>0</v>
      </c>
      <c r="O237" s="7">
        <v>0</v>
      </c>
      <c r="P237" s="7">
        <v>0</v>
      </c>
      <c r="Q237" s="7">
        <v>0</v>
      </c>
      <c r="R237" s="7">
        <v>0</v>
      </c>
      <c r="S237" s="7">
        <v>0</v>
      </c>
      <c r="T237" s="7">
        <v>0</v>
      </c>
      <c r="U237" s="7">
        <v>0</v>
      </c>
      <c r="V237" s="7">
        <v>0</v>
      </c>
      <c r="W237" s="7">
        <v>0</v>
      </c>
      <c r="X237" s="7">
        <v>0</v>
      </c>
      <c r="Y237" s="7">
        <v>0</v>
      </c>
      <c r="Z237" s="7">
        <v>0</v>
      </c>
      <c r="AA237" s="7">
        <v>0</v>
      </c>
      <c r="AB237" s="7">
        <v>0</v>
      </c>
      <c r="AC237" s="7">
        <v>0</v>
      </c>
      <c r="AD237" s="7">
        <v>0</v>
      </c>
      <c r="AE237" s="7">
        <v>0</v>
      </c>
      <c r="AF237" s="7">
        <v>0</v>
      </c>
      <c r="AG237" s="7">
        <v>0</v>
      </c>
      <c r="AH237" s="7">
        <v>0</v>
      </c>
      <c r="AI237" s="7">
        <v>0</v>
      </c>
      <c r="AJ237" s="7">
        <v>0</v>
      </c>
      <c r="AK237" s="7">
        <v>0</v>
      </c>
      <c r="AL237" s="7">
        <v>0</v>
      </c>
      <c r="AM237" s="7">
        <v>0</v>
      </c>
      <c r="AN237" s="7">
        <v>0</v>
      </c>
      <c r="AO237" s="7">
        <v>0</v>
      </c>
      <c r="AP237" s="7">
        <v>0</v>
      </c>
      <c r="AQ237" s="7">
        <v>0</v>
      </c>
      <c r="AR237" s="7">
        <v>0</v>
      </c>
      <c r="AS237" s="7">
        <v>0</v>
      </c>
      <c r="AT237" s="7">
        <v>0</v>
      </c>
      <c r="AU237" s="7">
        <v>0</v>
      </c>
      <c r="AV237" s="7">
        <v>0</v>
      </c>
      <c r="AW237" s="7">
        <v>0</v>
      </c>
      <c r="AX237" s="7">
        <v>0</v>
      </c>
      <c r="AY237" s="7">
        <v>0</v>
      </c>
      <c r="AZ237" s="7">
        <v>0</v>
      </c>
      <c r="BA237" s="7">
        <v>0</v>
      </c>
      <c r="BB237" s="7">
        <v>0</v>
      </c>
      <c r="BC237" s="7">
        <v>0</v>
      </c>
      <c r="BD237">
        <v>0</v>
      </c>
      <c r="BE237">
        <v>28.87</v>
      </c>
      <c r="BF2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7" s="42" t="str">
        <f>+IF(AVANCE[[#This Row],[FECHA INICIO REAL]]="","",AVANCE[[#This Row],[FECHA INICIO REAL]]-AVANCE[[#This Row],[FECHA INICIO TEORICO]])</f>
        <v/>
      </c>
      <c r="BH2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8" spans="1:61" x14ac:dyDescent="0.25">
      <c r="A238" t="s">
        <v>1055</v>
      </c>
      <c r="B238" t="s">
        <v>1068</v>
      </c>
      <c r="C238">
        <v>2282600237</v>
      </c>
      <c r="D238" t="s">
        <v>833</v>
      </c>
      <c r="E238" s="4">
        <v>0</v>
      </c>
      <c r="F238" s="1">
        <v>46258</v>
      </c>
      <c r="G238" s="1"/>
      <c r="H238" s="1">
        <v>0</v>
      </c>
      <c r="I238" s="1">
        <v>46278</v>
      </c>
      <c r="J238">
        <v>46188</v>
      </c>
      <c r="K238" s="1"/>
      <c r="L238" s="7">
        <v>0</v>
      </c>
      <c r="M238" s="7">
        <v>0</v>
      </c>
      <c r="N238" s="7">
        <v>0</v>
      </c>
      <c r="O238" s="7">
        <v>0</v>
      </c>
      <c r="P238" s="7">
        <v>0</v>
      </c>
      <c r="Q238" s="7">
        <v>0</v>
      </c>
      <c r="R238" s="7">
        <v>0</v>
      </c>
      <c r="S238" s="7">
        <v>0</v>
      </c>
      <c r="T238" s="7">
        <v>0</v>
      </c>
      <c r="U238" s="7">
        <v>0</v>
      </c>
      <c r="V238" s="7">
        <v>0</v>
      </c>
      <c r="W238" s="7">
        <v>0</v>
      </c>
      <c r="X238" s="7">
        <v>0</v>
      </c>
      <c r="Y238" s="7">
        <v>0</v>
      </c>
      <c r="Z238" s="7">
        <v>0</v>
      </c>
      <c r="AA238" s="7">
        <v>0</v>
      </c>
      <c r="AB238" s="7">
        <v>0</v>
      </c>
      <c r="AC238" s="7">
        <v>0</v>
      </c>
      <c r="AD238" s="7">
        <v>0</v>
      </c>
      <c r="AE238" s="7">
        <v>0</v>
      </c>
      <c r="AF238" s="7">
        <v>0</v>
      </c>
      <c r="AG238" s="7">
        <v>0</v>
      </c>
      <c r="AH238" s="7">
        <v>0</v>
      </c>
      <c r="AI238" s="7">
        <v>0</v>
      </c>
      <c r="AJ238" s="7">
        <v>0</v>
      </c>
      <c r="AK238" s="7">
        <v>0</v>
      </c>
      <c r="AL238" s="7">
        <v>0</v>
      </c>
      <c r="AM238" s="7">
        <v>0</v>
      </c>
      <c r="AN238" s="7">
        <v>0</v>
      </c>
      <c r="AO238" s="7">
        <v>0</v>
      </c>
      <c r="AP238" s="7">
        <v>0</v>
      </c>
      <c r="AQ238" s="7">
        <v>0</v>
      </c>
      <c r="AR238" s="7">
        <v>0</v>
      </c>
      <c r="AS238" s="7">
        <v>0</v>
      </c>
      <c r="AT238" s="7">
        <v>0</v>
      </c>
      <c r="AU238" s="7">
        <v>0</v>
      </c>
      <c r="AV238" s="7">
        <v>0</v>
      </c>
      <c r="AW238" s="7">
        <v>0</v>
      </c>
      <c r="AX238" s="7">
        <v>0</v>
      </c>
      <c r="AY238" s="7">
        <v>0</v>
      </c>
      <c r="AZ238" s="7">
        <v>0</v>
      </c>
      <c r="BA238" s="7">
        <v>0</v>
      </c>
      <c r="BB238" s="7">
        <v>0</v>
      </c>
      <c r="BC238" s="7">
        <v>0</v>
      </c>
      <c r="BD238">
        <v>0</v>
      </c>
      <c r="BE238">
        <v>28.87</v>
      </c>
      <c r="BF2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8" s="42" t="str">
        <f>+IF(AVANCE[[#This Row],[FECHA INICIO REAL]]="","",AVANCE[[#This Row],[FECHA INICIO REAL]]-AVANCE[[#This Row],[FECHA INICIO TEORICO]])</f>
        <v/>
      </c>
      <c r="BH2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9" spans="1:61" x14ac:dyDescent="0.25">
      <c r="A239" t="s">
        <v>1055</v>
      </c>
      <c r="B239" t="s">
        <v>1069</v>
      </c>
      <c r="C239">
        <v>2302600238</v>
      </c>
      <c r="D239" t="s">
        <v>834</v>
      </c>
      <c r="E239" s="4">
        <v>0</v>
      </c>
      <c r="F239" s="1">
        <v>46258</v>
      </c>
      <c r="G239" s="1"/>
      <c r="H239" s="1">
        <v>0</v>
      </c>
      <c r="I239" s="1">
        <v>46288</v>
      </c>
      <c r="J239">
        <v>46188</v>
      </c>
      <c r="K239" s="1"/>
      <c r="L239" s="7">
        <v>0</v>
      </c>
      <c r="M239" s="7">
        <v>0</v>
      </c>
      <c r="N239" s="7">
        <v>0</v>
      </c>
      <c r="O239" s="7">
        <v>0</v>
      </c>
      <c r="P239" s="7">
        <v>0</v>
      </c>
      <c r="Q239" s="7">
        <v>0</v>
      </c>
      <c r="R239" s="7">
        <v>0</v>
      </c>
      <c r="S239" s="7">
        <v>0</v>
      </c>
      <c r="T239" s="7">
        <v>0</v>
      </c>
      <c r="U239" s="7">
        <v>0</v>
      </c>
      <c r="V239" s="7">
        <v>0</v>
      </c>
      <c r="W239" s="7">
        <v>0</v>
      </c>
      <c r="X239" s="7">
        <v>0</v>
      </c>
      <c r="Y239" s="7">
        <v>0</v>
      </c>
      <c r="Z239" s="7">
        <v>0</v>
      </c>
      <c r="AA239" s="7">
        <v>0</v>
      </c>
      <c r="AB239" s="7">
        <v>0</v>
      </c>
      <c r="AC239" s="7">
        <v>0</v>
      </c>
      <c r="AD239" s="7">
        <v>0</v>
      </c>
      <c r="AE239" s="7">
        <v>0</v>
      </c>
      <c r="AF239" s="7">
        <v>0</v>
      </c>
      <c r="AG239" s="7">
        <v>0</v>
      </c>
      <c r="AH239" s="7">
        <v>0</v>
      </c>
      <c r="AI239" s="7">
        <v>0</v>
      </c>
      <c r="AJ239" s="7">
        <v>0</v>
      </c>
      <c r="AK239" s="7">
        <v>0</v>
      </c>
      <c r="AL239" s="7">
        <v>0</v>
      </c>
      <c r="AM239" s="7">
        <v>0</v>
      </c>
      <c r="AN239" s="7">
        <v>0</v>
      </c>
      <c r="AO239" s="7">
        <v>0</v>
      </c>
      <c r="AP239" s="7">
        <v>0</v>
      </c>
      <c r="AQ239" s="7">
        <v>0</v>
      </c>
      <c r="AR239" s="7">
        <v>0</v>
      </c>
      <c r="AS239" s="7">
        <v>0</v>
      </c>
      <c r="AT239" s="7">
        <v>0</v>
      </c>
      <c r="AU239" s="7">
        <v>0</v>
      </c>
      <c r="AV239" s="7">
        <v>0</v>
      </c>
      <c r="AW239" s="7">
        <v>0</v>
      </c>
      <c r="AX239" s="7">
        <v>0</v>
      </c>
      <c r="AY239" s="7">
        <v>0</v>
      </c>
      <c r="AZ239" s="7">
        <v>0</v>
      </c>
      <c r="BA239" s="7">
        <v>0</v>
      </c>
      <c r="BB239" s="7">
        <v>0</v>
      </c>
      <c r="BC239" s="7">
        <v>0</v>
      </c>
      <c r="BD239">
        <v>0</v>
      </c>
      <c r="BE239">
        <v>31.32</v>
      </c>
      <c r="BF2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9" s="42" t="str">
        <f>+IF(AVANCE[[#This Row],[FECHA INICIO REAL]]="","",AVANCE[[#This Row],[FECHA INICIO REAL]]-AVANCE[[#This Row],[FECHA INICIO TEORICO]])</f>
        <v/>
      </c>
      <c r="BH2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0" spans="1:61" x14ac:dyDescent="0.25">
      <c r="A240" t="s">
        <v>1055</v>
      </c>
      <c r="B240" t="s">
        <v>1070</v>
      </c>
      <c r="C240">
        <v>2302600239</v>
      </c>
      <c r="D240" t="s">
        <v>834</v>
      </c>
      <c r="E240" s="4">
        <v>0</v>
      </c>
      <c r="F240" s="1">
        <v>46259</v>
      </c>
      <c r="G240" s="1"/>
      <c r="H240" s="1">
        <v>0</v>
      </c>
      <c r="I240" s="1">
        <v>46289</v>
      </c>
      <c r="J240">
        <v>46188</v>
      </c>
      <c r="K240" s="1"/>
      <c r="L240" s="7">
        <v>0</v>
      </c>
      <c r="M240" s="7">
        <v>0</v>
      </c>
      <c r="N240" s="7">
        <v>0</v>
      </c>
      <c r="O240" s="7">
        <v>0</v>
      </c>
      <c r="P240" s="7">
        <v>0</v>
      </c>
      <c r="Q240" s="7">
        <v>0</v>
      </c>
      <c r="R240" s="7">
        <v>0</v>
      </c>
      <c r="S240" s="7">
        <v>0</v>
      </c>
      <c r="T240" s="7">
        <v>0</v>
      </c>
      <c r="U240" s="7">
        <v>0</v>
      </c>
      <c r="V240" s="7">
        <v>0</v>
      </c>
      <c r="W240" s="7">
        <v>0</v>
      </c>
      <c r="X240" s="7">
        <v>0</v>
      </c>
      <c r="Y240" s="7">
        <v>0</v>
      </c>
      <c r="Z240" s="7">
        <v>0</v>
      </c>
      <c r="AA240" s="7">
        <v>0</v>
      </c>
      <c r="AB240" s="7">
        <v>0</v>
      </c>
      <c r="AC240" s="7">
        <v>0</v>
      </c>
      <c r="AD240" s="7">
        <v>0</v>
      </c>
      <c r="AE240" s="7">
        <v>0</v>
      </c>
      <c r="AF240" s="7">
        <v>0</v>
      </c>
      <c r="AG240" s="7">
        <v>0</v>
      </c>
      <c r="AH240" s="7">
        <v>0</v>
      </c>
      <c r="AI240" s="7">
        <v>0</v>
      </c>
      <c r="AJ240" s="7">
        <v>0</v>
      </c>
      <c r="AK240" s="7">
        <v>0</v>
      </c>
      <c r="AL240" s="7">
        <v>0</v>
      </c>
      <c r="AM240" s="7">
        <v>0</v>
      </c>
      <c r="AN240" s="7">
        <v>0</v>
      </c>
      <c r="AO240" s="7">
        <v>0</v>
      </c>
      <c r="AP240" s="7">
        <v>0</v>
      </c>
      <c r="AQ240" s="7">
        <v>0</v>
      </c>
      <c r="AR240" s="7">
        <v>0</v>
      </c>
      <c r="AS240" s="7">
        <v>0</v>
      </c>
      <c r="AT240" s="7">
        <v>0</v>
      </c>
      <c r="AU240" s="7">
        <v>0</v>
      </c>
      <c r="AV240" s="7">
        <v>0</v>
      </c>
      <c r="AW240" s="7">
        <v>0</v>
      </c>
      <c r="AX240" s="7">
        <v>0</v>
      </c>
      <c r="AY240" s="7">
        <v>0</v>
      </c>
      <c r="AZ240" s="7">
        <v>0</v>
      </c>
      <c r="BA240" s="7">
        <v>0</v>
      </c>
      <c r="BB240" s="7">
        <v>0</v>
      </c>
      <c r="BC240" s="7">
        <v>0</v>
      </c>
      <c r="BD240">
        <v>0</v>
      </c>
      <c r="BE240">
        <v>31.32</v>
      </c>
      <c r="BF2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0" s="42" t="str">
        <f>+IF(AVANCE[[#This Row],[FECHA INICIO REAL]]="","",AVANCE[[#This Row],[FECHA INICIO REAL]]-AVANCE[[#This Row],[FECHA INICIO TEORICO]])</f>
        <v/>
      </c>
      <c r="BH2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1" spans="1:61" x14ac:dyDescent="0.25">
      <c r="A241" t="s">
        <v>1055</v>
      </c>
      <c r="B241" t="s">
        <v>1071</v>
      </c>
      <c r="C241">
        <v>2282600240</v>
      </c>
      <c r="D241" t="s">
        <v>833</v>
      </c>
      <c r="E241" s="4">
        <v>0</v>
      </c>
      <c r="F241" s="1">
        <v>46259</v>
      </c>
      <c r="G241" s="1"/>
      <c r="H241" s="1">
        <v>0</v>
      </c>
      <c r="I241" s="1">
        <v>46279</v>
      </c>
      <c r="J241">
        <v>46188</v>
      </c>
      <c r="K241" s="1"/>
      <c r="L241" s="7">
        <v>0</v>
      </c>
      <c r="M241" s="7">
        <v>0</v>
      </c>
      <c r="N241" s="7">
        <v>0</v>
      </c>
      <c r="O241" s="7">
        <v>0</v>
      </c>
      <c r="P241" s="7">
        <v>0</v>
      </c>
      <c r="Q241" s="7">
        <v>0</v>
      </c>
      <c r="R241" s="7">
        <v>0</v>
      </c>
      <c r="S241" s="7">
        <v>0</v>
      </c>
      <c r="T241" s="7">
        <v>0</v>
      </c>
      <c r="U241" s="7">
        <v>0</v>
      </c>
      <c r="V241" s="7">
        <v>0</v>
      </c>
      <c r="W241" s="7">
        <v>0</v>
      </c>
      <c r="X241" s="7">
        <v>0</v>
      </c>
      <c r="Y241" s="7">
        <v>0</v>
      </c>
      <c r="Z241" s="7">
        <v>0</v>
      </c>
      <c r="AA241" s="7">
        <v>0</v>
      </c>
      <c r="AB241" s="7">
        <v>0</v>
      </c>
      <c r="AC241" s="7">
        <v>0</v>
      </c>
      <c r="AD241" s="7">
        <v>0</v>
      </c>
      <c r="AE241" s="7">
        <v>0</v>
      </c>
      <c r="AF241" s="7">
        <v>0</v>
      </c>
      <c r="AG241" s="7">
        <v>0</v>
      </c>
      <c r="AH241" s="7">
        <v>0</v>
      </c>
      <c r="AI241" s="7">
        <v>0</v>
      </c>
      <c r="AJ241" s="7">
        <v>0</v>
      </c>
      <c r="AK241" s="7">
        <v>0</v>
      </c>
      <c r="AL241" s="7">
        <v>0</v>
      </c>
      <c r="AM241" s="7">
        <v>0</v>
      </c>
      <c r="AN241" s="7">
        <v>0</v>
      </c>
      <c r="AO241" s="7">
        <v>0</v>
      </c>
      <c r="AP241" s="7">
        <v>0</v>
      </c>
      <c r="AQ241" s="7">
        <v>0</v>
      </c>
      <c r="AR241" s="7">
        <v>0</v>
      </c>
      <c r="AS241" s="7">
        <v>0</v>
      </c>
      <c r="AT241" s="7">
        <v>0</v>
      </c>
      <c r="AU241" s="7">
        <v>0</v>
      </c>
      <c r="AV241" s="7">
        <v>0</v>
      </c>
      <c r="AW241" s="7">
        <v>0</v>
      </c>
      <c r="AX241" s="7">
        <v>0</v>
      </c>
      <c r="AY241" s="7">
        <v>0</v>
      </c>
      <c r="AZ241" s="7">
        <v>0</v>
      </c>
      <c r="BA241" s="7">
        <v>0</v>
      </c>
      <c r="BB241" s="7">
        <v>0</v>
      </c>
      <c r="BC241" s="7">
        <v>0</v>
      </c>
      <c r="BD241">
        <v>0</v>
      </c>
      <c r="BE241">
        <v>28.87</v>
      </c>
      <c r="BF2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1" s="42" t="str">
        <f>+IF(AVANCE[[#This Row],[FECHA INICIO REAL]]="","",AVANCE[[#This Row],[FECHA INICIO REAL]]-AVANCE[[#This Row],[FECHA INICIO TEORICO]])</f>
        <v/>
      </c>
      <c r="BH2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2" spans="1:61" x14ac:dyDescent="0.25">
      <c r="A242" t="s">
        <v>1055</v>
      </c>
      <c r="B242" t="s">
        <v>1072</v>
      </c>
      <c r="C242">
        <v>2282600241</v>
      </c>
      <c r="D242" t="s">
        <v>833</v>
      </c>
      <c r="E242" s="4">
        <v>0</v>
      </c>
      <c r="F242" s="1">
        <v>46260</v>
      </c>
      <c r="G242" s="1"/>
      <c r="H242" s="1">
        <v>0</v>
      </c>
      <c r="I242" s="1">
        <v>46280</v>
      </c>
      <c r="J242">
        <v>46188</v>
      </c>
      <c r="K242" s="1"/>
      <c r="L242" s="7">
        <v>0</v>
      </c>
      <c r="M242" s="7">
        <v>0</v>
      </c>
      <c r="N242" s="7">
        <v>0</v>
      </c>
      <c r="O242" s="7">
        <v>0</v>
      </c>
      <c r="P242" s="7">
        <v>0</v>
      </c>
      <c r="Q242" s="7">
        <v>0</v>
      </c>
      <c r="R242" s="7">
        <v>0</v>
      </c>
      <c r="S242" s="7">
        <v>0</v>
      </c>
      <c r="T242" s="7">
        <v>0</v>
      </c>
      <c r="U242" s="7">
        <v>0</v>
      </c>
      <c r="V242" s="7">
        <v>0</v>
      </c>
      <c r="W242" s="7">
        <v>0</v>
      </c>
      <c r="X242" s="7">
        <v>0</v>
      </c>
      <c r="Y242" s="7">
        <v>0</v>
      </c>
      <c r="Z242" s="7">
        <v>0</v>
      </c>
      <c r="AA242" s="7">
        <v>0</v>
      </c>
      <c r="AB242" s="7">
        <v>0</v>
      </c>
      <c r="AC242" s="7">
        <v>0</v>
      </c>
      <c r="AD242" s="7">
        <v>0</v>
      </c>
      <c r="AE242" s="7">
        <v>0</v>
      </c>
      <c r="AF242" s="7">
        <v>0</v>
      </c>
      <c r="AG242" s="7">
        <v>0</v>
      </c>
      <c r="AH242" s="7">
        <v>0</v>
      </c>
      <c r="AI242" s="7">
        <v>0</v>
      </c>
      <c r="AJ242" s="7">
        <v>0</v>
      </c>
      <c r="AK242" s="7">
        <v>0</v>
      </c>
      <c r="AL242" s="7">
        <v>0</v>
      </c>
      <c r="AM242" s="7">
        <v>0</v>
      </c>
      <c r="AN242" s="7">
        <v>0</v>
      </c>
      <c r="AO242" s="7">
        <v>0</v>
      </c>
      <c r="AP242" s="7">
        <v>0</v>
      </c>
      <c r="AQ242" s="7">
        <v>0</v>
      </c>
      <c r="AR242" s="7">
        <v>0</v>
      </c>
      <c r="AS242" s="7">
        <v>0</v>
      </c>
      <c r="AT242" s="7">
        <v>0</v>
      </c>
      <c r="AU242" s="7">
        <v>0</v>
      </c>
      <c r="AV242" s="7">
        <v>0</v>
      </c>
      <c r="AW242" s="7">
        <v>0</v>
      </c>
      <c r="AX242" s="7">
        <v>0</v>
      </c>
      <c r="AY242" s="7">
        <v>0</v>
      </c>
      <c r="AZ242" s="7">
        <v>0</v>
      </c>
      <c r="BA242" s="7">
        <v>0</v>
      </c>
      <c r="BB242" s="7">
        <v>0</v>
      </c>
      <c r="BC242" s="7">
        <v>0</v>
      </c>
      <c r="BD242">
        <v>0</v>
      </c>
      <c r="BE242">
        <v>28.87</v>
      </c>
      <c r="BF2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2" s="42" t="str">
        <f>+IF(AVANCE[[#This Row],[FECHA INICIO REAL]]="","",AVANCE[[#This Row],[FECHA INICIO REAL]]-AVANCE[[#This Row],[FECHA INICIO TEORICO]])</f>
        <v/>
      </c>
      <c r="BH2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3" spans="1:61" x14ac:dyDescent="0.25">
      <c r="A243" t="s">
        <v>1055</v>
      </c>
      <c r="B243" t="s">
        <v>1073</v>
      </c>
      <c r="C243">
        <v>2302600242</v>
      </c>
      <c r="D243" t="s">
        <v>834</v>
      </c>
      <c r="E243" s="4">
        <v>0</v>
      </c>
      <c r="F243" s="1">
        <v>46260</v>
      </c>
      <c r="G243" s="1"/>
      <c r="H243" s="1">
        <v>0</v>
      </c>
      <c r="I243" s="1">
        <v>46290</v>
      </c>
      <c r="J243">
        <v>46188</v>
      </c>
      <c r="K243" s="1"/>
      <c r="L243" s="7">
        <v>0</v>
      </c>
      <c r="M243" s="7">
        <v>0</v>
      </c>
      <c r="N243" s="7">
        <v>0</v>
      </c>
      <c r="O243" s="7">
        <v>0</v>
      </c>
      <c r="P243" s="7">
        <v>0</v>
      </c>
      <c r="Q243" s="7">
        <v>0</v>
      </c>
      <c r="R243" s="7">
        <v>0</v>
      </c>
      <c r="S243" s="7">
        <v>0</v>
      </c>
      <c r="T243" s="7">
        <v>0</v>
      </c>
      <c r="U243" s="7">
        <v>0</v>
      </c>
      <c r="V243" s="7">
        <v>0</v>
      </c>
      <c r="W243" s="7">
        <v>0</v>
      </c>
      <c r="X243" s="7">
        <v>0</v>
      </c>
      <c r="Y243" s="7">
        <v>0</v>
      </c>
      <c r="Z243" s="7">
        <v>0</v>
      </c>
      <c r="AA243" s="7">
        <v>0</v>
      </c>
      <c r="AB243" s="7">
        <v>0</v>
      </c>
      <c r="AC243" s="7">
        <v>0</v>
      </c>
      <c r="AD243" s="7">
        <v>0</v>
      </c>
      <c r="AE243" s="7">
        <v>0</v>
      </c>
      <c r="AF243" s="7">
        <v>0</v>
      </c>
      <c r="AG243" s="7">
        <v>0</v>
      </c>
      <c r="AH243" s="7">
        <v>0</v>
      </c>
      <c r="AI243" s="7">
        <v>0</v>
      </c>
      <c r="AJ243" s="7">
        <v>0</v>
      </c>
      <c r="AK243" s="7">
        <v>0</v>
      </c>
      <c r="AL243" s="7">
        <v>0</v>
      </c>
      <c r="AM243" s="7">
        <v>0</v>
      </c>
      <c r="AN243" s="7">
        <v>0</v>
      </c>
      <c r="AO243" s="7">
        <v>0</v>
      </c>
      <c r="AP243" s="7">
        <v>0</v>
      </c>
      <c r="AQ243" s="7">
        <v>0</v>
      </c>
      <c r="AR243" s="7">
        <v>0</v>
      </c>
      <c r="AS243" s="7">
        <v>0</v>
      </c>
      <c r="AT243" s="7">
        <v>0</v>
      </c>
      <c r="AU243" s="7">
        <v>0</v>
      </c>
      <c r="AV243" s="7">
        <v>0</v>
      </c>
      <c r="AW243" s="7">
        <v>0</v>
      </c>
      <c r="AX243" s="7">
        <v>0</v>
      </c>
      <c r="AY243" s="7">
        <v>0</v>
      </c>
      <c r="AZ243" s="7">
        <v>0</v>
      </c>
      <c r="BA243" s="7">
        <v>0</v>
      </c>
      <c r="BB243" s="7">
        <v>0</v>
      </c>
      <c r="BC243" s="7">
        <v>0</v>
      </c>
      <c r="BD243">
        <v>0</v>
      </c>
      <c r="BE243">
        <v>31.32</v>
      </c>
      <c r="BF2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3" s="42" t="str">
        <f>+IF(AVANCE[[#This Row],[FECHA INICIO REAL]]="","",AVANCE[[#This Row],[FECHA INICIO REAL]]-AVANCE[[#This Row],[FECHA INICIO TEORICO]])</f>
        <v/>
      </c>
      <c r="BH2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4" spans="1:61" x14ac:dyDescent="0.25">
      <c r="A244" t="s">
        <v>1055</v>
      </c>
      <c r="B244" t="s">
        <v>1074</v>
      </c>
      <c r="C244">
        <v>2302600243</v>
      </c>
      <c r="D244" t="s">
        <v>834</v>
      </c>
      <c r="E244" s="4">
        <v>0</v>
      </c>
      <c r="F244" s="1">
        <v>46260</v>
      </c>
      <c r="G244" s="1"/>
      <c r="H244" s="1">
        <v>0</v>
      </c>
      <c r="I244" s="1">
        <v>46290</v>
      </c>
      <c r="J244">
        <v>46188</v>
      </c>
      <c r="K244" s="1"/>
      <c r="L244" s="7">
        <v>0</v>
      </c>
      <c r="M244" s="7">
        <v>0</v>
      </c>
      <c r="N244" s="7">
        <v>0</v>
      </c>
      <c r="O244" s="7">
        <v>0</v>
      </c>
      <c r="P244" s="7">
        <v>0</v>
      </c>
      <c r="Q244" s="7">
        <v>0</v>
      </c>
      <c r="R244" s="7">
        <v>0</v>
      </c>
      <c r="S244" s="7">
        <v>0</v>
      </c>
      <c r="T244" s="7">
        <v>0</v>
      </c>
      <c r="U244" s="7">
        <v>0</v>
      </c>
      <c r="V244" s="7">
        <v>0</v>
      </c>
      <c r="W244" s="7">
        <v>0</v>
      </c>
      <c r="X244" s="7">
        <v>0</v>
      </c>
      <c r="Y244" s="7">
        <v>0</v>
      </c>
      <c r="Z244" s="7">
        <v>0</v>
      </c>
      <c r="AA244" s="7">
        <v>0</v>
      </c>
      <c r="AB244" s="7">
        <v>0</v>
      </c>
      <c r="AC244" s="7">
        <v>0</v>
      </c>
      <c r="AD244" s="7">
        <v>0</v>
      </c>
      <c r="AE244" s="7">
        <v>0</v>
      </c>
      <c r="AF244" s="7">
        <v>0</v>
      </c>
      <c r="AG244" s="7">
        <v>0</v>
      </c>
      <c r="AH244" s="7">
        <v>0</v>
      </c>
      <c r="AI244" s="7">
        <v>0</v>
      </c>
      <c r="AJ244" s="7">
        <v>0</v>
      </c>
      <c r="AK244" s="7">
        <v>0</v>
      </c>
      <c r="AL244" s="7">
        <v>0</v>
      </c>
      <c r="AM244" s="7">
        <v>0</v>
      </c>
      <c r="AN244" s="7">
        <v>0</v>
      </c>
      <c r="AO244" s="7">
        <v>0</v>
      </c>
      <c r="AP244" s="7">
        <v>0</v>
      </c>
      <c r="AQ244" s="7">
        <v>0</v>
      </c>
      <c r="AR244" s="7">
        <v>0</v>
      </c>
      <c r="AS244" s="7">
        <v>0</v>
      </c>
      <c r="AT244" s="7">
        <v>0</v>
      </c>
      <c r="AU244" s="7">
        <v>0</v>
      </c>
      <c r="AV244" s="7">
        <v>0</v>
      </c>
      <c r="AW244" s="7">
        <v>0</v>
      </c>
      <c r="AX244" s="7">
        <v>0</v>
      </c>
      <c r="AY244" s="7">
        <v>0</v>
      </c>
      <c r="AZ244" s="7">
        <v>0</v>
      </c>
      <c r="BA244" s="7">
        <v>0</v>
      </c>
      <c r="BB244" s="7">
        <v>0</v>
      </c>
      <c r="BC244" s="7">
        <v>0</v>
      </c>
      <c r="BD244">
        <v>0</v>
      </c>
      <c r="BE244">
        <v>31.32</v>
      </c>
      <c r="BF2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4" s="42" t="str">
        <f>+IF(AVANCE[[#This Row],[FECHA INICIO REAL]]="","",AVANCE[[#This Row],[FECHA INICIO REAL]]-AVANCE[[#This Row],[FECHA INICIO TEORICO]])</f>
        <v/>
      </c>
      <c r="BH2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5" spans="1:61" x14ac:dyDescent="0.25">
      <c r="A245" t="s">
        <v>1055</v>
      </c>
      <c r="B245" t="s">
        <v>1075</v>
      </c>
      <c r="C245">
        <v>2282600244</v>
      </c>
      <c r="D245" t="s">
        <v>833</v>
      </c>
      <c r="E245" s="4">
        <v>0</v>
      </c>
      <c r="F245" s="1">
        <v>46261</v>
      </c>
      <c r="G245" s="1"/>
      <c r="H245" s="1">
        <v>0</v>
      </c>
      <c r="I245" s="1">
        <v>46281</v>
      </c>
      <c r="J245">
        <v>46188</v>
      </c>
      <c r="K245" s="1"/>
      <c r="L245" s="7">
        <v>0</v>
      </c>
      <c r="M245" s="7">
        <v>0</v>
      </c>
      <c r="N245" s="7">
        <v>0</v>
      </c>
      <c r="O245" s="7">
        <v>0</v>
      </c>
      <c r="P245" s="7">
        <v>0</v>
      </c>
      <c r="Q245" s="7">
        <v>0</v>
      </c>
      <c r="R245" s="7">
        <v>0</v>
      </c>
      <c r="S245" s="7">
        <v>0</v>
      </c>
      <c r="T245" s="7">
        <v>0</v>
      </c>
      <c r="U245" s="7">
        <v>0</v>
      </c>
      <c r="V245" s="7">
        <v>0</v>
      </c>
      <c r="W245" s="7">
        <v>0</v>
      </c>
      <c r="X245" s="7">
        <v>0</v>
      </c>
      <c r="Y245" s="7">
        <v>0</v>
      </c>
      <c r="Z245" s="7">
        <v>0</v>
      </c>
      <c r="AA245" s="7">
        <v>0</v>
      </c>
      <c r="AB245" s="7">
        <v>0</v>
      </c>
      <c r="AC245" s="7">
        <v>0</v>
      </c>
      <c r="AD245" s="7">
        <v>0</v>
      </c>
      <c r="AE245" s="7">
        <v>0</v>
      </c>
      <c r="AF245" s="7">
        <v>0</v>
      </c>
      <c r="AG245" s="7">
        <v>0</v>
      </c>
      <c r="AH245" s="7">
        <v>0</v>
      </c>
      <c r="AI245" s="7">
        <v>0</v>
      </c>
      <c r="AJ245" s="7">
        <v>0</v>
      </c>
      <c r="AK245" s="7">
        <v>0</v>
      </c>
      <c r="AL245" s="7">
        <v>0</v>
      </c>
      <c r="AM245" s="7">
        <v>0</v>
      </c>
      <c r="AN245" s="7">
        <v>0</v>
      </c>
      <c r="AO245" s="7">
        <v>0</v>
      </c>
      <c r="AP245" s="7">
        <v>0</v>
      </c>
      <c r="AQ245" s="7">
        <v>0</v>
      </c>
      <c r="AR245" s="7">
        <v>0</v>
      </c>
      <c r="AS245" s="7">
        <v>0</v>
      </c>
      <c r="AT245" s="7">
        <v>0</v>
      </c>
      <c r="AU245" s="7">
        <v>0</v>
      </c>
      <c r="AV245" s="7">
        <v>0</v>
      </c>
      <c r="AW245" s="7">
        <v>0</v>
      </c>
      <c r="AX245" s="7">
        <v>0</v>
      </c>
      <c r="AY245" s="7">
        <v>0</v>
      </c>
      <c r="AZ245" s="7">
        <v>0</v>
      </c>
      <c r="BA245" s="7">
        <v>0</v>
      </c>
      <c r="BB245" s="7">
        <v>0</v>
      </c>
      <c r="BC245" s="7">
        <v>0</v>
      </c>
      <c r="BD245">
        <v>0</v>
      </c>
      <c r="BE245">
        <v>28.87</v>
      </c>
      <c r="BF2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5" s="42" t="str">
        <f>+IF(AVANCE[[#This Row],[FECHA INICIO REAL]]="","",AVANCE[[#This Row],[FECHA INICIO REAL]]-AVANCE[[#This Row],[FECHA INICIO TEORICO]])</f>
        <v/>
      </c>
      <c r="BH2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6" spans="1:61" x14ac:dyDescent="0.25">
      <c r="A246" t="s">
        <v>1055</v>
      </c>
      <c r="B246" t="s">
        <v>1076</v>
      </c>
      <c r="C246">
        <v>2282600245</v>
      </c>
      <c r="D246" t="s">
        <v>833</v>
      </c>
      <c r="E246" s="4">
        <v>0</v>
      </c>
      <c r="F246" s="1">
        <v>46261</v>
      </c>
      <c r="G246" s="1"/>
      <c r="H246" s="1">
        <v>0</v>
      </c>
      <c r="I246" s="1">
        <v>46281</v>
      </c>
      <c r="J246">
        <v>46188</v>
      </c>
      <c r="K246" s="1"/>
      <c r="L246" s="7">
        <v>0</v>
      </c>
      <c r="M246" s="7">
        <v>0</v>
      </c>
      <c r="N246" s="7">
        <v>0</v>
      </c>
      <c r="O246" s="7">
        <v>0</v>
      </c>
      <c r="P246" s="7">
        <v>0</v>
      </c>
      <c r="Q246" s="7">
        <v>0</v>
      </c>
      <c r="R246" s="7">
        <v>0</v>
      </c>
      <c r="S246" s="7">
        <v>0</v>
      </c>
      <c r="T246" s="7">
        <v>0</v>
      </c>
      <c r="U246" s="7">
        <v>0</v>
      </c>
      <c r="V246" s="7">
        <v>0</v>
      </c>
      <c r="W246" s="7">
        <v>0</v>
      </c>
      <c r="X246" s="7">
        <v>0</v>
      </c>
      <c r="Y246" s="7">
        <v>0</v>
      </c>
      <c r="Z246" s="7">
        <v>0</v>
      </c>
      <c r="AA246" s="7">
        <v>0</v>
      </c>
      <c r="AB246" s="7">
        <v>0</v>
      </c>
      <c r="AC246" s="7">
        <v>0</v>
      </c>
      <c r="AD246" s="7">
        <v>0</v>
      </c>
      <c r="AE246" s="7">
        <v>0</v>
      </c>
      <c r="AF246" s="7">
        <v>0</v>
      </c>
      <c r="AG246" s="7">
        <v>0</v>
      </c>
      <c r="AH246" s="7">
        <v>0</v>
      </c>
      <c r="AI246" s="7">
        <v>0</v>
      </c>
      <c r="AJ246" s="7">
        <v>0</v>
      </c>
      <c r="AK246" s="7">
        <v>0</v>
      </c>
      <c r="AL246" s="7">
        <v>0</v>
      </c>
      <c r="AM246" s="7">
        <v>0</v>
      </c>
      <c r="AN246" s="7">
        <v>0</v>
      </c>
      <c r="AO246" s="7">
        <v>0</v>
      </c>
      <c r="AP246" s="7">
        <v>0</v>
      </c>
      <c r="AQ246" s="7">
        <v>0</v>
      </c>
      <c r="AR246" s="7">
        <v>0</v>
      </c>
      <c r="AS246" s="7">
        <v>0</v>
      </c>
      <c r="AT246" s="7">
        <v>0</v>
      </c>
      <c r="AU246" s="7">
        <v>0</v>
      </c>
      <c r="AV246" s="7">
        <v>0</v>
      </c>
      <c r="AW246" s="7">
        <v>0</v>
      </c>
      <c r="AX246" s="7">
        <v>0</v>
      </c>
      <c r="AY246" s="7">
        <v>0</v>
      </c>
      <c r="AZ246" s="7">
        <v>0</v>
      </c>
      <c r="BA246" s="7">
        <v>0</v>
      </c>
      <c r="BB246" s="7">
        <v>0</v>
      </c>
      <c r="BC246" s="7">
        <v>0</v>
      </c>
      <c r="BD246">
        <v>0</v>
      </c>
      <c r="BE246">
        <v>28.87</v>
      </c>
      <c r="BF2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6" s="42" t="str">
        <f>+IF(AVANCE[[#This Row],[FECHA INICIO REAL]]="","",AVANCE[[#This Row],[FECHA INICIO REAL]]-AVANCE[[#This Row],[FECHA INICIO TEORICO]])</f>
        <v/>
      </c>
      <c r="BH2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7" spans="1:61" x14ac:dyDescent="0.25">
      <c r="A247" t="s">
        <v>1055</v>
      </c>
      <c r="B247" t="s">
        <v>1077</v>
      </c>
      <c r="C247">
        <v>2302600246</v>
      </c>
      <c r="D247" t="s">
        <v>834</v>
      </c>
      <c r="E247" s="4">
        <v>0</v>
      </c>
      <c r="F247" s="1">
        <v>46262</v>
      </c>
      <c r="G247" s="1"/>
      <c r="H247" s="1">
        <v>0</v>
      </c>
      <c r="I247" s="1">
        <v>46292</v>
      </c>
      <c r="J247">
        <v>46188</v>
      </c>
      <c r="K247" s="1"/>
      <c r="L247" s="7">
        <v>0</v>
      </c>
      <c r="M247" s="7">
        <v>0</v>
      </c>
      <c r="N247" s="7">
        <v>0</v>
      </c>
      <c r="O247" s="7">
        <v>0</v>
      </c>
      <c r="P247" s="7">
        <v>0</v>
      </c>
      <c r="Q247" s="7">
        <v>0</v>
      </c>
      <c r="R247" s="7">
        <v>0</v>
      </c>
      <c r="S247" s="7">
        <v>0</v>
      </c>
      <c r="T247" s="7">
        <v>0</v>
      </c>
      <c r="U247" s="7">
        <v>0</v>
      </c>
      <c r="V247" s="7">
        <v>0</v>
      </c>
      <c r="W247" s="7">
        <v>0</v>
      </c>
      <c r="X247" s="7">
        <v>0</v>
      </c>
      <c r="Y247" s="7">
        <v>0</v>
      </c>
      <c r="Z247" s="7">
        <v>0</v>
      </c>
      <c r="AA247" s="7">
        <v>0</v>
      </c>
      <c r="AB247" s="7">
        <v>0</v>
      </c>
      <c r="AC247" s="7">
        <v>0</v>
      </c>
      <c r="AD247" s="7">
        <v>0</v>
      </c>
      <c r="AE247" s="7">
        <v>0</v>
      </c>
      <c r="AF247" s="7">
        <v>0</v>
      </c>
      <c r="AG247" s="7">
        <v>0</v>
      </c>
      <c r="AH247" s="7">
        <v>0</v>
      </c>
      <c r="AI247" s="7">
        <v>0</v>
      </c>
      <c r="AJ247" s="7">
        <v>0</v>
      </c>
      <c r="AK247" s="7">
        <v>0</v>
      </c>
      <c r="AL247" s="7">
        <v>0</v>
      </c>
      <c r="AM247" s="7">
        <v>0</v>
      </c>
      <c r="AN247" s="7">
        <v>0</v>
      </c>
      <c r="AO247" s="7">
        <v>0</v>
      </c>
      <c r="AP247" s="7">
        <v>0</v>
      </c>
      <c r="AQ247" s="7">
        <v>0</v>
      </c>
      <c r="AR247" s="7">
        <v>0</v>
      </c>
      <c r="AS247" s="7">
        <v>0</v>
      </c>
      <c r="AT247" s="7">
        <v>0</v>
      </c>
      <c r="AU247" s="7">
        <v>0</v>
      </c>
      <c r="AV247" s="7">
        <v>0</v>
      </c>
      <c r="AW247" s="7">
        <v>0</v>
      </c>
      <c r="AX247" s="7">
        <v>0</v>
      </c>
      <c r="AY247" s="7">
        <v>0</v>
      </c>
      <c r="AZ247" s="7">
        <v>0</v>
      </c>
      <c r="BA247" s="7">
        <v>0</v>
      </c>
      <c r="BB247" s="7">
        <v>0</v>
      </c>
      <c r="BC247" s="7">
        <v>0</v>
      </c>
      <c r="BD247">
        <v>0</v>
      </c>
      <c r="BE247">
        <v>31.32</v>
      </c>
      <c r="BF2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7" s="42" t="str">
        <f>+IF(AVANCE[[#This Row],[FECHA INICIO REAL]]="","",AVANCE[[#This Row],[FECHA INICIO REAL]]-AVANCE[[#This Row],[FECHA INICIO TEORICO]])</f>
        <v/>
      </c>
      <c r="BH2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8" spans="1:61" x14ac:dyDescent="0.25">
      <c r="A248" t="s">
        <v>1055</v>
      </c>
      <c r="B248" t="s">
        <v>1078</v>
      </c>
      <c r="C248">
        <v>2302600247</v>
      </c>
      <c r="D248" t="s">
        <v>834</v>
      </c>
      <c r="E248" s="4">
        <v>0</v>
      </c>
      <c r="F248" s="1">
        <v>46262</v>
      </c>
      <c r="G248" s="1"/>
      <c r="H248" s="1">
        <v>0</v>
      </c>
      <c r="I248" s="1">
        <v>46292</v>
      </c>
      <c r="J248">
        <v>46188</v>
      </c>
      <c r="K248" s="1"/>
      <c r="L248" s="7">
        <v>0</v>
      </c>
      <c r="M248" s="7">
        <v>0</v>
      </c>
      <c r="N248" s="7">
        <v>0</v>
      </c>
      <c r="O248" s="7">
        <v>0</v>
      </c>
      <c r="P248" s="7">
        <v>0</v>
      </c>
      <c r="Q248" s="7">
        <v>0</v>
      </c>
      <c r="R248" s="7">
        <v>0</v>
      </c>
      <c r="S248" s="7">
        <v>0</v>
      </c>
      <c r="T248" s="7">
        <v>0</v>
      </c>
      <c r="U248" s="7">
        <v>0</v>
      </c>
      <c r="V248" s="7">
        <v>0</v>
      </c>
      <c r="W248" s="7">
        <v>0</v>
      </c>
      <c r="X248" s="7">
        <v>0</v>
      </c>
      <c r="Y248" s="7">
        <v>0</v>
      </c>
      <c r="Z248" s="7">
        <v>0</v>
      </c>
      <c r="AA248" s="7">
        <v>0</v>
      </c>
      <c r="AB248" s="7">
        <v>0</v>
      </c>
      <c r="AC248" s="7">
        <v>0</v>
      </c>
      <c r="AD248" s="7">
        <v>0</v>
      </c>
      <c r="AE248" s="7">
        <v>0</v>
      </c>
      <c r="AF248" s="7">
        <v>0</v>
      </c>
      <c r="AG248" s="7">
        <v>0</v>
      </c>
      <c r="AH248" s="7">
        <v>0</v>
      </c>
      <c r="AI248" s="7">
        <v>0</v>
      </c>
      <c r="AJ248" s="7">
        <v>0</v>
      </c>
      <c r="AK248" s="7">
        <v>0</v>
      </c>
      <c r="AL248" s="7">
        <v>0</v>
      </c>
      <c r="AM248" s="7">
        <v>0</v>
      </c>
      <c r="AN248" s="7">
        <v>0</v>
      </c>
      <c r="AO248" s="7">
        <v>0</v>
      </c>
      <c r="AP248" s="7">
        <v>0</v>
      </c>
      <c r="AQ248" s="7">
        <v>0</v>
      </c>
      <c r="AR248" s="7">
        <v>0</v>
      </c>
      <c r="AS248" s="7">
        <v>0</v>
      </c>
      <c r="AT248" s="7">
        <v>0</v>
      </c>
      <c r="AU248" s="7">
        <v>0</v>
      </c>
      <c r="AV248" s="7">
        <v>0</v>
      </c>
      <c r="AW248" s="7">
        <v>0</v>
      </c>
      <c r="AX248" s="7">
        <v>0</v>
      </c>
      <c r="AY248" s="7">
        <v>0</v>
      </c>
      <c r="AZ248" s="7">
        <v>0</v>
      </c>
      <c r="BA248" s="7">
        <v>0</v>
      </c>
      <c r="BB248" s="7">
        <v>0</v>
      </c>
      <c r="BC248" s="7">
        <v>0</v>
      </c>
      <c r="BD248">
        <v>0</v>
      </c>
      <c r="BE248">
        <v>31.32</v>
      </c>
      <c r="BF2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8" s="42" t="str">
        <f>+IF(AVANCE[[#This Row],[FECHA INICIO REAL]]="","",AVANCE[[#This Row],[FECHA INICIO REAL]]-AVANCE[[#This Row],[FECHA INICIO TEORICO]])</f>
        <v/>
      </c>
      <c r="BH2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9" spans="1:61" x14ac:dyDescent="0.25">
      <c r="A249" t="s">
        <v>1055</v>
      </c>
      <c r="B249" t="s">
        <v>1079</v>
      </c>
      <c r="C249">
        <v>2282600248</v>
      </c>
      <c r="D249" t="s">
        <v>833</v>
      </c>
      <c r="E249" s="4">
        <v>0</v>
      </c>
      <c r="F249" s="1">
        <v>46262</v>
      </c>
      <c r="G249" s="1"/>
      <c r="H249" s="1">
        <v>0</v>
      </c>
      <c r="I249" s="1">
        <v>46282</v>
      </c>
      <c r="J249">
        <v>46188</v>
      </c>
      <c r="K249" s="1"/>
      <c r="L249" s="7">
        <v>0</v>
      </c>
      <c r="M249" s="7">
        <v>0</v>
      </c>
      <c r="N249" s="7">
        <v>0</v>
      </c>
      <c r="O249" s="7">
        <v>0</v>
      </c>
      <c r="P249" s="7">
        <v>0</v>
      </c>
      <c r="Q249" s="7">
        <v>0</v>
      </c>
      <c r="R249" s="7">
        <v>0</v>
      </c>
      <c r="S249" s="7">
        <v>0</v>
      </c>
      <c r="T249" s="7">
        <v>0</v>
      </c>
      <c r="U249" s="7">
        <v>0</v>
      </c>
      <c r="V249" s="7">
        <v>0</v>
      </c>
      <c r="W249" s="7">
        <v>0</v>
      </c>
      <c r="X249" s="7">
        <v>0</v>
      </c>
      <c r="Y249" s="7">
        <v>0</v>
      </c>
      <c r="Z249" s="7">
        <v>0</v>
      </c>
      <c r="AA249" s="7">
        <v>0</v>
      </c>
      <c r="AB249" s="7">
        <v>0</v>
      </c>
      <c r="AC249" s="7">
        <v>0</v>
      </c>
      <c r="AD249" s="7">
        <v>0</v>
      </c>
      <c r="AE249" s="7">
        <v>0</v>
      </c>
      <c r="AF249" s="7">
        <v>0</v>
      </c>
      <c r="AG249" s="7">
        <v>0</v>
      </c>
      <c r="AH249" s="7">
        <v>0</v>
      </c>
      <c r="AI249" s="7">
        <v>0</v>
      </c>
      <c r="AJ249" s="7">
        <v>0</v>
      </c>
      <c r="AK249" s="7">
        <v>0</v>
      </c>
      <c r="AL249" s="7">
        <v>0</v>
      </c>
      <c r="AM249" s="7">
        <v>0</v>
      </c>
      <c r="AN249" s="7">
        <v>0</v>
      </c>
      <c r="AO249" s="7">
        <v>0</v>
      </c>
      <c r="AP249" s="7">
        <v>0</v>
      </c>
      <c r="AQ249" s="7">
        <v>0</v>
      </c>
      <c r="AR249" s="7">
        <v>0</v>
      </c>
      <c r="AS249" s="7">
        <v>0</v>
      </c>
      <c r="AT249" s="7">
        <v>0</v>
      </c>
      <c r="AU249" s="7">
        <v>0</v>
      </c>
      <c r="AV249" s="7">
        <v>0</v>
      </c>
      <c r="AW249" s="7">
        <v>0</v>
      </c>
      <c r="AX249" s="7">
        <v>0</v>
      </c>
      <c r="AY249" s="7">
        <v>0</v>
      </c>
      <c r="AZ249" s="7">
        <v>0</v>
      </c>
      <c r="BA249" s="7">
        <v>0</v>
      </c>
      <c r="BB249" s="7">
        <v>0</v>
      </c>
      <c r="BC249" s="7">
        <v>0</v>
      </c>
      <c r="BD249">
        <v>0</v>
      </c>
      <c r="BE249">
        <v>28.87</v>
      </c>
      <c r="BF2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9" s="42" t="str">
        <f>+IF(AVANCE[[#This Row],[FECHA INICIO REAL]]="","",AVANCE[[#This Row],[FECHA INICIO REAL]]-AVANCE[[#This Row],[FECHA INICIO TEORICO]])</f>
        <v/>
      </c>
      <c r="BH2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0" spans="1:61" x14ac:dyDescent="0.25">
      <c r="A250" t="s">
        <v>1055</v>
      </c>
      <c r="B250" t="s">
        <v>1080</v>
      </c>
      <c r="C250">
        <v>2282600249</v>
      </c>
      <c r="D250" t="s">
        <v>833</v>
      </c>
      <c r="E250" s="4">
        <v>0</v>
      </c>
      <c r="F250" s="1">
        <v>46265</v>
      </c>
      <c r="G250" s="1"/>
      <c r="H250" s="1">
        <v>0</v>
      </c>
      <c r="I250" s="1">
        <v>46285</v>
      </c>
      <c r="J250">
        <v>46188</v>
      </c>
      <c r="K250" s="1"/>
      <c r="L250" s="7">
        <v>0</v>
      </c>
      <c r="M250" s="7">
        <v>0</v>
      </c>
      <c r="N250" s="7">
        <v>0</v>
      </c>
      <c r="O250" s="7">
        <v>0</v>
      </c>
      <c r="P250" s="7">
        <v>0</v>
      </c>
      <c r="Q250" s="7">
        <v>0</v>
      </c>
      <c r="R250" s="7">
        <v>0</v>
      </c>
      <c r="S250" s="7">
        <v>0</v>
      </c>
      <c r="T250" s="7">
        <v>0</v>
      </c>
      <c r="U250" s="7">
        <v>0</v>
      </c>
      <c r="V250" s="7">
        <v>0</v>
      </c>
      <c r="W250" s="7">
        <v>0</v>
      </c>
      <c r="X250" s="7">
        <v>0</v>
      </c>
      <c r="Y250" s="7">
        <v>0</v>
      </c>
      <c r="Z250" s="7">
        <v>0</v>
      </c>
      <c r="AA250" s="7">
        <v>0</v>
      </c>
      <c r="AB250" s="7">
        <v>0</v>
      </c>
      <c r="AC250" s="7">
        <v>0</v>
      </c>
      <c r="AD250" s="7">
        <v>0</v>
      </c>
      <c r="AE250" s="7">
        <v>0</v>
      </c>
      <c r="AF250" s="7">
        <v>0</v>
      </c>
      <c r="AG250" s="7">
        <v>0</v>
      </c>
      <c r="AH250" s="7">
        <v>0</v>
      </c>
      <c r="AI250" s="7">
        <v>0</v>
      </c>
      <c r="AJ250" s="7">
        <v>0</v>
      </c>
      <c r="AK250" s="7">
        <v>0</v>
      </c>
      <c r="AL250" s="7">
        <v>0</v>
      </c>
      <c r="AM250" s="7">
        <v>0</v>
      </c>
      <c r="AN250" s="7">
        <v>0</v>
      </c>
      <c r="AO250" s="7">
        <v>0</v>
      </c>
      <c r="AP250" s="7">
        <v>0</v>
      </c>
      <c r="AQ250" s="7">
        <v>0</v>
      </c>
      <c r="AR250" s="7">
        <v>0</v>
      </c>
      <c r="AS250" s="7">
        <v>0</v>
      </c>
      <c r="AT250" s="7">
        <v>0</v>
      </c>
      <c r="AU250" s="7">
        <v>0</v>
      </c>
      <c r="AV250" s="7">
        <v>0</v>
      </c>
      <c r="AW250" s="7">
        <v>0</v>
      </c>
      <c r="AX250" s="7">
        <v>0</v>
      </c>
      <c r="AY250" s="7">
        <v>0</v>
      </c>
      <c r="AZ250" s="7">
        <v>0</v>
      </c>
      <c r="BA250" s="7">
        <v>0</v>
      </c>
      <c r="BB250" s="7">
        <v>0</v>
      </c>
      <c r="BC250" s="7">
        <v>0</v>
      </c>
      <c r="BD250">
        <v>0</v>
      </c>
      <c r="BE250">
        <v>28.87</v>
      </c>
      <c r="BF2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0" s="42" t="str">
        <f>+IF(AVANCE[[#This Row],[FECHA INICIO REAL]]="","",AVANCE[[#This Row],[FECHA INICIO REAL]]-AVANCE[[#This Row],[FECHA INICIO TEORICO]])</f>
        <v/>
      </c>
      <c r="BH2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1" spans="1:61" x14ac:dyDescent="0.25">
      <c r="A251" t="s">
        <v>1055</v>
      </c>
      <c r="B251" t="s">
        <v>1081</v>
      </c>
      <c r="C251">
        <v>2302600250</v>
      </c>
      <c r="D251" t="s">
        <v>834</v>
      </c>
      <c r="E251" s="4">
        <v>0</v>
      </c>
      <c r="F251" s="1">
        <v>46265</v>
      </c>
      <c r="G251" s="1"/>
      <c r="H251" s="1">
        <v>0</v>
      </c>
      <c r="I251" s="1">
        <v>46295</v>
      </c>
      <c r="J251">
        <v>46188</v>
      </c>
      <c r="K251" s="1"/>
      <c r="L251" s="7">
        <v>0</v>
      </c>
      <c r="M251" s="7">
        <v>0</v>
      </c>
      <c r="N251" s="7">
        <v>0</v>
      </c>
      <c r="O251" s="7">
        <v>0</v>
      </c>
      <c r="P251" s="7">
        <v>0</v>
      </c>
      <c r="Q251" s="7">
        <v>0</v>
      </c>
      <c r="R251" s="7">
        <v>0</v>
      </c>
      <c r="S251" s="7">
        <v>0</v>
      </c>
      <c r="T251" s="7">
        <v>0</v>
      </c>
      <c r="U251" s="7">
        <v>0</v>
      </c>
      <c r="V251" s="7">
        <v>0</v>
      </c>
      <c r="W251" s="7">
        <v>0</v>
      </c>
      <c r="X251" s="7">
        <v>0</v>
      </c>
      <c r="Y251" s="7">
        <v>0</v>
      </c>
      <c r="Z251" s="7">
        <v>0</v>
      </c>
      <c r="AA251" s="7">
        <v>0</v>
      </c>
      <c r="AB251" s="7">
        <v>0</v>
      </c>
      <c r="AC251" s="7">
        <v>0</v>
      </c>
      <c r="AD251" s="7">
        <v>0</v>
      </c>
      <c r="AE251" s="7">
        <v>0</v>
      </c>
      <c r="AF251" s="7">
        <v>0</v>
      </c>
      <c r="AG251" s="7">
        <v>0</v>
      </c>
      <c r="AH251" s="7">
        <v>0</v>
      </c>
      <c r="AI251" s="7">
        <v>0</v>
      </c>
      <c r="AJ251" s="7">
        <v>0</v>
      </c>
      <c r="AK251" s="7">
        <v>0</v>
      </c>
      <c r="AL251" s="7">
        <v>0</v>
      </c>
      <c r="AM251" s="7">
        <v>0</v>
      </c>
      <c r="AN251" s="7">
        <v>0</v>
      </c>
      <c r="AO251" s="7">
        <v>0</v>
      </c>
      <c r="AP251" s="7">
        <v>0</v>
      </c>
      <c r="AQ251" s="7">
        <v>0</v>
      </c>
      <c r="AR251" s="7">
        <v>0</v>
      </c>
      <c r="AS251" s="7">
        <v>0</v>
      </c>
      <c r="AT251" s="7">
        <v>0</v>
      </c>
      <c r="AU251" s="7">
        <v>0</v>
      </c>
      <c r="AV251" s="7">
        <v>0</v>
      </c>
      <c r="AW251" s="7">
        <v>0</v>
      </c>
      <c r="AX251" s="7">
        <v>0</v>
      </c>
      <c r="AY251" s="7">
        <v>0</v>
      </c>
      <c r="AZ251" s="7">
        <v>0</v>
      </c>
      <c r="BA251" s="7">
        <v>0</v>
      </c>
      <c r="BB251" s="7">
        <v>0</v>
      </c>
      <c r="BC251" s="7">
        <v>0</v>
      </c>
      <c r="BD251">
        <v>0</v>
      </c>
      <c r="BE251">
        <v>31.32</v>
      </c>
      <c r="BF2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1" s="42" t="str">
        <f>+IF(AVANCE[[#This Row],[FECHA INICIO REAL]]="","",AVANCE[[#This Row],[FECHA INICIO REAL]]-AVANCE[[#This Row],[FECHA INICIO TEORICO]])</f>
        <v/>
      </c>
      <c r="BH2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2" spans="1:61" x14ac:dyDescent="0.25">
      <c r="A252" t="s">
        <v>1055</v>
      </c>
      <c r="B252" t="s">
        <v>1082</v>
      </c>
      <c r="C252">
        <v>2302600251</v>
      </c>
      <c r="D252" t="s">
        <v>834</v>
      </c>
      <c r="E252" s="4">
        <v>0</v>
      </c>
      <c r="F252" s="1">
        <v>46266</v>
      </c>
      <c r="G252" s="1"/>
      <c r="H252" s="1">
        <v>0</v>
      </c>
      <c r="I252" s="1">
        <v>46296</v>
      </c>
      <c r="J252">
        <v>46188</v>
      </c>
      <c r="K252" s="1"/>
      <c r="L252" s="7">
        <v>0</v>
      </c>
      <c r="M252" s="7">
        <v>0</v>
      </c>
      <c r="N252" s="7">
        <v>0</v>
      </c>
      <c r="O252" s="7">
        <v>0</v>
      </c>
      <c r="P252" s="7">
        <v>0</v>
      </c>
      <c r="Q252" s="7">
        <v>0</v>
      </c>
      <c r="R252" s="7">
        <v>0</v>
      </c>
      <c r="S252" s="7">
        <v>0</v>
      </c>
      <c r="T252" s="7">
        <v>0</v>
      </c>
      <c r="U252" s="7">
        <v>0</v>
      </c>
      <c r="V252" s="7">
        <v>0</v>
      </c>
      <c r="W252" s="7">
        <v>0</v>
      </c>
      <c r="X252" s="7">
        <v>0</v>
      </c>
      <c r="Y252" s="7">
        <v>0</v>
      </c>
      <c r="Z252" s="7">
        <v>0</v>
      </c>
      <c r="AA252" s="7">
        <v>0</v>
      </c>
      <c r="AB252" s="7">
        <v>0</v>
      </c>
      <c r="AC252" s="7">
        <v>0</v>
      </c>
      <c r="AD252" s="7">
        <v>0</v>
      </c>
      <c r="AE252" s="7">
        <v>0</v>
      </c>
      <c r="AF252" s="7">
        <v>0</v>
      </c>
      <c r="AG252" s="7">
        <v>0</v>
      </c>
      <c r="AH252" s="7">
        <v>0</v>
      </c>
      <c r="AI252" s="7">
        <v>0</v>
      </c>
      <c r="AJ252" s="7">
        <v>0</v>
      </c>
      <c r="AK252" s="7">
        <v>0</v>
      </c>
      <c r="AL252" s="7">
        <v>0</v>
      </c>
      <c r="AM252" s="7">
        <v>0</v>
      </c>
      <c r="AN252" s="7">
        <v>0</v>
      </c>
      <c r="AO252" s="7">
        <v>0</v>
      </c>
      <c r="AP252" s="7">
        <v>0</v>
      </c>
      <c r="AQ252" s="7">
        <v>0</v>
      </c>
      <c r="AR252" s="7">
        <v>0</v>
      </c>
      <c r="AS252" s="7">
        <v>0</v>
      </c>
      <c r="AT252" s="7">
        <v>0</v>
      </c>
      <c r="AU252" s="7">
        <v>0</v>
      </c>
      <c r="AV252" s="7">
        <v>0</v>
      </c>
      <c r="AW252" s="7">
        <v>0</v>
      </c>
      <c r="AX252" s="7">
        <v>0</v>
      </c>
      <c r="AY252" s="7">
        <v>0</v>
      </c>
      <c r="AZ252" s="7">
        <v>0</v>
      </c>
      <c r="BA252" s="7">
        <v>0</v>
      </c>
      <c r="BB252" s="7">
        <v>0</v>
      </c>
      <c r="BC252" s="7">
        <v>0</v>
      </c>
      <c r="BD252">
        <v>0</v>
      </c>
      <c r="BE252">
        <v>31.32</v>
      </c>
      <c r="BF2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2" s="42" t="str">
        <f>+IF(AVANCE[[#This Row],[FECHA INICIO REAL]]="","",AVANCE[[#This Row],[FECHA INICIO REAL]]-AVANCE[[#This Row],[FECHA INICIO TEORICO]])</f>
        <v/>
      </c>
      <c r="BH2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3" spans="1:61" x14ac:dyDescent="0.25">
      <c r="A253" t="s">
        <v>1055</v>
      </c>
      <c r="B253" t="s">
        <v>1083</v>
      </c>
      <c r="C253">
        <v>2282600252</v>
      </c>
      <c r="D253" t="s">
        <v>833</v>
      </c>
      <c r="E253" s="4">
        <v>0</v>
      </c>
      <c r="F253" s="1">
        <v>46266</v>
      </c>
      <c r="G253" s="1"/>
      <c r="H253" s="1">
        <v>0</v>
      </c>
      <c r="I253" s="1">
        <v>46286</v>
      </c>
      <c r="J253">
        <v>46188</v>
      </c>
      <c r="K253" s="1"/>
      <c r="L253" s="7">
        <v>0</v>
      </c>
      <c r="M253" s="7">
        <v>0</v>
      </c>
      <c r="N253" s="7">
        <v>0</v>
      </c>
      <c r="O253" s="7">
        <v>0</v>
      </c>
      <c r="P253" s="7">
        <v>0</v>
      </c>
      <c r="Q253" s="7">
        <v>0</v>
      </c>
      <c r="R253" s="7">
        <v>0</v>
      </c>
      <c r="S253" s="7">
        <v>0</v>
      </c>
      <c r="T253" s="7">
        <v>0</v>
      </c>
      <c r="U253" s="7">
        <v>0</v>
      </c>
      <c r="V253" s="7">
        <v>0</v>
      </c>
      <c r="W253" s="7">
        <v>0</v>
      </c>
      <c r="X253" s="7">
        <v>0</v>
      </c>
      <c r="Y253" s="7">
        <v>0</v>
      </c>
      <c r="Z253" s="7">
        <v>0</v>
      </c>
      <c r="AA253" s="7">
        <v>0</v>
      </c>
      <c r="AB253" s="7">
        <v>0</v>
      </c>
      <c r="AC253" s="7">
        <v>0</v>
      </c>
      <c r="AD253" s="7">
        <v>0</v>
      </c>
      <c r="AE253" s="7">
        <v>0</v>
      </c>
      <c r="AF253" s="7">
        <v>0</v>
      </c>
      <c r="AG253" s="7">
        <v>0</v>
      </c>
      <c r="AH253" s="7">
        <v>0</v>
      </c>
      <c r="AI253" s="7">
        <v>0</v>
      </c>
      <c r="AJ253" s="7">
        <v>0</v>
      </c>
      <c r="AK253" s="7">
        <v>0</v>
      </c>
      <c r="AL253" s="7">
        <v>0</v>
      </c>
      <c r="AM253" s="7">
        <v>0</v>
      </c>
      <c r="AN253" s="7">
        <v>0</v>
      </c>
      <c r="AO253" s="7">
        <v>0</v>
      </c>
      <c r="AP253" s="7">
        <v>0</v>
      </c>
      <c r="AQ253" s="7">
        <v>0</v>
      </c>
      <c r="AR253" s="7">
        <v>0</v>
      </c>
      <c r="AS253" s="7">
        <v>0</v>
      </c>
      <c r="AT253" s="7">
        <v>0</v>
      </c>
      <c r="AU253" s="7">
        <v>0</v>
      </c>
      <c r="AV253" s="7">
        <v>0</v>
      </c>
      <c r="AW253" s="7">
        <v>0</v>
      </c>
      <c r="AX253" s="7">
        <v>0</v>
      </c>
      <c r="AY253" s="7">
        <v>0</v>
      </c>
      <c r="AZ253" s="7">
        <v>0</v>
      </c>
      <c r="BA253" s="7">
        <v>0</v>
      </c>
      <c r="BB253" s="7">
        <v>0</v>
      </c>
      <c r="BC253" s="7">
        <v>0</v>
      </c>
      <c r="BD253">
        <v>0</v>
      </c>
      <c r="BE253">
        <v>28.87</v>
      </c>
      <c r="BF2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3" s="42" t="str">
        <f>+IF(AVANCE[[#This Row],[FECHA INICIO REAL]]="","",AVANCE[[#This Row],[FECHA INICIO REAL]]-AVANCE[[#This Row],[FECHA INICIO TEORICO]])</f>
        <v/>
      </c>
      <c r="BH2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4" spans="1:61" x14ac:dyDescent="0.25">
      <c r="A254" t="s">
        <v>1055</v>
      </c>
      <c r="B254" t="s">
        <v>1084</v>
      </c>
      <c r="C254">
        <v>2282600253</v>
      </c>
      <c r="D254" t="s">
        <v>833</v>
      </c>
      <c r="E254" s="4">
        <v>0</v>
      </c>
      <c r="F254" s="1">
        <v>46266</v>
      </c>
      <c r="G254" s="1"/>
      <c r="H254" s="1">
        <v>0</v>
      </c>
      <c r="I254" s="1">
        <v>46286</v>
      </c>
      <c r="J254">
        <v>46188</v>
      </c>
      <c r="K254" s="1"/>
      <c r="L254" s="7">
        <v>0</v>
      </c>
      <c r="M254" s="7">
        <v>0</v>
      </c>
      <c r="N254" s="7">
        <v>0</v>
      </c>
      <c r="O254" s="7">
        <v>0</v>
      </c>
      <c r="P254" s="7">
        <v>0</v>
      </c>
      <c r="Q254" s="7">
        <v>0</v>
      </c>
      <c r="R254" s="7">
        <v>0</v>
      </c>
      <c r="S254" s="7">
        <v>0</v>
      </c>
      <c r="T254" s="7">
        <v>0</v>
      </c>
      <c r="U254" s="7">
        <v>0</v>
      </c>
      <c r="V254" s="7">
        <v>0</v>
      </c>
      <c r="W254" s="7">
        <v>0</v>
      </c>
      <c r="X254" s="7">
        <v>0</v>
      </c>
      <c r="Y254" s="7">
        <v>0</v>
      </c>
      <c r="Z254" s="7">
        <v>0</v>
      </c>
      <c r="AA254" s="7">
        <v>0</v>
      </c>
      <c r="AB254" s="7">
        <v>0</v>
      </c>
      <c r="AC254" s="7">
        <v>0</v>
      </c>
      <c r="AD254" s="7">
        <v>0</v>
      </c>
      <c r="AE254" s="7">
        <v>0</v>
      </c>
      <c r="AF254" s="7">
        <v>0</v>
      </c>
      <c r="AG254" s="7">
        <v>0</v>
      </c>
      <c r="AH254" s="7">
        <v>0</v>
      </c>
      <c r="AI254" s="7">
        <v>0</v>
      </c>
      <c r="AJ254" s="7">
        <v>0</v>
      </c>
      <c r="AK254" s="7">
        <v>0</v>
      </c>
      <c r="AL254" s="7">
        <v>0</v>
      </c>
      <c r="AM254" s="7">
        <v>0</v>
      </c>
      <c r="AN254" s="7">
        <v>0</v>
      </c>
      <c r="AO254" s="7">
        <v>0</v>
      </c>
      <c r="AP254" s="7">
        <v>0</v>
      </c>
      <c r="AQ254" s="7">
        <v>0</v>
      </c>
      <c r="AR254" s="7">
        <v>0</v>
      </c>
      <c r="AS254" s="7">
        <v>0</v>
      </c>
      <c r="AT254" s="7">
        <v>0</v>
      </c>
      <c r="AU254" s="7">
        <v>0</v>
      </c>
      <c r="AV254" s="7">
        <v>0</v>
      </c>
      <c r="AW254" s="7">
        <v>0</v>
      </c>
      <c r="AX254" s="7">
        <v>0</v>
      </c>
      <c r="AY254" s="7">
        <v>0</v>
      </c>
      <c r="AZ254" s="7">
        <v>0</v>
      </c>
      <c r="BA254" s="7">
        <v>0</v>
      </c>
      <c r="BB254" s="7">
        <v>0</v>
      </c>
      <c r="BC254" s="7">
        <v>0</v>
      </c>
      <c r="BD254">
        <v>0</v>
      </c>
      <c r="BE254">
        <v>28.87</v>
      </c>
      <c r="BF2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4" s="42" t="str">
        <f>+IF(AVANCE[[#This Row],[FECHA INICIO REAL]]="","",AVANCE[[#This Row],[FECHA INICIO REAL]]-AVANCE[[#This Row],[FECHA INICIO TEORICO]])</f>
        <v/>
      </c>
      <c r="BH2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5" spans="1:61" x14ac:dyDescent="0.25">
      <c r="A255" t="s">
        <v>1055</v>
      </c>
      <c r="B255" t="s">
        <v>1085</v>
      </c>
      <c r="C255">
        <v>2302600254</v>
      </c>
      <c r="D255" t="s">
        <v>834</v>
      </c>
      <c r="E255" s="4">
        <v>0</v>
      </c>
      <c r="F255" s="1">
        <v>46267</v>
      </c>
      <c r="G255" s="1"/>
      <c r="H255" s="1">
        <v>0</v>
      </c>
      <c r="I255" s="1">
        <v>46297</v>
      </c>
      <c r="J255">
        <v>46188</v>
      </c>
      <c r="K255" s="1"/>
      <c r="L255" s="7">
        <v>0</v>
      </c>
      <c r="M255" s="7">
        <v>0</v>
      </c>
      <c r="N255" s="7">
        <v>0</v>
      </c>
      <c r="O255" s="7">
        <v>0</v>
      </c>
      <c r="P255" s="7">
        <v>0</v>
      </c>
      <c r="Q255" s="7">
        <v>0</v>
      </c>
      <c r="R255" s="7">
        <v>0</v>
      </c>
      <c r="S255" s="7">
        <v>0</v>
      </c>
      <c r="T255" s="7">
        <v>0</v>
      </c>
      <c r="U255" s="7">
        <v>0</v>
      </c>
      <c r="V255" s="7">
        <v>0</v>
      </c>
      <c r="W255" s="7">
        <v>0</v>
      </c>
      <c r="X255" s="7">
        <v>0</v>
      </c>
      <c r="Y255" s="7">
        <v>0</v>
      </c>
      <c r="Z255" s="7">
        <v>0</v>
      </c>
      <c r="AA255" s="7">
        <v>0</v>
      </c>
      <c r="AB255" s="7">
        <v>0</v>
      </c>
      <c r="AC255" s="7">
        <v>0</v>
      </c>
      <c r="AD255" s="7">
        <v>0</v>
      </c>
      <c r="AE255" s="7">
        <v>0</v>
      </c>
      <c r="AF255" s="7">
        <v>0</v>
      </c>
      <c r="AG255" s="7">
        <v>0</v>
      </c>
      <c r="AH255" s="7">
        <v>0</v>
      </c>
      <c r="AI255" s="7">
        <v>0</v>
      </c>
      <c r="AJ255" s="7">
        <v>0</v>
      </c>
      <c r="AK255" s="7">
        <v>0</v>
      </c>
      <c r="AL255" s="7">
        <v>0</v>
      </c>
      <c r="AM255" s="7">
        <v>0</v>
      </c>
      <c r="AN255" s="7">
        <v>0</v>
      </c>
      <c r="AO255" s="7">
        <v>0</v>
      </c>
      <c r="AP255" s="7">
        <v>0</v>
      </c>
      <c r="AQ255" s="7">
        <v>0</v>
      </c>
      <c r="AR255" s="7">
        <v>0</v>
      </c>
      <c r="AS255" s="7">
        <v>0</v>
      </c>
      <c r="AT255" s="7">
        <v>0</v>
      </c>
      <c r="AU255" s="7">
        <v>0</v>
      </c>
      <c r="AV255" s="7">
        <v>0</v>
      </c>
      <c r="AW255" s="7">
        <v>0</v>
      </c>
      <c r="AX255" s="7">
        <v>0</v>
      </c>
      <c r="AY255" s="7">
        <v>0</v>
      </c>
      <c r="AZ255" s="7">
        <v>0</v>
      </c>
      <c r="BA255" s="7">
        <v>0</v>
      </c>
      <c r="BB255" s="7">
        <v>0</v>
      </c>
      <c r="BC255" s="7">
        <v>0</v>
      </c>
      <c r="BD255">
        <v>0</v>
      </c>
      <c r="BE255">
        <v>31.32</v>
      </c>
      <c r="BF2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5" s="42" t="str">
        <f>+IF(AVANCE[[#This Row],[FECHA INICIO REAL]]="","",AVANCE[[#This Row],[FECHA INICIO REAL]]-AVANCE[[#This Row],[FECHA INICIO TEORICO]])</f>
        <v/>
      </c>
      <c r="BH2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6" spans="1:61" x14ac:dyDescent="0.25">
      <c r="A256" t="s">
        <v>1055</v>
      </c>
      <c r="B256" t="s">
        <v>1086</v>
      </c>
      <c r="C256">
        <v>2302600255</v>
      </c>
      <c r="D256" t="s">
        <v>834</v>
      </c>
      <c r="E256" s="4">
        <v>0</v>
      </c>
      <c r="F256" s="1">
        <v>46267</v>
      </c>
      <c r="G256" s="1"/>
      <c r="H256" s="1">
        <v>0</v>
      </c>
      <c r="I256" s="1">
        <v>46297</v>
      </c>
      <c r="J256">
        <v>46188</v>
      </c>
      <c r="K256" s="1"/>
      <c r="L256" s="7">
        <v>0</v>
      </c>
      <c r="M256" s="7">
        <v>0</v>
      </c>
      <c r="N256" s="7">
        <v>0</v>
      </c>
      <c r="O256" s="7">
        <v>0</v>
      </c>
      <c r="P256" s="7">
        <v>0</v>
      </c>
      <c r="Q256" s="7">
        <v>0</v>
      </c>
      <c r="R256" s="7">
        <v>0</v>
      </c>
      <c r="S256" s="7">
        <v>0</v>
      </c>
      <c r="T256" s="7">
        <v>0</v>
      </c>
      <c r="U256" s="7">
        <v>0</v>
      </c>
      <c r="V256" s="7">
        <v>0</v>
      </c>
      <c r="W256" s="7">
        <v>0</v>
      </c>
      <c r="X256" s="7">
        <v>0</v>
      </c>
      <c r="Y256" s="7">
        <v>0</v>
      </c>
      <c r="Z256" s="7">
        <v>0</v>
      </c>
      <c r="AA256" s="7">
        <v>0</v>
      </c>
      <c r="AB256" s="7">
        <v>0</v>
      </c>
      <c r="AC256" s="7">
        <v>0</v>
      </c>
      <c r="AD256" s="7">
        <v>0</v>
      </c>
      <c r="AE256" s="7">
        <v>0</v>
      </c>
      <c r="AF256" s="7">
        <v>0</v>
      </c>
      <c r="AG256" s="7">
        <v>0</v>
      </c>
      <c r="AH256" s="7">
        <v>0</v>
      </c>
      <c r="AI256" s="7">
        <v>0</v>
      </c>
      <c r="AJ256" s="7">
        <v>0</v>
      </c>
      <c r="AK256" s="7">
        <v>0</v>
      </c>
      <c r="AL256" s="7">
        <v>0</v>
      </c>
      <c r="AM256" s="7">
        <v>0</v>
      </c>
      <c r="AN256" s="7">
        <v>0</v>
      </c>
      <c r="AO256" s="7">
        <v>0</v>
      </c>
      <c r="AP256" s="7">
        <v>0</v>
      </c>
      <c r="AQ256" s="7">
        <v>0</v>
      </c>
      <c r="AR256" s="7">
        <v>0</v>
      </c>
      <c r="AS256" s="7">
        <v>0</v>
      </c>
      <c r="AT256" s="7">
        <v>0</v>
      </c>
      <c r="AU256" s="7">
        <v>0</v>
      </c>
      <c r="AV256" s="7">
        <v>0</v>
      </c>
      <c r="AW256" s="7">
        <v>0</v>
      </c>
      <c r="AX256" s="7">
        <v>0</v>
      </c>
      <c r="AY256" s="7">
        <v>0</v>
      </c>
      <c r="AZ256" s="7">
        <v>0</v>
      </c>
      <c r="BA256" s="7">
        <v>0</v>
      </c>
      <c r="BB256" s="7">
        <v>0</v>
      </c>
      <c r="BC256" s="7">
        <v>0</v>
      </c>
      <c r="BD256">
        <v>0</v>
      </c>
      <c r="BE256">
        <v>31.32</v>
      </c>
      <c r="BF2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6" s="42" t="str">
        <f>+IF(AVANCE[[#This Row],[FECHA INICIO REAL]]="","",AVANCE[[#This Row],[FECHA INICIO REAL]]-AVANCE[[#This Row],[FECHA INICIO TEORICO]])</f>
        <v/>
      </c>
      <c r="BH2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7" spans="1:61" x14ac:dyDescent="0.25">
      <c r="A257" t="s">
        <v>1055</v>
      </c>
      <c r="B257" t="s">
        <v>1087</v>
      </c>
      <c r="C257">
        <v>2282600256</v>
      </c>
      <c r="D257" t="s">
        <v>833</v>
      </c>
      <c r="E257" s="4">
        <v>0</v>
      </c>
      <c r="F257" s="1">
        <v>46267</v>
      </c>
      <c r="G257" s="1"/>
      <c r="H257" s="1">
        <v>0</v>
      </c>
      <c r="I257" s="1">
        <v>46287</v>
      </c>
      <c r="J257">
        <v>46188</v>
      </c>
      <c r="K257" s="1"/>
      <c r="L257" s="7">
        <v>0</v>
      </c>
      <c r="M257" s="7">
        <v>0</v>
      </c>
      <c r="N257" s="7">
        <v>0</v>
      </c>
      <c r="O257" s="7">
        <v>0</v>
      </c>
      <c r="P257" s="7">
        <v>0</v>
      </c>
      <c r="Q257" s="7">
        <v>0</v>
      </c>
      <c r="R257" s="7">
        <v>0</v>
      </c>
      <c r="S257" s="7">
        <v>0</v>
      </c>
      <c r="T257" s="7">
        <v>0</v>
      </c>
      <c r="U257" s="7">
        <v>0</v>
      </c>
      <c r="V257" s="7">
        <v>0</v>
      </c>
      <c r="W257" s="7">
        <v>0</v>
      </c>
      <c r="X257" s="7">
        <v>0</v>
      </c>
      <c r="Y257" s="7">
        <v>0</v>
      </c>
      <c r="Z257" s="7">
        <v>0</v>
      </c>
      <c r="AA257" s="7">
        <v>0</v>
      </c>
      <c r="AB257" s="7">
        <v>0</v>
      </c>
      <c r="AC257" s="7">
        <v>0</v>
      </c>
      <c r="AD257" s="7">
        <v>0</v>
      </c>
      <c r="AE257" s="7">
        <v>0</v>
      </c>
      <c r="AF257" s="7">
        <v>0</v>
      </c>
      <c r="AG257" s="7">
        <v>0</v>
      </c>
      <c r="AH257" s="7">
        <v>0</v>
      </c>
      <c r="AI257" s="7">
        <v>0</v>
      </c>
      <c r="AJ257" s="7">
        <v>0</v>
      </c>
      <c r="AK257" s="7">
        <v>0</v>
      </c>
      <c r="AL257" s="7">
        <v>0</v>
      </c>
      <c r="AM257" s="7">
        <v>0</v>
      </c>
      <c r="AN257" s="7">
        <v>0</v>
      </c>
      <c r="AO257" s="7">
        <v>0</v>
      </c>
      <c r="AP257" s="7">
        <v>0</v>
      </c>
      <c r="AQ257" s="7">
        <v>0</v>
      </c>
      <c r="AR257" s="7">
        <v>0</v>
      </c>
      <c r="AS257" s="7">
        <v>0</v>
      </c>
      <c r="AT257" s="7">
        <v>0</v>
      </c>
      <c r="AU257" s="7">
        <v>0</v>
      </c>
      <c r="AV257" s="7">
        <v>0</v>
      </c>
      <c r="AW257" s="7">
        <v>0</v>
      </c>
      <c r="AX257" s="7">
        <v>0</v>
      </c>
      <c r="AY257" s="7">
        <v>0</v>
      </c>
      <c r="AZ257" s="7">
        <v>0</v>
      </c>
      <c r="BA257" s="7">
        <v>0</v>
      </c>
      <c r="BB257" s="7">
        <v>0</v>
      </c>
      <c r="BC257" s="7">
        <v>0</v>
      </c>
      <c r="BD257">
        <v>0</v>
      </c>
      <c r="BE257">
        <v>28.87</v>
      </c>
      <c r="BF2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7" s="42" t="str">
        <f>+IF(AVANCE[[#This Row],[FECHA INICIO REAL]]="","",AVANCE[[#This Row],[FECHA INICIO REAL]]-AVANCE[[#This Row],[FECHA INICIO TEORICO]])</f>
        <v/>
      </c>
      <c r="BH2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8" spans="1:61" x14ac:dyDescent="0.25">
      <c r="A258" t="s">
        <v>1088</v>
      </c>
      <c r="B258" t="s">
        <v>1089</v>
      </c>
      <c r="C258">
        <v>2282600257</v>
      </c>
      <c r="D258" t="s">
        <v>833</v>
      </c>
      <c r="E258" s="4">
        <v>0</v>
      </c>
      <c r="F258" s="1">
        <v>46268</v>
      </c>
      <c r="G258" s="1"/>
      <c r="H258" s="1">
        <v>0</v>
      </c>
      <c r="I258" s="1">
        <v>46288</v>
      </c>
      <c r="J258">
        <v>46188</v>
      </c>
      <c r="K258" s="1"/>
      <c r="L258" s="7">
        <v>0</v>
      </c>
      <c r="M258" s="7">
        <v>0</v>
      </c>
      <c r="N258" s="7">
        <v>0</v>
      </c>
      <c r="O258" s="7">
        <v>0</v>
      </c>
      <c r="P258" s="7">
        <v>0</v>
      </c>
      <c r="Q258" s="7">
        <v>0</v>
      </c>
      <c r="R258" s="7">
        <v>0</v>
      </c>
      <c r="S258" s="7">
        <v>0</v>
      </c>
      <c r="T258" s="7">
        <v>0</v>
      </c>
      <c r="U258" s="7">
        <v>0</v>
      </c>
      <c r="V258" s="7">
        <v>0</v>
      </c>
      <c r="W258" s="7">
        <v>0</v>
      </c>
      <c r="X258" s="7">
        <v>0</v>
      </c>
      <c r="Y258" s="7">
        <v>0</v>
      </c>
      <c r="Z258" s="7">
        <v>0</v>
      </c>
      <c r="AA258" s="7">
        <v>0</v>
      </c>
      <c r="AB258" s="7">
        <v>0</v>
      </c>
      <c r="AC258" s="7">
        <v>0</v>
      </c>
      <c r="AD258" s="7">
        <v>0</v>
      </c>
      <c r="AE258" s="7">
        <v>0</v>
      </c>
      <c r="AF258" s="7">
        <v>0</v>
      </c>
      <c r="AG258" s="7">
        <v>0</v>
      </c>
      <c r="AH258" s="7">
        <v>0</v>
      </c>
      <c r="AI258" s="7">
        <v>0</v>
      </c>
      <c r="AJ258" s="7">
        <v>0</v>
      </c>
      <c r="AK258" s="7">
        <v>0</v>
      </c>
      <c r="AL258" s="7">
        <v>0</v>
      </c>
      <c r="AM258" s="7">
        <v>0</v>
      </c>
      <c r="AN258" s="7">
        <v>0</v>
      </c>
      <c r="AO258" s="7">
        <v>0</v>
      </c>
      <c r="AP258" s="7">
        <v>0</v>
      </c>
      <c r="AQ258" s="7">
        <v>0</v>
      </c>
      <c r="AR258" s="7">
        <v>0</v>
      </c>
      <c r="AS258" s="7">
        <v>0</v>
      </c>
      <c r="AT258" s="7">
        <v>0</v>
      </c>
      <c r="AU258" s="7">
        <v>0</v>
      </c>
      <c r="AV258" s="7">
        <v>0</v>
      </c>
      <c r="AW258" s="7">
        <v>0</v>
      </c>
      <c r="AX258" s="7">
        <v>0</v>
      </c>
      <c r="AY258" s="7">
        <v>0</v>
      </c>
      <c r="AZ258" s="7">
        <v>0</v>
      </c>
      <c r="BA258" s="7">
        <v>0</v>
      </c>
      <c r="BB258" s="7">
        <v>0</v>
      </c>
      <c r="BC258" s="7">
        <v>0</v>
      </c>
      <c r="BD258">
        <v>0</v>
      </c>
      <c r="BE258">
        <v>28.87</v>
      </c>
      <c r="BF2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8" s="42" t="str">
        <f>+IF(AVANCE[[#This Row],[FECHA INICIO REAL]]="","",AVANCE[[#This Row],[FECHA INICIO REAL]]-AVANCE[[#This Row],[FECHA INICIO TEORICO]])</f>
        <v/>
      </c>
      <c r="BH2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9" spans="1:61" x14ac:dyDescent="0.25">
      <c r="A259" t="s">
        <v>1088</v>
      </c>
      <c r="B259" t="s">
        <v>1090</v>
      </c>
      <c r="C259">
        <v>2302600258</v>
      </c>
      <c r="D259" t="s">
        <v>834</v>
      </c>
      <c r="E259" s="4">
        <v>0</v>
      </c>
      <c r="F259" s="1">
        <v>46268</v>
      </c>
      <c r="G259" s="1"/>
      <c r="H259" s="1">
        <v>0</v>
      </c>
      <c r="I259" s="1">
        <v>46298</v>
      </c>
      <c r="J259">
        <v>46188</v>
      </c>
      <c r="K259" s="1"/>
      <c r="L259" s="7">
        <v>0</v>
      </c>
      <c r="M259" s="7">
        <v>0</v>
      </c>
      <c r="N259" s="7">
        <v>0</v>
      </c>
      <c r="O259" s="7">
        <v>0</v>
      </c>
      <c r="P259" s="7">
        <v>0</v>
      </c>
      <c r="Q259" s="7">
        <v>0</v>
      </c>
      <c r="R259" s="7">
        <v>0</v>
      </c>
      <c r="S259" s="7">
        <v>0</v>
      </c>
      <c r="T259" s="7">
        <v>0</v>
      </c>
      <c r="U259" s="7">
        <v>0</v>
      </c>
      <c r="V259" s="7">
        <v>0</v>
      </c>
      <c r="W259" s="7">
        <v>0</v>
      </c>
      <c r="X259" s="7">
        <v>0</v>
      </c>
      <c r="Y259" s="7">
        <v>0</v>
      </c>
      <c r="Z259" s="7">
        <v>0</v>
      </c>
      <c r="AA259" s="7">
        <v>0</v>
      </c>
      <c r="AB259" s="7">
        <v>0</v>
      </c>
      <c r="AC259" s="7">
        <v>0</v>
      </c>
      <c r="AD259" s="7">
        <v>0</v>
      </c>
      <c r="AE259" s="7">
        <v>0</v>
      </c>
      <c r="AF259" s="7">
        <v>0</v>
      </c>
      <c r="AG259" s="7">
        <v>0</v>
      </c>
      <c r="AH259" s="7">
        <v>0</v>
      </c>
      <c r="AI259" s="7">
        <v>0</v>
      </c>
      <c r="AJ259" s="7">
        <v>0</v>
      </c>
      <c r="AK259" s="7">
        <v>0</v>
      </c>
      <c r="AL259" s="7">
        <v>0</v>
      </c>
      <c r="AM259" s="7">
        <v>0</v>
      </c>
      <c r="AN259" s="7">
        <v>0</v>
      </c>
      <c r="AO259" s="7">
        <v>0</v>
      </c>
      <c r="AP259" s="7">
        <v>0</v>
      </c>
      <c r="AQ259" s="7">
        <v>0</v>
      </c>
      <c r="AR259" s="7">
        <v>0</v>
      </c>
      <c r="AS259" s="7">
        <v>0</v>
      </c>
      <c r="AT259" s="7">
        <v>0</v>
      </c>
      <c r="AU259" s="7">
        <v>0</v>
      </c>
      <c r="AV259" s="7">
        <v>0</v>
      </c>
      <c r="AW259" s="7">
        <v>0</v>
      </c>
      <c r="AX259" s="7">
        <v>0</v>
      </c>
      <c r="AY259" s="7">
        <v>0</v>
      </c>
      <c r="AZ259" s="7">
        <v>0</v>
      </c>
      <c r="BA259" s="7">
        <v>0</v>
      </c>
      <c r="BB259" s="7">
        <v>0</v>
      </c>
      <c r="BC259" s="7">
        <v>0</v>
      </c>
      <c r="BD259">
        <v>0</v>
      </c>
      <c r="BE259">
        <v>31.32</v>
      </c>
      <c r="BF2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9" s="42" t="str">
        <f>+IF(AVANCE[[#This Row],[FECHA INICIO REAL]]="","",AVANCE[[#This Row],[FECHA INICIO REAL]]-AVANCE[[#This Row],[FECHA INICIO TEORICO]])</f>
        <v/>
      </c>
      <c r="BH2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0" spans="1:61" x14ac:dyDescent="0.25">
      <c r="A260" t="s">
        <v>1088</v>
      </c>
      <c r="B260" t="s">
        <v>1091</v>
      </c>
      <c r="C260">
        <v>2302600259</v>
      </c>
      <c r="D260" t="s">
        <v>834</v>
      </c>
      <c r="E260" s="4">
        <v>0</v>
      </c>
      <c r="F260" s="1">
        <v>46268</v>
      </c>
      <c r="G260" s="1"/>
      <c r="H260" s="1">
        <v>0</v>
      </c>
      <c r="I260" s="1">
        <v>46298</v>
      </c>
      <c r="J260">
        <v>46188</v>
      </c>
      <c r="K260" s="1"/>
      <c r="L260" s="7">
        <v>0</v>
      </c>
      <c r="M260" s="7">
        <v>0</v>
      </c>
      <c r="N260" s="7">
        <v>0</v>
      </c>
      <c r="O260" s="7">
        <v>0</v>
      </c>
      <c r="P260" s="7">
        <v>0</v>
      </c>
      <c r="Q260" s="7">
        <v>0</v>
      </c>
      <c r="R260" s="7">
        <v>0</v>
      </c>
      <c r="S260" s="7">
        <v>0</v>
      </c>
      <c r="T260" s="7">
        <v>0</v>
      </c>
      <c r="U260" s="7">
        <v>0</v>
      </c>
      <c r="V260" s="7">
        <v>0</v>
      </c>
      <c r="W260" s="7">
        <v>0</v>
      </c>
      <c r="X260" s="7">
        <v>0</v>
      </c>
      <c r="Y260" s="7">
        <v>0</v>
      </c>
      <c r="Z260" s="7">
        <v>0</v>
      </c>
      <c r="AA260" s="7">
        <v>0</v>
      </c>
      <c r="AB260" s="7">
        <v>0</v>
      </c>
      <c r="AC260" s="7">
        <v>0</v>
      </c>
      <c r="AD260" s="7">
        <v>0</v>
      </c>
      <c r="AE260" s="7">
        <v>0</v>
      </c>
      <c r="AF260" s="7">
        <v>0</v>
      </c>
      <c r="AG260" s="7">
        <v>0</v>
      </c>
      <c r="AH260" s="7">
        <v>0</v>
      </c>
      <c r="AI260" s="7">
        <v>0</v>
      </c>
      <c r="AJ260" s="7">
        <v>0</v>
      </c>
      <c r="AK260" s="7">
        <v>0</v>
      </c>
      <c r="AL260" s="7">
        <v>0</v>
      </c>
      <c r="AM260" s="7">
        <v>0</v>
      </c>
      <c r="AN260" s="7">
        <v>0</v>
      </c>
      <c r="AO260" s="7">
        <v>0</v>
      </c>
      <c r="AP260" s="7">
        <v>0</v>
      </c>
      <c r="AQ260" s="7">
        <v>0</v>
      </c>
      <c r="AR260" s="7">
        <v>0</v>
      </c>
      <c r="AS260" s="7">
        <v>0</v>
      </c>
      <c r="AT260" s="7">
        <v>0</v>
      </c>
      <c r="AU260" s="7">
        <v>0</v>
      </c>
      <c r="AV260" s="7">
        <v>0</v>
      </c>
      <c r="AW260" s="7">
        <v>0</v>
      </c>
      <c r="AX260" s="7">
        <v>0</v>
      </c>
      <c r="AY260" s="7">
        <v>0</v>
      </c>
      <c r="AZ260" s="7">
        <v>0</v>
      </c>
      <c r="BA260" s="7">
        <v>0</v>
      </c>
      <c r="BB260" s="7">
        <v>0</v>
      </c>
      <c r="BC260" s="7">
        <v>0</v>
      </c>
      <c r="BD260">
        <v>0</v>
      </c>
      <c r="BE260">
        <v>31.32</v>
      </c>
      <c r="BF2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0" s="42" t="str">
        <f>+IF(AVANCE[[#This Row],[FECHA INICIO REAL]]="","",AVANCE[[#This Row],[FECHA INICIO REAL]]-AVANCE[[#This Row],[FECHA INICIO TEORICO]])</f>
        <v/>
      </c>
      <c r="BH2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1" spans="1:61" x14ac:dyDescent="0.25">
      <c r="A261" t="s">
        <v>1088</v>
      </c>
      <c r="B261" t="s">
        <v>1092</v>
      </c>
      <c r="C261">
        <v>2282600260</v>
      </c>
      <c r="D261" t="s">
        <v>833</v>
      </c>
      <c r="E261" s="4">
        <v>0</v>
      </c>
      <c r="F261" s="1">
        <v>46269</v>
      </c>
      <c r="G261" s="1"/>
      <c r="H261" s="1">
        <v>0</v>
      </c>
      <c r="I261" s="1">
        <v>46289</v>
      </c>
      <c r="J261">
        <v>46188</v>
      </c>
      <c r="K261" s="1"/>
      <c r="L261" s="7">
        <v>0</v>
      </c>
      <c r="M261" s="7">
        <v>0</v>
      </c>
      <c r="N261" s="7">
        <v>0</v>
      </c>
      <c r="O261" s="7">
        <v>0</v>
      </c>
      <c r="P261" s="7">
        <v>0</v>
      </c>
      <c r="Q261" s="7">
        <v>0</v>
      </c>
      <c r="R261" s="7">
        <v>0</v>
      </c>
      <c r="S261" s="7">
        <v>0</v>
      </c>
      <c r="T261" s="7">
        <v>0</v>
      </c>
      <c r="U261" s="7">
        <v>0</v>
      </c>
      <c r="V261" s="7">
        <v>0</v>
      </c>
      <c r="W261" s="7">
        <v>0</v>
      </c>
      <c r="X261" s="7">
        <v>0</v>
      </c>
      <c r="Y261" s="7">
        <v>0</v>
      </c>
      <c r="Z261" s="7">
        <v>0</v>
      </c>
      <c r="AA261" s="7">
        <v>0</v>
      </c>
      <c r="AB261" s="7">
        <v>0</v>
      </c>
      <c r="AC261" s="7">
        <v>0</v>
      </c>
      <c r="AD261" s="7">
        <v>0</v>
      </c>
      <c r="AE261" s="7">
        <v>0</v>
      </c>
      <c r="AF261" s="7">
        <v>0</v>
      </c>
      <c r="AG261" s="7">
        <v>0</v>
      </c>
      <c r="AH261" s="7">
        <v>0</v>
      </c>
      <c r="AI261" s="7">
        <v>0</v>
      </c>
      <c r="AJ261" s="7">
        <v>0</v>
      </c>
      <c r="AK261" s="7">
        <v>0</v>
      </c>
      <c r="AL261" s="7">
        <v>0</v>
      </c>
      <c r="AM261" s="7">
        <v>0</v>
      </c>
      <c r="AN261" s="7">
        <v>0</v>
      </c>
      <c r="AO261" s="7">
        <v>0</v>
      </c>
      <c r="AP261" s="7">
        <v>0</v>
      </c>
      <c r="AQ261" s="7">
        <v>0</v>
      </c>
      <c r="AR261" s="7">
        <v>0</v>
      </c>
      <c r="AS261" s="7">
        <v>0</v>
      </c>
      <c r="AT261" s="7">
        <v>0</v>
      </c>
      <c r="AU261" s="7">
        <v>0</v>
      </c>
      <c r="AV261" s="7">
        <v>0</v>
      </c>
      <c r="AW261" s="7">
        <v>0</v>
      </c>
      <c r="AX261" s="7">
        <v>0</v>
      </c>
      <c r="AY261" s="7">
        <v>0</v>
      </c>
      <c r="AZ261" s="7">
        <v>0</v>
      </c>
      <c r="BA261" s="7">
        <v>0</v>
      </c>
      <c r="BB261" s="7">
        <v>0</v>
      </c>
      <c r="BC261" s="7">
        <v>0</v>
      </c>
      <c r="BD261">
        <v>0</v>
      </c>
      <c r="BE261">
        <v>28.87</v>
      </c>
      <c r="BF2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1" s="42" t="str">
        <f>+IF(AVANCE[[#This Row],[FECHA INICIO REAL]]="","",AVANCE[[#This Row],[FECHA INICIO REAL]]-AVANCE[[#This Row],[FECHA INICIO TEORICO]])</f>
        <v/>
      </c>
      <c r="BH2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2" spans="1:61" x14ac:dyDescent="0.25">
      <c r="A262" t="s">
        <v>1088</v>
      </c>
      <c r="B262" t="s">
        <v>1093</v>
      </c>
      <c r="C262">
        <v>2282600261</v>
      </c>
      <c r="D262" t="s">
        <v>833</v>
      </c>
      <c r="E262" s="4">
        <v>0</v>
      </c>
      <c r="F262" s="1">
        <v>46269</v>
      </c>
      <c r="G262" s="1"/>
      <c r="H262" s="1">
        <v>0</v>
      </c>
      <c r="I262" s="1">
        <v>46289</v>
      </c>
      <c r="J262">
        <v>46188</v>
      </c>
      <c r="K262" s="1"/>
      <c r="L262" s="7">
        <v>0</v>
      </c>
      <c r="M262" s="7">
        <v>0</v>
      </c>
      <c r="N262" s="7">
        <v>0</v>
      </c>
      <c r="O262" s="7">
        <v>0</v>
      </c>
      <c r="P262" s="7">
        <v>0</v>
      </c>
      <c r="Q262" s="7">
        <v>0</v>
      </c>
      <c r="R262" s="7">
        <v>0</v>
      </c>
      <c r="S262" s="7">
        <v>0</v>
      </c>
      <c r="T262" s="7">
        <v>0</v>
      </c>
      <c r="U262" s="7">
        <v>0</v>
      </c>
      <c r="V262" s="7">
        <v>0</v>
      </c>
      <c r="W262" s="7">
        <v>0</v>
      </c>
      <c r="X262" s="7">
        <v>0</v>
      </c>
      <c r="Y262" s="7">
        <v>0</v>
      </c>
      <c r="Z262" s="7">
        <v>0</v>
      </c>
      <c r="AA262" s="7">
        <v>0</v>
      </c>
      <c r="AB262" s="7">
        <v>0</v>
      </c>
      <c r="AC262" s="7">
        <v>0</v>
      </c>
      <c r="AD262" s="7">
        <v>0</v>
      </c>
      <c r="AE262" s="7">
        <v>0</v>
      </c>
      <c r="AF262" s="7">
        <v>0</v>
      </c>
      <c r="AG262" s="7">
        <v>0</v>
      </c>
      <c r="AH262" s="7">
        <v>0</v>
      </c>
      <c r="AI262" s="7">
        <v>0</v>
      </c>
      <c r="AJ262" s="7">
        <v>0</v>
      </c>
      <c r="AK262" s="7">
        <v>0</v>
      </c>
      <c r="AL262" s="7">
        <v>0</v>
      </c>
      <c r="AM262" s="7">
        <v>0</v>
      </c>
      <c r="AN262" s="7">
        <v>0</v>
      </c>
      <c r="AO262" s="7">
        <v>0</v>
      </c>
      <c r="AP262" s="7">
        <v>0</v>
      </c>
      <c r="AQ262" s="7">
        <v>0</v>
      </c>
      <c r="AR262" s="7">
        <v>0</v>
      </c>
      <c r="AS262" s="7">
        <v>0</v>
      </c>
      <c r="AT262" s="7">
        <v>0</v>
      </c>
      <c r="AU262" s="7">
        <v>0</v>
      </c>
      <c r="AV262" s="7">
        <v>0</v>
      </c>
      <c r="AW262" s="7">
        <v>0</v>
      </c>
      <c r="AX262" s="7">
        <v>0</v>
      </c>
      <c r="AY262" s="7">
        <v>0</v>
      </c>
      <c r="AZ262" s="7">
        <v>0</v>
      </c>
      <c r="BA262" s="7">
        <v>0</v>
      </c>
      <c r="BB262" s="7">
        <v>0</v>
      </c>
      <c r="BC262" s="7">
        <v>0</v>
      </c>
      <c r="BD262">
        <v>0</v>
      </c>
      <c r="BE262">
        <v>28.87</v>
      </c>
      <c r="BF2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2" s="42" t="str">
        <f>+IF(AVANCE[[#This Row],[FECHA INICIO REAL]]="","",AVANCE[[#This Row],[FECHA INICIO REAL]]-AVANCE[[#This Row],[FECHA INICIO TEORICO]])</f>
        <v/>
      </c>
      <c r="BH2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3" spans="1:61" x14ac:dyDescent="0.25">
      <c r="A263" t="s">
        <v>1088</v>
      </c>
      <c r="B263" t="s">
        <v>1094</v>
      </c>
      <c r="C263">
        <v>2302600262</v>
      </c>
      <c r="D263" t="s">
        <v>834</v>
      </c>
      <c r="E263" s="4">
        <v>0</v>
      </c>
      <c r="F263" s="1">
        <v>46269</v>
      </c>
      <c r="G263" s="1"/>
      <c r="H263" s="1">
        <v>0</v>
      </c>
      <c r="I263" s="1">
        <v>46299</v>
      </c>
      <c r="J263">
        <v>46188</v>
      </c>
      <c r="K263" s="1"/>
      <c r="L263" s="7">
        <v>0</v>
      </c>
      <c r="M263" s="7">
        <v>0</v>
      </c>
      <c r="N263" s="7">
        <v>0</v>
      </c>
      <c r="O263" s="7">
        <v>0</v>
      </c>
      <c r="P263" s="7">
        <v>0</v>
      </c>
      <c r="Q263" s="7">
        <v>0</v>
      </c>
      <c r="R263" s="7">
        <v>0</v>
      </c>
      <c r="S263" s="7">
        <v>0</v>
      </c>
      <c r="T263" s="7">
        <v>0</v>
      </c>
      <c r="U263" s="7">
        <v>0</v>
      </c>
      <c r="V263" s="7">
        <v>0</v>
      </c>
      <c r="W263" s="7">
        <v>0</v>
      </c>
      <c r="X263" s="7">
        <v>0</v>
      </c>
      <c r="Y263" s="7">
        <v>0</v>
      </c>
      <c r="Z263" s="7">
        <v>0</v>
      </c>
      <c r="AA263" s="7">
        <v>0</v>
      </c>
      <c r="AB263" s="7">
        <v>0</v>
      </c>
      <c r="AC263" s="7">
        <v>0</v>
      </c>
      <c r="AD263" s="7">
        <v>0</v>
      </c>
      <c r="AE263" s="7">
        <v>0</v>
      </c>
      <c r="AF263" s="7">
        <v>0</v>
      </c>
      <c r="AG263" s="7">
        <v>0</v>
      </c>
      <c r="AH263" s="7">
        <v>0</v>
      </c>
      <c r="AI263" s="7">
        <v>0</v>
      </c>
      <c r="AJ263" s="7">
        <v>0</v>
      </c>
      <c r="AK263" s="7">
        <v>0</v>
      </c>
      <c r="AL263" s="7">
        <v>0</v>
      </c>
      <c r="AM263" s="7">
        <v>0</v>
      </c>
      <c r="AN263" s="7">
        <v>0</v>
      </c>
      <c r="AO263" s="7">
        <v>0</v>
      </c>
      <c r="AP263" s="7">
        <v>0</v>
      </c>
      <c r="AQ263" s="7">
        <v>0</v>
      </c>
      <c r="AR263" s="7">
        <v>0</v>
      </c>
      <c r="AS263" s="7">
        <v>0</v>
      </c>
      <c r="AT263" s="7">
        <v>0</v>
      </c>
      <c r="AU263" s="7">
        <v>0</v>
      </c>
      <c r="AV263" s="7">
        <v>0</v>
      </c>
      <c r="AW263" s="7">
        <v>0</v>
      </c>
      <c r="AX263" s="7">
        <v>0</v>
      </c>
      <c r="AY263" s="7">
        <v>0</v>
      </c>
      <c r="AZ263" s="7">
        <v>0</v>
      </c>
      <c r="BA263" s="7">
        <v>0</v>
      </c>
      <c r="BB263" s="7">
        <v>0</v>
      </c>
      <c r="BC263" s="7">
        <v>0</v>
      </c>
      <c r="BD263">
        <v>0</v>
      </c>
      <c r="BE263">
        <v>31.32</v>
      </c>
      <c r="BF2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3" s="42" t="str">
        <f>+IF(AVANCE[[#This Row],[FECHA INICIO REAL]]="","",AVANCE[[#This Row],[FECHA INICIO REAL]]-AVANCE[[#This Row],[FECHA INICIO TEORICO]])</f>
        <v/>
      </c>
      <c r="BH2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4" spans="1:61" x14ac:dyDescent="0.25">
      <c r="A264" t="s">
        <v>1088</v>
      </c>
      <c r="B264" t="s">
        <v>1095</v>
      </c>
      <c r="C264">
        <v>2302600263</v>
      </c>
      <c r="D264" t="s">
        <v>834</v>
      </c>
      <c r="E264" s="4">
        <v>0</v>
      </c>
      <c r="F264" s="1">
        <v>46272</v>
      </c>
      <c r="G264" s="1"/>
      <c r="H264" s="1">
        <v>0</v>
      </c>
      <c r="I264" s="1">
        <v>46302</v>
      </c>
      <c r="J264">
        <v>46188</v>
      </c>
      <c r="K264" s="1"/>
      <c r="L264" s="7">
        <v>0</v>
      </c>
      <c r="M264" s="7">
        <v>0</v>
      </c>
      <c r="N264" s="7">
        <v>0</v>
      </c>
      <c r="O264" s="7">
        <v>0</v>
      </c>
      <c r="P264" s="7">
        <v>0</v>
      </c>
      <c r="Q264" s="7">
        <v>0</v>
      </c>
      <c r="R264" s="7">
        <v>0</v>
      </c>
      <c r="S264" s="7">
        <v>0</v>
      </c>
      <c r="T264" s="7">
        <v>0</v>
      </c>
      <c r="U264" s="7">
        <v>0</v>
      </c>
      <c r="V264" s="7">
        <v>0</v>
      </c>
      <c r="W264" s="7">
        <v>0</v>
      </c>
      <c r="X264" s="7">
        <v>0</v>
      </c>
      <c r="Y264" s="7">
        <v>0</v>
      </c>
      <c r="Z264" s="7">
        <v>0</v>
      </c>
      <c r="AA264" s="7">
        <v>0</v>
      </c>
      <c r="AB264" s="7">
        <v>0</v>
      </c>
      <c r="AC264" s="7">
        <v>0</v>
      </c>
      <c r="AD264" s="7">
        <v>0</v>
      </c>
      <c r="AE264" s="7">
        <v>0</v>
      </c>
      <c r="AF264" s="7">
        <v>0</v>
      </c>
      <c r="AG264" s="7">
        <v>0</v>
      </c>
      <c r="AH264" s="7">
        <v>0</v>
      </c>
      <c r="AI264" s="7">
        <v>0</v>
      </c>
      <c r="AJ264" s="7">
        <v>0</v>
      </c>
      <c r="AK264" s="7">
        <v>0</v>
      </c>
      <c r="AL264" s="7">
        <v>0</v>
      </c>
      <c r="AM264" s="7">
        <v>0</v>
      </c>
      <c r="AN264" s="7">
        <v>0</v>
      </c>
      <c r="AO264" s="7">
        <v>0</v>
      </c>
      <c r="AP264" s="7">
        <v>0</v>
      </c>
      <c r="AQ264" s="7">
        <v>0</v>
      </c>
      <c r="AR264" s="7">
        <v>0</v>
      </c>
      <c r="AS264" s="7">
        <v>0</v>
      </c>
      <c r="AT264" s="7">
        <v>0</v>
      </c>
      <c r="AU264" s="7">
        <v>0</v>
      </c>
      <c r="AV264" s="7">
        <v>0</v>
      </c>
      <c r="AW264" s="7">
        <v>0</v>
      </c>
      <c r="AX264" s="7">
        <v>0</v>
      </c>
      <c r="AY264" s="7">
        <v>0</v>
      </c>
      <c r="AZ264" s="7">
        <v>0</v>
      </c>
      <c r="BA264" s="7">
        <v>0</v>
      </c>
      <c r="BB264" s="7">
        <v>0</v>
      </c>
      <c r="BC264" s="7">
        <v>0</v>
      </c>
      <c r="BD264">
        <v>0</v>
      </c>
      <c r="BE264">
        <v>31.32</v>
      </c>
      <c r="BF2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4" s="42" t="str">
        <f>+IF(AVANCE[[#This Row],[FECHA INICIO REAL]]="","",AVANCE[[#This Row],[FECHA INICIO REAL]]-AVANCE[[#This Row],[FECHA INICIO TEORICO]])</f>
        <v/>
      </c>
      <c r="BH2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5" spans="1:61" x14ac:dyDescent="0.25">
      <c r="A265" t="s">
        <v>1088</v>
      </c>
      <c r="B265" t="s">
        <v>1096</v>
      </c>
      <c r="C265">
        <v>2282600264</v>
      </c>
      <c r="D265" t="s">
        <v>833</v>
      </c>
      <c r="E265" s="4">
        <v>0</v>
      </c>
      <c r="F265" s="1">
        <v>46272</v>
      </c>
      <c r="G265" s="1"/>
      <c r="H265" s="1">
        <v>0</v>
      </c>
      <c r="I265" s="1">
        <v>46292</v>
      </c>
      <c r="J265">
        <v>46188</v>
      </c>
      <c r="K265" s="1"/>
      <c r="L265" s="7">
        <v>0</v>
      </c>
      <c r="M265" s="7">
        <v>0</v>
      </c>
      <c r="N265" s="7">
        <v>0</v>
      </c>
      <c r="O265" s="7">
        <v>0</v>
      </c>
      <c r="P265" s="7">
        <v>0</v>
      </c>
      <c r="Q265" s="7">
        <v>0</v>
      </c>
      <c r="R265" s="7">
        <v>0</v>
      </c>
      <c r="S265" s="7">
        <v>0</v>
      </c>
      <c r="T265" s="7">
        <v>0</v>
      </c>
      <c r="U265" s="7">
        <v>0</v>
      </c>
      <c r="V265" s="7">
        <v>0</v>
      </c>
      <c r="W265" s="7">
        <v>0</v>
      </c>
      <c r="X265" s="7">
        <v>0</v>
      </c>
      <c r="Y265" s="7">
        <v>0</v>
      </c>
      <c r="Z265" s="7">
        <v>0</v>
      </c>
      <c r="AA265" s="7">
        <v>0</v>
      </c>
      <c r="AB265" s="7">
        <v>0</v>
      </c>
      <c r="AC265" s="7">
        <v>0</v>
      </c>
      <c r="AD265" s="7">
        <v>0</v>
      </c>
      <c r="AE265" s="7">
        <v>0</v>
      </c>
      <c r="AF265" s="7">
        <v>0</v>
      </c>
      <c r="AG265" s="7">
        <v>0</v>
      </c>
      <c r="AH265" s="7">
        <v>0</v>
      </c>
      <c r="AI265" s="7">
        <v>0</v>
      </c>
      <c r="AJ265" s="7">
        <v>0</v>
      </c>
      <c r="AK265" s="7">
        <v>0</v>
      </c>
      <c r="AL265" s="7">
        <v>0</v>
      </c>
      <c r="AM265" s="7">
        <v>0</v>
      </c>
      <c r="AN265" s="7">
        <v>0</v>
      </c>
      <c r="AO265" s="7">
        <v>0</v>
      </c>
      <c r="AP265" s="7">
        <v>0</v>
      </c>
      <c r="AQ265" s="7">
        <v>0</v>
      </c>
      <c r="AR265" s="7">
        <v>0</v>
      </c>
      <c r="AS265" s="7">
        <v>0</v>
      </c>
      <c r="AT265" s="7">
        <v>0</v>
      </c>
      <c r="AU265" s="7">
        <v>0</v>
      </c>
      <c r="AV265" s="7">
        <v>0</v>
      </c>
      <c r="AW265" s="7">
        <v>0</v>
      </c>
      <c r="AX265" s="7">
        <v>0</v>
      </c>
      <c r="AY265" s="7">
        <v>0</v>
      </c>
      <c r="AZ265" s="7">
        <v>0</v>
      </c>
      <c r="BA265" s="7">
        <v>0</v>
      </c>
      <c r="BB265" s="7">
        <v>0</v>
      </c>
      <c r="BC265" s="7">
        <v>0</v>
      </c>
      <c r="BD265">
        <v>0</v>
      </c>
      <c r="BE265">
        <v>28.87</v>
      </c>
      <c r="BF2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5" s="42" t="str">
        <f>+IF(AVANCE[[#This Row],[FECHA INICIO REAL]]="","",AVANCE[[#This Row],[FECHA INICIO REAL]]-AVANCE[[#This Row],[FECHA INICIO TEORICO]])</f>
        <v/>
      </c>
      <c r="BH2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6" spans="1:61" x14ac:dyDescent="0.25">
      <c r="A266" t="s">
        <v>1088</v>
      </c>
      <c r="B266" t="s">
        <v>1097</v>
      </c>
      <c r="C266">
        <v>2282600265</v>
      </c>
      <c r="D266" t="s">
        <v>833</v>
      </c>
      <c r="E266" s="4">
        <v>0</v>
      </c>
      <c r="F266" s="1">
        <v>46272</v>
      </c>
      <c r="G266" s="1"/>
      <c r="H266" s="1">
        <v>0</v>
      </c>
      <c r="I266" s="1">
        <v>46292</v>
      </c>
      <c r="J266">
        <v>46188</v>
      </c>
      <c r="K266" s="1"/>
      <c r="L266" s="7">
        <v>0</v>
      </c>
      <c r="M266" s="7">
        <v>0</v>
      </c>
      <c r="N266" s="7">
        <v>0</v>
      </c>
      <c r="O266" s="7">
        <v>0</v>
      </c>
      <c r="P266" s="7">
        <v>0</v>
      </c>
      <c r="Q266" s="7">
        <v>0</v>
      </c>
      <c r="R266" s="7">
        <v>0</v>
      </c>
      <c r="S266" s="7">
        <v>0</v>
      </c>
      <c r="T266" s="7">
        <v>0</v>
      </c>
      <c r="U266" s="7">
        <v>0</v>
      </c>
      <c r="V266" s="7">
        <v>0</v>
      </c>
      <c r="W266" s="7">
        <v>0</v>
      </c>
      <c r="X266" s="7">
        <v>0</v>
      </c>
      <c r="Y266" s="7">
        <v>0</v>
      </c>
      <c r="Z266" s="7">
        <v>0</v>
      </c>
      <c r="AA266" s="7">
        <v>0</v>
      </c>
      <c r="AB266" s="7">
        <v>0</v>
      </c>
      <c r="AC266" s="7">
        <v>0</v>
      </c>
      <c r="AD266" s="7">
        <v>0</v>
      </c>
      <c r="AE266" s="7">
        <v>0</v>
      </c>
      <c r="AF266" s="7">
        <v>0</v>
      </c>
      <c r="AG266" s="7">
        <v>0</v>
      </c>
      <c r="AH266" s="7">
        <v>0</v>
      </c>
      <c r="AI266" s="7">
        <v>0</v>
      </c>
      <c r="AJ266" s="7">
        <v>0</v>
      </c>
      <c r="AK266" s="7">
        <v>0</v>
      </c>
      <c r="AL266" s="7">
        <v>0</v>
      </c>
      <c r="AM266" s="7">
        <v>0</v>
      </c>
      <c r="AN266" s="7">
        <v>0</v>
      </c>
      <c r="AO266" s="7">
        <v>0</v>
      </c>
      <c r="AP266" s="7">
        <v>0</v>
      </c>
      <c r="AQ266" s="7">
        <v>0</v>
      </c>
      <c r="AR266" s="7">
        <v>0</v>
      </c>
      <c r="AS266" s="7">
        <v>0</v>
      </c>
      <c r="AT266" s="7">
        <v>0</v>
      </c>
      <c r="AU266" s="7">
        <v>0</v>
      </c>
      <c r="AV266" s="7">
        <v>0</v>
      </c>
      <c r="AW266" s="7">
        <v>0</v>
      </c>
      <c r="AX266" s="7">
        <v>0</v>
      </c>
      <c r="AY266" s="7">
        <v>0</v>
      </c>
      <c r="AZ266" s="7">
        <v>0</v>
      </c>
      <c r="BA266" s="7">
        <v>0</v>
      </c>
      <c r="BB266" s="7">
        <v>0</v>
      </c>
      <c r="BC266" s="7">
        <v>0</v>
      </c>
      <c r="BD266">
        <v>0</v>
      </c>
      <c r="BE266">
        <v>28.87</v>
      </c>
      <c r="BF2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6" s="42" t="str">
        <f>+IF(AVANCE[[#This Row],[FECHA INICIO REAL]]="","",AVANCE[[#This Row],[FECHA INICIO REAL]]-AVANCE[[#This Row],[FECHA INICIO TEORICO]])</f>
        <v/>
      </c>
      <c r="BH2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7" spans="1:61" x14ac:dyDescent="0.25">
      <c r="A267" t="s">
        <v>1088</v>
      </c>
      <c r="B267" t="s">
        <v>1098</v>
      </c>
      <c r="C267">
        <v>2302600266</v>
      </c>
      <c r="D267" t="s">
        <v>834</v>
      </c>
      <c r="E267" s="4">
        <v>0</v>
      </c>
      <c r="F267" s="1">
        <v>46273</v>
      </c>
      <c r="G267" s="1"/>
      <c r="H267" s="1">
        <v>0</v>
      </c>
      <c r="I267" s="1">
        <v>46303</v>
      </c>
      <c r="J267">
        <v>46188</v>
      </c>
      <c r="K267" s="1"/>
      <c r="L267" s="7">
        <v>0</v>
      </c>
      <c r="M267" s="7">
        <v>0</v>
      </c>
      <c r="N267" s="7">
        <v>0</v>
      </c>
      <c r="O267" s="7">
        <v>0</v>
      </c>
      <c r="P267" s="7">
        <v>0</v>
      </c>
      <c r="Q267" s="7">
        <v>0</v>
      </c>
      <c r="R267" s="7">
        <v>0</v>
      </c>
      <c r="S267" s="7">
        <v>0</v>
      </c>
      <c r="T267" s="7">
        <v>0</v>
      </c>
      <c r="U267" s="7">
        <v>0</v>
      </c>
      <c r="V267" s="7">
        <v>0</v>
      </c>
      <c r="W267" s="7">
        <v>0</v>
      </c>
      <c r="X267" s="7">
        <v>0</v>
      </c>
      <c r="Y267" s="7">
        <v>0</v>
      </c>
      <c r="Z267" s="7">
        <v>0</v>
      </c>
      <c r="AA267" s="7">
        <v>0</v>
      </c>
      <c r="AB267" s="7">
        <v>0</v>
      </c>
      <c r="AC267" s="7">
        <v>0</v>
      </c>
      <c r="AD267" s="7">
        <v>0</v>
      </c>
      <c r="AE267" s="7">
        <v>0</v>
      </c>
      <c r="AF267" s="7">
        <v>0</v>
      </c>
      <c r="AG267" s="7">
        <v>0</v>
      </c>
      <c r="AH267" s="7">
        <v>0</v>
      </c>
      <c r="AI267" s="7">
        <v>0</v>
      </c>
      <c r="AJ267" s="7">
        <v>0</v>
      </c>
      <c r="AK267" s="7">
        <v>0</v>
      </c>
      <c r="AL267" s="7">
        <v>0</v>
      </c>
      <c r="AM267" s="7">
        <v>0</v>
      </c>
      <c r="AN267" s="7">
        <v>0</v>
      </c>
      <c r="AO267" s="7">
        <v>0</v>
      </c>
      <c r="AP267" s="7">
        <v>0</v>
      </c>
      <c r="AQ267" s="7">
        <v>0</v>
      </c>
      <c r="AR267" s="7">
        <v>0</v>
      </c>
      <c r="AS267" s="7">
        <v>0</v>
      </c>
      <c r="AT267" s="7">
        <v>0</v>
      </c>
      <c r="AU267" s="7">
        <v>0</v>
      </c>
      <c r="AV267" s="7">
        <v>0</v>
      </c>
      <c r="AW267" s="7">
        <v>0</v>
      </c>
      <c r="AX267" s="7">
        <v>0</v>
      </c>
      <c r="AY267" s="7">
        <v>0</v>
      </c>
      <c r="AZ267" s="7">
        <v>0</v>
      </c>
      <c r="BA267" s="7">
        <v>0</v>
      </c>
      <c r="BB267" s="7">
        <v>0</v>
      </c>
      <c r="BC267" s="7">
        <v>0</v>
      </c>
      <c r="BD267">
        <v>0</v>
      </c>
      <c r="BE267">
        <v>31.32</v>
      </c>
      <c r="BF2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7" s="42" t="str">
        <f>+IF(AVANCE[[#This Row],[FECHA INICIO REAL]]="","",AVANCE[[#This Row],[FECHA INICIO REAL]]-AVANCE[[#This Row],[FECHA INICIO TEORICO]])</f>
        <v/>
      </c>
      <c r="BH2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8" spans="1:61" x14ac:dyDescent="0.25">
      <c r="A268" t="s">
        <v>1088</v>
      </c>
      <c r="B268" t="s">
        <v>1099</v>
      </c>
      <c r="C268">
        <v>2302600267</v>
      </c>
      <c r="D268" t="s">
        <v>834</v>
      </c>
      <c r="E268" s="4">
        <v>0</v>
      </c>
      <c r="F268" s="1">
        <v>46273</v>
      </c>
      <c r="G268" s="1"/>
      <c r="H268" s="1">
        <v>0</v>
      </c>
      <c r="I268" s="1">
        <v>46303</v>
      </c>
      <c r="J268">
        <v>46188</v>
      </c>
      <c r="K268" s="1"/>
      <c r="L268" s="7">
        <v>0</v>
      </c>
      <c r="M268" s="7">
        <v>0</v>
      </c>
      <c r="N268" s="7">
        <v>0</v>
      </c>
      <c r="O268" s="7">
        <v>0</v>
      </c>
      <c r="P268" s="7">
        <v>0</v>
      </c>
      <c r="Q268" s="7">
        <v>0</v>
      </c>
      <c r="R268" s="7">
        <v>0</v>
      </c>
      <c r="S268" s="7">
        <v>0</v>
      </c>
      <c r="T268" s="7">
        <v>0</v>
      </c>
      <c r="U268" s="7">
        <v>0</v>
      </c>
      <c r="V268" s="7">
        <v>0</v>
      </c>
      <c r="W268" s="7">
        <v>0</v>
      </c>
      <c r="X268" s="7">
        <v>0</v>
      </c>
      <c r="Y268" s="7">
        <v>0</v>
      </c>
      <c r="Z268" s="7">
        <v>0</v>
      </c>
      <c r="AA268" s="7">
        <v>0</v>
      </c>
      <c r="AB268" s="7">
        <v>0</v>
      </c>
      <c r="AC268" s="7">
        <v>0</v>
      </c>
      <c r="AD268" s="7">
        <v>0</v>
      </c>
      <c r="AE268" s="7">
        <v>0</v>
      </c>
      <c r="AF268" s="7">
        <v>0</v>
      </c>
      <c r="AG268" s="7">
        <v>0</v>
      </c>
      <c r="AH268" s="7">
        <v>0</v>
      </c>
      <c r="AI268" s="7">
        <v>0</v>
      </c>
      <c r="AJ268" s="7">
        <v>0</v>
      </c>
      <c r="AK268" s="7">
        <v>0</v>
      </c>
      <c r="AL268" s="7">
        <v>0</v>
      </c>
      <c r="AM268" s="7">
        <v>0</v>
      </c>
      <c r="AN268" s="7">
        <v>0</v>
      </c>
      <c r="AO268" s="7">
        <v>0</v>
      </c>
      <c r="AP268" s="7">
        <v>0</v>
      </c>
      <c r="AQ268" s="7">
        <v>0</v>
      </c>
      <c r="AR268" s="7">
        <v>0</v>
      </c>
      <c r="AS268" s="7">
        <v>0</v>
      </c>
      <c r="AT268" s="7">
        <v>0</v>
      </c>
      <c r="AU268" s="7">
        <v>0</v>
      </c>
      <c r="AV268" s="7">
        <v>0</v>
      </c>
      <c r="AW268" s="7">
        <v>0</v>
      </c>
      <c r="AX268" s="7">
        <v>0</v>
      </c>
      <c r="AY268" s="7">
        <v>0</v>
      </c>
      <c r="AZ268" s="7">
        <v>0</v>
      </c>
      <c r="BA268" s="7">
        <v>0</v>
      </c>
      <c r="BB268" s="7">
        <v>0</v>
      </c>
      <c r="BC268" s="7">
        <v>0</v>
      </c>
      <c r="BD268">
        <v>0</v>
      </c>
      <c r="BE268">
        <v>31.32</v>
      </c>
      <c r="BF2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8" s="42" t="str">
        <f>+IF(AVANCE[[#This Row],[FECHA INICIO REAL]]="","",AVANCE[[#This Row],[FECHA INICIO REAL]]-AVANCE[[#This Row],[FECHA INICIO TEORICO]])</f>
        <v/>
      </c>
      <c r="BH2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9" spans="1:61" x14ac:dyDescent="0.25">
      <c r="A269" t="s">
        <v>1088</v>
      </c>
      <c r="B269" t="s">
        <v>1100</v>
      </c>
      <c r="C269">
        <v>2282600268</v>
      </c>
      <c r="D269" t="s">
        <v>833</v>
      </c>
      <c r="E269" s="4">
        <v>0</v>
      </c>
      <c r="F269" s="1">
        <v>46273</v>
      </c>
      <c r="G269" s="1"/>
      <c r="H269" s="1">
        <v>0</v>
      </c>
      <c r="I269" s="1">
        <v>46293</v>
      </c>
      <c r="J269">
        <v>46188</v>
      </c>
      <c r="K269" s="1"/>
      <c r="L269" s="7">
        <v>0</v>
      </c>
      <c r="M269" s="7">
        <v>0</v>
      </c>
      <c r="N269" s="7">
        <v>0</v>
      </c>
      <c r="O269" s="7">
        <v>0</v>
      </c>
      <c r="P269" s="7">
        <v>0</v>
      </c>
      <c r="Q269" s="7">
        <v>0</v>
      </c>
      <c r="R269" s="7">
        <v>0</v>
      </c>
      <c r="S269" s="7">
        <v>0</v>
      </c>
      <c r="T269" s="7">
        <v>0</v>
      </c>
      <c r="U269" s="7">
        <v>0</v>
      </c>
      <c r="V269" s="7">
        <v>0</v>
      </c>
      <c r="W269" s="7">
        <v>0</v>
      </c>
      <c r="X269" s="7">
        <v>0</v>
      </c>
      <c r="Y269" s="7">
        <v>0</v>
      </c>
      <c r="Z269" s="7">
        <v>0</v>
      </c>
      <c r="AA269" s="7">
        <v>0</v>
      </c>
      <c r="AB269" s="7">
        <v>0</v>
      </c>
      <c r="AC269" s="7">
        <v>0</v>
      </c>
      <c r="AD269" s="7">
        <v>0</v>
      </c>
      <c r="AE269" s="7">
        <v>0</v>
      </c>
      <c r="AF269" s="7">
        <v>0</v>
      </c>
      <c r="AG269" s="7">
        <v>0</v>
      </c>
      <c r="AH269" s="7">
        <v>0</v>
      </c>
      <c r="AI269" s="7">
        <v>0</v>
      </c>
      <c r="AJ269" s="7">
        <v>0</v>
      </c>
      <c r="AK269" s="7">
        <v>0</v>
      </c>
      <c r="AL269" s="7">
        <v>0</v>
      </c>
      <c r="AM269" s="7">
        <v>0</v>
      </c>
      <c r="AN269" s="7">
        <v>0</v>
      </c>
      <c r="AO269" s="7">
        <v>0</v>
      </c>
      <c r="AP269" s="7">
        <v>0</v>
      </c>
      <c r="AQ269" s="7">
        <v>0</v>
      </c>
      <c r="AR269" s="7">
        <v>0</v>
      </c>
      <c r="AS269" s="7">
        <v>0</v>
      </c>
      <c r="AT269" s="7">
        <v>0</v>
      </c>
      <c r="AU269" s="7">
        <v>0</v>
      </c>
      <c r="AV269" s="7">
        <v>0</v>
      </c>
      <c r="AW269" s="7">
        <v>0</v>
      </c>
      <c r="AX269" s="7">
        <v>0</v>
      </c>
      <c r="AY269" s="7">
        <v>0</v>
      </c>
      <c r="AZ269" s="7">
        <v>0</v>
      </c>
      <c r="BA269" s="7">
        <v>0</v>
      </c>
      <c r="BB269" s="7">
        <v>0</v>
      </c>
      <c r="BC269" s="7">
        <v>0</v>
      </c>
      <c r="BD269">
        <v>0</v>
      </c>
      <c r="BE269">
        <v>28.87</v>
      </c>
      <c r="BF2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9" s="42" t="str">
        <f>+IF(AVANCE[[#This Row],[FECHA INICIO REAL]]="","",AVANCE[[#This Row],[FECHA INICIO REAL]]-AVANCE[[#This Row],[FECHA INICIO TEORICO]])</f>
        <v/>
      </c>
      <c r="BH2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0" spans="1:61" x14ac:dyDescent="0.25">
      <c r="A270" t="s">
        <v>1088</v>
      </c>
      <c r="B270" t="s">
        <v>1101</v>
      </c>
      <c r="C270">
        <v>2282600269</v>
      </c>
      <c r="D270" t="s">
        <v>833</v>
      </c>
      <c r="E270" s="4">
        <v>0</v>
      </c>
      <c r="F270" s="1">
        <v>46274</v>
      </c>
      <c r="G270" s="1"/>
      <c r="H270" s="1">
        <v>0</v>
      </c>
      <c r="I270" s="1">
        <v>46294</v>
      </c>
      <c r="J270">
        <v>46188</v>
      </c>
      <c r="K270" s="1"/>
      <c r="L270" s="7">
        <v>0</v>
      </c>
      <c r="M270" s="7">
        <v>0</v>
      </c>
      <c r="N270" s="7">
        <v>0</v>
      </c>
      <c r="O270" s="7">
        <v>0</v>
      </c>
      <c r="P270" s="7">
        <v>0</v>
      </c>
      <c r="Q270" s="7">
        <v>0</v>
      </c>
      <c r="R270" s="7">
        <v>0</v>
      </c>
      <c r="S270" s="7">
        <v>0</v>
      </c>
      <c r="T270" s="7">
        <v>0</v>
      </c>
      <c r="U270" s="7">
        <v>0</v>
      </c>
      <c r="V270" s="7">
        <v>0</v>
      </c>
      <c r="W270" s="7">
        <v>0</v>
      </c>
      <c r="X270" s="7">
        <v>0</v>
      </c>
      <c r="Y270" s="7">
        <v>0</v>
      </c>
      <c r="Z270" s="7">
        <v>0</v>
      </c>
      <c r="AA270" s="7">
        <v>0</v>
      </c>
      <c r="AB270" s="7">
        <v>0</v>
      </c>
      <c r="AC270" s="7">
        <v>0</v>
      </c>
      <c r="AD270" s="7">
        <v>0</v>
      </c>
      <c r="AE270" s="7">
        <v>0</v>
      </c>
      <c r="AF270" s="7">
        <v>0</v>
      </c>
      <c r="AG270" s="7">
        <v>0</v>
      </c>
      <c r="AH270" s="7">
        <v>0</v>
      </c>
      <c r="AI270" s="7">
        <v>0</v>
      </c>
      <c r="AJ270" s="7">
        <v>0</v>
      </c>
      <c r="AK270" s="7">
        <v>0</v>
      </c>
      <c r="AL270" s="7">
        <v>0</v>
      </c>
      <c r="AM270" s="7">
        <v>0</v>
      </c>
      <c r="AN270" s="7">
        <v>0</v>
      </c>
      <c r="AO270" s="7">
        <v>0</v>
      </c>
      <c r="AP270" s="7">
        <v>0</v>
      </c>
      <c r="AQ270" s="7">
        <v>0</v>
      </c>
      <c r="AR270" s="7">
        <v>0</v>
      </c>
      <c r="AS270" s="7">
        <v>0</v>
      </c>
      <c r="AT270" s="7">
        <v>0</v>
      </c>
      <c r="AU270" s="7">
        <v>0</v>
      </c>
      <c r="AV270" s="7">
        <v>0</v>
      </c>
      <c r="AW270" s="7">
        <v>0</v>
      </c>
      <c r="AX270" s="7">
        <v>0</v>
      </c>
      <c r="AY270" s="7">
        <v>0</v>
      </c>
      <c r="AZ270" s="7">
        <v>0</v>
      </c>
      <c r="BA270" s="7">
        <v>0</v>
      </c>
      <c r="BB270" s="7">
        <v>0</v>
      </c>
      <c r="BC270" s="7">
        <v>0</v>
      </c>
      <c r="BD270">
        <v>0</v>
      </c>
      <c r="BE270">
        <v>28.87</v>
      </c>
      <c r="BF2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0" s="42" t="str">
        <f>+IF(AVANCE[[#This Row],[FECHA INICIO REAL]]="","",AVANCE[[#This Row],[FECHA INICIO REAL]]-AVANCE[[#This Row],[FECHA INICIO TEORICO]])</f>
        <v/>
      </c>
      <c r="BH2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1" spans="1:61" x14ac:dyDescent="0.25">
      <c r="A271" t="s">
        <v>1088</v>
      </c>
      <c r="B271" t="s">
        <v>1102</v>
      </c>
      <c r="C271">
        <v>2302600270</v>
      </c>
      <c r="D271" t="s">
        <v>834</v>
      </c>
      <c r="E271" s="4">
        <v>0</v>
      </c>
      <c r="F271" s="1">
        <v>46274</v>
      </c>
      <c r="G271" s="1"/>
      <c r="H271" s="1">
        <v>0</v>
      </c>
      <c r="I271" s="1">
        <v>46304</v>
      </c>
      <c r="J271">
        <v>46188</v>
      </c>
      <c r="K271" s="1"/>
      <c r="L271" s="7">
        <v>0</v>
      </c>
      <c r="M271" s="7">
        <v>0</v>
      </c>
      <c r="N271" s="7">
        <v>0</v>
      </c>
      <c r="O271" s="7">
        <v>0</v>
      </c>
      <c r="P271" s="7">
        <v>0</v>
      </c>
      <c r="Q271" s="7">
        <v>0</v>
      </c>
      <c r="R271" s="7">
        <v>0</v>
      </c>
      <c r="S271" s="7">
        <v>0</v>
      </c>
      <c r="T271" s="7">
        <v>0</v>
      </c>
      <c r="U271" s="7">
        <v>0</v>
      </c>
      <c r="V271" s="7">
        <v>0</v>
      </c>
      <c r="W271" s="7">
        <v>0</v>
      </c>
      <c r="X271" s="7">
        <v>0</v>
      </c>
      <c r="Y271" s="7">
        <v>0</v>
      </c>
      <c r="Z271" s="7">
        <v>0</v>
      </c>
      <c r="AA271" s="7">
        <v>0</v>
      </c>
      <c r="AB271" s="7">
        <v>0</v>
      </c>
      <c r="AC271" s="7">
        <v>0</v>
      </c>
      <c r="AD271" s="7">
        <v>0</v>
      </c>
      <c r="AE271" s="7">
        <v>0</v>
      </c>
      <c r="AF271" s="7">
        <v>0</v>
      </c>
      <c r="AG271" s="7">
        <v>0</v>
      </c>
      <c r="AH271" s="7">
        <v>0</v>
      </c>
      <c r="AI271" s="7">
        <v>0</v>
      </c>
      <c r="AJ271" s="7">
        <v>0</v>
      </c>
      <c r="AK271" s="7">
        <v>0</v>
      </c>
      <c r="AL271" s="7">
        <v>0</v>
      </c>
      <c r="AM271" s="7">
        <v>0</v>
      </c>
      <c r="AN271" s="7">
        <v>0</v>
      </c>
      <c r="AO271" s="7">
        <v>0</v>
      </c>
      <c r="AP271" s="7">
        <v>0</v>
      </c>
      <c r="AQ271" s="7">
        <v>0</v>
      </c>
      <c r="AR271" s="7">
        <v>0</v>
      </c>
      <c r="AS271" s="7">
        <v>0</v>
      </c>
      <c r="AT271" s="7">
        <v>0</v>
      </c>
      <c r="AU271" s="7">
        <v>0</v>
      </c>
      <c r="AV271" s="7">
        <v>0</v>
      </c>
      <c r="AW271" s="7">
        <v>0</v>
      </c>
      <c r="AX271" s="7">
        <v>0</v>
      </c>
      <c r="AY271" s="7">
        <v>0</v>
      </c>
      <c r="AZ271" s="7">
        <v>0</v>
      </c>
      <c r="BA271" s="7">
        <v>0</v>
      </c>
      <c r="BB271" s="7">
        <v>0</v>
      </c>
      <c r="BC271" s="7">
        <v>0</v>
      </c>
      <c r="BD271">
        <v>0</v>
      </c>
      <c r="BE271">
        <v>31.32</v>
      </c>
      <c r="BF2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1" s="42" t="str">
        <f>+IF(AVANCE[[#This Row],[FECHA INICIO REAL]]="","",AVANCE[[#This Row],[FECHA INICIO REAL]]-AVANCE[[#This Row],[FECHA INICIO TEORICO]])</f>
        <v/>
      </c>
      <c r="BH2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2" spans="1:61" x14ac:dyDescent="0.25">
      <c r="A272" t="s">
        <v>1088</v>
      </c>
      <c r="B272" t="s">
        <v>1103</v>
      </c>
      <c r="C272">
        <v>2302600271</v>
      </c>
      <c r="D272" t="s">
        <v>834</v>
      </c>
      <c r="E272" s="4">
        <v>0</v>
      </c>
      <c r="F272" s="1">
        <v>46274</v>
      </c>
      <c r="G272" s="1"/>
      <c r="H272" s="1">
        <v>0</v>
      </c>
      <c r="I272" s="1">
        <v>46304</v>
      </c>
      <c r="J272">
        <v>46188</v>
      </c>
      <c r="K272" s="1"/>
      <c r="L272" s="7">
        <v>0</v>
      </c>
      <c r="M272" s="7">
        <v>0</v>
      </c>
      <c r="N272" s="7">
        <v>0</v>
      </c>
      <c r="O272" s="7">
        <v>0</v>
      </c>
      <c r="P272" s="7">
        <v>0</v>
      </c>
      <c r="Q272" s="7">
        <v>0</v>
      </c>
      <c r="R272" s="7">
        <v>0</v>
      </c>
      <c r="S272" s="7">
        <v>0</v>
      </c>
      <c r="T272" s="7">
        <v>0</v>
      </c>
      <c r="U272" s="7">
        <v>0</v>
      </c>
      <c r="V272" s="7">
        <v>0</v>
      </c>
      <c r="W272" s="7">
        <v>0</v>
      </c>
      <c r="X272" s="7">
        <v>0</v>
      </c>
      <c r="Y272" s="7">
        <v>0</v>
      </c>
      <c r="Z272" s="7">
        <v>0</v>
      </c>
      <c r="AA272" s="7">
        <v>0</v>
      </c>
      <c r="AB272" s="7">
        <v>0</v>
      </c>
      <c r="AC272" s="7">
        <v>0</v>
      </c>
      <c r="AD272" s="7">
        <v>0</v>
      </c>
      <c r="AE272" s="7">
        <v>0</v>
      </c>
      <c r="AF272" s="7">
        <v>0</v>
      </c>
      <c r="AG272" s="7">
        <v>0</v>
      </c>
      <c r="AH272" s="7">
        <v>0</v>
      </c>
      <c r="AI272" s="7">
        <v>0</v>
      </c>
      <c r="AJ272" s="7">
        <v>0</v>
      </c>
      <c r="AK272" s="7">
        <v>0</v>
      </c>
      <c r="AL272" s="7">
        <v>0</v>
      </c>
      <c r="AM272" s="7">
        <v>0</v>
      </c>
      <c r="AN272" s="7">
        <v>0</v>
      </c>
      <c r="AO272" s="7">
        <v>0</v>
      </c>
      <c r="AP272" s="7">
        <v>0</v>
      </c>
      <c r="AQ272" s="7">
        <v>0</v>
      </c>
      <c r="AR272" s="7">
        <v>0</v>
      </c>
      <c r="AS272" s="7">
        <v>0</v>
      </c>
      <c r="AT272" s="7">
        <v>0</v>
      </c>
      <c r="AU272" s="7">
        <v>0</v>
      </c>
      <c r="AV272" s="7">
        <v>0</v>
      </c>
      <c r="AW272" s="7">
        <v>0</v>
      </c>
      <c r="AX272" s="7">
        <v>0</v>
      </c>
      <c r="AY272" s="7">
        <v>0</v>
      </c>
      <c r="AZ272" s="7">
        <v>0</v>
      </c>
      <c r="BA272" s="7">
        <v>0</v>
      </c>
      <c r="BB272" s="7">
        <v>0</v>
      </c>
      <c r="BC272" s="7">
        <v>0</v>
      </c>
      <c r="BD272">
        <v>0</v>
      </c>
      <c r="BE272">
        <v>31.32</v>
      </c>
      <c r="BF2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2" s="42" t="str">
        <f>+IF(AVANCE[[#This Row],[FECHA INICIO REAL]]="","",AVANCE[[#This Row],[FECHA INICIO REAL]]-AVANCE[[#This Row],[FECHA INICIO TEORICO]])</f>
        <v/>
      </c>
      <c r="BH2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3" spans="1:61" x14ac:dyDescent="0.25">
      <c r="A273" t="s">
        <v>1088</v>
      </c>
      <c r="B273" t="s">
        <v>1104</v>
      </c>
      <c r="C273">
        <v>2282600272</v>
      </c>
      <c r="D273" t="s">
        <v>833</v>
      </c>
      <c r="E273" s="4">
        <v>0</v>
      </c>
      <c r="F273" s="1">
        <v>46275</v>
      </c>
      <c r="G273" s="1"/>
      <c r="H273" s="1">
        <v>0</v>
      </c>
      <c r="I273" s="1">
        <v>46295</v>
      </c>
      <c r="J273">
        <v>46188</v>
      </c>
      <c r="K273" s="1"/>
      <c r="L273" s="7">
        <v>0</v>
      </c>
      <c r="M273" s="7">
        <v>0</v>
      </c>
      <c r="N273" s="7">
        <v>0</v>
      </c>
      <c r="O273" s="7">
        <v>0</v>
      </c>
      <c r="P273" s="7">
        <v>0</v>
      </c>
      <c r="Q273" s="7">
        <v>0</v>
      </c>
      <c r="R273" s="7">
        <v>0</v>
      </c>
      <c r="S273" s="7">
        <v>0</v>
      </c>
      <c r="T273" s="7">
        <v>0</v>
      </c>
      <c r="U273" s="7">
        <v>0</v>
      </c>
      <c r="V273" s="7">
        <v>0</v>
      </c>
      <c r="W273" s="7">
        <v>0</v>
      </c>
      <c r="X273" s="7">
        <v>0</v>
      </c>
      <c r="Y273" s="7">
        <v>0</v>
      </c>
      <c r="Z273" s="7">
        <v>0</v>
      </c>
      <c r="AA273" s="7">
        <v>0</v>
      </c>
      <c r="AB273" s="7">
        <v>0</v>
      </c>
      <c r="AC273" s="7">
        <v>0</v>
      </c>
      <c r="AD273" s="7">
        <v>0</v>
      </c>
      <c r="AE273" s="7">
        <v>0</v>
      </c>
      <c r="AF273" s="7">
        <v>0</v>
      </c>
      <c r="AG273" s="7">
        <v>0</v>
      </c>
      <c r="AH273" s="7">
        <v>0</v>
      </c>
      <c r="AI273" s="7">
        <v>0</v>
      </c>
      <c r="AJ273" s="7">
        <v>0</v>
      </c>
      <c r="AK273" s="7">
        <v>0</v>
      </c>
      <c r="AL273" s="7">
        <v>0</v>
      </c>
      <c r="AM273" s="7">
        <v>0</v>
      </c>
      <c r="AN273" s="7">
        <v>0</v>
      </c>
      <c r="AO273" s="7">
        <v>0</v>
      </c>
      <c r="AP273" s="7">
        <v>0</v>
      </c>
      <c r="AQ273" s="7">
        <v>0</v>
      </c>
      <c r="AR273" s="7">
        <v>0</v>
      </c>
      <c r="AS273" s="7">
        <v>0</v>
      </c>
      <c r="AT273" s="7">
        <v>0</v>
      </c>
      <c r="AU273" s="7">
        <v>0</v>
      </c>
      <c r="AV273" s="7">
        <v>0</v>
      </c>
      <c r="AW273" s="7">
        <v>0</v>
      </c>
      <c r="AX273" s="7">
        <v>0</v>
      </c>
      <c r="AY273" s="7">
        <v>0</v>
      </c>
      <c r="AZ273" s="7">
        <v>0</v>
      </c>
      <c r="BA273" s="7">
        <v>0</v>
      </c>
      <c r="BB273" s="7">
        <v>0</v>
      </c>
      <c r="BC273" s="7">
        <v>0</v>
      </c>
      <c r="BD273">
        <v>0</v>
      </c>
      <c r="BE273">
        <v>28.87</v>
      </c>
      <c r="BF2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3" s="42" t="str">
        <f>+IF(AVANCE[[#This Row],[FECHA INICIO REAL]]="","",AVANCE[[#This Row],[FECHA INICIO REAL]]-AVANCE[[#This Row],[FECHA INICIO TEORICO]])</f>
        <v/>
      </c>
      <c r="BH2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4" spans="1:61" x14ac:dyDescent="0.25">
      <c r="A274" t="s">
        <v>1088</v>
      </c>
      <c r="B274" t="s">
        <v>1105</v>
      </c>
      <c r="C274">
        <v>2282600273</v>
      </c>
      <c r="D274" t="s">
        <v>833</v>
      </c>
      <c r="E274" s="4">
        <v>0</v>
      </c>
      <c r="F274" s="1">
        <v>46275</v>
      </c>
      <c r="G274" s="1"/>
      <c r="H274" s="1">
        <v>0</v>
      </c>
      <c r="I274" s="1">
        <v>46295</v>
      </c>
      <c r="J274">
        <v>46188</v>
      </c>
      <c r="K274" s="1"/>
      <c r="L274" s="7">
        <v>0</v>
      </c>
      <c r="M274" s="7">
        <v>0</v>
      </c>
      <c r="N274" s="7">
        <v>0</v>
      </c>
      <c r="O274" s="7">
        <v>0</v>
      </c>
      <c r="P274" s="7">
        <v>0</v>
      </c>
      <c r="Q274" s="7">
        <v>0</v>
      </c>
      <c r="R274" s="7">
        <v>0</v>
      </c>
      <c r="S274" s="7">
        <v>0</v>
      </c>
      <c r="T274" s="7">
        <v>0</v>
      </c>
      <c r="U274" s="7">
        <v>0</v>
      </c>
      <c r="V274" s="7">
        <v>0</v>
      </c>
      <c r="W274" s="7">
        <v>0</v>
      </c>
      <c r="X274" s="7">
        <v>0</v>
      </c>
      <c r="Y274" s="7">
        <v>0</v>
      </c>
      <c r="Z274" s="7">
        <v>0</v>
      </c>
      <c r="AA274" s="7">
        <v>0</v>
      </c>
      <c r="AB274" s="7">
        <v>0</v>
      </c>
      <c r="AC274" s="7">
        <v>0</v>
      </c>
      <c r="AD274" s="7">
        <v>0</v>
      </c>
      <c r="AE274" s="7">
        <v>0</v>
      </c>
      <c r="AF274" s="7">
        <v>0</v>
      </c>
      <c r="AG274" s="7">
        <v>0</v>
      </c>
      <c r="AH274" s="7">
        <v>0</v>
      </c>
      <c r="AI274" s="7">
        <v>0</v>
      </c>
      <c r="AJ274" s="7">
        <v>0</v>
      </c>
      <c r="AK274" s="7">
        <v>0</v>
      </c>
      <c r="AL274" s="7">
        <v>0</v>
      </c>
      <c r="AM274" s="7">
        <v>0</v>
      </c>
      <c r="AN274" s="7">
        <v>0</v>
      </c>
      <c r="AO274" s="7">
        <v>0</v>
      </c>
      <c r="AP274" s="7">
        <v>0</v>
      </c>
      <c r="AQ274" s="7">
        <v>0</v>
      </c>
      <c r="AR274" s="7">
        <v>0</v>
      </c>
      <c r="AS274" s="7">
        <v>0</v>
      </c>
      <c r="AT274" s="7">
        <v>0</v>
      </c>
      <c r="AU274" s="7">
        <v>0</v>
      </c>
      <c r="AV274" s="7">
        <v>0</v>
      </c>
      <c r="AW274" s="7">
        <v>0</v>
      </c>
      <c r="AX274" s="7">
        <v>0</v>
      </c>
      <c r="AY274" s="7">
        <v>0</v>
      </c>
      <c r="AZ274" s="7">
        <v>0</v>
      </c>
      <c r="BA274" s="7">
        <v>0</v>
      </c>
      <c r="BB274" s="7">
        <v>0</v>
      </c>
      <c r="BC274" s="7">
        <v>0</v>
      </c>
      <c r="BD274">
        <v>0</v>
      </c>
      <c r="BE274">
        <v>28.87</v>
      </c>
      <c r="BF2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4" s="42" t="str">
        <f>+IF(AVANCE[[#This Row],[FECHA INICIO REAL]]="","",AVANCE[[#This Row],[FECHA INICIO REAL]]-AVANCE[[#This Row],[FECHA INICIO TEORICO]])</f>
        <v/>
      </c>
      <c r="BH2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5" spans="1:61" x14ac:dyDescent="0.25">
      <c r="A275" t="s">
        <v>1088</v>
      </c>
      <c r="B275" t="s">
        <v>1106</v>
      </c>
      <c r="C275">
        <v>2302600274</v>
      </c>
      <c r="D275" t="s">
        <v>834</v>
      </c>
      <c r="E275" s="4">
        <v>0</v>
      </c>
      <c r="F275" s="1">
        <v>46275</v>
      </c>
      <c r="G275" s="1"/>
      <c r="H275" s="1">
        <v>0</v>
      </c>
      <c r="I275" s="1">
        <v>46305</v>
      </c>
      <c r="J275">
        <v>46188</v>
      </c>
      <c r="K275" s="1"/>
      <c r="L275" s="7">
        <v>0</v>
      </c>
      <c r="M275" s="7">
        <v>0</v>
      </c>
      <c r="N275" s="7">
        <v>0</v>
      </c>
      <c r="O275" s="7">
        <v>0</v>
      </c>
      <c r="P275" s="7">
        <v>0</v>
      </c>
      <c r="Q275" s="7">
        <v>0</v>
      </c>
      <c r="R275" s="7">
        <v>0</v>
      </c>
      <c r="S275" s="7">
        <v>0</v>
      </c>
      <c r="T275" s="7">
        <v>0</v>
      </c>
      <c r="U275" s="7">
        <v>0</v>
      </c>
      <c r="V275" s="7">
        <v>0</v>
      </c>
      <c r="W275" s="7">
        <v>0</v>
      </c>
      <c r="X275" s="7">
        <v>0</v>
      </c>
      <c r="Y275" s="7">
        <v>0</v>
      </c>
      <c r="Z275" s="7">
        <v>0</v>
      </c>
      <c r="AA275" s="7">
        <v>0</v>
      </c>
      <c r="AB275" s="7">
        <v>0</v>
      </c>
      <c r="AC275" s="7">
        <v>0</v>
      </c>
      <c r="AD275" s="7">
        <v>0</v>
      </c>
      <c r="AE275" s="7">
        <v>0</v>
      </c>
      <c r="AF275" s="7">
        <v>0</v>
      </c>
      <c r="AG275" s="7">
        <v>0</v>
      </c>
      <c r="AH275" s="7">
        <v>0</v>
      </c>
      <c r="AI275" s="7">
        <v>0</v>
      </c>
      <c r="AJ275" s="7">
        <v>0</v>
      </c>
      <c r="AK275" s="7">
        <v>0</v>
      </c>
      <c r="AL275" s="7">
        <v>0</v>
      </c>
      <c r="AM275" s="7">
        <v>0</v>
      </c>
      <c r="AN275" s="7">
        <v>0</v>
      </c>
      <c r="AO275" s="7">
        <v>0</v>
      </c>
      <c r="AP275" s="7">
        <v>0</v>
      </c>
      <c r="AQ275" s="7">
        <v>0</v>
      </c>
      <c r="AR275" s="7">
        <v>0</v>
      </c>
      <c r="AS275" s="7">
        <v>0</v>
      </c>
      <c r="AT275" s="7">
        <v>0</v>
      </c>
      <c r="AU275" s="7">
        <v>0</v>
      </c>
      <c r="AV275" s="7">
        <v>0</v>
      </c>
      <c r="AW275" s="7">
        <v>0</v>
      </c>
      <c r="AX275" s="7">
        <v>0</v>
      </c>
      <c r="AY275" s="7">
        <v>0</v>
      </c>
      <c r="AZ275" s="7">
        <v>0</v>
      </c>
      <c r="BA275" s="7">
        <v>0</v>
      </c>
      <c r="BB275" s="7">
        <v>0</v>
      </c>
      <c r="BC275" s="7">
        <v>0</v>
      </c>
      <c r="BD275">
        <v>0</v>
      </c>
      <c r="BE275">
        <v>31.32</v>
      </c>
      <c r="BF2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5" s="42" t="str">
        <f>+IF(AVANCE[[#This Row],[FECHA INICIO REAL]]="","",AVANCE[[#This Row],[FECHA INICIO REAL]]-AVANCE[[#This Row],[FECHA INICIO TEORICO]])</f>
        <v/>
      </c>
      <c r="BH2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6" spans="1:61" x14ac:dyDescent="0.25">
      <c r="A276" t="s">
        <v>1088</v>
      </c>
      <c r="B276" t="s">
        <v>1107</v>
      </c>
      <c r="C276">
        <v>2302600275</v>
      </c>
      <c r="D276" t="s">
        <v>834</v>
      </c>
      <c r="E276" s="4">
        <v>0</v>
      </c>
      <c r="F276" s="1">
        <v>46276</v>
      </c>
      <c r="G276" s="1"/>
      <c r="H276" s="1">
        <v>0</v>
      </c>
      <c r="I276" s="1">
        <v>46306</v>
      </c>
      <c r="J276">
        <v>46188</v>
      </c>
      <c r="K276" s="1"/>
      <c r="L276" s="7">
        <v>0</v>
      </c>
      <c r="M276" s="7">
        <v>0</v>
      </c>
      <c r="N276" s="7">
        <v>0</v>
      </c>
      <c r="O276" s="7">
        <v>0</v>
      </c>
      <c r="P276" s="7">
        <v>0</v>
      </c>
      <c r="Q276" s="7">
        <v>0</v>
      </c>
      <c r="R276" s="7">
        <v>0</v>
      </c>
      <c r="S276" s="7">
        <v>0</v>
      </c>
      <c r="T276" s="7">
        <v>0</v>
      </c>
      <c r="U276" s="7">
        <v>0</v>
      </c>
      <c r="V276" s="7">
        <v>0</v>
      </c>
      <c r="W276" s="7">
        <v>0</v>
      </c>
      <c r="X276" s="7">
        <v>0</v>
      </c>
      <c r="Y276" s="7">
        <v>0</v>
      </c>
      <c r="Z276" s="7">
        <v>0</v>
      </c>
      <c r="AA276" s="7">
        <v>0</v>
      </c>
      <c r="AB276" s="7">
        <v>0</v>
      </c>
      <c r="AC276" s="7">
        <v>0</v>
      </c>
      <c r="AD276" s="7">
        <v>0</v>
      </c>
      <c r="AE276" s="7">
        <v>0</v>
      </c>
      <c r="AF276" s="7">
        <v>0</v>
      </c>
      <c r="AG276" s="7">
        <v>0</v>
      </c>
      <c r="AH276" s="7">
        <v>0</v>
      </c>
      <c r="AI276" s="7">
        <v>0</v>
      </c>
      <c r="AJ276" s="7">
        <v>0</v>
      </c>
      <c r="AK276" s="7">
        <v>0</v>
      </c>
      <c r="AL276" s="7">
        <v>0</v>
      </c>
      <c r="AM276" s="7">
        <v>0</v>
      </c>
      <c r="AN276" s="7">
        <v>0</v>
      </c>
      <c r="AO276" s="7">
        <v>0</v>
      </c>
      <c r="AP276" s="7">
        <v>0</v>
      </c>
      <c r="AQ276" s="7">
        <v>0</v>
      </c>
      <c r="AR276" s="7">
        <v>0</v>
      </c>
      <c r="AS276" s="7">
        <v>0</v>
      </c>
      <c r="AT276" s="7">
        <v>0</v>
      </c>
      <c r="AU276" s="7">
        <v>0</v>
      </c>
      <c r="AV276" s="7">
        <v>0</v>
      </c>
      <c r="AW276" s="7">
        <v>0</v>
      </c>
      <c r="AX276" s="7">
        <v>0</v>
      </c>
      <c r="AY276" s="7">
        <v>0</v>
      </c>
      <c r="AZ276" s="7">
        <v>0</v>
      </c>
      <c r="BA276" s="7">
        <v>0</v>
      </c>
      <c r="BB276" s="7">
        <v>0</v>
      </c>
      <c r="BC276" s="7">
        <v>0</v>
      </c>
      <c r="BD276">
        <v>0</v>
      </c>
      <c r="BE276">
        <v>31.32</v>
      </c>
      <c r="BF2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6" s="42" t="str">
        <f>+IF(AVANCE[[#This Row],[FECHA INICIO REAL]]="","",AVANCE[[#This Row],[FECHA INICIO REAL]]-AVANCE[[#This Row],[FECHA INICIO TEORICO]])</f>
        <v/>
      </c>
      <c r="BH2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7" spans="1:61" x14ac:dyDescent="0.25">
      <c r="A277" t="s">
        <v>1088</v>
      </c>
      <c r="B277" t="s">
        <v>1108</v>
      </c>
      <c r="C277">
        <v>2282600276</v>
      </c>
      <c r="D277" t="s">
        <v>833</v>
      </c>
      <c r="E277" s="4">
        <v>0</v>
      </c>
      <c r="F277" s="1">
        <v>46276</v>
      </c>
      <c r="G277" s="1"/>
      <c r="H277" s="1">
        <v>0</v>
      </c>
      <c r="I277" s="1">
        <v>46296</v>
      </c>
      <c r="J277">
        <v>46188</v>
      </c>
      <c r="K277" s="1"/>
      <c r="L277" s="7">
        <v>0</v>
      </c>
      <c r="M277" s="7">
        <v>0</v>
      </c>
      <c r="N277" s="7">
        <v>0</v>
      </c>
      <c r="O277" s="7">
        <v>0</v>
      </c>
      <c r="P277" s="7">
        <v>0</v>
      </c>
      <c r="Q277" s="7">
        <v>0</v>
      </c>
      <c r="R277" s="7">
        <v>0</v>
      </c>
      <c r="S277" s="7">
        <v>0</v>
      </c>
      <c r="T277" s="7">
        <v>0</v>
      </c>
      <c r="U277" s="7">
        <v>0</v>
      </c>
      <c r="V277" s="7">
        <v>0</v>
      </c>
      <c r="W277" s="7">
        <v>0</v>
      </c>
      <c r="X277" s="7">
        <v>0</v>
      </c>
      <c r="Y277" s="7">
        <v>0</v>
      </c>
      <c r="Z277" s="7">
        <v>0</v>
      </c>
      <c r="AA277" s="7">
        <v>0</v>
      </c>
      <c r="AB277" s="7">
        <v>0</v>
      </c>
      <c r="AC277" s="7">
        <v>0</v>
      </c>
      <c r="AD277" s="7">
        <v>0</v>
      </c>
      <c r="AE277" s="7">
        <v>0</v>
      </c>
      <c r="AF277" s="7">
        <v>0</v>
      </c>
      <c r="AG277" s="7">
        <v>0</v>
      </c>
      <c r="AH277" s="7">
        <v>0</v>
      </c>
      <c r="AI277" s="7">
        <v>0</v>
      </c>
      <c r="AJ277" s="7">
        <v>0</v>
      </c>
      <c r="AK277" s="7">
        <v>0</v>
      </c>
      <c r="AL277" s="7">
        <v>0</v>
      </c>
      <c r="AM277" s="7">
        <v>0</v>
      </c>
      <c r="AN277" s="7">
        <v>0</v>
      </c>
      <c r="AO277" s="7">
        <v>0</v>
      </c>
      <c r="AP277" s="7">
        <v>0</v>
      </c>
      <c r="AQ277" s="7">
        <v>0</v>
      </c>
      <c r="AR277" s="7">
        <v>0</v>
      </c>
      <c r="AS277" s="7">
        <v>0</v>
      </c>
      <c r="AT277" s="7">
        <v>0</v>
      </c>
      <c r="AU277" s="7">
        <v>0</v>
      </c>
      <c r="AV277" s="7">
        <v>0</v>
      </c>
      <c r="AW277" s="7">
        <v>0</v>
      </c>
      <c r="AX277" s="7">
        <v>0</v>
      </c>
      <c r="AY277" s="7">
        <v>0</v>
      </c>
      <c r="AZ277" s="7">
        <v>0</v>
      </c>
      <c r="BA277" s="7">
        <v>0</v>
      </c>
      <c r="BB277" s="7">
        <v>0</v>
      </c>
      <c r="BC277" s="7">
        <v>0</v>
      </c>
      <c r="BD277">
        <v>0</v>
      </c>
      <c r="BE277">
        <v>28.87</v>
      </c>
      <c r="BF2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7" s="42" t="str">
        <f>+IF(AVANCE[[#This Row],[FECHA INICIO REAL]]="","",AVANCE[[#This Row],[FECHA INICIO REAL]]-AVANCE[[#This Row],[FECHA INICIO TEORICO]])</f>
        <v/>
      </c>
      <c r="BH2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8" spans="1:61" x14ac:dyDescent="0.25">
      <c r="A278" t="s">
        <v>1088</v>
      </c>
      <c r="B278" t="s">
        <v>1109</v>
      </c>
      <c r="C278">
        <v>2282600277</v>
      </c>
      <c r="D278" t="s">
        <v>833</v>
      </c>
      <c r="E278" s="4">
        <v>0</v>
      </c>
      <c r="F278" s="1">
        <v>46276</v>
      </c>
      <c r="G278" s="1"/>
      <c r="H278" s="1">
        <v>0</v>
      </c>
      <c r="I278" s="1">
        <v>46296</v>
      </c>
      <c r="J278">
        <v>46188</v>
      </c>
      <c r="K278" s="1"/>
      <c r="L278" s="7">
        <v>0</v>
      </c>
      <c r="M278" s="7">
        <v>0</v>
      </c>
      <c r="N278" s="7">
        <v>0</v>
      </c>
      <c r="O278" s="7">
        <v>0</v>
      </c>
      <c r="P278" s="7">
        <v>0</v>
      </c>
      <c r="Q278" s="7">
        <v>0</v>
      </c>
      <c r="R278" s="7">
        <v>0</v>
      </c>
      <c r="S278" s="7">
        <v>0</v>
      </c>
      <c r="T278" s="7">
        <v>0</v>
      </c>
      <c r="U278" s="7">
        <v>0</v>
      </c>
      <c r="V278" s="7">
        <v>0</v>
      </c>
      <c r="W278" s="7">
        <v>0</v>
      </c>
      <c r="X278" s="7">
        <v>0</v>
      </c>
      <c r="Y278" s="7">
        <v>0</v>
      </c>
      <c r="Z278" s="7">
        <v>0</v>
      </c>
      <c r="AA278" s="7">
        <v>0</v>
      </c>
      <c r="AB278" s="7">
        <v>0</v>
      </c>
      <c r="AC278" s="7">
        <v>0</v>
      </c>
      <c r="AD278" s="7">
        <v>0</v>
      </c>
      <c r="AE278" s="7">
        <v>0</v>
      </c>
      <c r="AF278" s="7">
        <v>0</v>
      </c>
      <c r="AG278" s="7">
        <v>0</v>
      </c>
      <c r="AH278" s="7">
        <v>0</v>
      </c>
      <c r="AI278" s="7">
        <v>0</v>
      </c>
      <c r="AJ278" s="7">
        <v>0</v>
      </c>
      <c r="AK278" s="7">
        <v>0</v>
      </c>
      <c r="AL278" s="7">
        <v>0</v>
      </c>
      <c r="AM278" s="7">
        <v>0</v>
      </c>
      <c r="AN278" s="7">
        <v>0</v>
      </c>
      <c r="AO278" s="7">
        <v>0</v>
      </c>
      <c r="AP278" s="7">
        <v>0</v>
      </c>
      <c r="AQ278" s="7">
        <v>0</v>
      </c>
      <c r="AR278" s="7">
        <v>0</v>
      </c>
      <c r="AS278" s="7">
        <v>0</v>
      </c>
      <c r="AT278" s="7">
        <v>0</v>
      </c>
      <c r="AU278" s="7">
        <v>0</v>
      </c>
      <c r="AV278" s="7">
        <v>0</v>
      </c>
      <c r="AW278" s="7">
        <v>0</v>
      </c>
      <c r="AX278" s="7">
        <v>0</v>
      </c>
      <c r="AY278" s="7">
        <v>0</v>
      </c>
      <c r="AZ278" s="7">
        <v>0</v>
      </c>
      <c r="BA278" s="7">
        <v>0</v>
      </c>
      <c r="BB278" s="7">
        <v>0</v>
      </c>
      <c r="BC278" s="7">
        <v>0</v>
      </c>
      <c r="BD278">
        <v>0</v>
      </c>
      <c r="BE278">
        <v>28.87</v>
      </c>
      <c r="BF2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8" s="42" t="str">
        <f>+IF(AVANCE[[#This Row],[FECHA INICIO REAL]]="","",AVANCE[[#This Row],[FECHA INICIO REAL]]-AVANCE[[#This Row],[FECHA INICIO TEORICO]])</f>
        <v/>
      </c>
      <c r="BH2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9" spans="1:61" x14ac:dyDescent="0.25">
      <c r="A279" t="s">
        <v>1088</v>
      </c>
      <c r="B279" t="s">
        <v>1110</v>
      </c>
      <c r="C279">
        <v>2302600278</v>
      </c>
      <c r="D279" t="s">
        <v>834</v>
      </c>
      <c r="E279" s="4">
        <v>0</v>
      </c>
      <c r="F279" s="1">
        <v>46279</v>
      </c>
      <c r="G279" s="1"/>
      <c r="H279" s="1">
        <v>0</v>
      </c>
      <c r="I279" s="1">
        <v>46309</v>
      </c>
      <c r="J279">
        <v>46188</v>
      </c>
      <c r="K279" s="1"/>
      <c r="L279" s="7">
        <v>0</v>
      </c>
      <c r="M279" s="7">
        <v>0</v>
      </c>
      <c r="N279" s="7">
        <v>0</v>
      </c>
      <c r="O279" s="7">
        <v>0</v>
      </c>
      <c r="P279" s="7">
        <v>0</v>
      </c>
      <c r="Q279" s="7">
        <v>0</v>
      </c>
      <c r="R279" s="7">
        <v>0</v>
      </c>
      <c r="S279" s="7">
        <v>0</v>
      </c>
      <c r="T279" s="7">
        <v>0</v>
      </c>
      <c r="U279" s="7">
        <v>0</v>
      </c>
      <c r="V279" s="7">
        <v>0</v>
      </c>
      <c r="W279" s="7">
        <v>0</v>
      </c>
      <c r="X279" s="7">
        <v>0</v>
      </c>
      <c r="Y279" s="7">
        <v>0</v>
      </c>
      <c r="Z279" s="7">
        <v>0</v>
      </c>
      <c r="AA279" s="7">
        <v>0</v>
      </c>
      <c r="AB279" s="7">
        <v>0</v>
      </c>
      <c r="AC279" s="7">
        <v>0</v>
      </c>
      <c r="AD279" s="7">
        <v>0</v>
      </c>
      <c r="AE279" s="7">
        <v>0</v>
      </c>
      <c r="AF279" s="7">
        <v>0</v>
      </c>
      <c r="AG279" s="7">
        <v>0</v>
      </c>
      <c r="AH279" s="7">
        <v>0</v>
      </c>
      <c r="AI279" s="7">
        <v>0</v>
      </c>
      <c r="AJ279" s="7">
        <v>0</v>
      </c>
      <c r="AK279" s="7">
        <v>0</v>
      </c>
      <c r="AL279" s="7">
        <v>0</v>
      </c>
      <c r="AM279" s="7">
        <v>0</v>
      </c>
      <c r="AN279" s="7">
        <v>0</v>
      </c>
      <c r="AO279" s="7">
        <v>0</v>
      </c>
      <c r="AP279" s="7">
        <v>0</v>
      </c>
      <c r="AQ279" s="7">
        <v>0</v>
      </c>
      <c r="AR279" s="7">
        <v>0</v>
      </c>
      <c r="AS279" s="7">
        <v>0</v>
      </c>
      <c r="AT279" s="7">
        <v>0</v>
      </c>
      <c r="AU279" s="7">
        <v>0</v>
      </c>
      <c r="AV279" s="7">
        <v>0</v>
      </c>
      <c r="AW279" s="7">
        <v>0</v>
      </c>
      <c r="AX279" s="7">
        <v>0</v>
      </c>
      <c r="AY279" s="7">
        <v>0</v>
      </c>
      <c r="AZ279" s="7">
        <v>0</v>
      </c>
      <c r="BA279" s="7">
        <v>0</v>
      </c>
      <c r="BB279" s="7">
        <v>0</v>
      </c>
      <c r="BC279" s="7">
        <v>0</v>
      </c>
      <c r="BD279">
        <v>0</v>
      </c>
      <c r="BE279">
        <v>31.32</v>
      </c>
      <c r="BF2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9" s="42" t="str">
        <f>+IF(AVANCE[[#This Row],[FECHA INICIO REAL]]="","",AVANCE[[#This Row],[FECHA INICIO REAL]]-AVANCE[[#This Row],[FECHA INICIO TEORICO]])</f>
        <v/>
      </c>
      <c r="BH2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0" spans="1:61" x14ac:dyDescent="0.25">
      <c r="A280" t="s">
        <v>1088</v>
      </c>
      <c r="B280" t="s">
        <v>1111</v>
      </c>
      <c r="C280">
        <v>2302600279</v>
      </c>
      <c r="D280" t="s">
        <v>834</v>
      </c>
      <c r="E280" s="4">
        <v>0</v>
      </c>
      <c r="F280" s="1">
        <v>46279</v>
      </c>
      <c r="G280" s="1"/>
      <c r="H280" s="1">
        <v>0</v>
      </c>
      <c r="I280" s="1">
        <v>46309</v>
      </c>
      <c r="J280">
        <v>46188</v>
      </c>
      <c r="K280" s="1"/>
      <c r="L280" s="7">
        <v>0</v>
      </c>
      <c r="M280" s="7">
        <v>0</v>
      </c>
      <c r="N280" s="7">
        <v>0</v>
      </c>
      <c r="O280" s="7">
        <v>0</v>
      </c>
      <c r="P280" s="7">
        <v>0</v>
      </c>
      <c r="Q280" s="7">
        <v>0</v>
      </c>
      <c r="R280" s="7">
        <v>0</v>
      </c>
      <c r="S280" s="7">
        <v>0</v>
      </c>
      <c r="T280" s="7">
        <v>0</v>
      </c>
      <c r="U280" s="7">
        <v>0</v>
      </c>
      <c r="V280" s="7">
        <v>0</v>
      </c>
      <c r="W280" s="7">
        <v>0</v>
      </c>
      <c r="X280" s="7">
        <v>0</v>
      </c>
      <c r="Y280" s="7">
        <v>0</v>
      </c>
      <c r="Z280" s="7">
        <v>0</v>
      </c>
      <c r="AA280" s="7">
        <v>0</v>
      </c>
      <c r="AB280" s="7">
        <v>0</v>
      </c>
      <c r="AC280" s="7">
        <v>0</v>
      </c>
      <c r="AD280" s="7">
        <v>0</v>
      </c>
      <c r="AE280" s="7">
        <v>0</v>
      </c>
      <c r="AF280" s="7">
        <v>0</v>
      </c>
      <c r="AG280" s="7">
        <v>0</v>
      </c>
      <c r="AH280" s="7">
        <v>0</v>
      </c>
      <c r="AI280" s="7">
        <v>0</v>
      </c>
      <c r="AJ280" s="7">
        <v>0</v>
      </c>
      <c r="AK280" s="7">
        <v>0</v>
      </c>
      <c r="AL280" s="7">
        <v>0</v>
      </c>
      <c r="AM280" s="7">
        <v>0</v>
      </c>
      <c r="AN280" s="7">
        <v>0</v>
      </c>
      <c r="AO280" s="7">
        <v>0</v>
      </c>
      <c r="AP280" s="7">
        <v>0</v>
      </c>
      <c r="AQ280" s="7">
        <v>0</v>
      </c>
      <c r="AR280" s="7">
        <v>0</v>
      </c>
      <c r="AS280" s="7">
        <v>0</v>
      </c>
      <c r="AT280" s="7">
        <v>0</v>
      </c>
      <c r="AU280" s="7">
        <v>0</v>
      </c>
      <c r="AV280" s="7">
        <v>0</v>
      </c>
      <c r="AW280" s="7">
        <v>0</v>
      </c>
      <c r="AX280" s="7">
        <v>0</v>
      </c>
      <c r="AY280" s="7">
        <v>0</v>
      </c>
      <c r="AZ280" s="7">
        <v>0</v>
      </c>
      <c r="BA280" s="7">
        <v>0</v>
      </c>
      <c r="BB280" s="7">
        <v>0</v>
      </c>
      <c r="BC280" s="7">
        <v>0</v>
      </c>
      <c r="BD280">
        <v>0</v>
      </c>
      <c r="BE280">
        <v>31.32</v>
      </c>
      <c r="BF2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0" s="42" t="str">
        <f>+IF(AVANCE[[#This Row],[FECHA INICIO REAL]]="","",AVANCE[[#This Row],[FECHA INICIO REAL]]-AVANCE[[#This Row],[FECHA INICIO TEORICO]])</f>
        <v/>
      </c>
      <c r="BH2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1" spans="1:61" x14ac:dyDescent="0.25">
      <c r="A281" t="s">
        <v>1088</v>
      </c>
      <c r="B281" t="s">
        <v>1112</v>
      </c>
      <c r="C281">
        <v>2282600280</v>
      </c>
      <c r="D281" t="s">
        <v>833</v>
      </c>
      <c r="E281" s="4">
        <v>0</v>
      </c>
      <c r="F281" s="1">
        <v>46279</v>
      </c>
      <c r="G281" s="1"/>
      <c r="H281" s="1">
        <v>0</v>
      </c>
      <c r="I281" s="1">
        <v>46299</v>
      </c>
      <c r="J281">
        <v>46188</v>
      </c>
      <c r="K281" s="1"/>
      <c r="L281" s="7">
        <v>0</v>
      </c>
      <c r="M281" s="7">
        <v>0</v>
      </c>
      <c r="N281" s="7">
        <v>0</v>
      </c>
      <c r="O281" s="7">
        <v>0</v>
      </c>
      <c r="P281" s="7">
        <v>0</v>
      </c>
      <c r="Q281" s="7">
        <v>0</v>
      </c>
      <c r="R281" s="7">
        <v>0</v>
      </c>
      <c r="S281" s="7">
        <v>0</v>
      </c>
      <c r="T281" s="7">
        <v>0</v>
      </c>
      <c r="U281" s="7">
        <v>0</v>
      </c>
      <c r="V281" s="7">
        <v>0</v>
      </c>
      <c r="W281" s="7">
        <v>0</v>
      </c>
      <c r="X281" s="7">
        <v>0</v>
      </c>
      <c r="Y281" s="7">
        <v>0</v>
      </c>
      <c r="Z281" s="7">
        <v>0</v>
      </c>
      <c r="AA281" s="7">
        <v>0</v>
      </c>
      <c r="AB281" s="7">
        <v>0</v>
      </c>
      <c r="AC281" s="7">
        <v>0</v>
      </c>
      <c r="AD281" s="7">
        <v>0</v>
      </c>
      <c r="AE281" s="7">
        <v>0</v>
      </c>
      <c r="AF281" s="7">
        <v>0</v>
      </c>
      <c r="AG281" s="7">
        <v>0</v>
      </c>
      <c r="AH281" s="7">
        <v>0</v>
      </c>
      <c r="AI281" s="7">
        <v>0</v>
      </c>
      <c r="AJ281" s="7">
        <v>0</v>
      </c>
      <c r="AK281" s="7">
        <v>0</v>
      </c>
      <c r="AL281" s="7">
        <v>0</v>
      </c>
      <c r="AM281" s="7">
        <v>0</v>
      </c>
      <c r="AN281" s="7">
        <v>0</v>
      </c>
      <c r="AO281" s="7">
        <v>0</v>
      </c>
      <c r="AP281" s="7">
        <v>0</v>
      </c>
      <c r="AQ281" s="7">
        <v>0</v>
      </c>
      <c r="AR281" s="7">
        <v>0</v>
      </c>
      <c r="AS281" s="7">
        <v>0</v>
      </c>
      <c r="AT281" s="7">
        <v>0</v>
      </c>
      <c r="AU281" s="7">
        <v>0</v>
      </c>
      <c r="AV281" s="7">
        <v>0</v>
      </c>
      <c r="AW281" s="7">
        <v>0</v>
      </c>
      <c r="AX281" s="7">
        <v>0</v>
      </c>
      <c r="AY281" s="7">
        <v>0</v>
      </c>
      <c r="AZ281" s="7">
        <v>0</v>
      </c>
      <c r="BA281" s="7">
        <v>0</v>
      </c>
      <c r="BB281" s="7">
        <v>0</v>
      </c>
      <c r="BC281" s="7">
        <v>0</v>
      </c>
      <c r="BD281">
        <v>0</v>
      </c>
      <c r="BE281">
        <v>28.87</v>
      </c>
      <c r="BF2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1" s="42" t="str">
        <f>+IF(AVANCE[[#This Row],[FECHA INICIO REAL]]="","",AVANCE[[#This Row],[FECHA INICIO REAL]]-AVANCE[[#This Row],[FECHA INICIO TEORICO]])</f>
        <v/>
      </c>
      <c r="BH2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2" spans="1:61" x14ac:dyDescent="0.25">
      <c r="A282" t="s">
        <v>1088</v>
      </c>
      <c r="B282" t="s">
        <v>1113</v>
      </c>
      <c r="C282">
        <v>2282600281</v>
      </c>
      <c r="D282" t="s">
        <v>833</v>
      </c>
      <c r="E282" s="4">
        <v>0</v>
      </c>
      <c r="F282" s="1">
        <v>46280</v>
      </c>
      <c r="G282" s="1"/>
      <c r="H282" s="1">
        <v>0</v>
      </c>
      <c r="I282" s="1">
        <v>46300</v>
      </c>
      <c r="J282">
        <v>46188</v>
      </c>
      <c r="K282" s="1"/>
      <c r="L282" s="7">
        <v>0</v>
      </c>
      <c r="M282" s="7">
        <v>0</v>
      </c>
      <c r="N282" s="7">
        <v>0</v>
      </c>
      <c r="O282" s="7">
        <v>0</v>
      </c>
      <c r="P282" s="7">
        <v>0</v>
      </c>
      <c r="Q282" s="7">
        <v>0</v>
      </c>
      <c r="R282" s="7">
        <v>0</v>
      </c>
      <c r="S282" s="7">
        <v>0</v>
      </c>
      <c r="T282" s="7">
        <v>0</v>
      </c>
      <c r="U282" s="7">
        <v>0</v>
      </c>
      <c r="V282" s="7">
        <v>0</v>
      </c>
      <c r="W282" s="7">
        <v>0</v>
      </c>
      <c r="X282" s="7">
        <v>0</v>
      </c>
      <c r="Y282" s="7">
        <v>0</v>
      </c>
      <c r="Z282" s="7">
        <v>0</v>
      </c>
      <c r="AA282" s="7">
        <v>0</v>
      </c>
      <c r="AB282" s="7">
        <v>0</v>
      </c>
      <c r="AC282" s="7">
        <v>0</v>
      </c>
      <c r="AD282" s="7">
        <v>0</v>
      </c>
      <c r="AE282" s="7">
        <v>0</v>
      </c>
      <c r="AF282" s="7">
        <v>0</v>
      </c>
      <c r="AG282" s="7">
        <v>0</v>
      </c>
      <c r="AH282" s="7">
        <v>0</v>
      </c>
      <c r="AI282" s="7">
        <v>0</v>
      </c>
      <c r="AJ282" s="7">
        <v>0</v>
      </c>
      <c r="AK282" s="7">
        <v>0</v>
      </c>
      <c r="AL282" s="7">
        <v>0</v>
      </c>
      <c r="AM282" s="7">
        <v>0</v>
      </c>
      <c r="AN282" s="7">
        <v>0</v>
      </c>
      <c r="AO282" s="7">
        <v>0</v>
      </c>
      <c r="AP282" s="7">
        <v>0</v>
      </c>
      <c r="AQ282" s="7">
        <v>0</v>
      </c>
      <c r="AR282" s="7">
        <v>0</v>
      </c>
      <c r="AS282" s="7">
        <v>0</v>
      </c>
      <c r="AT282" s="7">
        <v>0</v>
      </c>
      <c r="AU282" s="7">
        <v>0</v>
      </c>
      <c r="AV282" s="7">
        <v>0</v>
      </c>
      <c r="AW282" s="7">
        <v>0</v>
      </c>
      <c r="AX282" s="7">
        <v>0</v>
      </c>
      <c r="AY282" s="7">
        <v>0</v>
      </c>
      <c r="AZ282" s="7">
        <v>0</v>
      </c>
      <c r="BA282" s="7">
        <v>0</v>
      </c>
      <c r="BB282" s="7">
        <v>0</v>
      </c>
      <c r="BC282" s="7">
        <v>0</v>
      </c>
      <c r="BD282">
        <v>0</v>
      </c>
      <c r="BE282">
        <v>28.87</v>
      </c>
      <c r="BF2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2" s="42" t="str">
        <f>+IF(AVANCE[[#This Row],[FECHA INICIO REAL]]="","",AVANCE[[#This Row],[FECHA INICIO REAL]]-AVANCE[[#This Row],[FECHA INICIO TEORICO]])</f>
        <v/>
      </c>
      <c r="BH2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3" spans="1:61" x14ac:dyDescent="0.25">
      <c r="A283" t="s">
        <v>1088</v>
      </c>
      <c r="B283" t="s">
        <v>1114</v>
      </c>
      <c r="C283">
        <v>2302600282</v>
      </c>
      <c r="D283" t="s">
        <v>834</v>
      </c>
      <c r="E283" s="4">
        <v>0</v>
      </c>
      <c r="F283" s="1">
        <v>46280</v>
      </c>
      <c r="G283" s="1"/>
      <c r="H283" s="1">
        <v>0</v>
      </c>
      <c r="I283" s="1">
        <v>46310</v>
      </c>
      <c r="J283">
        <v>46188</v>
      </c>
      <c r="K283" s="1"/>
      <c r="L283" s="7">
        <v>0</v>
      </c>
      <c r="M283" s="7">
        <v>0</v>
      </c>
      <c r="N283" s="7">
        <v>0</v>
      </c>
      <c r="O283" s="7">
        <v>0</v>
      </c>
      <c r="P283" s="7">
        <v>0</v>
      </c>
      <c r="Q283" s="7">
        <v>0</v>
      </c>
      <c r="R283" s="7">
        <v>0</v>
      </c>
      <c r="S283" s="7">
        <v>0</v>
      </c>
      <c r="T283" s="7">
        <v>0</v>
      </c>
      <c r="U283" s="7">
        <v>0</v>
      </c>
      <c r="V283" s="7">
        <v>0</v>
      </c>
      <c r="W283" s="7">
        <v>0</v>
      </c>
      <c r="X283" s="7">
        <v>0</v>
      </c>
      <c r="Y283" s="7">
        <v>0</v>
      </c>
      <c r="Z283" s="7">
        <v>0</v>
      </c>
      <c r="AA283" s="7">
        <v>0</v>
      </c>
      <c r="AB283" s="7">
        <v>0</v>
      </c>
      <c r="AC283" s="7">
        <v>0</v>
      </c>
      <c r="AD283" s="7">
        <v>0</v>
      </c>
      <c r="AE283" s="7">
        <v>0</v>
      </c>
      <c r="AF283" s="7">
        <v>0</v>
      </c>
      <c r="AG283" s="7">
        <v>0</v>
      </c>
      <c r="AH283" s="7">
        <v>0</v>
      </c>
      <c r="AI283" s="7">
        <v>0</v>
      </c>
      <c r="AJ283" s="7">
        <v>0</v>
      </c>
      <c r="AK283" s="7">
        <v>0</v>
      </c>
      <c r="AL283" s="7">
        <v>0</v>
      </c>
      <c r="AM283" s="7">
        <v>0</v>
      </c>
      <c r="AN283" s="7">
        <v>0</v>
      </c>
      <c r="AO283" s="7">
        <v>0</v>
      </c>
      <c r="AP283" s="7">
        <v>0</v>
      </c>
      <c r="AQ283" s="7">
        <v>0</v>
      </c>
      <c r="AR283" s="7">
        <v>0</v>
      </c>
      <c r="AS283" s="7">
        <v>0</v>
      </c>
      <c r="AT283" s="7">
        <v>0</v>
      </c>
      <c r="AU283" s="7">
        <v>0</v>
      </c>
      <c r="AV283" s="7">
        <v>0</v>
      </c>
      <c r="AW283" s="7">
        <v>0</v>
      </c>
      <c r="AX283" s="7">
        <v>0</v>
      </c>
      <c r="AY283" s="7">
        <v>0</v>
      </c>
      <c r="AZ283" s="7">
        <v>0</v>
      </c>
      <c r="BA283" s="7">
        <v>0</v>
      </c>
      <c r="BB283" s="7">
        <v>0</v>
      </c>
      <c r="BC283" s="7">
        <v>0</v>
      </c>
      <c r="BD283">
        <v>0</v>
      </c>
      <c r="BE283">
        <v>31.32</v>
      </c>
      <c r="BF2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3" s="42" t="str">
        <f>+IF(AVANCE[[#This Row],[FECHA INICIO REAL]]="","",AVANCE[[#This Row],[FECHA INICIO REAL]]-AVANCE[[#This Row],[FECHA INICIO TEORICO]])</f>
        <v/>
      </c>
      <c r="BH2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4" spans="1:61" x14ac:dyDescent="0.25">
      <c r="A284" t="s">
        <v>1088</v>
      </c>
      <c r="B284" t="s">
        <v>1115</v>
      </c>
      <c r="C284">
        <v>2302600283</v>
      </c>
      <c r="D284" t="s">
        <v>834</v>
      </c>
      <c r="E284" s="4">
        <v>0</v>
      </c>
      <c r="F284" s="1">
        <v>46280</v>
      </c>
      <c r="G284" s="1"/>
      <c r="H284" s="1">
        <v>0</v>
      </c>
      <c r="I284" s="1">
        <v>46310</v>
      </c>
      <c r="J284">
        <v>46188</v>
      </c>
      <c r="K284" s="1"/>
      <c r="L284" s="7">
        <v>0</v>
      </c>
      <c r="M284" s="7">
        <v>0</v>
      </c>
      <c r="N284" s="7">
        <v>0</v>
      </c>
      <c r="O284" s="7">
        <v>0</v>
      </c>
      <c r="P284" s="7">
        <v>0</v>
      </c>
      <c r="Q284" s="7">
        <v>0</v>
      </c>
      <c r="R284" s="7">
        <v>0</v>
      </c>
      <c r="S284" s="7">
        <v>0</v>
      </c>
      <c r="T284" s="7">
        <v>0</v>
      </c>
      <c r="U284" s="7">
        <v>0</v>
      </c>
      <c r="V284" s="7">
        <v>0</v>
      </c>
      <c r="W284" s="7">
        <v>0</v>
      </c>
      <c r="X284" s="7">
        <v>0</v>
      </c>
      <c r="Y284" s="7">
        <v>0</v>
      </c>
      <c r="Z284" s="7">
        <v>0</v>
      </c>
      <c r="AA284" s="7">
        <v>0</v>
      </c>
      <c r="AB284" s="7">
        <v>0</v>
      </c>
      <c r="AC284" s="7">
        <v>0</v>
      </c>
      <c r="AD284" s="7">
        <v>0</v>
      </c>
      <c r="AE284" s="7">
        <v>0</v>
      </c>
      <c r="AF284" s="7">
        <v>0</v>
      </c>
      <c r="AG284" s="7">
        <v>0</v>
      </c>
      <c r="AH284" s="7">
        <v>0</v>
      </c>
      <c r="AI284" s="7">
        <v>0</v>
      </c>
      <c r="AJ284" s="7">
        <v>0</v>
      </c>
      <c r="AK284" s="7">
        <v>0</v>
      </c>
      <c r="AL284" s="7">
        <v>0</v>
      </c>
      <c r="AM284" s="7">
        <v>0</v>
      </c>
      <c r="AN284" s="7">
        <v>0</v>
      </c>
      <c r="AO284" s="7">
        <v>0</v>
      </c>
      <c r="AP284" s="7">
        <v>0</v>
      </c>
      <c r="AQ284" s="7">
        <v>0</v>
      </c>
      <c r="AR284" s="7">
        <v>0</v>
      </c>
      <c r="AS284" s="7">
        <v>0</v>
      </c>
      <c r="AT284" s="7">
        <v>0</v>
      </c>
      <c r="AU284" s="7">
        <v>0</v>
      </c>
      <c r="AV284" s="7">
        <v>0</v>
      </c>
      <c r="AW284" s="7">
        <v>0</v>
      </c>
      <c r="AX284" s="7">
        <v>0</v>
      </c>
      <c r="AY284" s="7">
        <v>0</v>
      </c>
      <c r="AZ284" s="7">
        <v>0</v>
      </c>
      <c r="BA284" s="7">
        <v>0</v>
      </c>
      <c r="BB284" s="7">
        <v>0</v>
      </c>
      <c r="BC284" s="7">
        <v>0</v>
      </c>
      <c r="BD284">
        <v>0</v>
      </c>
      <c r="BE284">
        <v>31.32</v>
      </c>
      <c r="BF2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4" s="42" t="str">
        <f>+IF(AVANCE[[#This Row],[FECHA INICIO REAL]]="","",AVANCE[[#This Row],[FECHA INICIO REAL]]-AVANCE[[#This Row],[FECHA INICIO TEORICO]])</f>
        <v/>
      </c>
      <c r="BH2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5" spans="1:61" x14ac:dyDescent="0.25">
      <c r="A285" t="s">
        <v>1088</v>
      </c>
      <c r="B285" t="s">
        <v>1116</v>
      </c>
      <c r="C285">
        <v>2282600284</v>
      </c>
      <c r="D285" t="s">
        <v>833</v>
      </c>
      <c r="E285" s="4">
        <v>0</v>
      </c>
      <c r="F285" s="1">
        <v>46286</v>
      </c>
      <c r="G285" s="1"/>
      <c r="H285" s="1">
        <v>0</v>
      </c>
      <c r="I285" s="1">
        <v>46306</v>
      </c>
      <c r="J285">
        <v>46188</v>
      </c>
      <c r="K285" s="1"/>
      <c r="L285" s="7">
        <v>0</v>
      </c>
      <c r="M285" s="7">
        <v>0</v>
      </c>
      <c r="N285" s="7">
        <v>0</v>
      </c>
      <c r="O285" s="7">
        <v>0</v>
      </c>
      <c r="P285" s="7">
        <v>0</v>
      </c>
      <c r="Q285" s="7">
        <v>0</v>
      </c>
      <c r="R285" s="7">
        <v>0</v>
      </c>
      <c r="S285" s="7">
        <v>0</v>
      </c>
      <c r="T285" s="7">
        <v>0</v>
      </c>
      <c r="U285" s="7">
        <v>0</v>
      </c>
      <c r="V285" s="7">
        <v>0</v>
      </c>
      <c r="W285" s="7">
        <v>0</v>
      </c>
      <c r="X285" s="7">
        <v>0</v>
      </c>
      <c r="Y285" s="7">
        <v>0</v>
      </c>
      <c r="Z285" s="7">
        <v>0</v>
      </c>
      <c r="AA285" s="7">
        <v>0</v>
      </c>
      <c r="AB285" s="7">
        <v>0</v>
      </c>
      <c r="AC285" s="7">
        <v>0</v>
      </c>
      <c r="AD285" s="7">
        <v>0</v>
      </c>
      <c r="AE285" s="7">
        <v>0</v>
      </c>
      <c r="AF285" s="7">
        <v>0</v>
      </c>
      <c r="AG285" s="7">
        <v>0</v>
      </c>
      <c r="AH285" s="7">
        <v>0</v>
      </c>
      <c r="AI285" s="7">
        <v>0</v>
      </c>
      <c r="AJ285" s="7">
        <v>0</v>
      </c>
      <c r="AK285" s="7">
        <v>0</v>
      </c>
      <c r="AL285" s="7">
        <v>0</v>
      </c>
      <c r="AM285" s="7">
        <v>0</v>
      </c>
      <c r="AN285" s="7">
        <v>0</v>
      </c>
      <c r="AO285" s="7">
        <v>0</v>
      </c>
      <c r="AP285" s="7">
        <v>0</v>
      </c>
      <c r="AQ285" s="7">
        <v>0</v>
      </c>
      <c r="AR285" s="7">
        <v>0</v>
      </c>
      <c r="AS285" s="7">
        <v>0</v>
      </c>
      <c r="AT285" s="7">
        <v>0</v>
      </c>
      <c r="AU285" s="7">
        <v>0</v>
      </c>
      <c r="AV285" s="7">
        <v>0</v>
      </c>
      <c r="AW285" s="7">
        <v>0</v>
      </c>
      <c r="AX285" s="7">
        <v>0</v>
      </c>
      <c r="AY285" s="7">
        <v>0</v>
      </c>
      <c r="AZ285" s="7">
        <v>0</v>
      </c>
      <c r="BA285" s="7">
        <v>0</v>
      </c>
      <c r="BB285" s="7">
        <v>0</v>
      </c>
      <c r="BC285" s="7">
        <v>0</v>
      </c>
      <c r="BD285">
        <v>0</v>
      </c>
      <c r="BE285">
        <v>28.87</v>
      </c>
      <c r="BF2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5" s="42" t="str">
        <f>+IF(AVANCE[[#This Row],[FECHA INICIO REAL]]="","",AVANCE[[#This Row],[FECHA INICIO REAL]]-AVANCE[[#This Row],[FECHA INICIO TEORICO]])</f>
        <v/>
      </c>
      <c r="BH2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6" spans="1:61" x14ac:dyDescent="0.25">
      <c r="A286" t="s">
        <v>1088</v>
      </c>
      <c r="B286" t="s">
        <v>1117</v>
      </c>
      <c r="C286">
        <v>2282600285</v>
      </c>
      <c r="D286" t="s">
        <v>833</v>
      </c>
      <c r="E286" s="4">
        <v>0</v>
      </c>
      <c r="F286" s="1">
        <v>46286</v>
      </c>
      <c r="G286" s="1"/>
      <c r="H286" s="1">
        <v>0</v>
      </c>
      <c r="I286" s="1">
        <v>46306</v>
      </c>
      <c r="J286">
        <v>46188</v>
      </c>
      <c r="K286" s="1"/>
      <c r="L286" s="7">
        <v>0</v>
      </c>
      <c r="M286" s="7">
        <v>0</v>
      </c>
      <c r="N286" s="7">
        <v>0</v>
      </c>
      <c r="O286" s="7">
        <v>0</v>
      </c>
      <c r="P286" s="7">
        <v>0</v>
      </c>
      <c r="Q286" s="7">
        <v>0</v>
      </c>
      <c r="R286" s="7">
        <v>0</v>
      </c>
      <c r="S286" s="7">
        <v>0</v>
      </c>
      <c r="T286" s="7">
        <v>0</v>
      </c>
      <c r="U286" s="7">
        <v>0</v>
      </c>
      <c r="V286" s="7">
        <v>0</v>
      </c>
      <c r="W286" s="7">
        <v>0</v>
      </c>
      <c r="X286" s="7">
        <v>0</v>
      </c>
      <c r="Y286" s="7">
        <v>0</v>
      </c>
      <c r="Z286" s="7">
        <v>0</v>
      </c>
      <c r="AA286" s="7">
        <v>0</v>
      </c>
      <c r="AB286" s="7">
        <v>0</v>
      </c>
      <c r="AC286" s="7">
        <v>0</v>
      </c>
      <c r="AD286" s="7">
        <v>0</v>
      </c>
      <c r="AE286" s="7">
        <v>0</v>
      </c>
      <c r="AF286" s="7">
        <v>0</v>
      </c>
      <c r="AG286" s="7">
        <v>0</v>
      </c>
      <c r="AH286" s="7">
        <v>0</v>
      </c>
      <c r="AI286" s="7">
        <v>0</v>
      </c>
      <c r="AJ286" s="7">
        <v>0</v>
      </c>
      <c r="AK286" s="7">
        <v>0</v>
      </c>
      <c r="AL286" s="7">
        <v>0</v>
      </c>
      <c r="AM286" s="7">
        <v>0</v>
      </c>
      <c r="AN286" s="7">
        <v>0</v>
      </c>
      <c r="AO286" s="7">
        <v>0</v>
      </c>
      <c r="AP286" s="7">
        <v>0</v>
      </c>
      <c r="AQ286" s="7">
        <v>0</v>
      </c>
      <c r="AR286" s="7">
        <v>0</v>
      </c>
      <c r="AS286" s="7">
        <v>0</v>
      </c>
      <c r="AT286" s="7">
        <v>0</v>
      </c>
      <c r="AU286" s="7">
        <v>0</v>
      </c>
      <c r="AV286" s="7">
        <v>0</v>
      </c>
      <c r="AW286" s="7">
        <v>0</v>
      </c>
      <c r="AX286" s="7">
        <v>0</v>
      </c>
      <c r="AY286" s="7">
        <v>0</v>
      </c>
      <c r="AZ286" s="7">
        <v>0</v>
      </c>
      <c r="BA286" s="7">
        <v>0</v>
      </c>
      <c r="BB286" s="7">
        <v>0</v>
      </c>
      <c r="BC286" s="7">
        <v>0</v>
      </c>
      <c r="BD286">
        <v>0</v>
      </c>
      <c r="BE286">
        <v>28.87</v>
      </c>
      <c r="BF2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6" s="42" t="str">
        <f>+IF(AVANCE[[#This Row],[FECHA INICIO REAL]]="","",AVANCE[[#This Row],[FECHA INICIO REAL]]-AVANCE[[#This Row],[FECHA INICIO TEORICO]])</f>
        <v/>
      </c>
      <c r="BH2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7" spans="1:61" x14ac:dyDescent="0.25">
      <c r="A287" t="s">
        <v>1088</v>
      </c>
      <c r="B287" t="s">
        <v>1118</v>
      </c>
      <c r="C287">
        <v>2302600286</v>
      </c>
      <c r="D287" t="s">
        <v>834</v>
      </c>
      <c r="E287" s="4">
        <v>0</v>
      </c>
      <c r="F287" s="1">
        <v>46286</v>
      </c>
      <c r="G287" s="1"/>
      <c r="H287" s="1">
        <v>0</v>
      </c>
      <c r="I287" s="1">
        <v>46316</v>
      </c>
      <c r="J287">
        <v>46188</v>
      </c>
      <c r="K287" s="1"/>
      <c r="L287" s="7">
        <v>0</v>
      </c>
      <c r="M287" s="7">
        <v>0</v>
      </c>
      <c r="N287" s="7">
        <v>0</v>
      </c>
      <c r="O287" s="7">
        <v>0</v>
      </c>
      <c r="P287" s="7">
        <v>0</v>
      </c>
      <c r="Q287" s="7">
        <v>0</v>
      </c>
      <c r="R287" s="7">
        <v>0</v>
      </c>
      <c r="S287" s="7">
        <v>0</v>
      </c>
      <c r="T287" s="7">
        <v>0</v>
      </c>
      <c r="U287" s="7">
        <v>0</v>
      </c>
      <c r="V287" s="7">
        <v>0</v>
      </c>
      <c r="W287" s="7">
        <v>0</v>
      </c>
      <c r="X287" s="7">
        <v>0</v>
      </c>
      <c r="Y287" s="7">
        <v>0</v>
      </c>
      <c r="Z287" s="7">
        <v>0</v>
      </c>
      <c r="AA287" s="7">
        <v>0</v>
      </c>
      <c r="AB287" s="7">
        <v>0</v>
      </c>
      <c r="AC287" s="7">
        <v>0</v>
      </c>
      <c r="AD287" s="7">
        <v>0</v>
      </c>
      <c r="AE287" s="7">
        <v>0</v>
      </c>
      <c r="AF287" s="7">
        <v>0</v>
      </c>
      <c r="AG287" s="7">
        <v>0</v>
      </c>
      <c r="AH287" s="7">
        <v>0</v>
      </c>
      <c r="AI287" s="7">
        <v>0</v>
      </c>
      <c r="AJ287" s="7">
        <v>0</v>
      </c>
      <c r="AK287" s="7">
        <v>0</v>
      </c>
      <c r="AL287" s="7">
        <v>0</v>
      </c>
      <c r="AM287" s="7">
        <v>0</v>
      </c>
      <c r="AN287" s="7">
        <v>0</v>
      </c>
      <c r="AO287" s="7">
        <v>0</v>
      </c>
      <c r="AP287" s="7">
        <v>0</v>
      </c>
      <c r="AQ287" s="7">
        <v>0</v>
      </c>
      <c r="AR287" s="7">
        <v>0</v>
      </c>
      <c r="AS287" s="7">
        <v>0</v>
      </c>
      <c r="AT287" s="7">
        <v>0</v>
      </c>
      <c r="AU287" s="7">
        <v>0</v>
      </c>
      <c r="AV287" s="7">
        <v>0</v>
      </c>
      <c r="AW287" s="7">
        <v>0</v>
      </c>
      <c r="AX287" s="7">
        <v>0</v>
      </c>
      <c r="AY287" s="7">
        <v>0</v>
      </c>
      <c r="AZ287" s="7">
        <v>0</v>
      </c>
      <c r="BA287" s="7">
        <v>0</v>
      </c>
      <c r="BB287" s="7">
        <v>0</v>
      </c>
      <c r="BC287" s="7">
        <v>0</v>
      </c>
      <c r="BD287">
        <v>0</v>
      </c>
      <c r="BE287">
        <v>31.32</v>
      </c>
      <c r="BF2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7" s="42" t="str">
        <f>+IF(AVANCE[[#This Row],[FECHA INICIO REAL]]="","",AVANCE[[#This Row],[FECHA INICIO REAL]]-AVANCE[[#This Row],[FECHA INICIO TEORICO]])</f>
        <v/>
      </c>
      <c r="BH2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8" spans="1:61" x14ac:dyDescent="0.25">
      <c r="A288" t="s">
        <v>1088</v>
      </c>
      <c r="B288" t="s">
        <v>1119</v>
      </c>
      <c r="C288">
        <v>2302600287</v>
      </c>
      <c r="D288" t="s">
        <v>834</v>
      </c>
      <c r="E288" s="4">
        <v>0</v>
      </c>
      <c r="F288" s="1">
        <v>46287</v>
      </c>
      <c r="G288" s="1"/>
      <c r="H288" s="1">
        <v>0</v>
      </c>
      <c r="I288" s="1">
        <v>46317</v>
      </c>
      <c r="J288">
        <v>46188</v>
      </c>
      <c r="K288" s="1"/>
      <c r="L288" s="7">
        <v>0</v>
      </c>
      <c r="M288" s="7">
        <v>0</v>
      </c>
      <c r="N288" s="7">
        <v>0</v>
      </c>
      <c r="O288" s="7">
        <v>0</v>
      </c>
      <c r="P288" s="7">
        <v>0</v>
      </c>
      <c r="Q288" s="7">
        <v>0</v>
      </c>
      <c r="R288" s="7">
        <v>0</v>
      </c>
      <c r="S288" s="7">
        <v>0</v>
      </c>
      <c r="T288" s="7">
        <v>0</v>
      </c>
      <c r="U288" s="7">
        <v>0</v>
      </c>
      <c r="V288" s="7">
        <v>0</v>
      </c>
      <c r="W288" s="7">
        <v>0</v>
      </c>
      <c r="X288" s="7">
        <v>0</v>
      </c>
      <c r="Y288" s="7">
        <v>0</v>
      </c>
      <c r="Z288" s="7">
        <v>0</v>
      </c>
      <c r="AA288" s="7">
        <v>0</v>
      </c>
      <c r="AB288" s="7">
        <v>0</v>
      </c>
      <c r="AC288" s="7">
        <v>0</v>
      </c>
      <c r="AD288" s="7">
        <v>0</v>
      </c>
      <c r="AE288" s="7">
        <v>0</v>
      </c>
      <c r="AF288" s="7">
        <v>0</v>
      </c>
      <c r="AG288" s="7">
        <v>0</v>
      </c>
      <c r="AH288" s="7">
        <v>0</v>
      </c>
      <c r="AI288" s="7">
        <v>0</v>
      </c>
      <c r="AJ288" s="7">
        <v>0</v>
      </c>
      <c r="AK288" s="7">
        <v>0</v>
      </c>
      <c r="AL288" s="7">
        <v>0</v>
      </c>
      <c r="AM288" s="7">
        <v>0</v>
      </c>
      <c r="AN288" s="7">
        <v>0</v>
      </c>
      <c r="AO288" s="7">
        <v>0</v>
      </c>
      <c r="AP288" s="7">
        <v>0</v>
      </c>
      <c r="AQ288" s="7">
        <v>0</v>
      </c>
      <c r="AR288" s="7">
        <v>0</v>
      </c>
      <c r="AS288" s="7">
        <v>0</v>
      </c>
      <c r="AT288" s="7">
        <v>0</v>
      </c>
      <c r="AU288" s="7">
        <v>0</v>
      </c>
      <c r="AV288" s="7">
        <v>0</v>
      </c>
      <c r="AW288" s="7">
        <v>0</v>
      </c>
      <c r="AX288" s="7">
        <v>0</v>
      </c>
      <c r="AY288" s="7">
        <v>0</v>
      </c>
      <c r="AZ288" s="7">
        <v>0</v>
      </c>
      <c r="BA288" s="7">
        <v>0</v>
      </c>
      <c r="BB288" s="7">
        <v>0</v>
      </c>
      <c r="BC288" s="7">
        <v>0</v>
      </c>
      <c r="BD288">
        <v>0</v>
      </c>
      <c r="BE288">
        <v>31.32</v>
      </c>
      <c r="BF2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8" s="42" t="str">
        <f>+IF(AVANCE[[#This Row],[FECHA INICIO REAL]]="","",AVANCE[[#This Row],[FECHA INICIO REAL]]-AVANCE[[#This Row],[FECHA INICIO TEORICO]])</f>
        <v/>
      </c>
      <c r="BH2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9" spans="1:61" x14ac:dyDescent="0.25">
      <c r="A289" t="s">
        <v>1088</v>
      </c>
      <c r="B289" t="s">
        <v>1120</v>
      </c>
      <c r="C289">
        <v>2282600288</v>
      </c>
      <c r="D289" t="s">
        <v>833</v>
      </c>
      <c r="E289" s="4">
        <v>0</v>
      </c>
      <c r="F289" s="1">
        <v>46287</v>
      </c>
      <c r="G289" s="1"/>
      <c r="H289" s="1">
        <v>0</v>
      </c>
      <c r="I289" s="1">
        <v>46307</v>
      </c>
      <c r="J289">
        <v>46188</v>
      </c>
      <c r="K289" s="1"/>
      <c r="L289" s="7">
        <v>0</v>
      </c>
      <c r="M289" s="7">
        <v>0</v>
      </c>
      <c r="N289" s="7">
        <v>0</v>
      </c>
      <c r="O289" s="7">
        <v>0</v>
      </c>
      <c r="P289" s="7">
        <v>0</v>
      </c>
      <c r="Q289" s="7">
        <v>0</v>
      </c>
      <c r="R289" s="7">
        <v>0</v>
      </c>
      <c r="S289" s="7">
        <v>0</v>
      </c>
      <c r="T289" s="7">
        <v>0</v>
      </c>
      <c r="U289" s="7">
        <v>0</v>
      </c>
      <c r="V289" s="7">
        <v>0</v>
      </c>
      <c r="W289" s="7">
        <v>0</v>
      </c>
      <c r="X289" s="7">
        <v>0</v>
      </c>
      <c r="Y289" s="7">
        <v>0</v>
      </c>
      <c r="Z289" s="7">
        <v>0</v>
      </c>
      <c r="AA289" s="7">
        <v>0</v>
      </c>
      <c r="AB289" s="7">
        <v>0</v>
      </c>
      <c r="AC289" s="7">
        <v>0</v>
      </c>
      <c r="AD289" s="7">
        <v>0</v>
      </c>
      <c r="AE289" s="7">
        <v>0</v>
      </c>
      <c r="AF289" s="7">
        <v>0</v>
      </c>
      <c r="AG289" s="7">
        <v>0</v>
      </c>
      <c r="AH289" s="7">
        <v>0</v>
      </c>
      <c r="AI289" s="7">
        <v>0</v>
      </c>
      <c r="AJ289" s="7">
        <v>0</v>
      </c>
      <c r="AK289" s="7">
        <v>0</v>
      </c>
      <c r="AL289" s="7">
        <v>0</v>
      </c>
      <c r="AM289" s="7">
        <v>0</v>
      </c>
      <c r="AN289" s="7">
        <v>0</v>
      </c>
      <c r="AO289" s="7">
        <v>0</v>
      </c>
      <c r="AP289" s="7">
        <v>0</v>
      </c>
      <c r="AQ289" s="7">
        <v>0</v>
      </c>
      <c r="AR289" s="7">
        <v>0</v>
      </c>
      <c r="AS289" s="7">
        <v>0</v>
      </c>
      <c r="AT289" s="7">
        <v>0</v>
      </c>
      <c r="AU289" s="7">
        <v>0</v>
      </c>
      <c r="AV289" s="7">
        <v>0</v>
      </c>
      <c r="AW289" s="7">
        <v>0</v>
      </c>
      <c r="AX289" s="7">
        <v>0</v>
      </c>
      <c r="AY289" s="7">
        <v>0</v>
      </c>
      <c r="AZ289" s="7">
        <v>0</v>
      </c>
      <c r="BA289" s="7">
        <v>0</v>
      </c>
      <c r="BB289" s="7">
        <v>0</v>
      </c>
      <c r="BC289" s="7">
        <v>0</v>
      </c>
      <c r="BD289">
        <v>0</v>
      </c>
      <c r="BE289">
        <v>28.87</v>
      </c>
      <c r="BF2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9" s="42" t="str">
        <f>+IF(AVANCE[[#This Row],[FECHA INICIO REAL]]="","",AVANCE[[#This Row],[FECHA INICIO REAL]]-AVANCE[[#This Row],[FECHA INICIO TEORICO]])</f>
        <v/>
      </c>
      <c r="BH2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0" spans="1:61" x14ac:dyDescent="0.25">
      <c r="A290" t="s">
        <v>1121</v>
      </c>
      <c r="B290" t="s">
        <v>1122</v>
      </c>
      <c r="C290">
        <v>2282600289</v>
      </c>
      <c r="D290" t="s">
        <v>833</v>
      </c>
      <c r="E290" s="4">
        <v>0</v>
      </c>
      <c r="F290" s="1">
        <v>46287</v>
      </c>
      <c r="G290" s="1"/>
      <c r="H290" s="1">
        <v>0</v>
      </c>
      <c r="I290" s="1">
        <v>46307</v>
      </c>
      <c r="J290">
        <v>46188</v>
      </c>
      <c r="K290" s="1"/>
      <c r="L290" s="7">
        <v>0</v>
      </c>
      <c r="M290" s="7">
        <v>0</v>
      </c>
      <c r="N290" s="7">
        <v>0</v>
      </c>
      <c r="O290" s="7">
        <v>0</v>
      </c>
      <c r="P290" s="7">
        <v>0</v>
      </c>
      <c r="Q290" s="7">
        <v>0</v>
      </c>
      <c r="R290" s="7">
        <v>0</v>
      </c>
      <c r="S290" s="7">
        <v>0</v>
      </c>
      <c r="T290" s="7">
        <v>0</v>
      </c>
      <c r="U290" s="7">
        <v>0</v>
      </c>
      <c r="V290" s="7">
        <v>0</v>
      </c>
      <c r="W290" s="7">
        <v>0</v>
      </c>
      <c r="X290" s="7">
        <v>0</v>
      </c>
      <c r="Y290" s="7">
        <v>0</v>
      </c>
      <c r="Z290" s="7">
        <v>0</v>
      </c>
      <c r="AA290" s="7">
        <v>0</v>
      </c>
      <c r="AB290" s="7">
        <v>0</v>
      </c>
      <c r="AC290" s="7">
        <v>0</v>
      </c>
      <c r="AD290" s="7">
        <v>0</v>
      </c>
      <c r="AE290" s="7">
        <v>0</v>
      </c>
      <c r="AF290" s="7">
        <v>0</v>
      </c>
      <c r="AG290" s="7">
        <v>0</v>
      </c>
      <c r="AH290" s="7">
        <v>0</v>
      </c>
      <c r="AI290" s="7">
        <v>0</v>
      </c>
      <c r="AJ290" s="7">
        <v>0</v>
      </c>
      <c r="AK290" s="7">
        <v>0</v>
      </c>
      <c r="AL290" s="7">
        <v>0</v>
      </c>
      <c r="AM290" s="7">
        <v>0</v>
      </c>
      <c r="AN290" s="7">
        <v>0</v>
      </c>
      <c r="AO290" s="7">
        <v>0</v>
      </c>
      <c r="AP290" s="7">
        <v>0</v>
      </c>
      <c r="AQ290" s="7">
        <v>0</v>
      </c>
      <c r="AR290" s="7">
        <v>0</v>
      </c>
      <c r="AS290" s="7">
        <v>0</v>
      </c>
      <c r="AT290" s="7">
        <v>0</v>
      </c>
      <c r="AU290" s="7">
        <v>0</v>
      </c>
      <c r="AV290" s="7">
        <v>0</v>
      </c>
      <c r="AW290" s="7">
        <v>0</v>
      </c>
      <c r="AX290" s="7">
        <v>0</v>
      </c>
      <c r="AY290" s="7">
        <v>0</v>
      </c>
      <c r="AZ290" s="7">
        <v>0</v>
      </c>
      <c r="BA290" s="7">
        <v>0</v>
      </c>
      <c r="BB290" s="7">
        <v>0</v>
      </c>
      <c r="BC290" s="7">
        <v>0</v>
      </c>
      <c r="BD290">
        <v>0</v>
      </c>
      <c r="BE290">
        <v>28.87</v>
      </c>
      <c r="BF2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0" s="42" t="str">
        <f>+IF(AVANCE[[#This Row],[FECHA INICIO REAL]]="","",AVANCE[[#This Row],[FECHA INICIO REAL]]-AVANCE[[#This Row],[FECHA INICIO TEORICO]])</f>
        <v/>
      </c>
      <c r="BH2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1" spans="1:61" x14ac:dyDescent="0.25">
      <c r="A291" t="s">
        <v>1121</v>
      </c>
      <c r="B291" t="s">
        <v>1123</v>
      </c>
      <c r="C291">
        <v>2302600290</v>
      </c>
      <c r="D291" t="s">
        <v>834</v>
      </c>
      <c r="E291" s="4">
        <v>0</v>
      </c>
      <c r="F291" s="1">
        <v>46288</v>
      </c>
      <c r="G291" s="1"/>
      <c r="H291" s="1">
        <v>0</v>
      </c>
      <c r="I291" s="1">
        <v>46318</v>
      </c>
      <c r="J291">
        <v>46188</v>
      </c>
      <c r="K291" s="1"/>
      <c r="L291" s="7">
        <v>0</v>
      </c>
      <c r="M291" s="7">
        <v>0</v>
      </c>
      <c r="N291" s="7">
        <v>0</v>
      </c>
      <c r="O291" s="7">
        <v>0</v>
      </c>
      <c r="P291" s="7">
        <v>0</v>
      </c>
      <c r="Q291" s="7">
        <v>0</v>
      </c>
      <c r="R291" s="7">
        <v>0</v>
      </c>
      <c r="S291" s="7">
        <v>0</v>
      </c>
      <c r="T291" s="7">
        <v>0</v>
      </c>
      <c r="U291" s="7">
        <v>0</v>
      </c>
      <c r="V291" s="7">
        <v>0</v>
      </c>
      <c r="W291" s="7">
        <v>0</v>
      </c>
      <c r="X291" s="7">
        <v>0</v>
      </c>
      <c r="Y291" s="7">
        <v>0</v>
      </c>
      <c r="Z291" s="7">
        <v>0</v>
      </c>
      <c r="AA291" s="7">
        <v>0</v>
      </c>
      <c r="AB291" s="7">
        <v>0</v>
      </c>
      <c r="AC291" s="7">
        <v>0</v>
      </c>
      <c r="AD291" s="7">
        <v>0</v>
      </c>
      <c r="AE291" s="7">
        <v>0</v>
      </c>
      <c r="AF291" s="7">
        <v>0</v>
      </c>
      <c r="AG291" s="7">
        <v>0</v>
      </c>
      <c r="AH291" s="7">
        <v>0</v>
      </c>
      <c r="AI291" s="7">
        <v>0</v>
      </c>
      <c r="AJ291" s="7">
        <v>0</v>
      </c>
      <c r="AK291" s="7">
        <v>0</v>
      </c>
      <c r="AL291" s="7">
        <v>0</v>
      </c>
      <c r="AM291" s="7">
        <v>0</v>
      </c>
      <c r="AN291" s="7">
        <v>0</v>
      </c>
      <c r="AO291" s="7">
        <v>0</v>
      </c>
      <c r="AP291" s="7">
        <v>0</v>
      </c>
      <c r="AQ291" s="7">
        <v>0</v>
      </c>
      <c r="AR291" s="7">
        <v>0</v>
      </c>
      <c r="AS291" s="7">
        <v>0</v>
      </c>
      <c r="AT291" s="7">
        <v>0</v>
      </c>
      <c r="AU291" s="7">
        <v>0</v>
      </c>
      <c r="AV291" s="7">
        <v>0</v>
      </c>
      <c r="AW291" s="7">
        <v>0</v>
      </c>
      <c r="AX291" s="7">
        <v>0</v>
      </c>
      <c r="AY291" s="7">
        <v>0</v>
      </c>
      <c r="AZ291" s="7">
        <v>0</v>
      </c>
      <c r="BA291" s="7">
        <v>0</v>
      </c>
      <c r="BB291" s="7">
        <v>0</v>
      </c>
      <c r="BC291" s="7">
        <v>0</v>
      </c>
      <c r="BD291">
        <v>0</v>
      </c>
      <c r="BE291">
        <v>31.32</v>
      </c>
      <c r="BF2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1" s="42" t="str">
        <f>+IF(AVANCE[[#This Row],[FECHA INICIO REAL]]="","",AVANCE[[#This Row],[FECHA INICIO REAL]]-AVANCE[[#This Row],[FECHA INICIO TEORICO]])</f>
        <v/>
      </c>
      <c r="BH2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2" spans="1:61" x14ac:dyDescent="0.25">
      <c r="A292" t="s">
        <v>1121</v>
      </c>
      <c r="B292" t="s">
        <v>1124</v>
      </c>
      <c r="C292">
        <v>2302600291</v>
      </c>
      <c r="D292" t="s">
        <v>834</v>
      </c>
      <c r="E292" s="4">
        <v>0</v>
      </c>
      <c r="F292" s="1">
        <v>46288</v>
      </c>
      <c r="G292" s="1"/>
      <c r="H292" s="1">
        <v>0</v>
      </c>
      <c r="I292" s="1">
        <v>46318</v>
      </c>
      <c r="J292">
        <v>46188</v>
      </c>
      <c r="K292" s="1"/>
      <c r="L292" s="7">
        <v>0</v>
      </c>
      <c r="M292" s="7">
        <v>0</v>
      </c>
      <c r="N292" s="7">
        <v>0</v>
      </c>
      <c r="O292" s="7">
        <v>0</v>
      </c>
      <c r="P292" s="7">
        <v>0</v>
      </c>
      <c r="Q292" s="7">
        <v>0</v>
      </c>
      <c r="R292" s="7">
        <v>0</v>
      </c>
      <c r="S292" s="7">
        <v>0</v>
      </c>
      <c r="T292" s="7">
        <v>0</v>
      </c>
      <c r="U292" s="7">
        <v>0</v>
      </c>
      <c r="V292" s="7">
        <v>0</v>
      </c>
      <c r="W292" s="7">
        <v>0</v>
      </c>
      <c r="X292" s="7">
        <v>0</v>
      </c>
      <c r="Y292" s="7">
        <v>0</v>
      </c>
      <c r="Z292" s="7">
        <v>0</v>
      </c>
      <c r="AA292" s="7">
        <v>0</v>
      </c>
      <c r="AB292" s="7">
        <v>0</v>
      </c>
      <c r="AC292" s="7">
        <v>0</v>
      </c>
      <c r="AD292" s="7">
        <v>0</v>
      </c>
      <c r="AE292" s="7">
        <v>0</v>
      </c>
      <c r="AF292" s="7">
        <v>0</v>
      </c>
      <c r="AG292" s="7">
        <v>0</v>
      </c>
      <c r="AH292" s="7">
        <v>0</v>
      </c>
      <c r="AI292" s="7">
        <v>0</v>
      </c>
      <c r="AJ292" s="7">
        <v>0</v>
      </c>
      <c r="AK292" s="7">
        <v>0</v>
      </c>
      <c r="AL292" s="7">
        <v>0</v>
      </c>
      <c r="AM292" s="7">
        <v>0</v>
      </c>
      <c r="AN292" s="7">
        <v>0</v>
      </c>
      <c r="AO292" s="7">
        <v>0</v>
      </c>
      <c r="AP292" s="7">
        <v>0</v>
      </c>
      <c r="AQ292" s="7">
        <v>0</v>
      </c>
      <c r="AR292" s="7">
        <v>0</v>
      </c>
      <c r="AS292" s="7">
        <v>0</v>
      </c>
      <c r="AT292" s="7">
        <v>0</v>
      </c>
      <c r="AU292" s="7">
        <v>0</v>
      </c>
      <c r="AV292" s="7">
        <v>0</v>
      </c>
      <c r="AW292" s="7">
        <v>0</v>
      </c>
      <c r="AX292" s="7">
        <v>0</v>
      </c>
      <c r="AY292" s="7">
        <v>0</v>
      </c>
      <c r="AZ292" s="7">
        <v>0</v>
      </c>
      <c r="BA292" s="7">
        <v>0</v>
      </c>
      <c r="BB292" s="7">
        <v>0</v>
      </c>
      <c r="BC292" s="7">
        <v>0</v>
      </c>
      <c r="BD292">
        <v>0</v>
      </c>
      <c r="BE292">
        <v>31.32</v>
      </c>
      <c r="BF2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2" s="42" t="str">
        <f>+IF(AVANCE[[#This Row],[FECHA INICIO REAL]]="","",AVANCE[[#This Row],[FECHA INICIO REAL]]-AVANCE[[#This Row],[FECHA INICIO TEORICO]])</f>
        <v/>
      </c>
      <c r="BH2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3" spans="1:61" x14ac:dyDescent="0.25">
      <c r="A293" t="s">
        <v>1121</v>
      </c>
      <c r="B293" t="s">
        <v>1125</v>
      </c>
      <c r="C293">
        <v>2282600292</v>
      </c>
      <c r="D293" t="s">
        <v>833</v>
      </c>
      <c r="E293" s="4">
        <v>0</v>
      </c>
      <c r="F293" s="1">
        <v>46288</v>
      </c>
      <c r="G293" s="1"/>
      <c r="H293" s="1">
        <v>0</v>
      </c>
      <c r="I293" s="1">
        <v>46308</v>
      </c>
      <c r="J293">
        <v>46188</v>
      </c>
      <c r="K293" s="1"/>
      <c r="L293" s="7">
        <v>0</v>
      </c>
      <c r="M293" s="7">
        <v>0</v>
      </c>
      <c r="N293" s="7">
        <v>0</v>
      </c>
      <c r="O293" s="7">
        <v>0</v>
      </c>
      <c r="P293" s="7">
        <v>0</v>
      </c>
      <c r="Q293" s="7">
        <v>0</v>
      </c>
      <c r="R293" s="7">
        <v>0</v>
      </c>
      <c r="S293" s="7">
        <v>0</v>
      </c>
      <c r="T293" s="7">
        <v>0</v>
      </c>
      <c r="U293" s="7">
        <v>0</v>
      </c>
      <c r="V293" s="7">
        <v>0</v>
      </c>
      <c r="W293" s="7">
        <v>0</v>
      </c>
      <c r="X293" s="7">
        <v>0</v>
      </c>
      <c r="Y293" s="7">
        <v>0</v>
      </c>
      <c r="Z293" s="7">
        <v>0</v>
      </c>
      <c r="AA293" s="7">
        <v>0</v>
      </c>
      <c r="AB293" s="7">
        <v>0</v>
      </c>
      <c r="AC293" s="7">
        <v>0</v>
      </c>
      <c r="AD293" s="7">
        <v>0</v>
      </c>
      <c r="AE293" s="7">
        <v>0</v>
      </c>
      <c r="AF293" s="7">
        <v>0</v>
      </c>
      <c r="AG293" s="7">
        <v>0</v>
      </c>
      <c r="AH293" s="7">
        <v>0</v>
      </c>
      <c r="AI293" s="7">
        <v>0</v>
      </c>
      <c r="AJ293" s="7">
        <v>0</v>
      </c>
      <c r="AK293" s="7">
        <v>0</v>
      </c>
      <c r="AL293" s="7">
        <v>0</v>
      </c>
      <c r="AM293" s="7">
        <v>0</v>
      </c>
      <c r="AN293" s="7">
        <v>0</v>
      </c>
      <c r="AO293" s="7">
        <v>0</v>
      </c>
      <c r="AP293" s="7">
        <v>0</v>
      </c>
      <c r="AQ293" s="7">
        <v>0</v>
      </c>
      <c r="AR293" s="7">
        <v>0</v>
      </c>
      <c r="AS293" s="7">
        <v>0</v>
      </c>
      <c r="AT293" s="7">
        <v>0</v>
      </c>
      <c r="AU293" s="7">
        <v>0</v>
      </c>
      <c r="AV293" s="7">
        <v>0</v>
      </c>
      <c r="AW293" s="7">
        <v>0</v>
      </c>
      <c r="AX293" s="7">
        <v>0</v>
      </c>
      <c r="AY293" s="7">
        <v>0</v>
      </c>
      <c r="AZ293" s="7">
        <v>0</v>
      </c>
      <c r="BA293" s="7">
        <v>0</v>
      </c>
      <c r="BB293" s="7">
        <v>0</v>
      </c>
      <c r="BC293" s="7">
        <v>0</v>
      </c>
      <c r="BD293">
        <v>0</v>
      </c>
      <c r="BE293">
        <v>28.87</v>
      </c>
      <c r="BF2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3" s="42" t="str">
        <f>+IF(AVANCE[[#This Row],[FECHA INICIO REAL]]="","",AVANCE[[#This Row],[FECHA INICIO REAL]]-AVANCE[[#This Row],[FECHA INICIO TEORICO]])</f>
        <v/>
      </c>
      <c r="BH2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4" spans="1:61" x14ac:dyDescent="0.25">
      <c r="A294" t="s">
        <v>1121</v>
      </c>
      <c r="B294" t="s">
        <v>1126</v>
      </c>
      <c r="C294">
        <v>2282600293</v>
      </c>
      <c r="D294" t="s">
        <v>833</v>
      </c>
      <c r="E294" s="4">
        <v>0</v>
      </c>
      <c r="F294" s="1">
        <v>46289</v>
      </c>
      <c r="G294" s="1"/>
      <c r="H294" s="1">
        <v>0</v>
      </c>
      <c r="I294" s="1">
        <v>46309</v>
      </c>
      <c r="J294">
        <v>46188</v>
      </c>
      <c r="K294" s="1"/>
      <c r="L294" s="7">
        <v>0</v>
      </c>
      <c r="M294" s="7">
        <v>0</v>
      </c>
      <c r="N294" s="7">
        <v>0</v>
      </c>
      <c r="O294" s="7">
        <v>0</v>
      </c>
      <c r="P294" s="7">
        <v>0</v>
      </c>
      <c r="Q294" s="7">
        <v>0</v>
      </c>
      <c r="R294" s="7">
        <v>0</v>
      </c>
      <c r="S294" s="7">
        <v>0</v>
      </c>
      <c r="T294" s="7">
        <v>0</v>
      </c>
      <c r="U294" s="7">
        <v>0</v>
      </c>
      <c r="V294" s="7">
        <v>0</v>
      </c>
      <c r="W294" s="7">
        <v>0</v>
      </c>
      <c r="X294" s="7">
        <v>0</v>
      </c>
      <c r="Y294" s="7">
        <v>0</v>
      </c>
      <c r="Z294" s="7">
        <v>0</v>
      </c>
      <c r="AA294" s="7">
        <v>0</v>
      </c>
      <c r="AB294" s="7">
        <v>0</v>
      </c>
      <c r="AC294" s="7">
        <v>0</v>
      </c>
      <c r="AD294" s="7">
        <v>0</v>
      </c>
      <c r="AE294" s="7">
        <v>0</v>
      </c>
      <c r="AF294" s="7">
        <v>0</v>
      </c>
      <c r="AG294" s="7">
        <v>0</v>
      </c>
      <c r="AH294" s="7">
        <v>0</v>
      </c>
      <c r="AI294" s="7">
        <v>0</v>
      </c>
      <c r="AJ294" s="7">
        <v>0</v>
      </c>
      <c r="AK294" s="7">
        <v>0</v>
      </c>
      <c r="AL294" s="7">
        <v>0</v>
      </c>
      <c r="AM294" s="7">
        <v>0</v>
      </c>
      <c r="AN294" s="7">
        <v>0</v>
      </c>
      <c r="AO294" s="7">
        <v>0</v>
      </c>
      <c r="AP294" s="7">
        <v>0</v>
      </c>
      <c r="AQ294" s="7">
        <v>0</v>
      </c>
      <c r="AR294" s="7">
        <v>0</v>
      </c>
      <c r="AS294" s="7">
        <v>0</v>
      </c>
      <c r="AT294" s="7">
        <v>0</v>
      </c>
      <c r="AU294" s="7">
        <v>0</v>
      </c>
      <c r="AV294" s="7">
        <v>0</v>
      </c>
      <c r="AW294" s="7">
        <v>0</v>
      </c>
      <c r="AX294" s="7">
        <v>0</v>
      </c>
      <c r="AY294" s="7">
        <v>0</v>
      </c>
      <c r="AZ294" s="7">
        <v>0</v>
      </c>
      <c r="BA294" s="7">
        <v>0</v>
      </c>
      <c r="BB294" s="7">
        <v>0</v>
      </c>
      <c r="BC294" s="7">
        <v>0</v>
      </c>
      <c r="BD294">
        <v>0</v>
      </c>
      <c r="BE294">
        <v>28.87</v>
      </c>
      <c r="BF2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4" s="42" t="str">
        <f>+IF(AVANCE[[#This Row],[FECHA INICIO REAL]]="","",AVANCE[[#This Row],[FECHA INICIO REAL]]-AVANCE[[#This Row],[FECHA INICIO TEORICO]])</f>
        <v/>
      </c>
      <c r="BH2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5" spans="1:61" x14ac:dyDescent="0.25">
      <c r="A295" t="s">
        <v>1121</v>
      </c>
      <c r="B295" t="s">
        <v>1127</v>
      </c>
      <c r="C295">
        <v>2302600294</v>
      </c>
      <c r="D295" t="s">
        <v>834</v>
      </c>
      <c r="E295" s="4">
        <v>0</v>
      </c>
      <c r="F295" s="1">
        <v>46289</v>
      </c>
      <c r="G295" s="1"/>
      <c r="H295" s="1">
        <v>0</v>
      </c>
      <c r="I295" s="1">
        <v>46319</v>
      </c>
      <c r="J295">
        <v>46188</v>
      </c>
      <c r="K295" s="1"/>
      <c r="L295" s="7">
        <v>0</v>
      </c>
      <c r="M295" s="7">
        <v>0</v>
      </c>
      <c r="N295" s="7">
        <v>0</v>
      </c>
      <c r="O295" s="7">
        <v>0</v>
      </c>
      <c r="P295" s="7">
        <v>0</v>
      </c>
      <c r="Q295" s="7">
        <v>0</v>
      </c>
      <c r="R295" s="7">
        <v>0</v>
      </c>
      <c r="S295" s="7">
        <v>0</v>
      </c>
      <c r="T295" s="7">
        <v>0</v>
      </c>
      <c r="U295" s="7">
        <v>0</v>
      </c>
      <c r="V295" s="7">
        <v>0</v>
      </c>
      <c r="W295" s="7">
        <v>0</v>
      </c>
      <c r="X295" s="7">
        <v>0</v>
      </c>
      <c r="Y295" s="7">
        <v>0</v>
      </c>
      <c r="Z295" s="7">
        <v>0</v>
      </c>
      <c r="AA295" s="7">
        <v>0</v>
      </c>
      <c r="AB295" s="7">
        <v>0</v>
      </c>
      <c r="AC295" s="7">
        <v>0</v>
      </c>
      <c r="AD295" s="7">
        <v>0</v>
      </c>
      <c r="AE295" s="7">
        <v>0</v>
      </c>
      <c r="AF295" s="7">
        <v>0</v>
      </c>
      <c r="AG295" s="7">
        <v>0</v>
      </c>
      <c r="AH295" s="7">
        <v>0</v>
      </c>
      <c r="AI295" s="7">
        <v>0</v>
      </c>
      <c r="AJ295" s="7">
        <v>0</v>
      </c>
      <c r="AK295" s="7">
        <v>0</v>
      </c>
      <c r="AL295" s="7">
        <v>0</v>
      </c>
      <c r="AM295" s="7">
        <v>0</v>
      </c>
      <c r="AN295" s="7">
        <v>0</v>
      </c>
      <c r="AO295" s="7">
        <v>0</v>
      </c>
      <c r="AP295" s="7">
        <v>0</v>
      </c>
      <c r="AQ295" s="7">
        <v>0</v>
      </c>
      <c r="AR295" s="7">
        <v>0</v>
      </c>
      <c r="AS295" s="7">
        <v>0</v>
      </c>
      <c r="AT295" s="7">
        <v>0</v>
      </c>
      <c r="AU295" s="7">
        <v>0</v>
      </c>
      <c r="AV295" s="7">
        <v>0</v>
      </c>
      <c r="AW295" s="7">
        <v>0</v>
      </c>
      <c r="AX295" s="7">
        <v>0</v>
      </c>
      <c r="AY295" s="7">
        <v>0</v>
      </c>
      <c r="AZ295" s="7">
        <v>0</v>
      </c>
      <c r="BA295" s="7">
        <v>0</v>
      </c>
      <c r="BB295" s="7">
        <v>0</v>
      </c>
      <c r="BC295" s="7">
        <v>0</v>
      </c>
      <c r="BD295">
        <v>0</v>
      </c>
      <c r="BE295">
        <v>31.32</v>
      </c>
      <c r="BF2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5" s="42" t="str">
        <f>+IF(AVANCE[[#This Row],[FECHA INICIO REAL]]="","",AVANCE[[#This Row],[FECHA INICIO REAL]]-AVANCE[[#This Row],[FECHA INICIO TEORICO]])</f>
        <v/>
      </c>
      <c r="BH2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6" spans="1:61" x14ac:dyDescent="0.25">
      <c r="A296" t="s">
        <v>1121</v>
      </c>
      <c r="B296" t="s">
        <v>1128</v>
      </c>
      <c r="C296">
        <v>2302600295</v>
      </c>
      <c r="D296" t="s">
        <v>834</v>
      </c>
      <c r="E296" s="4">
        <v>0</v>
      </c>
      <c r="F296" s="1">
        <v>46289</v>
      </c>
      <c r="G296" s="1"/>
      <c r="H296" s="1">
        <v>0</v>
      </c>
      <c r="I296" s="1">
        <v>46319</v>
      </c>
      <c r="J296">
        <v>46188</v>
      </c>
      <c r="K296" s="1"/>
      <c r="L296" s="7">
        <v>0</v>
      </c>
      <c r="M296" s="7">
        <v>0</v>
      </c>
      <c r="N296" s="7">
        <v>0</v>
      </c>
      <c r="O296" s="7">
        <v>0</v>
      </c>
      <c r="P296" s="7">
        <v>0</v>
      </c>
      <c r="Q296" s="7">
        <v>0</v>
      </c>
      <c r="R296" s="7">
        <v>0</v>
      </c>
      <c r="S296" s="7">
        <v>0</v>
      </c>
      <c r="T296" s="7">
        <v>0</v>
      </c>
      <c r="U296" s="7">
        <v>0</v>
      </c>
      <c r="V296" s="7">
        <v>0</v>
      </c>
      <c r="W296" s="7">
        <v>0</v>
      </c>
      <c r="X296" s="7">
        <v>0</v>
      </c>
      <c r="Y296" s="7">
        <v>0</v>
      </c>
      <c r="Z296" s="7">
        <v>0</v>
      </c>
      <c r="AA296" s="7">
        <v>0</v>
      </c>
      <c r="AB296" s="7">
        <v>0</v>
      </c>
      <c r="AC296" s="7">
        <v>0</v>
      </c>
      <c r="AD296" s="7">
        <v>0</v>
      </c>
      <c r="AE296" s="7">
        <v>0</v>
      </c>
      <c r="AF296" s="7">
        <v>0</v>
      </c>
      <c r="AG296" s="7">
        <v>0</v>
      </c>
      <c r="AH296" s="7">
        <v>0</v>
      </c>
      <c r="AI296" s="7">
        <v>0</v>
      </c>
      <c r="AJ296" s="7">
        <v>0</v>
      </c>
      <c r="AK296" s="7">
        <v>0</v>
      </c>
      <c r="AL296" s="7">
        <v>0</v>
      </c>
      <c r="AM296" s="7">
        <v>0</v>
      </c>
      <c r="AN296" s="7">
        <v>0</v>
      </c>
      <c r="AO296" s="7">
        <v>0</v>
      </c>
      <c r="AP296" s="7">
        <v>0</v>
      </c>
      <c r="AQ296" s="7">
        <v>0</v>
      </c>
      <c r="AR296" s="7">
        <v>0</v>
      </c>
      <c r="AS296" s="7">
        <v>0</v>
      </c>
      <c r="AT296" s="7">
        <v>0</v>
      </c>
      <c r="AU296" s="7">
        <v>0</v>
      </c>
      <c r="AV296" s="7">
        <v>0</v>
      </c>
      <c r="AW296" s="7">
        <v>0</v>
      </c>
      <c r="AX296" s="7">
        <v>0</v>
      </c>
      <c r="AY296" s="7">
        <v>0</v>
      </c>
      <c r="AZ296" s="7">
        <v>0</v>
      </c>
      <c r="BA296" s="7">
        <v>0</v>
      </c>
      <c r="BB296" s="7">
        <v>0</v>
      </c>
      <c r="BC296" s="7">
        <v>0</v>
      </c>
      <c r="BD296">
        <v>0</v>
      </c>
      <c r="BE296">
        <v>31.32</v>
      </c>
      <c r="BF2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6" s="42" t="str">
        <f>+IF(AVANCE[[#This Row],[FECHA INICIO REAL]]="","",AVANCE[[#This Row],[FECHA INICIO REAL]]-AVANCE[[#This Row],[FECHA INICIO TEORICO]])</f>
        <v/>
      </c>
      <c r="BH2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7" spans="1:61" x14ac:dyDescent="0.25">
      <c r="A297" t="s">
        <v>1121</v>
      </c>
      <c r="B297" t="s">
        <v>1129</v>
      </c>
      <c r="C297">
        <v>2282600296</v>
      </c>
      <c r="D297" t="s">
        <v>833</v>
      </c>
      <c r="E297" s="4">
        <v>0</v>
      </c>
      <c r="F297" s="1">
        <v>46290</v>
      </c>
      <c r="G297" s="1"/>
      <c r="H297" s="1">
        <v>0</v>
      </c>
      <c r="I297" s="1">
        <v>46310</v>
      </c>
      <c r="J297">
        <v>46188</v>
      </c>
      <c r="K297" s="1"/>
      <c r="L297" s="7">
        <v>0</v>
      </c>
      <c r="M297" s="7">
        <v>0</v>
      </c>
      <c r="N297" s="7">
        <v>0</v>
      </c>
      <c r="O297" s="7">
        <v>0</v>
      </c>
      <c r="P297" s="7">
        <v>0</v>
      </c>
      <c r="Q297" s="7">
        <v>0</v>
      </c>
      <c r="R297" s="7">
        <v>0</v>
      </c>
      <c r="S297" s="7">
        <v>0</v>
      </c>
      <c r="T297" s="7">
        <v>0</v>
      </c>
      <c r="U297" s="7">
        <v>0</v>
      </c>
      <c r="V297" s="7">
        <v>0</v>
      </c>
      <c r="W297" s="7">
        <v>0</v>
      </c>
      <c r="X297" s="7">
        <v>0</v>
      </c>
      <c r="Y297" s="7">
        <v>0</v>
      </c>
      <c r="Z297" s="7">
        <v>0</v>
      </c>
      <c r="AA297" s="7">
        <v>0</v>
      </c>
      <c r="AB297" s="7">
        <v>0</v>
      </c>
      <c r="AC297" s="7">
        <v>0</v>
      </c>
      <c r="AD297" s="7">
        <v>0</v>
      </c>
      <c r="AE297" s="7">
        <v>0</v>
      </c>
      <c r="AF297" s="7">
        <v>0</v>
      </c>
      <c r="AG297" s="7">
        <v>0</v>
      </c>
      <c r="AH297" s="7">
        <v>0</v>
      </c>
      <c r="AI297" s="7">
        <v>0</v>
      </c>
      <c r="AJ297" s="7">
        <v>0</v>
      </c>
      <c r="AK297" s="7">
        <v>0</v>
      </c>
      <c r="AL297" s="7">
        <v>0</v>
      </c>
      <c r="AM297" s="7">
        <v>0</v>
      </c>
      <c r="AN297" s="7">
        <v>0</v>
      </c>
      <c r="AO297" s="7">
        <v>0</v>
      </c>
      <c r="AP297" s="7">
        <v>0</v>
      </c>
      <c r="AQ297" s="7">
        <v>0</v>
      </c>
      <c r="AR297" s="7">
        <v>0</v>
      </c>
      <c r="AS297" s="7">
        <v>0</v>
      </c>
      <c r="AT297" s="7">
        <v>0</v>
      </c>
      <c r="AU297" s="7">
        <v>0</v>
      </c>
      <c r="AV297" s="7">
        <v>0</v>
      </c>
      <c r="AW297" s="7">
        <v>0</v>
      </c>
      <c r="AX297" s="7">
        <v>0</v>
      </c>
      <c r="AY297" s="7">
        <v>0</v>
      </c>
      <c r="AZ297" s="7">
        <v>0</v>
      </c>
      <c r="BA297" s="7">
        <v>0</v>
      </c>
      <c r="BB297" s="7">
        <v>0</v>
      </c>
      <c r="BC297" s="7">
        <v>0</v>
      </c>
      <c r="BD297">
        <v>0</v>
      </c>
      <c r="BE297">
        <v>28.87</v>
      </c>
      <c r="BF2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7" s="42" t="str">
        <f>+IF(AVANCE[[#This Row],[FECHA INICIO REAL]]="","",AVANCE[[#This Row],[FECHA INICIO REAL]]-AVANCE[[#This Row],[FECHA INICIO TEORICO]])</f>
        <v/>
      </c>
      <c r="BH2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8" spans="1:61" x14ac:dyDescent="0.25">
      <c r="A298" t="s">
        <v>1121</v>
      </c>
      <c r="B298" t="s">
        <v>1130</v>
      </c>
      <c r="C298">
        <v>2282600297</v>
      </c>
      <c r="D298" t="s">
        <v>833</v>
      </c>
      <c r="E298" s="4">
        <v>0</v>
      </c>
      <c r="F298" s="1">
        <v>46290</v>
      </c>
      <c r="G298" s="1"/>
      <c r="H298" s="1">
        <v>0</v>
      </c>
      <c r="I298" s="1">
        <v>46310</v>
      </c>
      <c r="J298">
        <v>46188</v>
      </c>
      <c r="K298" s="1"/>
      <c r="L298" s="7">
        <v>0</v>
      </c>
      <c r="M298" s="7">
        <v>0</v>
      </c>
      <c r="N298" s="7">
        <v>0</v>
      </c>
      <c r="O298" s="7">
        <v>0</v>
      </c>
      <c r="P298" s="7">
        <v>0</v>
      </c>
      <c r="Q298" s="7">
        <v>0</v>
      </c>
      <c r="R298" s="7">
        <v>0</v>
      </c>
      <c r="S298" s="7">
        <v>0</v>
      </c>
      <c r="T298" s="7">
        <v>0</v>
      </c>
      <c r="U298" s="7">
        <v>0</v>
      </c>
      <c r="V298" s="7">
        <v>0</v>
      </c>
      <c r="W298" s="7">
        <v>0</v>
      </c>
      <c r="X298" s="7">
        <v>0</v>
      </c>
      <c r="Y298" s="7">
        <v>0</v>
      </c>
      <c r="Z298" s="7">
        <v>0</v>
      </c>
      <c r="AA298" s="7">
        <v>0</v>
      </c>
      <c r="AB298" s="7">
        <v>0</v>
      </c>
      <c r="AC298" s="7">
        <v>0</v>
      </c>
      <c r="AD298" s="7">
        <v>0</v>
      </c>
      <c r="AE298" s="7">
        <v>0</v>
      </c>
      <c r="AF298" s="7">
        <v>0</v>
      </c>
      <c r="AG298" s="7">
        <v>0</v>
      </c>
      <c r="AH298" s="7">
        <v>0</v>
      </c>
      <c r="AI298" s="7">
        <v>0</v>
      </c>
      <c r="AJ298" s="7">
        <v>0</v>
      </c>
      <c r="AK298" s="7">
        <v>0</v>
      </c>
      <c r="AL298" s="7">
        <v>0</v>
      </c>
      <c r="AM298" s="7">
        <v>0</v>
      </c>
      <c r="AN298" s="7">
        <v>0</v>
      </c>
      <c r="AO298" s="7">
        <v>0</v>
      </c>
      <c r="AP298" s="7">
        <v>0</v>
      </c>
      <c r="AQ298" s="7">
        <v>0</v>
      </c>
      <c r="AR298" s="7">
        <v>0</v>
      </c>
      <c r="AS298" s="7">
        <v>0</v>
      </c>
      <c r="AT298" s="7">
        <v>0</v>
      </c>
      <c r="AU298" s="7">
        <v>0</v>
      </c>
      <c r="AV298" s="7">
        <v>0</v>
      </c>
      <c r="AW298" s="7">
        <v>0</v>
      </c>
      <c r="AX298" s="7">
        <v>0</v>
      </c>
      <c r="AY298" s="7">
        <v>0</v>
      </c>
      <c r="AZ298" s="7">
        <v>0</v>
      </c>
      <c r="BA298" s="7">
        <v>0</v>
      </c>
      <c r="BB298" s="7">
        <v>0</v>
      </c>
      <c r="BC298" s="7">
        <v>0</v>
      </c>
      <c r="BD298">
        <v>0</v>
      </c>
      <c r="BE298">
        <v>28.87</v>
      </c>
      <c r="BF2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8" s="42" t="str">
        <f>+IF(AVANCE[[#This Row],[FECHA INICIO REAL]]="","",AVANCE[[#This Row],[FECHA INICIO REAL]]-AVANCE[[#This Row],[FECHA INICIO TEORICO]])</f>
        <v/>
      </c>
      <c r="BH2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9" spans="1:61" x14ac:dyDescent="0.25">
      <c r="A299" t="s">
        <v>1121</v>
      </c>
      <c r="B299" t="s">
        <v>1131</v>
      </c>
      <c r="C299">
        <v>2302600298</v>
      </c>
      <c r="D299" t="s">
        <v>834</v>
      </c>
      <c r="E299" s="4">
        <v>0</v>
      </c>
      <c r="F299" s="1">
        <v>46290</v>
      </c>
      <c r="G299" s="1"/>
      <c r="H299" s="1">
        <v>0</v>
      </c>
      <c r="I299" s="1">
        <v>46320</v>
      </c>
      <c r="J299">
        <v>46188</v>
      </c>
      <c r="K299" s="1"/>
      <c r="L299" s="7">
        <v>0</v>
      </c>
      <c r="M299" s="7">
        <v>0</v>
      </c>
      <c r="N299" s="7">
        <v>0</v>
      </c>
      <c r="O299" s="7">
        <v>0</v>
      </c>
      <c r="P299" s="7">
        <v>0</v>
      </c>
      <c r="Q299" s="7">
        <v>0</v>
      </c>
      <c r="R299" s="7">
        <v>0</v>
      </c>
      <c r="S299" s="7">
        <v>0</v>
      </c>
      <c r="T299" s="7">
        <v>0</v>
      </c>
      <c r="U299" s="7">
        <v>0</v>
      </c>
      <c r="V299" s="7">
        <v>0</v>
      </c>
      <c r="W299" s="7">
        <v>0</v>
      </c>
      <c r="X299" s="7">
        <v>0</v>
      </c>
      <c r="Y299" s="7">
        <v>0</v>
      </c>
      <c r="Z299" s="7">
        <v>0</v>
      </c>
      <c r="AA299" s="7">
        <v>0</v>
      </c>
      <c r="AB299" s="7">
        <v>0</v>
      </c>
      <c r="AC299" s="7">
        <v>0</v>
      </c>
      <c r="AD299" s="7">
        <v>0</v>
      </c>
      <c r="AE299" s="7">
        <v>0</v>
      </c>
      <c r="AF299" s="7">
        <v>0</v>
      </c>
      <c r="AG299" s="7">
        <v>0</v>
      </c>
      <c r="AH299" s="7">
        <v>0</v>
      </c>
      <c r="AI299" s="7">
        <v>0</v>
      </c>
      <c r="AJ299" s="7">
        <v>0</v>
      </c>
      <c r="AK299" s="7">
        <v>0</v>
      </c>
      <c r="AL299" s="7">
        <v>0</v>
      </c>
      <c r="AM299" s="7">
        <v>0</v>
      </c>
      <c r="AN299" s="7">
        <v>0</v>
      </c>
      <c r="AO299" s="7">
        <v>0</v>
      </c>
      <c r="AP299" s="7">
        <v>0</v>
      </c>
      <c r="AQ299" s="7">
        <v>0</v>
      </c>
      <c r="AR299" s="7">
        <v>0</v>
      </c>
      <c r="AS299" s="7">
        <v>0</v>
      </c>
      <c r="AT299" s="7">
        <v>0</v>
      </c>
      <c r="AU299" s="7">
        <v>0</v>
      </c>
      <c r="AV299" s="7">
        <v>0</v>
      </c>
      <c r="AW299" s="7">
        <v>0</v>
      </c>
      <c r="AX299" s="7">
        <v>0</v>
      </c>
      <c r="AY299" s="7">
        <v>0</v>
      </c>
      <c r="AZ299" s="7">
        <v>0</v>
      </c>
      <c r="BA299" s="7">
        <v>0</v>
      </c>
      <c r="BB299" s="7">
        <v>0</v>
      </c>
      <c r="BC299" s="7">
        <v>0</v>
      </c>
      <c r="BD299">
        <v>0</v>
      </c>
      <c r="BE299">
        <v>31.32</v>
      </c>
      <c r="BF2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9" s="42" t="str">
        <f>+IF(AVANCE[[#This Row],[FECHA INICIO REAL]]="","",AVANCE[[#This Row],[FECHA INICIO REAL]]-AVANCE[[#This Row],[FECHA INICIO TEORICO]])</f>
        <v/>
      </c>
      <c r="BH2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0" spans="1:61" x14ac:dyDescent="0.25">
      <c r="A300" t="s">
        <v>1121</v>
      </c>
      <c r="B300" t="s">
        <v>1132</v>
      </c>
      <c r="C300">
        <v>2302600299</v>
      </c>
      <c r="D300" t="s">
        <v>834</v>
      </c>
      <c r="E300" s="4">
        <v>0</v>
      </c>
      <c r="F300" s="1">
        <v>46293</v>
      </c>
      <c r="G300" s="1"/>
      <c r="H300" s="1">
        <v>0</v>
      </c>
      <c r="I300" s="1">
        <v>46323</v>
      </c>
      <c r="J300">
        <v>46188</v>
      </c>
      <c r="K300" s="1"/>
      <c r="L300" s="7">
        <v>0</v>
      </c>
      <c r="M300" s="7">
        <v>0</v>
      </c>
      <c r="N300" s="7">
        <v>0</v>
      </c>
      <c r="O300" s="7">
        <v>0</v>
      </c>
      <c r="P300" s="7">
        <v>0</v>
      </c>
      <c r="Q300" s="7">
        <v>0</v>
      </c>
      <c r="R300" s="7">
        <v>0</v>
      </c>
      <c r="S300" s="7">
        <v>0</v>
      </c>
      <c r="T300" s="7">
        <v>0</v>
      </c>
      <c r="U300" s="7">
        <v>0</v>
      </c>
      <c r="V300" s="7">
        <v>0</v>
      </c>
      <c r="W300" s="7">
        <v>0</v>
      </c>
      <c r="X300" s="7">
        <v>0</v>
      </c>
      <c r="Y300" s="7">
        <v>0</v>
      </c>
      <c r="Z300" s="7">
        <v>0</v>
      </c>
      <c r="AA300" s="7">
        <v>0</v>
      </c>
      <c r="AB300" s="7">
        <v>0</v>
      </c>
      <c r="AC300" s="7">
        <v>0</v>
      </c>
      <c r="AD300" s="7">
        <v>0</v>
      </c>
      <c r="AE300" s="7">
        <v>0</v>
      </c>
      <c r="AF300" s="7">
        <v>0</v>
      </c>
      <c r="AG300" s="7">
        <v>0</v>
      </c>
      <c r="AH300" s="7">
        <v>0</v>
      </c>
      <c r="AI300" s="7">
        <v>0</v>
      </c>
      <c r="AJ300" s="7">
        <v>0</v>
      </c>
      <c r="AK300" s="7">
        <v>0</v>
      </c>
      <c r="AL300" s="7">
        <v>0</v>
      </c>
      <c r="AM300" s="7">
        <v>0</v>
      </c>
      <c r="AN300" s="7">
        <v>0</v>
      </c>
      <c r="AO300" s="7">
        <v>0</v>
      </c>
      <c r="AP300" s="7">
        <v>0</v>
      </c>
      <c r="AQ300" s="7">
        <v>0</v>
      </c>
      <c r="AR300" s="7">
        <v>0</v>
      </c>
      <c r="AS300" s="7">
        <v>0</v>
      </c>
      <c r="AT300" s="7">
        <v>0</v>
      </c>
      <c r="AU300" s="7">
        <v>0</v>
      </c>
      <c r="AV300" s="7">
        <v>0</v>
      </c>
      <c r="AW300" s="7">
        <v>0</v>
      </c>
      <c r="AX300" s="7">
        <v>0</v>
      </c>
      <c r="AY300" s="7">
        <v>0</v>
      </c>
      <c r="AZ300" s="7">
        <v>0</v>
      </c>
      <c r="BA300" s="7">
        <v>0</v>
      </c>
      <c r="BB300" s="7">
        <v>0</v>
      </c>
      <c r="BC300" s="7">
        <v>0</v>
      </c>
      <c r="BD300">
        <v>0</v>
      </c>
      <c r="BE300">
        <v>31.32</v>
      </c>
      <c r="BF3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0" s="42" t="str">
        <f>+IF(AVANCE[[#This Row],[FECHA INICIO REAL]]="","",AVANCE[[#This Row],[FECHA INICIO REAL]]-AVANCE[[#This Row],[FECHA INICIO TEORICO]])</f>
        <v/>
      </c>
      <c r="BH3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1" spans="1:61" x14ac:dyDescent="0.25">
      <c r="A301" t="s">
        <v>1121</v>
      </c>
      <c r="B301" t="s">
        <v>1133</v>
      </c>
      <c r="C301">
        <v>2282600300</v>
      </c>
      <c r="D301" t="s">
        <v>833</v>
      </c>
      <c r="E301" s="4">
        <v>0</v>
      </c>
      <c r="F301" s="1">
        <v>46293</v>
      </c>
      <c r="G301" s="1"/>
      <c r="H301" s="1">
        <v>0</v>
      </c>
      <c r="I301" s="1">
        <v>46313</v>
      </c>
      <c r="J301">
        <v>46188</v>
      </c>
      <c r="K301" s="1"/>
      <c r="L301" s="7">
        <v>0</v>
      </c>
      <c r="M301" s="7">
        <v>0</v>
      </c>
      <c r="N301" s="7">
        <v>0</v>
      </c>
      <c r="O301" s="7">
        <v>0</v>
      </c>
      <c r="P301" s="7">
        <v>0</v>
      </c>
      <c r="Q301" s="7">
        <v>0</v>
      </c>
      <c r="R301" s="7">
        <v>0</v>
      </c>
      <c r="S301" s="7">
        <v>0</v>
      </c>
      <c r="T301" s="7">
        <v>0</v>
      </c>
      <c r="U301" s="7">
        <v>0</v>
      </c>
      <c r="V301" s="7">
        <v>0</v>
      </c>
      <c r="W301" s="7">
        <v>0</v>
      </c>
      <c r="X301" s="7">
        <v>0</v>
      </c>
      <c r="Y301" s="7">
        <v>0</v>
      </c>
      <c r="Z301" s="7">
        <v>0</v>
      </c>
      <c r="AA301" s="7">
        <v>0</v>
      </c>
      <c r="AB301" s="7">
        <v>0</v>
      </c>
      <c r="AC301" s="7">
        <v>0</v>
      </c>
      <c r="AD301" s="7">
        <v>0</v>
      </c>
      <c r="AE301" s="7">
        <v>0</v>
      </c>
      <c r="AF301" s="7">
        <v>0</v>
      </c>
      <c r="AG301" s="7">
        <v>0</v>
      </c>
      <c r="AH301" s="7">
        <v>0</v>
      </c>
      <c r="AI301" s="7">
        <v>0</v>
      </c>
      <c r="AJ301" s="7">
        <v>0</v>
      </c>
      <c r="AK301" s="7">
        <v>0</v>
      </c>
      <c r="AL301" s="7">
        <v>0</v>
      </c>
      <c r="AM301" s="7">
        <v>0</v>
      </c>
      <c r="AN301" s="7">
        <v>0</v>
      </c>
      <c r="AO301" s="7">
        <v>0</v>
      </c>
      <c r="AP301" s="7">
        <v>0</v>
      </c>
      <c r="AQ301" s="7">
        <v>0</v>
      </c>
      <c r="AR301" s="7">
        <v>0</v>
      </c>
      <c r="AS301" s="7">
        <v>0</v>
      </c>
      <c r="AT301" s="7">
        <v>0</v>
      </c>
      <c r="AU301" s="7">
        <v>0</v>
      </c>
      <c r="AV301" s="7">
        <v>0</v>
      </c>
      <c r="AW301" s="7">
        <v>0</v>
      </c>
      <c r="AX301" s="7">
        <v>0</v>
      </c>
      <c r="AY301" s="7">
        <v>0</v>
      </c>
      <c r="AZ301" s="7">
        <v>0</v>
      </c>
      <c r="BA301" s="7">
        <v>0</v>
      </c>
      <c r="BB301" s="7">
        <v>0</v>
      </c>
      <c r="BC301" s="7">
        <v>0</v>
      </c>
      <c r="BD301">
        <v>0</v>
      </c>
      <c r="BE301">
        <v>28.87</v>
      </c>
      <c r="BF3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1" s="42" t="str">
        <f>+IF(AVANCE[[#This Row],[FECHA INICIO REAL]]="","",AVANCE[[#This Row],[FECHA INICIO REAL]]-AVANCE[[#This Row],[FECHA INICIO TEORICO]])</f>
        <v/>
      </c>
      <c r="BH3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2" spans="1:61" x14ac:dyDescent="0.25">
      <c r="A302" t="s">
        <v>1121</v>
      </c>
      <c r="B302" t="s">
        <v>1134</v>
      </c>
      <c r="C302">
        <v>2282600301</v>
      </c>
      <c r="D302" t="s">
        <v>833</v>
      </c>
      <c r="E302" s="4">
        <v>0</v>
      </c>
      <c r="F302" s="1">
        <v>46293</v>
      </c>
      <c r="G302" s="1"/>
      <c r="H302" s="1">
        <v>0</v>
      </c>
      <c r="I302" s="1">
        <v>46313</v>
      </c>
      <c r="J302">
        <v>46188</v>
      </c>
      <c r="K302" s="1"/>
      <c r="L302" s="7">
        <v>0</v>
      </c>
      <c r="M302" s="7">
        <v>0</v>
      </c>
      <c r="N302" s="7">
        <v>0</v>
      </c>
      <c r="O302" s="7">
        <v>0</v>
      </c>
      <c r="P302" s="7">
        <v>0</v>
      </c>
      <c r="Q302" s="7">
        <v>0</v>
      </c>
      <c r="R302" s="7">
        <v>0</v>
      </c>
      <c r="S302" s="7">
        <v>0</v>
      </c>
      <c r="T302" s="7">
        <v>0</v>
      </c>
      <c r="U302" s="7">
        <v>0</v>
      </c>
      <c r="V302" s="7">
        <v>0</v>
      </c>
      <c r="W302" s="7">
        <v>0</v>
      </c>
      <c r="X302" s="7">
        <v>0</v>
      </c>
      <c r="Y302" s="7">
        <v>0</v>
      </c>
      <c r="Z302" s="7">
        <v>0</v>
      </c>
      <c r="AA302" s="7">
        <v>0</v>
      </c>
      <c r="AB302" s="7">
        <v>0</v>
      </c>
      <c r="AC302" s="7">
        <v>0</v>
      </c>
      <c r="AD302" s="7">
        <v>0</v>
      </c>
      <c r="AE302" s="7">
        <v>0</v>
      </c>
      <c r="AF302" s="7">
        <v>0</v>
      </c>
      <c r="AG302" s="7">
        <v>0</v>
      </c>
      <c r="AH302" s="7">
        <v>0</v>
      </c>
      <c r="AI302" s="7">
        <v>0</v>
      </c>
      <c r="AJ302" s="7">
        <v>0</v>
      </c>
      <c r="AK302" s="7">
        <v>0</v>
      </c>
      <c r="AL302" s="7">
        <v>0</v>
      </c>
      <c r="AM302" s="7">
        <v>0</v>
      </c>
      <c r="AN302" s="7">
        <v>0</v>
      </c>
      <c r="AO302" s="7">
        <v>0</v>
      </c>
      <c r="AP302" s="7">
        <v>0</v>
      </c>
      <c r="AQ302" s="7">
        <v>0</v>
      </c>
      <c r="AR302" s="7">
        <v>0</v>
      </c>
      <c r="AS302" s="7">
        <v>0</v>
      </c>
      <c r="AT302" s="7">
        <v>0</v>
      </c>
      <c r="AU302" s="7">
        <v>0</v>
      </c>
      <c r="AV302" s="7">
        <v>0</v>
      </c>
      <c r="AW302" s="7">
        <v>0</v>
      </c>
      <c r="AX302" s="7">
        <v>0</v>
      </c>
      <c r="AY302" s="7">
        <v>0</v>
      </c>
      <c r="AZ302" s="7">
        <v>0</v>
      </c>
      <c r="BA302" s="7">
        <v>0</v>
      </c>
      <c r="BB302" s="7">
        <v>0</v>
      </c>
      <c r="BC302" s="7">
        <v>0</v>
      </c>
      <c r="BD302">
        <v>0</v>
      </c>
      <c r="BE302">
        <v>28.87</v>
      </c>
      <c r="BF3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2" s="42" t="str">
        <f>+IF(AVANCE[[#This Row],[FECHA INICIO REAL]]="","",AVANCE[[#This Row],[FECHA INICIO REAL]]-AVANCE[[#This Row],[FECHA INICIO TEORICO]])</f>
        <v/>
      </c>
      <c r="BH3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3" spans="1:61" x14ac:dyDescent="0.25">
      <c r="A303" t="s">
        <v>1121</v>
      </c>
      <c r="B303" t="s">
        <v>1135</v>
      </c>
      <c r="C303">
        <v>2302600302</v>
      </c>
      <c r="D303" t="s">
        <v>834</v>
      </c>
      <c r="E303" s="4">
        <v>0</v>
      </c>
      <c r="F303" s="1">
        <v>46294</v>
      </c>
      <c r="G303" s="1"/>
      <c r="H303" s="1">
        <v>0</v>
      </c>
      <c r="I303" s="1">
        <v>46324</v>
      </c>
      <c r="J303">
        <v>46188</v>
      </c>
      <c r="K303" s="1"/>
      <c r="L303" s="7">
        <v>0</v>
      </c>
      <c r="M303" s="7">
        <v>0</v>
      </c>
      <c r="N303" s="7">
        <v>0</v>
      </c>
      <c r="O303" s="7">
        <v>0</v>
      </c>
      <c r="P303" s="7">
        <v>0</v>
      </c>
      <c r="Q303" s="7">
        <v>0</v>
      </c>
      <c r="R303" s="7">
        <v>0</v>
      </c>
      <c r="S303" s="7">
        <v>0</v>
      </c>
      <c r="T303" s="7">
        <v>0</v>
      </c>
      <c r="U303" s="7">
        <v>0</v>
      </c>
      <c r="V303" s="7">
        <v>0</v>
      </c>
      <c r="W303" s="7">
        <v>0</v>
      </c>
      <c r="X303" s="7">
        <v>0</v>
      </c>
      <c r="Y303" s="7">
        <v>0</v>
      </c>
      <c r="Z303" s="7">
        <v>0</v>
      </c>
      <c r="AA303" s="7">
        <v>0</v>
      </c>
      <c r="AB303" s="7">
        <v>0</v>
      </c>
      <c r="AC303" s="7">
        <v>0</v>
      </c>
      <c r="AD303" s="7">
        <v>0</v>
      </c>
      <c r="AE303" s="7">
        <v>0</v>
      </c>
      <c r="AF303" s="7">
        <v>0</v>
      </c>
      <c r="AG303" s="7">
        <v>0</v>
      </c>
      <c r="AH303" s="7">
        <v>0</v>
      </c>
      <c r="AI303" s="7">
        <v>0</v>
      </c>
      <c r="AJ303" s="7">
        <v>0</v>
      </c>
      <c r="AK303" s="7">
        <v>0</v>
      </c>
      <c r="AL303" s="7">
        <v>0</v>
      </c>
      <c r="AM303" s="7">
        <v>0</v>
      </c>
      <c r="AN303" s="7">
        <v>0</v>
      </c>
      <c r="AO303" s="7">
        <v>0</v>
      </c>
      <c r="AP303" s="7">
        <v>0</v>
      </c>
      <c r="AQ303" s="7">
        <v>0</v>
      </c>
      <c r="AR303" s="7">
        <v>0</v>
      </c>
      <c r="AS303" s="7">
        <v>0</v>
      </c>
      <c r="AT303" s="7">
        <v>0</v>
      </c>
      <c r="AU303" s="7">
        <v>0</v>
      </c>
      <c r="AV303" s="7">
        <v>0</v>
      </c>
      <c r="AW303" s="7">
        <v>0</v>
      </c>
      <c r="AX303" s="7">
        <v>0</v>
      </c>
      <c r="AY303" s="7">
        <v>0</v>
      </c>
      <c r="AZ303" s="7">
        <v>0</v>
      </c>
      <c r="BA303" s="7">
        <v>0</v>
      </c>
      <c r="BB303" s="7">
        <v>0</v>
      </c>
      <c r="BC303" s="7">
        <v>0</v>
      </c>
      <c r="BD303">
        <v>0</v>
      </c>
      <c r="BE303">
        <v>31.32</v>
      </c>
      <c r="BF3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3" s="42" t="str">
        <f>+IF(AVANCE[[#This Row],[FECHA INICIO REAL]]="","",AVANCE[[#This Row],[FECHA INICIO REAL]]-AVANCE[[#This Row],[FECHA INICIO TEORICO]])</f>
        <v/>
      </c>
      <c r="BH3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4" spans="1:61" x14ac:dyDescent="0.25">
      <c r="A304" t="s">
        <v>1121</v>
      </c>
      <c r="B304" t="s">
        <v>1136</v>
      </c>
      <c r="C304">
        <v>2302600303</v>
      </c>
      <c r="D304" t="s">
        <v>834</v>
      </c>
      <c r="E304" s="4">
        <v>0</v>
      </c>
      <c r="F304" s="1">
        <v>46294</v>
      </c>
      <c r="G304" s="1"/>
      <c r="H304" s="1">
        <v>0</v>
      </c>
      <c r="I304" s="1">
        <v>46324</v>
      </c>
      <c r="J304">
        <v>46188</v>
      </c>
      <c r="K304" s="1"/>
      <c r="L304" s="7">
        <v>0</v>
      </c>
      <c r="M304" s="7">
        <v>0</v>
      </c>
      <c r="N304" s="7">
        <v>0</v>
      </c>
      <c r="O304" s="7">
        <v>0</v>
      </c>
      <c r="P304" s="7">
        <v>0</v>
      </c>
      <c r="Q304" s="7">
        <v>0</v>
      </c>
      <c r="R304" s="7">
        <v>0</v>
      </c>
      <c r="S304" s="7">
        <v>0</v>
      </c>
      <c r="T304" s="7">
        <v>0</v>
      </c>
      <c r="U304" s="7">
        <v>0</v>
      </c>
      <c r="V304" s="7">
        <v>0</v>
      </c>
      <c r="W304" s="7">
        <v>0</v>
      </c>
      <c r="X304" s="7">
        <v>0</v>
      </c>
      <c r="Y304" s="7">
        <v>0</v>
      </c>
      <c r="Z304" s="7">
        <v>0</v>
      </c>
      <c r="AA304" s="7">
        <v>0</v>
      </c>
      <c r="AB304" s="7">
        <v>0</v>
      </c>
      <c r="AC304" s="7">
        <v>0</v>
      </c>
      <c r="AD304" s="7">
        <v>0</v>
      </c>
      <c r="AE304" s="7">
        <v>0</v>
      </c>
      <c r="AF304" s="7">
        <v>0</v>
      </c>
      <c r="AG304" s="7">
        <v>0</v>
      </c>
      <c r="AH304" s="7">
        <v>0</v>
      </c>
      <c r="AI304" s="7">
        <v>0</v>
      </c>
      <c r="AJ304" s="7">
        <v>0</v>
      </c>
      <c r="AK304" s="7">
        <v>0</v>
      </c>
      <c r="AL304" s="7">
        <v>0</v>
      </c>
      <c r="AM304" s="7">
        <v>0</v>
      </c>
      <c r="AN304" s="7">
        <v>0</v>
      </c>
      <c r="AO304" s="7">
        <v>0</v>
      </c>
      <c r="AP304" s="7">
        <v>0</v>
      </c>
      <c r="AQ304" s="7">
        <v>0</v>
      </c>
      <c r="AR304" s="7">
        <v>0</v>
      </c>
      <c r="AS304" s="7">
        <v>0</v>
      </c>
      <c r="AT304" s="7">
        <v>0</v>
      </c>
      <c r="AU304" s="7">
        <v>0</v>
      </c>
      <c r="AV304" s="7">
        <v>0</v>
      </c>
      <c r="AW304" s="7">
        <v>0</v>
      </c>
      <c r="AX304" s="7">
        <v>0</v>
      </c>
      <c r="AY304" s="7">
        <v>0</v>
      </c>
      <c r="AZ304" s="7">
        <v>0</v>
      </c>
      <c r="BA304" s="7">
        <v>0</v>
      </c>
      <c r="BB304" s="7">
        <v>0</v>
      </c>
      <c r="BC304" s="7">
        <v>0</v>
      </c>
      <c r="BD304">
        <v>0</v>
      </c>
      <c r="BE304">
        <v>31.32</v>
      </c>
      <c r="BF3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4" s="42" t="str">
        <f>+IF(AVANCE[[#This Row],[FECHA INICIO REAL]]="","",AVANCE[[#This Row],[FECHA INICIO REAL]]-AVANCE[[#This Row],[FECHA INICIO TEORICO]])</f>
        <v/>
      </c>
      <c r="BH3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5" spans="1:61" x14ac:dyDescent="0.25">
      <c r="A305" t="s">
        <v>1121</v>
      </c>
      <c r="B305" t="s">
        <v>1137</v>
      </c>
      <c r="C305">
        <v>2282600304</v>
      </c>
      <c r="D305" t="s">
        <v>833</v>
      </c>
      <c r="E305" s="4">
        <v>0</v>
      </c>
      <c r="F305" s="1">
        <v>46294</v>
      </c>
      <c r="G305" s="1"/>
      <c r="H305" s="1">
        <v>0</v>
      </c>
      <c r="I305" s="1">
        <v>46314</v>
      </c>
      <c r="J305">
        <v>46188</v>
      </c>
      <c r="K305" s="1"/>
      <c r="L305" s="7">
        <v>0</v>
      </c>
      <c r="M305" s="7">
        <v>0</v>
      </c>
      <c r="N305" s="7">
        <v>0</v>
      </c>
      <c r="O305" s="7">
        <v>0</v>
      </c>
      <c r="P305" s="7">
        <v>0</v>
      </c>
      <c r="Q305" s="7">
        <v>0</v>
      </c>
      <c r="R305" s="7">
        <v>0</v>
      </c>
      <c r="S305" s="7">
        <v>0</v>
      </c>
      <c r="T305" s="7">
        <v>0</v>
      </c>
      <c r="U305" s="7">
        <v>0</v>
      </c>
      <c r="V305" s="7">
        <v>0</v>
      </c>
      <c r="W305" s="7">
        <v>0</v>
      </c>
      <c r="X305" s="7">
        <v>0</v>
      </c>
      <c r="Y305" s="7">
        <v>0</v>
      </c>
      <c r="Z305" s="7">
        <v>0</v>
      </c>
      <c r="AA305" s="7">
        <v>0</v>
      </c>
      <c r="AB305" s="7">
        <v>0</v>
      </c>
      <c r="AC305" s="7">
        <v>0</v>
      </c>
      <c r="AD305" s="7">
        <v>0</v>
      </c>
      <c r="AE305" s="7">
        <v>0</v>
      </c>
      <c r="AF305" s="7">
        <v>0</v>
      </c>
      <c r="AG305" s="7">
        <v>0</v>
      </c>
      <c r="AH305" s="7">
        <v>0</v>
      </c>
      <c r="AI305" s="7">
        <v>0</v>
      </c>
      <c r="AJ305" s="7">
        <v>0</v>
      </c>
      <c r="AK305" s="7">
        <v>0</v>
      </c>
      <c r="AL305" s="7">
        <v>0</v>
      </c>
      <c r="AM305" s="7">
        <v>0</v>
      </c>
      <c r="AN305" s="7">
        <v>0</v>
      </c>
      <c r="AO305" s="7">
        <v>0</v>
      </c>
      <c r="AP305" s="7">
        <v>0</v>
      </c>
      <c r="AQ305" s="7">
        <v>0</v>
      </c>
      <c r="AR305" s="7">
        <v>0</v>
      </c>
      <c r="AS305" s="7">
        <v>0</v>
      </c>
      <c r="AT305" s="7">
        <v>0</v>
      </c>
      <c r="AU305" s="7">
        <v>0</v>
      </c>
      <c r="AV305" s="7">
        <v>0</v>
      </c>
      <c r="AW305" s="7">
        <v>0</v>
      </c>
      <c r="AX305" s="7">
        <v>0</v>
      </c>
      <c r="AY305" s="7">
        <v>0</v>
      </c>
      <c r="AZ305" s="7">
        <v>0</v>
      </c>
      <c r="BA305" s="7">
        <v>0</v>
      </c>
      <c r="BB305" s="7">
        <v>0</v>
      </c>
      <c r="BC305" s="7">
        <v>0</v>
      </c>
      <c r="BD305">
        <v>0</v>
      </c>
      <c r="BE305">
        <v>28.87</v>
      </c>
      <c r="BF3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5" s="42" t="str">
        <f>+IF(AVANCE[[#This Row],[FECHA INICIO REAL]]="","",AVANCE[[#This Row],[FECHA INICIO REAL]]-AVANCE[[#This Row],[FECHA INICIO TEORICO]])</f>
        <v/>
      </c>
      <c r="BH3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6" spans="1:61" x14ac:dyDescent="0.25">
      <c r="A306" t="s">
        <v>1121</v>
      </c>
      <c r="B306" t="s">
        <v>1138</v>
      </c>
      <c r="C306">
        <v>2282600305</v>
      </c>
      <c r="D306" t="s">
        <v>833</v>
      </c>
      <c r="E306" s="4">
        <v>0</v>
      </c>
      <c r="F306" s="1">
        <v>46295</v>
      </c>
      <c r="G306" s="1"/>
      <c r="H306" s="1">
        <v>0</v>
      </c>
      <c r="I306" s="1">
        <v>46315</v>
      </c>
      <c r="J306">
        <v>46188</v>
      </c>
      <c r="K306" s="1"/>
      <c r="L306" s="7">
        <v>0</v>
      </c>
      <c r="M306" s="7">
        <v>0</v>
      </c>
      <c r="N306" s="7">
        <v>0</v>
      </c>
      <c r="O306" s="7">
        <v>0</v>
      </c>
      <c r="P306" s="7">
        <v>0</v>
      </c>
      <c r="Q306" s="7">
        <v>0</v>
      </c>
      <c r="R306" s="7">
        <v>0</v>
      </c>
      <c r="S306" s="7">
        <v>0</v>
      </c>
      <c r="T306" s="7">
        <v>0</v>
      </c>
      <c r="U306" s="7">
        <v>0</v>
      </c>
      <c r="V306" s="7">
        <v>0</v>
      </c>
      <c r="W306" s="7">
        <v>0</v>
      </c>
      <c r="X306" s="7">
        <v>0</v>
      </c>
      <c r="Y306" s="7">
        <v>0</v>
      </c>
      <c r="Z306" s="7">
        <v>0</v>
      </c>
      <c r="AA306" s="7">
        <v>0</v>
      </c>
      <c r="AB306" s="7">
        <v>0</v>
      </c>
      <c r="AC306" s="7">
        <v>0</v>
      </c>
      <c r="AD306" s="7">
        <v>0</v>
      </c>
      <c r="AE306" s="7">
        <v>0</v>
      </c>
      <c r="AF306" s="7">
        <v>0</v>
      </c>
      <c r="AG306" s="7">
        <v>0</v>
      </c>
      <c r="AH306" s="7">
        <v>0</v>
      </c>
      <c r="AI306" s="7">
        <v>0</v>
      </c>
      <c r="AJ306" s="7">
        <v>0</v>
      </c>
      <c r="AK306" s="7">
        <v>0</v>
      </c>
      <c r="AL306" s="7">
        <v>0</v>
      </c>
      <c r="AM306" s="7">
        <v>0</v>
      </c>
      <c r="AN306" s="7">
        <v>0</v>
      </c>
      <c r="AO306" s="7">
        <v>0</v>
      </c>
      <c r="AP306" s="7">
        <v>0</v>
      </c>
      <c r="AQ306" s="7">
        <v>0</v>
      </c>
      <c r="AR306" s="7">
        <v>0</v>
      </c>
      <c r="AS306" s="7">
        <v>0</v>
      </c>
      <c r="AT306" s="7">
        <v>0</v>
      </c>
      <c r="AU306" s="7">
        <v>0</v>
      </c>
      <c r="AV306" s="7">
        <v>0</v>
      </c>
      <c r="AW306" s="7">
        <v>0</v>
      </c>
      <c r="AX306" s="7">
        <v>0</v>
      </c>
      <c r="AY306" s="7">
        <v>0</v>
      </c>
      <c r="AZ306" s="7">
        <v>0</v>
      </c>
      <c r="BA306" s="7">
        <v>0</v>
      </c>
      <c r="BB306" s="7">
        <v>0</v>
      </c>
      <c r="BC306" s="7">
        <v>0</v>
      </c>
      <c r="BD306">
        <v>0</v>
      </c>
      <c r="BE306">
        <v>28.87</v>
      </c>
      <c r="BF3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6" s="42" t="str">
        <f>+IF(AVANCE[[#This Row],[FECHA INICIO REAL]]="","",AVANCE[[#This Row],[FECHA INICIO REAL]]-AVANCE[[#This Row],[FECHA INICIO TEORICO]])</f>
        <v/>
      </c>
      <c r="BH3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7" spans="1:61" x14ac:dyDescent="0.25">
      <c r="A307" t="s">
        <v>1121</v>
      </c>
      <c r="B307" t="s">
        <v>1139</v>
      </c>
      <c r="C307">
        <v>2302600306</v>
      </c>
      <c r="D307" t="s">
        <v>834</v>
      </c>
      <c r="E307" s="4">
        <v>0</v>
      </c>
      <c r="F307" s="1">
        <v>46295</v>
      </c>
      <c r="G307" s="1"/>
      <c r="H307" s="1">
        <v>0</v>
      </c>
      <c r="I307" s="1">
        <v>46325</v>
      </c>
      <c r="J307">
        <v>46188</v>
      </c>
      <c r="K307" s="1"/>
      <c r="L307" s="7">
        <v>0</v>
      </c>
      <c r="M307" s="7">
        <v>0</v>
      </c>
      <c r="N307" s="7">
        <v>0</v>
      </c>
      <c r="O307" s="7">
        <v>0</v>
      </c>
      <c r="P307" s="7">
        <v>0</v>
      </c>
      <c r="Q307" s="7">
        <v>0</v>
      </c>
      <c r="R307" s="7">
        <v>0</v>
      </c>
      <c r="S307" s="7">
        <v>0</v>
      </c>
      <c r="T307" s="7">
        <v>0</v>
      </c>
      <c r="U307" s="7">
        <v>0</v>
      </c>
      <c r="V307" s="7">
        <v>0</v>
      </c>
      <c r="W307" s="7">
        <v>0</v>
      </c>
      <c r="X307" s="7">
        <v>0</v>
      </c>
      <c r="Y307" s="7">
        <v>0</v>
      </c>
      <c r="Z307" s="7">
        <v>0</v>
      </c>
      <c r="AA307" s="7">
        <v>0</v>
      </c>
      <c r="AB307" s="7">
        <v>0</v>
      </c>
      <c r="AC307" s="7">
        <v>0</v>
      </c>
      <c r="AD307" s="7">
        <v>0</v>
      </c>
      <c r="AE307" s="7">
        <v>0</v>
      </c>
      <c r="AF307" s="7">
        <v>0</v>
      </c>
      <c r="AG307" s="7">
        <v>0</v>
      </c>
      <c r="AH307" s="7">
        <v>0</v>
      </c>
      <c r="AI307" s="7">
        <v>0</v>
      </c>
      <c r="AJ307" s="7">
        <v>0</v>
      </c>
      <c r="AK307" s="7">
        <v>0</v>
      </c>
      <c r="AL307" s="7">
        <v>0</v>
      </c>
      <c r="AM307" s="7">
        <v>0</v>
      </c>
      <c r="AN307" s="7">
        <v>0</v>
      </c>
      <c r="AO307" s="7">
        <v>0</v>
      </c>
      <c r="AP307" s="7">
        <v>0</v>
      </c>
      <c r="AQ307" s="7">
        <v>0</v>
      </c>
      <c r="AR307" s="7">
        <v>0</v>
      </c>
      <c r="AS307" s="7">
        <v>0</v>
      </c>
      <c r="AT307" s="7">
        <v>0</v>
      </c>
      <c r="AU307" s="7">
        <v>0</v>
      </c>
      <c r="AV307" s="7">
        <v>0</v>
      </c>
      <c r="AW307" s="7">
        <v>0</v>
      </c>
      <c r="AX307" s="7">
        <v>0</v>
      </c>
      <c r="AY307" s="7">
        <v>0</v>
      </c>
      <c r="AZ307" s="7">
        <v>0</v>
      </c>
      <c r="BA307" s="7">
        <v>0</v>
      </c>
      <c r="BB307" s="7">
        <v>0</v>
      </c>
      <c r="BC307" s="7">
        <v>0</v>
      </c>
      <c r="BD307">
        <v>0</v>
      </c>
      <c r="BE307">
        <v>31.32</v>
      </c>
      <c r="BF3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7" s="42" t="str">
        <f>+IF(AVANCE[[#This Row],[FECHA INICIO REAL]]="","",AVANCE[[#This Row],[FECHA INICIO REAL]]-AVANCE[[#This Row],[FECHA INICIO TEORICO]])</f>
        <v/>
      </c>
      <c r="BH3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8" spans="1:61" x14ac:dyDescent="0.25">
      <c r="A308" t="s">
        <v>1121</v>
      </c>
      <c r="B308" t="s">
        <v>1140</v>
      </c>
      <c r="C308">
        <v>2302600307</v>
      </c>
      <c r="D308" t="s">
        <v>834</v>
      </c>
      <c r="E308" s="4">
        <v>0</v>
      </c>
      <c r="F308" s="1">
        <v>46295</v>
      </c>
      <c r="G308" s="1"/>
      <c r="H308" s="1">
        <v>0</v>
      </c>
      <c r="I308" s="1">
        <v>46325</v>
      </c>
      <c r="J308">
        <v>46188</v>
      </c>
      <c r="K308" s="1"/>
      <c r="L308" s="7">
        <v>0</v>
      </c>
      <c r="M308" s="7">
        <v>0</v>
      </c>
      <c r="N308" s="7">
        <v>0</v>
      </c>
      <c r="O308" s="7">
        <v>0</v>
      </c>
      <c r="P308" s="7">
        <v>0</v>
      </c>
      <c r="Q308" s="7">
        <v>0</v>
      </c>
      <c r="R308" s="7">
        <v>0</v>
      </c>
      <c r="S308" s="7">
        <v>0</v>
      </c>
      <c r="T308" s="7">
        <v>0</v>
      </c>
      <c r="U308" s="7">
        <v>0</v>
      </c>
      <c r="V308" s="7">
        <v>0</v>
      </c>
      <c r="W308" s="7">
        <v>0</v>
      </c>
      <c r="X308" s="7">
        <v>0</v>
      </c>
      <c r="Y308" s="7">
        <v>0</v>
      </c>
      <c r="Z308" s="7">
        <v>0</v>
      </c>
      <c r="AA308" s="7">
        <v>0</v>
      </c>
      <c r="AB308" s="7">
        <v>0</v>
      </c>
      <c r="AC308" s="7">
        <v>0</v>
      </c>
      <c r="AD308" s="7">
        <v>0</v>
      </c>
      <c r="AE308" s="7">
        <v>0</v>
      </c>
      <c r="AF308" s="7">
        <v>0</v>
      </c>
      <c r="AG308" s="7">
        <v>0</v>
      </c>
      <c r="AH308" s="7">
        <v>0</v>
      </c>
      <c r="AI308" s="7">
        <v>0</v>
      </c>
      <c r="AJ308" s="7">
        <v>0</v>
      </c>
      <c r="AK308" s="7">
        <v>0</v>
      </c>
      <c r="AL308" s="7">
        <v>0</v>
      </c>
      <c r="AM308" s="7">
        <v>0</v>
      </c>
      <c r="AN308" s="7">
        <v>0</v>
      </c>
      <c r="AO308" s="7">
        <v>0</v>
      </c>
      <c r="AP308" s="7">
        <v>0</v>
      </c>
      <c r="AQ308" s="7">
        <v>0</v>
      </c>
      <c r="AR308" s="7">
        <v>0</v>
      </c>
      <c r="AS308" s="7">
        <v>0</v>
      </c>
      <c r="AT308" s="7">
        <v>0</v>
      </c>
      <c r="AU308" s="7">
        <v>0</v>
      </c>
      <c r="AV308" s="7">
        <v>0</v>
      </c>
      <c r="AW308" s="7">
        <v>0</v>
      </c>
      <c r="AX308" s="7">
        <v>0</v>
      </c>
      <c r="AY308" s="7">
        <v>0</v>
      </c>
      <c r="AZ308" s="7">
        <v>0</v>
      </c>
      <c r="BA308" s="7">
        <v>0</v>
      </c>
      <c r="BB308" s="7">
        <v>0</v>
      </c>
      <c r="BC308" s="7">
        <v>0</v>
      </c>
      <c r="BD308">
        <v>0</v>
      </c>
      <c r="BE308">
        <v>31.32</v>
      </c>
      <c r="BF3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8" s="42" t="str">
        <f>+IF(AVANCE[[#This Row],[FECHA INICIO REAL]]="","",AVANCE[[#This Row],[FECHA INICIO REAL]]-AVANCE[[#This Row],[FECHA INICIO TEORICO]])</f>
        <v/>
      </c>
      <c r="BH3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9" spans="1:61" x14ac:dyDescent="0.25">
      <c r="A309" t="s">
        <v>1121</v>
      </c>
      <c r="B309" t="s">
        <v>1141</v>
      </c>
      <c r="C309">
        <v>2282600308</v>
      </c>
      <c r="D309" t="s">
        <v>833</v>
      </c>
      <c r="E309" s="4">
        <v>0</v>
      </c>
      <c r="F309" s="1">
        <v>46296</v>
      </c>
      <c r="G309" s="1"/>
      <c r="H309" s="1">
        <v>0</v>
      </c>
      <c r="I309" s="1">
        <v>46316</v>
      </c>
      <c r="J309">
        <v>46188</v>
      </c>
      <c r="K309" s="1"/>
      <c r="L309" s="7">
        <v>0</v>
      </c>
      <c r="M309" s="7">
        <v>0</v>
      </c>
      <c r="N309" s="7">
        <v>0</v>
      </c>
      <c r="O309" s="7">
        <v>0</v>
      </c>
      <c r="P309" s="7">
        <v>0</v>
      </c>
      <c r="Q309" s="7">
        <v>0</v>
      </c>
      <c r="R309" s="7">
        <v>0</v>
      </c>
      <c r="S309" s="7">
        <v>0</v>
      </c>
      <c r="T309" s="7">
        <v>0</v>
      </c>
      <c r="U309" s="7">
        <v>0</v>
      </c>
      <c r="V309" s="7">
        <v>0</v>
      </c>
      <c r="W309" s="7">
        <v>0</v>
      </c>
      <c r="X309" s="7">
        <v>0</v>
      </c>
      <c r="Y309" s="7">
        <v>0</v>
      </c>
      <c r="Z309" s="7">
        <v>0</v>
      </c>
      <c r="AA309" s="7">
        <v>0</v>
      </c>
      <c r="AB309" s="7">
        <v>0</v>
      </c>
      <c r="AC309" s="7">
        <v>0</v>
      </c>
      <c r="AD309" s="7">
        <v>0</v>
      </c>
      <c r="AE309" s="7">
        <v>0</v>
      </c>
      <c r="AF309" s="7">
        <v>0</v>
      </c>
      <c r="AG309" s="7">
        <v>0</v>
      </c>
      <c r="AH309" s="7">
        <v>0</v>
      </c>
      <c r="AI309" s="7">
        <v>0</v>
      </c>
      <c r="AJ309" s="7">
        <v>0</v>
      </c>
      <c r="AK309" s="7">
        <v>0</v>
      </c>
      <c r="AL309" s="7">
        <v>0</v>
      </c>
      <c r="AM309" s="7">
        <v>0</v>
      </c>
      <c r="AN309" s="7">
        <v>0</v>
      </c>
      <c r="AO309" s="7">
        <v>0</v>
      </c>
      <c r="AP309" s="7">
        <v>0</v>
      </c>
      <c r="AQ309" s="7">
        <v>0</v>
      </c>
      <c r="AR309" s="7">
        <v>0</v>
      </c>
      <c r="AS309" s="7">
        <v>0</v>
      </c>
      <c r="AT309" s="7">
        <v>0</v>
      </c>
      <c r="AU309" s="7">
        <v>0</v>
      </c>
      <c r="AV309" s="7">
        <v>0</v>
      </c>
      <c r="AW309" s="7">
        <v>0</v>
      </c>
      <c r="AX309" s="7">
        <v>0</v>
      </c>
      <c r="AY309" s="7">
        <v>0</v>
      </c>
      <c r="AZ309" s="7">
        <v>0</v>
      </c>
      <c r="BA309" s="7">
        <v>0</v>
      </c>
      <c r="BB309" s="7">
        <v>0</v>
      </c>
      <c r="BC309" s="7">
        <v>0</v>
      </c>
      <c r="BD309">
        <v>0</v>
      </c>
      <c r="BE309">
        <v>28.87</v>
      </c>
      <c r="BF3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9" s="42" t="str">
        <f>+IF(AVANCE[[#This Row],[FECHA INICIO REAL]]="","",AVANCE[[#This Row],[FECHA INICIO REAL]]-AVANCE[[#This Row],[FECHA INICIO TEORICO]])</f>
        <v/>
      </c>
      <c r="BH3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0" spans="1:61" x14ac:dyDescent="0.25">
      <c r="A310" t="s">
        <v>1121</v>
      </c>
      <c r="B310" t="s">
        <v>1142</v>
      </c>
      <c r="C310">
        <v>2282600309</v>
      </c>
      <c r="D310" t="s">
        <v>833</v>
      </c>
      <c r="E310" s="4">
        <v>0</v>
      </c>
      <c r="F310" s="1">
        <v>46296</v>
      </c>
      <c r="G310" s="1"/>
      <c r="H310" s="1">
        <v>0</v>
      </c>
      <c r="I310" s="1">
        <v>46316</v>
      </c>
      <c r="J310">
        <v>46188</v>
      </c>
      <c r="K310" s="1"/>
      <c r="L310" s="7">
        <v>0</v>
      </c>
      <c r="M310" s="7">
        <v>0</v>
      </c>
      <c r="N310" s="7">
        <v>0</v>
      </c>
      <c r="O310" s="7">
        <v>0</v>
      </c>
      <c r="P310" s="7">
        <v>0</v>
      </c>
      <c r="Q310" s="7">
        <v>0</v>
      </c>
      <c r="R310" s="7">
        <v>0</v>
      </c>
      <c r="S310" s="7">
        <v>0</v>
      </c>
      <c r="T310" s="7">
        <v>0</v>
      </c>
      <c r="U310" s="7">
        <v>0</v>
      </c>
      <c r="V310" s="7">
        <v>0</v>
      </c>
      <c r="W310" s="7">
        <v>0</v>
      </c>
      <c r="X310" s="7">
        <v>0</v>
      </c>
      <c r="Y310" s="7">
        <v>0</v>
      </c>
      <c r="Z310" s="7">
        <v>0</v>
      </c>
      <c r="AA310" s="7">
        <v>0</v>
      </c>
      <c r="AB310" s="7">
        <v>0</v>
      </c>
      <c r="AC310" s="7">
        <v>0</v>
      </c>
      <c r="AD310" s="7">
        <v>0</v>
      </c>
      <c r="AE310" s="7">
        <v>0</v>
      </c>
      <c r="AF310" s="7">
        <v>0</v>
      </c>
      <c r="AG310" s="7">
        <v>0</v>
      </c>
      <c r="AH310" s="7">
        <v>0</v>
      </c>
      <c r="AI310" s="7">
        <v>0</v>
      </c>
      <c r="AJ310" s="7">
        <v>0</v>
      </c>
      <c r="AK310" s="7">
        <v>0</v>
      </c>
      <c r="AL310" s="7">
        <v>0</v>
      </c>
      <c r="AM310" s="7">
        <v>0</v>
      </c>
      <c r="AN310" s="7">
        <v>0</v>
      </c>
      <c r="AO310" s="7">
        <v>0</v>
      </c>
      <c r="AP310" s="7">
        <v>0</v>
      </c>
      <c r="AQ310" s="7">
        <v>0</v>
      </c>
      <c r="AR310" s="7">
        <v>0</v>
      </c>
      <c r="AS310" s="7">
        <v>0</v>
      </c>
      <c r="AT310" s="7">
        <v>0</v>
      </c>
      <c r="AU310" s="7">
        <v>0</v>
      </c>
      <c r="AV310" s="7">
        <v>0</v>
      </c>
      <c r="AW310" s="7">
        <v>0</v>
      </c>
      <c r="AX310" s="7">
        <v>0</v>
      </c>
      <c r="AY310" s="7">
        <v>0</v>
      </c>
      <c r="AZ310" s="7">
        <v>0</v>
      </c>
      <c r="BA310" s="7">
        <v>0</v>
      </c>
      <c r="BB310" s="7">
        <v>0</v>
      </c>
      <c r="BC310" s="7">
        <v>0</v>
      </c>
      <c r="BD310">
        <v>0</v>
      </c>
      <c r="BE310">
        <v>28.87</v>
      </c>
      <c r="BF3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0" s="42" t="str">
        <f>+IF(AVANCE[[#This Row],[FECHA INICIO REAL]]="","",AVANCE[[#This Row],[FECHA INICIO REAL]]-AVANCE[[#This Row],[FECHA INICIO TEORICO]])</f>
        <v/>
      </c>
      <c r="BH3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1" spans="1:61" x14ac:dyDescent="0.25">
      <c r="A311" t="s">
        <v>1121</v>
      </c>
      <c r="B311" t="s">
        <v>1143</v>
      </c>
      <c r="C311">
        <v>2302600310</v>
      </c>
      <c r="D311" t="s">
        <v>834</v>
      </c>
      <c r="E311" s="4">
        <v>0</v>
      </c>
      <c r="F311" s="1">
        <v>46296</v>
      </c>
      <c r="G311" s="1"/>
      <c r="H311" s="1">
        <v>0</v>
      </c>
      <c r="I311" s="1">
        <v>46326</v>
      </c>
      <c r="J311">
        <v>46188</v>
      </c>
      <c r="K311" s="1"/>
      <c r="L311" s="7">
        <v>0</v>
      </c>
      <c r="M311" s="7">
        <v>0</v>
      </c>
      <c r="N311" s="7">
        <v>0</v>
      </c>
      <c r="O311" s="7">
        <v>0</v>
      </c>
      <c r="P311" s="7">
        <v>0</v>
      </c>
      <c r="Q311" s="7">
        <v>0</v>
      </c>
      <c r="R311" s="7">
        <v>0</v>
      </c>
      <c r="S311" s="7">
        <v>0</v>
      </c>
      <c r="T311" s="7">
        <v>0</v>
      </c>
      <c r="U311" s="7">
        <v>0</v>
      </c>
      <c r="V311" s="7">
        <v>0</v>
      </c>
      <c r="W311" s="7">
        <v>0</v>
      </c>
      <c r="X311" s="7">
        <v>0</v>
      </c>
      <c r="Y311" s="7">
        <v>0</v>
      </c>
      <c r="Z311" s="7">
        <v>0</v>
      </c>
      <c r="AA311" s="7">
        <v>0</v>
      </c>
      <c r="AB311" s="7">
        <v>0</v>
      </c>
      <c r="AC311" s="7">
        <v>0</v>
      </c>
      <c r="AD311" s="7">
        <v>0</v>
      </c>
      <c r="AE311" s="7">
        <v>0</v>
      </c>
      <c r="AF311" s="7">
        <v>0</v>
      </c>
      <c r="AG311" s="7">
        <v>0</v>
      </c>
      <c r="AH311" s="7">
        <v>0</v>
      </c>
      <c r="AI311" s="7">
        <v>0</v>
      </c>
      <c r="AJ311" s="7">
        <v>0</v>
      </c>
      <c r="AK311" s="7">
        <v>0</v>
      </c>
      <c r="AL311" s="7">
        <v>0</v>
      </c>
      <c r="AM311" s="7">
        <v>0</v>
      </c>
      <c r="AN311" s="7">
        <v>0</v>
      </c>
      <c r="AO311" s="7">
        <v>0</v>
      </c>
      <c r="AP311" s="7">
        <v>0</v>
      </c>
      <c r="AQ311" s="7">
        <v>0</v>
      </c>
      <c r="AR311" s="7">
        <v>0</v>
      </c>
      <c r="AS311" s="7">
        <v>0</v>
      </c>
      <c r="AT311" s="7">
        <v>0</v>
      </c>
      <c r="AU311" s="7">
        <v>0</v>
      </c>
      <c r="AV311" s="7">
        <v>0</v>
      </c>
      <c r="AW311" s="7">
        <v>0</v>
      </c>
      <c r="AX311" s="7">
        <v>0</v>
      </c>
      <c r="AY311" s="7">
        <v>0</v>
      </c>
      <c r="AZ311" s="7">
        <v>0</v>
      </c>
      <c r="BA311" s="7">
        <v>0</v>
      </c>
      <c r="BB311" s="7">
        <v>0</v>
      </c>
      <c r="BC311" s="7">
        <v>0</v>
      </c>
      <c r="BD311">
        <v>0</v>
      </c>
      <c r="BE311">
        <v>31.32</v>
      </c>
      <c r="BF3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1" s="42" t="str">
        <f>+IF(AVANCE[[#This Row],[FECHA INICIO REAL]]="","",AVANCE[[#This Row],[FECHA INICIO REAL]]-AVANCE[[#This Row],[FECHA INICIO TEORICO]])</f>
        <v/>
      </c>
      <c r="BH3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2" spans="1:61" x14ac:dyDescent="0.25">
      <c r="A312" t="s">
        <v>1121</v>
      </c>
      <c r="B312" t="s">
        <v>1144</v>
      </c>
      <c r="C312">
        <v>2302600311</v>
      </c>
      <c r="D312" t="s">
        <v>834</v>
      </c>
      <c r="E312" s="4">
        <v>0</v>
      </c>
      <c r="F312" s="1">
        <v>46297</v>
      </c>
      <c r="G312" s="1"/>
      <c r="H312" s="1">
        <v>0</v>
      </c>
      <c r="I312" s="1">
        <v>46327</v>
      </c>
      <c r="J312">
        <v>46188</v>
      </c>
      <c r="K312" s="1"/>
      <c r="L312" s="7">
        <v>0</v>
      </c>
      <c r="M312" s="7">
        <v>0</v>
      </c>
      <c r="N312" s="7">
        <v>0</v>
      </c>
      <c r="O312" s="7">
        <v>0</v>
      </c>
      <c r="P312" s="7">
        <v>0</v>
      </c>
      <c r="Q312" s="7">
        <v>0</v>
      </c>
      <c r="R312" s="7">
        <v>0</v>
      </c>
      <c r="S312" s="7">
        <v>0</v>
      </c>
      <c r="T312" s="7">
        <v>0</v>
      </c>
      <c r="U312" s="7">
        <v>0</v>
      </c>
      <c r="V312" s="7">
        <v>0</v>
      </c>
      <c r="W312" s="7">
        <v>0</v>
      </c>
      <c r="X312" s="7">
        <v>0</v>
      </c>
      <c r="Y312" s="7">
        <v>0</v>
      </c>
      <c r="Z312" s="7">
        <v>0</v>
      </c>
      <c r="AA312" s="7">
        <v>0</v>
      </c>
      <c r="AB312" s="7">
        <v>0</v>
      </c>
      <c r="AC312" s="7">
        <v>0</v>
      </c>
      <c r="AD312" s="7">
        <v>0</v>
      </c>
      <c r="AE312" s="7">
        <v>0</v>
      </c>
      <c r="AF312" s="7">
        <v>0</v>
      </c>
      <c r="AG312" s="7">
        <v>0</v>
      </c>
      <c r="AH312" s="7">
        <v>0</v>
      </c>
      <c r="AI312" s="7">
        <v>0</v>
      </c>
      <c r="AJ312" s="7">
        <v>0</v>
      </c>
      <c r="AK312" s="7">
        <v>0</v>
      </c>
      <c r="AL312" s="7">
        <v>0</v>
      </c>
      <c r="AM312" s="7">
        <v>0</v>
      </c>
      <c r="AN312" s="7">
        <v>0</v>
      </c>
      <c r="AO312" s="7">
        <v>0</v>
      </c>
      <c r="AP312" s="7">
        <v>0</v>
      </c>
      <c r="AQ312" s="7">
        <v>0</v>
      </c>
      <c r="AR312" s="7">
        <v>0</v>
      </c>
      <c r="AS312" s="7">
        <v>0</v>
      </c>
      <c r="AT312" s="7">
        <v>0</v>
      </c>
      <c r="AU312" s="7">
        <v>0</v>
      </c>
      <c r="AV312" s="7">
        <v>0</v>
      </c>
      <c r="AW312" s="7">
        <v>0</v>
      </c>
      <c r="AX312" s="7">
        <v>0</v>
      </c>
      <c r="AY312" s="7">
        <v>0</v>
      </c>
      <c r="AZ312" s="7">
        <v>0</v>
      </c>
      <c r="BA312" s="7">
        <v>0</v>
      </c>
      <c r="BB312" s="7">
        <v>0</v>
      </c>
      <c r="BC312" s="7">
        <v>0</v>
      </c>
      <c r="BD312">
        <v>0</v>
      </c>
      <c r="BE312">
        <v>31.32</v>
      </c>
      <c r="BF3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2" s="42" t="str">
        <f>+IF(AVANCE[[#This Row],[FECHA INICIO REAL]]="","",AVANCE[[#This Row],[FECHA INICIO REAL]]-AVANCE[[#This Row],[FECHA INICIO TEORICO]])</f>
        <v/>
      </c>
      <c r="BH3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3" spans="1:61" x14ac:dyDescent="0.25">
      <c r="A313" t="s">
        <v>1121</v>
      </c>
      <c r="B313" t="s">
        <v>1145</v>
      </c>
      <c r="C313">
        <v>2282600312</v>
      </c>
      <c r="D313" t="s">
        <v>833</v>
      </c>
      <c r="E313" s="4">
        <v>0</v>
      </c>
      <c r="F313" s="1">
        <v>46297</v>
      </c>
      <c r="G313" s="1"/>
      <c r="H313" s="1">
        <v>0</v>
      </c>
      <c r="I313" s="1">
        <v>46317</v>
      </c>
      <c r="J313">
        <v>46188</v>
      </c>
      <c r="K313" s="1"/>
      <c r="L313" s="7">
        <v>0</v>
      </c>
      <c r="M313" s="7">
        <v>0</v>
      </c>
      <c r="N313" s="7">
        <v>0</v>
      </c>
      <c r="O313" s="7">
        <v>0</v>
      </c>
      <c r="P313" s="7">
        <v>0</v>
      </c>
      <c r="Q313" s="7">
        <v>0</v>
      </c>
      <c r="R313" s="7">
        <v>0</v>
      </c>
      <c r="S313" s="7">
        <v>0</v>
      </c>
      <c r="T313" s="7">
        <v>0</v>
      </c>
      <c r="U313" s="7">
        <v>0</v>
      </c>
      <c r="V313" s="7">
        <v>0</v>
      </c>
      <c r="W313" s="7">
        <v>0</v>
      </c>
      <c r="X313" s="7">
        <v>0</v>
      </c>
      <c r="Y313" s="7">
        <v>0</v>
      </c>
      <c r="Z313" s="7">
        <v>0</v>
      </c>
      <c r="AA313" s="7">
        <v>0</v>
      </c>
      <c r="AB313" s="7">
        <v>0</v>
      </c>
      <c r="AC313" s="7">
        <v>0</v>
      </c>
      <c r="AD313" s="7">
        <v>0</v>
      </c>
      <c r="AE313" s="7">
        <v>0</v>
      </c>
      <c r="AF313" s="7">
        <v>0</v>
      </c>
      <c r="AG313" s="7">
        <v>0</v>
      </c>
      <c r="AH313" s="7">
        <v>0</v>
      </c>
      <c r="AI313" s="7">
        <v>0</v>
      </c>
      <c r="AJ313" s="7">
        <v>0</v>
      </c>
      <c r="AK313" s="7">
        <v>0</v>
      </c>
      <c r="AL313" s="7">
        <v>0</v>
      </c>
      <c r="AM313" s="7">
        <v>0</v>
      </c>
      <c r="AN313" s="7">
        <v>0</v>
      </c>
      <c r="AO313" s="7">
        <v>0</v>
      </c>
      <c r="AP313" s="7">
        <v>0</v>
      </c>
      <c r="AQ313" s="7">
        <v>0</v>
      </c>
      <c r="AR313" s="7">
        <v>0</v>
      </c>
      <c r="AS313" s="7">
        <v>0</v>
      </c>
      <c r="AT313" s="7">
        <v>0</v>
      </c>
      <c r="AU313" s="7">
        <v>0</v>
      </c>
      <c r="AV313" s="7">
        <v>0</v>
      </c>
      <c r="AW313" s="7">
        <v>0</v>
      </c>
      <c r="AX313" s="7">
        <v>0</v>
      </c>
      <c r="AY313" s="7">
        <v>0</v>
      </c>
      <c r="AZ313" s="7">
        <v>0</v>
      </c>
      <c r="BA313" s="7">
        <v>0</v>
      </c>
      <c r="BB313" s="7">
        <v>0</v>
      </c>
      <c r="BC313" s="7">
        <v>0</v>
      </c>
      <c r="BD313">
        <v>0</v>
      </c>
      <c r="BE313">
        <v>28.87</v>
      </c>
      <c r="BF3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3" s="42" t="str">
        <f>+IF(AVANCE[[#This Row],[FECHA INICIO REAL]]="","",AVANCE[[#This Row],[FECHA INICIO REAL]]-AVANCE[[#This Row],[FECHA INICIO TEORICO]])</f>
        <v/>
      </c>
      <c r="BH3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4" spans="1:61" x14ac:dyDescent="0.25">
      <c r="A314" t="s">
        <v>1121</v>
      </c>
      <c r="B314" t="s">
        <v>1146</v>
      </c>
      <c r="C314">
        <v>2282600313</v>
      </c>
      <c r="D314" t="s">
        <v>833</v>
      </c>
      <c r="E314" s="4">
        <v>0</v>
      </c>
      <c r="F314" s="1">
        <v>46297</v>
      </c>
      <c r="G314" s="1"/>
      <c r="H314" s="1">
        <v>0</v>
      </c>
      <c r="I314" s="1">
        <v>46317</v>
      </c>
      <c r="J314">
        <v>46188</v>
      </c>
      <c r="K314" s="1"/>
      <c r="L314" s="7">
        <v>0</v>
      </c>
      <c r="M314" s="7">
        <v>0</v>
      </c>
      <c r="N314" s="7">
        <v>0</v>
      </c>
      <c r="O314" s="7">
        <v>0</v>
      </c>
      <c r="P314" s="7">
        <v>0</v>
      </c>
      <c r="Q314" s="7">
        <v>0</v>
      </c>
      <c r="R314" s="7">
        <v>0</v>
      </c>
      <c r="S314" s="7">
        <v>0</v>
      </c>
      <c r="T314" s="7">
        <v>0</v>
      </c>
      <c r="U314" s="7">
        <v>0</v>
      </c>
      <c r="V314" s="7">
        <v>0</v>
      </c>
      <c r="W314" s="7">
        <v>0</v>
      </c>
      <c r="X314" s="7">
        <v>0</v>
      </c>
      <c r="Y314" s="7">
        <v>0</v>
      </c>
      <c r="Z314" s="7">
        <v>0</v>
      </c>
      <c r="AA314" s="7">
        <v>0</v>
      </c>
      <c r="AB314" s="7">
        <v>0</v>
      </c>
      <c r="AC314" s="7">
        <v>0</v>
      </c>
      <c r="AD314" s="7">
        <v>0</v>
      </c>
      <c r="AE314" s="7">
        <v>0</v>
      </c>
      <c r="AF314" s="7">
        <v>0</v>
      </c>
      <c r="AG314" s="7">
        <v>0</v>
      </c>
      <c r="AH314" s="7">
        <v>0</v>
      </c>
      <c r="AI314" s="7">
        <v>0</v>
      </c>
      <c r="AJ314" s="7">
        <v>0</v>
      </c>
      <c r="AK314" s="7">
        <v>0</v>
      </c>
      <c r="AL314" s="7">
        <v>0</v>
      </c>
      <c r="AM314" s="7">
        <v>0</v>
      </c>
      <c r="AN314" s="7">
        <v>0</v>
      </c>
      <c r="AO314" s="7">
        <v>0</v>
      </c>
      <c r="AP314" s="7">
        <v>0</v>
      </c>
      <c r="AQ314" s="7">
        <v>0</v>
      </c>
      <c r="AR314" s="7">
        <v>0</v>
      </c>
      <c r="AS314" s="7">
        <v>0</v>
      </c>
      <c r="AT314" s="7">
        <v>0</v>
      </c>
      <c r="AU314" s="7">
        <v>0</v>
      </c>
      <c r="AV314" s="7">
        <v>0</v>
      </c>
      <c r="AW314" s="7">
        <v>0</v>
      </c>
      <c r="AX314" s="7">
        <v>0</v>
      </c>
      <c r="AY314" s="7">
        <v>0</v>
      </c>
      <c r="AZ314" s="7">
        <v>0</v>
      </c>
      <c r="BA314" s="7">
        <v>0</v>
      </c>
      <c r="BB314" s="7">
        <v>0</v>
      </c>
      <c r="BC314" s="7">
        <v>0</v>
      </c>
      <c r="BD314">
        <v>0</v>
      </c>
      <c r="BE314">
        <v>28.87</v>
      </c>
      <c r="BF3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4" s="42" t="str">
        <f>+IF(AVANCE[[#This Row],[FECHA INICIO REAL]]="","",AVANCE[[#This Row],[FECHA INICIO REAL]]-AVANCE[[#This Row],[FECHA INICIO TEORICO]])</f>
        <v/>
      </c>
      <c r="BH3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5" spans="1:61" x14ac:dyDescent="0.25">
      <c r="A315" t="s">
        <v>1121</v>
      </c>
      <c r="B315" t="s">
        <v>1147</v>
      </c>
      <c r="C315">
        <v>2302600314</v>
      </c>
      <c r="D315" t="s">
        <v>834</v>
      </c>
      <c r="E315" s="4">
        <v>0</v>
      </c>
      <c r="F315" s="1">
        <v>46300</v>
      </c>
      <c r="G315" s="1"/>
      <c r="H315" s="1">
        <v>0</v>
      </c>
      <c r="I315" s="1">
        <v>46330</v>
      </c>
      <c r="J315">
        <v>46188</v>
      </c>
      <c r="K315" s="1"/>
      <c r="L315" s="7">
        <v>0</v>
      </c>
      <c r="M315" s="7">
        <v>0</v>
      </c>
      <c r="N315" s="7">
        <v>0</v>
      </c>
      <c r="O315" s="7">
        <v>0</v>
      </c>
      <c r="P315" s="7">
        <v>0</v>
      </c>
      <c r="Q315" s="7">
        <v>0</v>
      </c>
      <c r="R315" s="7">
        <v>0</v>
      </c>
      <c r="S315" s="7">
        <v>0</v>
      </c>
      <c r="T315" s="7">
        <v>0</v>
      </c>
      <c r="U315" s="7">
        <v>0</v>
      </c>
      <c r="V315" s="7">
        <v>0</v>
      </c>
      <c r="W315" s="7">
        <v>0</v>
      </c>
      <c r="X315" s="7">
        <v>0</v>
      </c>
      <c r="Y315" s="7">
        <v>0</v>
      </c>
      <c r="Z315" s="7">
        <v>0</v>
      </c>
      <c r="AA315" s="7">
        <v>0</v>
      </c>
      <c r="AB315" s="7">
        <v>0</v>
      </c>
      <c r="AC315" s="7">
        <v>0</v>
      </c>
      <c r="AD315" s="7">
        <v>0</v>
      </c>
      <c r="AE315" s="7">
        <v>0</v>
      </c>
      <c r="AF315" s="7">
        <v>0</v>
      </c>
      <c r="AG315" s="7">
        <v>0</v>
      </c>
      <c r="AH315" s="7">
        <v>0</v>
      </c>
      <c r="AI315" s="7">
        <v>0</v>
      </c>
      <c r="AJ315" s="7">
        <v>0</v>
      </c>
      <c r="AK315" s="7">
        <v>0</v>
      </c>
      <c r="AL315" s="7">
        <v>0</v>
      </c>
      <c r="AM315" s="7">
        <v>0</v>
      </c>
      <c r="AN315" s="7">
        <v>0</v>
      </c>
      <c r="AO315" s="7">
        <v>0</v>
      </c>
      <c r="AP315" s="7">
        <v>0</v>
      </c>
      <c r="AQ315" s="7">
        <v>0</v>
      </c>
      <c r="AR315" s="7">
        <v>0</v>
      </c>
      <c r="AS315" s="7">
        <v>0</v>
      </c>
      <c r="AT315" s="7">
        <v>0</v>
      </c>
      <c r="AU315" s="7">
        <v>0</v>
      </c>
      <c r="AV315" s="7">
        <v>0</v>
      </c>
      <c r="AW315" s="7">
        <v>0</v>
      </c>
      <c r="AX315" s="7">
        <v>0</v>
      </c>
      <c r="AY315" s="7">
        <v>0</v>
      </c>
      <c r="AZ315" s="7">
        <v>0</v>
      </c>
      <c r="BA315" s="7">
        <v>0</v>
      </c>
      <c r="BB315" s="7">
        <v>0</v>
      </c>
      <c r="BC315" s="7">
        <v>0</v>
      </c>
      <c r="BD315">
        <v>0</v>
      </c>
      <c r="BE315">
        <v>31.32</v>
      </c>
      <c r="BF3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5" s="42" t="str">
        <f>+IF(AVANCE[[#This Row],[FECHA INICIO REAL]]="","",AVANCE[[#This Row],[FECHA INICIO REAL]]-AVANCE[[#This Row],[FECHA INICIO TEORICO]])</f>
        <v/>
      </c>
      <c r="BH3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6" spans="1:61" x14ac:dyDescent="0.25">
      <c r="A316" t="s">
        <v>1121</v>
      </c>
      <c r="B316" t="s">
        <v>1148</v>
      </c>
      <c r="C316">
        <v>2302600315</v>
      </c>
      <c r="D316" t="s">
        <v>834</v>
      </c>
      <c r="E316" s="4">
        <v>0</v>
      </c>
      <c r="F316" s="1">
        <v>46300</v>
      </c>
      <c r="G316" s="1"/>
      <c r="H316" s="1">
        <v>0</v>
      </c>
      <c r="I316" s="1">
        <v>46330</v>
      </c>
      <c r="J316">
        <v>46188</v>
      </c>
      <c r="K316" s="1"/>
      <c r="L316" s="7">
        <v>0</v>
      </c>
      <c r="M316" s="7">
        <v>0</v>
      </c>
      <c r="N316" s="7">
        <v>0</v>
      </c>
      <c r="O316" s="7">
        <v>0</v>
      </c>
      <c r="P316" s="7">
        <v>0</v>
      </c>
      <c r="Q316" s="7">
        <v>0</v>
      </c>
      <c r="R316" s="7">
        <v>0</v>
      </c>
      <c r="S316" s="7">
        <v>0</v>
      </c>
      <c r="T316" s="7">
        <v>0</v>
      </c>
      <c r="U316" s="7">
        <v>0</v>
      </c>
      <c r="V316" s="7">
        <v>0</v>
      </c>
      <c r="W316" s="7">
        <v>0</v>
      </c>
      <c r="X316" s="7">
        <v>0</v>
      </c>
      <c r="Y316" s="7">
        <v>0</v>
      </c>
      <c r="Z316" s="7">
        <v>0</v>
      </c>
      <c r="AA316" s="7">
        <v>0</v>
      </c>
      <c r="AB316" s="7">
        <v>0</v>
      </c>
      <c r="AC316" s="7">
        <v>0</v>
      </c>
      <c r="AD316" s="7">
        <v>0</v>
      </c>
      <c r="AE316" s="7">
        <v>0</v>
      </c>
      <c r="AF316" s="7">
        <v>0</v>
      </c>
      <c r="AG316" s="7">
        <v>0</v>
      </c>
      <c r="AH316" s="7">
        <v>0</v>
      </c>
      <c r="AI316" s="7">
        <v>0</v>
      </c>
      <c r="AJ316" s="7">
        <v>0</v>
      </c>
      <c r="AK316" s="7">
        <v>0</v>
      </c>
      <c r="AL316" s="7">
        <v>0</v>
      </c>
      <c r="AM316" s="7">
        <v>0</v>
      </c>
      <c r="AN316" s="7">
        <v>0</v>
      </c>
      <c r="AO316" s="7">
        <v>0</v>
      </c>
      <c r="AP316" s="7">
        <v>0</v>
      </c>
      <c r="AQ316" s="7">
        <v>0</v>
      </c>
      <c r="AR316" s="7">
        <v>0</v>
      </c>
      <c r="AS316" s="7">
        <v>0</v>
      </c>
      <c r="AT316" s="7">
        <v>0</v>
      </c>
      <c r="AU316" s="7">
        <v>0</v>
      </c>
      <c r="AV316" s="7">
        <v>0</v>
      </c>
      <c r="AW316" s="7">
        <v>0</v>
      </c>
      <c r="AX316" s="7">
        <v>0</v>
      </c>
      <c r="AY316" s="7">
        <v>0</v>
      </c>
      <c r="AZ316" s="7">
        <v>0</v>
      </c>
      <c r="BA316" s="7">
        <v>0</v>
      </c>
      <c r="BB316" s="7">
        <v>0</v>
      </c>
      <c r="BC316" s="7">
        <v>0</v>
      </c>
      <c r="BD316">
        <v>0</v>
      </c>
      <c r="BE316">
        <v>31.32</v>
      </c>
      <c r="BF3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6" s="42" t="str">
        <f>+IF(AVANCE[[#This Row],[FECHA INICIO REAL]]="","",AVANCE[[#This Row],[FECHA INICIO REAL]]-AVANCE[[#This Row],[FECHA INICIO TEORICO]])</f>
        <v/>
      </c>
      <c r="BH3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7" spans="1:61" x14ac:dyDescent="0.25">
      <c r="A317" t="s">
        <v>1121</v>
      </c>
      <c r="B317" t="s">
        <v>1149</v>
      </c>
      <c r="C317">
        <v>2282600316</v>
      </c>
      <c r="D317" t="s">
        <v>833</v>
      </c>
      <c r="E317" s="4">
        <v>0</v>
      </c>
      <c r="F317" s="1">
        <v>46300</v>
      </c>
      <c r="G317" s="1"/>
      <c r="H317" s="1">
        <v>0</v>
      </c>
      <c r="I317" s="1">
        <v>46320</v>
      </c>
      <c r="J317">
        <v>46188</v>
      </c>
      <c r="K317" s="1"/>
      <c r="L317" s="7">
        <v>0</v>
      </c>
      <c r="M317" s="7">
        <v>0</v>
      </c>
      <c r="N317" s="7">
        <v>0</v>
      </c>
      <c r="O317" s="7">
        <v>0</v>
      </c>
      <c r="P317" s="7">
        <v>0</v>
      </c>
      <c r="Q317" s="7">
        <v>0</v>
      </c>
      <c r="R317" s="7">
        <v>0</v>
      </c>
      <c r="S317" s="7">
        <v>0</v>
      </c>
      <c r="T317" s="7">
        <v>0</v>
      </c>
      <c r="U317" s="7">
        <v>0</v>
      </c>
      <c r="V317" s="7">
        <v>0</v>
      </c>
      <c r="W317" s="7">
        <v>0</v>
      </c>
      <c r="X317" s="7">
        <v>0</v>
      </c>
      <c r="Y317" s="7">
        <v>0</v>
      </c>
      <c r="Z317" s="7">
        <v>0</v>
      </c>
      <c r="AA317" s="7">
        <v>0</v>
      </c>
      <c r="AB317" s="7">
        <v>0</v>
      </c>
      <c r="AC317" s="7">
        <v>0</v>
      </c>
      <c r="AD317" s="7">
        <v>0</v>
      </c>
      <c r="AE317" s="7">
        <v>0</v>
      </c>
      <c r="AF317" s="7">
        <v>0</v>
      </c>
      <c r="AG317" s="7">
        <v>0</v>
      </c>
      <c r="AH317" s="7">
        <v>0</v>
      </c>
      <c r="AI317" s="7">
        <v>0</v>
      </c>
      <c r="AJ317" s="7">
        <v>0</v>
      </c>
      <c r="AK317" s="7">
        <v>0</v>
      </c>
      <c r="AL317" s="7">
        <v>0</v>
      </c>
      <c r="AM317" s="7">
        <v>0</v>
      </c>
      <c r="AN317" s="7">
        <v>0</v>
      </c>
      <c r="AO317" s="7">
        <v>0</v>
      </c>
      <c r="AP317" s="7">
        <v>0</v>
      </c>
      <c r="AQ317" s="7">
        <v>0</v>
      </c>
      <c r="AR317" s="7">
        <v>0</v>
      </c>
      <c r="AS317" s="7">
        <v>0</v>
      </c>
      <c r="AT317" s="7">
        <v>0</v>
      </c>
      <c r="AU317" s="7">
        <v>0</v>
      </c>
      <c r="AV317" s="7">
        <v>0</v>
      </c>
      <c r="AW317" s="7">
        <v>0</v>
      </c>
      <c r="AX317" s="7">
        <v>0</v>
      </c>
      <c r="AY317" s="7">
        <v>0</v>
      </c>
      <c r="AZ317" s="7">
        <v>0</v>
      </c>
      <c r="BA317" s="7">
        <v>0</v>
      </c>
      <c r="BB317" s="7">
        <v>0</v>
      </c>
      <c r="BC317" s="7">
        <v>0</v>
      </c>
      <c r="BD317">
        <v>0</v>
      </c>
      <c r="BE317">
        <v>28.87</v>
      </c>
      <c r="BF3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7" s="42" t="str">
        <f>+IF(AVANCE[[#This Row],[FECHA INICIO REAL]]="","",AVANCE[[#This Row],[FECHA INICIO REAL]]-AVANCE[[#This Row],[FECHA INICIO TEORICO]])</f>
        <v/>
      </c>
      <c r="BH3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8" spans="1:61" x14ac:dyDescent="0.25">
      <c r="A318" t="s">
        <v>1121</v>
      </c>
      <c r="B318" t="s">
        <v>1150</v>
      </c>
      <c r="C318">
        <v>2282600317</v>
      </c>
      <c r="D318" t="s">
        <v>833</v>
      </c>
      <c r="E318" s="4">
        <v>0</v>
      </c>
      <c r="F318" s="1">
        <v>46301</v>
      </c>
      <c r="G318" s="1"/>
      <c r="H318" s="1">
        <v>0</v>
      </c>
      <c r="I318" s="1">
        <v>46321</v>
      </c>
      <c r="J318">
        <v>46188</v>
      </c>
      <c r="K318" s="1"/>
      <c r="L318" s="7">
        <v>0</v>
      </c>
      <c r="M318" s="7">
        <v>0</v>
      </c>
      <c r="N318" s="7">
        <v>0</v>
      </c>
      <c r="O318" s="7">
        <v>0</v>
      </c>
      <c r="P318" s="7">
        <v>0</v>
      </c>
      <c r="Q318" s="7">
        <v>0</v>
      </c>
      <c r="R318" s="7">
        <v>0</v>
      </c>
      <c r="S318" s="7">
        <v>0</v>
      </c>
      <c r="T318" s="7">
        <v>0</v>
      </c>
      <c r="U318" s="7">
        <v>0</v>
      </c>
      <c r="V318" s="7">
        <v>0</v>
      </c>
      <c r="W318" s="7">
        <v>0</v>
      </c>
      <c r="X318" s="7">
        <v>0</v>
      </c>
      <c r="Y318" s="7">
        <v>0</v>
      </c>
      <c r="Z318" s="7">
        <v>0</v>
      </c>
      <c r="AA318" s="7">
        <v>0</v>
      </c>
      <c r="AB318" s="7">
        <v>0</v>
      </c>
      <c r="AC318" s="7">
        <v>0</v>
      </c>
      <c r="AD318" s="7">
        <v>0</v>
      </c>
      <c r="AE318" s="7">
        <v>0</v>
      </c>
      <c r="AF318" s="7">
        <v>0</v>
      </c>
      <c r="AG318" s="7">
        <v>0</v>
      </c>
      <c r="AH318" s="7">
        <v>0</v>
      </c>
      <c r="AI318" s="7">
        <v>0</v>
      </c>
      <c r="AJ318" s="7">
        <v>0</v>
      </c>
      <c r="AK318" s="7">
        <v>0</v>
      </c>
      <c r="AL318" s="7">
        <v>0</v>
      </c>
      <c r="AM318" s="7">
        <v>0</v>
      </c>
      <c r="AN318" s="7">
        <v>0</v>
      </c>
      <c r="AO318" s="7">
        <v>0</v>
      </c>
      <c r="AP318" s="7">
        <v>0</v>
      </c>
      <c r="AQ318" s="7">
        <v>0</v>
      </c>
      <c r="AR318" s="7">
        <v>0</v>
      </c>
      <c r="AS318" s="7">
        <v>0</v>
      </c>
      <c r="AT318" s="7">
        <v>0</v>
      </c>
      <c r="AU318" s="7">
        <v>0</v>
      </c>
      <c r="AV318" s="7">
        <v>0</v>
      </c>
      <c r="AW318" s="7">
        <v>0</v>
      </c>
      <c r="AX318" s="7">
        <v>0</v>
      </c>
      <c r="AY318" s="7">
        <v>0</v>
      </c>
      <c r="AZ318" s="7">
        <v>0</v>
      </c>
      <c r="BA318" s="7">
        <v>0</v>
      </c>
      <c r="BB318" s="7">
        <v>0</v>
      </c>
      <c r="BC318" s="7">
        <v>0</v>
      </c>
      <c r="BD318">
        <v>0</v>
      </c>
      <c r="BE318">
        <v>28.87</v>
      </c>
      <c r="BF3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8" s="42" t="str">
        <f>+IF(AVANCE[[#This Row],[FECHA INICIO REAL]]="","",AVANCE[[#This Row],[FECHA INICIO REAL]]-AVANCE[[#This Row],[FECHA INICIO TEORICO]])</f>
        <v/>
      </c>
      <c r="BH3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9" spans="1:61" x14ac:dyDescent="0.25">
      <c r="A319" t="s">
        <v>1121</v>
      </c>
      <c r="B319" t="s">
        <v>1151</v>
      </c>
      <c r="C319">
        <v>2302600318</v>
      </c>
      <c r="D319" t="s">
        <v>834</v>
      </c>
      <c r="E319" s="4">
        <v>0</v>
      </c>
      <c r="F319" s="1">
        <v>46301</v>
      </c>
      <c r="G319" s="1"/>
      <c r="H319" s="1">
        <v>0</v>
      </c>
      <c r="I319" s="1">
        <v>46331</v>
      </c>
      <c r="J319">
        <v>46188</v>
      </c>
      <c r="K319" s="1"/>
      <c r="L319" s="7">
        <v>0</v>
      </c>
      <c r="M319" s="7">
        <v>0</v>
      </c>
      <c r="N319" s="7">
        <v>0</v>
      </c>
      <c r="O319" s="7">
        <v>0</v>
      </c>
      <c r="P319" s="7">
        <v>0</v>
      </c>
      <c r="Q319" s="7">
        <v>0</v>
      </c>
      <c r="R319" s="7">
        <v>0</v>
      </c>
      <c r="S319" s="7">
        <v>0</v>
      </c>
      <c r="T319" s="7">
        <v>0</v>
      </c>
      <c r="U319" s="7">
        <v>0</v>
      </c>
      <c r="V319" s="7">
        <v>0</v>
      </c>
      <c r="W319" s="7">
        <v>0</v>
      </c>
      <c r="X319" s="7">
        <v>0</v>
      </c>
      <c r="Y319" s="7">
        <v>0</v>
      </c>
      <c r="Z319" s="7">
        <v>0</v>
      </c>
      <c r="AA319" s="7">
        <v>0</v>
      </c>
      <c r="AB319" s="7">
        <v>0</v>
      </c>
      <c r="AC319" s="7">
        <v>0</v>
      </c>
      <c r="AD319" s="7">
        <v>0</v>
      </c>
      <c r="AE319" s="7">
        <v>0</v>
      </c>
      <c r="AF319" s="7">
        <v>0</v>
      </c>
      <c r="AG319" s="7">
        <v>0</v>
      </c>
      <c r="AH319" s="7">
        <v>0</v>
      </c>
      <c r="AI319" s="7">
        <v>0</v>
      </c>
      <c r="AJ319" s="7">
        <v>0</v>
      </c>
      <c r="AK319" s="7">
        <v>0</v>
      </c>
      <c r="AL319" s="7">
        <v>0</v>
      </c>
      <c r="AM319" s="7">
        <v>0</v>
      </c>
      <c r="AN319" s="7">
        <v>0</v>
      </c>
      <c r="AO319" s="7">
        <v>0</v>
      </c>
      <c r="AP319" s="7">
        <v>0</v>
      </c>
      <c r="AQ319" s="7">
        <v>0</v>
      </c>
      <c r="AR319" s="7">
        <v>0</v>
      </c>
      <c r="AS319" s="7">
        <v>0</v>
      </c>
      <c r="AT319" s="7">
        <v>0</v>
      </c>
      <c r="AU319" s="7">
        <v>0</v>
      </c>
      <c r="AV319" s="7">
        <v>0</v>
      </c>
      <c r="AW319" s="7">
        <v>0</v>
      </c>
      <c r="AX319" s="7">
        <v>0</v>
      </c>
      <c r="AY319" s="7">
        <v>0</v>
      </c>
      <c r="AZ319" s="7">
        <v>0</v>
      </c>
      <c r="BA319" s="7">
        <v>0</v>
      </c>
      <c r="BB319" s="7">
        <v>0</v>
      </c>
      <c r="BC319" s="7">
        <v>0</v>
      </c>
      <c r="BD319">
        <v>0</v>
      </c>
      <c r="BE319">
        <v>31.32</v>
      </c>
      <c r="BF3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9" s="42" t="str">
        <f>+IF(AVANCE[[#This Row],[FECHA INICIO REAL]]="","",AVANCE[[#This Row],[FECHA INICIO REAL]]-AVANCE[[#This Row],[FECHA INICIO TEORICO]])</f>
        <v/>
      </c>
      <c r="BH3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0" spans="1:61" x14ac:dyDescent="0.25">
      <c r="A320" t="s">
        <v>1121</v>
      </c>
      <c r="B320" t="s">
        <v>1152</v>
      </c>
      <c r="C320">
        <v>2302600319</v>
      </c>
      <c r="D320" t="s">
        <v>834</v>
      </c>
      <c r="E320" s="4">
        <v>0</v>
      </c>
      <c r="F320" s="1">
        <v>46301</v>
      </c>
      <c r="G320" s="1"/>
      <c r="H320" s="1">
        <v>0</v>
      </c>
      <c r="I320" s="1">
        <v>46331</v>
      </c>
      <c r="J320">
        <v>46188</v>
      </c>
      <c r="K320" s="1"/>
      <c r="L320" s="7">
        <v>0</v>
      </c>
      <c r="M320" s="7">
        <v>0</v>
      </c>
      <c r="N320" s="7">
        <v>0</v>
      </c>
      <c r="O320" s="7">
        <v>0</v>
      </c>
      <c r="P320" s="7">
        <v>0</v>
      </c>
      <c r="Q320" s="7">
        <v>0</v>
      </c>
      <c r="R320" s="7">
        <v>0</v>
      </c>
      <c r="S320" s="7">
        <v>0</v>
      </c>
      <c r="T320" s="7">
        <v>0</v>
      </c>
      <c r="U320" s="7">
        <v>0</v>
      </c>
      <c r="V320" s="7">
        <v>0</v>
      </c>
      <c r="W320" s="7">
        <v>0</v>
      </c>
      <c r="X320" s="7">
        <v>0</v>
      </c>
      <c r="Y320" s="7">
        <v>0</v>
      </c>
      <c r="Z320" s="7">
        <v>0</v>
      </c>
      <c r="AA320" s="7">
        <v>0</v>
      </c>
      <c r="AB320" s="7">
        <v>0</v>
      </c>
      <c r="AC320" s="7">
        <v>0</v>
      </c>
      <c r="AD320" s="7">
        <v>0</v>
      </c>
      <c r="AE320" s="7">
        <v>0</v>
      </c>
      <c r="AF320" s="7">
        <v>0</v>
      </c>
      <c r="AG320" s="7">
        <v>0</v>
      </c>
      <c r="AH320" s="7">
        <v>0</v>
      </c>
      <c r="AI320" s="7">
        <v>0</v>
      </c>
      <c r="AJ320" s="7">
        <v>0</v>
      </c>
      <c r="AK320" s="7">
        <v>0</v>
      </c>
      <c r="AL320" s="7">
        <v>0</v>
      </c>
      <c r="AM320" s="7">
        <v>0</v>
      </c>
      <c r="AN320" s="7">
        <v>0</v>
      </c>
      <c r="AO320" s="7">
        <v>0</v>
      </c>
      <c r="AP320" s="7">
        <v>0</v>
      </c>
      <c r="AQ320" s="7">
        <v>0</v>
      </c>
      <c r="AR320" s="7">
        <v>0</v>
      </c>
      <c r="AS320" s="7">
        <v>0</v>
      </c>
      <c r="AT320" s="7">
        <v>0</v>
      </c>
      <c r="AU320" s="7">
        <v>0</v>
      </c>
      <c r="AV320" s="7">
        <v>0</v>
      </c>
      <c r="AW320" s="7">
        <v>0</v>
      </c>
      <c r="AX320" s="7">
        <v>0</v>
      </c>
      <c r="AY320" s="7">
        <v>0</v>
      </c>
      <c r="AZ320" s="7">
        <v>0</v>
      </c>
      <c r="BA320" s="7">
        <v>0</v>
      </c>
      <c r="BB320" s="7">
        <v>0</v>
      </c>
      <c r="BC320" s="7">
        <v>0</v>
      </c>
      <c r="BD320">
        <v>0</v>
      </c>
      <c r="BE320">
        <v>31.32</v>
      </c>
      <c r="BF3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0" s="42" t="str">
        <f>+IF(AVANCE[[#This Row],[FECHA INICIO REAL]]="","",AVANCE[[#This Row],[FECHA INICIO REAL]]-AVANCE[[#This Row],[FECHA INICIO TEORICO]])</f>
        <v/>
      </c>
      <c r="BH3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1" spans="1:61" x14ac:dyDescent="0.25">
      <c r="A321" t="s">
        <v>1121</v>
      </c>
      <c r="B321" t="s">
        <v>1153</v>
      </c>
      <c r="C321">
        <v>2282600320</v>
      </c>
      <c r="D321" t="s">
        <v>833</v>
      </c>
      <c r="E321" s="4">
        <v>0</v>
      </c>
      <c r="F321" s="1">
        <v>46302</v>
      </c>
      <c r="G321" s="1"/>
      <c r="H321" s="1">
        <v>0</v>
      </c>
      <c r="I321" s="1">
        <v>46322</v>
      </c>
      <c r="J321">
        <v>46188</v>
      </c>
      <c r="K321" s="1"/>
      <c r="L321" s="7">
        <v>0</v>
      </c>
      <c r="M321" s="7">
        <v>0</v>
      </c>
      <c r="N321" s="7">
        <v>0</v>
      </c>
      <c r="O321" s="7">
        <v>0</v>
      </c>
      <c r="P321" s="7">
        <v>0</v>
      </c>
      <c r="Q321" s="7">
        <v>0</v>
      </c>
      <c r="R321" s="7">
        <v>0</v>
      </c>
      <c r="S321" s="7">
        <v>0</v>
      </c>
      <c r="T321" s="7">
        <v>0</v>
      </c>
      <c r="U321" s="7">
        <v>0</v>
      </c>
      <c r="V321" s="7">
        <v>0</v>
      </c>
      <c r="W321" s="7">
        <v>0</v>
      </c>
      <c r="X321" s="7">
        <v>0</v>
      </c>
      <c r="Y321" s="7">
        <v>0</v>
      </c>
      <c r="Z321" s="7">
        <v>0</v>
      </c>
      <c r="AA321" s="7">
        <v>0</v>
      </c>
      <c r="AB321" s="7">
        <v>0</v>
      </c>
      <c r="AC321" s="7">
        <v>0</v>
      </c>
      <c r="AD321" s="7">
        <v>0</v>
      </c>
      <c r="AE321" s="7">
        <v>0</v>
      </c>
      <c r="AF321" s="7">
        <v>0</v>
      </c>
      <c r="AG321" s="7">
        <v>0</v>
      </c>
      <c r="AH321" s="7">
        <v>0</v>
      </c>
      <c r="AI321" s="7">
        <v>0</v>
      </c>
      <c r="AJ321" s="7">
        <v>0</v>
      </c>
      <c r="AK321" s="7">
        <v>0</v>
      </c>
      <c r="AL321" s="7">
        <v>0</v>
      </c>
      <c r="AM321" s="7">
        <v>0</v>
      </c>
      <c r="AN321" s="7">
        <v>0</v>
      </c>
      <c r="AO321" s="7">
        <v>0</v>
      </c>
      <c r="AP321" s="7">
        <v>0</v>
      </c>
      <c r="AQ321" s="7">
        <v>0</v>
      </c>
      <c r="AR321" s="7">
        <v>0</v>
      </c>
      <c r="AS321" s="7">
        <v>0</v>
      </c>
      <c r="AT321" s="7">
        <v>0</v>
      </c>
      <c r="AU321" s="7">
        <v>0</v>
      </c>
      <c r="AV321" s="7">
        <v>0</v>
      </c>
      <c r="AW321" s="7">
        <v>0</v>
      </c>
      <c r="AX321" s="7">
        <v>0</v>
      </c>
      <c r="AY321" s="7">
        <v>0</v>
      </c>
      <c r="AZ321" s="7">
        <v>0</v>
      </c>
      <c r="BA321" s="7">
        <v>0</v>
      </c>
      <c r="BB321" s="7">
        <v>0</v>
      </c>
      <c r="BC321" s="7">
        <v>0</v>
      </c>
      <c r="BD321">
        <v>0</v>
      </c>
      <c r="BE321">
        <v>28.87</v>
      </c>
      <c r="BF3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1" s="42" t="str">
        <f>+IF(AVANCE[[#This Row],[FECHA INICIO REAL]]="","",AVANCE[[#This Row],[FECHA INICIO REAL]]-AVANCE[[#This Row],[FECHA INICIO TEORICO]])</f>
        <v/>
      </c>
      <c r="BH3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2" spans="1:61" x14ac:dyDescent="0.25">
      <c r="A322" t="s">
        <v>1154</v>
      </c>
      <c r="B322" t="s">
        <v>1155</v>
      </c>
      <c r="C322">
        <v>2282600321</v>
      </c>
      <c r="D322" t="s">
        <v>833</v>
      </c>
      <c r="E322" s="4">
        <v>0</v>
      </c>
      <c r="F322" s="1">
        <v>46302</v>
      </c>
      <c r="G322" s="1"/>
      <c r="H322" s="1">
        <v>0</v>
      </c>
      <c r="I322" s="1">
        <v>46322</v>
      </c>
      <c r="J322">
        <v>46188</v>
      </c>
      <c r="K322" s="1"/>
      <c r="L322" s="7">
        <v>0</v>
      </c>
      <c r="M322" s="7">
        <v>0</v>
      </c>
      <c r="N322" s="7">
        <v>0</v>
      </c>
      <c r="O322" s="7">
        <v>0</v>
      </c>
      <c r="P322" s="7">
        <v>0</v>
      </c>
      <c r="Q322" s="7">
        <v>0</v>
      </c>
      <c r="R322" s="7">
        <v>0</v>
      </c>
      <c r="S322" s="7">
        <v>0</v>
      </c>
      <c r="T322" s="7">
        <v>0</v>
      </c>
      <c r="U322" s="7">
        <v>0</v>
      </c>
      <c r="V322" s="7">
        <v>0</v>
      </c>
      <c r="W322" s="7">
        <v>0</v>
      </c>
      <c r="X322" s="7">
        <v>0</v>
      </c>
      <c r="Y322" s="7">
        <v>0</v>
      </c>
      <c r="Z322" s="7">
        <v>0</v>
      </c>
      <c r="AA322" s="7">
        <v>0</v>
      </c>
      <c r="AB322" s="7">
        <v>0</v>
      </c>
      <c r="AC322" s="7">
        <v>0</v>
      </c>
      <c r="AD322" s="7">
        <v>0</v>
      </c>
      <c r="AE322" s="7">
        <v>0</v>
      </c>
      <c r="AF322" s="7">
        <v>0</v>
      </c>
      <c r="AG322" s="7">
        <v>0</v>
      </c>
      <c r="AH322" s="7">
        <v>0</v>
      </c>
      <c r="AI322" s="7">
        <v>0</v>
      </c>
      <c r="AJ322" s="7">
        <v>0</v>
      </c>
      <c r="AK322" s="7">
        <v>0</v>
      </c>
      <c r="AL322" s="7">
        <v>0</v>
      </c>
      <c r="AM322" s="7">
        <v>0</v>
      </c>
      <c r="AN322" s="7">
        <v>0</v>
      </c>
      <c r="AO322" s="7">
        <v>0</v>
      </c>
      <c r="AP322" s="7">
        <v>0</v>
      </c>
      <c r="AQ322" s="7">
        <v>0</v>
      </c>
      <c r="AR322" s="7">
        <v>0</v>
      </c>
      <c r="AS322" s="7">
        <v>0</v>
      </c>
      <c r="AT322" s="7">
        <v>0</v>
      </c>
      <c r="AU322" s="7">
        <v>0</v>
      </c>
      <c r="AV322" s="7">
        <v>0</v>
      </c>
      <c r="AW322" s="7">
        <v>0</v>
      </c>
      <c r="AX322" s="7">
        <v>0</v>
      </c>
      <c r="AY322" s="7">
        <v>0</v>
      </c>
      <c r="AZ322" s="7">
        <v>0</v>
      </c>
      <c r="BA322" s="7">
        <v>0</v>
      </c>
      <c r="BB322" s="7">
        <v>0</v>
      </c>
      <c r="BC322" s="7">
        <v>0</v>
      </c>
      <c r="BD322">
        <v>0</v>
      </c>
      <c r="BE322">
        <v>28.87</v>
      </c>
      <c r="BF3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2" s="42" t="str">
        <f>+IF(AVANCE[[#This Row],[FECHA INICIO REAL]]="","",AVANCE[[#This Row],[FECHA INICIO REAL]]-AVANCE[[#This Row],[FECHA INICIO TEORICO]])</f>
        <v/>
      </c>
      <c r="BH3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3" spans="1:61" x14ac:dyDescent="0.25">
      <c r="A323" t="s">
        <v>1154</v>
      </c>
      <c r="B323" t="s">
        <v>1156</v>
      </c>
      <c r="C323">
        <v>2302600322</v>
      </c>
      <c r="D323" t="s">
        <v>834</v>
      </c>
      <c r="E323" s="4">
        <v>0</v>
      </c>
      <c r="F323" s="1">
        <v>46302</v>
      </c>
      <c r="G323" s="1"/>
      <c r="H323" s="1">
        <v>0</v>
      </c>
      <c r="I323" s="1">
        <v>46332</v>
      </c>
      <c r="J323">
        <v>46188</v>
      </c>
      <c r="K323" s="1"/>
      <c r="L323" s="7">
        <v>0</v>
      </c>
      <c r="M323" s="7">
        <v>0</v>
      </c>
      <c r="N323" s="7">
        <v>0</v>
      </c>
      <c r="O323" s="7">
        <v>0</v>
      </c>
      <c r="P323" s="7">
        <v>0</v>
      </c>
      <c r="Q323" s="7">
        <v>0</v>
      </c>
      <c r="R323" s="7">
        <v>0</v>
      </c>
      <c r="S323" s="7">
        <v>0</v>
      </c>
      <c r="T323" s="7">
        <v>0</v>
      </c>
      <c r="U323" s="7">
        <v>0</v>
      </c>
      <c r="V323" s="7">
        <v>0</v>
      </c>
      <c r="W323" s="7">
        <v>0</v>
      </c>
      <c r="X323" s="7">
        <v>0</v>
      </c>
      <c r="Y323" s="7">
        <v>0</v>
      </c>
      <c r="Z323" s="7">
        <v>0</v>
      </c>
      <c r="AA323" s="7">
        <v>0</v>
      </c>
      <c r="AB323" s="7">
        <v>0</v>
      </c>
      <c r="AC323" s="7">
        <v>0</v>
      </c>
      <c r="AD323" s="7">
        <v>0</v>
      </c>
      <c r="AE323" s="7">
        <v>0</v>
      </c>
      <c r="AF323" s="7">
        <v>0</v>
      </c>
      <c r="AG323" s="7">
        <v>0</v>
      </c>
      <c r="AH323" s="7">
        <v>0</v>
      </c>
      <c r="AI323" s="7">
        <v>0</v>
      </c>
      <c r="AJ323" s="7">
        <v>0</v>
      </c>
      <c r="AK323" s="7">
        <v>0</v>
      </c>
      <c r="AL323" s="7">
        <v>0</v>
      </c>
      <c r="AM323" s="7">
        <v>0</v>
      </c>
      <c r="AN323" s="7">
        <v>0</v>
      </c>
      <c r="AO323" s="7">
        <v>0</v>
      </c>
      <c r="AP323" s="7">
        <v>0</v>
      </c>
      <c r="AQ323" s="7">
        <v>0</v>
      </c>
      <c r="AR323" s="7">
        <v>0</v>
      </c>
      <c r="AS323" s="7">
        <v>0</v>
      </c>
      <c r="AT323" s="7">
        <v>0</v>
      </c>
      <c r="AU323" s="7">
        <v>0</v>
      </c>
      <c r="AV323" s="7">
        <v>0</v>
      </c>
      <c r="AW323" s="7">
        <v>0</v>
      </c>
      <c r="AX323" s="7">
        <v>0</v>
      </c>
      <c r="AY323" s="7">
        <v>0</v>
      </c>
      <c r="AZ323" s="7">
        <v>0</v>
      </c>
      <c r="BA323" s="7">
        <v>0</v>
      </c>
      <c r="BB323" s="7">
        <v>0</v>
      </c>
      <c r="BC323" s="7">
        <v>0</v>
      </c>
      <c r="BD323">
        <v>0</v>
      </c>
      <c r="BE323">
        <v>31.32</v>
      </c>
      <c r="BF3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3" s="42" t="str">
        <f>+IF(AVANCE[[#This Row],[FECHA INICIO REAL]]="","",AVANCE[[#This Row],[FECHA INICIO REAL]]-AVANCE[[#This Row],[FECHA INICIO TEORICO]])</f>
        <v/>
      </c>
      <c r="BH3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4" spans="1:61" x14ac:dyDescent="0.25">
      <c r="A324" t="s">
        <v>1154</v>
      </c>
      <c r="B324" t="s">
        <v>1157</v>
      </c>
      <c r="C324">
        <v>2302600323</v>
      </c>
      <c r="D324" t="s">
        <v>834</v>
      </c>
      <c r="E324" s="4">
        <v>0</v>
      </c>
      <c r="F324" s="1">
        <v>46303</v>
      </c>
      <c r="G324" s="1"/>
      <c r="H324" s="1">
        <v>0</v>
      </c>
      <c r="I324" s="1">
        <v>46333</v>
      </c>
      <c r="J324">
        <v>46188</v>
      </c>
      <c r="K324" s="1"/>
      <c r="L324" s="7">
        <v>0</v>
      </c>
      <c r="M324" s="7">
        <v>0</v>
      </c>
      <c r="N324" s="7">
        <v>0</v>
      </c>
      <c r="O324" s="7">
        <v>0</v>
      </c>
      <c r="P324" s="7">
        <v>0</v>
      </c>
      <c r="Q324" s="7">
        <v>0</v>
      </c>
      <c r="R324" s="7">
        <v>0</v>
      </c>
      <c r="S324" s="7">
        <v>0</v>
      </c>
      <c r="T324" s="7">
        <v>0</v>
      </c>
      <c r="U324" s="7">
        <v>0</v>
      </c>
      <c r="V324" s="7">
        <v>0</v>
      </c>
      <c r="W324" s="7">
        <v>0</v>
      </c>
      <c r="X324" s="7">
        <v>0</v>
      </c>
      <c r="Y324" s="7">
        <v>0</v>
      </c>
      <c r="Z324" s="7">
        <v>0</v>
      </c>
      <c r="AA324" s="7">
        <v>0</v>
      </c>
      <c r="AB324" s="7">
        <v>0</v>
      </c>
      <c r="AC324" s="7">
        <v>0</v>
      </c>
      <c r="AD324" s="7">
        <v>0</v>
      </c>
      <c r="AE324" s="7">
        <v>0</v>
      </c>
      <c r="AF324" s="7">
        <v>0</v>
      </c>
      <c r="AG324" s="7">
        <v>0</v>
      </c>
      <c r="AH324" s="7">
        <v>0</v>
      </c>
      <c r="AI324" s="7">
        <v>0</v>
      </c>
      <c r="AJ324" s="7">
        <v>0</v>
      </c>
      <c r="AK324" s="7">
        <v>0</v>
      </c>
      <c r="AL324" s="7">
        <v>0</v>
      </c>
      <c r="AM324" s="7">
        <v>0</v>
      </c>
      <c r="AN324" s="7">
        <v>0</v>
      </c>
      <c r="AO324" s="7">
        <v>0</v>
      </c>
      <c r="AP324" s="7">
        <v>0</v>
      </c>
      <c r="AQ324" s="7">
        <v>0</v>
      </c>
      <c r="AR324" s="7">
        <v>0</v>
      </c>
      <c r="AS324" s="7">
        <v>0</v>
      </c>
      <c r="AT324" s="7">
        <v>0</v>
      </c>
      <c r="AU324" s="7">
        <v>0</v>
      </c>
      <c r="AV324" s="7">
        <v>0</v>
      </c>
      <c r="AW324" s="7">
        <v>0</v>
      </c>
      <c r="AX324" s="7">
        <v>0</v>
      </c>
      <c r="AY324" s="7">
        <v>0</v>
      </c>
      <c r="AZ324" s="7">
        <v>0</v>
      </c>
      <c r="BA324" s="7">
        <v>0</v>
      </c>
      <c r="BB324" s="7">
        <v>0</v>
      </c>
      <c r="BC324" s="7">
        <v>0</v>
      </c>
      <c r="BD324">
        <v>0</v>
      </c>
      <c r="BE324">
        <v>31.32</v>
      </c>
      <c r="BF3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4" s="42" t="str">
        <f>+IF(AVANCE[[#This Row],[FECHA INICIO REAL]]="","",AVANCE[[#This Row],[FECHA INICIO REAL]]-AVANCE[[#This Row],[FECHA INICIO TEORICO]])</f>
        <v/>
      </c>
      <c r="BH3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5" spans="1:61" x14ac:dyDescent="0.25">
      <c r="A325" t="s">
        <v>1154</v>
      </c>
      <c r="B325" t="s">
        <v>1158</v>
      </c>
      <c r="C325">
        <v>2282600324</v>
      </c>
      <c r="D325" t="s">
        <v>833</v>
      </c>
      <c r="E325" s="4">
        <v>0</v>
      </c>
      <c r="F325" s="1">
        <v>46303</v>
      </c>
      <c r="G325" s="1"/>
      <c r="H325" s="1">
        <v>0</v>
      </c>
      <c r="I325" s="1">
        <v>46323</v>
      </c>
      <c r="J325">
        <v>46188</v>
      </c>
      <c r="K325" s="1"/>
      <c r="L325" s="7">
        <v>0</v>
      </c>
      <c r="M325" s="7">
        <v>0</v>
      </c>
      <c r="N325" s="7">
        <v>0</v>
      </c>
      <c r="O325" s="7">
        <v>0</v>
      </c>
      <c r="P325" s="7">
        <v>0</v>
      </c>
      <c r="Q325" s="7">
        <v>0</v>
      </c>
      <c r="R325" s="7">
        <v>0</v>
      </c>
      <c r="S325" s="7">
        <v>0</v>
      </c>
      <c r="T325" s="7">
        <v>0</v>
      </c>
      <c r="U325" s="7">
        <v>0</v>
      </c>
      <c r="V325" s="7">
        <v>0</v>
      </c>
      <c r="W325" s="7">
        <v>0</v>
      </c>
      <c r="X325" s="7">
        <v>0</v>
      </c>
      <c r="Y325" s="7">
        <v>0</v>
      </c>
      <c r="Z325" s="7">
        <v>0</v>
      </c>
      <c r="AA325" s="7">
        <v>0</v>
      </c>
      <c r="AB325" s="7">
        <v>0</v>
      </c>
      <c r="AC325" s="7">
        <v>0</v>
      </c>
      <c r="AD325" s="7">
        <v>0</v>
      </c>
      <c r="AE325" s="7">
        <v>0</v>
      </c>
      <c r="AF325" s="7">
        <v>0</v>
      </c>
      <c r="AG325" s="7">
        <v>0</v>
      </c>
      <c r="AH325" s="7">
        <v>0</v>
      </c>
      <c r="AI325" s="7">
        <v>0</v>
      </c>
      <c r="AJ325" s="7">
        <v>0</v>
      </c>
      <c r="AK325" s="7">
        <v>0</v>
      </c>
      <c r="AL325" s="7">
        <v>0</v>
      </c>
      <c r="AM325" s="7">
        <v>0</v>
      </c>
      <c r="AN325" s="7">
        <v>0</v>
      </c>
      <c r="AO325" s="7">
        <v>0</v>
      </c>
      <c r="AP325" s="7">
        <v>0</v>
      </c>
      <c r="AQ325" s="7">
        <v>0</v>
      </c>
      <c r="AR325" s="7">
        <v>0</v>
      </c>
      <c r="AS325" s="7">
        <v>0</v>
      </c>
      <c r="AT325" s="7">
        <v>0</v>
      </c>
      <c r="AU325" s="7">
        <v>0</v>
      </c>
      <c r="AV325" s="7">
        <v>0</v>
      </c>
      <c r="AW325" s="7">
        <v>0</v>
      </c>
      <c r="AX325" s="7">
        <v>0</v>
      </c>
      <c r="AY325" s="7">
        <v>0</v>
      </c>
      <c r="AZ325" s="7">
        <v>0</v>
      </c>
      <c r="BA325" s="7">
        <v>0</v>
      </c>
      <c r="BB325" s="7">
        <v>0</v>
      </c>
      <c r="BC325" s="7">
        <v>0</v>
      </c>
      <c r="BD325">
        <v>0</v>
      </c>
      <c r="BE325">
        <v>28.87</v>
      </c>
      <c r="BF3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5" s="42" t="str">
        <f>+IF(AVANCE[[#This Row],[FECHA INICIO REAL]]="","",AVANCE[[#This Row],[FECHA INICIO REAL]]-AVANCE[[#This Row],[FECHA INICIO TEORICO]])</f>
        <v/>
      </c>
      <c r="BH3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6" spans="1:61" x14ac:dyDescent="0.25">
      <c r="A326" t="s">
        <v>1154</v>
      </c>
      <c r="B326" t="s">
        <v>1159</v>
      </c>
      <c r="C326">
        <v>2282600325</v>
      </c>
      <c r="D326" t="s">
        <v>833</v>
      </c>
      <c r="E326" s="4">
        <v>0</v>
      </c>
      <c r="F326" s="1">
        <v>46303</v>
      </c>
      <c r="G326" s="1"/>
      <c r="H326" s="1">
        <v>0</v>
      </c>
      <c r="I326" s="1">
        <v>46323</v>
      </c>
      <c r="J326">
        <v>46188</v>
      </c>
      <c r="K326" s="1"/>
      <c r="L326" s="7">
        <v>0</v>
      </c>
      <c r="M326" s="7">
        <v>0</v>
      </c>
      <c r="N326" s="7">
        <v>0</v>
      </c>
      <c r="O326" s="7">
        <v>0</v>
      </c>
      <c r="P326" s="7">
        <v>0</v>
      </c>
      <c r="Q326" s="7">
        <v>0</v>
      </c>
      <c r="R326" s="7">
        <v>0</v>
      </c>
      <c r="S326" s="7">
        <v>0</v>
      </c>
      <c r="T326" s="7">
        <v>0</v>
      </c>
      <c r="U326" s="7">
        <v>0</v>
      </c>
      <c r="V326" s="7">
        <v>0</v>
      </c>
      <c r="W326" s="7">
        <v>0</v>
      </c>
      <c r="X326" s="7">
        <v>0</v>
      </c>
      <c r="Y326" s="7">
        <v>0</v>
      </c>
      <c r="Z326" s="7">
        <v>0</v>
      </c>
      <c r="AA326" s="7">
        <v>0</v>
      </c>
      <c r="AB326" s="7">
        <v>0</v>
      </c>
      <c r="AC326" s="7">
        <v>0</v>
      </c>
      <c r="AD326" s="7">
        <v>0</v>
      </c>
      <c r="AE326" s="7">
        <v>0</v>
      </c>
      <c r="AF326" s="7">
        <v>0</v>
      </c>
      <c r="AG326" s="7">
        <v>0</v>
      </c>
      <c r="AH326" s="7">
        <v>0</v>
      </c>
      <c r="AI326" s="7">
        <v>0</v>
      </c>
      <c r="AJ326" s="7">
        <v>0</v>
      </c>
      <c r="AK326" s="7">
        <v>0</v>
      </c>
      <c r="AL326" s="7">
        <v>0</v>
      </c>
      <c r="AM326" s="7">
        <v>0</v>
      </c>
      <c r="AN326" s="7">
        <v>0</v>
      </c>
      <c r="AO326" s="7">
        <v>0</v>
      </c>
      <c r="AP326" s="7">
        <v>0</v>
      </c>
      <c r="AQ326" s="7">
        <v>0</v>
      </c>
      <c r="AR326" s="7">
        <v>0</v>
      </c>
      <c r="AS326" s="7">
        <v>0</v>
      </c>
      <c r="AT326" s="7">
        <v>0</v>
      </c>
      <c r="AU326" s="7">
        <v>0</v>
      </c>
      <c r="AV326" s="7">
        <v>0</v>
      </c>
      <c r="AW326" s="7">
        <v>0</v>
      </c>
      <c r="AX326" s="7">
        <v>0</v>
      </c>
      <c r="AY326" s="7">
        <v>0</v>
      </c>
      <c r="AZ326" s="7">
        <v>0</v>
      </c>
      <c r="BA326" s="7">
        <v>0</v>
      </c>
      <c r="BB326" s="7">
        <v>0</v>
      </c>
      <c r="BC326" s="7">
        <v>0</v>
      </c>
      <c r="BD326">
        <v>0</v>
      </c>
      <c r="BE326">
        <v>28.87</v>
      </c>
      <c r="BF3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6" s="42" t="str">
        <f>+IF(AVANCE[[#This Row],[FECHA INICIO REAL]]="","",AVANCE[[#This Row],[FECHA INICIO REAL]]-AVANCE[[#This Row],[FECHA INICIO TEORICO]])</f>
        <v/>
      </c>
      <c r="BH3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7" spans="1:61" x14ac:dyDescent="0.25">
      <c r="A327" t="s">
        <v>1154</v>
      </c>
      <c r="B327" t="s">
        <v>1160</v>
      </c>
      <c r="C327">
        <v>2302600326</v>
      </c>
      <c r="D327" t="s">
        <v>834</v>
      </c>
      <c r="E327" s="4">
        <v>0</v>
      </c>
      <c r="F327" s="1">
        <v>46304</v>
      </c>
      <c r="G327" s="1"/>
      <c r="H327" s="1">
        <v>0</v>
      </c>
      <c r="I327" s="1">
        <v>46334</v>
      </c>
      <c r="J327">
        <v>46188</v>
      </c>
      <c r="K327" s="1"/>
      <c r="L327" s="7">
        <v>0</v>
      </c>
      <c r="M327" s="7">
        <v>0</v>
      </c>
      <c r="N327" s="7">
        <v>0</v>
      </c>
      <c r="O327" s="7">
        <v>0</v>
      </c>
      <c r="P327" s="7">
        <v>0</v>
      </c>
      <c r="Q327" s="7">
        <v>0</v>
      </c>
      <c r="R327" s="7">
        <v>0</v>
      </c>
      <c r="S327" s="7">
        <v>0</v>
      </c>
      <c r="T327" s="7">
        <v>0</v>
      </c>
      <c r="U327" s="7">
        <v>0</v>
      </c>
      <c r="V327" s="7">
        <v>0</v>
      </c>
      <c r="W327" s="7">
        <v>0</v>
      </c>
      <c r="X327" s="7">
        <v>0</v>
      </c>
      <c r="Y327" s="7">
        <v>0</v>
      </c>
      <c r="Z327" s="7">
        <v>0</v>
      </c>
      <c r="AA327" s="7">
        <v>0</v>
      </c>
      <c r="AB327" s="7">
        <v>0</v>
      </c>
      <c r="AC327" s="7">
        <v>0</v>
      </c>
      <c r="AD327" s="7">
        <v>0</v>
      </c>
      <c r="AE327" s="7">
        <v>0</v>
      </c>
      <c r="AF327" s="7">
        <v>0</v>
      </c>
      <c r="AG327" s="7">
        <v>0</v>
      </c>
      <c r="AH327" s="7">
        <v>0</v>
      </c>
      <c r="AI327" s="7">
        <v>0</v>
      </c>
      <c r="AJ327" s="7">
        <v>0</v>
      </c>
      <c r="AK327" s="7">
        <v>0</v>
      </c>
      <c r="AL327" s="7">
        <v>0</v>
      </c>
      <c r="AM327" s="7">
        <v>0</v>
      </c>
      <c r="AN327" s="7">
        <v>0</v>
      </c>
      <c r="AO327" s="7">
        <v>0</v>
      </c>
      <c r="AP327" s="7">
        <v>0</v>
      </c>
      <c r="AQ327" s="7">
        <v>0</v>
      </c>
      <c r="AR327" s="7">
        <v>0</v>
      </c>
      <c r="AS327" s="7">
        <v>0</v>
      </c>
      <c r="AT327" s="7">
        <v>0</v>
      </c>
      <c r="AU327" s="7">
        <v>0</v>
      </c>
      <c r="AV327" s="7">
        <v>0</v>
      </c>
      <c r="AW327" s="7">
        <v>0</v>
      </c>
      <c r="AX327" s="7">
        <v>0</v>
      </c>
      <c r="AY327" s="7">
        <v>0</v>
      </c>
      <c r="AZ327" s="7">
        <v>0</v>
      </c>
      <c r="BA327" s="7">
        <v>0</v>
      </c>
      <c r="BB327" s="7">
        <v>0</v>
      </c>
      <c r="BC327" s="7">
        <v>0</v>
      </c>
      <c r="BD327">
        <v>0</v>
      </c>
      <c r="BE327">
        <v>31.32</v>
      </c>
      <c r="BF3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7" s="42" t="str">
        <f>+IF(AVANCE[[#This Row],[FECHA INICIO REAL]]="","",AVANCE[[#This Row],[FECHA INICIO REAL]]-AVANCE[[#This Row],[FECHA INICIO TEORICO]])</f>
        <v/>
      </c>
      <c r="BH3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8" spans="1:61" x14ac:dyDescent="0.25">
      <c r="A328" t="s">
        <v>1154</v>
      </c>
      <c r="B328" t="s">
        <v>1161</v>
      </c>
      <c r="C328">
        <v>2302600327</v>
      </c>
      <c r="D328" t="s">
        <v>834</v>
      </c>
      <c r="E328" s="4">
        <v>0</v>
      </c>
      <c r="F328" s="1">
        <v>46304</v>
      </c>
      <c r="G328" s="1"/>
      <c r="H328" s="1">
        <v>0</v>
      </c>
      <c r="I328" s="1">
        <v>46334</v>
      </c>
      <c r="J328">
        <v>46188</v>
      </c>
      <c r="K328" s="1"/>
      <c r="L328" s="7">
        <v>0</v>
      </c>
      <c r="M328" s="7">
        <v>0</v>
      </c>
      <c r="N328" s="7">
        <v>0</v>
      </c>
      <c r="O328" s="7">
        <v>0</v>
      </c>
      <c r="P328" s="7">
        <v>0</v>
      </c>
      <c r="Q328" s="7">
        <v>0</v>
      </c>
      <c r="R328" s="7">
        <v>0</v>
      </c>
      <c r="S328" s="7">
        <v>0</v>
      </c>
      <c r="T328" s="7">
        <v>0</v>
      </c>
      <c r="U328" s="7">
        <v>0</v>
      </c>
      <c r="V328" s="7">
        <v>0</v>
      </c>
      <c r="W328" s="7">
        <v>0</v>
      </c>
      <c r="X328" s="7">
        <v>0</v>
      </c>
      <c r="Y328" s="7">
        <v>0</v>
      </c>
      <c r="Z328" s="7">
        <v>0</v>
      </c>
      <c r="AA328" s="7">
        <v>0</v>
      </c>
      <c r="AB328" s="7">
        <v>0</v>
      </c>
      <c r="AC328" s="7">
        <v>0</v>
      </c>
      <c r="AD328" s="7">
        <v>0</v>
      </c>
      <c r="AE328" s="7">
        <v>0</v>
      </c>
      <c r="AF328" s="7">
        <v>0</v>
      </c>
      <c r="AG328" s="7">
        <v>0</v>
      </c>
      <c r="AH328" s="7">
        <v>0</v>
      </c>
      <c r="AI328" s="7">
        <v>0</v>
      </c>
      <c r="AJ328" s="7">
        <v>0</v>
      </c>
      <c r="AK328" s="7">
        <v>0</v>
      </c>
      <c r="AL328" s="7">
        <v>0</v>
      </c>
      <c r="AM328" s="7">
        <v>0</v>
      </c>
      <c r="AN328" s="7">
        <v>0</v>
      </c>
      <c r="AO328" s="7">
        <v>0</v>
      </c>
      <c r="AP328" s="7">
        <v>0</v>
      </c>
      <c r="AQ328" s="7">
        <v>0</v>
      </c>
      <c r="AR328" s="7">
        <v>0</v>
      </c>
      <c r="AS328" s="7">
        <v>0</v>
      </c>
      <c r="AT328" s="7">
        <v>0</v>
      </c>
      <c r="AU328" s="7">
        <v>0</v>
      </c>
      <c r="AV328" s="7">
        <v>0</v>
      </c>
      <c r="AW328" s="7">
        <v>0</v>
      </c>
      <c r="AX328" s="7">
        <v>0</v>
      </c>
      <c r="AY328" s="7">
        <v>0</v>
      </c>
      <c r="AZ328" s="7">
        <v>0</v>
      </c>
      <c r="BA328" s="7">
        <v>0</v>
      </c>
      <c r="BB328" s="7">
        <v>0</v>
      </c>
      <c r="BC328" s="7">
        <v>0</v>
      </c>
      <c r="BD328">
        <v>0</v>
      </c>
      <c r="BE328">
        <v>31.32</v>
      </c>
      <c r="BF3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8" s="42" t="str">
        <f>+IF(AVANCE[[#This Row],[FECHA INICIO REAL]]="","",AVANCE[[#This Row],[FECHA INICIO REAL]]-AVANCE[[#This Row],[FECHA INICIO TEORICO]])</f>
        <v/>
      </c>
      <c r="BH3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9" spans="1:61" x14ac:dyDescent="0.25">
      <c r="A329" t="s">
        <v>1154</v>
      </c>
      <c r="B329" t="s">
        <v>1162</v>
      </c>
      <c r="C329">
        <v>2282600328</v>
      </c>
      <c r="D329" t="s">
        <v>833</v>
      </c>
      <c r="E329" s="4">
        <v>0</v>
      </c>
      <c r="F329" s="1">
        <v>46304</v>
      </c>
      <c r="G329" s="1"/>
      <c r="H329" s="1">
        <v>0</v>
      </c>
      <c r="I329" s="1">
        <v>46324</v>
      </c>
      <c r="J329">
        <v>46188</v>
      </c>
      <c r="K329" s="1"/>
      <c r="L329" s="7">
        <v>0</v>
      </c>
      <c r="M329" s="7">
        <v>0</v>
      </c>
      <c r="N329" s="7">
        <v>0</v>
      </c>
      <c r="O329" s="7">
        <v>0</v>
      </c>
      <c r="P329" s="7">
        <v>0</v>
      </c>
      <c r="Q329" s="7">
        <v>0</v>
      </c>
      <c r="R329" s="7">
        <v>0</v>
      </c>
      <c r="S329" s="7">
        <v>0</v>
      </c>
      <c r="T329" s="7">
        <v>0</v>
      </c>
      <c r="U329" s="7">
        <v>0</v>
      </c>
      <c r="V329" s="7">
        <v>0</v>
      </c>
      <c r="W329" s="7">
        <v>0</v>
      </c>
      <c r="X329" s="7">
        <v>0</v>
      </c>
      <c r="Y329" s="7">
        <v>0</v>
      </c>
      <c r="Z329" s="7">
        <v>0</v>
      </c>
      <c r="AA329" s="7">
        <v>0</v>
      </c>
      <c r="AB329" s="7">
        <v>0</v>
      </c>
      <c r="AC329" s="7">
        <v>0</v>
      </c>
      <c r="AD329" s="7">
        <v>0</v>
      </c>
      <c r="AE329" s="7">
        <v>0</v>
      </c>
      <c r="AF329" s="7">
        <v>0</v>
      </c>
      <c r="AG329" s="7">
        <v>0</v>
      </c>
      <c r="AH329" s="7">
        <v>0</v>
      </c>
      <c r="AI329" s="7">
        <v>0</v>
      </c>
      <c r="AJ329" s="7">
        <v>0</v>
      </c>
      <c r="AK329" s="7">
        <v>0</v>
      </c>
      <c r="AL329" s="7">
        <v>0</v>
      </c>
      <c r="AM329" s="7">
        <v>0</v>
      </c>
      <c r="AN329" s="7">
        <v>0</v>
      </c>
      <c r="AO329" s="7">
        <v>0</v>
      </c>
      <c r="AP329" s="7">
        <v>0</v>
      </c>
      <c r="AQ329" s="7">
        <v>0</v>
      </c>
      <c r="AR329" s="7">
        <v>0</v>
      </c>
      <c r="AS329" s="7">
        <v>0</v>
      </c>
      <c r="AT329" s="7">
        <v>0</v>
      </c>
      <c r="AU329" s="7">
        <v>0</v>
      </c>
      <c r="AV329" s="7">
        <v>0</v>
      </c>
      <c r="AW329" s="7">
        <v>0</v>
      </c>
      <c r="AX329" s="7">
        <v>0</v>
      </c>
      <c r="AY329" s="7">
        <v>0</v>
      </c>
      <c r="AZ329" s="7">
        <v>0</v>
      </c>
      <c r="BA329" s="7">
        <v>0</v>
      </c>
      <c r="BB329" s="7">
        <v>0</v>
      </c>
      <c r="BC329" s="7">
        <v>0</v>
      </c>
      <c r="BD329">
        <v>0</v>
      </c>
      <c r="BE329">
        <v>28.87</v>
      </c>
      <c r="BF3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9" s="42" t="str">
        <f>+IF(AVANCE[[#This Row],[FECHA INICIO REAL]]="","",AVANCE[[#This Row],[FECHA INICIO REAL]]-AVANCE[[#This Row],[FECHA INICIO TEORICO]])</f>
        <v/>
      </c>
      <c r="BH3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0" spans="1:61" x14ac:dyDescent="0.25">
      <c r="A330" t="s">
        <v>1154</v>
      </c>
      <c r="B330" t="s">
        <v>1163</v>
      </c>
      <c r="C330">
        <v>2282600329</v>
      </c>
      <c r="D330" t="s">
        <v>833</v>
      </c>
      <c r="E330" s="4">
        <v>0</v>
      </c>
      <c r="F330" s="1">
        <v>46307</v>
      </c>
      <c r="G330" s="1"/>
      <c r="H330" s="1">
        <v>0</v>
      </c>
      <c r="I330" s="1">
        <v>46327</v>
      </c>
      <c r="J330">
        <v>46188</v>
      </c>
      <c r="K330" s="1"/>
      <c r="L330" s="7">
        <v>0</v>
      </c>
      <c r="M330" s="7">
        <v>0</v>
      </c>
      <c r="N330" s="7">
        <v>0</v>
      </c>
      <c r="O330" s="7">
        <v>0</v>
      </c>
      <c r="P330" s="7">
        <v>0</v>
      </c>
      <c r="Q330" s="7">
        <v>0</v>
      </c>
      <c r="R330" s="7">
        <v>0</v>
      </c>
      <c r="S330" s="7">
        <v>0</v>
      </c>
      <c r="T330" s="7">
        <v>0</v>
      </c>
      <c r="U330" s="7">
        <v>0</v>
      </c>
      <c r="V330" s="7">
        <v>0</v>
      </c>
      <c r="W330" s="7">
        <v>0</v>
      </c>
      <c r="X330" s="7">
        <v>0</v>
      </c>
      <c r="Y330" s="7">
        <v>0</v>
      </c>
      <c r="Z330" s="7">
        <v>0</v>
      </c>
      <c r="AA330" s="7">
        <v>0</v>
      </c>
      <c r="AB330" s="7">
        <v>0</v>
      </c>
      <c r="AC330" s="7">
        <v>0</v>
      </c>
      <c r="AD330" s="7">
        <v>0</v>
      </c>
      <c r="AE330" s="7">
        <v>0</v>
      </c>
      <c r="AF330" s="7">
        <v>0</v>
      </c>
      <c r="AG330" s="7">
        <v>0</v>
      </c>
      <c r="AH330" s="7">
        <v>0</v>
      </c>
      <c r="AI330" s="7">
        <v>0</v>
      </c>
      <c r="AJ330" s="7">
        <v>0</v>
      </c>
      <c r="AK330" s="7">
        <v>0</v>
      </c>
      <c r="AL330" s="7">
        <v>0</v>
      </c>
      <c r="AM330" s="7">
        <v>0</v>
      </c>
      <c r="AN330" s="7">
        <v>0</v>
      </c>
      <c r="AO330" s="7">
        <v>0</v>
      </c>
      <c r="AP330" s="7">
        <v>0</v>
      </c>
      <c r="AQ330" s="7">
        <v>0</v>
      </c>
      <c r="AR330" s="7">
        <v>0</v>
      </c>
      <c r="AS330" s="7">
        <v>0</v>
      </c>
      <c r="AT330" s="7">
        <v>0</v>
      </c>
      <c r="AU330" s="7">
        <v>0</v>
      </c>
      <c r="AV330" s="7">
        <v>0</v>
      </c>
      <c r="AW330" s="7">
        <v>0</v>
      </c>
      <c r="AX330" s="7">
        <v>0</v>
      </c>
      <c r="AY330" s="7">
        <v>0</v>
      </c>
      <c r="AZ330" s="7">
        <v>0</v>
      </c>
      <c r="BA330" s="7">
        <v>0</v>
      </c>
      <c r="BB330" s="7">
        <v>0</v>
      </c>
      <c r="BC330" s="7">
        <v>0</v>
      </c>
      <c r="BD330">
        <v>0</v>
      </c>
      <c r="BE330">
        <v>28.87</v>
      </c>
      <c r="BF3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0" s="42" t="str">
        <f>+IF(AVANCE[[#This Row],[FECHA INICIO REAL]]="","",AVANCE[[#This Row],[FECHA INICIO REAL]]-AVANCE[[#This Row],[FECHA INICIO TEORICO]])</f>
        <v/>
      </c>
      <c r="BH3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1" spans="1:61" x14ac:dyDescent="0.25">
      <c r="A331" t="s">
        <v>1154</v>
      </c>
      <c r="B331" t="s">
        <v>1164</v>
      </c>
      <c r="C331">
        <v>2302600330</v>
      </c>
      <c r="D331" t="s">
        <v>834</v>
      </c>
      <c r="E331" s="4">
        <v>0</v>
      </c>
      <c r="F331" s="1">
        <v>46307</v>
      </c>
      <c r="G331" s="1"/>
      <c r="H331" s="1">
        <v>0</v>
      </c>
      <c r="I331" s="1">
        <v>46337</v>
      </c>
      <c r="J331">
        <v>46188</v>
      </c>
      <c r="K331" s="1"/>
      <c r="L331" s="7">
        <v>0</v>
      </c>
      <c r="M331" s="7">
        <v>0</v>
      </c>
      <c r="N331" s="7">
        <v>0</v>
      </c>
      <c r="O331" s="7">
        <v>0</v>
      </c>
      <c r="P331" s="7">
        <v>0</v>
      </c>
      <c r="Q331" s="7">
        <v>0</v>
      </c>
      <c r="R331" s="7">
        <v>0</v>
      </c>
      <c r="S331" s="7">
        <v>0</v>
      </c>
      <c r="T331" s="7">
        <v>0</v>
      </c>
      <c r="U331" s="7">
        <v>0</v>
      </c>
      <c r="V331" s="7">
        <v>0</v>
      </c>
      <c r="W331" s="7">
        <v>0</v>
      </c>
      <c r="X331" s="7">
        <v>0</v>
      </c>
      <c r="Y331" s="7">
        <v>0</v>
      </c>
      <c r="Z331" s="7">
        <v>0</v>
      </c>
      <c r="AA331" s="7">
        <v>0</v>
      </c>
      <c r="AB331" s="7">
        <v>0</v>
      </c>
      <c r="AC331" s="7">
        <v>0</v>
      </c>
      <c r="AD331" s="7">
        <v>0</v>
      </c>
      <c r="AE331" s="7">
        <v>0</v>
      </c>
      <c r="AF331" s="7">
        <v>0</v>
      </c>
      <c r="AG331" s="7">
        <v>0</v>
      </c>
      <c r="AH331" s="7">
        <v>0</v>
      </c>
      <c r="AI331" s="7">
        <v>0</v>
      </c>
      <c r="AJ331" s="7">
        <v>0</v>
      </c>
      <c r="AK331" s="7">
        <v>0</v>
      </c>
      <c r="AL331" s="7">
        <v>0</v>
      </c>
      <c r="AM331" s="7">
        <v>0</v>
      </c>
      <c r="AN331" s="7">
        <v>0</v>
      </c>
      <c r="AO331" s="7">
        <v>0</v>
      </c>
      <c r="AP331" s="7">
        <v>0</v>
      </c>
      <c r="AQ331" s="7">
        <v>0</v>
      </c>
      <c r="AR331" s="7">
        <v>0</v>
      </c>
      <c r="AS331" s="7">
        <v>0</v>
      </c>
      <c r="AT331" s="7">
        <v>0</v>
      </c>
      <c r="AU331" s="7">
        <v>0</v>
      </c>
      <c r="AV331" s="7">
        <v>0</v>
      </c>
      <c r="AW331" s="7">
        <v>0</v>
      </c>
      <c r="AX331" s="7">
        <v>0</v>
      </c>
      <c r="AY331" s="7">
        <v>0</v>
      </c>
      <c r="AZ331" s="7">
        <v>0</v>
      </c>
      <c r="BA331" s="7">
        <v>0</v>
      </c>
      <c r="BB331" s="7">
        <v>0</v>
      </c>
      <c r="BC331" s="7">
        <v>0</v>
      </c>
      <c r="BD331">
        <v>0</v>
      </c>
      <c r="BE331">
        <v>31.32</v>
      </c>
      <c r="BF3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1" s="42" t="str">
        <f>+IF(AVANCE[[#This Row],[FECHA INICIO REAL]]="","",AVANCE[[#This Row],[FECHA INICIO REAL]]-AVANCE[[#This Row],[FECHA INICIO TEORICO]])</f>
        <v/>
      </c>
      <c r="BH3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2" spans="1:61" x14ac:dyDescent="0.25">
      <c r="A332" t="s">
        <v>1154</v>
      </c>
      <c r="B332" t="s">
        <v>1165</v>
      </c>
      <c r="C332">
        <v>2302600331</v>
      </c>
      <c r="D332" t="s">
        <v>834</v>
      </c>
      <c r="E332" s="4">
        <v>0</v>
      </c>
      <c r="F332" s="1">
        <v>46307</v>
      </c>
      <c r="G332" s="1"/>
      <c r="H332" s="1">
        <v>0</v>
      </c>
      <c r="I332" s="1">
        <v>46337</v>
      </c>
      <c r="J332">
        <v>46188</v>
      </c>
      <c r="K332" s="1"/>
      <c r="L332" s="7">
        <v>0</v>
      </c>
      <c r="M332" s="7">
        <v>0</v>
      </c>
      <c r="N332" s="7">
        <v>0</v>
      </c>
      <c r="O332" s="7">
        <v>0</v>
      </c>
      <c r="P332" s="7">
        <v>0</v>
      </c>
      <c r="Q332" s="7">
        <v>0</v>
      </c>
      <c r="R332" s="7">
        <v>0</v>
      </c>
      <c r="S332" s="7">
        <v>0</v>
      </c>
      <c r="T332" s="7">
        <v>0</v>
      </c>
      <c r="U332" s="7">
        <v>0</v>
      </c>
      <c r="V332" s="7">
        <v>0</v>
      </c>
      <c r="W332" s="7">
        <v>0</v>
      </c>
      <c r="X332" s="7">
        <v>0</v>
      </c>
      <c r="Y332" s="7">
        <v>0</v>
      </c>
      <c r="Z332" s="7">
        <v>0</v>
      </c>
      <c r="AA332" s="7">
        <v>0</v>
      </c>
      <c r="AB332" s="7">
        <v>0</v>
      </c>
      <c r="AC332" s="7">
        <v>0</v>
      </c>
      <c r="AD332" s="7">
        <v>0</v>
      </c>
      <c r="AE332" s="7">
        <v>0</v>
      </c>
      <c r="AF332" s="7">
        <v>0</v>
      </c>
      <c r="AG332" s="7">
        <v>0</v>
      </c>
      <c r="AH332" s="7">
        <v>0</v>
      </c>
      <c r="AI332" s="7">
        <v>0</v>
      </c>
      <c r="AJ332" s="7">
        <v>0</v>
      </c>
      <c r="AK332" s="7">
        <v>0</v>
      </c>
      <c r="AL332" s="7">
        <v>0</v>
      </c>
      <c r="AM332" s="7">
        <v>0</v>
      </c>
      <c r="AN332" s="7">
        <v>0</v>
      </c>
      <c r="AO332" s="7">
        <v>0</v>
      </c>
      <c r="AP332" s="7">
        <v>0</v>
      </c>
      <c r="AQ332" s="7">
        <v>0</v>
      </c>
      <c r="AR332" s="7">
        <v>0</v>
      </c>
      <c r="AS332" s="7">
        <v>0</v>
      </c>
      <c r="AT332" s="7">
        <v>0</v>
      </c>
      <c r="AU332" s="7">
        <v>0</v>
      </c>
      <c r="AV332" s="7">
        <v>0</v>
      </c>
      <c r="AW332" s="7">
        <v>0</v>
      </c>
      <c r="AX332" s="7">
        <v>0</v>
      </c>
      <c r="AY332" s="7">
        <v>0</v>
      </c>
      <c r="AZ332" s="7">
        <v>0</v>
      </c>
      <c r="BA332" s="7">
        <v>0</v>
      </c>
      <c r="BB332" s="7">
        <v>0</v>
      </c>
      <c r="BC332" s="7">
        <v>0</v>
      </c>
      <c r="BD332">
        <v>0</v>
      </c>
      <c r="BE332">
        <v>31.32</v>
      </c>
      <c r="BF3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2" s="42" t="str">
        <f>+IF(AVANCE[[#This Row],[FECHA INICIO REAL]]="","",AVANCE[[#This Row],[FECHA INICIO REAL]]-AVANCE[[#This Row],[FECHA INICIO TEORICO]])</f>
        <v/>
      </c>
      <c r="BH3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3" spans="1:61" x14ac:dyDescent="0.25">
      <c r="A333" t="s">
        <v>1154</v>
      </c>
      <c r="B333" t="s">
        <v>1166</v>
      </c>
      <c r="C333">
        <v>2282600332</v>
      </c>
      <c r="D333" t="s">
        <v>833</v>
      </c>
      <c r="E333" s="4">
        <v>0</v>
      </c>
      <c r="F333" s="1">
        <v>46308</v>
      </c>
      <c r="G333" s="1"/>
      <c r="H333" s="1">
        <v>0</v>
      </c>
      <c r="I333" s="1">
        <v>46328</v>
      </c>
      <c r="J333">
        <v>46188</v>
      </c>
      <c r="K333" s="1"/>
      <c r="L333" s="7">
        <v>0</v>
      </c>
      <c r="M333" s="7">
        <v>0</v>
      </c>
      <c r="N333" s="7">
        <v>0</v>
      </c>
      <c r="O333" s="7">
        <v>0</v>
      </c>
      <c r="P333" s="7">
        <v>0</v>
      </c>
      <c r="Q333" s="7">
        <v>0</v>
      </c>
      <c r="R333" s="7">
        <v>0</v>
      </c>
      <c r="S333" s="7">
        <v>0</v>
      </c>
      <c r="T333" s="7">
        <v>0</v>
      </c>
      <c r="U333" s="7">
        <v>0</v>
      </c>
      <c r="V333" s="7">
        <v>0</v>
      </c>
      <c r="W333" s="7">
        <v>0</v>
      </c>
      <c r="X333" s="7">
        <v>0</v>
      </c>
      <c r="Y333" s="7">
        <v>0</v>
      </c>
      <c r="Z333" s="7">
        <v>0</v>
      </c>
      <c r="AA333" s="7">
        <v>0</v>
      </c>
      <c r="AB333" s="7">
        <v>0</v>
      </c>
      <c r="AC333" s="7">
        <v>0</v>
      </c>
      <c r="AD333" s="7">
        <v>0</v>
      </c>
      <c r="AE333" s="7">
        <v>0</v>
      </c>
      <c r="AF333" s="7">
        <v>0</v>
      </c>
      <c r="AG333" s="7">
        <v>0</v>
      </c>
      <c r="AH333" s="7">
        <v>0</v>
      </c>
      <c r="AI333" s="7">
        <v>0</v>
      </c>
      <c r="AJ333" s="7">
        <v>0</v>
      </c>
      <c r="AK333" s="7">
        <v>0</v>
      </c>
      <c r="AL333" s="7">
        <v>0</v>
      </c>
      <c r="AM333" s="7">
        <v>0</v>
      </c>
      <c r="AN333" s="7">
        <v>0</v>
      </c>
      <c r="AO333" s="7">
        <v>0</v>
      </c>
      <c r="AP333" s="7">
        <v>0</v>
      </c>
      <c r="AQ333" s="7">
        <v>0</v>
      </c>
      <c r="AR333" s="7">
        <v>0</v>
      </c>
      <c r="AS333" s="7">
        <v>0</v>
      </c>
      <c r="AT333" s="7">
        <v>0</v>
      </c>
      <c r="AU333" s="7">
        <v>0</v>
      </c>
      <c r="AV333" s="7">
        <v>0</v>
      </c>
      <c r="AW333" s="7">
        <v>0</v>
      </c>
      <c r="AX333" s="7">
        <v>0</v>
      </c>
      <c r="AY333" s="7">
        <v>0</v>
      </c>
      <c r="AZ333" s="7">
        <v>0</v>
      </c>
      <c r="BA333" s="7">
        <v>0</v>
      </c>
      <c r="BB333" s="7">
        <v>0</v>
      </c>
      <c r="BC333" s="7">
        <v>0</v>
      </c>
      <c r="BD333">
        <v>0</v>
      </c>
      <c r="BE333">
        <v>28.87</v>
      </c>
      <c r="BF3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3" s="42" t="str">
        <f>+IF(AVANCE[[#This Row],[FECHA INICIO REAL]]="","",AVANCE[[#This Row],[FECHA INICIO REAL]]-AVANCE[[#This Row],[FECHA INICIO TEORICO]])</f>
        <v/>
      </c>
      <c r="BH3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4" spans="1:61" x14ac:dyDescent="0.25">
      <c r="A334" t="s">
        <v>1154</v>
      </c>
      <c r="B334" t="s">
        <v>1167</v>
      </c>
      <c r="C334">
        <v>2282600333</v>
      </c>
      <c r="D334" t="s">
        <v>833</v>
      </c>
      <c r="E334" s="4">
        <v>0</v>
      </c>
      <c r="F334" s="1">
        <v>46308</v>
      </c>
      <c r="G334" s="1"/>
      <c r="H334" s="1">
        <v>0</v>
      </c>
      <c r="I334" s="1">
        <v>46328</v>
      </c>
      <c r="J334">
        <v>46188</v>
      </c>
      <c r="K334" s="1"/>
      <c r="L334" s="7">
        <v>0</v>
      </c>
      <c r="M334" s="7">
        <v>0</v>
      </c>
      <c r="N334" s="7">
        <v>0</v>
      </c>
      <c r="O334" s="7">
        <v>0</v>
      </c>
      <c r="P334" s="7">
        <v>0</v>
      </c>
      <c r="Q334" s="7">
        <v>0</v>
      </c>
      <c r="R334" s="7">
        <v>0</v>
      </c>
      <c r="S334" s="7">
        <v>0</v>
      </c>
      <c r="T334" s="7">
        <v>0</v>
      </c>
      <c r="U334" s="7">
        <v>0</v>
      </c>
      <c r="V334" s="7">
        <v>0</v>
      </c>
      <c r="W334" s="7">
        <v>0</v>
      </c>
      <c r="X334" s="7">
        <v>0</v>
      </c>
      <c r="Y334" s="7">
        <v>0</v>
      </c>
      <c r="Z334" s="7">
        <v>0</v>
      </c>
      <c r="AA334" s="7">
        <v>0</v>
      </c>
      <c r="AB334" s="7">
        <v>0</v>
      </c>
      <c r="AC334" s="7">
        <v>0</v>
      </c>
      <c r="AD334" s="7">
        <v>0</v>
      </c>
      <c r="AE334" s="7">
        <v>0</v>
      </c>
      <c r="AF334" s="7">
        <v>0</v>
      </c>
      <c r="AG334" s="7">
        <v>0</v>
      </c>
      <c r="AH334" s="7">
        <v>0</v>
      </c>
      <c r="AI334" s="7">
        <v>0</v>
      </c>
      <c r="AJ334" s="7">
        <v>0</v>
      </c>
      <c r="AK334" s="7">
        <v>0</v>
      </c>
      <c r="AL334" s="7">
        <v>0</v>
      </c>
      <c r="AM334" s="7">
        <v>0</v>
      </c>
      <c r="AN334" s="7">
        <v>0</v>
      </c>
      <c r="AO334" s="7">
        <v>0</v>
      </c>
      <c r="AP334" s="7">
        <v>0</v>
      </c>
      <c r="AQ334" s="7">
        <v>0</v>
      </c>
      <c r="AR334" s="7">
        <v>0</v>
      </c>
      <c r="AS334" s="7">
        <v>0</v>
      </c>
      <c r="AT334" s="7">
        <v>0</v>
      </c>
      <c r="AU334" s="7">
        <v>0</v>
      </c>
      <c r="AV334" s="7">
        <v>0</v>
      </c>
      <c r="AW334" s="7">
        <v>0</v>
      </c>
      <c r="AX334" s="7">
        <v>0</v>
      </c>
      <c r="AY334" s="7">
        <v>0</v>
      </c>
      <c r="AZ334" s="7">
        <v>0</v>
      </c>
      <c r="BA334" s="7">
        <v>0</v>
      </c>
      <c r="BB334" s="7">
        <v>0</v>
      </c>
      <c r="BC334" s="7">
        <v>0</v>
      </c>
      <c r="BD334">
        <v>0</v>
      </c>
      <c r="BE334">
        <v>28.87</v>
      </c>
      <c r="BF3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4" s="42" t="str">
        <f>+IF(AVANCE[[#This Row],[FECHA INICIO REAL]]="","",AVANCE[[#This Row],[FECHA INICIO REAL]]-AVANCE[[#This Row],[FECHA INICIO TEORICO]])</f>
        <v/>
      </c>
      <c r="BH3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5" spans="1:61" x14ac:dyDescent="0.25">
      <c r="A335" t="s">
        <v>1154</v>
      </c>
      <c r="B335" t="s">
        <v>1168</v>
      </c>
      <c r="C335">
        <v>2302600334</v>
      </c>
      <c r="D335" t="s">
        <v>834</v>
      </c>
      <c r="E335" s="4">
        <v>0</v>
      </c>
      <c r="F335" s="1">
        <v>46308</v>
      </c>
      <c r="G335" s="1"/>
      <c r="H335" s="1">
        <v>0</v>
      </c>
      <c r="I335" s="1">
        <v>46338</v>
      </c>
      <c r="J335">
        <v>46188</v>
      </c>
      <c r="K335" s="1"/>
      <c r="L335" s="7">
        <v>0</v>
      </c>
      <c r="M335" s="7">
        <v>0</v>
      </c>
      <c r="N335" s="7">
        <v>0</v>
      </c>
      <c r="O335" s="7">
        <v>0</v>
      </c>
      <c r="P335" s="7">
        <v>0</v>
      </c>
      <c r="Q335" s="7">
        <v>0</v>
      </c>
      <c r="R335" s="7">
        <v>0</v>
      </c>
      <c r="S335" s="7">
        <v>0</v>
      </c>
      <c r="T335" s="7">
        <v>0</v>
      </c>
      <c r="U335" s="7">
        <v>0</v>
      </c>
      <c r="V335" s="7">
        <v>0</v>
      </c>
      <c r="W335" s="7">
        <v>0</v>
      </c>
      <c r="X335" s="7">
        <v>0</v>
      </c>
      <c r="Y335" s="7">
        <v>0</v>
      </c>
      <c r="Z335" s="7">
        <v>0</v>
      </c>
      <c r="AA335" s="7">
        <v>0</v>
      </c>
      <c r="AB335" s="7">
        <v>0</v>
      </c>
      <c r="AC335" s="7">
        <v>0</v>
      </c>
      <c r="AD335" s="7">
        <v>0</v>
      </c>
      <c r="AE335" s="7">
        <v>0</v>
      </c>
      <c r="AF335" s="7">
        <v>0</v>
      </c>
      <c r="AG335" s="7">
        <v>0</v>
      </c>
      <c r="AH335" s="7">
        <v>0</v>
      </c>
      <c r="AI335" s="7">
        <v>0</v>
      </c>
      <c r="AJ335" s="7">
        <v>0</v>
      </c>
      <c r="AK335" s="7">
        <v>0</v>
      </c>
      <c r="AL335" s="7">
        <v>0</v>
      </c>
      <c r="AM335" s="7">
        <v>0</v>
      </c>
      <c r="AN335" s="7">
        <v>0</v>
      </c>
      <c r="AO335" s="7">
        <v>0</v>
      </c>
      <c r="AP335" s="7">
        <v>0</v>
      </c>
      <c r="AQ335" s="7">
        <v>0</v>
      </c>
      <c r="AR335" s="7">
        <v>0</v>
      </c>
      <c r="AS335" s="7">
        <v>0</v>
      </c>
      <c r="AT335" s="7">
        <v>0</v>
      </c>
      <c r="AU335" s="7">
        <v>0</v>
      </c>
      <c r="AV335" s="7">
        <v>0</v>
      </c>
      <c r="AW335" s="7">
        <v>0</v>
      </c>
      <c r="AX335" s="7">
        <v>0</v>
      </c>
      <c r="AY335" s="7">
        <v>0</v>
      </c>
      <c r="AZ335" s="7">
        <v>0</v>
      </c>
      <c r="BA335" s="7">
        <v>0</v>
      </c>
      <c r="BB335" s="7">
        <v>0</v>
      </c>
      <c r="BC335" s="7">
        <v>0</v>
      </c>
      <c r="BD335">
        <v>0</v>
      </c>
      <c r="BE335">
        <v>31.32</v>
      </c>
      <c r="BF3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5" s="42" t="str">
        <f>+IF(AVANCE[[#This Row],[FECHA INICIO REAL]]="","",AVANCE[[#This Row],[FECHA INICIO REAL]]-AVANCE[[#This Row],[FECHA INICIO TEORICO]])</f>
        <v/>
      </c>
      <c r="BH3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6" spans="1:61" x14ac:dyDescent="0.25">
      <c r="A336" t="s">
        <v>1154</v>
      </c>
      <c r="B336" t="s">
        <v>1169</v>
      </c>
      <c r="C336">
        <v>2302600335</v>
      </c>
      <c r="D336" t="s">
        <v>834</v>
      </c>
      <c r="E336" s="4">
        <v>0</v>
      </c>
      <c r="F336" s="1">
        <v>46309</v>
      </c>
      <c r="G336" s="1"/>
      <c r="H336" s="1">
        <v>0</v>
      </c>
      <c r="I336" s="1">
        <v>46339</v>
      </c>
      <c r="J336">
        <v>46188</v>
      </c>
      <c r="K336" s="1"/>
      <c r="L336" s="7">
        <v>0</v>
      </c>
      <c r="M336" s="7">
        <v>0</v>
      </c>
      <c r="N336" s="7">
        <v>0</v>
      </c>
      <c r="O336" s="7">
        <v>0</v>
      </c>
      <c r="P336" s="7">
        <v>0</v>
      </c>
      <c r="Q336" s="7">
        <v>0</v>
      </c>
      <c r="R336" s="7">
        <v>0</v>
      </c>
      <c r="S336" s="7">
        <v>0</v>
      </c>
      <c r="T336" s="7">
        <v>0</v>
      </c>
      <c r="U336" s="7">
        <v>0</v>
      </c>
      <c r="V336" s="7">
        <v>0</v>
      </c>
      <c r="W336" s="7">
        <v>0</v>
      </c>
      <c r="X336" s="7">
        <v>0</v>
      </c>
      <c r="Y336" s="7">
        <v>0</v>
      </c>
      <c r="Z336" s="7">
        <v>0</v>
      </c>
      <c r="AA336" s="7">
        <v>0</v>
      </c>
      <c r="AB336" s="7">
        <v>0</v>
      </c>
      <c r="AC336" s="7">
        <v>0</v>
      </c>
      <c r="AD336" s="7">
        <v>0</v>
      </c>
      <c r="AE336" s="7">
        <v>0</v>
      </c>
      <c r="AF336" s="7">
        <v>0</v>
      </c>
      <c r="AG336" s="7">
        <v>0</v>
      </c>
      <c r="AH336" s="7">
        <v>0</v>
      </c>
      <c r="AI336" s="7">
        <v>0</v>
      </c>
      <c r="AJ336" s="7">
        <v>0</v>
      </c>
      <c r="AK336" s="7">
        <v>0</v>
      </c>
      <c r="AL336" s="7">
        <v>0</v>
      </c>
      <c r="AM336" s="7">
        <v>0</v>
      </c>
      <c r="AN336" s="7">
        <v>0</v>
      </c>
      <c r="AO336" s="7">
        <v>0</v>
      </c>
      <c r="AP336" s="7">
        <v>0</v>
      </c>
      <c r="AQ336" s="7">
        <v>0</v>
      </c>
      <c r="AR336" s="7">
        <v>0</v>
      </c>
      <c r="AS336" s="7">
        <v>0</v>
      </c>
      <c r="AT336" s="7">
        <v>0</v>
      </c>
      <c r="AU336" s="7">
        <v>0</v>
      </c>
      <c r="AV336" s="7">
        <v>0</v>
      </c>
      <c r="AW336" s="7">
        <v>0</v>
      </c>
      <c r="AX336" s="7">
        <v>0</v>
      </c>
      <c r="AY336" s="7">
        <v>0</v>
      </c>
      <c r="AZ336" s="7">
        <v>0</v>
      </c>
      <c r="BA336" s="7">
        <v>0</v>
      </c>
      <c r="BB336" s="7">
        <v>0</v>
      </c>
      <c r="BC336" s="7">
        <v>0</v>
      </c>
      <c r="BD336">
        <v>0</v>
      </c>
      <c r="BE336">
        <v>31.32</v>
      </c>
      <c r="BF3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6" s="42" t="str">
        <f>+IF(AVANCE[[#This Row],[FECHA INICIO REAL]]="","",AVANCE[[#This Row],[FECHA INICIO REAL]]-AVANCE[[#This Row],[FECHA INICIO TEORICO]])</f>
        <v/>
      </c>
      <c r="BH3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7" spans="1:61" x14ac:dyDescent="0.25">
      <c r="A337" t="s">
        <v>1154</v>
      </c>
      <c r="B337" t="s">
        <v>1170</v>
      </c>
      <c r="C337">
        <v>2282600336</v>
      </c>
      <c r="D337" t="s">
        <v>833</v>
      </c>
      <c r="E337" s="4">
        <v>0</v>
      </c>
      <c r="F337" s="1">
        <v>46309</v>
      </c>
      <c r="G337" s="1"/>
      <c r="H337" s="1">
        <v>0</v>
      </c>
      <c r="I337" s="1">
        <v>46329</v>
      </c>
      <c r="J337">
        <v>46188</v>
      </c>
      <c r="K337" s="1"/>
      <c r="L337" s="7">
        <v>0</v>
      </c>
      <c r="M337" s="7">
        <v>0</v>
      </c>
      <c r="N337" s="7">
        <v>0</v>
      </c>
      <c r="O337" s="7">
        <v>0</v>
      </c>
      <c r="P337" s="7">
        <v>0</v>
      </c>
      <c r="Q337" s="7">
        <v>0</v>
      </c>
      <c r="R337" s="7">
        <v>0</v>
      </c>
      <c r="S337" s="7">
        <v>0</v>
      </c>
      <c r="T337" s="7">
        <v>0</v>
      </c>
      <c r="U337" s="7">
        <v>0</v>
      </c>
      <c r="V337" s="7">
        <v>0</v>
      </c>
      <c r="W337" s="7">
        <v>0</v>
      </c>
      <c r="X337" s="7">
        <v>0</v>
      </c>
      <c r="Y337" s="7">
        <v>0</v>
      </c>
      <c r="Z337" s="7">
        <v>0</v>
      </c>
      <c r="AA337" s="7">
        <v>0</v>
      </c>
      <c r="AB337" s="7">
        <v>0</v>
      </c>
      <c r="AC337" s="7">
        <v>0</v>
      </c>
      <c r="AD337" s="7">
        <v>0</v>
      </c>
      <c r="AE337" s="7">
        <v>0</v>
      </c>
      <c r="AF337" s="7">
        <v>0</v>
      </c>
      <c r="AG337" s="7">
        <v>0</v>
      </c>
      <c r="AH337" s="7">
        <v>0</v>
      </c>
      <c r="AI337" s="7">
        <v>0</v>
      </c>
      <c r="AJ337" s="7">
        <v>0</v>
      </c>
      <c r="AK337" s="7">
        <v>0</v>
      </c>
      <c r="AL337" s="7">
        <v>0</v>
      </c>
      <c r="AM337" s="7">
        <v>0</v>
      </c>
      <c r="AN337" s="7">
        <v>0</v>
      </c>
      <c r="AO337" s="7">
        <v>0</v>
      </c>
      <c r="AP337" s="7">
        <v>0</v>
      </c>
      <c r="AQ337" s="7">
        <v>0</v>
      </c>
      <c r="AR337" s="7">
        <v>0</v>
      </c>
      <c r="AS337" s="7">
        <v>0</v>
      </c>
      <c r="AT337" s="7">
        <v>0</v>
      </c>
      <c r="AU337" s="7">
        <v>0</v>
      </c>
      <c r="AV337" s="7">
        <v>0</v>
      </c>
      <c r="AW337" s="7">
        <v>0</v>
      </c>
      <c r="AX337" s="7">
        <v>0</v>
      </c>
      <c r="AY337" s="7">
        <v>0</v>
      </c>
      <c r="AZ337" s="7">
        <v>0</v>
      </c>
      <c r="BA337" s="7">
        <v>0</v>
      </c>
      <c r="BB337" s="7">
        <v>0</v>
      </c>
      <c r="BC337" s="7">
        <v>0</v>
      </c>
      <c r="BD337">
        <v>0</v>
      </c>
      <c r="BE337">
        <v>28.87</v>
      </c>
      <c r="BF3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7" s="42" t="str">
        <f>+IF(AVANCE[[#This Row],[FECHA INICIO REAL]]="","",AVANCE[[#This Row],[FECHA INICIO REAL]]-AVANCE[[#This Row],[FECHA INICIO TEORICO]])</f>
        <v/>
      </c>
      <c r="BH3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8" spans="1:61" x14ac:dyDescent="0.25">
      <c r="A338" t="s">
        <v>1154</v>
      </c>
      <c r="B338" t="s">
        <v>1171</v>
      </c>
      <c r="C338">
        <v>2282600337</v>
      </c>
      <c r="D338" t="s">
        <v>833</v>
      </c>
      <c r="E338" s="4">
        <v>0</v>
      </c>
      <c r="F338" s="1">
        <v>46309</v>
      </c>
      <c r="G338" s="1"/>
      <c r="H338" s="1">
        <v>0</v>
      </c>
      <c r="I338" s="1">
        <v>46329</v>
      </c>
      <c r="J338">
        <v>46188</v>
      </c>
      <c r="K338" s="1"/>
      <c r="L338" s="7">
        <v>0</v>
      </c>
      <c r="M338" s="7">
        <v>0</v>
      </c>
      <c r="N338" s="7">
        <v>0</v>
      </c>
      <c r="O338" s="7">
        <v>0</v>
      </c>
      <c r="P338" s="7">
        <v>0</v>
      </c>
      <c r="Q338" s="7">
        <v>0</v>
      </c>
      <c r="R338" s="7">
        <v>0</v>
      </c>
      <c r="S338" s="7">
        <v>0</v>
      </c>
      <c r="T338" s="7">
        <v>0</v>
      </c>
      <c r="U338" s="7">
        <v>0</v>
      </c>
      <c r="V338" s="7">
        <v>0</v>
      </c>
      <c r="W338" s="7">
        <v>0</v>
      </c>
      <c r="X338" s="7">
        <v>0</v>
      </c>
      <c r="Y338" s="7">
        <v>0</v>
      </c>
      <c r="Z338" s="7">
        <v>0</v>
      </c>
      <c r="AA338" s="7">
        <v>0</v>
      </c>
      <c r="AB338" s="7">
        <v>0</v>
      </c>
      <c r="AC338" s="7">
        <v>0</v>
      </c>
      <c r="AD338" s="7">
        <v>0</v>
      </c>
      <c r="AE338" s="7">
        <v>0</v>
      </c>
      <c r="AF338" s="7">
        <v>0</v>
      </c>
      <c r="AG338" s="7">
        <v>0</v>
      </c>
      <c r="AH338" s="7">
        <v>0</v>
      </c>
      <c r="AI338" s="7">
        <v>0</v>
      </c>
      <c r="AJ338" s="7">
        <v>0</v>
      </c>
      <c r="AK338" s="7">
        <v>0</v>
      </c>
      <c r="AL338" s="7">
        <v>0</v>
      </c>
      <c r="AM338" s="7">
        <v>0</v>
      </c>
      <c r="AN338" s="7">
        <v>0</v>
      </c>
      <c r="AO338" s="7">
        <v>0</v>
      </c>
      <c r="AP338" s="7">
        <v>0</v>
      </c>
      <c r="AQ338" s="7">
        <v>0</v>
      </c>
      <c r="AR338" s="7">
        <v>0</v>
      </c>
      <c r="AS338" s="7">
        <v>0</v>
      </c>
      <c r="AT338" s="7">
        <v>0</v>
      </c>
      <c r="AU338" s="7">
        <v>0</v>
      </c>
      <c r="AV338" s="7">
        <v>0</v>
      </c>
      <c r="AW338" s="7">
        <v>0</v>
      </c>
      <c r="AX338" s="7">
        <v>0</v>
      </c>
      <c r="AY338" s="7">
        <v>0</v>
      </c>
      <c r="AZ338" s="7">
        <v>0</v>
      </c>
      <c r="BA338" s="7">
        <v>0</v>
      </c>
      <c r="BB338" s="7">
        <v>0</v>
      </c>
      <c r="BC338" s="7">
        <v>0</v>
      </c>
      <c r="BD338">
        <v>0</v>
      </c>
      <c r="BE338">
        <v>28.87</v>
      </c>
      <c r="BF3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8" s="42" t="str">
        <f>+IF(AVANCE[[#This Row],[FECHA INICIO REAL]]="","",AVANCE[[#This Row],[FECHA INICIO REAL]]-AVANCE[[#This Row],[FECHA INICIO TEORICO]])</f>
        <v/>
      </c>
      <c r="BH3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9" spans="1:61" x14ac:dyDescent="0.25">
      <c r="A339" t="s">
        <v>1154</v>
      </c>
      <c r="B339" t="s">
        <v>1172</v>
      </c>
      <c r="C339">
        <v>2302600338</v>
      </c>
      <c r="D339" t="s">
        <v>834</v>
      </c>
      <c r="E339" s="4">
        <v>0</v>
      </c>
      <c r="F339" s="1">
        <v>46310</v>
      </c>
      <c r="G339" s="1"/>
      <c r="H339" s="1">
        <v>0</v>
      </c>
      <c r="I339" s="1">
        <v>46340</v>
      </c>
      <c r="J339">
        <v>46188</v>
      </c>
      <c r="K339" s="1"/>
      <c r="L339" s="7">
        <v>0</v>
      </c>
      <c r="M339" s="7">
        <v>0</v>
      </c>
      <c r="N339" s="7">
        <v>0</v>
      </c>
      <c r="O339" s="7">
        <v>0</v>
      </c>
      <c r="P339" s="7">
        <v>0</v>
      </c>
      <c r="Q339" s="7">
        <v>0</v>
      </c>
      <c r="R339" s="7">
        <v>0</v>
      </c>
      <c r="S339" s="7">
        <v>0</v>
      </c>
      <c r="T339" s="7">
        <v>0</v>
      </c>
      <c r="U339" s="7">
        <v>0</v>
      </c>
      <c r="V339" s="7">
        <v>0</v>
      </c>
      <c r="W339" s="7">
        <v>0</v>
      </c>
      <c r="X339" s="7">
        <v>0</v>
      </c>
      <c r="Y339" s="7">
        <v>0</v>
      </c>
      <c r="Z339" s="7">
        <v>0</v>
      </c>
      <c r="AA339" s="7">
        <v>0</v>
      </c>
      <c r="AB339" s="7">
        <v>0</v>
      </c>
      <c r="AC339" s="7">
        <v>0</v>
      </c>
      <c r="AD339" s="7">
        <v>0</v>
      </c>
      <c r="AE339" s="7">
        <v>0</v>
      </c>
      <c r="AF339" s="7">
        <v>0</v>
      </c>
      <c r="AG339" s="7">
        <v>0</v>
      </c>
      <c r="AH339" s="7">
        <v>0</v>
      </c>
      <c r="AI339" s="7">
        <v>0</v>
      </c>
      <c r="AJ339" s="7">
        <v>0</v>
      </c>
      <c r="AK339" s="7">
        <v>0</v>
      </c>
      <c r="AL339" s="7">
        <v>0</v>
      </c>
      <c r="AM339" s="7">
        <v>0</v>
      </c>
      <c r="AN339" s="7">
        <v>0</v>
      </c>
      <c r="AO339" s="7">
        <v>0</v>
      </c>
      <c r="AP339" s="7">
        <v>0</v>
      </c>
      <c r="AQ339" s="7">
        <v>0</v>
      </c>
      <c r="AR339" s="7">
        <v>0</v>
      </c>
      <c r="AS339" s="7">
        <v>0</v>
      </c>
      <c r="AT339" s="7">
        <v>0</v>
      </c>
      <c r="AU339" s="7">
        <v>0</v>
      </c>
      <c r="AV339" s="7">
        <v>0</v>
      </c>
      <c r="AW339" s="7">
        <v>0</v>
      </c>
      <c r="AX339" s="7">
        <v>0</v>
      </c>
      <c r="AY339" s="7">
        <v>0</v>
      </c>
      <c r="AZ339" s="7">
        <v>0</v>
      </c>
      <c r="BA339" s="7">
        <v>0</v>
      </c>
      <c r="BB339" s="7">
        <v>0</v>
      </c>
      <c r="BC339" s="7">
        <v>0</v>
      </c>
      <c r="BD339">
        <v>0</v>
      </c>
      <c r="BE339">
        <v>31.32</v>
      </c>
      <c r="BF3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9" s="42" t="str">
        <f>+IF(AVANCE[[#This Row],[FECHA INICIO REAL]]="","",AVANCE[[#This Row],[FECHA INICIO REAL]]-AVANCE[[#This Row],[FECHA INICIO TEORICO]])</f>
        <v/>
      </c>
      <c r="BH3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0" spans="1:61" x14ac:dyDescent="0.25">
      <c r="A340" t="s">
        <v>1154</v>
      </c>
      <c r="B340" t="s">
        <v>1173</v>
      </c>
      <c r="C340">
        <v>2302600339</v>
      </c>
      <c r="D340" t="s">
        <v>834</v>
      </c>
      <c r="E340" s="4">
        <v>0</v>
      </c>
      <c r="F340" s="1">
        <v>46310</v>
      </c>
      <c r="G340" s="1"/>
      <c r="H340" s="1">
        <v>0</v>
      </c>
      <c r="I340" s="1">
        <v>46340</v>
      </c>
      <c r="J340">
        <v>46188</v>
      </c>
      <c r="K340" s="1"/>
      <c r="L340" s="7">
        <v>0</v>
      </c>
      <c r="M340" s="7">
        <v>0</v>
      </c>
      <c r="N340" s="7">
        <v>0</v>
      </c>
      <c r="O340" s="7">
        <v>0</v>
      </c>
      <c r="P340" s="7">
        <v>0</v>
      </c>
      <c r="Q340" s="7">
        <v>0</v>
      </c>
      <c r="R340" s="7">
        <v>0</v>
      </c>
      <c r="S340" s="7">
        <v>0</v>
      </c>
      <c r="T340" s="7">
        <v>0</v>
      </c>
      <c r="U340" s="7">
        <v>0</v>
      </c>
      <c r="V340" s="7">
        <v>0</v>
      </c>
      <c r="W340" s="7">
        <v>0</v>
      </c>
      <c r="X340" s="7">
        <v>0</v>
      </c>
      <c r="Y340" s="7">
        <v>0</v>
      </c>
      <c r="Z340" s="7">
        <v>0</v>
      </c>
      <c r="AA340" s="7">
        <v>0</v>
      </c>
      <c r="AB340" s="7">
        <v>0</v>
      </c>
      <c r="AC340" s="7">
        <v>0</v>
      </c>
      <c r="AD340" s="7">
        <v>0</v>
      </c>
      <c r="AE340" s="7">
        <v>0</v>
      </c>
      <c r="AF340" s="7">
        <v>0</v>
      </c>
      <c r="AG340" s="7">
        <v>0</v>
      </c>
      <c r="AH340" s="7">
        <v>0</v>
      </c>
      <c r="AI340" s="7">
        <v>0</v>
      </c>
      <c r="AJ340" s="7">
        <v>0</v>
      </c>
      <c r="AK340" s="7">
        <v>0</v>
      </c>
      <c r="AL340" s="7">
        <v>0</v>
      </c>
      <c r="AM340" s="7">
        <v>0</v>
      </c>
      <c r="AN340" s="7">
        <v>0</v>
      </c>
      <c r="AO340" s="7">
        <v>0</v>
      </c>
      <c r="AP340" s="7">
        <v>0</v>
      </c>
      <c r="AQ340" s="7">
        <v>0</v>
      </c>
      <c r="AR340" s="7">
        <v>0</v>
      </c>
      <c r="AS340" s="7">
        <v>0</v>
      </c>
      <c r="AT340" s="7">
        <v>0</v>
      </c>
      <c r="AU340" s="7">
        <v>0</v>
      </c>
      <c r="AV340" s="7">
        <v>0</v>
      </c>
      <c r="AW340" s="7">
        <v>0</v>
      </c>
      <c r="AX340" s="7">
        <v>0</v>
      </c>
      <c r="AY340" s="7">
        <v>0</v>
      </c>
      <c r="AZ340" s="7">
        <v>0</v>
      </c>
      <c r="BA340" s="7">
        <v>0</v>
      </c>
      <c r="BB340" s="7">
        <v>0</v>
      </c>
      <c r="BC340" s="7">
        <v>0</v>
      </c>
      <c r="BD340">
        <v>0</v>
      </c>
      <c r="BE340">
        <v>31.32</v>
      </c>
      <c r="BF3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0" s="42" t="str">
        <f>+IF(AVANCE[[#This Row],[FECHA INICIO REAL]]="","",AVANCE[[#This Row],[FECHA INICIO REAL]]-AVANCE[[#This Row],[FECHA INICIO TEORICO]])</f>
        <v/>
      </c>
      <c r="BH3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1" spans="1:61" x14ac:dyDescent="0.25">
      <c r="A341" t="s">
        <v>1154</v>
      </c>
      <c r="B341" t="s">
        <v>1174</v>
      </c>
      <c r="C341">
        <v>2282600340</v>
      </c>
      <c r="D341" t="s">
        <v>833</v>
      </c>
      <c r="E341" s="4">
        <v>0</v>
      </c>
      <c r="F341" s="1">
        <v>46310</v>
      </c>
      <c r="G341" s="1"/>
      <c r="H341" s="1">
        <v>0</v>
      </c>
      <c r="I341" s="1">
        <v>46330</v>
      </c>
      <c r="J341">
        <v>46188</v>
      </c>
      <c r="K341" s="1"/>
      <c r="L341" s="7">
        <v>0</v>
      </c>
      <c r="M341" s="7">
        <v>0</v>
      </c>
      <c r="N341" s="7">
        <v>0</v>
      </c>
      <c r="O341" s="7">
        <v>0</v>
      </c>
      <c r="P341" s="7">
        <v>0</v>
      </c>
      <c r="Q341" s="7">
        <v>0</v>
      </c>
      <c r="R341" s="7">
        <v>0</v>
      </c>
      <c r="S341" s="7">
        <v>0</v>
      </c>
      <c r="T341" s="7">
        <v>0</v>
      </c>
      <c r="U341" s="7">
        <v>0</v>
      </c>
      <c r="V341" s="7">
        <v>0</v>
      </c>
      <c r="W341" s="7">
        <v>0</v>
      </c>
      <c r="X341" s="7">
        <v>0</v>
      </c>
      <c r="Y341" s="7">
        <v>0</v>
      </c>
      <c r="Z341" s="7">
        <v>0</v>
      </c>
      <c r="AA341" s="7">
        <v>0</v>
      </c>
      <c r="AB341" s="7">
        <v>0</v>
      </c>
      <c r="AC341" s="7">
        <v>0</v>
      </c>
      <c r="AD341" s="7">
        <v>0</v>
      </c>
      <c r="AE341" s="7">
        <v>0</v>
      </c>
      <c r="AF341" s="7">
        <v>0</v>
      </c>
      <c r="AG341" s="7">
        <v>0</v>
      </c>
      <c r="AH341" s="7">
        <v>0</v>
      </c>
      <c r="AI341" s="7">
        <v>0</v>
      </c>
      <c r="AJ341" s="7">
        <v>0</v>
      </c>
      <c r="AK341" s="7">
        <v>0</v>
      </c>
      <c r="AL341" s="7">
        <v>0</v>
      </c>
      <c r="AM341" s="7">
        <v>0</v>
      </c>
      <c r="AN341" s="7">
        <v>0</v>
      </c>
      <c r="AO341" s="7">
        <v>0</v>
      </c>
      <c r="AP341" s="7">
        <v>0</v>
      </c>
      <c r="AQ341" s="7">
        <v>0</v>
      </c>
      <c r="AR341" s="7">
        <v>0</v>
      </c>
      <c r="AS341" s="7">
        <v>0</v>
      </c>
      <c r="AT341" s="7">
        <v>0</v>
      </c>
      <c r="AU341" s="7">
        <v>0</v>
      </c>
      <c r="AV341" s="7">
        <v>0</v>
      </c>
      <c r="AW341" s="7">
        <v>0</v>
      </c>
      <c r="AX341" s="7">
        <v>0</v>
      </c>
      <c r="AY341" s="7">
        <v>0</v>
      </c>
      <c r="AZ341" s="7">
        <v>0</v>
      </c>
      <c r="BA341" s="7">
        <v>0</v>
      </c>
      <c r="BB341" s="7">
        <v>0</v>
      </c>
      <c r="BC341" s="7">
        <v>0</v>
      </c>
      <c r="BD341">
        <v>0</v>
      </c>
      <c r="BE341">
        <v>28.87</v>
      </c>
      <c r="BF3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1" s="42" t="str">
        <f>+IF(AVANCE[[#This Row],[FECHA INICIO REAL]]="","",AVANCE[[#This Row],[FECHA INICIO REAL]]-AVANCE[[#This Row],[FECHA INICIO TEORICO]])</f>
        <v/>
      </c>
      <c r="BH3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2" spans="1:61" x14ac:dyDescent="0.25">
      <c r="A342" t="s">
        <v>1154</v>
      </c>
      <c r="B342" t="s">
        <v>1175</v>
      </c>
      <c r="C342">
        <v>2282600341</v>
      </c>
      <c r="D342" t="s">
        <v>833</v>
      </c>
      <c r="E342" s="4">
        <v>0</v>
      </c>
      <c r="F342" s="1">
        <v>46311</v>
      </c>
      <c r="G342" s="1"/>
      <c r="H342" s="1">
        <v>0</v>
      </c>
      <c r="I342" s="1">
        <v>46331</v>
      </c>
      <c r="J342">
        <v>46188</v>
      </c>
      <c r="K342" s="1"/>
      <c r="L342" s="7">
        <v>0</v>
      </c>
      <c r="M342" s="7">
        <v>0</v>
      </c>
      <c r="N342" s="7">
        <v>0</v>
      </c>
      <c r="O342" s="7">
        <v>0</v>
      </c>
      <c r="P342" s="7">
        <v>0</v>
      </c>
      <c r="Q342" s="7">
        <v>0</v>
      </c>
      <c r="R342" s="7">
        <v>0</v>
      </c>
      <c r="S342" s="7">
        <v>0</v>
      </c>
      <c r="T342" s="7">
        <v>0</v>
      </c>
      <c r="U342" s="7">
        <v>0</v>
      </c>
      <c r="V342" s="7">
        <v>0</v>
      </c>
      <c r="W342" s="7">
        <v>0</v>
      </c>
      <c r="X342" s="7">
        <v>0</v>
      </c>
      <c r="Y342" s="7">
        <v>0</v>
      </c>
      <c r="Z342" s="7">
        <v>0</v>
      </c>
      <c r="AA342" s="7">
        <v>0</v>
      </c>
      <c r="AB342" s="7">
        <v>0</v>
      </c>
      <c r="AC342" s="7">
        <v>0</v>
      </c>
      <c r="AD342" s="7">
        <v>0</v>
      </c>
      <c r="AE342" s="7">
        <v>0</v>
      </c>
      <c r="AF342" s="7">
        <v>0</v>
      </c>
      <c r="AG342" s="7">
        <v>0</v>
      </c>
      <c r="AH342" s="7">
        <v>0</v>
      </c>
      <c r="AI342" s="7">
        <v>0</v>
      </c>
      <c r="AJ342" s="7">
        <v>0</v>
      </c>
      <c r="AK342" s="7">
        <v>0</v>
      </c>
      <c r="AL342" s="7">
        <v>0</v>
      </c>
      <c r="AM342" s="7">
        <v>0</v>
      </c>
      <c r="AN342" s="7">
        <v>0</v>
      </c>
      <c r="AO342" s="7">
        <v>0</v>
      </c>
      <c r="AP342" s="7">
        <v>0</v>
      </c>
      <c r="AQ342" s="7">
        <v>0</v>
      </c>
      <c r="AR342" s="7">
        <v>0</v>
      </c>
      <c r="AS342" s="7">
        <v>0</v>
      </c>
      <c r="AT342" s="7">
        <v>0</v>
      </c>
      <c r="AU342" s="7">
        <v>0</v>
      </c>
      <c r="AV342" s="7">
        <v>0</v>
      </c>
      <c r="AW342" s="7">
        <v>0</v>
      </c>
      <c r="AX342" s="7">
        <v>0</v>
      </c>
      <c r="AY342" s="7">
        <v>0</v>
      </c>
      <c r="AZ342" s="7">
        <v>0</v>
      </c>
      <c r="BA342" s="7">
        <v>0</v>
      </c>
      <c r="BB342" s="7">
        <v>0</v>
      </c>
      <c r="BC342" s="7">
        <v>0</v>
      </c>
      <c r="BD342">
        <v>0</v>
      </c>
      <c r="BE342">
        <v>28.87</v>
      </c>
      <c r="BF3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2" s="42" t="str">
        <f>+IF(AVANCE[[#This Row],[FECHA INICIO REAL]]="","",AVANCE[[#This Row],[FECHA INICIO REAL]]-AVANCE[[#This Row],[FECHA INICIO TEORICO]])</f>
        <v/>
      </c>
      <c r="BH3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3" spans="1:61" x14ac:dyDescent="0.25">
      <c r="A343" t="s">
        <v>1154</v>
      </c>
      <c r="B343" t="s">
        <v>1176</v>
      </c>
      <c r="C343">
        <v>2302600342</v>
      </c>
      <c r="D343" t="s">
        <v>834</v>
      </c>
      <c r="E343" s="4">
        <v>0</v>
      </c>
      <c r="F343" s="1">
        <v>46311</v>
      </c>
      <c r="G343" s="1"/>
      <c r="H343" s="1">
        <v>0</v>
      </c>
      <c r="I343" s="1">
        <v>46341</v>
      </c>
      <c r="J343">
        <v>46188</v>
      </c>
      <c r="K343" s="1"/>
      <c r="L343" s="7">
        <v>0</v>
      </c>
      <c r="M343" s="7">
        <v>0</v>
      </c>
      <c r="N343" s="7">
        <v>0</v>
      </c>
      <c r="O343" s="7">
        <v>0</v>
      </c>
      <c r="P343" s="7">
        <v>0</v>
      </c>
      <c r="Q343" s="7">
        <v>0</v>
      </c>
      <c r="R343" s="7">
        <v>0</v>
      </c>
      <c r="S343" s="7">
        <v>0</v>
      </c>
      <c r="T343" s="7">
        <v>0</v>
      </c>
      <c r="U343" s="7">
        <v>0</v>
      </c>
      <c r="V343" s="7">
        <v>0</v>
      </c>
      <c r="W343" s="7">
        <v>0</v>
      </c>
      <c r="X343" s="7">
        <v>0</v>
      </c>
      <c r="Y343" s="7">
        <v>0</v>
      </c>
      <c r="Z343" s="7">
        <v>0</v>
      </c>
      <c r="AA343" s="7">
        <v>0</v>
      </c>
      <c r="AB343" s="7">
        <v>0</v>
      </c>
      <c r="AC343" s="7">
        <v>0</v>
      </c>
      <c r="AD343" s="7">
        <v>0</v>
      </c>
      <c r="AE343" s="7">
        <v>0</v>
      </c>
      <c r="AF343" s="7">
        <v>0</v>
      </c>
      <c r="AG343" s="7">
        <v>0</v>
      </c>
      <c r="AH343" s="7">
        <v>0</v>
      </c>
      <c r="AI343" s="7">
        <v>0</v>
      </c>
      <c r="AJ343" s="7">
        <v>0</v>
      </c>
      <c r="AK343" s="7">
        <v>0</v>
      </c>
      <c r="AL343" s="7">
        <v>0</v>
      </c>
      <c r="AM343" s="7">
        <v>0</v>
      </c>
      <c r="AN343" s="7">
        <v>0</v>
      </c>
      <c r="AO343" s="7">
        <v>0</v>
      </c>
      <c r="AP343" s="7">
        <v>0</v>
      </c>
      <c r="AQ343" s="7">
        <v>0</v>
      </c>
      <c r="AR343" s="7">
        <v>0</v>
      </c>
      <c r="AS343" s="7">
        <v>0</v>
      </c>
      <c r="AT343" s="7">
        <v>0</v>
      </c>
      <c r="AU343" s="7">
        <v>0</v>
      </c>
      <c r="AV343" s="7">
        <v>0</v>
      </c>
      <c r="AW343" s="7">
        <v>0</v>
      </c>
      <c r="AX343" s="7">
        <v>0</v>
      </c>
      <c r="AY343" s="7">
        <v>0</v>
      </c>
      <c r="AZ343" s="7">
        <v>0</v>
      </c>
      <c r="BA343" s="7">
        <v>0</v>
      </c>
      <c r="BB343" s="7">
        <v>0</v>
      </c>
      <c r="BC343" s="7">
        <v>0</v>
      </c>
      <c r="BD343">
        <v>0</v>
      </c>
      <c r="BE343">
        <v>31.32</v>
      </c>
      <c r="BF3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3" s="42" t="str">
        <f>+IF(AVANCE[[#This Row],[FECHA INICIO REAL]]="","",AVANCE[[#This Row],[FECHA INICIO REAL]]-AVANCE[[#This Row],[FECHA INICIO TEORICO]])</f>
        <v/>
      </c>
      <c r="BH3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4" spans="1:61" x14ac:dyDescent="0.25">
      <c r="A344" t="s">
        <v>1154</v>
      </c>
      <c r="B344" t="s">
        <v>1177</v>
      </c>
      <c r="C344">
        <v>2302600343</v>
      </c>
      <c r="D344" t="s">
        <v>834</v>
      </c>
      <c r="E344" s="4">
        <v>0</v>
      </c>
      <c r="F344" s="1">
        <v>46311</v>
      </c>
      <c r="G344" s="1"/>
      <c r="H344" s="1">
        <v>0</v>
      </c>
      <c r="I344" s="1">
        <v>46341</v>
      </c>
      <c r="J344">
        <v>46188</v>
      </c>
      <c r="K344" s="1"/>
      <c r="L344" s="7">
        <v>0</v>
      </c>
      <c r="M344" s="7">
        <v>0</v>
      </c>
      <c r="N344" s="7">
        <v>0</v>
      </c>
      <c r="O344" s="7">
        <v>0</v>
      </c>
      <c r="P344" s="7">
        <v>0</v>
      </c>
      <c r="Q344" s="7">
        <v>0</v>
      </c>
      <c r="R344" s="7">
        <v>0</v>
      </c>
      <c r="S344" s="7">
        <v>0</v>
      </c>
      <c r="T344" s="7">
        <v>0</v>
      </c>
      <c r="U344" s="7">
        <v>0</v>
      </c>
      <c r="V344" s="7">
        <v>0</v>
      </c>
      <c r="W344" s="7">
        <v>0</v>
      </c>
      <c r="X344" s="7">
        <v>0</v>
      </c>
      <c r="Y344" s="7">
        <v>0</v>
      </c>
      <c r="Z344" s="7">
        <v>0</v>
      </c>
      <c r="AA344" s="7">
        <v>0</v>
      </c>
      <c r="AB344" s="7">
        <v>0</v>
      </c>
      <c r="AC344" s="7">
        <v>0</v>
      </c>
      <c r="AD344" s="7">
        <v>0</v>
      </c>
      <c r="AE344" s="7">
        <v>0</v>
      </c>
      <c r="AF344" s="7">
        <v>0</v>
      </c>
      <c r="AG344" s="7">
        <v>0</v>
      </c>
      <c r="AH344" s="7">
        <v>0</v>
      </c>
      <c r="AI344" s="7">
        <v>0</v>
      </c>
      <c r="AJ344" s="7">
        <v>0</v>
      </c>
      <c r="AK344" s="7">
        <v>0</v>
      </c>
      <c r="AL344" s="7">
        <v>0</v>
      </c>
      <c r="AM344" s="7">
        <v>0</v>
      </c>
      <c r="AN344" s="7">
        <v>0</v>
      </c>
      <c r="AO344" s="7">
        <v>0</v>
      </c>
      <c r="AP344" s="7">
        <v>0</v>
      </c>
      <c r="AQ344" s="7">
        <v>0</v>
      </c>
      <c r="AR344" s="7">
        <v>0</v>
      </c>
      <c r="AS344" s="7">
        <v>0</v>
      </c>
      <c r="AT344" s="7">
        <v>0</v>
      </c>
      <c r="AU344" s="7">
        <v>0</v>
      </c>
      <c r="AV344" s="7">
        <v>0</v>
      </c>
      <c r="AW344" s="7">
        <v>0</v>
      </c>
      <c r="AX344" s="7">
        <v>0</v>
      </c>
      <c r="AY344" s="7">
        <v>0</v>
      </c>
      <c r="AZ344" s="7">
        <v>0</v>
      </c>
      <c r="BA344" s="7">
        <v>0</v>
      </c>
      <c r="BB344" s="7">
        <v>0</v>
      </c>
      <c r="BC344" s="7">
        <v>0</v>
      </c>
      <c r="BD344">
        <v>0</v>
      </c>
      <c r="BE344">
        <v>31.32</v>
      </c>
      <c r="BF3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4" s="42" t="str">
        <f>+IF(AVANCE[[#This Row],[FECHA INICIO REAL]]="","",AVANCE[[#This Row],[FECHA INICIO REAL]]-AVANCE[[#This Row],[FECHA INICIO TEORICO]])</f>
        <v/>
      </c>
      <c r="BH3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5" spans="1:61" x14ac:dyDescent="0.25">
      <c r="A345" t="s">
        <v>1154</v>
      </c>
      <c r="B345" t="s">
        <v>1178</v>
      </c>
      <c r="C345">
        <v>2282600344</v>
      </c>
      <c r="D345" t="s">
        <v>833</v>
      </c>
      <c r="E345" s="4">
        <v>0</v>
      </c>
      <c r="F345" s="1">
        <v>46314</v>
      </c>
      <c r="G345" s="1"/>
      <c r="H345" s="1">
        <v>0</v>
      </c>
      <c r="I345" s="1">
        <v>46334</v>
      </c>
      <c r="J345">
        <v>46188</v>
      </c>
      <c r="K345" s="1"/>
      <c r="L345" s="7">
        <v>0</v>
      </c>
      <c r="M345" s="7">
        <v>0</v>
      </c>
      <c r="N345" s="7">
        <v>0</v>
      </c>
      <c r="O345" s="7">
        <v>0</v>
      </c>
      <c r="P345" s="7">
        <v>0</v>
      </c>
      <c r="Q345" s="7">
        <v>0</v>
      </c>
      <c r="R345" s="7">
        <v>0</v>
      </c>
      <c r="S345" s="7">
        <v>0</v>
      </c>
      <c r="T345" s="7">
        <v>0</v>
      </c>
      <c r="U345" s="7">
        <v>0</v>
      </c>
      <c r="V345" s="7">
        <v>0</v>
      </c>
      <c r="W345" s="7">
        <v>0</v>
      </c>
      <c r="X345" s="7">
        <v>0</v>
      </c>
      <c r="Y345" s="7">
        <v>0</v>
      </c>
      <c r="Z345" s="7">
        <v>0</v>
      </c>
      <c r="AA345" s="7">
        <v>0</v>
      </c>
      <c r="AB345" s="7">
        <v>0</v>
      </c>
      <c r="AC345" s="7">
        <v>0</v>
      </c>
      <c r="AD345" s="7">
        <v>0</v>
      </c>
      <c r="AE345" s="7">
        <v>0</v>
      </c>
      <c r="AF345" s="7">
        <v>0</v>
      </c>
      <c r="AG345" s="7">
        <v>0</v>
      </c>
      <c r="AH345" s="7">
        <v>0</v>
      </c>
      <c r="AI345" s="7">
        <v>0</v>
      </c>
      <c r="AJ345" s="7">
        <v>0</v>
      </c>
      <c r="AK345" s="7">
        <v>0</v>
      </c>
      <c r="AL345" s="7">
        <v>0</v>
      </c>
      <c r="AM345" s="7">
        <v>0</v>
      </c>
      <c r="AN345" s="7">
        <v>0</v>
      </c>
      <c r="AO345" s="7">
        <v>0</v>
      </c>
      <c r="AP345" s="7">
        <v>0</v>
      </c>
      <c r="AQ345" s="7">
        <v>0</v>
      </c>
      <c r="AR345" s="7">
        <v>0</v>
      </c>
      <c r="AS345" s="7">
        <v>0</v>
      </c>
      <c r="AT345" s="7">
        <v>0</v>
      </c>
      <c r="AU345" s="7">
        <v>0</v>
      </c>
      <c r="AV345" s="7">
        <v>0</v>
      </c>
      <c r="AW345" s="7">
        <v>0</v>
      </c>
      <c r="AX345" s="7">
        <v>0</v>
      </c>
      <c r="AY345" s="7">
        <v>0</v>
      </c>
      <c r="AZ345" s="7">
        <v>0</v>
      </c>
      <c r="BA345" s="7">
        <v>0</v>
      </c>
      <c r="BB345" s="7">
        <v>0</v>
      </c>
      <c r="BC345" s="7">
        <v>0</v>
      </c>
      <c r="BD345">
        <v>0</v>
      </c>
      <c r="BE345">
        <v>28.87</v>
      </c>
      <c r="BF3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5" s="42" t="str">
        <f>+IF(AVANCE[[#This Row],[FECHA INICIO REAL]]="","",AVANCE[[#This Row],[FECHA INICIO REAL]]-AVANCE[[#This Row],[FECHA INICIO TEORICO]])</f>
        <v/>
      </c>
      <c r="BH3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6" spans="1:61" x14ac:dyDescent="0.25">
      <c r="A346" t="s">
        <v>1154</v>
      </c>
      <c r="B346" t="s">
        <v>1179</v>
      </c>
      <c r="C346">
        <v>2282600345</v>
      </c>
      <c r="D346" t="s">
        <v>833</v>
      </c>
      <c r="E346" s="4">
        <v>0</v>
      </c>
      <c r="F346" s="1">
        <v>46314</v>
      </c>
      <c r="G346" s="1"/>
      <c r="H346" s="1">
        <v>0</v>
      </c>
      <c r="I346" s="1">
        <v>46334</v>
      </c>
      <c r="J346">
        <v>46188</v>
      </c>
      <c r="K346" s="1"/>
      <c r="L346" s="7">
        <v>0</v>
      </c>
      <c r="M346" s="7">
        <v>0</v>
      </c>
      <c r="N346" s="7">
        <v>0</v>
      </c>
      <c r="O346" s="7">
        <v>0</v>
      </c>
      <c r="P346" s="7">
        <v>0</v>
      </c>
      <c r="Q346" s="7">
        <v>0</v>
      </c>
      <c r="R346" s="7">
        <v>0</v>
      </c>
      <c r="S346" s="7">
        <v>0</v>
      </c>
      <c r="T346" s="7">
        <v>0</v>
      </c>
      <c r="U346" s="7">
        <v>0</v>
      </c>
      <c r="V346" s="7">
        <v>0</v>
      </c>
      <c r="W346" s="7">
        <v>0</v>
      </c>
      <c r="X346" s="7">
        <v>0</v>
      </c>
      <c r="Y346" s="7">
        <v>0</v>
      </c>
      <c r="Z346" s="7">
        <v>0</v>
      </c>
      <c r="AA346" s="7">
        <v>0</v>
      </c>
      <c r="AB346" s="7">
        <v>0</v>
      </c>
      <c r="AC346" s="7">
        <v>0</v>
      </c>
      <c r="AD346" s="7">
        <v>0</v>
      </c>
      <c r="AE346" s="7">
        <v>0</v>
      </c>
      <c r="AF346" s="7">
        <v>0</v>
      </c>
      <c r="AG346" s="7">
        <v>0</v>
      </c>
      <c r="AH346" s="7">
        <v>0</v>
      </c>
      <c r="AI346" s="7">
        <v>0</v>
      </c>
      <c r="AJ346" s="7">
        <v>0</v>
      </c>
      <c r="AK346" s="7">
        <v>0</v>
      </c>
      <c r="AL346" s="7">
        <v>0</v>
      </c>
      <c r="AM346" s="7">
        <v>0</v>
      </c>
      <c r="AN346" s="7">
        <v>0</v>
      </c>
      <c r="AO346" s="7">
        <v>0</v>
      </c>
      <c r="AP346" s="7">
        <v>0</v>
      </c>
      <c r="AQ346" s="7">
        <v>0</v>
      </c>
      <c r="AR346" s="7">
        <v>0</v>
      </c>
      <c r="AS346" s="7">
        <v>0</v>
      </c>
      <c r="AT346" s="7">
        <v>0</v>
      </c>
      <c r="AU346" s="7">
        <v>0</v>
      </c>
      <c r="AV346" s="7">
        <v>0</v>
      </c>
      <c r="AW346" s="7">
        <v>0</v>
      </c>
      <c r="AX346" s="7">
        <v>0</v>
      </c>
      <c r="AY346" s="7">
        <v>0</v>
      </c>
      <c r="AZ346" s="7">
        <v>0</v>
      </c>
      <c r="BA346" s="7">
        <v>0</v>
      </c>
      <c r="BB346" s="7">
        <v>0</v>
      </c>
      <c r="BC346" s="7">
        <v>0</v>
      </c>
      <c r="BD346">
        <v>0</v>
      </c>
      <c r="BE346">
        <v>28.87</v>
      </c>
      <c r="BF3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6" s="42" t="str">
        <f>+IF(AVANCE[[#This Row],[FECHA INICIO REAL]]="","",AVANCE[[#This Row],[FECHA INICIO REAL]]-AVANCE[[#This Row],[FECHA INICIO TEORICO]])</f>
        <v/>
      </c>
      <c r="BH3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7" spans="1:61" x14ac:dyDescent="0.25">
      <c r="A347" t="s">
        <v>1154</v>
      </c>
      <c r="B347" t="s">
        <v>1180</v>
      </c>
      <c r="C347">
        <v>2302600346</v>
      </c>
      <c r="D347" t="s">
        <v>834</v>
      </c>
      <c r="E347" s="4">
        <v>0</v>
      </c>
      <c r="F347" s="1">
        <v>46314</v>
      </c>
      <c r="G347" s="1"/>
      <c r="H347" s="1">
        <v>0</v>
      </c>
      <c r="I347" s="1">
        <v>46344</v>
      </c>
      <c r="J347">
        <v>46188</v>
      </c>
      <c r="K347" s="1"/>
      <c r="L347" s="7">
        <v>0</v>
      </c>
      <c r="M347" s="7">
        <v>0</v>
      </c>
      <c r="N347" s="7">
        <v>0</v>
      </c>
      <c r="O347" s="7">
        <v>0</v>
      </c>
      <c r="P347" s="7">
        <v>0</v>
      </c>
      <c r="Q347" s="7">
        <v>0</v>
      </c>
      <c r="R347" s="7">
        <v>0</v>
      </c>
      <c r="S347" s="7">
        <v>0</v>
      </c>
      <c r="T347" s="7">
        <v>0</v>
      </c>
      <c r="U347" s="7">
        <v>0</v>
      </c>
      <c r="V347" s="7">
        <v>0</v>
      </c>
      <c r="W347" s="7">
        <v>0</v>
      </c>
      <c r="X347" s="7">
        <v>0</v>
      </c>
      <c r="Y347" s="7">
        <v>0</v>
      </c>
      <c r="Z347" s="7">
        <v>0</v>
      </c>
      <c r="AA347" s="7">
        <v>0</v>
      </c>
      <c r="AB347" s="7">
        <v>0</v>
      </c>
      <c r="AC347" s="7">
        <v>0</v>
      </c>
      <c r="AD347" s="7">
        <v>0</v>
      </c>
      <c r="AE347" s="7">
        <v>0</v>
      </c>
      <c r="AF347" s="7">
        <v>0</v>
      </c>
      <c r="AG347" s="7">
        <v>0</v>
      </c>
      <c r="AH347" s="7">
        <v>0</v>
      </c>
      <c r="AI347" s="7">
        <v>0</v>
      </c>
      <c r="AJ347" s="7">
        <v>0</v>
      </c>
      <c r="AK347" s="7">
        <v>0</v>
      </c>
      <c r="AL347" s="7">
        <v>0</v>
      </c>
      <c r="AM347" s="7">
        <v>0</v>
      </c>
      <c r="AN347" s="7">
        <v>0</v>
      </c>
      <c r="AO347" s="7">
        <v>0</v>
      </c>
      <c r="AP347" s="7">
        <v>0</v>
      </c>
      <c r="AQ347" s="7">
        <v>0</v>
      </c>
      <c r="AR347" s="7">
        <v>0</v>
      </c>
      <c r="AS347" s="7">
        <v>0</v>
      </c>
      <c r="AT347" s="7">
        <v>0</v>
      </c>
      <c r="AU347" s="7">
        <v>0</v>
      </c>
      <c r="AV347" s="7">
        <v>0</v>
      </c>
      <c r="AW347" s="7">
        <v>0</v>
      </c>
      <c r="AX347" s="7">
        <v>0</v>
      </c>
      <c r="AY347" s="7">
        <v>0</v>
      </c>
      <c r="AZ347" s="7">
        <v>0</v>
      </c>
      <c r="BA347" s="7">
        <v>0</v>
      </c>
      <c r="BB347" s="7">
        <v>0</v>
      </c>
      <c r="BC347" s="7">
        <v>0</v>
      </c>
      <c r="BD347">
        <v>0</v>
      </c>
      <c r="BE347">
        <v>31.32</v>
      </c>
      <c r="BF3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7" s="42" t="str">
        <f>+IF(AVANCE[[#This Row],[FECHA INICIO REAL]]="","",AVANCE[[#This Row],[FECHA INICIO REAL]]-AVANCE[[#This Row],[FECHA INICIO TEORICO]])</f>
        <v/>
      </c>
      <c r="BH3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8" spans="1:61" x14ac:dyDescent="0.25">
      <c r="A348" t="s">
        <v>1154</v>
      </c>
      <c r="B348" t="s">
        <v>1181</v>
      </c>
      <c r="C348">
        <v>2302600347</v>
      </c>
      <c r="D348" t="s">
        <v>834</v>
      </c>
      <c r="E348" s="4">
        <v>0</v>
      </c>
      <c r="F348" s="1">
        <v>46315</v>
      </c>
      <c r="G348" s="1"/>
      <c r="H348" s="1">
        <v>0</v>
      </c>
      <c r="I348" s="1">
        <v>46345</v>
      </c>
      <c r="J348">
        <v>46188</v>
      </c>
      <c r="K348" s="1"/>
      <c r="L348" s="7">
        <v>0</v>
      </c>
      <c r="M348" s="7">
        <v>0</v>
      </c>
      <c r="N348" s="7">
        <v>0</v>
      </c>
      <c r="O348" s="7">
        <v>0</v>
      </c>
      <c r="P348" s="7">
        <v>0</v>
      </c>
      <c r="Q348" s="7">
        <v>0</v>
      </c>
      <c r="R348" s="7">
        <v>0</v>
      </c>
      <c r="S348" s="7">
        <v>0</v>
      </c>
      <c r="T348" s="7">
        <v>0</v>
      </c>
      <c r="U348" s="7">
        <v>0</v>
      </c>
      <c r="V348" s="7">
        <v>0</v>
      </c>
      <c r="W348" s="7">
        <v>0</v>
      </c>
      <c r="X348" s="7">
        <v>0</v>
      </c>
      <c r="Y348" s="7">
        <v>0</v>
      </c>
      <c r="Z348" s="7">
        <v>0</v>
      </c>
      <c r="AA348" s="7">
        <v>0</v>
      </c>
      <c r="AB348" s="7">
        <v>0</v>
      </c>
      <c r="AC348" s="7">
        <v>0</v>
      </c>
      <c r="AD348" s="7">
        <v>0</v>
      </c>
      <c r="AE348" s="7">
        <v>0</v>
      </c>
      <c r="AF348" s="7">
        <v>0</v>
      </c>
      <c r="AG348" s="7">
        <v>0</v>
      </c>
      <c r="AH348" s="7">
        <v>0</v>
      </c>
      <c r="AI348" s="7">
        <v>0</v>
      </c>
      <c r="AJ348" s="7">
        <v>0</v>
      </c>
      <c r="AK348" s="7">
        <v>0</v>
      </c>
      <c r="AL348" s="7">
        <v>0</v>
      </c>
      <c r="AM348" s="7">
        <v>0</v>
      </c>
      <c r="AN348" s="7">
        <v>0</v>
      </c>
      <c r="AO348" s="7">
        <v>0</v>
      </c>
      <c r="AP348" s="7">
        <v>0</v>
      </c>
      <c r="AQ348" s="7">
        <v>0</v>
      </c>
      <c r="AR348" s="7">
        <v>0</v>
      </c>
      <c r="AS348" s="7">
        <v>0</v>
      </c>
      <c r="AT348" s="7">
        <v>0</v>
      </c>
      <c r="AU348" s="7">
        <v>0</v>
      </c>
      <c r="AV348" s="7">
        <v>0</v>
      </c>
      <c r="AW348" s="7">
        <v>0</v>
      </c>
      <c r="AX348" s="7">
        <v>0</v>
      </c>
      <c r="AY348" s="7">
        <v>0</v>
      </c>
      <c r="AZ348" s="7">
        <v>0</v>
      </c>
      <c r="BA348" s="7">
        <v>0</v>
      </c>
      <c r="BB348" s="7">
        <v>0</v>
      </c>
      <c r="BC348" s="7">
        <v>0</v>
      </c>
      <c r="BD348">
        <v>0</v>
      </c>
      <c r="BE348">
        <v>31.32</v>
      </c>
      <c r="BF3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8" s="42" t="str">
        <f>+IF(AVANCE[[#This Row],[FECHA INICIO REAL]]="","",AVANCE[[#This Row],[FECHA INICIO REAL]]-AVANCE[[#This Row],[FECHA INICIO TEORICO]])</f>
        <v/>
      </c>
      <c r="BH3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9" spans="1:61" x14ac:dyDescent="0.25">
      <c r="A349" t="s">
        <v>1154</v>
      </c>
      <c r="B349" t="s">
        <v>1182</v>
      </c>
      <c r="C349">
        <v>2282600348</v>
      </c>
      <c r="D349" t="s">
        <v>833</v>
      </c>
      <c r="E349" s="4">
        <v>0</v>
      </c>
      <c r="F349" s="1">
        <v>46315</v>
      </c>
      <c r="G349" s="1"/>
      <c r="H349" s="1">
        <v>0</v>
      </c>
      <c r="I349" s="1">
        <v>46335</v>
      </c>
      <c r="J349">
        <v>46188</v>
      </c>
      <c r="K349" s="1"/>
      <c r="L349" s="7">
        <v>0</v>
      </c>
      <c r="M349" s="7">
        <v>0</v>
      </c>
      <c r="N349" s="7">
        <v>0</v>
      </c>
      <c r="O349" s="7">
        <v>0</v>
      </c>
      <c r="P349" s="7">
        <v>0</v>
      </c>
      <c r="Q349" s="7">
        <v>0</v>
      </c>
      <c r="R349" s="7">
        <v>0</v>
      </c>
      <c r="S349" s="7">
        <v>0</v>
      </c>
      <c r="T349" s="7">
        <v>0</v>
      </c>
      <c r="U349" s="7">
        <v>0</v>
      </c>
      <c r="V349" s="7">
        <v>0</v>
      </c>
      <c r="W349" s="7">
        <v>0</v>
      </c>
      <c r="X349" s="7">
        <v>0</v>
      </c>
      <c r="Y349" s="7">
        <v>0</v>
      </c>
      <c r="Z349" s="7">
        <v>0</v>
      </c>
      <c r="AA349" s="7">
        <v>0</v>
      </c>
      <c r="AB349" s="7">
        <v>0</v>
      </c>
      <c r="AC349" s="7">
        <v>0</v>
      </c>
      <c r="AD349" s="7">
        <v>0</v>
      </c>
      <c r="AE349" s="7">
        <v>0</v>
      </c>
      <c r="AF349" s="7">
        <v>0</v>
      </c>
      <c r="AG349" s="7">
        <v>0</v>
      </c>
      <c r="AH349" s="7">
        <v>0</v>
      </c>
      <c r="AI349" s="7">
        <v>0</v>
      </c>
      <c r="AJ349" s="7">
        <v>0</v>
      </c>
      <c r="AK349" s="7">
        <v>0</v>
      </c>
      <c r="AL349" s="7">
        <v>0</v>
      </c>
      <c r="AM349" s="7">
        <v>0</v>
      </c>
      <c r="AN349" s="7">
        <v>0</v>
      </c>
      <c r="AO349" s="7">
        <v>0</v>
      </c>
      <c r="AP349" s="7">
        <v>0</v>
      </c>
      <c r="AQ349" s="7">
        <v>0</v>
      </c>
      <c r="AR349" s="7">
        <v>0</v>
      </c>
      <c r="AS349" s="7">
        <v>0</v>
      </c>
      <c r="AT349" s="7">
        <v>0</v>
      </c>
      <c r="AU349" s="7">
        <v>0</v>
      </c>
      <c r="AV349" s="7">
        <v>0</v>
      </c>
      <c r="AW349" s="7">
        <v>0</v>
      </c>
      <c r="AX349" s="7">
        <v>0</v>
      </c>
      <c r="AY349" s="7">
        <v>0</v>
      </c>
      <c r="AZ349" s="7">
        <v>0</v>
      </c>
      <c r="BA349" s="7">
        <v>0</v>
      </c>
      <c r="BB349" s="7">
        <v>0</v>
      </c>
      <c r="BC349" s="7">
        <v>0</v>
      </c>
      <c r="BD349">
        <v>0</v>
      </c>
      <c r="BE349">
        <v>28.87</v>
      </c>
      <c r="BF3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9" s="42" t="str">
        <f>+IF(AVANCE[[#This Row],[FECHA INICIO REAL]]="","",AVANCE[[#This Row],[FECHA INICIO REAL]]-AVANCE[[#This Row],[FECHA INICIO TEORICO]])</f>
        <v/>
      </c>
      <c r="BH3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0" spans="1:61" x14ac:dyDescent="0.25">
      <c r="A350" t="s">
        <v>1154</v>
      </c>
      <c r="B350" t="s">
        <v>1183</v>
      </c>
      <c r="C350">
        <v>2282600349</v>
      </c>
      <c r="D350" t="s">
        <v>833</v>
      </c>
      <c r="E350" s="4">
        <v>0</v>
      </c>
      <c r="F350" s="1">
        <v>46315</v>
      </c>
      <c r="G350" s="1"/>
      <c r="H350" s="1">
        <v>0</v>
      </c>
      <c r="I350" s="1">
        <v>46335</v>
      </c>
      <c r="J350">
        <v>46188</v>
      </c>
      <c r="K350" s="1"/>
      <c r="L350" s="7">
        <v>0</v>
      </c>
      <c r="M350" s="7">
        <v>0</v>
      </c>
      <c r="N350" s="7">
        <v>0</v>
      </c>
      <c r="O350" s="7">
        <v>0</v>
      </c>
      <c r="P350" s="7">
        <v>0</v>
      </c>
      <c r="Q350" s="7">
        <v>0</v>
      </c>
      <c r="R350" s="7">
        <v>0</v>
      </c>
      <c r="S350" s="7">
        <v>0</v>
      </c>
      <c r="T350" s="7">
        <v>0</v>
      </c>
      <c r="U350" s="7">
        <v>0</v>
      </c>
      <c r="V350" s="7">
        <v>0</v>
      </c>
      <c r="W350" s="7">
        <v>0</v>
      </c>
      <c r="X350" s="7">
        <v>0</v>
      </c>
      <c r="Y350" s="7">
        <v>0</v>
      </c>
      <c r="Z350" s="7">
        <v>0</v>
      </c>
      <c r="AA350" s="7">
        <v>0</v>
      </c>
      <c r="AB350" s="7">
        <v>0</v>
      </c>
      <c r="AC350" s="7">
        <v>0</v>
      </c>
      <c r="AD350" s="7">
        <v>0</v>
      </c>
      <c r="AE350" s="7">
        <v>0</v>
      </c>
      <c r="AF350" s="7">
        <v>0</v>
      </c>
      <c r="AG350" s="7">
        <v>0</v>
      </c>
      <c r="AH350" s="7">
        <v>0</v>
      </c>
      <c r="AI350" s="7">
        <v>0</v>
      </c>
      <c r="AJ350" s="7">
        <v>0</v>
      </c>
      <c r="AK350" s="7">
        <v>0</v>
      </c>
      <c r="AL350" s="7">
        <v>0</v>
      </c>
      <c r="AM350" s="7">
        <v>0</v>
      </c>
      <c r="AN350" s="7">
        <v>0</v>
      </c>
      <c r="AO350" s="7">
        <v>0</v>
      </c>
      <c r="AP350" s="7">
        <v>0</v>
      </c>
      <c r="AQ350" s="7">
        <v>0</v>
      </c>
      <c r="AR350" s="7">
        <v>0</v>
      </c>
      <c r="AS350" s="7">
        <v>0</v>
      </c>
      <c r="AT350" s="7">
        <v>0</v>
      </c>
      <c r="AU350" s="7">
        <v>0</v>
      </c>
      <c r="AV350" s="7">
        <v>0</v>
      </c>
      <c r="AW350" s="7">
        <v>0</v>
      </c>
      <c r="AX350" s="7">
        <v>0</v>
      </c>
      <c r="AY350" s="7">
        <v>0</v>
      </c>
      <c r="AZ350" s="7">
        <v>0</v>
      </c>
      <c r="BA350" s="7">
        <v>0</v>
      </c>
      <c r="BB350" s="7">
        <v>0</v>
      </c>
      <c r="BC350" s="7">
        <v>0</v>
      </c>
      <c r="BD350">
        <v>0</v>
      </c>
      <c r="BE350">
        <v>28.87</v>
      </c>
      <c r="BF3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0" s="42" t="str">
        <f>+IF(AVANCE[[#This Row],[FECHA INICIO REAL]]="","",AVANCE[[#This Row],[FECHA INICIO REAL]]-AVANCE[[#This Row],[FECHA INICIO TEORICO]])</f>
        <v/>
      </c>
      <c r="BH3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1" spans="1:61" x14ac:dyDescent="0.25">
      <c r="A351" t="s">
        <v>1154</v>
      </c>
      <c r="B351" t="s">
        <v>1184</v>
      </c>
      <c r="C351">
        <v>2302600350</v>
      </c>
      <c r="D351" t="s">
        <v>834</v>
      </c>
      <c r="E351" s="4">
        <v>0</v>
      </c>
      <c r="F351" s="1">
        <v>46316</v>
      </c>
      <c r="G351" s="1"/>
      <c r="H351" s="1">
        <v>0</v>
      </c>
      <c r="I351" s="1">
        <v>46346</v>
      </c>
      <c r="J351">
        <v>46188</v>
      </c>
      <c r="K351" s="1"/>
      <c r="L351" s="7">
        <v>0</v>
      </c>
      <c r="M351" s="7">
        <v>0</v>
      </c>
      <c r="N351" s="7">
        <v>0</v>
      </c>
      <c r="O351" s="7">
        <v>0</v>
      </c>
      <c r="P351" s="7">
        <v>0</v>
      </c>
      <c r="Q351" s="7">
        <v>0</v>
      </c>
      <c r="R351" s="7">
        <v>0</v>
      </c>
      <c r="S351" s="7">
        <v>0</v>
      </c>
      <c r="T351" s="7">
        <v>0</v>
      </c>
      <c r="U351" s="7">
        <v>0</v>
      </c>
      <c r="V351" s="7">
        <v>0</v>
      </c>
      <c r="W351" s="7">
        <v>0</v>
      </c>
      <c r="X351" s="7">
        <v>0</v>
      </c>
      <c r="Y351" s="7">
        <v>0</v>
      </c>
      <c r="Z351" s="7">
        <v>0</v>
      </c>
      <c r="AA351" s="7">
        <v>0</v>
      </c>
      <c r="AB351" s="7">
        <v>0</v>
      </c>
      <c r="AC351" s="7">
        <v>0</v>
      </c>
      <c r="AD351" s="7">
        <v>0</v>
      </c>
      <c r="AE351" s="7">
        <v>0</v>
      </c>
      <c r="AF351" s="7">
        <v>0</v>
      </c>
      <c r="AG351" s="7">
        <v>0</v>
      </c>
      <c r="AH351" s="7">
        <v>0</v>
      </c>
      <c r="AI351" s="7">
        <v>0</v>
      </c>
      <c r="AJ351" s="7">
        <v>0</v>
      </c>
      <c r="AK351" s="7">
        <v>0</v>
      </c>
      <c r="AL351" s="7">
        <v>0</v>
      </c>
      <c r="AM351" s="7">
        <v>0</v>
      </c>
      <c r="AN351" s="7">
        <v>0</v>
      </c>
      <c r="AO351" s="7">
        <v>0</v>
      </c>
      <c r="AP351" s="7">
        <v>0</v>
      </c>
      <c r="AQ351" s="7">
        <v>0</v>
      </c>
      <c r="AR351" s="7">
        <v>0</v>
      </c>
      <c r="AS351" s="7">
        <v>0</v>
      </c>
      <c r="AT351" s="7">
        <v>0</v>
      </c>
      <c r="AU351" s="7">
        <v>0</v>
      </c>
      <c r="AV351" s="7">
        <v>0</v>
      </c>
      <c r="AW351" s="7">
        <v>0</v>
      </c>
      <c r="AX351" s="7">
        <v>0</v>
      </c>
      <c r="AY351" s="7">
        <v>0</v>
      </c>
      <c r="AZ351" s="7">
        <v>0</v>
      </c>
      <c r="BA351" s="7">
        <v>0</v>
      </c>
      <c r="BB351" s="7">
        <v>0</v>
      </c>
      <c r="BC351" s="7">
        <v>0</v>
      </c>
      <c r="BD351">
        <v>0</v>
      </c>
      <c r="BE351">
        <v>31.32</v>
      </c>
      <c r="BF3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1" s="42" t="str">
        <f>+IF(AVANCE[[#This Row],[FECHA INICIO REAL]]="","",AVANCE[[#This Row],[FECHA INICIO REAL]]-AVANCE[[#This Row],[FECHA INICIO TEORICO]])</f>
        <v/>
      </c>
      <c r="BH3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2" spans="1:61" x14ac:dyDescent="0.25">
      <c r="A352" t="s">
        <v>1154</v>
      </c>
      <c r="B352" t="s">
        <v>1185</v>
      </c>
      <c r="C352">
        <v>2302600351</v>
      </c>
      <c r="D352" t="s">
        <v>834</v>
      </c>
      <c r="E352" s="4">
        <v>0</v>
      </c>
      <c r="F352" s="1">
        <v>46316</v>
      </c>
      <c r="G352" s="1"/>
      <c r="H352" s="1">
        <v>0</v>
      </c>
      <c r="I352" s="1">
        <v>46346</v>
      </c>
      <c r="J352">
        <v>46188</v>
      </c>
      <c r="K352" s="1"/>
      <c r="L352" s="7">
        <v>0</v>
      </c>
      <c r="M352" s="7">
        <v>0</v>
      </c>
      <c r="N352" s="7">
        <v>0</v>
      </c>
      <c r="O352" s="7">
        <v>0</v>
      </c>
      <c r="P352" s="7">
        <v>0</v>
      </c>
      <c r="Q352" s="7">
        <v>0</v>
      </c>
      <c r="R352" s="7">
        <v>0</v>
      </c>
      <c r="S352" s="7">
        <v>0</v>
      </c>
      <c r="T352" s="7">
        <v>0</v>
      </c>
      <c r="U352" s="7">
        <v>0</v>
      </c>
      <c r="V352" s="7">
        <v>0</v>
      </c>
      <c r="W352" s="7">
        <v>0</v>
      </c>
      <c r="X352" s="7">
        <v>0</v>
      </c>
      <c r="Y352" s="7">
        <v>0</v>
      </c>
      <c r="Z352" s="7">
        <v>0</v>
      </c>
      <c r="AA352" s="7">
        <v>0</v>
      </c>
      <c r="AB352" s="7">
        <v>0</v>
      </c>
      <c r="AC352" s="7">
        <v>0</v>
      </c>
      <c r="AD352" s="7">
        <v>0</v>
      </c>
      <c r="AE352" s="7">
        <v>0</v>
      </c>
      <c r="AF352" s="7">
        <v>0</v>
      </c>
      <c r="AG352" s="7">
        <v>0</v>
      </c>
      <c r="AH352" s="7">
        <v>0</v>
      </c>
      <c r="AI352" s="7">
        <v>0</v>
      </c>
      <c r="AJ352" s="7">
        <v>0</v>
      </c>
      <c r="AK352" s="7">
        <v>0</v>
      </c>
      <c r="AL352" s="7">
        <v>0</v>
      </c>
      <c r="AM352" s="7">
        <v>0</v>
      </c>
      <c r="AN352" s="7">
        <v>0</v>
      </c>
      <c r="AO352" s="7">
        <v>0</v>
      </c>
      <c r="AP352" s="7">
        <v>0</v>
      </c>
      <c r="AQ352" s="7">
        <v>0</v>
      </c>
      <c r="AR352" s="7">
        <v>0</v>
      </c>
      <c r="AS352" s="7">
        <v>0</v>
      </c>
      <c r="AT352" s="7">
        <v>0</v>
      </c>
      <c r="AU352" s="7">
        <v>0</v>
      </c>
      <c r="AV352" s="7">
        <v>0</v>
      </c>
      <c r="AW352" s="7">
        <v>0</v>
      </c>
      <c r="AX352" s="7">
        <v>0</v>
      </c>
      <c r="AY352" s="7">
        <v>0</v>
      </c>
      <c r="AZ352" s="7">
        <v>0</v>
      </c>
      <c r="BA352" s="7">
        <v>0</v>
      </c>
      <c r="BB352" s="7">
        <v>0</v>
      </c>
      <c r="BC352" s="7">
        <v>0</v>
      </c>
      <c r="BD352">
        <v>0</v>
      </c>
      <c r="BE352">
        <v>31.32</v>
      </c>
      <c r="BF3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2" s="42" t="str">
        <f>+IF(AVANCE[[#This Row],[FECHA INICIO REAL]]="","",AVANCE[[#This Row],[FECHA INICIO REAL]]-AVANCE[[#This Row],[FECHA INICIO TEORICO]])</f>
        <v/>
      </c>
      <c r="BH3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3" spans="1:61" x14ac:dyDescent="0.25">
      <c r="A353" t="s">
        <v>1154</v>
      </c>
      <c r="B353" t="s">
        <v>1186</v>
      </c>
      <c r="C353">
        <v>2282600352</v>
      </c>
      <c r="D353" t="s">
        <v>833</v>
      </c>
      <c r="E353" s="4">
        <v>0</v>
      </c>
      <c r="F353" s="1">
        <v>46316</v>
      </c>
      <c r="G353" s="1"/>
      <c r="H353" s="1">
        <v>0</v>
      </c>
      <c r="I353" s="1">
        <v>46336</v>
      </c>
      <c r="J353">
        <v>46188</v>
      </c>
      <c r="K353" s="1"/>
      <c r="L353" s="7">
        <v>0</v>
      </c>
      <c r="M353" s="7">
        <v>0</v>
      </c>
      <c r="N353" s="7">
        <v>0</v>
      </c>
      <c r="O353" s="7">
        <v>0</v>
      </c>
      <c r="P353" s="7">
        <v>0</v>
      </c>
      <c r="Q353" s="7">
        <v>0</v>
      </c>
      <c r="R353" s="7">
        <v>0</v>
      </c>
      <c r="S353" s="7">
        <v>0</v>
      </c>
      <c r="T353" s="7">
        <v>0</v>
      </c>
      <c r="U353" s="7">
        <v>0</v>
      </c>
      <c r="V353" s="7">
        <v>0</v>
      </c>
      <c r="W353" s="7">
        <v>0</v>
      </c>
      <c r="X353" s="7">
        <v>0</v>
      </c>
      <c r="Y353" s="7">
        <v>0</v>
      </c>
      <c r="Z353" s="7">
        <v>0</v>
      </c>
      <c r="AA353" s="7">
        <v>0</v>
      </c>
      <c r="AB353" s="7">
        <v>0</v>
      </c>
      <c r="AC353" s="7">
        <v>0</v>
      </c>
      <c r="AD353" s="7">
        <v>0</v>
      </c>
      <c r="AE353" s="7">
        <v>0</v>
      </c>
      <c r="AF353" s="7">
        <v>0</v>
      </c>
      <c r="AG353" s="7">
        <v>0</v>
      </c>
      <c r="AH353" s="7">
        <v>0</v>
      </c>
      <c r="AI353" s="7">
        <v>0</v>
      </c>
      <c r="AJ353" s="7">
        <v>0</v>
      </c>
      <c r="AK353" s="7">
        <v>0</v>
      </c>
      <c r="AL353" s="7">
        <v>0</v>
      </c>
      <c r="AM353" s="7">
        <v>0</v>
      </c>
      <c r="AN353" s="7">
        <v>0</v>
      </c>
      <c r="AO353" s="7">
        <v>0</v>
      </c>
      <c r="AP353" s="7">
        <v>0</v>
      </c>
      <c r="AQ353" s="7">
        <v>0</v>
      </c>
      <c r="AR353" s="7">
        <v>0</v>
      </c>
      <c r="AS353" s="7">
        <v>0</v>
      </c>
      <c r="AT353" s="7">
        <v>0</v>
      </c>
      <c r="AU353" s="7">
        <v>0</v>
      </c>
      <c r="AV353" s="7">
        <v>0</v>
      </c>
      <c r="AW353" s="7">
        <v>0</v>
      </c>
      <c r="AX353" s="7">
        <v>0</v>
      </c>
      <c r="AY353" s="7">
        <v>0</v>
      </c>
      <c r="AZ353" s="7">
        <v>0</v>
      </c>
      <c r="BA353" s="7">
        <v>0</v>
      </c>
      <c r="BB353" s="7">
        <v>0</v>
      </c>
      <c r="BC353" s="7">
        <v>0</v>
      </c>
      <c r="BD353">
        <v>0</v>
      </c>
      <c r="BE353">
        <v>28.87</v>
      </c>
      <c r="BF3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3" s="42" t="str">
        <f>+IF(AVANCE[[#This Row],[FECHA INICIO REAL]]="","",AVANCE[[#This Row],[FECHA INICIO REAL]]-AVANCE[[#This Row],[FECHA INICIO TEORICO]])</f>
        <v/>
      </c>
      <c r="BH3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4" spans="1:61" x14ac:dyDescent="0.25">
      <c r="A354" t="s">
        <v>1187</v>
      </c>
      <c r="B354" t="s">
        <v>1188</v>
      </c>
      <c r="C354">
        <v>2282600353</v>
      </c>
      <c r="D354" t="s">
        <v>833</v>
      </c>
      <c r="E354" s="4">
        <v>0</v>
      </c>
      <c r="F354" s="1">
        <v>46317</v>
      </c>
      <c r="G354" s="1"/>
      <c r="H354" s="1">
        <v>0</v>
      </c>
      <c r="I354" s="1">
        <v>46337</v>
      </c>
      <c r="J354">
        <v>46188</v>
      </c>
      <c r="K354" s="1"/>
      <c r="L354" s="7">
        <v>0</v>
      </c>
      <c r="M354" s="7">
        <v>0</v>
      </c>
      <c r="N354" s="7">
        <v>0</v>
      </c>
      <c r="O354" s="7">
        <v>0</v>
      </c>
      <c r="P354" s="7">
        <v>0</v>
      </c>
      <c r="Q354" s="7">
        <v>0</v>
      </c>
      <c r="R354" s="7">
        <v>0</v>
      </c>
      <c r="S354" s="7">
        <v>0</v>
      </c>
      <c r="T354" s="7">
        <v>0</v>
      </c>
      <c r="U354" s="7">
        <v>0</v>
      </c>
      <c r="V354" s="7">
        <v>0</v>
      </c>
      <c r="W354" s="7">
        <v>0</v>
      </c>
      <c r="X354" s="7">
        <v>0</v>
      </c>
      <c r="Y354" s="7">
        <v>0</v>
      </c>
      <c r="Z354" s="7">
        <v>0</v>
      </c>
      <c r="AA354" s="7">
        <v>0</v>
      </c>
      <c r="AB354" s="7">
        <v>0</v>
      </c>
      <c r="AC354" s="7">
        <v>0</v>
      </c>
      <c r="AD354" s="7">
        <v>0</v>
      </c>
      <c r="AE354" s="7">
        <v>0</v>
      </c>
      <c r="AF354" s="7">
        <v>0</v>
      </c>
      <c r="AG354" s="7">
        <v>0</v>
      </c>
      <c r="AH354" s="7">
        <v>0</v>
      </c>
      <c r="AI354" s="7">
        <v>0</v>
      </c>
      <c r="AJ354" s="7">
        <v>0</v>
      </c>
      <c r="AK354" s="7">
        <v>0</v>
      </c>
      <c r="AL354" s="7">
        <v>0</v>
      </c>
      <c r="AM354" s="7">
        <v>0</v>
      </c>
      <c r="AN354" s="7">
        <v>0</v>
      </c>
      <c r="AO354" s="7">
        <v>0</v>
      </c>
      <c r="AP354" s="7">
        <v>0</v>
      </c>
      <c r="AQ354" s="7">
        <v>0</v>
      </c>
      <c r="AR354" s="7">
        <v>0</v>
      </c>
      <c r="AS354" s="7">
        <v>0</v>
      </c>
      <c r="AT354" s="7">
        <v>0</v>
      </c>
      <c r="AU354" s="7">
        <v>0</v>
      </c>
      <c r="AV354" s="7">
        <v>0</v>
      </c>
      <c r="AW354" s="7">
        <v>0</v>
      </c>
      <c r="AX354" s="7">
        <v>0</v>
      </c>
      <c r="AY354" s="7">
        <v>0</v>
      </c>
      <c r="AZ354" s="7">
        <v>0</v>
      </c>
      <c r="BA354" s="7">
        <v>0</v>
      </c>
      <c r="BB354" s="7">
        <v>0</v>
      </c>
      <c r="BC354" s="7">
        <v>0</v>
      </c>
      <c r="BD354">
        <v>0</v>
      </c>
      <c r="BE354">
        <v>28.87</v>
      </c>
      <c r="BF3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4" s="42" t="str">
        <f>+IF(AVANCE[[#This Row],[FECHA INICIO REAL]]="","",AVANCE[[#This Row],[FECHA INICIO REAL]]-AVANCE[[#This Row],[FECHA INICIO TEORICO]])</f>
        <v/>
      </c>
      <c r="BH3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5" spans="1:61" x14ac:dyDescent="0.25">
      <c r="A355" t="s">
        <v>1187</v>
      </c>
      <c r="B355" t="s">
        <v>1189</v>
      </c>
      <c r="C355">
        <v>2302600354</v>
      </c>
      <c r="D355" t="s">
        <v>834</v>
      </c>
      <c r="E355" s="4">
        <v>0</v>
      </c>
      <c r="F355" s="1">
        <v>46317</v>
      </c>
      <c r="G355" s="1"/>
      <c r="H355" s="1">
        <v>0</v>
      </c>
      <c r="I355" s="1">
        <v>46347</v>
      </c>
      <c r="J355">
        <v>46188</v>
      </c>
      <c r="K355" s="1"/>
      <c r="L355" s="7">
        <v>0</v>
      </c>
      <c r="M355" s="7">
        <v>0</v>
      </c>
      <c r="N355" s="7">
        <v>0</v>
      </c>
      <c r="O355" s="7">
        <v>0</v>
      </c>
      <c r="P355" s="7">
        <v>0</v>
      </c>
      <c r="Q355" s="7">
        <v>0</v>
      </c>
      <c r="R355" s="7">
        <v>0</v>
      </c>
      <c r="S355" s="7">
        <v>0</v>
      </c>
      <c r="T355" s="7">
        <v>0</v>
      </c>
      <c r="U355" s="7">
        <v>0</v>
      </c>
      <c r="V355" s="7">
        <v>0</v>
      </c>
      <c r="W355" s="7">
        <v>0</v>
      </c>
      <c r="X355" s="7">
        <v>0</v>
      </c>
      <c r="Y355" s="7">
        <v>0</v>
      </c>
      <c r="Z355" s="7">
        <v>0</v>
      </c>
      <c r="AA355" s="7">
        <v>0</v>
      </c>
      <c r="AB355" s="7">
        <v>0</v>
      </c>
      <c r="AC355" s="7">
        <v>0</v>
      </c>
      <c r="AD355" s="7">
        <v>0</v>
      </c>
      <c r="AE355" s="7">
        <v>0</v>
      </c>
      <c r="AF355" s="7">
        <v>0</v>
      </c>
      <c r="AG355" s="7">
        <v>0</v>
      </c>
      <c r="AH355" s="7">
        <v>0</v>
      </c>
      <c r="AI355" s="7">
        <v>0</v>
      </c>
      <c r="AJ355" s="7">
        <v>0</v>
      </c>
      <c r="AK355" s="7">
        <v>0</v>
      </c>
      <c r="AL355" s="7">
        <v>0</v>
      </c>
      <c r="AM355" s="7">
        <v>0</v>
      </c>
      <c r="AN355" s="7">
        <v>0</v>
      </c>
      <c r="AO355" s="7">
        <v>0</v>
      </c>
      <c r="AP355" s="7">
        <v>0</v>
      </c>
      <c r="AQ355" s="7">
        <v>0</v>
      </c>
      <c r="AR355" s="7">
        <v>0</v>
      </c>
      <c r="AS355" s="7">
        <v>0</v>
      </c>
      <c r="AT355" s="7">
        <v>0</v>
      </c>
      <c r="AU355" s="7">
        <v>0</v>
      </c>
      <c r="AV355" s="7">
        <v>0</v>
      </c>
      <c r="AW355" s="7">
        <v>0</v>
      </c>
      <c r="AX355" s="7">
        <v>0</v>
      </c>
      <c r="AY355" s="7">
        <v>0</v>
      </c>
      <c r="AZ355" s="7">
        <v>0</v>
      </c>
      <c r="BA355" s="7">
        <v>0</v>
      </c>
      <c r="BB355" s="7">
        <v>0</v>
      </c>
      <c r="BC355" s="7">
        <v>0</v>
      </c>
      <c r="BD355">
        <v>0</v>
      </c>
      <c r="BE355">
        <v>31.32</v>
      </c>
      <c r="BF3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5" s="42" t="str">
        <f>+IF(AVANCE[[#This Row],[FECHA INICIO REAL]]="","",AVANCE[[#This Row],[FECHA INICIO REAL]]-AVANCE[[#This Row],[FECHA INICIO TEORICO]])</f>
        <v/>
      </c>
      <c r="BH3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6" spans="1:61" x14ac:dyDescent="0.25">
      <c r="A356" t="s">
        <v>1187</v>
      </c>
      <c r="B356" t="s">
        <v>1190</v>
      </c>
      <c r="C356">
        <v>2302600355</v>
      </c>
      <c r="D356" t="s">
        <v>834</v>
      </c>
      <c r="E356" s="4">
        <v>0</v>
      </c>
      <c r="F356" s="1">
        <v>46317</v>
      </c>
      <c r="G356" s="1"/>
      <c r="H356" s="1">
        <v>0</v>
      </c>
      <c r="I356" s="1">
        <v>46347</v>
      </c>
      <c r="J356">
        <v>46188</v>
      </c>
      <c r="K356" s="1"/>
      <c r="L356" s="7">
        <v>0</v>
      </c>
      <c r="M356" s="7">
        <v>0</v>
      </c>
      <c r="N356" s="7">
        <v>0</v>
      </c>
      <c r="O356" s="7">
        <v>0</v>
      </c>
      <c r="P356" s="7">
        <v>0</v>
      </c>
      <c r="Q356" s="7">
        <v>0</v>
      </c>
      <c r="R356" s="7">
        <v>0</v>
      </c>
      <c r="S356" s="7">
        <v>0</v>
      </c>
      <c r="T356" s="7">
        <v>0</v>
      </c>
      <c r="U356" s="7">
        <v>0</v>
      </c>
      <c r="V356" s="7">
        <v>0</v>
      </c>
      <c r="W356" s="7">
        <v>0</v>
      </c>
      <c r="X356" s="7">
        <v>0</v>
      </c>
      <c r="Y356" s="7">
        <v>0</v>
      </c>
      <c r="Z356" s="7">
        <v>0</v>
      </c>
      <c r="AA356" s="7">
        <v>0</v>
      </c>
      <c r="AB356" s="7">
        <v>0</v>
      </c>
      <c r="AC356" s="7">
        <v>0</v>
      </c>
      <c r="AD356" s="7">
        <v>0</v>
      </c>
      <c r="AE356" s="7">
        <v>0</v>
      </c>
      <c r="AF356" s="7">
        <v>0</v>
      </c>
      <c r="AG356" s="7">
        <v>0</v>
      </c>
      <c r="AH356" s="7">
        <v>0</v>
      </c>
      <c r="AI356" s="7">
        <v>0</v>
      </c>
      <c r="AJ356" s="7">
        <v>0</v>
      </c>
      <c r="AK356" s="7">
        <v>0</v>
      </c>
      <c r="AL356" s="7">
        <v>0</v>
      </c>
      <c r="AM356" s="7">
        <v>0</v>
      </c>
      <c r="AN356" s="7">
        <v>0</v>
      </c>
      <c r="AO356" s="7">
        <v>0</v>
      </c>
      <c r="AP356" s="7">
        <v>0</v>
      </c>
      <c r="AQ356" s="7">
        <v>0</v>
      </c>
      <c r="AR356" s="7">
        <v>0</v>
      </c>
      <c r="AS356" s="7">
        <v>0</v>
      </c>
      <c r="AT356" s="7">
        <v>0</v>
      </c>
      <c r="AU356" s="7">
        <v>0</v>
      </c>
      <c r="AV356" s="7">
        <v>0</v>
      </c>
      <c r="AW356" s="7">
        <v>0</v>
      </c>
      <c r="AX356" s="7">
        <v>0</v>
      </c>
      <c r="AY356" s="7">
        <v>0</v>
      </c>
      <c r="AZ356" s="7">
        <v>0</v>
      </c>
      <c r="BA356" s="7">
        <v>0</v>
      </c>
      <c r="BB356" s="7">
        <v>0</v>
      </c>
      <c r="BC356" s="7">
        <v>0</v>
      </c>
      <c r="BD356">
        <v>0</v>
      </c>
      <c r="BE356">
        <v>31.32</v>
      </c>
      <c r="BF3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6" s="42" t="str">
        <f>+IF(AVANCE[[#This Row],[FECHA INICIO REAL]]="","",AVANCE[[#This Row],[FECHA INICIO REAL]]-AVANCE[[#This Row],[FECHA INICIO TEORICO]])</f>
        <v/>
      </c>
      <c r="BH3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7" spans="1:61" x14ac:dyDescent="0.25">
      <c r="A357" t="s">
        <v>1187</v>
      </c>
      <c r="B357" t="s">
        <v>1191</v>
      </c>
      <c r="C357">
        <v>2282600356</v>
      </c>
      <c r="D357" t="s">
        <v>833</v>
      </c>
      <c r="E357" s="4">
        <v>0</v>
      </c>
      <c r="F357" s="1">
        <v>46318</v>
      </c>
      <c r="G357" s="1"/>
      <c r="H357" s="1">
        <v>0</v>
      </c>
      <c r="I357" s="1">
        <v>46338</v>
      </c>
      <c r="J357">
        <v>46188</v>
      </c>
      <c r="K357" s="1"/>
      <c r="L357" s="7">
        <v>0</v>
      </c>
      <c r="M357" s="7">
        <v>0</v>
      </c>
      <c r="N357" s="7">
        <v>0</v>
      </c>
      <c r="O357" s="7">
        <v>0</v>
      </c>
      <c r="P357" s="7">
        <v>0</v>
      </c>
      <c r="Q357" s="7">
        <v>0</v>
      </c>
      <c r="R357" s="7">
        <v>0</v>
      </c>
      <c r="S357" s="7">
        <v>0</v>
      </c>
      <c r="T357" s="7">
        <v>0</v>
      </c>
      <c r="U357" s="7">
        <v>0</v>
      </c>
      <c r="V357" s="7">
        <v>0</v>
      </c>
      <c r="W357" s="7">
        <v>0</v>
      </c>
      <c r="X357" s="7">
        <v>0</v>
      </c>
      <c r="Y357" s="7">
        <v>0</v>
      </c>
      <c r="Z357" s="7">
        <v>0</v>
      </c>
      <c r="AA357" s="7">
        <v>0</v>
      </c>
      <c r="AB357" s="7">
        <v>0</v>
      </c>
      <c r="AC357" s="7">
        <v>0</v>
      </c>
      <c r="AD357" s="7">
        <v>0</v>
      </c>
      <c r="AE357" s="7">
        <v>0</v>
      </c>
      <c r="AF357" s="7">
        <v>0</v>
      </c>
      <c r="AG357" s="7">
        <v>0</v>
      </c>
      <c r="AH357" s="7">
        <v>0</v>
      </c>
      <c r="AI357" s="7">
        <v>0</v>
      </c>
      <c r="AJ357" s="7">
        <v>0</v>
      </c>
      <c r="AK357" s="7">
        <v>0</v>
      </c>
      <c r="AL357" s="7">
        <v>0</v>
      </c>
      <c r="AM357" s="7">
        <v>0</v>
      </c>
      <c r="AN357" s="7">
        <v>0</v>
      </c>
      <c r="AO357" s="7">
        <v>0</v>
      </c>
      <c r="AP357" s="7">
        <v>0</v>
      </c>
      <c r="AQ357" s="7">
        <v>0</v>
      </c>
      <c r="AR357" s="7">
        <v>0</v>
      </c>
      <c r="AS357" s="7">
        <v>0</v>
      </c>
      <c r="AT357" s="7">
        <v>0</v>
      </c>
      <c r="AU357" s="7">
        <v>0</v>
      </c>
      <c r="AV357" s="7">
        <v>0</v>
      </c>
      <c r="AW357" s="7">
        <v>0</v>
      </c>
      <c r="AX357" s="7">
        <v>0</v>
      </c>
      <c r="AY357" s="7">
        <v>0</v>
      </c>
      <c r="AZ357" s="7">
        <v>0</v>
      </c>
      <c r="BA357" s="7">
        <v>0</v>
      </c>
      <c r="BB357" s="7">
        <v>0</v>
      </c>
      <c r="BC357" s="7">
        <v>0</v>
      </c>
      <c r="BD357">
        <v>0</v>
      </c>
      <c r="BE357">
        <v>28.87</v>
      </c>
      <c r="BF3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7" s="42" t="str">
        <f>+IF(AVANCE[[#This Row],[FECHA INICIO REAL]]="","",AVANCE[[#This Row],[FECHA INICIO REAL]]-AVANCE[[#This Row],[FECHA INICIO TEORICO]])</f>
        <v/>
      </c>
      <c r="BH3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8" spans="1:61" x14ac:dyDescent="0.25">
      <c r="A358" t="s">
        <v>1187</v>
      </c>
      <c r="B358" t="s">
        <v>1192</v>
      </c>
      <c r="C358">
        <v>2282600357</v>
      </c>
      <c r="D358" t="s">
        <v>833</v>
      </c>
      <c r="E358" s="4">
        <v>0</v>
      </c>
      <c r="F358" s="1">
        <v>46318</v>
      </c>
      <c r="G358" s="1"/>
      <c r="H358" s="1">
        <v>0</v>
      </c>
      <c r="I358" s="1">
        <v>46338</v>
      </c>
      <c r="J358">
        <v>46188</v>
      </c>
      <c r="K358" s="1"/>
      <c r="L358" s="7">
        <v>0</v>
      </c>
      <c r="M358" s="7">
        <v>0</v>
      </c>
      <c r="N358" s="7">
        <v>0</v>
      </c>
      <c r="O358" s="7">
        <v>0</v>
      </c>
      <c r="P358" s="7">
        <v>0</v>
      </c>
      <c r="Q358" s="7">
        <v>0</v>
      </c>
      <c r="R358" s="7">
        <v>0</v>
      </c>
      <c r="S358" s="7">
        <v>0</v>
      </c>
      <c r="T358" s="7">
        <v>0</v>
      </c>
      <c r="U358" s="7">
        <v>0</v>
      </c>
      <c r="V358" s="7">
        <v>0</v>
      </c>
      <c r="W358" s="7">
        <v>0</v>
      </c>
      <c r="X358" s="7">
        <v>0</v>
      </c>
      <c r="Y358" s="7">
        <v>0</v>
      </c>
      <c r="Z358" s="7">
        <v>0</v>
      </c>
      <c r="AA358" s="7">
        <v>0</v>
      </c>
      <c r="AB358" s="7">
        <v>0</v>
      </c>
      <c r="AC358" s="7">
        <v>0</v>
      </c>
      <c r="AD358" s="7">
        <v>0</v>
      </c>
      <c r="AE358" s="7">
        <v>0</v>
      </c>
      <c r="AF358" s="7">
        <v>0</v>
      </c>
      <c r="AG358" s="7">
        <v>0</v>
      </c>
      <c r="AH358" s="7">
        <v>0</v>
      </c>
      <c r="AI358" s="7">
        <v>0</v>
      </c>
      <c r="AJ358" s="7">
        <v>0</v>
      </c>
      <c r="AK358" s="7">
        <v>0</v>
      </c>
      <c r="AL358" s="7">
        <v>0</v>
      </c>
      <c r="AM358" s="7">
        <v>0</v>
      </c>
      <c r="AN358" s="7">
        <v>0</v>
      </c>
      <c r="AO358" s="7">
        <v>0</v>
      </c>
      <c r="AP358" s="7">
        <v>0</v>
      </c>
      <c r="AQ358" s="7">
        <v>0</v>
      </c>
      <c r="AR358" s="7">
        <v>0</v>
      </c>
      <c r="AS358" s="7">
        <v>0</v>
      </c>
      <c r="AT358" s="7">
        <v>0</v>
      </c>
      <c r="AU358" s="7">
        <v>0</v>
      </c>
      <c r="AV358" s="7">
        <v>0</v>
      </c>
      <c r="AW358" s="7">
        <v>0</v>
      </c>
      <c r="AX358" s="7">
        <v>0</v>
      </c>
      <c r="AY358" s="7">
        <v>0</v>
      </c>
      <c r="AZ358" s="7">
        <v>0</v>
      </c>
      <c r="BA358" s="7">
        <v>0</v>
      </c>
      <c r="BB358" s="7">
        <v>0</v>
      </c>
      <c r="BC358" s="7">
        <v>0</v>
      </c>
      <c r="BD358">
        <v>0</v>
      </c>
      <c r="BE358">
        <v>28.87</v>
      </c>
      <c r="BF3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8" s="42" t="str">
        <f>+IF(AVANCE[[#This Row],[FECHA INICIO REAL]]="","",AVANCE[[#This Row],[FECHA INICIO REAL]]-AVANCE[[#This Row],[FECHA INICIO TEORICO]])</f>
        <v/>
      </c>
      <c r="BH3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9" spans="1:61" x14ac:dyDescent="0.25">
      <c r="A359" t="s">
        <v>1187</v>
      </c>
      <c r="B359" t="s">
        <v>1193</v>
      </c>
      <c r="C359">
        <v>2302600358</v>
      </c>
      <c r="D359" t="s">
        <v>834</v>
      </c>
      <c r="E359" s="4">
        <v>0</v>
      </c>
      <c r="F359" s="1">
        <v>46318</v>
      </c>
      <c r="G359" s="1"/>
      <c r="H359" s="1">
        <v>0</v>
      </c>
      <c r="I359" s="1">
        <v>46348</v>
      </c>
      <c r="J359">
        <v>46188</v>
      </c>
      <c r="K359" s="1"/>
      <c r="L359" s="7">
        <v>0</v>
      </c>
      <c r="M359" s="7">
        <v>0</v>
      </c>
      <c r="N359" s="7">
        <v>0</v>
      </c>
      <c r="O359" s="7">
        <v>0</v>
      </c>
      <c r="P359" s="7">
        <v>0</v>
      </c>
      <c r="Q359" s="7">
        <v>0</v>
      </c>
      <c r="R359" s="7">
        <v>0</v>
      </c>
      <c r="S359" s="7">
        <v>0</v>
      </c>
      <c r="T359" s="7">
        <v>0</v>
      </c>
      <c r="U359" s="7">
        <v>0</v>
      </c>
      <c r="V359" s="7">
        <v>0</v>
      </c>
      <c r="W359" s="7">
        <v>0</v>
      </c>
      <c r="X359" s="7">
        <v>0</v>
      </c>
      <c r="Y359" s="7">
        <v>0</v>
      </c>
      <c r="Z359" s="7">
        <v>0</v>
      </c>
      <c r="AA359" s="7">
        <v>0</v>
      </c>
      <c r="AB359" s="7">
        <v>0</v>
      </c>
      <c r="AC359" s="7">
        <v>0</v>
      </c>
      <c r="AD359" s="7">
        <v>0</v>
      </c>
      <c r="AE359" s="7">
        <v>0</v>
      </c>
      <c r="AF359" s="7">
        <v>0</v>
      </c>
      <c r="AG359" s="7">
        <v>0</v>
      </c>
      <c r="AH359" s="7">
        <v>0</v>
      </c>
      <c r="AI359" s="7">
        <v>0</v>
      </c>
      <c r="AJ359" s="7">
        <v>0</v>
      </c>
      <c r="AK359" s="7">
        <v>0</v>
      </c>
      <c r="AL359" s="7">
        <v>0</v>
      </c>
      <c r="AM359" s="7">
        <v>0</v>
      </c>
      <c r="AN359" s="7">
        <v>0</v>
      </c>
      <c r="AO359" s="7">
        <v>0</v>
      </c>
      <c r="AP359" s="7">
        <v>0</v>
      </c>
      <c r="AQ359" s="7">
        <v>0</v>
      </c>
      <c r="AR359" s="7">
        <v>0</v>
      </c>
      <c r="AS359" s="7">
        <v>0</v>
      </c>
      <c r="AT359" s="7">
        <v>0</v>
      </c>
      <c r="AU359" s="7">
        <v>0</v>
      </c>
      <c r="AV359" s="7">
        <v>0</v>
      </c>
      <c r="AW359" s="7">
        <v>0</v>
      </c>
      <c r="AX359" s="7">
        <v>0</v>
      </c>
      <c r="AY359" s="7">
        <v>0</v>
      </c>
      <c r="AZ359" s="7">
        <v>0</v>
      </c>
      <c r="BA359" s="7">
        <v>0</v>
      </c>
      <c r="BB359" s="7">
        <v>0</v>
      </c>
      <c r="BC359" s="7">
        <v>0</v>
      </c>
      <c r="BD359">
        <v>0</v>
      </c>
      <c r="BE359">
        <v>31.32</v>
      </c>
      <c r="BF3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9" s="42" t="str">
        <f>+IF(AVANCE[[#This Row],[FECHA INICIO REAL]]="","",AVANCE[[#This Row],[FECHA INICIO REAL]]-AVANCE[[#This Row],[FECHA INICIO TEORICO]])</f>
        <v/>
      </c>
      <c r="BH3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0" spans="1:61" x14ac:dyDescent="0.25">
      <c r="A360" t="s">
        <v>1187</v>
      </c>
      <c r="B360" t="s">
        <v>1194</v>
      </c>
      <c r="C360">
        <v>2302600359</v>
      </c>
      <c r="D360" t="s">
        <v>834</v>
      </c>
      <c r="E360" s="4">
        <v>0</v>
      </c>
      <c r="F360" s="1">
        <v>46321</v>
      </c>
      <c r="G360" s="1"/>
      <c r="H360" s="1">
        <v>0</v>
      </c>
      <c r="I360" s="1">
        <v>46351</v>
      </c>
      <c r="J360">
        <v>46188</v>
      </c>
      <c r="K360" s="1"/>
      <c r="L360" s="7">
        <v>0</v>
      </c>
      <c r="M360" s="7">
        <v>0</v>
      </c>
      <c r="N360" s="7">
        <v>0</v>
      </c>
      <c r="O360" s="7">
        <v>0</v>
      </c>
      <c r="P360" s="7">
        <v>0</v>
      </c>
      <c r="Q360" s="7">
        <v>0</v>
      </c>
      <c r="R360" s="7">
        <v>0</v>
      </c>
      <c r="S360" s="7">
        <v>0</v>
      </c>
      <c r="T360" s="7">
        <v>0</v>
      </c>
      <c r="U360" s="7">
        <v>0</v>
      </c>
      <c r="V360" s="7">
        <v>0</v>
      </c>
      <c r="W360" s="7">
        <v>0</v>
      </c>
      <c r="X360" s="7">
        <v>0</v>
      </c>
      <c r="Y360" s="7">
        <v>0</v>
      </c>
      <c r="Z360" s="7">
        <v>0</v>
      </c>
      <c r="AA360" s="7">
        <v>0</v>
      </c>
      <c r="AB360" s="7">
        <v>0</v>
      </c>
      <c r="AC360" s="7">
        <v>0</v>
      </c>
      <c r="AD360" s="7">
        <v>0</v>
      </c>
      <c r="AE360" s="7">
        <v>0</v>
      </c>
      <c r="AF360" s="7">
        <v>0</v>
      </c>
      <c r="AG360" s="7">
        <v>0</v>
      </c>
      <c r="AH360" s="7">
        <v>0</v>
      </c>
      <c r="AI360" s="7">
        <v>0</v>
      </c>
      <c r="AJ360" s="7">
        <v>0</v>
      </c>
      <c r="AK360" s="7">
        <v>0</v>
      </c>
      <c r="AL360" s="7">
        <v>0</v>
      </c>
      <c r="AM360" s="7">
        <v>0</v>
      </c>
      <c r="AN360" s="7">
        <v>0</v>
      </c>
      <c r="AO360" s="7">
        <v>0</v>
      </c>
      <c r="AP360" s="7">
        <v>0</v>
      </c>
      <c r="AQ360" s="7">
        <v>0</v>
      </c>
      <c r="AR360" s="7">
        <v>0</v>
      </c>
      <c r="AS360" s="7">
        <v>0</v>
      </c>
      <c r="AT360" s="7">
        <v>0</v>
      </c>
      <c r="AU360" s="7">
        <v>0</v>
      </c>
      <c r="AV360" s="7">
        <v>0</v>
      </c>
      <c r="AW360" s="7">
        <v>0</v>
      </c>
      <c r="AX360" s="7">
        <v>0</v>
      </c>
      <c r="AY360" s="7">
        <v>0</v>
      </c>
      <c r="AZ360" s="7">
        <v>0</v>
      </c>
      <c r="BA360" s="7">
        <v>0</v>
      </c>
      <c r="BB360" s="7">
        <v>0</v>
      </c>
      <c r="BC360" s="7">
        <v>0</v>
      </c>
      <c r="BD360">
        <v>0</v>
      </c>
      <c r="BE360">
        <v>31.32</v>
      </c>
      <c r="BF3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0" s="42" t="str">
        <f>+IF(AVANCE[[#This Row],[FECHA INICIO REAL]]="","",AVANCE[[#This Row],[FECHA INICIO REAL]]-AVANCE[[#This Row],[FECHA INICIO TEORICO]])</f>
        <v/>
      </c>
      <c r="BH3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1" spans="1:61" x14ac:dyDescent="0.25">
      <c r="A361" t="s">
        <v>1187</v>
      </c>
      <c r="B361" t="s">
        <v>1195</v>
      </c>
      <c r="C361">
        <v>2282600360</v>
      </c>
      <c r="D361" t="s">
        <v>833</v>
      </c>
      <c r="E361" s="4">
        <v>0</v>
      </c>
      <c r="F361" s="1">
        <v>46321</v>
      </c>
      <c r="G361" s="1"/>
      <c r="H361" s="1">
        <v>0</v>
      </c>
      <c r="I361" s="1">
        <v>46341</v>
      </c>
      <c r="J361">
        <v>46188</v>
      </c>
      <c r="K361" s="1"/>
      <c r="L361" s="7">
        <v>0</v>
      </c>
      <c r="M361" s="7">
        <v>0</v>
      </c>
      <c r="N361" s="7">
        <v>0</v>
      </c>
      <c r="O361" s="7">
        <v>0</v>
      </c>
      <c r="P361" s="7">
        <v>0</v>
      </c>
      <c r="Q361" s="7">
        <v>0</v>
      </c>
      <c r="R361" s="7">
        <v>0</v>
      </c>
      <c r="S361" s="7">
        <v>0</v>
      </c>
      <c r="T361" s="7">
        <v>0</v>
      </c>
      <c r="U361" s="7">
        <v>0</v>
      </c>
      <c r="V361" s="7">
        <v>0</v>
      </c>
      <c r="W361" s="7">
        <v>0</v>
      </c>
      <c r="X361" s="7">
        <v>0</v>
      </c>
      <c r="Y361" s="7">
        <v>0</v>
      </c>
      <c r="Z361" s="7">
        <v>0</v>
      </c>
      <c r="AA361" s="7">
        <v>0</v>
      </c>
      <c r="AB361" s="7">
        <v>0</v>
      </c>
      <c r="AC361" s="7">
        <v>0</v>
      </c>
      <c r="AD361" s="7">
        <v>0</v>
      </c>
      <c r="AE361" s="7">
        <v>0</v>
      </c>
      <c r="AF361" s="7">
        <v>0</v>
      </c>
      <c r="AG361" s="7">
        <v>0</v>
      </c>
      <c r="AH361" s="7">
        <v>0</v>
      </c>
      <c r="AI361" s="7">
        <v>0</v>
      </c>
      <c r="AJ361" s="7">
        <v>0</v>
      </c>
      <c r="AK361" s="7">
        <v>0</v>
      </c>
      <c r="AL361" s="7">
        <v>0</v>
      </c>
      <c r="AM361" s="7">
        <v>0</v>
      </c>
      <c r="AN361" s="7">
        <v>0</v>
      </c>
      <c r="AO361" s="7">
        <v>0</v>
      </c>
      <c r="AP361" s="7">
        <v>0</v>
      </c>
      <c r="AQ361" s="7">
        <v>0</v>
      </c>
      <c r="AR361" s="7">
        <v>0</v>
      </c>
      <c r="AS361" s="7">
        <v>0</v>
      </c>
      <c r="AT361" s="7">
        <v>0</v>
      </c>
      <c r="AU361" s="7">
        <v>0</v>
      </c>
      <c r="AV361" s="7">
        <v>0</v>
      </c>
      <c r="AW361" s="7">
        <v>0</v>
      </c>
      <c r="AX361" s="7">
        <v>0</v>
      </c>
      <c r="AY361" s="7">
        <v>0</v>
      </c>
      <c r="AZ361" s="7">
        <v>0</v>
      </c>
      <c r="BA361" s="7">
        <v>0</v>
      </c>
      <c r="BB361" s="7">
        <v>0</v>
      </c>
      <c r="BC361" s="7">
        <v>0</v>
      </c>
      <c r="BD361">
        <v>0</v>
      </c>
      <c r="BE361">
        <v>28.87</v>
      </c>
      <c r="BF3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1" s="42" t="str">
        <f>+IF(AVANCE[[#This Row],[FECHA INICIO REAL]]="","",AVANCE[[#This Row],[FECHA INICIO REAL]]-AVANCE[[#This Row],[FECHA INICIO TEORICO]])</f>
        <v/>
      </c>
      <c r="BH3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2" spans="1:61" x14ac:dyDescent="0.25">
      <c r="A362" t="s">
        <v>1187</v>
      </c>
      <c r="B362" t="s">
        <v>1196</v>
      </c>
      <c r="C362">
        <v>2282600361</v>
      </c>
      <c r="D362" t="s">
        <v>833</v>
      </c>
      <c r="E362" s="4">
        <v>0</v>
      </c>
      <c r="F362" s="1">
        <v>46321</v>
      </c>
      <c r="G362" s="1"/>
      <c r="H362" s="1">
        <v>0</v>
      </c>
      <c r="I362" s="1">
        <v>46341</v>
      </c>
      <c r="J362">
        <v>46188</v>
      </c>
      <c r="K362" s="1"/>
      <c r="L362" s="7">
        <v>0</v>
      </c>
      <c r="M362" s="7">
        <v>0</v>
      </c>
      <c r="N362" s="7">
        <v>0</v>
      </c>
      <c r="O362" s="7">
        <v>0</v>
      </c>
      <c r="P362" s="7">
        <v>0</v>
      </c>
      <c r="Q362" s="7">
        <v>0</v>
      </c>
      <c r="R362" s="7">
        <v>0</v>
      </c>
      <c r="S362" s="7">
        <v>0</v>
      </c>
      <c r="T362" s="7">
        <v>0</v>
      </c>
      <c r="U362" s="7">
        <v>0</v>
      </c>
      <c r="V362" s="7">
        <v>0</v>
      </c>
      <c r="W362" s="7">
        <v>0</v>
      </c>
      <c r="X362" s="7">
        <v>0</v>
      </c>
      <c r="Y362" s="7">
        <v>0</v>
      </c>
      <c r="Z362" s="7">
        <v>0</v>
      </c>
      <c r="AA362" s="7">
        <v>0</v>
      </c>
      <c r="AB362" s="7">
        <v>0</v>
      </c>
      <c r="AC362" s="7">
        <v>0</v>
      </c>
      <c r="AD362" s="7">
        <v>0</v>
      </c>
      <c r="AE362" s="7">
        <v>0</v>
      </c>
      <c r="AF362" s="7">
        <v>0</v>
      </c>
      <c r="AG362" s="7">
        <v>0</v>
      </c>
      <c r="AH362" s="7">
        <v>0</v>
      </c>
      <c r="AI362" s="7">
        <v>0</v>
      </c>
      <c r="AJ362" s="7">
        <v>0</v>
      </c>
      <c r="AK362" s="7">
        <v>0</v>
      </c>
      <c r="AL362" s="7">
        <v>0</v>
      </c>
      <c r="AM362" s="7">
        <v>0</v>
      </c>
      <c r="AN362" s="7">
        <v>0</v>
      </c>
      <c r="AO362" s="7">
        <v>0</v>
      </c>
      <c r="AP362" s="7">
        <v>0</v>
      </c>
      <c r="AQ362" s="7">
        <v>0</v>
      </c>
      <c r="AR362" s="7">
        <v>0</v>
      </c>
      <c r="AS362" s="7">
        <v>0</v>
      </c>
      <c r="AT362" s="7">
        <v>0</v>
      </c>
      <c r="AU362" s="7">
        <v>0</v>
      </c>
      <c r="AV362" s="7">
        <v>0</v>
      </c>
      <c r="AW362" s="7">
        <v>0</v>
      </c>
      <c r="AX362" s="7">
        <v>0</v>
      </c>
      <c r="AY362" s="7">
        <v>0</v>
      </c>
      <c r="AZ362" s="7">
        <v>0</v>
      </c>
      <c r="BA362" s="7">
        <v>0</v>
      </c>
      <c r="BB362" s="7">
        <v>0</v>
      </c>
      <c r="BC362" s="7">
        <v>0</v>
      </c>
      <c r="BD362">
        <v>0</v>
      </c>
      <c r="BE362">
        <v>28.87</v>
      </c>
      <c r="BF3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2" s="42" t="str">
        <f>+IF(AVANCE[[#This Row],[FECHA INICIO REAL]]="","",AVANCE[[#This Row],[FECHA INICIO REAL]]-AVANCE[[#This Row],[FECHA INICIO TEORICO]])</f>
        <v/>
      </c>
      <c r="BH3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3" spans="1:61" x14ac:dyDescent="0.25">
      <c r="A363" t="s">
        <v>1187</v>
      </c>
      <c r="B363" t="s">
        <v>1197</v>
      </c>
      <c r="C363">
        <v>2302600362</v>
      </c>
      <c r="D363" t="s">
        <v>834</v>
      </c>
      <c r="E363" s="4">
        <v>0</v>
      </c>
      <c r="F363" s="1">
        <v>46322</v>
      </c>
      <c r="G363" s="1"/>
      <c r="H363" s="1">
        <v>0</v>
      </c>
      <c r="I363" s="1">
        <v>46352</v>
      </c>
      <c r="J363">
        <v>46188</v>
      </c>
      <c r="K363" s="1"/>
      <c r="L363" s="7">
        <v>0</v>
      </c>
      <c r="M363" s="7">
        <v>0</v>
      </c>
      <c r="N363" s="7">
        <v>0</v>
      </c>
      <c r="O363" s="7">
        <v>0</v>
      </c>
      <c r="P363" s="7">
        <v>0</v>
      </c>
      <c r="Q363" s="7">
        <v>0</v>
      </c>
      <c r="R363" s="7">
        <v>0</v>
      </c>
      <c r="S363" s="7">
        <v>0</v>
      </c>
      <c r="T363" s="7">
        <v>0</v>
      </c>
      <c r="U363" s="7">
        <v>0</v>
      </c>
      <c r="V363" s="7">
        <v>0</v>
      </c>
      <c r="W363" s="7">
        <v>0</v>
      </c>
      <c r="X363" s="7">
        <v>0</v>
      </c>
      <c r="Y363" s="7">
        <v>0</v>
      </c>
      <c r="Z363" s="7">
        <v>0</v>
      </c>
      <c r="AA363" s="7">
        <v>0</v>
      </c>
      <c r="AB363" s="7">
        <v>0</v>
      </c>
      <c r="AC363" s="7">
        <v>0</v>
      </c>
      <c r="AD363" s="7">
        <v>0</v>
      </c>
      <c r="AE363" s="7">
        <v>0</v>
      </c>
      <c r="AF363" s="7">
        <v>0</v>
      </c>
      <c r="AG363" s="7">
        <v>0</v>
      </c>
      <c r="AH363" s="7">
        <v>0</v>
      </c>
      <c r="AI363" s="7">
        <v>0</v>
      </c>
      <c r="AJ363" s="7">
        <v>0</v>
      </c>
      <c r="AK363" s="7">
        <v>0</v>
      </c>
      <c r="AL363" s="7">
        <v>0</v>
      </c>
      <c r="AM363" s="7">
        <v>0</v>
      </c>
      <c r="AN363" s="7">
        <v>0</v>
      </c>
      <c r="AO363" s="7">
        <v>0</v>
      </c>
      <c r="AP363" s="7">
        <v>0</v>
      </c>
      <c r="AQ363" s="7">
        <v>0</v>
      </c>
      <c r="AR363" s="7">
        <v>0</v>
      </c>
      <c r="AS363" s="7">
        <v>0</v>
      </c>
      <c r="AT363" s="7">
        <v>0</v>
      </c>
      <c r="AU363" s="7">
        <v>0</v>
      </c>
      <c r="AV363" s="7">
        <v>0</v>
      </c>
      <c r="AW363" s="7">
        <v>0</v>
      </c>
      <c r="AX363" s="7">
        <v>0</v>
      </c>
      <c r="AY363" s="7">
        <v>0</v>
      </c>
      <c r="AZ363" s="7">
        <v>0</v>
      </c>
      <c r="BA363" s="7">
        <v>0</v>
      </c>
      <c r="BB363" s="7">
        <v>0</v>
      </c>
      <c r="BC363" s="7">
        <v>0</v>
      </c>
      <c r="BD363">
        <v>0</v>
      </c>
      <c r="BE363">
        <v>31.32</v>
      </c>
      <c r="BF3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3" s="42" t="str">
        <f>+IF(AVANCE[[#This Row],[FECHA INICIO REAL]]="","",AVANCE[[#This Row],[FECHA INICIO REAL]]-AVANCE[[#This Row],[FECHA INICIO TEORICO]])</f>
        <v/>
      </c>
      <c r="BH3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4" spans="1:61" x14ac:dyDescent="0.25">
      <c r="A364" t="s">
        <v>1187</v>
      </c>
      <c r="B364" t="s">
        <v>1198</v>
      </c>
      <c r="C364">
        <v>2302600363</v>
      </c>
      <c r="D364" t="s">
        <v>834</v>
      </c>
      <c r="E364" s="4">
        <v>0</v>
      </c>
      <c r="F364" s="1">
        <v>46322</v>
      </c>
      <c r="G364" s="1"/>
      <c r="H364" s="1">
        <v>0</v>
      </c>
      <c r="I364" s="1">
        <v>46352</v>
      </c>
      <c r="J364">
        <v>46188</v>
      </c>
      <c r="K364" s="1"/>
      <c r="L364" s="7">
        <v>0</v>
      </c>
      <c r="M364" s="7">
        <v>0</v>
      </c>
      <c r="N364" s="7">
        <v>0</v>
      </c>
      <c r="O364" s="7">
        <v>0</v>
      </c>
      <c r="P364" s="7">
        <v>0</v>
      </c>
      <c r="Q364" s="7">
        <v>0</v>
      </c>
      <c r="R364" s="7">
        <v>0</v>
      </c>
      <c r="S364" s="7">
        <v>0</v>
      </c>
      <c r="T364" s="7">
        <v>0</v>
      </c>
      <c r="U364" s="7">
        <v>0</v>
      </c>
      <c r="V364" s="7">
        <v>0</v>
      </c>
      <c r="W364" s="7">
        <v>0</v>
      </c>
      <c r="X364" s="7">
        <v>0</v>
      </c>
      <c r="Y364" s="7">
        <v>0</v>
      </c>
      <c r="Z364" s="7">
        <v>0</v>
      </c>
      <c r="AA364" s="7">
        <v>0</v>
      </c>
      <c r="AB364" s="7">
        <v>0</v>
      </c>
      <c r="AC364" s="7">
        <v>0</v>
      </c>
      <c r="AD364" s="7">
        <v>0</v>
      </c>
      <c r="AE364" s="7">
        <v>0</v>
      </c>
      <c r="AF364" s="7">
        <v>0</v>
      </c>
      <c r="AG364" s="7">
        <v>0</v>
      </c>
      <c r="AH364" s="7">
        <v>0</v>
      </c>
      <c r="AI364" s="7">
        <v>0</v>
      </c>
      <c r="AJ364" s="7">
        <v>0</v>
      </c>
      <c r="AK364" s="7">
        <v>0</v>
      </c>
      <c r="AL364" s="7">
        <v>0</v>
      </c>
      <c r="AM364" s="7">
        <v>0</v>
      </c>
      <c r="AN364" s="7">
        <v>0</v>
      </c>
      <c r="AO364" s="7">
        <v>0</v>
      </c>
      <c r="AP364" s="7">
        <v>0</v>
      </c>
      <c r="AQ364" s="7">
        <v>0</v>
      </c>
      <c r="AR364" s="7">
        <v>0</v>
      </c>
      <c r="AS364" s="7">
        <v>0</v>
      </c>
      <c r="AT364" s="7">
        <v>0</v>
      </c>
      <c r="AU364" s="7">
        <v>0</v>
      </c>
      <c r="AV364" s="7">
        <v>0</v>
      </c>
      <c r="AW364" s="7">
        <v>0</v>
      </c>
      <c r="AX364" s="7">
        <v>0</v>
      </c>
      <c r="AY364" s="7">
        <v>0</v>
      </c>
      <c r="AZ364" s="7">
        <v>0</v>
      </c>
      <c r="BA364" s="7">
        <v>0</v>
      </c>
      <c r="BB364" s="7">
        <v>0</v>
      </c>
      <c r="BC364" s="7">
        <v>0</v>
      </c>
      <c r="BD364">
        <v>0</v>
      </c>
      <c r="BE364">
        <v>31.32</v>
      </c>
      <c r="BF3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4" s="42" t="str">
        <f>+IF(AVANCE[[#This Row],[FECHA INICIO REAL]]="","",AVANCE[[#This Row],[FECHA INICIO REAL]]-AVANCE[[#This Row],[FECHA INICIO TEORICO]])</f>
        <v/>
      </c>
      <c r="BH3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5" spans="1:61" x14ac:dyDescent="0.25">
      <c r="A365" t="s">
        <v>1187</v>
      </c>
      <c r="B365" t="s">
        <v>1199</v>
      </c>
      <c r="C365">
        <v>2282600364</v>
      </c>
      <c r="D365" t="s">
        <v>833</v>
      </c>
      <c r="E365" s="4">
        <v>0</v>
      </c>
      <c r="F365" s="1">
        <v>46322</v>
      </c>
      <c r="G365" s="1"/>
      <c r="H365" s="1">
        <v>0</v>
      </c>
      <c r="I365" s="1">
        <v>46342</v>
      </c>
      <c r="J365">
        <v>46188</v>
      </c>
      <c r="K365" s="1"/>
      <c r="L365" s="7">
        <v>0</v>
      </c>
      <c r="M365" s="7">
        <v>0</v>
      </c>
      <c r="N365" s="7">
        <v>0</v>
      </c>
      <c r="O365" s="7">
        <v>0</v>
      </c>
      <c r="P365" s="7">
        <v>0</v>
      </c>
      <c r="Q365" s="7">
        <v>0</v>
      </c>
      <c r="R365" s="7">
        <v>0</v>
      </c>
      <c r="S365" s="7">
        <v>0</v>
      </c>
      <c r="T365" s="7">
        <v>0</v>
      </c>
      <c r="U365" s="7">
        <v>0</v>
      </c>
      <c r="V365" s="7">
        <v>0</v>
      </c>
      <c r="W365" s="7">
        <v>0</v>
      </c>
      <c r="X365" s="7">
        <v>0</v>
      </c>
      <c r="Y365" s="7">
        <v>0</v>
      </c>
      <c r="Z365" s="7">
        <v>0</v>
      </c>
      <c r="AA365" s="7">
        <v>0</v>
      </c>
      <c r="AB365" s="7">
        <v>0</v>
      </c>
      <c r="AC365" s="7">
        <v>0</v>
      </c>
      <c r="AD365" s="7">
        <v>0</v>
      </c>
      <c r="AE365" s="7">
        <v>0</v>
      </c>
      <c r="AF365" s="7">
        <v>0</v>
      </c>
      <c r="AG365" s="7">
        <v>0</v>
      </c>
      <c r="AH365" s="7">
        <v>0</v>
      </c>
      <c r="AI365" s="7">
        <v>0</v>
      </c>
      <c r="AJ365" s="7">
        <v>0</v>
      </c>
      <c r="AK365" s="7">
        <v>0</v>
      </c>
      <c r="AL365" s="7">
        <v>0</v>
      </c>
      <c r="AM365" s="7">
        <v>0</v>
      </c>
      <c r="AN365" s="7">
        <v>0</v>
      </c>
      <c r="AO365" s="7">
        <v>0</v>
      </c>
      <c r="AP365" s="7">
        <v>0</v>
      </c>
      <c r="AQ365" s="7">
        <v>0</v>
      </c>
      <c r="AR365" s="7">
        <v>0</v>
      </c>
      <c r="AS365" s="7">
        <v>0</v>
      </c>
      <c r="AT365" s="7">
        <v>0</v>
      </c>
      <c r="AU365" s="7">
        <v>0</v>
      </c>
      <c r="AV365" s="7">
        <v>0</v>
      </c>
      <c r="AW365" s="7">
        <v>0</v>
      </c>
      <c r="AX365" s="7">
        <v>0</v>
      </c>
      <c r="AY365" s="7">
        <v>0</v>
      </c>
      <c r="AZ365" s="7">
        <v>0</v>
      </c>
      <c r="BA365" s="7">
        <v>0</v>
      </c>
      <c r="BB365" s="7">
        <v>0</v>
      </c>
      <c r="BC365" s="7">
        <v>0</v>
      </c>
      <c r="BD365">
        <v>0</v>
      </c>
      <c r="BE365">
        <v>28.87</v>
      </c>
      <c r="BF3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5" s="42" t="str">
        <f>+IF(AVANCE[[#This Row],[FECHA INICIO REAL]]="","",AVANCE[[#This Row],[FECHA INICIO REAL]]-AVANCE[[#This Row],[FECHA INICIO TEORICO]])</f>
        <v/>
      </c>
      <c r="BH3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6" spans="1:61" x14ac:dyDescent="0.25">
      <c r="A366" t="s">
        <v>1187</v>
      </c>
      <c r="B366" t="s">
        <v>1200</v>
      </c>
      <c r="C366">
        <v>2282600365</v>
      </c>
      <c r="D366" t="s">
        <v>833</v>
      </c>
      <c r="E366" s="4">
        <v>0</v>
      </c>
      <c r="F366" s="1">
        <v>46323</v>
      </c>
      <c r="G366" s="1"/>
      <c r="H366" s="1">
        <v>0</v>
      </c>
      <c r="I366" s="1">
        <v>46343</v>
      </c>
      <c r="J366">
        <v>46188</v>
      </c>
      <c r="K366" s="1"/>
      <c r="L366" s="7">
        <v>0</v>
      </c>
      <c r="M366" s="7">
        <v>0</v>
      </c>
      <c r="N366" s="7">
        <v>0</v>
      </c>
      <c r="O366" s="7">
        <v>0</v>
      </c>
      <c r="P366" s="7">
        <v>0</v>
      </c>
      <c r="Q366" s="7">
        <v>0</v>
      </c>
      <c r="R366" s="7">
        <v>0</v>
      </c>
      <c r="S366" s="7">
        <v>0</v>
      </c>
      <c r="T366" s="7">
        <v>0</v>
      </c>
      <c r="U366" s="7">
        <v>0</v>
      </c>
      <c r="V366" s="7">
        <v>0</v>
      </c>
      <c r="W366" s="7">
        <v>0</v>
      </c>
      <c r="X366" s="7">
        <v>0</v>
      </c>
      <c r="Y366" s="7">
        <v>0</v>
      </c>
      <c r="Z366" s="7">
        <v>0</v>
      </c>
      <c r="AA366" s="7">
        <v>0</v>
      </c>
      <c r="AB366" s="7">
        <v>0</v>
      </c>
      <c r="AC366" s="7">
        <v>0</v>
      </c>
      <c r="AD366" s="7">
        <v>0</v>
      </c>
      <c r="AE366" s="7">
        <v>0</v>
      </c>
      <c r="AF366" s="7">
        <v>0</v>
      </c>
      <c r="AG366" s="7">
        <v>0</v>
      </c>
      <c r="AH366" s="7">
        <v>0</v>
      </c>
      <c r="AI366" s="7">
        <v>0</v>
      </c>
      <c r="AJ366" s="7">
        <v>0</v>
      </c>
      <c r="AK366" s="7">
        <v>0</v>
      </c>
      <c r="AL366" s="7">
        <v>0</v>
      </c>
      <c r="AM366" s="7">
        <v>0</v>
      </c>
      <c r="AN366" s="7">
        <v>0</v>
      </c>
      <c r="AO366" s="7">
        <v>0</v>
      </c>
      <c r="AP366" s="7">
        <v>0</v>
      </c>
      <c r="AQ366" s="7">
        <v>0</v>
      </c>
      <c r="AR366" s="7">
        <v>0</v>
      </c>
      <c r="AS366" s="7">
        <v>0</v>
      </c>
      <c r="AT366" s="7">
        <v>0</v>
      </c>
      <c r="AU366" s="7">
        <v>0</v>
      </c>
      <c r="AV366" s="7">
        <v>0</v>
      </c>
      <c r="AW366" s="7">
        <v>0</v>
      </c>
      <c r="AX366" s="7">
        <v>0</v>
      </c>
      <c r="AY366" s="7">
        <v>0</v>
      </c>
      <c r="AZ366" s="7">
        <v>0</v>
      </c>
      <c r="BA366" s="7">
        <v>0</v>
      </c>
      <c r="BB366" s="7">
        <v>0</v>
      </c>
      <c r="BC366" s="7">
        <v>0</v>
      </c>
      <c r="BD366">
        <v>0</v>
      </c>
      <c r="BE366">
        <v>28.87</v>
      </c>
      <c r="BF3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6" s="42" t="str">
        <f>+IF(AVANCE[[#This Row],[FECHA INICIO REAL]]="","",AVANCE[[#This Row],[FECHA INICIO REAL]]-AVANCE[[#This Row],[FECHA INICIO TEORICO]])</f>
        <v/>
      </c>
      <c r="BH3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7" spans="1:61" x14ac:dyDescent="0.25">
      <c r="A367" t="s">
        <v>1187</v>
      </c>
      <c r="B367" t="s">
        <v>1201</v>
      </c>
      <c r="C367">
        <v>2302600366</v>
      </c>
      <c r="D367" t="s">
        <v>834</v>
      </c>
      <c r="E367" s="4">
        <v>0</v>
      </c>
      <c r="F367" s="1">
        <v>46323</v>
      </c>
      <c r="G367" s="1"/>
      <c r="H367" s="1">
        <v>0</v>
      </c>
      <c r="I367" s="1">
        <v>46353</v>
      </c>
      <c r="J367">
        <v>46188</v>
      </c>
      <c r="K367" s="1"/>
      <c r="L367" s="7">
        <v>0</v>
      </c>
      <c r="M367" s="7">
        <v>0</v>
      </c>
      <c r="N367" s="7">
        <v>0</v>
      </c>
      <c r="O367" s="7">
        <v>0</v>
      </c>
      <c r="P367" s="7">
        <v>0</v>
      </c>
      <c r="Q367" s="7">
        <v>0</v>
      </c>
      <c r="R367" s="7">
        <v>0</v>
      </c>
      <c r="S367" s="7">
        <v>0</v>
      </c>
      <c r="T367" s="7">
        <v>0</v>
      </c>
      <c r="U367" s="7">
        <v>0</v>
      </c>
      <c r="V367" s="7">
        <v>0</v>
      </c>
      <c r="W367" s="7">
        <v>0</v>
      </c>
      <c r="X367" s="7">
        <v>0</v>
      </c>
      <c r="Y367" s="7">
        <v>0</v>
      </c>
      <c r="Z367" s="7">
        <v>0</v>
      </c>
      <c r="AA367" s="7">
        <v>0</v>
      </c>
      <c r="AB367" s="7">
        <v>0</v>
      </c>
      <c r="AC367" s="7">
        <v>0</v>
      </c>
      <c r="AD367" s="7">
        <v>0</v>
      </c>
      <c r="AE367" s="7">
        <v>0</v>
      </c>
      <c r="AF367" s="7">
        <v>0</v>
      </c>
      <c r="AG367" s="7">
        <v>0</v>
      </c>
      <c r="AH367" s="7">
        <v>0</v>
      </c>
      <c r="AI367" s="7">
        <v>0</v>
      </c>
      <c r="AJ367" s="7">
        <v>0</v>
      </c>
      <c r="AK367" s="7">
        <v>0</v>
      </c>
      <c r="AL367" s="7">
        <v>0</v>
      </c>
      <c r="AM367" s="7">
        <v>0</v>
      </c>
      <c r="AN367" s="7">
        <v>0</v>
      </c>
      <c r="AO367" s="7">
        <v>0</v>
      </c>
      <c r="AP367" s="7">
        <v>0</v>
      </c>
      <c r="AQ367" s="7">
        <v>0</v>
      </c>
      <c r="AR367" s="7">
        <v>0</v>
      </c>
      <c r="AS367" s="7">
        <v>0</v>
      </c>
      <c r="AT367" s="7">
        <v>0</v>
      </c>
      <c r="AU367" s="7">
        <v>0</v>
      </c>
      <c r="AV367" s="7">
        <v>0</v>
      </c>
      <c r="AW367" s="7">
        <v>0</v>
      </c>
      <c r="AX367" s="7">
        <v>0</v>
      </c>
      <c r="AY367" s="7">
        <v>0</v>
      </c>
      <c r="AZ367" s="7">
        <v>0</v>
      </c>
      <c r="BA367" s="7">
        <v>0</v>
      </c>
      <c r="BB367" s="7">
        <v>0</v>
      </c>
      <c r="BC367" s="7">
        <v>0</v>
      </c>
      <c r="BD367">
        <v>0</v>
      </c>
      <c r="BE367">
        <v>31.32</v>
      </c>
      <c r="BF3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7" s="42" t="str">
        <f>+IF(AVANCE[[#This Row],[FECHA INICIO REAL]]="","",AVANCE[[#This Row],[FECHA INICIO REAL]]-AVANCE[[#This Row],[FECHA INICIO TEORICO]])</f>
        <v/>
      </c>
      <c r="BH3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8" spans="1:61" x14ac:dyDescent="0.25">
      <c r="A368" t="s">
        <v>1187</v>
      </c>
      <c r="B368" t="s">
        <v>1202</v>
      </c>
      <c r="C368">
        <v>2302600367</v>
      </c>
      <c r="D368" t="s">
        <v>834</v>
      </c>
      <c r="E368" s="4">
        <v>0</v>
      </c>
      <c r="F368" s="1">
        <v>46323</v>
      </c>
      <c r="G368" s="1"/>
      <c r="H368" s="1">
        <v>0</v>
      </c>
      <c r="I368" s="1">
        <v>46353</v>
      </c>
      <c r="J368">
        <v>46188</v>
      </c>
      <c r="K368" s="1"/>
      <c r="L368" s="7">
        <v>0</v>
      </c>
      <c r="M368" s="7">
        <v>0</v>
      </c>
      <c r="N368" s="7">
        <v>0</v>
      </c>
      <c r="O368" s="7">
        <v>0</v>
      </c>
      <c r="P368" s="7">
        <v>0</v>
      </c>
      <c r="Q368" s="7">
        <v>0</v>
      </c>
      <c r="R368" s="7">
        <v>0</v>
      </c>
      <c r="S368" s="7">
        <v>0</v>
      </c>
      <c r="T368" s="7">
        <v>0</v>
      </c>
      <c r="U368" s="7">
        <v>0</v>
      </c>
      <c r="V368" s="7">
        <v>0</v>
      </c>
      <c r="W368" s="7">
        <v>0</v>
      </c>
      <c r="X368" s="7">
        <v>0</v>
      </c>
      <c r="Y368" s="7">
        <v>0</v>
      </c>
      <c r="Z368" s="7">
        <v>0</v>
      </c>
      <c r="AA368" s="7">
        <v>0</v>
      </c>
      <c r="AB368" s="7">
        <v>0</v>
      </c>
      <c r="AC368" s="7">
        <v>0</v>
      </c>
      <c r="AD368" s="7">
        <v>0</v>
      </c>
      <c r="AE368" s="7">
        <v>0</v>
      </c>
      <c r="AF368" s="7">
        <v>0</v>
      </c>
      <c r="AG368" s="7">
        <v>0</v>
      </c>
      <c r="AH368" s="7">
        <v>0</v>
      </c>
      <c r="AI368" s="7">
        <v>0</v>
      </c>
      <c r="AJ368" s="7">
        <v>0</v>
      </c>
      <c r="AK368" s="7">
        <v>0</v>
      </c>
      <c r="AL368" s="7">
        <v>0</v>
      </c>
      <c r="AM368" s="7">
        <v>0</v>
      </c>
      <c r="AN368" s="7">
        <v>0</v>
      </c>
      <c r="AO368" s="7">
        <v>0</v>
      </c>
      <c r="AP368" s="7">
        <v>0</v>
      </c>
      <c r="AQ368" s="7">
        <v>0</v>
      </c>
      <c r="AR368" s="7">
        <v>0</v>
      </c>
      <c r="AS368" s="7">
        <v>0</v>
      </c>
      <c r="AT368" s="7">
        <v>0</v>
      </c>
      <c r="AU368" s="7">
        <v>0</v>
      </c>
      <c r="AV368" s="7">
        <v>0</v>
      </c>
      <c r="AW368" s="7">
        <v>0</v>
      </c>
      <c r="AX368" s="7">
        <v>0</v>
      </c>
      <c r="AY368" s="7">
        <v>0</v>
      </c>
      <c r="AZ368" s="7">
        <v>0</v>
      </c>
      <c r="BA368" s="7">
        <v>0</v>
      </c>
      <c r="BB368" s="7">
        <v>0</v>
      </c>
      <c r="BC368" s="7">
        <v>0</v>
      </c>
      <c r="BD368">
        <v>0</v>
      </c>
      <c r="BE368">
        <v>31.32</v>
      </c>
      <c r="BF3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8" s="42" t="str">
        <f>+IF(AVANCE[[#This Row],[FECHA INICIO REAL]]="","",AVANCE[[#This Row],[FECHA INICIO REAL]]-AVANCE[[#This Row],[FECHA INICIO TEORICO]])</f>
        <v/>
      </c>
      <c r="BH3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9" spans="1:61" x14ac:dyDescent="0.25">
      <c r="A369" t="s">
        <v>1187</v>
      </c>
      <c r="B369" t="s">
        <v>1203</v>
      </c>
      <c r="C369">
        <v>2282600368</v>
      </c>
      <c r="D369" t="s">
        <v>833</v>
      </c>
      <c r="E369" s="4">
        <v>0</v>
      </c>
      <c r="F369" s="1">
        <v>46324</v>
      </c>
      <c r="G369" s="1"/>
      <c r="H369" s="1">
        <v>0</v>
      </c>
      <c r="I369" s="1">
        <v>46344</v>
      </c>
      <c r="J369">
        <v>46188</v>
      </c>
      <c r="K369" s="1"/>
      <c r="L369" s="7">
        <v>0</v>
      </c>
      <c r="M369" s="7">
        <v>0</v>
      </c>
      <c r="N369" s="7">
        <v>0</v>
      </c>
      <c r="O369" s="7">
        <v>0</v>
      </c>
      <c r="P369" s="7">
        <v>0</v>
      </c>
      <c r="Q369" s="7">
        <v>0</v>
      </c>
      <c r="R369" s="7">
        <v>0</v>
      </c>
      <c r="S369" s="7">
        <v>0</v>
      </c>
      <c r="T369" s="7">
        <v>0</v>
      </c>
      <c r="U369" s="7">
        <v>0</v>
      </c>
      <c r="V369" s="7">
        <v>0</v>
      </c>
      <c r="W369" s="7">
        <v>0</v>
      </c>
      <c r="X369" s="7">
        <v>0</v>
      </c>
      <c r="Y369" s="7">
        <v>0</v>
      </c>
      <c r="Z369" s="7">
        <v>0</v>
      </c>
      <c r="AA369" s="7">
        <v>0</v>
      </c>
      <c r="AB369" s="7">
        <v>0</v>
      </c>
      <c r="AC369" s="7">
        <v>0</v>
      </c>
      <c r="AD369" s="7">
        <v>0</v>
      </c>
      <c r="AE369" s="7">
        <v>0</v>
      </c>
      <c r="AF369" s="7">
        <v>0</v>
      </c>
      <c r="AG369" s="7">
        <v>0</v>
      </c>
      <c r="AH369" s="7">
        <v>0</v>
      </c>
      <c r="AI369" s="7">
        <v>0</v>
      </c>
      <c r="AJ369" s="7">
        <v>0</v>
      </c>
      <c r="AK369" s="7">
        <v>0</v>
      </c>
      <c r="AL369" s="7">
        <v>0</v>
      </c>
      <c r="AM369" s="7">
        <v>0</v>
      </c>
      <c r="AN369" s="7">
        <v>0</v>
      </c>
      <c r="AO369" s="7">
        <v>0</v>
      </c>
      <c r="AP369" s="7">
        <v>0</v>
      </c>
      <c r="AQ369" s="7">
        <v>0</v>
      </c>
      <c r="AR369" s="7">
        <v>0</v>
      </c>
      <c r="AS369" s="7">
        <v>0</v>
      </c>
      <c r="AT369" s="7">
        <v>0</v>
      </c>
      <c r="AU369" s="7">
        <v>0</v>
      </c>
      <c r="AV369" s="7">
        <v>0</v>
      </c>
      <c r="AW369" s="7">
        <v>0</v>
      </c>
      <c r="AX369" s="7">
        <v>0</v>
      </c>
      <c r="AY369" s="7">
        <v>0</v>
      </c>
      <c r="AZ369" s="7">
        <v>0</v>
      </c>
      <c r="BA369" s="7">
        <v>0</v>
      </c>
      <c r="BB369" s="7">
        <v>0</v>
      </c>
      <c r="BC369" s="7">
        <v>0</v>
      </c>
      <c r="BD369">
        <v>0</v>
      </c>
      <c r="BE369">
        <v>28.87</v>
      </c>
      <c r="BF3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9" s="42" t="str">
        <f>+IF(AVANCE[[#This Row],[FECHA INICIO REAL]]="","",AVANCE[[#This Row],[FECHA INICIO REAL]]-AVANCE[[#This Row],[FECHA INICIO TEORICO]])</f>
        <v/>
      </c>
      <c r="BH3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0" spans="1:61" x14ac:dyDescent="0.25">
      <c r="A370" t="s">
        <v>1187</v>
      </c>
      <c r="B370" t="s">
        <v>1204</v>
      </c>
      <c r="C370">
        <v>2282600369</v>
      </c>
      <c r="D370" t="s">
        <v>833</v>
      </c>
      <c r="E370" s="4">
        <v>0</v>
      </c>
      <c r="F370" s="1">
        <v>46324</v>
      </c>
      <c r="G370" s="1"/>
      <c r="H370" s="1">
        <v>0</v>
      </c>
      <c r="I370" s="1">
        <v>46344</v>
      </c>
      <c r="J370">
        <v>46188</v>
      </c>
      <c r="K370" s="1"/>
      <c r="L370" s="7">
        <v>0</v>
      </c>
      <c r="M370" s="7">
        <v>0</v>
      </c>
      <c r="N370" s="7">
        <v>0</v>
      </c>
      <c r="O370" s="7">
        <v>0</v>
      </c>
      <c r="P370" s="7">
        <v>0</v>
      </c>
      <c r="Q370" s="7">
        <v>0</v>
      </c>
      <c r="R370" s="7">
        <v>0</v>
      </c>
      <c r="S370" s="7">
        <v>0</v>
      </c>
      <c r="T370" s="7">
        <v>0</v>
      </c>
      <c r="U370" s="7">
        <v>0</v>
      </c>
      <c r="V370" s="7">
        <v>0</v>
      </c>
      <c r="W370" s="7">
        <v>0</v>
      </c>
      <c r="X370" s="7">
        <v>0</v>
      </c>
      <c r="Y370" s="7">
        <v>0</v>
      </c>
      <c r="Z370" s="7">
        <v>0</v>
      </c>
      <c r="AA370" s="7">
        <v>0</v>
      </c>
      <c r="AB370" s="7">
        <v>0</v>
      </c>
      <c r="AC370" s="7">
        <v>0</v>
      </c>
      <c r="AD370" s="7">
        <v>0</v>
      </c>
      <c r="AE370" s="7">
        <v>0</v>
      </c>
      <c r="AF370" s="7">
        <v>0</v>
      </c>
      <c r="AG370" s="7">
        <v>0</v>
      </c>
      <c r="AH370" s="7">
        <v>0</v>
      </c>
      <c r="AI370" s="7">
        <v>0</v>
      </c>
      <c r="AJ370" s="7">
        <v>0</v>
      </c>
      <c r="AK370" s="7">
        <v>0</v>
      </c>
      <c r="AL370" s="7">
        <v>0</v>
      </c>
      <c r="AM370" s="7">
        <v>0</v>
      </c>
      <c r="AN370" s="7">
        <v>0</v>
      </c>
      <c r="AO370" s="7">
        <v>0</v>
      </c>
      <c r="AP370" s="7">
        <v>0</v>
      </c>
      <c r="AQ370" s="7">
        <v>0</v>
      </c>
      <c r="AR370" s="7">
        <v>0</v>
      </c>
      <c r="AS370" s="7">
        <v>0</v>
      </c>
      <c r="AT370" s="7">
        <v>0</v>
      </c>
      <c r="AU370" s="7">
        <v>0</v>
      </c>
      <c r="AV370" s="7">
        <v>0</v>
      </c>
      <c r="AW370" s="7">
        <v>0</v>
      </c>
      <c r="AX370" s="7">
        <v>0</v>
      </c>
      <c r="AY370" s="7">
        <v>0</v>
      </c>
      <c r="AZ370" s="7">
        <v>0</v>
      </c>
      <c r="BA370" s="7">
        <v>0</v>
      </c>
      <c r="BB370" s="7">
        <v>0</v>
      </c>
      <c r="BC370" s="7">
        <v>0</v>
      </c>
      <c r="BD370">
        <v>0</v>
      </c>
      <c r="BE370">
        <v>28.87</v>
      </c>
      <c r="BF3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0" s="42" t="str">
        <f>+IF(AVANCE[[#This Row],[FECHA INICIO REAL]]="","",AVANCE[[#This Row],[FECHA INICIO REAL]]-AVANCE[[#This Row],[FECHA INICIO TEORICO]])</f>
        <v/>
      </c>
      <c r="BH3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1" spans="1:61" x14ac:dyDescent="0.25">
      <c r="A371" t="s">
        <v>1187</v>
      </c>
      <c r="B371" t="s">
        <v>1205</v>
      </c>
      <c r="C371">
        <v>2302600370</v>
      </c>
      <c r="D371" t="s">
        <v>834</v>
      </c>
      <c r="E371" s="4">
        <v>0</v>
      </c>
      <c r="F371" s="1">
        <v>46324</v>
      </c>
      <c r="G371" s="1"/>
      <c r="H371" s="1">
        <v>0</v>
      </c>
      <c r="I371" s="1">
        <v>46354</v>
      </c>
      <c r="J371">
        <v>46188</v>
      </c>
      <c r="K371" s="1"/>
      <c r="L371" s="7">
        <v>0</v>
      </c>
      <c r="M371" s="7">
        <v>0</v>
      </c>
      <c r="N371" s="7">
        <v>0</v>
      </c>
      <c r="O371" s="7">
        <v>0</v>
      </c>
      <c r="P371" s="7">
        <v>0</v>
      </c>
      <c r="Q371" s="7">
        <v>0</v>
      </c>
      <c r="R371" s="7">
        <v>0</v>
      </c>
      <c r="S371" s="7">
        <v>0</v>
      </c>
      <c r="T371" s="7">
        <v>0</v>
      </c>
      <c r="U371" s="7">
        <v>0</v>
      </c>
      <c r="V371" s="7">
        <v>0</v>
      </c>
      <c r="W371" s="7">
        <v>0</v>
      </c>
      <c r="X371" s="7">
        <v>0</v>
      </c>
      <c r="Y371" s="7">
        <v>0</v>
      </c>
      <c r="Z371" s="7">
        <v>0</v>
      </c>
      <c r="AA371" s="7">
        <v>0</v>
      </c>
      <c r="AB371" s="7">
        <v>0</v>
      </c>
      <c r="AC371" s="7">
        <v>0</v>
      </c>
      <c r="AD371" s="7">
        <v>0</v>
      </c>
      <c r="AE371" s="7">
        <v>0</v>
      </c>
      <c r="AF371" s="7">
        <v>0</v>
      </c>
      <c r="AG371" s="7">
        <v>0</v>
      </c>
      <c r="AH371" s="7">
        <v>0</v>
      </c>
      <c r="AI371" s="7">
        <v>0</v>
      </c>
      <c r="AJ371" s="7">
        <v>0</v>
      </c>
      <c r="AK371" s="7">
        <v>0</v>
      </c>
      <c r="AL371" s="7">
        <v>0</v>
      </c>
      <c r="AM371" s="7">
        <v>0</v>
      </c>
      <c r="AN371" s="7">
        <v>0</v>
      </c>
      <c r="AO371" s="7">
        <v>0</v>
      </c>
      <c r="AP371" s="7">
        <v>0</v>
      </c>
      <c r="AQ371" s="7">
        <v>0</v>
      </c>
      <c r="AR371" s="7">
        <v>0</v>
      </c>
      <c r="AS371" s="7">
        <v>0</v>
      </c>
      <c r="AT371" s="7">
        <v>0</v>
      </c>
      <c r="AU371" s="7">
        <v>0</v>
      </c>
      <c r="AV371" s="7">
        <v>0</v>
      </c>
      <c r="AW371" s="7">
        <v>0</v>
      </c>
      <c r="AX371" s="7">
        <v>0</v>
      </c>
      <c r="AY371" s="7">
        <v>0</v>
      </c>
      <c r="AZ371" s="7">
        <v>0</v>
      </c>
      <c r="BA371" s="7">
        <v>0</v>
      </c>
      <c r="BB371" s="7">
        <v>0</v>
      </c>
      <c r="BC371" s="7">
        <v>0</v>
      </c>
      <c r="BD371">
        <v>0</v>
      </c>
      <c r="BE371">
        <v>31.32</v>
      </c>
      <c r="BF3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1" s="42" t="str">
        <f>+IF(AVANCE[[#This Row],[FECHA INICIO REAL]]="","",AVANCE[[#This Row],[FECHA INICIO REAL]]-AVANCE[[#This Row],[FECHA INICIO TEORICO]])</f>
        <v/>
      </c>
      <c r="BH3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2" spans="1:61" x14ac:dyDescent="0.25">
      <c r="A372" t="s">
        <v>1187</v>
      </c>
      <c r="B372" t="s">
        <v>1206</v>
      </c>
      <c r="C372">
        <v>2302600371</v>
      </c>
      <c r="D372" t="s">
        <v>834</v>
      </c>
      <c r="E372" s="4">
        <v>0</v>
      </c>
      <c r="F372" s="1">
        <v>46325</v>
      </c>
      <c r="G372" s="1"/>
      <c r="H372" s="1">
        <v>0</v>
      </c>
      <c r="I372" s="1">
        <v>46355</v>
      </c>
      <c r="J372">
        <v>46188</v>
      </c>
      <c r="K372" s="1"/>
      <c r="L372" s="7">
        <v>0</v>
      </c>
      <c r="M372" s="7">
        <v>0</v>
      </c>
      <c r="N372" s="7">
        <v>0</v>
      </c>
      <c r="O372" s="7">
        <v>0</v>
      </c>
      <c r="P372" s="7">
        <v>0</v>
      </c>
      <c r="Q372" s="7">
        <v>0</v>
      </c>
      <c r="R372" s="7">
        <v>0</v>
      </c>
      <c r="S372" s="7">
        <v>0</v>
      </c>
      <c r="T372" s="7">
        <v>0</v>
      </c>
      <c r="U372" s="7">
        <v>0</v>
      </c>
      <c r="V372" s="7">
        <v>0</v>
      </c>
      <c r="W372" s="7">
        <v>0</v>
      </c>
      <c r="X372" s="7">
        <v>0</v>
      </c>
      <c r="Y372" s="7">
        <v>0</v>
      </c>
      <c r="Z372" s="7">
        <v>0</v>
      </c>
      <c r="AA372" s="7">
        <v>0</v>
      </c>
      <c r="AB372" s="7">
        <v>0</v>
      </c>
      <c r="AC372" s="7">
        <v>0</v>
      </c>
      <c r="AD372" s="7">
        <v>0</v>
      </c>
      <c r="AE372" s="7">
        <v>0</v>
      </c>
      <c r="AF372" s="7">
        <v>0</v>
      </c>
      <c r="AG372" s="7">
        <v>0</v>
      </c>
      <c r="AH372" s="7">
        <v>0</v>
      </c>
      <c r="AI372" s="7">
        <v>0</v>
      </c>
      <c r="AJ372" s="7">
        <v>0</v>
      </c>
      <c r="AK372" s="7">
        <v>0</v>
      </c>
      <c r="AL372" s="7">
        <v>0</v>
      </c>
      <c r="AM372" s="7">
        <v>0</v>
      </c>
      <c r="AN372" s="7">
        <v>0</v>
      </c>
      <c r="AO372" s="7">
        <v>0</v>
      </c>
      <c r="AP372" s="7">
        <v>0</v>
      </c>
      <c r="AQ372" s="7">
        <v>0</v>
      </c>
      <c r="AR372" s="7">
        <v>0</v>
      </c>
      <c r="AS372" s="7">
        <v>0</v>
      </c>
      <c r="AT372" s="7">
        <v>0</v>
      </c>
      <c r="AU372" s="7">
        <v>0</v>
      </c>
      <c r="AV372" s="7">
        <v>0</v>
      </c>
      <c r="AW372" s="7">
        <v>0</v>
      </c>
      <c r="AX372" s="7">
        <v>0</v>
      </c>
      <c r="AY372" s="7">
        <v>0</v>
      </c>
      <c r="AZ372" s="7">
        <v>0</v>
      </c>
      <c r="BA372" s="7">
        <v>0</v>
      </c>
      <c r="BB372" s="7">
        <v>0</v>
      </c>
      <c r="BC372" s="7">
        <v>0</v>
      </c>
      <c r="BD372">
        <v>0</v>
      </c>
      <c r="BE372">
        <v>31.32</v>
      </c>
      <c r="BF3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2" s="42" t="str">
        <f>+IF(AVANCE[[#This Row],[FECHA INICIO REAL]]="","",AVANCE[[#This Row],[FECHA INICIO REAL]]-AVANCE[[#This Row],[FECHA INICIO TEORICO]])</f>
        <v/>
      </c>
      <c r="BH3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3" spans="1:61" x14ac:dyDescent="0.25">
      <c r="A373" t="s">
        <v>1187</v>
      </c>
      <c r="B373" t="s">
        <v>1207</v>
      </c>
      <c r="C373">
        <v>2282600372</v>
      </c>
      <c r="D373" t="s">
        <v>833</v>
      </c>
      <c r="E373" s="4">
        <v>0</v>
      </c>
      <c r="F373" s="1">
        <v>46325</v>
      </c>
      <c r="G373" s="1"/>
      <c r="H373" s="1">
        <v>0</v>
      </c>
      <c r="I373" s="1">
        <v>46345</v>
      </c>
      <c r="J373">
        <v>46188</v>
      </c>
      <c r="K373" s="1"/>
      <c r="L373" s="7">
        <v>0</v>
      </c>
      <c r="M373" s="7">
        <v>0</v>
      </c>
      <c r="N373" s="7">
        <v>0</v>
      </c>
      <c r="O373" s="7">
        <v>0</v>
      </c>
      <c r="P373" s="7">
        <v>0</v>
      </c>
      <c r="Q373" s="7">
        <v>0</v>
      </c>
      <c r="R373" s="7">
        <v>0</v>
      </c>
      <c r="S373" s="7">
        <v>0</v>
      </c>
      <c r="T373" s="7">
        <v>0</v>
      </c>
      <c r="U373" s="7">
        <v>0</v>
      </c>
      <c r="V373" s="7">
        <v>0</v>
      </c>
      <c r="W373" s="7">
        <v>0</v>
      </c>
      <c r="X373" s="7">
        <v>0</v>
      </c>
      <c r="Y373" s="7">
        <v>0</v>
      </c>
      <c r="Z373" s="7">
        <v>0</v>
      </c>
      <c r="AA373" s="7">
        <v>0</v>
      </c>
      <c r="AB373" s="7">
        <v>0</v>
      </c>
      <c r="AC373" s="7">
        <v>0</v>
      </c>
      <c r="AD373" s="7">
        <v>0</v>
      </c>
      <c r="AE373" s="7">
        <v>0</v>
      </c>
      <c r="AF373" s="7">
        <v>0</v>
      </c>
      <c r="AG373" s="7">
        <v>0</v>
      </c>
      <c r="AH373" s="7">
        <v>0</v>
      </c>
      <c r="AI373" s="7">
        <v>0</v>
      </c>
      <c r="AJ373" s="7">
        <v>0</v>
      </c>
      <c r="AK373" s="7">
        <v>0</v>
      </c>
      <c r="AL373" s="7">
        <v>0</v>
      </c>
      <c r="AM373" s="7">
        <v>0</v>
      </c>
      <c r="AN373" s="7">
        <v>0</v>
      </c>
      <c r="AO373" s="7">
        <v>0</v>
      </c>
      <c r="AP373" s="7">
        <v>0</v>
      </c>
      <c r="AQ373" s="7">
        <v>0</v>
      </c>
      <c r="AR373" s="7">
        <v>0</v>
      </c>
      <c r="AS373" s="7">
        <v>0</v>
      </c>
      <c r="AT373" s="7">
        <v>0</v>
      </c>
      <c r="AU373" s="7">
        <v>0</v>
      </c>
      <c r="AV373" s="7">
        <v>0</v>
      </c>
      <c r="AW373" s="7">
        <v>0</v>
      </c>
      <c r="AX373" s="7">
        <v>0</v>
      </c>
      <c r="AY373" s="7">
        <v>0</v>
      </c>
      <c r="AZ373" s="7">
        <v>0</v>
      </c>
      <c r="BA373" s="7">
        <v>0</v>
      </c>
      <c r="BB373" s="7">
        <v>0</v>
      </c>
      <c r="BC373" s="7">
        <v>0</v>
      </c>
      <c r="BD373">
        <v>0</v>
      </c>
      <c r="BE373">
        <v>28.87</v>
      </c>
      <c r="BF3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3" s="42" t="str">
        <f>+IF(AVANCE[[#This Row],[FECHA INICIO REAL]]="","",AVANCE[[#This Row],[FECHA INICIO REAL]]-AVANCE[[#This Row],[FECHA INICIO TEORICO]])</f>
        <v/>
      </c>
      <c r="BH3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4" spans="1:61" x14ac:dyDescent="0.25">
      <c r="A374" t="s">
        <v>1187</v>
      </c>
      <c r="B374" t="s">
        <v>1208</v>
      </c>
      <c r="C374">
        <v>2282600373</v>
      </c>
      <c r="D374" t="s">
        <v>833</v>
      </c>
      <c r="E374" s="4">
        <v>0</v>
      </c>
      <c r="F374" s="1">
        <v>46325</v>
      </c>
      <c r="G374" s="1"/>
      <c r="H374" s="1">
        <v>0</v>
      </c>
      <c r="I374" s="1">
        <v>46345</v>
      </c>
      <c r="J374">
        <v>46188</v>
      </c>
      <c r="K374" s="1"/>
      <c r="L374" s="7">
        <v>0</v>
      </c>
      <c r="M374" s="7">
        <v>0</v>
      </c>
      <c r="N374" s="7">
        <v>0</v>
      </c>
      <c r="O374" s="7">
        <v>0</v>
      </c>
      <c r="P374" s="7">
        <v>0</v>
      </c>
      <c r="Q374" s="7">
        <v>0</v>
      </c>
      <c r="R374" s="7">
        <v>0</v>
      </c>
      <c r="S374" s="7">
        <v>0</v>
      </c>
      <c r="T374" s="7">
        <v>0</v>
      </c>
      <c r="U374" s="7">
        <v>0</v>
      </c>
      <c r="V374" s="7">
        <v>0</v>
      </c>
      <c r="W374" s="7">
        <v>0</v>
      </c>
      <c r="X374" s="7">
        <v>0</v>
      </c>
      <c r="Y374" s="7">
        <v>0</v>
      </c>
      <c r="Z374" s="7">
        <v>0</v>
      </c>
      <c r="AA374" s="7">
        <v>0</v>
      </c>
      <c r="AB374" s="7">
        <v>0</v>
      </c>
      <c r="AC374" s="7">
        <v>0</v>
      </c>
      <c r="AD374" s="7">
        <v>0</v>
      </c>
      <c r="AE374" s="7">
        <v>0</v>
      </c>
      <c r="AF374" s="7">
        <v>0</v>
      </c>
      <c r="AG374" s="7">
        <v>0</v>
      </c>
      <c r="AH374" s="7">
        <v>0</v>
      </c>
      <c r="AI374" s="7">
        <v>0</v>
      </c>
      <c r="AJ374" s="7">
        <v>0</v>
      </c>
      <c r="AK374" s="7">
        <v>0</v>
      </c>
      <c r="AL374" s="7">
        <v>0</v>
      </c>
      <c r="AM374" s="7">
        <v>0</v>
      </c>
      <c r="AN374" s="7">
        <v>0</v>
      </c>
      <c r="AO374" s="7">
        <v>0</v>
      </c>
      <c r="AP374" s="7">
        <v>0</v>
      </c>
      <c r="AQ374" s="7">
        <v>0</v>
      </c>
      <c r="AR374" s="7">
        <v>0</v>
      </c>
      <c r="AS374" s="7">
        <v>0</v>
      </c>
      <c r="AT374" s="7">
        <v>0</v>
      </c>
      <c r="AU374" s="7">
        <v>0</v>
      </c>
      <c r="AV374" s="7">
        <v>0</v>
      </c>
      <c r="AW374" s="7">
        <v>0</v>
      </c>
      <c r="AX374" s="7">
        <v>0</v>
      </c>
      <c r="AY374" s="7">
        <v>0</v>
      </c>
      <c r="AZ374" s="7">
        <v>0</v>
      </c>
      <c r="BA374" s="7">
        <v>0</v>
      </c>
      <c r="BB374" s="7">
        <v>0</v>
      </c>
      <c r="BC374" s="7">
        <v>0</v>
      </c>
      <c r="BD374">
        <v>0</v>
      </c>
      <c r="BE374">
        <v>28.87</v>
      </c>
      <c r="BF3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4" s="42" t="str">
        <f>+IF(AVANCE[[#This Row],[FECHA INICIO REAL]]="","",AVANCE[[#This Row],[FECHA INICIO REAL]]-AVANCE[[#This Row],[FECHA INICIO TEORICO]])</f>
        <v/>
      </c>
      <c r="BH3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5" spans="1:61" x14ac:dyDescent="0.25">
      <c r="A375" t="s">
        <v>1187</v>
      </c>
      <c r="B375" t="s">
        <v>1209</v>
      </c>
      <c r="C375">
        <v>2302600374</v>
      </c>
      <c r="D375" t="s">
        <v>834</v>
      </c>
      <c r="E375" s="4">
        <v>0</v>
      </c>
      <c r="F375" s="1">
        <v>46328</v>
      </c>
      <c r="G375" s="1"/>
      <c r="H375" s="1">
        <v>0</v>
      </c>
      <c r="I375" s="1">
        <v>46358</v>
      </c>
      <c r="J375">
        <v>46188</v>
      </c>
      <c r="K375" s="1"/>
      <c r="L375" s="7">
        <v>0</v>
      </c>
      <c r="M375" s="7">
        <v>0</v>
      </c>
      <c r="N375" s="7">
        <v>0</v>
      </c>
      <c r="O375" s="7">
        <v>0</v>
      </c>
      <c r="P375" s="7">
        <v>0</v>
      </c>
      <c r="Q375" s="7">
        <v>0</v>
      </c>
      <c r="R375" s="7">
        <v>0</v>
      </c>
      <c r="S375" s="7">
        <v>0</v>
      </c>
      <c r="T375" s="7">
        <v>0</v>
      </c>
      <c r="U375" s="7">
        <v>0</v>
      </c>
      <c r="V375" s="7">
        <v>0</v>
      </c>
      <c r="W375" s="7">
        <v>0</v>
      </c>
      <c r="X375" s="7">
        <v>0</v>
      </c>
      <c r="Y375" s="7">
        <v>0</v>
      </c>
      <c r="Z375" s="7">
        <v>0</v>
      </c>
      <c r="AA375" s="7">
        <v>0</v>
      </c>
      <c r="AB375" s="7">
        <v>0</v>
      </c>
      <c r="AC375" s="7">
        <v>0</v>
      </c>
      <c r="AD375" s="7">
        <v>0</v>
      </c>
      <c r="AE375" s="7">
        <v>0</v>
      </c>
      <c r="AF375" s="7">
        <v>0</v>
      </c>
      <c r="AG375" s="7">
        <v>0</v>
      </c>
      <c r="AH375" s="7">
        <v>0</v>
      </c>
      <c r="AI375" s="7">
        <v>0</v>
      </c>
      <c r="AJ375" s="7">
        <v>0</v>
      </c>
      <c r="AK375" s="7">
        <v>0</v>
      </c>
      <c r="AL375" s="7">
        <v>0</v>
      </c>
      <c r="AM375" s="7">
        <v>0</v>
      </c>
      <c r="AN375" s="7">
        <v>0</v>
      </c>
      <c r="AO375" s="7">
        <v>0</v>
      </c>
      <c r="AP375" s="7">
        <v>0</v>
      </c>
      <c r="AQ375" s="7">
        <v>0</v>
      </c>
      <c r="AR375" s="7">
        <v>0</v>
      </c>
      <c r="AS375" s="7">
        <v>0</v>
      </c>
      <c r="AT375" s="7">
        <v>0</v>
      </c>
      <c r="AU375" s="7">
        <v>0</v>
      </c>
      <c r="AV375" s="7">
        <v>0</v>
      </c>
      <c r="AW375" s="7">
        <v>0</v>
      </c>
      <c r="AX375" s="7">
        <v>0</v>
      </c>
      <c r="AY375" s="7">
        <v>0</v>
      </c>
      <c r="AZ375" s="7">
        <v>0</v>
      </c>
      <c r="BA375" s="7">
        <v>0</v>
      </c>
      <c r="BB375" s="7">
        <v>0</v>
      </c>
      <c r="BC375" s="7">
        <v>0</v>
      </c>
      <c r="BD375">
        <v>0</v>
      </c>
      <c r="BE375">
        <v>31.32</v>
      </c>
      <c r="BF3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5" s="42" t="str">
        <f>+IF(AVANCE[[#This Row],[FECHA INICIO REAL]]="","",AVANCE[[#This Row],[FECHA INICIO REAL]]-AVANCE[[#This Row],[FECHA INICIO TEORICO]])</f>
        <v/>
      </c>
      <c r="BH3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6" spans="1:61" x14ac:dyDescent="0.25">
      <c r="A376" t="s">
        <v>1187</v>
      </c>
      <c r="B376" t="s">
        <v>1210</v>
      </c>
      <c r="C376">
        <v>2302600375</v>
      </c>
      <c r="D376" t="s">
        <v>834</v>
      </c>
      <c r="E376" s="4">
        <v>0</v>
      </c>
      <c r="F376" s="1">
        <v>46328</v>
      </c>
      <c r="G376" s="1"/>
      <c r="H376" s="1">
        <v>0</v>
      </c>
      <c r="I376" s="1">
        <v>46358</v>
      </c>
      <c r="J376">
        <v>46188</v>
      </c>
      <c r="K376" s="1"/>
      <c r="L376" s="7">
        <v>0</v>
      </c>
      <c r="M376" s="7">
        <v>0</v>
      </c>
      <c r="N376" s="7">
        <v>0</v>
      </c>
      <c r="O376" s="7">
        <v>0</v>
      </c>
      <c r="P376" s="7">
        <v>0</v>
      </c>
      <c r="Q376" s="7">
        <v>0</v>
      </c>
      <c r="R376" s="7">
        <v>0</v>
      </c>
      <c r="S376" s="7">
        <v>0</v>
      </c>
      <c r="T376" s="7">
        <v>0</v>
      </c>
      <c r="U376" s="7">
        <v>0</v>
      </c>
      <c r="V376" s="7">
        <v>0</v>
      </c>
      <c r="W376" s="7">
        <v>0</v>
      </c>
      <c r="X376" s="7">
        <v>0</v>
      </c>
      <c r="Y376" s="7">
        <v>0</v>
      </c>
      <c r="Z376" s="7">
        <v>0</v>
      </c>
      <c r="AA376" s="7">
        <v>0</v>
      </c>
      <c r="AB376" s="7">
        <v>0</v>
      </c>
      <c r="AC376" s="7">
        <v>0</v>
      </c>
      <c r="AD376" s="7">
        <v>0</v>
      </c>
      <c r="AE376" s="7">
        <v>0</v>
      </c>
      <c r="AF376" s="7">
        <v>0</v>
      </c>
      <c r="AG376" s="7">
        <v>0</v>
      </c>
      <c r="AH376" s="7">
        <v>0</v>
      </c>
      <c r="AI376" s="7">
        <v>0</v>
      </c>
      <c r="AJ376" s="7">
        <v>0</v>
      </c>
      <c r="AK376" s="7">
        <v>0</v>
      </c>
      <c r="AL376" s="7">
        <v>0</v>
      </c>
      <c r="AM376" s="7">
        <v>0</v>
      </c>
      <c r="AN376" s="7">
        <v>0</v>
      </c>
      <c r="AO376" s="7">
        <v>0</v>
      </c>
      <c r="AP376" s="7">
        <v>0</v>
      </c>
      <c r="AQ376" s="7">
        <v>0</v>
      </c>
      <c r="AR376" s="7">
        <v>0</v>
      </c>
      <c r="AS376" s="7">
        <v>0</v>
      </c>
      <c r="AT376" s="7">
        <v>0</v>
      </c>
      <c r="AU376" s="7">
        <v>0</v>
      </c>
      <c r="AV376" s="7">
        <v>0</v>
      </c>
      <c r="AW376" s="7">
        <v>0</v>
      </c>
      <c r="AX376" s="7">
        <v>0</v>
      </c>
      <c r="AY376" s="7">
        <v>0</v>
      </c>
      <c r="AZ376" s="7">
        <v>0</v>
      </c>
      <c r="BA376" s="7">
        <v>0</v>
      </c>
      <c r="BB376" s="7">
        <v>0</v>
      </c>
      <c r="BC376" s="7">
        <v>0</v>
      </c>
      <c r="BD376">
        <v>0</v>
      </c>
      <c r="BE376">
        <v>31.32</v>
      </c>
      <c r="BF3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6" s="42" t="str">
        <f>+IF(AVANCE[[#This Row],[FECHA INICIO REAL]]="","",AVANCE[[#This Row],[FECHA INICIO REAL]]-AVANCE[[#This Row],[FECHA INICIO TEORICO]])</f>
        <v/>
      </c>
      <c r="BH3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7" spans="1:61" x14ac:dyDescent="0.25">
      <c r="A377" t="s">
        <v>1187</v>
      </c>
      <c r="B377" t="s">
        <v>1211</v>
      </c>
      <c r="C377">
        <v>2282600376</v>
      </c>
      <c r="D377" t="s">
        <v>833</v>
      </c>
      <c r="E377" s="4">
        <v>0</v>
      </c>
      <c r="F377" s="1">
        <v>46328</v>
      </c>
      <c r="G377" s="1"/>
      <c r="H377" s="1">
        <v>0</v>
      </c>
      <c r="I377" s="1">
        <v>46348</v>
      </c>
      <c r="J377">
        <v>46188</v>
      </c>
      <c r="K377" s="1"/>
      <c r="L377" s="7">
        <v>0</v>
      </c>
      <c r="M377" s="7">
        <v>0</v>
      </c>
      <c r="N377" s="7">
        <v>0</v>
      </c>
      <c r="O377" s="7">
        <v>0</v>
      </c>
      <c r="P377" s="7">
        <v>0</v>
      </c>
      <c r="Q377" s="7">
        <v>0</v>
      </c>
      <c r="R377" s="7">
        <v>0</v>
      </c>
      <c r="S377" s="7">
        <v>0</v>
      </c>
      <c r="T377" s="7">
        <v>0</v>
      </c>
      <c r="U377" s="7">
        <v>0</v>
      </c>
      <c r="V377" s="7">
        <v>0</v>
      </c>
      <c r="W377" s="7">
        <v>0</v>
      </c>
      <c r="X377" s="7">
        <v>0</v>
      </c>
      <c r="Y377" s="7">
        <v>0</v>
      </c>
      <c r="Z377" s="7">
        <v>0</v>
      </c>
      <c r="AA377" s="7">
        <v>0</v>
      </c>
      <c r="AB377" s="7">
        <v>0</v>
      </c>
      <c r="AC377" s="7">
        <v>0</v>
      </c>
      <c r="AD377" s="7">
        <v>0</v>
      </c>
      <c r="AE377" s="7">
        <v>0</v>
      </c>
      <c r="AF377" s="7">
        <v>0</v>
      </c>
      <c r="AG377" s="7">
        <v>0</v>
      </c>
      <c r="AH377" s="7">
        <v>0</v>
      </c>
      <c r="AI377" s="7">
        <v>0</v>
      </c>
      <c r="AJ377" s="7">
        <v>0</v>
      </c>
      <c r="AK377" s="7">
        <v>0</v>
      </c>
      <c r="AL377" s="7">
        <v>0</v>
      </c>
      <c r="AM377" s="7">
        <v>0</v>
      </c>
      <c r="AN377" s="7">
        <v>0</v>
      </c>
      <c r="AO377" s="7">
        <v>0</v>
      </c>
      <c r="AP377" s="7">
        <v>0</v>
      </c>
      <c r="AQ377" s="7">
        <v>0</v>
      </c>
      <c r="AR377" s="7">
        <v>0</v>
      </c>
      <c r="AS377" s="7">
        <v>0</v>
      </c>
      <c r="AT377" s="7">
        <v>0</v>
      </c>
      <c r="AU377" s="7">
        <v>0</v>
      </c>
      <c r="AV377" s="7">
        <v>0</v>
      </c>
      <c r="AW377" s="7">
        <v>0</v>
      </c>
      <c r="AX377" s="7">
        <v>0</v>
      </c>
      <c r="AY377" s="7">
        <v>0</v>
      </c>
      <c r="AZ377" s="7">
        <v>0</v>
      </c>
      <c r="BA377" s="7">
        <v>0</v>
      </c>
      <c r="BB377" s="7">
        <v>0</v>
      </c>
      <c r="BC377" s="7">
        <v>0</v>
      </c>
      <c r="BD377">
        <v>0</v>
      </c>
      <c r="BE377">
        <v>28.87</v>
      </c>
      <c r="BF3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7" s="42" t="str">
        <f>+IF(AVANCE[[#This Row],[FECHA INICIO REAL]]="","",AVANCE[[#This Row],[FECHA INICIO REAL]]-AVANCE[[#This Row],[FECHA INICIO TEORICO]])</f>
        <v/>
      </c>
      <c r="BH3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8" spans="1:61" x14ac:dyDescent="0.25">
      <c r="A378" t="s">
        <v>1187</v>
      </c>
      <c r="B378" t="s">
        <v>1212</v>
      </c>
      <c r="C378">
        <v>2282600377</v>
      </c>
      <c r="D378" t="s">
        <v>833</v>
      </c>
      <c r="E378" s="4">
        <v>0</v>
      </c>
      <c r="F378" s="1">
        <v>46329</v>
      </c>
      <c r="G378" s="1"/>
      <c r="H378" s="1">
        <v>0</v>
      </c>
      <c r="I378" s="1">
        <v>46349</v>
      </c>
      <c r="J378">
        <v>46188</v>
      </c>
      <c r="K378" s="1"/>
      <c r="L378" s="7">
        <v>0</v>
      </c>
      <c r="M378" s="7">
        <v>0</v>
      </c>
      <c r="N378" s="7">
        <v>0</v>
      </c>
      <c r="O378" s="7">
        <v>0</v>
      </c>
      <c r="P378" s="7">
        <v>0</v>
      </c>
      <c r="Q378" s="7">
        <v>0</v>
      </c>
      <c r="R378" s="7">
        <v>0</v>
      </c>
      <c r="S378" s="7">
        <v>0</v>
      </c>
      <c r="T378" s="7">
        <v>0</v>
      </c>
      <c r="U378" s="7">
        <v>0</v>
      </c>
      <c r="V378" s="7">
        <v>0</v>
      </c>
      <c r="W378" s="7">
        <v>0</v>
      </c>
      <c r="X378" s="7">
        <v>0</v>
      </c>
      <c r="Y378" s="7">
        <v>0</v>
      </c>
      <c r="Z378" s="7">
        <v>0</v>
      </c>
      <c r="AA378" s="7">
        <v>0</v>
      </c>
      <c r="AB378" s="7">
        <v>0</v>
      </c>
      <c r="AC378" s="7">
        <v>0</v>
      </c>
      <c r="AD378" s="7">
        <v>0</v>
      </c>
      <c r="AE378" s="7">
        <v>0</v>
      </c>
      <c r="AF378" s="7">
        <v>0</v>
      </c>
      <c r="AG378" s="7">
        <v>0</v>
      </c>
      <c r="AH378" s="7">
        <v>0</v>
      </c>
      <c r="AI378" s="7">
        <v>0</v>
      </c>
      <c r="AJ378" s="7">
        <v>0</v>
      </c>
      <c r="AK378" s="7">
        <v>0</v>
      </c>
      <c r="AL378" s="7">
        <v>0</v>
      </c>
      <c r="AM378" s="7">
        <v>0</v>
      </c>
      <c r="AN378" s="7">
        <v>0</v>
      </c>
      <c r="AO378" s="7">
        <v>0</v>
      </c>
      <c r="AP378" s="7">
        <v>0</v>
      </c>
      <c r="AQ378" s="7">
        <v>0</v>
      </c>
      <c r="AR378" s="7">
        <v>0</v>
      </c>
      <c r="AS378" s="7">
        <v>0</v>
      </c>
      <c r="AT378" s="7">
        <v>0</v>
      </c>
      <c r="AU378" s="7">
        <v>0</v>
      </c>
      <c r="AV378" s="7">
        <v>0</v>
      </c>
      <c r="AW378" s="7">
        <v>0</v>
      </c>
      <c r="AX378" s="7">
        <v>0</v>
      </c>
      <c r="AY378" s="7">
        <v>0</v>
      </c>
      <c r="AZ378" s="7">
        <v>0</v>
      </c>
      <c r="BA378" s="7">
        <v>0</v>
      </c>
      <c r="BB378" s="7">
        <v>0</v>
      </c>
      <c r="BC378" s="7">
        <v>0</v>
      </c>
      <c r="BD378">
        <v>0</v>
      </c>
      <c r="BE378">
        <v>28.87</v>
      </c>
      <c r="BF3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8" s="42" t="str">
        <f>+IF(AVANCE[[#This Row],[FECHA INICIO REAL]]="","",AVANCE[[#This Row],[FECHA INICIO REAL]]-AVANCE[[#This Row],[FECHA INICIO TEORICO]])</f>
        <v/>
      </c>
      <c r="BH3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9" spans="1:61" x14ac:dyDescent="0.25">
      <c r="A379" t="s">
        <v>1187</v>
      </c>
      <c r="B379" t="s">
        <v>1213</v>
      </c>
      <c r="C379">
        <v>2302600378</v>
      </c>
      <c r="D379" t="s">
        <v>834</v>
      </c>
      <c r="E379" s="4">
        <v>0</v>
      </c>
      <c r="F379" s="1">
        <v>46329</v>
      </c>
      <c r="G379" s="1"/>
      <c r="H379" s="1">
        <v>0</v>
      </c>
      <c r="I379" s="1">
        <v>46359</v>
      </c>
      <c r="J379">
        <v>46188</v>
      </c>
      <c r="K379" s="1"/>
      <c r="L379" s="7">
        <v>0</v>
      </c>
      <c r="M379" s="7">
        <v>0</v>
      </c>
      <c r="N379" s="7">
        <v>0</v>
      </c>
      <c r="O379" s="7">
        <v>0</v>
      </c>
      <c r="P379" s="7">
        <v>0</v>
      </c>
      <c r="Q379" s="7">
        <v>0</v>
      </c>
      <c r="R379" s="7">
        <v>0</v>
      </c>
      <c r="S379" s="7">
        <v>0</v>
      </c>
      <c r="T379" s="7">
        <v>0</v>
      </c>
      <c r="U379" s="7">
        <v>0</v>
      </c>
      <c r="V379" s="7">
        <v>0</v>
      </c>
      <c r="W379" s="7">
        <v>0</v>
      </c>
      <c r="X379" s="7">
        <v>0</v>
      </c>
      <c r="Y379" s="7">
        <v>0</v>
      </c>
      <c r="Z379" s="7">
        <v>0</v>
      </c>
      <c r="AA379" s="7">
        <v>0</v>
      </c>
      <c r="AB379" s="7">
        <v>0</v>
      </c>
      <c r="AC379" s="7">
        <v>0</v>
      </c>
      <c r="AD379" s="7">
        <v>0</v>
      </c>
      <c r="AE379" s="7">
        <v>0</v>
      </c>
      <c r="AF379" s="7">
        <v>0</v>
      </c>
      <c r="AG379" s="7">
        <v>0</v>
      </c>
      <c r="AH379" s="7">
        <v>0</v>
      </c>
      <c r="AI379" s="7">
        <v>0</v>
      </c>
      <c r="AJ379" s="7">
        <v>0</v>
      </c>
      <c r="AK379" s="7">
        <v>0</v>
      </c>
      <c r="AL379" s="7">
        <v>0</v>
      </c>
      <c r="AM379" s="7">
        <v>0</v>
      </c>
      <c r="AN379" s="7">
        <v>0</v>
      </c>
      <c r="AO379" s="7">
        <v>0</v>
      </c>
      <c r="AP379" s="7">
        <v>0</v>
      </c>
      <c r="AQ379" s="7">
        <v>0</v>
      </c>
      <c r="AR379" s="7">
        <v>0</v>
      </c>
      <c r="AS379" s="7">
        <v>0</v>
      </c>
      <c r="AT379" s="7">
        <v>0</v>
      </c>
      <c r="AU379" s="7">
        <v>0</v>
      </c>
      <c r="AV379" s="7">
        <v>0</v>
      </c>
      <c r="AW379" s="7">
        <v>0</v>
      </c>
      <c r="AX379" s="7">
        <v>0</v>
      </c>
      <c r="AY379" s="7">
        <v>0</v>
      </c>
      <c r="AZ379" s="7">
        <v>0</v>
      </c>
      <c r="BA379" s="7">
        <v>0</v>
      </c>
      <c r="BB379" s="7">
        <v>0</v>
      </c>
      <c r="BC379" s="7">
        <v>0</v>
      </c>
      <c r="BD379">
        <v>0</v>
      </c>
      <c r="BE379">
        <v>31.32</v>
      </c>
      <c r="BF3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9" s="42" t="str">
        <f>+IF(AVANCE[[#This Row],[FECHA INICIO REAL]]="","",AVANCE[[#This Row],[FECHA INICIO REAL]]-AVANCE[[#This Row],[FECHA INICIO TEORICO]])</f>
        <v/>
      </c>
      <c r="BH3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0" spans="1:61" x14ac:dyDescent="0.25">
      <c r="A380" t="s">
        <v>1187</v>
      </c>
      <c r="B380" t="s">
        <v>1214</v>
      </c>
      <c r="C380">
        <v>2302600379</v>
      </c>
      <c r="D380" t="s">
        <v>834</v>
      </c>
      <c r="E380" s="4">
        <v>0</v>
      </c>
      <c r="F380" s="1">
        <v>46329</v>
      </c>
      <c r="G380" s="1"/>
      <c r="H380" s="1">
        <v>0</v>
      </c>
      <c r="I380" s="1">
        <v>46359</v>
      </c>
      <c r="J380">
        <v>46188</v>
      </c>
      <c r="K380" s="1"/>
      <c r="L380" s="7">
        <v>0</v>
      </c>
      <c r="M380" s="7">
        <v>0</v>
      </c>
      <c r="N380" s="7">
        <v>0</v>
      </c>
      <c r="O380" s="7">
        <v>0</v>
      </c>
      <c r="P380" s="7">
        <v>0</v>
      </c>
      <c r="Q380" s="7">
        <v>0</v>
      </c>
      <c r="R380" s="7">
        <v>0</v>
      </c>
      <c r="S380" s="7">
        <v>0</v>
      </c>
      <c r="T380" s="7">
        <v>0</v>
      </c>
      <c r="U380" s="7">
        <v>0</v>
      </c>
      <c r="V380" s="7">
        <v>0</v>
      </c>
      <c r="W380" s="7">
        <v>0</v>
      </c>
      <c r="X380" s="7">
        <v>0</v>
      </c>
      <c r="Y380" s="7">
        <v>0</v>
      </c>
      <c r="Z380" s="7">
        <v>0</v>
      </c>
      <c r="AA380" s="7">
        <v>0</v>
      </c>
      <c r="AB380" s="7">
        <v>0</v>
      </c>
      <c r="AC380" s="7">
        <v>0</v>
      </c>
      <c r="AD380" s="7">
        <v>0</v>
      </c>
      <c r="AE380" s="7">
        <v>0</v>
      </c>
      <c r="AF380" s="7">
        <v>0</v>
      </c>
      <c r="AG380" s="7">
        <v>0</v>
      </c>
      <c r="AH380" s="7">
        <v>0</v>
      </c>
      <c r="AI380" s="7">
        <v>0</v>
      </c>
      <c r="AJ380" s="7">
        <v>0</v>
      </c>
      <c r="AK380" s="7">
        <v>0</v>
      </c>
      <c r="AL380" s="7">
        <v>0</v>
      </c>
      <c r="AM380" s="7">
        <v>0</v>
      </c>
      <c r="AN380" s="7">
        <v>0</v>
      </c>
      <c r="AO380" s="7">
        <v>0</v>
      </c>
      <c r="AP380" s="7">
        <v>0</v>
      </c>
      <c r="AQ380" s="7">
        <v>0</v>
      </c>
      <c r="AR380" s="7">
        <v>0</v>
      </c>
      <c r="AS380" s="7">
        <v>0</v>
      </c>
      <c r="AT380" s="7">
        <v>0</v>
      </c>
      <c r="AU380" s="7">
        <v>0</v>
      </c>
      <c r="AV380" s="7">
        <v>0</v>
      </c>
      <c r="AW380" s="7">
        <v>0</v>
      </c>
      <c r="AX380" s="7">
        <v>0</v>
      </c>
      <c r="AY380" s="7">
        <v>0</v>
      </c>
      <c r="AZ380" s="7">
        <v>0</v>
      </c>
      <c r="BA380" s="7">
        <v>0</v>
      </c>
      <c r="BB380" s="7">
        <v>0</v>
      </c>
      <c r="BC380" s="7">
        <v>0</v>
      </c>
      <c r="BD380">
        <v>0</v>
      </c>
      <c r="BE380">
        <v>31.32</v>
      </c>
      <c r="BF3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0" s="42" t="str">
        <f>+IF(AVANCE[[#This Row],[FECHA INICIO REAL]]="","",AVANCE[[#This Row],[FECHA INICIO REAL]]-AVANCE[[#This Row],[FECHA INICIO TEORICO]])</f>
        <v/>
      </c>
      <c r="BH3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1" spans="1:61" x14ac:dyDescent="0.25">
      <c r="A381" t="s">
        <v>1187</v>
      </c>
      <c r="B381" t="s">
        <v>1215</v>
      </c>
      <c r="C381">
        <v>2282600380</v>
      </c>
      <c r="D381" t="s">
        <v>833</v>
      </c>
      <c r="E381" s="4">
        <v>0</v>
      </c>
      <c r="F381" s="1">
        <v>46330</v>
      </c>
      <c r="G381" s="1"/>
      <c r="H381" s="1">
        <v>0</v>
      </c>
      <c r="I381" s="1">
        <v>46350</v>
      </c>
      <c r="J381">
        <v>46188</v>
      </c>
      <c r="K381" s="1"/>
      <c r="L381" s="7">
        <v>0</v>
      </c>
      <c r="M381" s="7">
        <v>0</v>
      </c>
      <c r="N381" s="7">
        <v>0</v>
      </c>
      <c r="O381" s="7">
        <v>0</v>
      </c>
      <c r="P381" s="7">
        <v>0</v>
      </c>
      <c r="Q381" s="7">
        <v>0</v>
      </c>
      <c r="R381" s="7">
        <v>0</v>
      </c>
      <c r="S381" s="7">
        <v>0</v>
      </c>
      <c r="T381" s="7">
        <v>0</v>
      </c>
      <c r="U381" s="7">
        <v>0</v>
      </c>
      <c r="V381" s="7">
        <v>0</v>
      </c>
      <c r="W381" s="7">
        <v>0</v>
      </c>
      <c r="X381" s="7">
        <v>0</v>
      </c>
      <c r="Y381" s="7">
        <v>0</v>
      </c>
      <c r="Z381" s="7">
        <v>0</v>
      </c>
      <c r="AA381" s="7">
        <v>0</v>
      </c>
      <c r="AB381" s="7">
        <v>0</v>
      </c>
      <c r="AC381" s="7">
        <v>0</v>
      </c>
      <c r="AD381" s="7">
        <v>0</v>
      </c>
      <c r="AE381" s="7">
        <v>0</v>
      </c>
      <c r="AF381" s="7">
        <v>0</v>
      </c>
      <c r="AG381" s="7">
        <v>0</v>
      </c>
      <c r="AH381" s="7">
        <v>0</v>
      </c>
      <c r="AI381" s="7">
        <v>0</v>
      </c>
      <c r="AJ381" s="7">
        <v>0</v>
      </c>
      <c r="AK381" s="7">
        <v>0</v>
      </c>
      <c r="AL381" s="7">
        <v>0</v>
      </c>
      <c r="AM381" s="7">
        <v>0</v>
      </c>
      <c r="AN381" s="7">
        <v>0</v>
      </c>
      <c r="AO381" s="7">
        <v>0</v>
      </c>
      <c r="AP381" s="7">
        <v>0</v>
      </c>
      <c r="AQ381" s="7">
        <v>0</v>
      </c>
      <c r="AR381" s="7">
        <v>0</v>
      </c>
      <c r="AS381" s="7">
        <v>0</v>
      </c>
      <c r="AT381" s="7">
        <v>0</v>
      </c>
      <c r="AU381" s="7">
        <v>0</v>
      </c>
      <c r="AV381" s="7">
        <v>0</v>
      </c>
      <c r="AW381" s="7">
        <v>0</v>
      </c>
      <c r="AX381" s="7">
        <v>0</v>
      </c>
      <c r="AY381" s="7">
        <v>0</v>
      </c>
      <c r="AZ381" s="7">
        <v>0</v>
      </c>
      <c r="BA381" s="7">
        <v>0</v>
      </c>
      <c r="BB381" s="7">
        <v>0</v>
      </c>
      <c r="BC381" s="7">
        <v>0</v>
      </c>
      <c r="BD381">
        <v>0</v>
      </c>
      <c r="BE381">
        <v>28.87</v>
      </c>
      <c r="BF3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1" s="42" t="str">
        <f>+IF(AVANCE[[#This Row],[FECHA INICIO REAL]]="","",AVANCE[[#This Row],[FECHA INICIO REAL]]-AVANCE[[#This Row],[FECHA INICIO TEORICO]])</f>
        <v/>
      </c>
      <c r="BH3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2" spans="1:61" x14ac:dyDescent="0.25">
      <c r="A382" t="s">
        <v>1187</v>
      </c>
      <c r="B382" t="s">
        <v>1216</v>
      </c>
      <c r="C382">
        <v>2282600381</v>
      </c>
      <c r="D382" t="s">
        <v>833</v>
      </c>
      <c r="E382" s="4">
        <v>0</v>
      </c>
      <c r="F382" s="1">
        <v>46330</v>
      </c>
      <c r="G382" s="1"/>
      <c r="H382" s="1">
        <v>0</v>
      </c>
      <c r="I382" s="1">
        <v>46350</v>
      </c>
      <c r="J382">
        <v>46188</v>
      </c>
      <c r="K382" s="1"/>
      <c r="L382" s="7">
        <v>0</v>
      </c>
      <c r="M382" s="7">
        <v>0</v>
      </c>
      <c r="N382" s="7">
        <v>0</v>
      </c>
      <c r="O382" s="7">
        <v>0</v>
      </c>
      <c r="P382" s="7">
        <v>0</v>
      </c>
      <c r="Q382" s="7">
        <v>0</v>
      </c>
      <c r="R382" s="7">
        <v>0</v>
      </c>
      <c r="S382" s="7">
        <v>0</v>
      </c>
      <c r="T382" s="7">
        <v>0</v>
      </c>
      <c r="U382" s="7">
        <v>0</v>
      </c>
      <c r="V382" s="7">
        <v>0</v>
      </c>
      <c r="W382" s="7">
        <v>0</v>
      </c>
      <c r="X382" s="7">
        <v>0</v>
      </c>
      <c r="Y382" s="7">
        <v>0</v>
      </c>
      <c r="Z382" s="7">
        <v>0</v>
      </c>
      <c r="AA382" s="7">
        <v>0</v>
      </c>
      <c r="AB382" s="7">
        <v>0</v>
      </c>
      <c r="AC382" s="7">
        <v>0</v>
      </c>
      <c r="AD382" s="7">
        <v>0</v>
      </c>
      <c r="AE382" s="7">
        <v>0</v>
      </c>
      <c r="AF382" s="7">
        <v>0</v>
      </c>
      <c r="AG382" s="7">
        <v>0</v>
      </c>
      <c r="AH382" s="7">
        <v>0</v>
      </c>
      <c r="AI382" s="7">
        <v>0</v>
      </c>
      <c r="AJ382" s="7">
        <v>0</v>
      </c>
      <c r="AK382" s="7">
        <v>0</v>
      </c>
      <c r="AL382" s="7">
        <v>0</v>
      </c>
      <c r="AM382" s="7">
        <v>0</v>
      </c>
      <c r="AN382" s="7">
        <v>0</v>
      </c>
      <c r="AO382" s="7">
        <v>0</v>
      </c>
      <c r="AP382" s="7">
        <v>0</v>
      </c>
      <c r="AQ382" s="7">
        <v>0</v>
      </c>
      <c r="AR382" s="7">
        <v>0</v>
      </c>
      <c r="AS382" s="7">
        <v>0</v>
      </c>
      <c r="AT382" s="7">
        <v>0</v>
      </c>
      <c r="AU382" s="7">
        <v>0</v>
      </c>
      <c r="AV382" s="7">
        <v>0</v>
      </c>
      <c r="AW382" s="7">
        <v>0</v>
      </c>
      <c r="AX382" s="7">
        <v>0</v>
      </c>
      <c r="AY382" s="7">
        <v>0</v>
      </c>
      <c r="AZ382" s="7">
        <v>0</v>
      </c>
      <c r="BA382" s="7">
        <v>0</v>
      </c>
      <c r="BB382" s="7">
        <v>0</v>
      </c>
      <c r="BC382" s="7">
        <v>0</v>
      </c>
      <c r="BD382">
        <v>0</v>
      </c>
      <c r="BE382">
        <v>28.87</v>
      </c>
      <c r="BF3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2" s="42" t="str">
        <f>+IF(AVANCE[[#This Row],[FECHA INICIO REAL]]="","",AVANCE[[#This Row],[FECHA INICIO REAL]]-AVANCE[[#This Row],[FECHA INICIO TEORICO]])</f>
        <v/>
      </c>
      <c r="BH3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3" spans="1:61" x14ac:dyDescent="0.25">
      <c r="A383" t="s">
        <v>1187</v>
      </c>
      <c r="B383" t="s">
        <v>1217</v>
      </c>
      <c r="C383">
        <v>2302600382</v>
      </c>
      <c r="D383" t="s">
        <v>834</v>
      </c>
      <c r="E383" s="4">
        <v>0</v>
      </c>
      <c r="F383" s="1">
        <v>46330</v>
      </c>
      <c r="G383" s="1"/>
      <c r="H383" s="1">
        <v>0</v>
      </c>
      <c r="I383" s="1">
        <v>46360</v>
      </c>
      <c r="J383">
        <v>46188</v>
      </c>
      <c r="K383" s="1"/>
      <c r="L383" s="7">
        <v>0</v>
      </c>
      <c r="M383" s="7">
        <v>0</v>
      </c>
      <c r="N383" s="7">
        <v>0</v>
      </c>
      <c r="O383" s="7">
        <v>0</v>
      </c>
      <c r="P383" s="7">
        <v>0</v>
      </c>
      <c r="Q383" s="7">
        <v>0</v>
      </c>
      <c r="R383" s="7">
        <v>0</v>
      </c>
      <c r="S383" s="7">
        <v>0</v>
      </c>
      <c r="T383" s="7">
        <v>0</v>
      </c>
      <c r="U383" s="7">
        <v>0</v>
      </c>
      <c r="V383" s="7">
        <v>0</v>
      </c>
      <c r="W383" s="7">
        <v>0</v>
      </c>
      <c r="X383" s="7">
        <v>0</v>
      </c>
      <c r="Y383" s="7">
        <v>0</v>
      </c>
      <c r="Z383" s="7">
        <v>0</v>
      </c>
      <c r="AA383" s="7">
        <v>0</v>
      </c>
      <c r="AB383" s="7">
        <v>0</v>
      </c>
      <c r="AC383" s="7">
        <v>0</v>
      </c>
      <c r="AD383" s="7">
        <v>0</v>
      </c>
      <c r="AE383" s="7">
        <v>0</v>
      </c>
      <c r="AF383" s="7">
        <v>0</v>
      </c>
      <c r="AG383" s="7">
        <v>0</v>
      </c>
      <c r="AH383" s="7">
        <v>0</v>
      </c>
      <c r="AI383" s="7">
        <v>0</v>
      </c>
      <c r="AJ383" s="7">
        <v>0</v>
      </c>
      <c r="AK383" s="7">
        <v>0</v>
      </c>
      <c r="AL383" s="7">
        <v>0</v>
      </c>
      <c r="AM383" s="7">
        <v>0</v>
      </c>
      <c r="AN383" s="7">
        <v>0</v>
      </c>
      <c r="AO383" s="7">
        <v>0</v>
      </c>
      <c r="AP383" s="7">
        <v>0</v>
      </c>
      <c r="AQ383" s="7">
        <v>0</v>
      </c>
      <c r="AR383" s="7">
        <v>0</v>
      </c>
      <c r="AS383" s="7">
        <v>0</v>
      </c>
      <c r="AT383" s="7">
        <v>0</v>
      </c>
      <c r="AU383" s="7">
        <v>0</v>
      </c>
      <c r="AV383" s="7">
        <v>0</v>
      </c>
      <c r="AW383" s="7">
        <v>0</v>
      </c>
      <c r="AX383" s="7">
        <v>0</v>
      </c>
      <c r="AY383" s="7">
        <v>0</v>
      </c>
      <c r="AZ383" s="7">
        <v>0</v>
      </c>
      <c r="BA383" s="7">
        <v>0</v>
      </c>
      <c r="BB383" s="7">
        <v>0</v>
      </c>
      <c r="BC383" s="7">
        <v>0</v>
      </c>
      <c r="BD383">
        <v>0</v>
      </c>
      <c r="BE383">
        <v>31.32</v>
      </c>
      <c r="BF3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3" s="42" t="str">
        <f>+IF(AVANCE[[#This Row],[FECHA INICIO REAL]]="","",AVANCE[[#This Row],[FECHA INICIO REAL]]-AVANCE[[#This Row],[FECHA INICIO TEORICO]])</f>
        <v/>
      </c>
      <c r="BH3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4" spans="1:61" x14ac:dyDescent="0.25">
      <c r="A384" t="s">
        <v>1187</v>
      </c>
      <c r="B384" t="s">
        <v>1218</v>
      </c>
      <c r="C384">
        <v>2302600383</v>
      </c>
      <c r="D384" t="s">
        <v>834</v>
      </c>
      <c r="E384" s="4">
        <v>0</v>
      </c>
      <c r="F384" s="1">
        <v>46331</v>
      </c>
      <c r="G384" s="1"/>
      <c r="H384" s="1">
        <v>0</v>
      </c>
      <c r="I384" s="1">
        <v>46361</v>
      </c>
      <c r="J384">
        <v>46188</v>
      </c>
      <c r="K384" s="1"/>
      <c r="L384" s="7">
        <v>0</v>
      </c>
      <c r="M384" s="7">
        <v>0</v>
      </c>
      <c r="N384" s="7">
        <v>0</v>
      </c>
      <c r="O384" s="7">
        <v>0</v>
      </c>
      <c r="P384" s="7">
        <v>0</v>
      </c>
      <c r="Q384" s="7">
        <v>0</v>
      </c>
      <c r="R384" s="7">
        <v>0</v>
      </c>
      <c r="S384" s="7">
        <v>0</v>
      </c>
      <c r="T384" s="7">
        <v>0</v>
      </c>
      <c r="U384" s="7">
        <v>0</v>
      </c>
      <c r="V384" s="7">
        <v>0</v>
      </c>
      <c r="W384" s="7">
        <v>0</v>
      </c>
      <c r="X384" s="7">
        <v>0</v>
      </c>
      <c r="Y384" s="7">
        <v>0</v>
      </c>
      <c r="Z384" s="7">
        <v>0</v>
      </c>
      <c r="AA384" s="7">
        <v>0</v>
      </c>
      <c r="AB384" s="7">
        <v>0</v>
      </c>
      <c r="AC384" s="7">
        <v>0</v>
      </c>
      <c r="AD384" s="7">
        <v>0</v>
      </c>
      <c r="AE384" s="7">
        <v>0</v>
      </c>
      <c r="AF384" s="7">
        <v>0</v>
      </c>
      <c r="AG384" s="7">
        <v>0</v>
      </c>
      <c r="AH384" s="7">
        <v>0</v>
      </c>
      <c r="AI384" s="7">
        <v>0</v>
      </c>
      <c r="AJ384" s="7">
        <v>0</v>
      </c>
      <c r="AK384" s="7">
        <v>0</v>
      </c>
      <c r="AL384" s="7">
        <v>0</v>
      </c>
      <c r="AM384" s="7">
        <v>0</v>
      </c>
      <c r="AN384" s="7">
        <v>0</v>
      </c>
      <c r="AO384" s="7">
        <v>0</v>
      </c>
      <c r="AP384" s="7">
        <v>0</v>
      </c>
      <c r="AQ384" s="7">
        <v>0</v>
      </c>
      <c r="AR384" s="7">
        <v>0</v>
      </c>
      <c r="AS384" s="7">
        <v>0</v>
      </c>
      <c r="AT384" s="7">
        <v>0</v>
      </c>
      <c r="AU384" s="7">
        <v>0</v>
      </c>
      <c r="AV384" s="7">
        <v>0</v>
      </c>
      <c r="AW384" s="7">
        <v>0</v>
      </c>
      <c r="AX384" s="7">
        <v>0</v>
      </c>
      <c r="AY384" s="7">
        <v>0</v>
      </c>
      <c r="AZ384" s="7">
        <v>0</v>
      </c>
      <c r="BA384" s="7">
        <v>0</v>
      </c>
      <c r="BB384" s="7">
        <v>0</v>
      </c>
      <c r="BC384" s="7">
        <v>0</v>
      </c>
      <c r="BD384">
        <v>0</v>
      </c>
      <c r="BE384">
        <v>31.32</v>
      </c>
      <c r="BF3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4" s="42" t="str">
        <f>+IF(AVANCE[[#This Row],[FECHA INICIO REAL]]="","",AVANCE[[#This Row],[FECHA INICIO REAL]]-AVANCE[[#This Row],[FECHA INICIO TEORICO]])</f>
        <v/>
      </c>
      <c r="BH3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5" spans="1:61" x14ac:dyDescent="0.25">
      <c r="A385" t="s">
        <v>1187</v>
      </c>
      <c r="B385" t="s">
        <v>1219</v>
      </c>
      <c r="C385">
        <v>2282600384</v>
      </c>
      <c r="D385" t="s">
        <v>833</v>
      </c>
      <c r="E385" s="4">
        <v>0</v>
      </c>
      <c r="F385" s="1">
        <v>46331</v>
      </c>
      <c r="G385" s="1"/>
      <c r="H385" s="1">
        <v>0</v>
      </c>
      <c r="I385" s="1">
        <v>46351</v>
      </c>
      <c r="J385">
        <v>46188</v>
      </c>
      <c r="K385" s="1"/>
      <c r="L385" s="7">
        <v>0</v>
      </c>
      <c r="M385" s="7">
        <v>0</v>
      </c>
      <c r="N385" s="7">
        <v>0</v>
      </c>
      <c r="O385" s="7">
        <v>0</v>
      </c>
      <c r="P385" s="7">
        <v>0</v>
      </c>
      <c r="Q385" s="7">
        <v>0</v>
      </c>
      <c r="R385" s="7">
        <v>0</v>
      </c>
      <c r="S385" s="7">
        <v>0</v>
      </c>
      <c r="T385" s="7">
        <v>0</v>
      </c>
      <c r="U385" s="7">
        <v>0</v>
      </c>
      <c r="V385" s="7">
        <v>0</v>
      </c>
      <c r="W385" s="7">
        <v>0</v>
      </c>
      <c r="X385" s="7">
        <v>0</v>
      </c>
      <c r="Y385" s="7">
        <v>0</v>
      </c>
      <c r="Z385" s="7">
        <v>0</v>
      </c>
      <c r="AA385" s="7">
        <v>0</v>
      </c>
      <c r="AB385" s="7">
        <v>0</v>
      </c>
      <c r="AC385" s="7">
        <v>0</v>
      </c>
      <c r="AD385" s="7">
        <v>0</v>
      </c>
      <c r="AE385" s="7">
        <v>0</v>
      </c>
      <c r="AF385" s="7">
        <v>0</v>
      </c>
      <c r="AG385" s="7">
        <v>0</v>
      </c>
      <c r="AH385" s="7">
        <v>0</v>
      </c>
      <c r="AI385" s="7">
        <v>0</v>
      </c>
      <c r="AJ385" s="7">
        <v>0</v>
      </c>
      <c r="AK385" s="7">
        <v>0</v>
      </c>
      <c r="AL385" s="7">
        <v>0</v>
      </c>
      <c r="AM385" s="7">
        <v>0</v>
      </c>
      <c r="AN385" s="7">
        <v>0</v>
      </c>
      <c r="AO385" s="7">
        <v>0</v>
      </c>
      <c r="AP385" s="7">
        <v>0</v>
      </c>
      <c r="AQ385" s="7">
        <v>0</v>
      </c>
      <c r="AR385" s="7">
        <v>0</v>
      </c>
      <c r="AS385" s="7">
        <v>0</v>
      </c>
      <c r="AT385" s="7">
        <v>0</v>
      </c>
      <c r="AU385" s="7">
        <v>0</v>
      </c>
      <c r="AV385" s="7">
        <v>0</v>
      </c>
      <c r="AW385" s="7">
        <v>0</v>
      </c>
      <c r="AX385" s="7">
        <v>0</v>
      </c>
      <c r="AY385" s="7">
        <v>0</v>
      </c>
      <c r="AZ385" s="7">
        <v>0</v>
      </c>
      <c r="BA385" s="7">
        <v>0</v>
      </c>
      <c r="BB385" s="7">
        <v>0</v>
      </c>
      <c r="BC385" s="7">
        <v>0</v>
      </c>
      <c r="BD385">
        <v>0</v>
      </c>
      <c r="BE385">
        <v>28.87</v>
      </c>
      <c r="BF3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5" s="42" t="str">
        <f>+IF(AVANCE[[#This Row],[FECHA INICIO REAL]]="","",AVANCE[[#This Row],[FECHA INICIO REAL]]-AVANCE[[#This Row],[FECHA INICIO TEORICO]])</f>
        <v/>
      </c>
      <c r="BH3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6" spans="1:61" x14ac:dyDescent="0.25">
      <c r="A386" t="s">
        <v>1220</v>
      </c>
      <c r="B386" t="s">
        <v>1221</v>
      </c>
      <c r="C386">
        <v>2282600385</v>
      </c>
      <c r="D386" t="s">
        <v>833</v>
      </c>
      <c r="E386" s="4">
        <v>0</v>
      </c>
      <c r="F386" s="1">
        <v>46331</v>
      </c>
      <c r="G386" s="1"/>
      <c r="H386" s="1">
        <v>0</v>
      </c>
      <c r="I386" s="1">
        <v>46351</v>
      </c>
      <c r="J386">
        <v>46188</v>
      </c>
      <c r="K386" s="1"/>
      <c r="L386" s="7">
        <v>0</v>
      </c>
      <c r="M386" s="7">
        <v>0</v>
      </c>
      <c r="N386" s="7">
        <v>0</v>
      </c>
      <c r="O386" s="7">
        <v>0</v>
      </c>
      <c r="P386" s="7">
        <v>0</v>
      </c>
      <c r="Q386" s="7">
        <v>0</v>
      </c>
      <c r="R386" s="7">
        <v>0</v>
      </c>
      <c r="S386" s="7">
        <v>0</v>
      </c>
      <c r="T386" s="7">
        <v>0</v>
      </c>
      <c r="U386" s="7">
        <v>0</v>
      </c>
      <c r="V386" s="7">
        <v>0</v>
      </c>
      <c r="W386" s="7">
        <v>0</v>
      </c>
      <c r="X386" s="7">
        <v>0</v>
      </c>
      <c r="Y386" s="7">
        <v>0</v>
      </c>
      <c r="Z386" s="7">
        <v>0</v>
      </c>
      <c r="AA386" s="7">
        <v>0</v>
      </c>
      <c r="AB386" s="7">
        <v>0</v>
      </c>
      <c r="AC386" s="7">
        <v>0</v>
      </c>
      <c r="AD386" s="7">
        <v>0</v>
      </c>
      <c r="AE386" s="7">
        <v>0</v>
      </c>
      <c r="AF386" s="7">
        <v>0</v>
      </c>
      <c r="AG386" s="7">
        <v>0</v>
      </c>
      <c r="AH386" s="7">
        <v>0</v>
      </c>
      <c r="AI386" s="7">
        <v>0</v>
      </c>
      <c r="AJ386" s="7">
        <v>0</v>
      </c>
      <c r="AK386" s="7">
        <v>0</v>
      </c>
      <c r="AL386" s="7">
        <v>0</v>
      </c>
      <c r="AM386" s="7">
        <v>0</v>
      </c>
      <c r="AN386" s="7">
        <v>0</v>
      </c>
      <c r="AO386" s="7">
        <v>0</v>
      </c>
      <c r="AP386" s="7">
        <v>0</v>
      </c>
      <c r="AQ386" s="7">
        <v>0</v>
      </c>
      <c r="AR386" s="7">
        <v>0</v>
      </c>
      <c r="AS386" s="7">
        <v>0</v>
      </c>
      <c r="AT386" s="7">
        <v>0</v>
      </c>
      <c r="AU386" s="7">
        <v>0</v>
      </c>
      <c r="AV386" s="7">
        <v>0</v>
      </c>
      <c r="AW386" s="7">
        <v>0</v>
      </c>
      <c r="AX386" s="7">
        <v>0</v>
      </c>
      <c r="AY386" s="7">
        <v>0</v>
      </c>
      <c r="AZ386" s="7">
        <v>0</v>
      </c>
      <c r="BA386" s="7">
        <v>0</v>
      </c>
      <c r="BB386" s="7">
        <v>0</v>
      </c>
      <c r="BC386" s="7">
        <v>0</v>
      </c>
      <c r="BD386">
        <v>0</v>
      </c>
      <c r="BE386">
        <v>28.87</v>
      </c>
      <c r="BF3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6" s="42" t="str">
        <f>+IF(AVANCE[[#This Row],[FECHA INICIO REAL]]="","",AVANCE[[#This Row],[FECHA INICIO REAL]]-AVANCE[[#This Row],[FECHA INICIO TEORICO]])</f>
        <v/>
      </c>
      <c r="BH3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7" spans="1:61" x14ac:dyDescent="0.25">
      <c r="A387" t="s">
        <v>1220</v>
      </c>
      <c r="B387" t="s">
        <v>1222</v>
      </c>
      <c r="C387">
        <v>2302600386</v>
      </c>
      <c r="D387" t="s">
        <v>834</v>
      </c>
      <c r="E387" s="4">
        <v>0</v>
      </c>
      <c r="F387" s="1">
        <v>46332</v>
      </c>
      <c r="G387" s="1"/>
      <c r="H387" s="1">
        <v>0</v>
      </c>
      <c r="I387" s="1">
        <v>46362</v>
      </c>
      <c r="J387">
        <v>46188</v>
      </c>
      <c r="K387" s="1"/>
      <c r="L387" s="7">
        <v>0</v>
      </c>
      <c r="M387" s="7">
        <v>0</v>
      </c>
      <c r="N387" s="7">
        <v>0</v>
      </c>
      <c r="O387" s="7">
        <v>0</v>
      </c>
      <c r="P387" s="7">
        <v>0</v>
      </c>
      <c r="Q387" s="7">
        <v>0</v>
      </c>
      <c r="R387" s="7">
        <v>0</v>
      </c>
      <c r="S387" s="7">
        <v>0</v>
      </c>
      <c r="T387" s="7">
        <v>0</v>
      </c>
      <c r="U387" s="7">
        <v>0</v>
      </c>
      <c r="V387" s="7">
        <v>0</v>
      </c>
      <c r="W387" s="7">
        <v>0</v>
      </c>
      <c r="X387" s="7">
        <v>0</v>
      </c>
      <c r="Y387" s="7">
        <v>0</v>
      </c>
      <c r="Z387" s="7">
        <v>0</v>
      </c>
      <c r="AA387" s="7">
        <v>0</v>
      </c>
      <c r="AB387" s="7">
        <v>0</v>
      </c>
      <c r="AC387" s="7">
        <v>0</v>
      </c>
      <c r="AD387" s="7">
        <v>0</v>
      </c>
      <c r="AE387" s="7">
        <v>0</v>
      </c>
      <c r="AF387" s="7">
        <v>0</v>
      </c>
      <c r="AG387" s="7">
        <v>0</v>
      </c>
      <c r="AH387" s="7">
        <v>0</v>
      </c>
      <c r="AI387" s="7">
        <v>0</v>
      </c>
      <c r="AJ387" s="7">
        <v>0</v>
      </c>
      <c r="AK387" s="7">
        <v>0</v>
      </c>
      <c r="AL387" s="7">
        <v>0</v>
      </c>
      <c r="AM387" s="7">
        <v>0</v>
      </c>
      <c r="AN387" s="7">
        <v>0</v>
      </c>
      <c r="AO387" s="7">
        <v>0</v>
      </c>
      <c r="AP387" s="7">
        <v>0</v>
      </c>
      <c r="AQ387" s="7">
        <v>0</v>
      </c>
      <c r="AR387" s="7">
        <v>0</v>
      </c>
      <c r="AS387" s="7">
        <v>0</v>
      </c>
      <c r="AT387" s="7">
        <v>0</v>
      </c>
      <c r="AU387" s="7">
        <v>0</v>
      </c>
      <c r="AV387" s="7">
        <v>0</v>
      </c>
      <c r="AW387" s="7">
        <v>0</v>
      </c>
      <c r="AX387" s="7">
        <v>0</v>
      </c>
      <c r="AY387" s="7">
        <v>0</v>
      </c>
      <c r="AZ387" s="7">
        <v>0</v>
      </c>
      <c r="BA387" s="7">
        <v>0</v>
      </c>
      <c r="BB387" s="7">
        <v>0</v>
      </c>
      <c r="BC387" s="7">
        <v>0</v>
      </c>
      <c r="BD387">
        <v>0</v>
      </c>
      <c r="BE387">
        <v>31.32</v>
      </c>
      <c r="BF3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7" s="42" t="str">
        <f>+IF(AVANCE[[#This Row],[FECHA INICIO REAL]]="","",AVANCE[[#This Row],[FECHA INICIO REAL]]-AVANCE[[#This Row],[FECHA INICIO TEORICO]])</f>
        <v/>
      </c>
      <c r="BH3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8" spans="1:61" x14ac:dyDescent="0.25">
      <c r="A388" t="s">
        <v>1220</v>
      </c>
      <c r="B388" t="s">
        <v>1223</v>
      </c>
      <c r="C388">
        <v>2302600387</v>
      </c>
      <c r="D388" t="s">
        <v>834</v>
      </c>
      <c r="E388" s="4">
        <v>0</v>
      </c>
      <c r="F388" s="1">
        <v>46332</v>
      </c>
      <c r="G388" s="1"/>
      <c r="H388" s="1">
        <v>0</v>
      </c>
      <c r="I388" s="1">
        <v>46362</v>
      </c>
      <c r="J388">
        <v>46188</v>
      </c>
      <c r="K388" s="1"/>
      <c r="L388" s="7">
        <v>0</v>
      </c>
      <c r="M388" s="7">
        <v>0</v>
      </c>
      <c r="N388" s="7">
        <v>0</v>
      </c>
      <c r="O388" s="7">
        <v>0</v>
      </c>
      <c r="P388" s="7">
        <v>0</v>
      </c>
      <c r="Q388" s="7">
        <v>0</v>
      </c>
      <c r="R388" s="7">
        <v>0</v>
      </c>
      <c r="S388" s="7">
        <v>0</v>
      </c>
      <c r="T388" s="7">
        <v>0</v>
      </c>
      <c r="U388" s="7">
        <v>0</v>
      </c>
      <c r="V388" s="7">
        <v>0</v>
      </c>
      <c r="W388" s="7">
        <v>0</v>
      </c>
      <c r="X388" s="7">
        <v>0</v>
      </c>
      <c r="Y388" s="7">
        <v>0</v>
      </c>
      <c r="Z388" s="7">
        <v>0</v>
      </c>
      <c r="AA388" s="7">
        <v>0</v>
      </c>
      <c r="AB388" s="7">
        <v>0</v>
      </c>
      <c r="AC388" s="7">
        <v>0</v>
      </c>
      <c r="AD388" s="7">
        <v>0</v>
      </c>
      <c r="AE388" s="7">
        <v>0</v>
      </c>
      <c r="AF388" s="7">
        <v>0</v>
      </c>
      <c r="AG388" s="7">
        <v>0</v>
      </c>
      <c r="AH388" s="7">
        <v>0</v>
      </c>
      <c r="AI388" s="7">
        <v>0</v>
      </c>
      <c r="AJ388" s="7">
        <v>0</v>
      </c>
      <c r="AK388" s="7">
        <v>0</v>
      </c>
      <c r="AL388" s="7">
        <v>0</v>
      </c>
      <c r="AM388" s="7">
        <v>0</v>
      </c>
      <c r="AN388" s="7">
        <v>0</v>
      </c>
      <c r="AO388" s="7">
        <v>0</v>
      </c>
      <c r="AP388" s="7">
        <v>0</v>
      </c>
      <c r="AQ388" s="7">
        <v>0</v>
      </c>
      <c r="AR388" s="7">
        <v>0</v>
      </c>
      <c r="AS388" s="7">
        <v>0</v>
      </c>
      <c r="AT388" s="7">
        <v>0</v>
      </c>
      <c r="AU388" s="7">
        <v>0</v>
      </c>
      <c r="AV388" s="7">
        <v>0</v>
      </c>
      <c r="AW388" s="7">
        <v>0</v>
      </c>
      <c r="AX388" s="7">
        <v>0</v>
      </c>
      <c r="AY388" s="7">
        <v>0</v>
      </c>
      <c r="AZ388" s="7">
        <v>0</v>
      </c>
      <c r="BA388" s="7">
        <v>0</v>
      </c>
      <c r="BB388" s="7">
        <v>0</v>
      </c>
      <c r="BC388" s="7">
        <v>0</v>
      </c>
      <c r="BD388">
        <v>0</v>
      </c>
      <c r="BE388">
        <v>31.32</v>
      </c>
      <c r="BF3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8" s="42" t="str">
        <f>+IF(AVANCE[[#This Row],[FECHA INICIO REAL]]="","",AVANCE[[#This Row],[FECHA INICIO REAL]]-AVANCE[[#This Row],[FECHA INICIO TEORICO]])</f>
        <v/>
      </c>
      <c r="BH3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9" spans="1:61" x14ac:dyDescent="0.25">
      <c r="A389" t="s">
        <v>1220</v>
      </c>
      <c r="B389" t="s">
        <v>1224</v>
      </c>
      <c r="C389">
        <v>2282600388</v>
      </c>
      <c r="D389" t="s">
        <v>833</v>
      </c>
      <c r="E389" s="4">
        <v>0</v>
      </c>
      <c r="F389" s="1">
        <v>46332</v>
      </c>
      <c r="G389" s="1"/>
      <c r="H389" s="1">
        <v>0</v>
      </c>
      <c r="I389" s="1">
        <v>46352</v>
      </c>
      <c r="J389">
        <v>46188</v>
      </c>
      <c r="K389" s="1"/>
      <c r="L389" s="7">
        <v>0</v>
      </c>
      <c r="M389" s="7">
        <v>0</v>
      </c>
      <c r="N389" s="7">
        <v>0</v>
      </c>
      <c r="O389" s="7">
        <v>0</v>
      </c>
      <c r="P389" s="7">
        <v>0</v>
      </c>
      <c r="Q389" s="7">
        <v>0</v>
      </c>
      <c r="R389" s="7">
        <v>0</v>
      </c>
      <c r="S389" s="7">
        <v>0</v>
      </c>
      <c r="T389" s="7">
        <v>0</v>
      </c>
      <c r="U389" s="7">
        <v>0</v>
      </c>
      <c r="V389" s="7">
        <v>0</v>
      </c>
      <c r="W389" s="7">
        <v>0</v>
      </c>
      <c r="X389" s="7">
        <v>0</v>
      </c>
      <c r="Y389" s="7">
        <v>0</v>
      </c>
      <c r="Z389" s="7">
        <v>0</v>
      </c>
      <c r="AA389" s="7">
        <v>0</v>
      </c>
      <c r="AB389" s="7">
        <v>0</v>
      </c>
      <c r="AC389" s="7">
        <v>0</v>
      </c>
      <c r="AD389" s="7">
        <v>0</v>
      </c>
      <c r="AE389" s="7">
        <v>0</v>
      </c>
      <c r="AF389" s="7">
        <v>0</v>
      </c>
      <c r="AG389" s="7">
        <v>0</v>
      </c>
      <c r="AH389" s="7">
        <v>0</v>
      </c>
      <c r="AI389" s="7">
        <v>0</v>
      </c>
      <c r="AJ389" s="7">
        <v>0</v>
      </c>
      <c r="AK389" s="7">
        <v>0</v>
      </c>
      <c r="AL389" s="7">
        <v>0</v>
      </c>
      <c r="AM389" s="7">
        <v>0</v>
      </c>
      <c r="AN389" s="7">
        <v>0</v>
      </c>
      <c r="AO389" s="7">
        <v>0</v>
      </c>
      <c r="AP389" s="7">
        <v>0</v>
      </c>
      <c r="AQ389" s="7">
        <v>0</v>
      </c>
      <c r="AR389" s="7">
        <v>0</v>
      </c>
      <c r="AS389" s="7">
        <v>0</v>
      </c>
      <c r="AT389" s="7">
        <v>0</v>
      </c>
      <c r="AU389" s="7">
        <v>0</v>
      </c>
      <c r="AV389" s="7">
        <v>0</v>
      </c>
      <c r="AW389" s="7">
        <v>0</v>
      </c>
      <c r="AX389" s="7">
        <v>0</v>
      </c>
      <c r="AY389" s="7">
        <v>0</v>
      </c>
      <c r="AZ389" s="7">
        <v>0</v>
      </c>
      <c r="BA389" s="7">
        <v>0</v>
      </c>
      <c r="BB389" s="7">
        <v>0</v>
      </c>
      <c r="BC389" s="7">
        <v>0</v>
      </c>
      <c r="BD389">
        <v>0</v>
      </c>
      <c r="BE389">
        <v>28.87</v>
      </c>
      <c r="BF3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9" s="42" t="str">
        <f>+IF(AVANCE[[#This Row],[FECHA INICIO REAL]]="","",AVANCE[[#This Row],[FECHA INICIO REAL]]-AVANCE[[#This Row],[FECHA INICIO TEORICO]])</f>
        <v/>
      </c>
      <c r="BH3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0" spans="1:61" x14ac:dyDescent="0.25">
      <c r="A390" t="s">
        <v>1220</v>
      </c>
      <c r="B390" t="s">
        <v>1225</v>
      </c>
      <c r="C390">
        <v>2282600389</v>
      </c>
      <c r="D390" t="s">
        <v>833</v>
      </c>
      <c r="E390" s="4">
        <v>0</v>
      </c>
      <c r="F390" s="1">
        <v>46335</v>
      </c>
      <c r="G390" s="1"/>
      <c r="H390" s="1">
        <v>0</v>
      </c>
      <c r="I390" s="1">
        <v>46355</v>
      </c>
      <c r="J390">
        <v>46188</v>
      </c>
      <c r="K390" s="1"/>
      <c r="L390" s="7">
        <v>0</v>
      </c>
      <c r="M390" s="7">
        <v>0</v>
      </c>
      <c r="N390" s="7">
        <v>0</v>
      </c>
      <c r="O390" s="7">
        <v>0</v>
      </c>
      <c r="P390" s="7">
        <v>0</v>
      </c>
      <c r="Q390" s="7">
        <v>0</v>
      </c>
      <c r="R390" s="7">
        <v>0</v>
      </c>
      <c r="S390" s="7">
        <v>0</v>
      </c>
      <c r="T390" s="7">
        <v>0</v>
      </c>
      <c r="U390" s="7">
        <v>0</v>
      </c>
      <c r="V390" s="7">
        <v>0</v>
      </c>
      <c r="W390" s="7">
        <v>0</v>
      </c>
      <c r="X390" s="7">
        <v>0</v>
      </c>
      <c r="Y390" s="7">
        <v>0</v>
      </c>
      <c r="Z390" s="7">
        <v>0</v>
      </c>
      <c r="AA390" s="7">
        <v>0</v>
      </c>
      <c r="AB390" s="7">
        <v>0</v>
      </c>
      <c r="AC390" s="7">
        <v>0</v>
      </c>
      <c r="AD390" s="7">
        <v>0</v>
      </c>
      <c r="AE390" s="7">
        <v>0</v>
      </c>
      <c r="AF390" s="7">
        <v>0</v>
      </c>
      <c r="AG390" s="7">
        <v>0</v>
      </c>
      <c r="AH390" s="7">
        <v>0</v>
      </c>
      <c r="AI390" s="7">
        <v>0</v>
      </c>
      <c r="AJ390" s="7">
        <v>0</v>
      </c>
      <c r="AK390" s="7">
        <v>0</v>
      </c>
      <c r="AL390" s="7">
        <v>0</v>
      </c>
      <c r="AM390" s="7">
        <v>0</v>
      </c>
      <c r="AN390" s="7">
        <v>0</v>
      </c>
      <c r="AO390" s="7">
        <v>0</v>
      </c>
      <c r="AP390" s="7">
        <v>0</v>
      </c>
      <c r="AQ390" s="7">
        <v>0</v>
      </c>
      <c r="AR390" s="7">
        <v>0</v>
      </c>
      <c r="AS390" s="7">
        <v>0</v>
      </c>
      <c r="AT390" s="7">
        <v>0</v>
      </c>
      <c r="AU390" s="7">
        <v>0</v>
      </c>
      <c r="AV390" s="7">
        <v>0</v>
      </c>
      <c r="AW390" s="7">
        <v>0</v>
      </c>
      <c r="AX390" s="7">
        <v>0</v>
      </c>
      <c r="AY390" s="7">
        <v>0</v>
      </c>
      <c r="AZ390" s="7">
        <v>0</v>
      </c>
      <c r="BA390" s="7">
        <v>0</v>
      </c>
      <c r="BB390" s="7">
        <v>0</v>
      </c>
      <c r="BC390" s="7">
        <v>0</v>
      </c>
      <c r="BD390">
        <v>0</v>
      </c>
      <c r="BE390">
        <v>28.87</v>
      </c>
      <c r="BF3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0" s="42" t="str">
        <f>+IF(AVANCE[[#This Row],[FECHA INICIO REAL]]="","",AVANCE[[#This Row],[FECHA INICIO REAL]]-AVANCE[[#This Row],[FECHA INICIO TEORICO]])</f>
        <v/>
      </c>
      <c r="BH3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1" spans="1:61" x14ac:dyDescent="0.25">
      <c r="A391" t="s">
        <v>1220</v>
      </c>
      <c r="B391" t="s">
        <v>1226</v>
      </c>
      <c r="C391">
        <v>2302600390</v>
      </c>
      <c r="D391" t="s">
        <v>834</v>
      </c>
      <c r="E391" s="4">
        <v>0</v>
      </c>
      <c r="F391" s="1">
        <v>46335</v>
      </c>
      <c r="G391" s="1"/>
      <c r="H391" s="1">
        <v>0</v>
      </c>
      <c r="I391" s="1">
        <v>46365</v>
      </c>
      <c r="J391">
        <v>46188</v>
      </c>
      <c r="K391" s="1"/>
      <c r="L391" s="7">
        <v>0</v>
      </c>
      <c r="M391" s="7">
        <v>0</v>
      </c>
      <c r="N391" s="7">
        <v>0</v>
      </c>
      <c r="O391" s="7">
        <v>0</v>
      </c>
      <c r="P391" s="7">
        <v>0</v>
      </c>
      <c r="Q391" s="7">
        <v>0</v>
      </c>
      <c r="R391" s="7">
        <v>0</v>
      </c>
      <c r="S391" s="7">
        <v>0</v>
      </c>
      <c r="T391" s="7">
        <v>0</v>
      </c>
      <c r="U391" s="7">
        <v>0</v>
      </c>
      <c r="V391" s="7">
        <v>0</v>
      </c>
      <c r="W391" s="7">
        <v>0</v>
      </c>
      <c r="X391" s="7">
        <v>0</v>
      </c>
      <c r="Y391" s="7">
        <v>0</v>
      </c>
      <c r="Z391" s="7">
        <v>0</v>
      </c>
      <c r="AA391" s="7">
        <v>0</v>
      </c>
      <c r="AB391" s="7">
        <v>0</v>
      </c>
      <c r="AC391" s="7">
        <v>0</v>
      </c>
      <c r="AD391" s="7">
        <v>0</v>
      </c>
      <c r="AE391" s="7">
        <v>0</v>
      </c>
      <c r="AF391" s="7">
        <v>0</v>
      </c>
      <c r="AG391" s="7">
        <v>0</v>
      </c>
      <c r="AH391" s="7">
        <v>0</v>
      </c>
      <c r="AI391" s="7">
        <v>0</v>
      </c>
      <c r="AJ391" s="7">
        <v>0</v>
      </c>
      <c r="AK391" s="7">
        <v>0</v>
      </c>
      <c r="AL391" s="7">
        <v>0</v>
      </c>
      <c r="AM391" s="7">
        <v>0</v>
      </c>
      <c r="AN391" s="7">
        <v>0</v>
      </c>
      <c r="AO391" s="7">
        <v>0</v>
      </c>
      <c r="AP391" s="7">
        <v>0</v>
      </c>
      <c r="AQ391" s="7">
        <v>0</v>
      </c>
      <c r="AR391" s="7">
        <v>0</v>
      </c>
      <c r="AS391" s="7">
        <v>0</v>
      </c>
      <c r="AT391" s="7">
        <v>0</v>
      </c>
      <c r="AU391" s="7">
        <v>0</v>
      </c>
      <c r="AV391" s="7">
        <v>0</v>
      </c>
      <c r="AW391" s="7">
        <v>0</v>
      </c>
      <c r="AX391" s="7">
        <v>0</v>
      </c>
      <c r="AY391" s="7">
        <v>0</v>
      </c>
      <c r="AZ391" s="7">
        <v>0</v>
      </c>
      <c r="BA391" s="7">
        <v>0</v>
      </c>
      <c r="BB391" s="7">
        <v>0</v>
      </c>
      <c r="BC391" s="7">
        <v>0</v>
      </c>
      <c r="BD391">
        <v>0</v>
      </c>
      <c r="BE391">
        <v>31.32</v>
      </c>
      <c r="BF3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1" s="42" t="str">
        <f>+IF(AVANCE[[#This Row],[FECHA INICIO REAL]]="","",AVANCE[[#This Row],[FECHA INICIO REAL]]-AVANCE[[#This Row],[FECHA INICIO TEORICO]])</f>
        <v/>
      </c>
      <c r="BH3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2" spans="1:61" x14ac:dyDescent="0.25">
      <c r="A392" t="s">
        <v>1220</v>
      </c>
      <c r="B392" t="s">
        <v>1227</v>
      </c>
      <c r="C392">
        <v>2302600391</v>
      </c>
      <c r="D392" t="s">
        <v>834</v>
      </c>
      <c r="E392" s="4">
        <v>0</v>
      </c>
      <c r="F392" s="1">
        <v>46335</v>
      </c>
      <c r="G392" s="1"/>
      <c r="H392" s="1">
        <v>0</v>
      </c>
      <c r="I392" s="1">
        <v>46365</v>
      </c>
      <c r="J392">
        <v>46188</v>
      </c>
      <c r="K392" s="1"/>
      <c r="L392" s="7">
        <v>0</v>
      </c>
      <c r="M392" s="7">
        <v>0</v>
      </c>
      <c r="N392" s="7">
        <v>0</v>
      </c>
      <c r="O392" s="7">
        <v>0</v>
      </c>
      <c r="P392" s="7">
        <v>0</v>
      </c>
      <c r="Q392" s="7">
        <v>0</v>
      </c>
      <c r="R392" s="7">
        <v>0</v>
      </c>
      <c r="S392" s="7">
        <v>0</v>
      </c>
      <c r="T392" s="7">
        <v>0</v>
      </c>
      <c r="U392" s="7">
        <v>0</v>
      </c>
      <c r="V392" s="7">
        <v>0</v>
      </c>
      <c r="W392" s="7">
        <v>0</v>
      </c>
      <c r="X392" s="7">
        <v>0</v>
      </c>
      <c r="Y392" s="7">
        <v>0</v>
      </c>
      <c r="Z392" s="7">
        <v>0</v>
      </c>
      <c r="AA392" s="7">
        <v>0</v>
      </c>
      <c r="AB392" s="7">
        <v>0</v>
      </c>
      <c r="AC392" s="7">
        <v>0</v>
      </c>
      <c r="AD392" s="7">
        <v>0</v>
      </c>
      <c r="AE392" s="7">
        <v>0</v>
      </c>
      <c r="AF392" s="7">
        <v>0</v>
      </c>
      <c r="AG392" s="7">
        <v>0</v>
      </c>
      <c r="AH392" s="7">
        <v>0</v>
      </c>
      <c r="AI392" s="7">
        <v>0</v>
      </c>
      <c r="AJ392" s="7">
        <v>0</v>
      </c>
      <c r="AK392" s="7">
        <v>0</v>
      </c>
      <c r="AL392" s="7">
        <v>0</v>
      </c>
      <c r="AM392" s="7">
        <v>0</v>
      </c>
      <c r="AN392" s="7">
        <v>0</v>
      </c>
      <c r="AO392" s="7">
        <v>0</v>
      </c>
      <c r="AP392" s="7">
        <v>0</v>
      </c>
      <c r="AQ392" s="7">
        <v>0</v>
      </c>
      <c r="AR392" s="7">
        <v>0</v>
      </c>
      <c r="AS392" s="7">
        <v>0</v>
      </c>
      <c r="AT392" s="7">
        <v>0</v>
      </c>
      <c r="AU392" s="7">
        <v>0</v>
      </c>
      <c r="AV392" s="7">
        <v>0</v>
      </c>
      <c r="AW392" s="7">
        <v>0</v>
      </c>
      <c r="AX392" s="7">
        <v>0</v>
      </c>
      <c r="AY392" s="7">
        <v>0</v>
      </c>
      <c r="AZ392" s="7">
        <v>0</v>
      </c>
      <c r="BA392" s="7">
        <v>0</v>
      </c>
      <c r="BB392" s="7">
        <v>0</v>
      </c>
      <c r="BC392" s="7">
        <v>0</v>
      </c>
      <c r="BD392">
        <v>0</v>
      </c>
      <c r="BE392">
        <v>31.32</v>
      </c>
      <c r="BF3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2" s="42" t="str">
        <f>+IF(AVANCE[[#This Row],[FECHA INICIO REAL]]="","",AVANCE[[#This Row],[FECHA INICIO REAL]]-AVANCE[[#This Row],[FECHA INICIO TEORICO]])</f>
        <v/>
      </c>
      <c r="BH3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3" spans="1:61" x14ac:dyDescent="0.25">
      <c r="A393" t="s">
        <v>1220</v>
      </c>
      <c r="B393" t="s">
        <v>1228</v>
      </c>
      <c r="C393">
        <v>2282600392</v>
      </c>
      <c r="D393" t="s">
        <v>833</v>
      </c>
      <c r="E393" s="4">
        <v>0</v>
      </c>
      <c r="F393" s="1">
        <v>46336</v>
      </c>
      <c r="G393" s="1"/>
      <c r="H393" s="1">
        <v>0</v>
      </c>
      <c r="I393" s="1">
        <v>46356</v>
      </c>
      <c r="J393">
        <v>46188</v>
      </c>
      <c r="K393" s="1"/>
      <c r="L393" s="7">
        <v>0</v>
      </c>
      <c r="M393" s="7">
        <v>0</v>
      </c>
      <c r="N393" s="7">
        <v>0</v>
      </c>
      <c r="O393" s="7">
        <v>0</v>
      </c>
      <c r="P393" s="7">
        <v>0</v>
      </c>
      <c r="Q393" s="7">
        <v>0</v>
      </c>
      <c r="R393" s="7">
        <v>0</v>
      </c>
      <c r="S393" s="7">
        <v>0</v>
      </c>
      <c r="T393" s="7">
        <v>0</v>
      </c>
      <c r="U393" s="7">
        <v>0</v>
      </c>
      <c r="V393" s="7">
        <v>0</v>
      </c>
      <c r="W393" s="7">
        <v>0</v>
      </c>
      <c r="X393" s="7">
        <v>0</v>
      </c>
      <c r="Y393" s="7">
        <v>0</v>
      </c>
      <c r="Z393" s="7">
        <v>0</v>
      </c>
      <c r="AA393" s="7">
        <v>0</v>
      </c>
      <c r="AB393" s="7">
        <v>0</v>
      </c>
      <c r="AC393" s="7">
        <v>0</v>
      </c>
      <c r="AD393" s="7">
        <v>0</v>
      </c>
      <c r="AE393" s="7">
        <v>0</v>
      </c>
      <c r="AF393" s="7">
        <v>0</v>
      </c>
      <c r="AG393" s="7">
        <v>0</v>
      </c>
      <c r="AH393" s="7">
        <v>0</v>
      </c>
      <c r="AI393" s="7">
        <v>0</v>
      </c>
      <c r="AJ393" s="7">
        <v>0</v>
      </c>
      <c r="AK393" s="7">
        <v>0</v>
      </c>
      <c r="AL393" s="7">
        <v>0</v>
      </c>
      <c r="AM393" s="7">
        <v>0</v>
      </c>
      <c r="AN393" s="7">
        <v>0</v>
      </c>
      <c r="AO393" s="7">
        <v>0</v>
      </c>
      <c r="AP393" s="7">
        <v>0</v>
      </c>
      <c r="AQ393" s="7">
        <v>0</v>
      </c>
      <c r="AR393" s="7">
        <v>0</v>
      </c>
      <c r="AS393" s="7">
        <v>0</v>
      </c>
      <c r="AT393" s="7">
        <v>0</v>
      </c>
      <c r="AU393" s="7">
        <v>0</v>
      </c>
      <c r="AV393" s="7">
        <v>0</v>
      </c>
      <c r="AW393" s="7">
        <v>0</v>
      </c>
      <c r="AX393" s="7">
        <v>0</v>
      </c>
      <c r="AY393" s="7">
        <v>0</v>
      </c>
      <c r="AZ393" s="7">
        <v>0</v>
      </c>
      <c r="BA393" s="7">
        <v>0</v>
      </c>
      <c r="BB393" s="7">
        <v>0</v>
      </c>
      <c r="BC393" s="7">
        <v>0</v>
      </c>
      <c r="BD393">
        <v>0</v>
      </c>
      <c r="BE393">
        <v>28.87</v>
      </c>
      <c r="BF3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3" s="42" t="str">
        <f>+IF(AVANCE[[#This Row],[FECHA INICIO REAL]]="","",AVANCE[[#This Row],[FECHA INICIO REAL]]-AVANCE[[#This Row],[FECHA INICIO TEORICO]])</f>
        <v/>
      </c>
      <c r="BH3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4" spans="1:61" x14ac:dyDescent="0.25">
      <c r="A394" t="s">
        <v>1220</v>
      </c>
      <c r="B394" t="s">
        <v>1229</v>
      </c>
      <c r="C394">
        <v>2282600393</v>
      </c>
      <c r="D394" t="s">
        <v>833</v>
      </c>
      <c r="E394" s="4">
        <v>0</v>
      </c>
      <c r="F394" s="1">
        <v>46336</v>
      </c>
      <c r="G394" s="1"/>
      <c r="H394" s="1">
        <v>0</v>
      </c>
      <c r="I394" s="1">
        <v>46356</v>
      </c>
      <c r="J394">
        <v>46188</v>
      </c>
      <c r="K394" s="1"/>
      <c r="L394" s="7">
        <v>0</v>
      </c>
      <c r="M394" s="7">
        <v>0</v>
      </c>
      <c r="N394" s="7">
        <v>0</v>
      </c>
      <c r="O394" s="7">
        <v>0</v>
      </c>
      <c r="P394" s="7">
        <v>0</v>
      </c>
      <c r="Q394" s="7">
        <v>0</v>
      </c>
      <c r="R394" s="7">
        <v>0</v>
      </c>
      <c r="S394" s="7">
        <v>0</v>
      </c>
      <c r="T394" s="7">
        <v>0</v>
      </c>
      <c r="U394" s="7">
        <v>0</v>
      </c>
      <c r="V394" s="7">
        <v>0</v>
      </c>
      <c r="W394" s="7">
        <v>0</v>
      </c>
      <c r="X394" s="7">
        <v>0</v>
      </c>
      <c r="Y394" s="7">
        <v>0</v>
      </c>
      <c r="Z394" s="7">
        <v>0</v>
      </c>
      <c r="AA394" s="7">
        <v>0</v>
      </c>
      <c r="AB394" s="7">
        <v>0</v>
      </c>
      <c r="AC394" s="7">
        <v>0</v>
      </c>
      <c r="AD394" s="7">
        <v>0</v>
      </c>
      <c r="AE394" s="7">
        <v>0</v>
      </c>
      <c r="AF394" s="7">
        <v>0</v>
      </c>
      <c r="AG394" s="7">
        <v>0</v>
      </c>
      <c r="AH394" s="7">
        <v>0</v>
      </c>
      <c r="AI394" s="7">
        <v>0</v>
      </c>
      <c r="AJ394" s="7">
        <v>0</v>
      </c>
      <c r="AK394" s="7">
        <v>0</v>
      </c>
      <c r="AL394" s="7">
        <v>0</v>
      </c>
      <c r="AM394" s="7">
        <v>0</v>
      </c>
      <c r="AN394" s="7">
        <v>0</v>
      </c>
      <c r="AO394" s="7">
        <v>0</v>
      </c>
      <c r="AP394" s="7">
        <v>0</v>
      </c>
      <c r="AQ394" s="7">
        <v>0</v>
      </c>
      <c r="AR394" s="7">
        <v>0</v>
      </c>
      <c r="AS394" s="7">
        <v>0</v>
      </c>
      <c r="AT394" s="7">
        <v>0</v>
      </c>
      <c r="AU394" s="7">
        <v>0</v>
      </c>
      <c r="AV394" s="7">
        <v>0</v>
      </c>
      <c r="AW394" s="7">
        <v>0</v>
      </c>
      <c r="AX394" s="7">
        <v>0</v>
      </c>
      <c r="AY394" s="7">
        <v>0</v>
      </c>
      <c r="AZ394" s="7">
        <v>0</v>
      </c>
      <c r="BA394" s="7">
        <v>0</v>
      </c>
      <c r="BB394" s="7">
        <v>0</v>
      </c>
      <c r="BC394" s="7">
        <v>0</v>
      </c>
      <c r="BD394">
        <v>0</v>
      </c>
      <c r="BE394">
        <v>28.87</v>
      </c>
      <c r="BF3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4" s="42" t="str">
        <f>+IF(AVANCE[[#This Row],[FECHA INICIO REAL]]="","",AVANCE[[#This Row],[FECHA INICIO REAL]]-AVANCE[[#This Row],[FECHA INICIO TEORICO]])</f>
        <v/>
      </c>
      <c r="BH3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5" spans="1:61" x14ac:dyDescent="0.25">
      <c r="A395" t="s">
        <v>1220</v>
      </c>
      <c r="B395" t="s">
        <v>1230</v>
      </c>
      <c r="C395">
        <v>2302600394</v>
      </c>
      <c r="D395" t="s">
        <v>834</v>
      </c>
      <c r="E395" s="4">
        <v>0</v>
      </c>
      <c r="F395" s="1">
        <v>46336</v>
      </c>
      <c r="G395" s="1"/>
      <c r="H395" s="1">
        <v>0</v>
      </c>
      <c r="I395" s="1">
        <v>46366</v>
      </c>
      <c r="J395">
        <v>46188</v>
      </c>
      <c r="K395" s="1"/>
      <c r="L395" s="7">
        <v>0</v>
      </c>
      <c r="M395" s="7">
        <v>0</v>
      </c>
      <c r="N395" s="7">
        <v>0</v>
      </c>
      <c r="O395" s="7">
        <v>0</v>
      </c>
      <c r="P395" s="7">
        <v>0</v>
      </c>
      <c r="Q395" s="7">
        <v>0</v>
      </c>
      <c r="R395" s="7">
        <v>0</v>
      </c>
      <c r="S395" s="7">
        <v>0</v>
      </c>
      <c r="T395" s="7">
        <v>0</v>
      </c>
      <c r="U395" s="7">
        <v>0</v>
      </c>
      <c r="V395" s="7">
        <v>0</v>
      </c>
      <c r="W395" s="7">
        <v>0</v>
      </c>
      <c r="X395" s="7">
        <v>0</v>
      </c>
      <c r="Y395" s="7">
        <v>0</v>
      </c>
      <c r="Z395" s="7">
        <v>0</v>
      </c>
      <c r="AA395" s="7">
        <v>0</v>
      </c>
      <c r="AB395" s="7">
        <v>0</v>
      </c>
      <c r="AC395" s="7">
        <v>0</v>
      </c>
      <c r="AD395" s="7">
        <v>0</v>
      </c>
      <c r="AE395" s="7">
        <v>0</v>
      </c>
      <c r="AF395" s="7">
        <v>0</v>
      </c>
      <c r="AG395" s="7">
        <v>0</v>
      </c>
      <c r="AH395" s="7">
        <v>0</v>
      </c>
      <c r="AI395" s="7">
        <v>0</v>
      </c>
      <c r="AJ395" s="7">
        <v>0</v>
      </c>
      <c r="AK395" s="7">
        <v>0</v>
      </c>
      <c r="AL395" s="7">
        <v>0</v>
      </c>
      <c r="AM395" s="7">
        <v>0</v>
      </c>
      <c r="AN395" s="7">
        <v>0</v>
      </c>
      <c r="AO395" s="7">
        <v>0</v>
      </c>
      <c r="AP395" s="7">
        <v>0</v>
      </c>
      <c r="AQ395" s="7">
        <v>0</v>
      </c>
      <c r="AR395" s="7">
        <v>0</v>
      </c>
      <c r="AS395" s="7">
        <v>0</v>
      </c>
      <c r="AT395" s="7">
        <v>0</v>
      </c>
      <c r="AU395" s="7">
        <v>0</v>
      </c>
      <c r="AV395" s="7">
        <v>0</v>
      </c>
      <c r="AW395" s="7">
        <v>0</v>
      </c>
      <c r="AX395" s="7">
        <v>0</v>
      </c>
      <c r="AY395" s="7">
        <v>0</v>
      </c>
      <c r="AZ395" s="7">
        <v>0</v>
      </c>
      <c r="BA395" s="7">
        <v>0</v>
      </c>
      <c r="BB395" s="7">
        <v>0</v>
      </c>
      <c r="BC395" s="7">
        <v>0</v>
      </c>
      <c r="BD395">
        <v>0</v>
      </c>
      <c r="BE395">
        <v>31.32</v>
      </c>
      <c r="BF3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5" s="42" t="str">
        <f>+IF(AVANCE[[#This Row],[FECHA INICIO REAL]]="","",AVANCE[[#This Row],[FECHA INICIO REAL]]-AVANCE[[#This Row],[FECHA INICIO TEORICO]])</f>
        <v/>
      </c>
      <c r="BH3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6" spans="1:61" x14ac:dyDescent="0.25">
      <c r="A396" t="s">
        <v>1220</v>
      </c>
      <c r="B396" t="s">
        <v>1231</v>
      </c>
      <c r="C396">
        <v>2302600395</v>
      </c>
      <c r="D396" t="s">
        <v>834</v>
      </c>
      <c r="E396" s="4">
        <v>0</v>
      </c>
      <c r="F396" s="1">
        <v>46337</v>
      </c>
      <c r="G396" s="1"/>
      <c r="H396" s="1">
        <v>0</v>
      </c>
      <c r="I396" s="1">
        <v>46367</v>
      </c>
      <c r="J396">
        <v>46188</v>
      </c>
      <c r="K396" s="1"/>
      <c r="L396" s="7">
        <v>0</v>
      </c>
      <c r="M396" s="7">
        <v>0</v>
      </c>
      <c r="N396" s="7">
        <v>0</v>
      </c>
      <c r="O396" s="7">
        <v>0</v>
      </c>
      <c r="P396" s="7">
        <v>0</v>
      </c>
      <c r="Q396" s="7">
        <v>0</v>
      </c>
      <c r="R396" s="7">
        <v>0</v>
      </c>
      <c r="S396" s="7">
        <v>0</v>
      </c>
      <c r="T396" s="7">
        <v>0</v>
      </c>
      <c r="U396" s="7">
        <v>0</v>
      </c>
      <c r="V396" s="7">
        <v>0</v>
      </c>
      <c r="W396" s="7">
        <v>0</v>
      </c>
      <c r="X396" s="7">
        <v>0</v>
      </c>
      <c r="Y396" s="7">
        <v>0</v>
      </c>
      <c r="Z396" s="7">
        <v>0</v>
      </c>
      <c r="AA396" s="7">
        <v>0</v>
      </c>
      <c r="AB396" s="7">
        <v>0</v>
      </c>
      <c r="AC396" s="7">
        <v>0</v>
      </c>
      <c r="AD396" s="7">
        <v>0</v>
      </c>
      <c r="AE396" s="7">
        <v>0</v>
      </c>
      <c r="AF396" s="7">
        <v>0</v>
      </c>
      <c r="AG396" s="7">
        <v>0</v>
      </c>
      <c r="AH396" s="7">
        <v>0</v>
      </c>
      <c r="AI396" s="7">
        <v>0</v>
      </c>
      <c r="AJ396" s="7">
        <v>0</v>
      </c>
      <c r="AK396" s="7">
        <v>0</v>
      </c>
      <c r="AL396" s="7">
        <v>0</v>
      </c>
      <c r="AM396" s="7">
        <v>0</v>
      </c>
      <c r="AN396" s="7">
        <v>0</v>
      </c>
      <c r="AO396" s="7">
        <v>0</v>
      </c>
      <c r="AP396" s="7">
        <v>0</v>
      </c>
      <c r="AQ396" s="7">
        <v>0</v>
      </c>
      <c r="AR396" s="7">
        <v>0</v>
      </c>
      <c r="AS396" s="7">
        <v>0</v>
      </c>
      <c r="AT396" s="7">
        <v>0</v>
      </c>
      <c r="AU396" s="7">
        <v>0</v>
      </c>
      <c r="AV396" s="7">
        <v>0</v>
      </c>
      <c r="AW396" s="7">
        <v>0</v>
      </c>
      <c r="AX396" s="7">
        <v>0</v>
      </c>
      <c r="AY396" s="7">
        <v>0</v>
      </c>
      <c r="AZ396" s="7">
        <v>0</v>
      </c>
      <c r="BA396" s="7">
        <v>0</v>
      </c>
      <c r="BB396" s="7">
        <v>0</v>
      </c>
      <c r="BC396" s="7">
        <v>0</v>
      </c>
      <c r="BD396">
        <v>0</v>
      </c>
      <c r="BE396">
        <v>31.32</v>
      </c>
      <c r="BF3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6" s="42" t="str">
        <f>+IF(AVANCE[[#This Row],[FECHA INICIO REAL]]="","",AVANCE[[#This Row],[FECHA INICIO REAL]]-AVANCE[[#This Row],[FECHA INICIO TEORICO]])</f>
        <v/>
      </c>
      <c r="BH3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7" spans="1:61" x14ac:dyDescent="0.25">
      <c r="A397" t="s">
        <v>1220</v>
      </c>
      <c r="B397" t="s">
        <v>1232</v>
      </c>
      <c r="C397">
        <v>2282600396</v>
      </c>
      <c r="D397" t="s">
        <v>833</v>
      </c>
      <c r="E397" s="4">
        <v>0</v>
      </c>
      <c r="F397" s="1">
        <v>46337</v>
      </c>
      <c r="G397" s="1"/>
      <c r="H397" s="1">
        <v>0</v>
      </c>
      <c r="I397" s="1">
        <v>46357</v>
      </c>
      <c r="J397">
        <v>46188</v>
      </c>
      <c r="K397" s="1"/>
      <c r="L397" s="7">
        <v>0</v>
      </c>
      <c r="M397" s="7">
        <v>0</v>
      </c>
      <c r="N397" s="7">
        <v>0</v>
      </c>
      <c r="O397" s="7">
        <v>0</v>
      </c>
      <c r="P397" s="7">
        <v>0</v>
      </c>
      <c r="Q397" s="7">
        <v>0</v>
      </c>
      <c r="R397" s="7">
        <v>0</v>
      </c>
      <c r="S397" s="7">
        <v>0</v>
      </c>
      <c r="T397" s="7">
        <v>0</v>
      </c>
      <c r="U397" s="7">
        <v>0</v>
      </c>
      <c r="V397" s="7">
        <v>0</v>
      </c>
      <c r="W397" s="7">
        <v>0</v>
      </c>
      <c r="X397" s="7">
        <v>0</v>
      </c>
      <c r="Y397" s="7">
        <v>0</v>
      </c>
      <c r="Z397" s="7">
        <v>0</v>
      </c>
      <c r="AA397" s="7">
        <v>0</v>
      </c>
      <c r="AB397" s="7">
        <v>0</v>
      </c>
      <c r="AC397" s="7">
        <v>0</v>
      </c>
      <c r="AD397" s="7">
        <v>0</v>
      </c>
      <c r="AE397" s="7">
        <v>0</v>
      </c>
      <c r="AF397" s="7">
        <v>0</v>
      </c>
      <c r="AG397" s="7">
        <v>0</v>
      </c>
      <c r="AH397" s="7">
        <v>0</v>
      </c>
      <c r="AI397" s="7">
        <v>0</v>
      </c>
      <c r="AJ397" s="7">
        <v>0</v>
      </c>
      <c r="AK397" s="7">
        <v>0</v>
      </c>
      <c r="AL397" s="7">
        <v>0</v>
      </c>
      <c r="AM397" s="7">
        <v>0</v>
      </c>
      <c r="AN397" s="7">
        <v>0</v>
      </c>
      <c r="AO397" s="7">
        <v>0</v>
      </c>
      <c r="AP397" s="7">
        <v>0</v>
      </c>
      <c r="AQ397" s="7">
        <v>0</v>
      </c>
      <c r="AR397" s="7">
        <v>0</v>
      </c>
      <c r="AS397" s="7">
        <v>0</v>
      </c>
      <c r="AT397" s="7">
        <v>0</v>
      </c>
      <c r="AU397" s="7">
        <v>0</v>
      </c>
      <c r="AV397" s="7">
        <v>0</v>
      </c>
      <c r="AW397" s="7">
        <v>0</v>
      </c>
      <c r="AX397" s="7">
        <v>0</v>
      </c>
      <c r="AY397" s="7">
        <v>0</v>
      </c>
      <c r="AZ397" s="7">
        <v>0</v>
      </c>
      <c r="BA397" s="7">
        <v>0</v>
      </c>
      <c r="BB397" s="7">
        <v>0</v>
      </c>
      <c r="BC397" s="7">
        <v>0</v>
      </c>
      <c r="BD397">
        <v>0</v>
      </c>
      <c r="BE397">
        <v>28.87</v>
      </c>
      <c r="BF3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7" s="42" t="str">
        <f>+IF(AVANCE[[#This Row],[FECHA INICIO REAL]]="","",AVANCE[[#This Row],[FECHA INICIO REAL]]-AVANCE[[#This Row],[FECHA INICIO TEORICO]])</f>
        <v/>
      </c>
      <c r="BH3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8" spans="1:61" x14ac:dyDescent="0.25">
      <c r="A398" t="s">
        <v>1220</v>
      </c>
      <c r="B398" t="s">
        <v>1233</v>
      </c>
      <c r="C398">
        <v>2282600397</v>
      </c>
      <c r="D398" t="s">
        <v>833</v>
      </c>
      <c r="E398" s="4">
        <v>0</v>
      </c>
      <c r="F398" s="1">
        <v>46337</v>
      </c>
      <c r="G398" s="1"/>
      <c r="H398" s="1">
        <v>0</v>
      </c>
      <c r="I398" s="1">
        <v>46357</v>
      </c>
      <c r="J398">
        <v>46188</v>
      </c>
      <c r="K398" s="1"/>
      <c r="L398" s="7">
        <v>0</v>
      </c>
      <c r="M398" s="7">
        <v>0</v>
      </c>
      <c r="N398" s="7">
        <v>0</v>
      </c>
      <c r="O398" s="7">
        <v>0</v>
      </c>
      <c r="P398" s="7">
        <v>0</v>
      </c>
      <c r="Q398" s="7">
        <v>0</v>
      </c>
      <c r="R398" s="7">
        <v>0</v>
      </c>
      <c r="S398" s="7">
        <v>0</v>
      </c>
      <c r="T398" s="7">
        <v>0</v>
      </c>
      <c r="U398" s="7">
        <v>0</v>
      </c>
      <c r="V398" s="7">
        <v>0</v>
      </c>
      <c r="W398" s="7">
        <v>0</v>
      </c>
      <c r="X398" s="7">
        <v>0</v>
      </c>
      <c r="Y398" s="7">
        <v>0</v>
      </c>
      <c r="Z398" s="7">
        <v>0</v>
      </c>
      <c r="AA398" s="7">
        <v>0</v>
      </c>
      <c r="AB398" s="7">
        <v>0</v>
      </c>
      <c r="AC398" s="7">
        <v>0</v>
      </c>
      <c r="AD398" s="7">
        <v>0</v>
      </c>
      <c r="AE398" s="7">
        <v>0</v>
      </c>
      <c r="AF398" s="7">
        <v>0</v>
      </c>
      <c r="AG398" s="7">
        <v>0</v>
      </c>
      <c r="AH398" s="7">
        <v>0</v>
      </c>
      <c r="AI398" s="7">
        <v>0</v>
      </c>
      <c r="AJ398" s="7">
        <v>0</v>
      </c>
      <c r="AK398" s="7">
        <v>0</v>
      </c>
      <c r="AL398" s="7">
        <v>0</v>
      </c>
      <c r="AM398" s="7">
        <v>0</v>
      </c>
      <c r="AN398" s="7">
        <v>0</v>
      </c>
      <c r="AO398" s="7">
        <v>0</v>
      </c>
      <c r="AP398" s="7">
        <v>0</v>
      </c>
      <c r="AQ398" s="7">
        <v>0</v>
      </c>
      <c r="AR398" s="7">
        <v>0</v>
      </c>
      <c r="AS398" s="7">
        <v>0</v>
      </c>
      <c r="AT398" s="7">
        <v>0</v>
      </c>
      <c r="AU398" s="7">
        <v>0</v>
      </c>
      <c r="AV398" s="7">
        <v>0</v>
      </c>
      <c r="AW398" s="7">
        <v>0</v>
      </c>
      <c r="AX398" s="7">
        <v>0</v>
      </c>
      <c r="AY398" s="7">
        <v>0</v>
      </c>
      <c r="AZ398" s="7">
        <v>0</v>
      </c>
      <c r="BA398" s="7">
        <v>0</v>
      </c>
      <c r="BB398" s="7">
        <v>0</v>
      </c>
      <c r="BC398" s="7">
        <v>0</v>
      </c>
      <c r="BD398">
        <v>0</v>
      </c>
      <c r="BE398">
        <v>28.87</v>
      </c>
      <c r="BF3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8" s="42" t="str">
        <f>+IF(AVANCE[[#This Row],[FECHA INICIO REAL]]="","",AVANCE[[#This Row],[FECHA INICIO REAL]]-AVANCE[[#This Row],[FECHA INICIO TEORICO]])</f>
        <v/>
      </c>
      <c r="BH3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9" spans="1:61" x14ac:dyDescent="0.25">
      <c r="A399" t="s">
        <v>1220</v>
      </c>
      <c r="B399" t="s">
        <v>1234</v>
      </c>
      <c r="C399">
        <v>2302600398</v>
      </c>
      <c r="D399" t="s">
        <v>834</v>
      </c>
      <c r="E399" s="4">
        <v>0</v>
      </c>
      <c r="F399" s="1">
        <v>46338</v>
      </c>
      <c r="G399" s="1"/>
      <c r="H399" s="1">
        <v>0</v>
      </c>
      <c r="I399" s="1">
        <v>46368</v>
      </c>
      <c r="J399">
        <v>46188</v>
      </c>
      <c r="K399" s="1"/>
      <c r="L399" s="7">
        <v>0</v>
      </c>
      <c r="M399" s="7">
        <v>0</v>
      </c>
      <c r="N399" s="7">
        <v>0</v>
      </c>
      <c r="O399" s="7">
        <v>0</v>
      </c>
      <c r="P399" s="7">
        <v>0</v>
      </c>
      <c r="Q399" s="7">
        <v>0</v>
      </c>
      <c r="R399" s="7">
        <v>0</v>
      </c>
      <c r="S399" s="7">
        <v>0</v>
      </c>
      <c r="T399" s="7">
        <v>0</v>
      </c>
      <c r="U399" s="7">
        <v>0</v>
      </c>
      <c r="V399" s="7">
        <v>0</v>
      </c>
      <c r="W399" s="7">
        <v>0</v>
      </c>
      <c r="X399" s="7">
        <v>0</v>
      </c>
      <c r="Y399" s="7">
        <v>0</v>
      </c>
      <c r="Z399" s="7">
        <v>0</v>
      </c>
      <c r="AA399" s="7">
        <v>0</v>
      </c>
      <c r="AB399" s="7">
        <v>0</v>
      </c>
      <c r="AC399" s="7">
        <v>0</v>
      </c>
      <c r="AD399" s="7">
        <v>0</v>
      </c>
      <c r="AE399" s="7">
        <v>0</v>
      </c>
      <c r="AF399" s="7">
        <v>0</v>
      </c>
      <c r="AG399" s="7">
        <v>0</v>
      </c>
      <c r="AH399" s="7">
        <v>0</v>
      </c>
      <c r="AI399" s="7">
        <v>0</v>
      </c>
      <c r="AJ399" s="7">
        <v>0</v>
      </c>
      <c r="AK399" s="7">
        <v>0</v>
      </c>
      <c r="AL399" s="7">
        <v>0</v>
      </c>
      <c r="AM399" s="7">
        <v>0</v>
      </c>
      <c r="AN399" s="7">
        <v>0</v>
      </c>
      <c r="AO399" s="7">
        <v>0</v>
      </c>
      <c r="AP399" s="7">
        <v>0</v>
      </c>
      <c r="AQ399" s="7">
        <v>0</v>
      </c>
      <c r="AR399" s="7">
        <v>0</v>
      </c>
      <c r="AS399" s="7">
        <v>0</v>
      </c>
      <c r="AT399" s="7">
        <v>0</v>
      </c>
      <c r="AU399" s="7">
        <v>0</v>
      </c>
      <c r="AV399" s="7">
        <v>0</v>
      </c>
      <c r="AW399" s="7">
        <v>0</v>
      </c>
      <c r="AX399" s="7">
        <v>0</v>
      </c>
      <c r="AY399" s="7">
        <v>0</v>
      </c>
      <c r="AZ399" s="7">
        <v>0</v>
      </c>
      <c r="BA399" s="7">
        <v>0</v>
      </c>
      <c r="BB399" s="7">
        <v>0</v>
      </c>
      <c r="BC399" s="7">
        <v>0</v>
      </c>
      <c r="BD399">
        <v>0</v>
      </c>
      <c r="BE399">
        <v>31.32</v>
      </c>
      <c r="BF3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9" s="42" t="str">
        <f>+IF(AVANCE[[#This Row],[FECHA INICIO REAL]]="","",AVANCE[[#This Row],[FECHA INICIO REAL]]-AVANCE[[#This Row],[FECHA INICIO TEORICO]])</f>
        <v/>
      </c>
      <c r="BH3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0" spans="1:61" x14ac:dyDescent="0.25">
      <c r="A400" t="s">
        <v>1220</v>
      </c>
      <c r="B400" t="s">
        <v>1235</v>
      </c>
      <c r="C400">
        <v>2302600399</v>
      </c>
      <c r="D400" t="s">
        <v>834</v>
      </c>
      <c r="E400" s="4">
        <v>0</v>
      </c>
      <c r="F400" s="1">
        <v>46338</v>
      </c>
      <c r="G400" s="1"/>
      <c r="H400" s="1">
        <v>0</v>
      </c>
      <c r="I400" s="1">
        <v>46368</v>
      </c>
      <c r="J400">
        <v>46188</v>
      </c>
      <c r="K400" s="1"/>
      <c r="L400" s="7">
        <v>0</v>
      </c>
      <c r="M400" s="7">
        <v>0</v>
      </c>
      <c r="N400" s="7">
        <v>0</v>
      </c>
      <c r="O400" s="7">
        <v>0</v>
      </c>
      <c r="P400" s="7">
        <v>0</v>
      </c>
      <c r="Q400" s="7">
        <v>0</v>
      </c>
      <c r="R400" s="7">
        <v>0</v>
      </c>
      <c r="S400" s="7">
        <v>0</v>
      </c>
      <c r="T400" s="7">
        <v>0</v>
      </c>
      <c r="U400" s="7">
        <v>0</v>
      </c>
      <c r="V400" s="7">
        <v>0</v>
      </c>
      <c r="W400" s="7">
        <v>0</v>
      </c>
      <c r="X400" s="7">
        <v>0</v>
      </c>
      <c r="Y400" s="7">
        <v>0</v>
      </c>
      <c r="Z400" s="7">
        <v>0</v>
      </c>
      <c r="AA400" s="7">
        <v>0</v>
      </c>
      <c r="AB400" s="7">
        <v>0</v>
      </c>
      <c r="AC400" s="7">
        <v>0</v>
      </c>
      <c r="AD400" s="7">
        <v>0</v>
      </c>
      <c r="AE400" s="7">
        <v>0</v>
      </c>
      <c r="AF400" s="7">
        <v>0</v>
      </c>
      <c r="AG400" s="7">
        <v>0</v>
      </c>
      <c r="AH400" s="7">
        <v>0</v>
      </c>
      <c r="AI400" s="7">
        <v>0</v>
      </c>
      <c r="AJ400" s="7">
        <v>0</v>
      </c>
      <c r="AK400" s="7">
        <v>0</v>
      </c>
      <c r="AL400" s="7">
        <v>0</v>
      </c>
      <c r="AM400" s="7">
        <v>0</v>
      </c>
      <c r="AN400" s="7">
        <v>0</v>
      </c>
      <c r="AO400" s="7">
        <v>0</v>
      </c>
      <c r="AP400" s="7">
        <v>0</v>
      </c>
      <c r="AQ400" s="7">
        <v>0</v>
      </c>
      <c r="AR400" s="7">
        <v>0</v>
      </c>
      <c r="AS400" s="7">
        <v>0</v>
      </c>
      <c r="AT400" s="7">
        <v>0</v>
      </c>
      <c r="AU400" s="7">
        <v>0</v>
      </c>
      <c r="AV400" s="7">
        <v>0</v>
      </c>
      <c r="AW400" s="7">
        <v>0</v>
      </c>
      <c r="AX400" s="7">
        <v>0</v>
      </c>
      <c r="AY400" s="7">
        <v>0</v>
      </c>
      <c r="AZ400" s="7">
        <v>0</v>
      </c>
      <c r="BA400" s="7">
        <v>0</v>
      </c>
      <c r="BB400" s="7">
        <v>0</v>
      </c>
      <c r="BC400" s="7">
        <v>0</v>
      </c>
      <c r="BD400">
        <v>0</v>
      </c>
      <c r="BE400">
        <v>31.32</v>
      </c>
      <c r="BF4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0" s="42" t="str">
        <f>+IF(AVANCE[[#This Row],[FECHA INICIO REAL]]="","",AVANCE[[#This Row],[FECHA INICIO REAL]]-AVANCE[[#This Row],[FECHA INICIO TEORICO]])</f>
        <v/>
      </c>
      <c r="BH4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1" spans="1:61" x14ac:dyDescent="0.25">
      <c r="A401" t="s">
        <v>1220</v>
      </c>
      <c r="B401" t="s">
        <v>1236</v>
      </c>
      <c r="C401">
        <v>2282600400</v>
      </c>
      <c r="D401" t="s">
        <v>833</v>
      </c>
      <c r="E401" s="4">
        <v>0</v>
      </c>
      <c r="F401" s="1">
        <v>46338</v>
      </c>
      <c r="G401" s="1"/>
      <c r="H401" s="1">
        <v>0</v>
      </c>
      <c r="I401" s="1">
        <v>46358</v>
      </c>
      <c r="J401">
        <v>46188</v>
      </c>
      <c r="K401" s="1"/>
      <c r="L401" s="7">
        <v>0</v>
      </c>
      <c r="M401" s="7">
        <v>0</v>
      </c>
      <c r="N401" s="7">
        <v>0</v>
      </c>
      <c r="O401" s="7">
        <v>0</v>
      </c>
      <c r="P401" s="7">
        <v>0</v>
      </c>
      <c r="Q401" s="7">
        <v>0</v>
      </c>
      <c r="R401" s="7">
        <v>0</v>
      </c>
      <c r="S401" s="7">
        <v>0</v>
      </c>
      <c r="T401" s="7">
        <v>0</v>
      </c>
      <c r="U401" s="7">
        <v>0</v>
      </c>
      <c r="V401" s="7">
        <v>0</v>
      </c>
      <c r="W401" s="7">
        <v>0</v>
      </c>
      <c r="X401" s="7">
        <v>0</v>
      </c>
      <c r="Y401" s="7">
        <v>0</v>
      </c>
      <c r="Z401" s="7">
        <v>0</v>
      </c>
      <c r="AA401" s="7">
        <v>0</v>
      </c>
      <c r="AB401" s="7">
        <v>0</v>
      </c>
      <c r="AC401" s="7">
        <v>0</v>
      </c>
      <c r="AD401" s="7">
        <v>0</v>
      </c>
      <c r="AE401" s="7">
        <v>0</v>
      </c>
      <c r="AF401" s="7">
        <v>0</v>
      </c>
      <c r="AG401" s="7">
        <v>0</v>
      </c>
      <c r="AH401" s="7">
        <v>0</v>
      </c>
      <c r="AI401" s="7">
        <v>0</v>
      </c>
      <c r="AJ401" s="7">
        <v>0</v>
      </c>
      <c r="AK401" s="7">
        <v>0</v>
      </c>
      <c r="AL401" s="7">
        <v>0</v>
      </c>
      <c r="AM401" s="7">
        <v>0</v>
      </c>
      <c r="AN401" s="7">
        <v>0</v>
      </c>
      <c r="AO401" s="7">
        <v>0</v>
      </c>
      <c r="AP401" s="7">
        <v>0</v>
      </c>
      <c r="AQ401" s="7">
        <v>0</v>
      </c>
      <c r="AR401" s="7">
        <v>0</v>
      </c>
      <c r="AS401" s="7">
        <v>0</v>
      </c>
      <c r="AT401" s="7">
        <v>0</v>
      </c>
      <c r="AU401" s="7">
        <v>0</v>
      </c>
      <c r="AV401" s="7">
        <v>0</v>
      </c>
      <c r="AW401" s="7">
        <v>0</v>
      </c>
      <c r="AX401" s="7">
        <v>0</v>
      </c>
      <c r="AY401" s="7">
        <v>0</v>
      </c>
      <c r="AZ401" s="7">
        <v>0</v>
      </c>
      <c r="BA401" s="7">
        <v>0</v>
      </c>
      <c r="BB401" s="7">
        <v>0</v>
      </c>
      <c r="BC401" s="7">
        <v>0</v>
      </c>
      <c r="BD401">
        <v>0</v>
      </c>
      <c r="BE401">
        <v>28.87</v>
      </c>
      <c r="BF4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1" s="42" t="str">
        <f>+IF(AVANCE[[#This Row],[FECHA INICIO REAL]]="","",AVANCE[[#This Row],[FECHA INICIO REAL]]-AVANCE[[#This Row],[FECHA INICIO TEORICO]])</f>
        <v/>
      </c>
      <c r="BH4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2" spans="1:61" x14ac:dyDescent="0.25">
      <c r="A402" t="s">
        <v>1220</v>
      </c>
      <c r="B402" t="s">
        <v>1237</v>
      </c>
      <c r="C402">
        <v>2282600401</v>
      </c>
      <c r="D402" t="s">
        <v>833</v>
      </c>
      <c r="E402" s="4">
        <v>0</v>
      </c>
      <c r="F402" s="1">
        <v>46339</v>
      </c>
      <c r="G402" s="1"/>
      <c r="H402" s="1">
        <v>0</v>
      </c>
      <c r="I402" s="1">
        <v>46359</v>
      </c>
      <c r="J402">
        <v>46188</v>
      </c>
      <c r="K402" s="1"/>
      <c r="L402" s="7">
        <v>0</v>
      </c>
      <c r="M402" s="7">
        <v>0</v>
      </c>
      <c r="N402" s="7">
        <v>0</v>
      </c>
      <c r="O402" s="7">
        <v>0</v>
      </c>
      <c r="P402" s="7">
        <v>0</v>
      </c>
      <c r="Q402" s="7">
        <v>0</v>
      </c>
      <c r="R402" s="7">
        <v>0</v>
      </c>
      <c r="S402" s="7">
        <v>0</v>
      </c>
      <c r="T402" s="7">
        <v>0</v>
      </c>
      <c r="U402" s="7">
        <v>0</v>
      </c>
      <c r="V402" s="7">
        <v>0</v>
      </c>
      <c r="W402" s="7">
        <v>0</v>
      </c>
      <c r="X402" s="7">
        <v>0</v>
      </c>
      <c r="Y402" s="7">
        <v>0</v>
      </c>
      <c r="Z402" s="7">
        <v>0</v>
      </c>
      <c r="AA402" s="7">
        <v>0</v>
      </c>
      <c r="AB402" s="7">
        <v>0</v>
      </c>
      <c r="AC402" s="7">
        <v>0</v>
      </c>
      <c r="AD402" s="7">
        <v>0</v>
      </c>
      <c r="AE402" s="7">
        <v>0</v>
      </c>
      <c r="AF402" s="7">
        <v>0</v>
      </c>
      <c r="AG402" s="7">
        <v>0</v>
      </c>
      <c r="AH402" s="7">
        <v>0</v>
      </c>
      <c r="AI402" s="7">
        <v>0</v>
      </c>
      <c r="AJ402" s="7">
        <v>0</v>
      </c>
      <c r="AK402" s="7">
        <v>0</v>
      </c>
      <c r="AL402" s="7">
        <v>0</v>
      </c>
      <c r="AM402" s="7">
        <v>0</v>
      </c>
      <c r="AN402" s="7">
        <v>0</v>
      </c>
      <c r="AO402" s="7">
        <v>0</v>
      </c>
      <c r="AP402" s="7">
        <v>0</v>
      </c>
      <c r="AQ402" s="7">
        <v>0</v>
      </c>
      <c r="AR402" s="7">
        <v>0</v>
      </c>
      <c r="AS402" s="7">
        <v>0</v>
      </c>
      <c r="AT402" s="7">
        <v>0</v>
      </c>
      <c r="AU402" s="7">
        <v>0</v>
      </c>
      <c r="AV402" s="7">
        <v>0</v>
      </c>
      <c r="AW402" s="7">
        <v>0</v>
      </c>
      <c r="AX402" s="7">
        <v>0</v>
      </c>
      <c r="AY402" s="7">
        <v>0</v>
      </c>
      <c r="AZ402" s="7">
        <v>0</v>
      </c>
      <c r="BA402" s="7">
        <v>0</v>
      </c>
      <c r="BB402" s="7">
        <v>0</v>
      </c>
      <c r="BC402" s="7">
        <v>0</v>
      </c>
      <c r="BD402">
        <v>0</v>
      </c>
      <c r="BE402">
        <v>28.87</v>
      </c>
      <c r="BF4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2" s="42" t="str">
        <f>+IF(AVANCE[[#This Row],[FECHA INICIO REAL]]="","",AVANCE[[#This Row],[FECHA INICIO REAL]]-AVANCE[[#This Row],[FECHA INICIO TEORICO]])</f>
        <v/>
      </c>
      <c r="BH4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3" spans="1:61" x14ac:dyDescent="0.25">
      <c r="A403" t="s">
        <v>1220</v>
      </c>
      <c r="B403" t="s">
        <v>1238</v>
      </c>
      <c r="C403">
        <v>2302600402</v>
      </c>
      <c r="D403" t="s">
        <v>834</v>
      </c>
      <c r="E403" s="4">
        <v>0</v>
      </c>
      <c r="F403" s="1">
        <v>46339</v>
      </c>
      <c r="G403" s="1"/>
      <c r="H403" s="1">
        <v>0</v>
      </c>
      <c r="I403" s="1">
        <v>46369</v>
      </c>
      <c r="J403">
        <v>46188</v>
      </c>
      <c r="K403" s="1"/>
      <c r="L403" s="7">
        <v>0</v>
      </c>
      <c r="M403" s="7">
        <v>0</v>
      </c>
      <c r="N403" s="7">
        <v>0</v>
      </c>
      <c r="O403" s="7">
        <v>0</v>
      </c>
      <c r="P403" s="7">
        <v>0</v>
      </c>
      <c r="Q403" s="7">
        <v>0</v>
      </c>
      <c r="R403" s="7">
        <v>0</v>
      </c>
      <c r="S403" s="7">
        <v>0</v>
      </c>
      <c r="T403" s="7">
        <v>0</v>
      </c>
      <c r="U403" s="7">
        <v>0</v>
      </c>
      <c r="V403" s="7">
        <v>0</v>
      </c>
      <c r="W403" s="7">
        <v>0</v>
      </c>
      <c r="X403" s="7">
        <v>0</v>
      </c>
      <c r="Y403" s="7">
        <v>0</v>
      </c>
      <c r="Z403" s="7">
        <v>0</v>
      </c>
      <c r="AA403" s="7">
        <v>0</v>
      </c>
      <c r="AB403" s="7">
        <v>0</v>
      </c>
      <c r="AC403" s="7">
        <v>0</v>
      </c>
      <c r="AD403" s="7">
        <v>0</v>
      </c>
      <c r="AE403" s="7">
        <v>0</v>
      </c>
      <c r="AF403" s="7">
        <v>0</v>
      </c>
      <c r="AG403" s="7">
        <v>0</v>
      </c>
      <c r="AH403" s="7">
        <v>0</v>
      </c>
      <c r="AI403" s="7">
        <v>0</v>
      </c>
      <c r="AJ403" s="7">
        <v>0</v>
      </c>
      <c r="AK403" s="7">
        <v>0</v>
      </c>
      <c r="AL403" s="7">
        <v>0</v>
      </c>
      <c r="AM403" s="7">
        <v>0</v>
      </c>
      <c r="AN403" s="7">
        <v>0</v>
      </c>
      <c r="AO403" s="7">
        <v>0</v>
      </c>
      <c r="AP403" s="7">
        <v>0</v>
      </c>
      <c r="AQ403" s="7">
        <v>0</v>
      </c>
      <c r="AR403" s="7">
        <v>0</v>
      </c>
      <c r="AS403" s="7">
        <v>0</v>
      </c>
      <c r="AT403" s="7">
        <v>0</v>
      </c>
      <c r="AU403" s="7">
        <v>0</v>
      </c>
      <c r="AV403" s="7">
        <v>0</v>
      </c>
      <c r="AW403" s="7">
        <v>0</v>
      </c>
      <c r="AX403" s="7">
        <v>0</v>
      </c>
      <c r="AY403" s="7">
        <v>0</v>
      </c>
      <c r="AZ403" s="7">
        <v>0</v>
      </c>
      <c r="BA403" s="7">
        <v>0</v>
      </c>
      <c r="BB403" s="7">
        <v>0</v>
      </c>
      <c r="BC403" s="7">
        <v>0</v>
      </c>
      <c r="BD403">
        <v>0</v>
      </c>
      <c r="BE403">
        <v>31.32</v>
      </c>
      <c r="BF4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3" s="42" t="str">
        <f>+IF(AVANCE[[#This Row],[FECHA INICIO REAL]]="","",AVANCE[[#This Row],[FECHA INICIO REAL]]-AVANCE[[#This Row],[FECHA INICIO TEORICO]])</f>
        <v/>
      </c>
      <c r="BH4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4" spans="1:61" x14ac:dyDescent="0.25">
      <c r="A404" t="s">
        <v>1220</v>
      </c>
      <c r="B404" t="s">
        <v>1239</v>
      </c>
      <c r="C404">
        <v>2302600403</v>
      </c>
      <c r="D404" t="s">
        <v>834</v>
      </c>
      <c r="E404" s="4">
        <v>0</v>
      </c>
      <c r="F404" s="1">
        <v>46339</v>
      </c>
      <c r="G404" s="1"/>
      <c r="H404" s="1">
        <v>0</v>
      </c>
      <c r="I404" s="1">
        <v>46369</v>
      </c>
      <c r="J404">
        <v>46188</v>
      </c>
      <c r="K404" s="1"/>
      <c r="L404" s="7">
        <v>0</v>
      </c>
      <c r="M404" s="7">
        <v>0</v>
      </c>
      <c r="N404" s="7">
        <v>0</v>
      </c>
      <c r="O404" s="7">
        <v>0</v>
      </c>
      <c r="P404" s="7">
        <v>0</v>
      </c>
      <c r="Q404" s="7">
        <v>0</v>
      </c>
      <c r="R404" s="7">
        <v>0</v>
      </c>
      <c r="S404" s="7">
        <v>0</v>
      </c>
      <c r="T404" s="7">
        <v>0</v>
      </c>
      <c r="U404" s="7">
        <v>0</v>
      </c>
      <c r="V404" s="7">
        <v>0</v>
      </c>
      <c r="W404" s="7">
        <v>0</v>
      </c>
      <c r="X404" s="7">
        <v>0</v>
      </c>
      <c r="Y404" s="7">
        <v>0</v>
      </c>
      <c r="Z404" s="7">
        <v>0</v>
      </c>
      <c r="AA404" s="7">
        <v>0</v>
      </c>
      <c r="AB404" s="7">
        <v>0</v>
      </c>
      <c r="AC404" s="7">
        <v>0</v>
      </c>
      <c r="AD404" s="7">
        <v>0</v>
      </c>
      <c r="AE404" s="7">
        <v>0</v>
      </c>
      <c r="AF404" s="7">
        <v>0</v>
      </c>
      <c r="AG404" s="7">
        <v>0</v>
      </c>
      <c r="AH404" s="7">
        <v>0</v>
      </c>
      <c r="AI404" s="7">
        <v>0</v>
      </c>
      <c r="AJ404" s="7">
        <v>0</v>
      </c>
      <c r="AK404" s="7">
        <v>0</v>
      </c>
      <c r="AL404" s="7">
        <v>0</v>
      </c>
      <c r="AM404" s="7">
        <v>0</v>
      </c>
      <c r="AN404" s="7">
        <v>0</v>
      </c>
      <c r="AO404" s="7">
        <v>0</v>
      </c>
      <c r="AP404" s="7">
        <v>0</v>
      </c>
      <c r="AQ404" s="7">
        <v>0</v>
      </c>
      <c r="AR404" s="7">
        <v>0</v>
      </c>
      <c r="AS404" s="7">
        <v>0</v>
      </c>
      <c r="AT404" s="7">
        <v>0</v>
      </c>
      <c r="AU404" s="7">
        <v>0</v>
      </c>
      <c r="AV404" s="7">
        <v>0</v>
      </c>
      <c r="AW404" s="7">
        <v>0</v>
      </c>
      <c r="AX404" s="7">
        <v>0</v>
      </c>
      <c r="AY404" s="7">
        <v>0</v>
      </c>
      <c r="AZ404" s="7">
        <v>0</v>
      </c>
      <c r="BA404" s="7">
        <v>0</v>
      </c>
      <c r="BB404" s="7">
        <v>0</v>
      </c>
      <c r="BC404" s="7">
        <v>0</v>
      </c>
      <c r="BD404">
        <v>0</v>
      </c>
      <c r="BE404">
        <v>31.32</v>
      </c>
      <c r="BF4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4" s="42" t="str">
        <f>+IF(AVANCE[[#This Row],[FECHA INICIO REAL]]="","",AVANCE[[#This Row],[FECHA INICIO REAL]]-AVANCE[[#This Row],[FECHA INICIO TEORICO]])</f>
        <v/>
      </c>
      <c r="BH4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5" spans="1:61" x14ac:dyDescent="0.25">
      <c r="A405" t="s">
        <v>1220</v>
      </c>
      <c r="B405" t="s">
        <v>1240</v>
      </c>
      <c r="C405">
        <v>2282600404</v>
      </c>
      <c r="D405" t="s">
        <v>833</v>
      </c>
      <c r="E405" s="4">
        <v>0</v>
      </c>
      <c r="F405" s="1">
        <v>46342</v>
      </c>
      <c r="G405" s="1"/>
      <c r="H405" s="1">
        <v>0</v>
      </c>
      <c r="I405" s="1">
        <v>46362</v>
      </c>
      <c r="J405">
        <v>46188</v>
      </c>
      <c r="K405" s="1"/>
      <c r="L405" s="7">
        <v>0</v>
      </c>
      <c r="M405" s="7">
        <v>0</v>
      </c>
      <c r="N405" s="7">
        <v>0</v>
      </c>
      <c r="O405" s="7">
        <v>0</v>
      </c>
      <c r="P405" s="7">
        <v>0</v>
      </c>
      <c r="Q405" s="7">
        <v>0</v>
      </c>
      <c r="R405" s="7">
        <v>0</v>
      </c>
      <c r="S405" s="7">
        <v>0</v>
      </c>
      <c r="T405" s="7">
        <v>0</v>
      </c>
      <c r="U405" s="7">
        <v>0</v>
      </c>
      <c r="V405" s="7">
        <v>0</v>
      </c>
      <c r="W405" s="7">
        <v>0</v>
      </c>
      <c r="X405" s="7">
        <v>0</v>
      </c>
      <c r="Y405" s="7">
        <v>0</v>
      </c>
      <c r="Z405" s="7">
        <v>0</v>
      </c>
      <c r="AA405" s="7">
        <v>0</v>
      </c>
      <c r="AB405" s="7">
        <v>0</v>
      </c>
      <c r="AC405" s="7">
        <v>0</v>
      </c>
      <c r="AD405" s="7">
        <v>0</v>
      </c>
      <c r="AE405" s="7">
        <v>0</v>
      </c>
      <c r="AF405" s="7">
        <v>0</v>
      </c>
      <c r="AG405" s="7">
        <v>0</v>
      </c>
      <c r="AH405" s="7">
        <v>0</v>
      </c>
      <c r="AI405" s="7">
        <v>0</v>
      </c>
      <c r="AJ405" s="7">
        <v>0</v>
      </c>
      <c r="AK405" s="7">
        <v>0</v>
      </c>
      <c r="AL405" s="7">
        <v>0</v>
      </c>
      <c r="AM405" s="7">
        <v>0</v>
      </c>
      <c r="AN405" s="7">
        <v>0</v>
      </c>
      <c r="AO405" s="7">
        <v>0</v>
      </c>
      <c r="AP405" s="7">
        <v>0</v>
      </c>
      <c r="AQ405" s="7">
        <v>0</v>
      </c>
      <c r="AR405" s="7">
        <v>0</v>
      </c>
      <c r="AS405" s="7">
        <v>0</v>
      </c>
      <c r="AT405" s="7">
        <v>0</v>
      </c>
      <c r="AU405" s="7">
        <v>0</v>
      </c>
      <c r="AV405" s="7">
        <v>0</v>
      </c>
      <c r="AW405" s="7">
        <v>0</v>
      </c>
      <c r="AX405" s="7">
        <v>0</v>
      </c>
      <c r="AY405" s="7">
        <v>0</v>
      </c>
      <c r="AZ405" s="7">
        <v>0</v>
      </c>
      <c r="BA405" s="7">
        <v>0</v>
      </c>
      <c r="BB405" s="7">
        <v>0</v>
      </c>
      <c r="BC405" s="7">
        <v>0</v>
      </c>
      <c r="BD405">
        <v>0</v>
      </c>
      <c r="BE405">
        <v>28.87</v>
      </c>
      <c r="BF4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5" s="42" t="str">
        <f>+IF(AVANCE[[#This Row],[FECHA INICIO REAL]]="","",AVANCE[[#This Row],[FECHA INICIO REAL]]-AVANCE[[#This Row],[FECHA INICIO TEORICO]])</f>
        <v/>
      </c>
      <c r="BH4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6" spans="1:61" x14ac:dyDescent="0.25">
      <c r="A406" t="s">
        <v>1220</v>
      </c>
      <c r="B406" t="s">
        <v>1241</v>
      </c>
      <c r="C406">
        <v>2282600405</v>
      </c>
      <c r="D406" t="s">
        <v>833</v>
      </c>
      <c r="E406" s="4">
        <v>0</v>
      </c>
      <c r="F406" s="1">
        <v>46342</v>
      </c>
      <c r="G406" s="1"/>
      <c r="H406" s="1">
        <v>0</v>
      </c>
      <c r="I406" s="1">
        <v>46362</v>
      </c>
      <c r="J406">
        <v>46188</v>
      </c>
      <c r="K406" s="1"/>
      <c r="L406" s="7">
        <v>0</v>
      </c>
      <c r="M406" s="7">
        <v>0</v>
      </c>
      <c r="N406" s="7">
        <v>0</v>
      </c>
      <c r="O406" s="7">
        <v>0</v>
      </c>
      <c r="P406" s="7">
        <v>0</v>
      </c>
      <c r="Q406" s="7">
        <v>0</v>
      </c>
      <c r="R406" s="7">
        <v>0</v>
      </c>
      <c r="S406" s="7">
        <v>0</v>
      </c>
      <c r="T406" s="7">
        <v>0</v>
      </c>
      <c r="U406" s="7">
        <v>0</v>
      </c>
      <c r="V406" s="7">
        <v>0</v>
      </c>
      <c r="W406" s="7">
        <v>0</v>
      </c>
      <c r="X406" s="7">
        <v>0</v>
      </c>
      <c r="Y406" s="7">
        <v>0</v>
      </c>
      <c r="Z406" s="7">
        <v>0</v>
      </c>
      <c r="AA406" s="7">
        <v>0</v>
      </c>
      <c r="AB406" s="7">
        <v>0</v>
      </c>
      <c r="AC406" s="7">
        <v>0</v>
      </c>
      <c r="AD406" s="7">
        <v>0</v>
      </c>
      <c r="AE406" s="7">
        <v>0</v>
      </c>
      <c r="AF406" s="7">
        <v>0</v>
      </c>
      <c r="AG406" s="7">
        <v>0</v>
      </c>
      <c r="AH406" s="7">
        <v>0</v>
      </c>
      <c r="AI406" s="7">
        <v>0</v>
      </c>
      <c r="AJ406" s="7">
        <v>0</v>
      </c>
      <c r="AK406" s="7">
        <v>0</v>
      </c>
      <c r="AL406" s="7">
        <v>0</v>
      </c>
      <c r="AM406" s="7">
        <v>0</v>
      </c>
      <c r="AN406" s="7">
        <v>0</v>
      </c>
      <c r="AO406" s="7">
        <v>0</v>
      </c>
      <c r="AP406" s="7">
        <v>0</v>
      </c>
      <c r="AQ406" s="7">
        <v>0</v>
      </c>
      <c r="AR406" s="7">
        <v>0</v>
      </c>
      <c r="AS406" s="7">
        <v>0</v>
      </c>
      <c r="AT406" s="7">
        <v>0</v>
      </c>
      <c r="AU406" s="7">
        <v>0</v>
      </c>
      <c r="AV406" s="7">
        <v>0</v>
      </c>
      <c r="AW406" s="7">
        <v>0</v>
      </c>
      <c r="AX406" s="7">
        <v>0</v>
      </c>
      <c r="AY406" s="7">
        <v>0</v>
      </c>
      <c r="AZ406" s="7">
        <v>0</v>
      </c>
      <c r="BA406" s="7">
        <v>0</v>
      </c>
      <c r="BB406" s="7">
        <v>0</v>
      </c>
      <c r="BC406" s="7">
        <v>0</v>
      </c>
      <c r="BD406">
        <v>0</v>
      </c>
      <c r="BE406">
        <v>28.87</v>
      </c>
      <c r="BF4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6" s="42" t="str">
        <f>+IF(AVANCE[[#This Row],[FECHA INICIO REAL]]="","",AVANCE[[#This Row],[FECHA INICIO REAL]]-AVANCE[[#This Row],[FECHA INICIO TEORICO]])</f>
        <v/>
      </c>
      <c r="BH4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7" spans="1:61" x14ac:dyDescent="0.25">
      <c r="A407" t="s">
        <v>1220</v>
      </c>
      <c r="B407" t="s">
        <v>1242</v>
      </c>
      <c r="C407">
        <v>2302600406</v>
      </c>
      <c r="D407" t="s">
        <v>834</v>
      </c>
      <c r="E407" s="4">
        <v>0</v>
      </c>
      <c r="F407" s="1">
        <v>46342</v>
      </c>
      <c r="G407" s="1"/>
      <c r="H407" s="1">
        <v>0</v>
      </c>
      <c r="I407" s="1">
        <v>46372</v>
      </c>
      <c r="J407">
        <v>46188</v>
      </c>
      <c r="K407" s="1"/>
      <c r="L407" s="7">
        <v>0</v>
      </c>
      <c r="M407" s="7">
        <v>0</v>
      </c>
      <c r="N407" s="7">
        <v>0</v>
      </c>
      <c r="O407" s="7">
        <v>0</v>
      </c>
      <c r="P407" s="7">
        <v>0</v>
      </c>
      <c r="Q407" s="7">
        <v>0</v>
      </c>
      <c r="R407" s="7">
        <v>0</v>
      </c>
      <c r="S407" s="7">
        <v>0</v>
      </c>
      <c r="T407" s="7">
        <v>0</v>
      </c>
      <c r="U407" s="7">
        <v>0</v>
      </c>
      <c r="V407" s="7">
        <v>0</v>
      </c>
      <c r="W407" s="7">
        <v>0</v>
      </c>
      <c r="X407" s="7">
        <v>0</v>
      </c>
      <c r="Y407" s="7">
        <v>0</v>
      </c>
      <c r="Z407" s="7">
        <v>0</v>
      </c>
      <c r="AA407" s="7">
        <v>0</v>
      </c>
      <c r="AB407" s="7">
        <v>0</v>
      </c>
      <c r="AC407" s="7">
        <v>0</v>
      </c>
      <c r="AD407" s="7">
        <v>0</v>
      </c>
      <c r="AE407" s="7">
        <v>0</v>
      </c>
      <c r="AF407" s="7">
        <v>0</v>
      </c>
      <c r="AG407" s="7">
        <v>0</v>
      </c>
      <c r="AH407" s="7">
        <v>0</v>
      </c>
      <c r="AI407" s="7">
        <v>0</v>
      </c>
      <c r="AJ407" s="7">
        <v>0</v>
      </c>
      <c r="AK407" s="7">
        <v>0</v>
      </c>
      <c r="AL407" s="7">
        <v>0</v>
      </c>
      <c r="AM407" s="7">
        <v>0</v>
      </c>
      <c r="AN407" s="7">
        <v>0</v>
      </c>
      <c r="AO407" s="7">
        <v>0</v>
      </c>
      <c r="AP407" s="7">
        <v>0</v>
      </c>
      <c r="AQ407" s="7">
        <v>0</v>
      </c>
      <c r="AR407" s="7">
        <v>0</v>
      </c>
      <c r="AS407" s="7">
        <v>0</v>
      </c>
      <c r="AT407" s="7">
        <v>0</v>
      </c>
      <c r="AU407" s="7">
        <v>0</v>
      </c>
      <c r="AV407" s="7">
        <v>0</v>
      </c>
      <c r="AW407" s="7">
        <v>0</v>
      </c>
      <c r="AX407" s="7">
        <v>0</v>
      </c>
      <c r="AY407" s="7">
        <v>0</v>
      </c>
      <c r="AZ407" s="7">
        <v>0</v>
      </c>
      <c r="BA407" s="7">
        <v>0</v>
      </c>
      <c r="BB407" s="7">
        <v>0</v>
      </c>
      <c r="BC407" s="7">
        <v>0</v>
      </c>
      <c r="BD407">
        <v>0</v>
      </c>
      <c r="BE407">
        <v>31.32</v>
      </c>
      <c r="BF4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7" s="42" t="str">
        <f>+IF(AVANCE[[#This Row],[FECHA INICIO REAL]]="","",AVANCE[[#This Row],[FECHA INICIO REAL]]-AVANCE[[#This Row],[FECHA INICIO TEORICO]])</f>
        <v/>
      </c>
      <c r="BH4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8" spans="1:61" x14ac:dyDescent="0.25">
      <c r="A408" t="s">
        <v>1220</v>
      </c>
      <c r="B408" t="s">
        <v>1243</v>
      </c>
      <c r="C408">
        <v>2302600407</v>
      </c>
      <c r="D408" t="s">
        <v>834</v>
      </c>
      <c r="E408" s="4">
        <v>0</v>
      </c>
      <c r="F408" s="1">
        <v>46343</v>
      </c>
      <c r="G408" s="1"/>
      <c r="H408" s="1">
        <v>0</v>
      </c>
      <c r="I408" s="1">
        <v>46373</v>
      </c>
      <c r="J408">
        <v>46188</v>
      </c>
      <c r="K408" s="1"/>
      <c r="L408" s="7">
        <v>0</v>
      </c>
      <c r="M408" s="7">
        <v>0</v>
      </c>
      <c r="N408" s="7">
        <v>0</v>
      </c>
      <c r="O408" s="7">
        <v>0</v>
      </c>
      <c r="P408" s="7">
        <v>0</v>
      </c>
      <c r="Q408" s="7">
        <v>0</v>
      </c>
      <c r="R408" s="7">
        <v>0</v>
      </c>
      <c r="S408" s="7">
        <v>0</v>
      </c>
      <c r="T408" s="7">
        <v>0</v>
      </c>
      <c r="U408" s="7">
        <v>0</v>
      </c>
      <c r="V408" s="7">
        <v>0</v>
      </c>
      <c r="W408" s="7">
        <v>0</v>
      </c>
      <c r="X408" s="7">
        <v>0</v>
      </c>
      <c r="Y408" s="7">
        <v>0</v>
      </c>
      <c r="Z408" s="7">
        <v>0</v>
      </c>
      <c r="AA408" s="7">
        <v>0</v>
      </c>
      <c r="AB408" s="7">
        <v>0</v>
      </c>
      <c r="AC408" s="7">
        <v>0</v>
      </c>
      <c r="AD408" s="7">
        <v>0</v>
      </c>
      <c r="AE408" s="7">
        <v>0</v>
      </c>
      <c r="AF408" s="7">
        <v>0</v>
      </c>
      <c r="AG408" s="7">
        <v>0</v>
      </c>
      <c r="AH408" s="7">
        <v>0</v>
      </c>
      <c r="AI408" s="7">
        <v>0</v>
      </c>
      <c r="AJ408" s="7">
        <v>0</v>
      </c>
      <c r="AK408" s="7">
        <v>0</v>
      </c>
      <c r="AL408" s="7">
        <v>0</v>
      </c>
      <c r="AM408" s="7">
        <v>0</v>
      </c>
      <c r="AN408" s="7">
        <v>0</v>
      </c>
      <c r="AO408" s="7">
        <v>0</v>
      </c>
      <c r="AP408" s="7">
        <v>0</v>
      </c>
      <c r="AQ408" s="7">
        <v>0</v>
      </c>
      <c r="AR408" s="7">
        <v>0</v>
      </c>
      <c r="AS408" s="7">
        <v>0</v>
      </c>
      <c r="AT408" s="7">
        <v>0</v>
      </c>
      <c r="AU408" s="7">
        <v>0</v>
      </c>
      <c r="AV408" s="7">
        <v>0</v>
      </c>
      <c r="AW408" s="7">
        <v>0</v>
      </c>
      <c r="AX408" s="7">
        <v>0</v>
      </c>
      <c r="AY408" s="7">
        <v>0</v>
      </c>
      <c r="AZ408" s="7">
        <v>0</v>
      </c>
      <c r="BA408" s="7">
        <v>0</v>
      </c>
      <c r="BB408" s="7">
        <v>0</v>
      </c>
      <c r="BC408" s="7">
        <v>0</v>
      </c>
      <c r="BD408">
        <v>0</v>
      </c>
      <c r="BE408">
        <v>31.32</v>
      </c>
      <c r="BF4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8" s="42" t="str">
        <f>+IF(AVANCE[[#This Row],[FECHA INICIO REAL]]="","",AVANCE[[#This Row],[FECHA INICIO REAL]]-AVANCE[[#This Row],[FECHA INICIO TEORICO]])</f>
        <v/>
      </c>
      <c r="BH4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9" spans="1:61" x14ac:dyDescent="0.25">
      <c r="A409" t="s">
        <v>1220</v>
      </c>
      <c r="B409" t="s">
        <v>1244</v>
      </c>
      <c r="C409">
        <v>2282600408</v>
      </c>
      <c r="D409" t="s">
        <v>833</v>
      </c>
      <c r="E409" s="4">
        <v>0</v>
      </c>
      <c r="F409" s="1">
        <v>46343</v>
      </c>
      <c r="G409" s="1"/>
      <c r="H409" s="1">
        <v>0</v>
      </c>
      <c r="I409" s="1">
        <v>46363</v>
      </c>
      <c r="J409">
        <v>46188</v>
      </c>
      <c r="K409" s="1"/>
      <c r="L409" s="7">
        <v>0</v>
      </c>
      <c r="M409" s="7">
        <v>0</v>
      </c>
      <c r="N409" s="7">
        <v>0</v>
      </c>
      <c r="O409" s="7">
        <v>0</v>
      </c>
      <c r="P409" s="7">
        <v>0</v>
      </c>
      <c r="Q409" s="7">
        <v>0</v>
      </c>
      <c r="R409" s="7">
        <v>0</v>
      </c>
      <c r="S409" s="7">
        <v>0</v>
      </c>
      <c r="T409" s="7">
        <v>0</v>
      </c>
      <c r="U409" s="7">
        <v>0</v>
      </c>
      <c r="V409" s="7">
        <v>0</v>
      </c>
      <c r="W409" s="7">
        <v>0</v>
      </c>
      <c r="X409" s="7">
        <v>0</v>
      </c>
      <c r="Y409" s="7">
        <v>0</v>
      </c>
      <c r="Z409" s="7">
        <v>0</v>
      </c>
      <c r="AA409" s="7">
        <v>0</v>
      </c>
      <c r="AB409" s="7">
        <v>0</v>
      </c>
      <c r="AC409" s="7">
        <v>0</v>
      </c>
      <c r="AD409" s="7">
        <v>0</v>
      </c>
      <c r="AE409" s="7">
        <v>0</v>
      </c>
      <c r="AF409" s="7">
        <v>0</v>
      </c>
      <c r="AG409" s="7">
        <v>0</v>
      </c>
      <c r="AH409" s="7">
        <v>0</v>
      </c>
      <c r="AI409" s="7">
        <v>0</v>
      </c>
      <c r="AJ409" s="7">
        <v>0</v>
      </c>
      <c r="AK409" s="7">
        <v>0</v>
      </c>
      <c r="AL409" s="7">
        <v>0</v>
      </c>
      <c r="AM409" s="7">
        <v>0</v>
      </c>
      <c r="AN409" s="7">
        <v>0</v>
      </c>
      <c r="AO409" s="7">
        <v>0</v>
      </c>
      <c r="AP409" s="7">
        <v>0</v>
      </c>
      <c r="AQ409" s="7">
        <v>0</v>
      </c>
      <c r="AR409" s="7">
        <v>0</v>
      </c>
      <c r="AS409" s="7">
        <v>0</v>
      </c>
      <c r="AT409" s="7">
        <v>0</v>
      </c>
      <c r="AU409" s="7">
        <v>0</v>
      </c>
      <c r="AV409" s="7">
        <v>0</v>
      </c>
      <c r="AW409" s="7">
        <v>0</v>
      </c>
      <c r="AX409" s="7">
        <v>0</v>
      </c>
      <c r="AY409" s="7">
        <v>0</v>
      </c>
      <c r="AZ409" s="7">
        <v>0</v>
      </c>
      <c r="BA409" s="7">
        <v>0</v>
      </c>
      <c r="BB409" s="7">
        <v>0</v>
      </c>
      <c r="BC409" s="7">
        <v>0</v>
      </c>
      <c r="BD409">
        <v>0</v>
      </c>
      <c r="BE409">
        <v>28.87</v>
      </c>
      <c r="BF4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9" s="42" t="str">
        <f>+IF(AVANCE[[#This Row],[FECHA INICIO REAL]]="","",AVANCE[[#This Row],[FECHA INICIO REAL]]-AVANCE[[#This Row],[FECHA INICIO TEORICO]])</f>
        <v/>
      </c>
      <c r="BH4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0" spans="1:61" x14ac:dyDescent="0.25">
      <c r="A410" t="s">
        <v>1220</v>
      </c>
      <c r="B410" t="s">
        <v>1245</v>
      </c>
      <c r="C410">
        <v>2282600409</v>
      </c>
      <c r="D410" t="s">
        <v>833</v>
      </c>
      <c r="E410" s="4">
        <v>0</v>
      </c>
      <c r="F410" s="1">
        <v>46343</v>
      </c>
      <c r="G410" s="1"/>
      <c r="H410" s="1">
        <v>0</v>
      </c>
      <c r="I410" s="1">
        <v>46363</v>
      </c>
      <c r="J410">
        <v>46188</v>
      </c>
      <c r="K410" s="1"/>
      <c r="L410" s="7">
        <v>0</v>
      </c>
      <c r="M410" s="7">
        <v>0</v>
      </c>
      <c r="N410" s="7">
        <v>0</v>
      </c>
      <c r="O410" s="7">
        <v>0</v>
      </c>
      <c r="P410" s="7">
        <v>0</v>
      </c>
      <c r="Q410" s="7">
        <v>0</v>
      </c>
      <c r="R410" s="7">
        <v>0</v>
      </c>
      <c r="S410" s="7">
        <v>0</v>
      </c>
      <c r="T410" s="7">
        <v>0</v>
      </c>
      <c r="U410" s="7">
        <v>0</v>
      </c>
      <c r="V410" s="7">
        <v>0</v>
      </c>
      <c r="W410" s="7">
        <v>0</v>
      </c>
      <c r="X410" s="7">
        <v>0</v>
      </c>
      <c r="Y410" s="7">
        <v>0</v>
      </c>
      <c r="Z410" s="7">
        <v>0</v>
      </c>
      <c r="AA410" s="7">
        <v>0</v>
      </c>
      <c r="AB410" s="7">
        <v>0</v>
      </c>
      <c r="AC410" s="7">
        <v>0</v>
      </c>
      <c r="AD410" s="7">
        <v>0</v>
      </c>
      <c r="AE410" s="7">
        <v>0</v>
      </c>
      <c r="AF410" s="7">
        <v>0</v>
      </c>
      <c r="AG410" s="7">
        <v>0</v>
      </c>
      <c r="AH410" s="7">
        <v>0</v>
      </c>
      <c r="AI410" s="7">
        <v>0</v>
      </c>
      <c r="AJ410" s="7">
        <v>0</v>
      </c>
      <c r="AK410" s="7">
        <v>0</v>
      </c>
      <c r="AL410" s="7">
        <v>0</v>
      </c>
      <c r="AM410" s="7">
        <v>0</v>
      </c>
      <c r="AN410" s="7">
        <v>0</v>
      </c>
      <c r="AO410" s="7">
        <v>0</v>
      </c>
      <c r="AP410" s="7">
        <v>0</v>
      </c>
      <c r="AQ410" s="7">
        <v>0</v>
      </c>
      <c r="AR410" s="7">
        <v>0</v>
      </c>
      <c r="AS410" s="7">
        <v>0</v>
      </c>
      <c r="AT410" s="7">
        <v>0</v>
      </c>
      <c r="AU410" s="7">
        <v>0</v>
      </c>
      <c r="AV410" s="7">
        <v>0</v>
      </c>
      <c r="AW410" s="7">
        <v>0</v>
      </c>
      <c r="AX410" s="7">
        <v>0</v>
      </c>
      <c r="AY410" s="7">
        <v>0</v>
      </c>
      <c r="AZ410" s="7">
        <v>0</v>
      </c>
      <c r="BA410" s="7">
        <v>0</v>
      </c>
      <c r="BB410" s="7">
        <v>0</v>
      </c>
      <c r="BC410" s="7">
        <v>0</v>
      </c>
      <c r="BD410">
        <v>0</v>
      </c>
      <c r="BE410">
        <v>28.87</v>
      </c>
      <c r="BF4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0" s="42" t="str">
        <f>+IF(AVANCE[[#This Row],[FECHA INICIO REAL]]="","",AVANCE[[#This Row],[FECHA INICIO REAL]]-AVANCE[[#This Row],[FECHA INICIO TEORICO]])</f>
        <v/>
      </c>
      <c r="BH4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1" spans="1:61" x14ac:dyDescent="0.25">
      <c r="A411" t="s">
        <v>1220</v>
      </c>
      <c r="B411" t="s">
        <v>1246</v>
      </c>
      <c r="C411">
        <v>2302600410</v>
      </c>
      <c r="D411" t="s">
        <v>834</v>
      </c>
      <c r="E411" s="4">
        <v>0</v>
      </c>
      <c r="F411" s="1">
        <v>46344</v>
      </c>
      <c r="G411" s="1"/>
      <c r="H411" s="1">
        <v>0</v>
      </c>
      <c r="I411" s="1">
        <v>46374</v>
      </c>
      <c r="J411">
        <v>46188</v>
      </c>
      <c r="K411" s="1"/>
      <c r="L411" s="7">
        <v>0</v>
      </c>
      <c r="M411" s="7">
        <v>0</v>
      </c>
      <c r="N411" s="7">
        <v>0</v>
      </c>
      <c r="O411" s="7">
        <v>0</v>
      </c>
      <c r="P411" s="7">
        <v>0</v>
      </c>
      <c r="Q411" s="7">
        <v>0</v>
      </c>
      <c r="R411" s="7">
        <v>0</v>
      </c>
      <c r="S411" s="7">
        <v>0</v>
      </c>
      <c r="T411" s="7">
        <v>0</v>
      </c>
      <c r="U411" s="7">
        <v>0</v>
      </c>
      <c r="V411" s="7">
        <v>0</v>
      </c>
      <c r="W411" s="7">
        <v>0</v>
      </c>
      <c r="X411" s="7">
        <v>0</v>
      </c>
      <c r="Y411" s="7">
        <v>0</v>
      </c>
      <c r="Z411" s="7">
        <v>0</v>
      </c>
      <c r="AA411" s="7">
        <v>0</v>
      </c>
      <c r="AB411" s="7">
        <v>0</v>
      </c>
      <c r="AC411" s="7">
        <v>0</v>
      </c>
      <c r="AD411" s="7">
        <v>0</v>
      </c>
      <c r="AE411" s="7">
        <v>0</v>
      </c>
      <c r="AF411" s="7">
        <v>0</v>
      </c>
      <c r="AG411" s="7">
        <v>0</v>
      </c>
      <c r="AH411" s="7">
        <v>0</v>
      </c>
      <c r="AI411" s="7">
        <v>0</v>
      </c>
      <c r="AJ411" s="7">
        <v>0</v>
      </c>
      <c r="AK411" s="7">
        <v>0</v>
      </c>
      <c r="AL411" s="7">
        <v>0</v>
      </c>
      <c r="AM411" s="7">
        <v>0</v>
      </c>
      <c r="AN411" s="7">
        <v>0</v>
      </c>
      <c r="AO411" s="7">
        <v>0</v>
      </c>
      <c r="AP411" s="7">
        <v>0</v>
      </c>
      <c r="AQ411" s="7">
        <v>0</v>
      </c>
      <c r="AR411" s="7">
        <v>0</v>
      </c>
      <c r="AS411" s="7">
        <v>0</v>
      </c>
      <c r="AT411" s="7">
        <v>0</v>
      </c>
      <c r="AU411" s="7">
        <v>0</v>
      </c>
      <c r="AV411" s="7">
        <v>0</v>
      </c>
      <c r="AW411" s="7">
        <v>0</v>
      </c>
      <c r="AX411" s="7">
        <v>0</v>
      </c>
      <c r="AY411" s="7">
        <v>0</v>
      </c>
      <c r="AZ411" s="7">
        <v>0</v>
      </c>
      <c r="BA411" s="7">
        <v>0</v>
      </c>
      <c r="BB411" s="7">
        <v>0</v>
      </c>
      <c r="BC411" s="7">
        <v>0</v>
      </c>
      <c r="BD411">
        <v>0</v>
      </c>
      <c r="BE411">
        <v>31.32</v>
      </c>
      <c r="BF4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1" s="42" t="str">
        <f>+IF(AVANCE[[#This Row],[FECHA INICIO REAL]]="","",AVANCE[[#This Row],[FECHA INICIO REAL]]-AVANCE[[#This Row],[FECHA INICIO TEORICO]])</f>
        <v/>
      </c>
      <c r="BH4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2" spans="1:61" x14ac:dyDescent="0.25">
      <c r="A412" t="s">
        <v>1220</v>
      </c>
      <c r="B412" t="s">
        <v>1247</v>
      </c>
      <c r="C412">
        <v>2302600411</v>
      </c>
      <c r="D412" t="s">
        <v>834</v>
      </c>
      <c r="E412" s="4">
        <v>0</v>
      </c>
      <c r="F412" s="1">
        <v>46344</v>
      </c>
      <c r="G412" s="1"/>
      <c r="H412" s="1">
        <v>0</v>
      </c>
      <c r="I412" s="1">
        <v>46374</v>
      </c>
      <c r="J412">
        <v>46188</v>
      </c>
      <c r="K412" s="1"/>
      <c r="L412" s="7">
        <v>0</v>
      </c>
      <c r="M412" s="7">
        <v>0</v>
      </c>
      <c r="N412" s="7">
        <v>0</v>
      </c>
      <c r="O412" s="7">
        <v>0</v>
      </c>
      <c r="P412" s="7">
        <v>0</v>
      </c>
      <c r="Q412" s="7">
        <v>0</v>
      </c>
      <c r="R412" s="7">
        <v>0</v>
      </c>
      <c r="S412" s="7">
        <v>0</v>
      </c>
      <c r="T412" s="7">
        <v>0</v>
      </c>
      <c r="U412" s="7">
        <v>0</v>
      </c>
      <c r="V412" s="7">
        <v>0</v>
      </c>
      <c r="W412" s="7">
        <v>0</v>
      </c>
      <c r="X412" s="7">
        <v>0</v>
      </c>
      <c r="Y412" s="7">
        <v>0</v>
      </c>
      <c r="Z412" s="7">
        <v>0</v>
      </c>
      <c r="AA412" s="7">
        <v>0</v>
      </c>
      <c r="AB412" s="7">
        <v>0</v>
      </c>
      <c r="AC412" s="7">
        <v>0</v>
      </c>
      <c r="AD412" s="7">
        <v>0</v>
      </c>
      <c r="AE412" s="7">
        <v>0</v>
      </c>
      <c r="AF412" s="7">
        <v>0</v>
      </c>
      <c r="AG412" s="7">
        <v>0</v>
      </c>
      <c r="AH412" s="7">
        <v>0</v>
      </c>
      <c r="AI412" s="7">
        <v>0</v>
      </c>
      <c r="AJ412" s="7">
        <v>0</v>
      </c>
      <c r="AK412" s="7">
        <v>0</v>
      </c>
      <c r="AL412" s="7">
        <v>0</v>
      </c>
      <c r="AM412" s="7">
        <v>0</v>
      </c>
      <c r="AN412" s="7">
        <v>0</v>
      </c>
      <c r="AO412" s="7">
        <v>0</v>
      </c>
      <c r="AP412" s="7">
        <v>0</v>
      </c>
      <c r="AQ412" s="7">
        <v>0</v>
      </c>
      <c r="AR412" s="7">
        <v>0</v>
      </c>
      <c r="AS412" s="7">
        <v>0</v>
      </c>
      <c r="AT412" s="7">
        <v>0</v>
      </c>
      <c r="AU412" s="7">
        <v>0</v>
      </c>
      <c r="AV412" s="7">
        <v>0</v>
      </c>
      <c r="AW412" s="7">
        <v>0</v>
      </c>
      <c r="AX412" s="7">
        <v>0</v>
      </c>
      <c r="AY412" s="7">
        <v>0</v>
      </c>
      <c r="AZ412" s="7">
        <v>0</v>
      </c>
      <c r="BA412" s="7">
        <v>0</v>
      </c>
      <c r="BB412" s="7">
        <v>0</v>
      </c>
      <c r="BC412" s="7">
        <v>0</v>
      </c>
      <c r="BD412">
        <v>0</v>
      </c>
      <c r="BE412">
        <v>31.32</v>
      </c>
      <c r="BF4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2" s="42" t="str">
        <f>+IF(AVANCE[[#This Row],[FECHA INICIO REAL]]="","",AVANCE[[#This Row],[FECHA INICIO REAL]]-AVANCE[[#This Row],[FECHA INICIO TEORICO]])</f>
        <v/>
      </c>
      <c r="BH4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3" spans="1:61" x14ac:dyDescent="0.25">
      <c r="A413" t="s">
        <v>1220</v>
      </c>
      <c r="B413" t="s">
        <v>1248</v>
      </c>
      <c r="C413">
        <v>2282600412</v>
      </c>
      <c r="D413" t="s">
        <v>833</v>
      </c>
      <c r="E413" s="4">
        <v>0</v>
      </c>
      <c r="F413" s="1">
        <v>46344</v>
      </c>
      <c r="G413" s="1"/>
      <c r="H413" s="1">
        <v>0</v>
      </c>
      <c r="I413" s="1">
        <v>46364</v>
      </c>
      <c r="J413">
        <v>46188</v>
      </c>
      <c r="K413" s="1"/>
      <c r="L413" s="7">
        <v>0</v>
      </c>
      <c r="M413" s="7">
        <v>0</v>
      </c>
      <c r="N413" s="7">
        <v>0</v>
      </c>
      <c r="O413" s="7">
        <v>0</v>
      </c>
      <c r="P413" s="7">
        <v>0</v>
      </c>
      <c r="Q413" s="7">
        <v>0</v>
      </c>
      <c r="R413" s="7">
        <v>0</v>
      </c>
      <c r="S413" s="7">
        <v>0</v>
      </c>
      <c r="T413" s="7">
        <v>0</v>
      </c>
      <c r="U413" s="7">
        <v>0</v>
      </c>
      <c r="V413" s="7">
        <v>0</v>
      </c>
      <c r="W413" s="7">
        <v>0</v>
      </c>
      <c r="X413" s="7">
        <v>0</v>
      </c>
      <c r="Y413" s="7">
        <v>0</v>
      </c>
      <c r="Z413" s="7">
        <v>0</v>
      </c>
      <c r="AA413" s="7">
        <v>0</v>
      </c>
      <c r="AB413" s="7">
        <v>0</v>
      </c>
      <c r="AC413" s="7">
        <v>0</v>
      </c>
      <c r="AD413" s="7">
        <v>0</v>
      </c>
      <c r="AE413" s="7">
        <v>0</v>
      </c>
      <c r="AF413" s="7">
        <v>0</v>
      </c>
      <c r="AG413" s="7">
        <v>0</v>
      </c>
      <c r="AH413" s="7">
        <v>0</v>
      </c>
      <c r="AI413" s="7">
        <v>0</v>
      </c>
      <c r="AJ413" s="7">
        <v>0</v>
      </c>
      <c r="AK413" s="7">
        <v>0</v>
      </c>
      <c r="AL413" s="7">
        <v>0</v>
      </c>
      <c r="AM413" s="7">
        <v>0</v>
      </c>
      <c r="AN413" s="7">
        <v>0</v>
      </c>
      <c r="AO413" s="7">
        <v>0</v>
      </c>
      <c r="AP413" s="7">
        <v>0</v>
      </c>
      <c r="AQ413" s="7">
        <v>0</v>
      </c>
      <c r="AR413" s="7">
        <v>0</v>
      </c>
      <c r="AS413" s="7">
        <v>0</v>
      </c>
      <c r="AT413" s="7">
        <v>0</v>
      </c>
      <c r="AU413" s="7">
        <v>0</v>
      </c>
      <c r="AV413" s="7">
        <v>0</v>
      </c>
      <c r="AW413" s="7">
        <v>0</v>
      </c>
      <c r="AX413" s="7">
        <v>0</v>
      </c>
      <c r="AY413" s="7">
        <v>0</v>
      </c>
      <c r="AZ413" s="7">
        <v>0</v>
      </c>
      <c r="BA413" s="7">
        <v>0</v>
      </c>
      <c r="BB413" s="7">
        <v>0</v>
      </c>
      <c r="BC413" s="7">
        <v>0</v>
      </c>
      <c r="BD413">
        <v>0</v>
      </c>
      <c r="BE413">
        <v>28.87</v>
      </c>
      <c r="BF4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3" s="42" t="str">
        <f>+IF(AVANCE[[#This Row],[FECHA INICIO REAL]]="","",AVANCE[[#This Row],[FECHA INICIO REAL]]-AVANCE[[#This Row],[FECHA INICIO TEORICO]])</f>
        <v/>
      </c>
      <c r="BH4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4" spans="1:61" x14ac:dyDescent="0.25">
      <c r="A414" t="s">
        <v>1220</v>
      </c>
      <c r="B414" t="s">
        <v>1249</v>
      </c>
      <c r="C414">
        <v>2282600413</v>
      </c>
      <c r="D414" t="s">
        <v>833</v>
      </c>
      <c r="E414" s="4">
        <v>0</v>
      </c>
      <c r="F414" s="1">
        <v>46345</v>
      </c>
      <c r="G414" s="1"/>
      <c r="H414" s="1">
        <v>0</v>
      </c>
      <c r="I414" s="1">
        <v>46365</v>
      </c>
      <c r="J414">
        <v>46188</v>
      </c>
      <c r="K414" s="1"/>
      <c r="L414" s="7">
        <v>0</v>
      </c>
      <c r="M414" s="7">
        <v>0</v>
      </c>
      <c r="N414" s="7">
        <v>0</v>
      </c>
      <c r="O414" s="7">
        <v>0</v>
      </c>
      <c r="P414" s="7">
        <v>0</v>
      </c>
      <c r="Q414" s="7">
        <v>0</v>
      </c>
      <c r="R414" s="7">
        <v>0</v>
      </c>
      <c r="S414" s="7">
        <v>0</v>
      </c>
      <c r="T414" s="7">
        <v>0</v>
      </c>
      <c r="U414" s="7">
        <v>0</v>
      </c>
      <c r="V414" s="7">
        <v>0</v>
      </c>
      <c r="W414" s="7">
        <v>0</v>
      </c>
      <c r="X414" s="7">
        <v>0</v>
      </c>
      <c r="Y414" s="7">
        <v>0</v>
      </c>
      <c r="Z414" s="7">
        <v>0</v>
      </c>
      <c r="AA414" s="7">
        <v>0</v>
      </c>
      <c r="AB414" s="7">
        <v>0</v>
      </c>
      <c r="AC414" s="7">
        <v>0</v>
      </c>
      <c r="AD414" s="7">
        <v>0</v>
      </c>
      <c r="AE414" s="7">
        <v>0</v>
      </c>
      <c r="AF414" s="7">
        <v>0</v>
      </c>
      <c r="AG414" s="7">
        <v>0</v>
      </c>
      <c r="AH414" s="7">
        <v>0</v>
      </c>
      <c r="AI414" s="7">
        <v>0</v>
      </c>
      <c r="AJ414" s="7">
        <v>0</v>
      </c>
      <c r="AK414" s="7">
        <v>0</v>
      </c>
      <c r="AL414" s="7">
        <v>0</v>
      </c>
      <c r="AM414" s="7">
        <v>0</v>
      </c>
      <c r="AN414" s="7">
        <v>0</v>
      </c>
      <c r="AO414" s="7">
        <v>0</v>
      </c>
      <c r="AP414" s="7">
        <v>0</v>
      </c>
      <c r="AQ414" s="7">
        <v>0</v>
      </c>
      <c r="AR414" s="7">
        <v>0</v>
      </c>
      <c r="AS414" s="7">
        <v>0</v>
      </c>
      <c r="AT414" s="7">
        <v>0</v>
      </c>
      <c r="AU414" s="7">
        <v>0</v>
      </c>
      <c r="AV414" s="7">
        <v>0</v>
      </c>
      <c r="AW414" s="7">
        <v>0</v>
      </c>
      <c r="AX414" s="7">
        <v>0</v>
      </c>
      <c r="AY414" s="7">
        <v>0</v>
      </c>
      <c r="AZ414" s="7">
        <v>0</v>
      </c>
      <c r="BA414" s="7">
        <v>0</v>
      </c>
      <c r="BB414" s="7">
        <v>0</v>
      </c>
      <c r="BC414" s="7">
        <v>0</v>
      </c>
      <c r="BD414">
        <v>0</v>
      </c>
      <c r="BE414">
        <v>28.87</v>
      </c>
      <c r="BF4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4" s="42" t="str">
        <f>+IF(AVANCE[[#This Row],[FECHA INICIO REAL]]="","",AVANCE[[#This Row],[FECHA INICIO REAL]]-AVANCE[[#This Row],[FECHA INICIO TEORICO]])</f>
        <v/>
      </c>
      <c r="BH4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5" spans="1:61" x14ac:dyDescent="0.25">
      <c r="A415" t="s">
        <v>1220</v>
      </c>
      <c r="B415" t="s">
        <v>1250</v>
      </c>
      <c r="C415">
        <v>2302600414</v>
      </c>
      <c r="D415" t="s">
        <v>834</v>
      </c>
      <c r="E415" s="4">
        <v>0</v>
      </c>
      <c r="F415" s="1">
        <v>46345</v>
      </c>
      <c r="G415" s="1"/>
      <c r="H415" s="1">
        <v>0</v>
      </c>
      <c r="I415" s="1">
        <v>46375</v>
      </c>
      <c r="J415">
        <v>46188</v>
      </c>
      <c r="K415" s="1"/>
      <c r="L415" s="7">
        <v>0</v>
      </c>
      <c r="M415" s="7">
        <v>0</v>
      </c>
      <c r="N415" s="7">
        <v>0</v>
      </c>
      <c r="O415" s="7">
        <v>0</v>
      </c>
      <c r="P415" s="7">
        <v>0</v>
      </c>
      <c r="Q415" s="7">
        <v>0</v>
      </c>
      <c r="R415" s="7">
        <v>0</v>
      </c>
      <c r="S415" s="7">
        <v>0</v>
      </c>
      <c r="T415" s="7">
        <v>0</v>
      </c>
      <c r="U415" s="7">
        <v>0</v>
      </c>
      <c r="V415" s="7">
        <v>0</v>
      </c>
      <c r="W415" s="7">
        <v>0</v>
      </c>
      <c r="X415" s="7">
        <v>0</v>
      </c>
      <c r="Y415" s="7">
        <v>0</v>
      </c>
      <c r="Z415" s="7">
        <v>0</v>
      </c>
      <c r="AA415" s="7">
        <v>0</v>
      </c>
      <c r="AB415" s="7">
        <v>0</v>
      </c>
      <c r="AC415" s="7">
        <v>0</v>
      </c>
      <c r="AD415" s="7">
        <v>0</v>
      </c>
      <c r="AE415" s="7">
        <v>0</v>
      </c>
      <c r="AF415" s="7">
        <v>0</v>
      </c>
      <c r="AG415" s="7">
        <v>0</v>
      </c>
      <c r="AH415" s="7">
        <v>0</v>
      </c>
      <c r="AI415" s="7">
        <v>0</v>
      </c>
      <c r="AJ415" s="7">
        <v>0</v>
      </c>
      <c r="AK415" s="7">
        <v>0</v>
      </c>
      <c r="AL415" s="7">
        <v>0</v>
      </c>
      <c r="AM415" s="7">
        <v>0</v>
      </c>
      <c r="AN415" s="7">
        <v>0</v>
      </c>
      <c r="AO415" s="7">
        <v>0</v>
      </c>
      <c r="AP415" s="7">
        <v>0</v>
      </c>
      <c r="AQ415" s="7">
        <v>0</v>
      </c>
      <c r="AR415" s="7">
        <v>0</v>
      </c>
      <c r="AS415" s="7">
        <v>0</v>
      </c>
      <c r="AT415" s="7">
        <v>0</v>
      </c>
      <c r="AU415" s="7">
        <v>0</v>
      </c>
      <c r="AV415" s="7">
        <v>0</v>
      </c>
      <c r="AW415" s="7">
        <v>0</v>
      </c>
      <c r="AX415" s="7">
        <v>0</v>
      </c>
      <c r="AY415" s="7">
        <v>0</v>
      </c>
      <c r="AZ415" s="7">
        <v>0</v>
      </c>
      <c r="BA415" s="7">
        <v>0</v>
      </c>
      <c r="BB415" s="7">
        <v>0</v>
      </c>
      <c r="BC415" s="7">
        <v>0</v>
      </c>
      <c r="BD415">
        <v>0</v>
      </c>
      <c r="BE415">
        <v>31.32</v>
      </c>
      <c r="BF4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5" s="42" t="str">
        <f>+IF(AVANCE[[#This Row],[FECHA INICIO REAL]]="","",AVANCE[[#This Row],[FECHA INICIO REAL]]-AVANCE[[#This Row],[FECHA INICIO TEORICO]])</f>
        <v/>
      </c>
      <c r="BH4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6" spans="1:61" x14ac:dyDescent="0.25">
      <c r="A416" t="s">
        <v>1220</v>
      </c>
      <c r="B416" t="s">
        <v>1251</v>
      </c>
      <c r="C416">
        <v>2302600415</v>
      </c>
      <c r="D416" t="s">
        <v>834</v>
      </c>
      <c r="E416" s="4">
        <v>0</v>
      </c>
      <c r="F416" s="1">
        <v>46345</v>
      </c>
      <c r="G416" s="1"/>
      <c r="H416" s="1">
        <v>0</v>
      </c>
      <c r="I416" s="1">
        <v>46375</v>
      </c>
      <c r="J416">
        <v>46188</v>
      </c>
      <c r="K416" s="1"/>
      <c r="L416" s="7">
        <v>0</v>
      </c>
      <c r="M416" s="7">
        <v>0</v>
      </c>
      <c r="N416" s="7">
        <v>0</v>
      </c>
      <c r="O416" s="7">
        <v>0</v>
      </c>
      <c r="P416" s="7">
        <v>0</v>
      </c>
      <c r="Q416" s="7">
        <v>0</v>
      </c>
      <c r="R416" s="7">
        <v>0</v>
      </c>
      <c r="S416" s="7">
        <v>0</v>
      </c>
      <c r="T416" s="7">
        <v>0</v>
      </c>
      <c r="U416" s="7">
        <v>0</v>
      </c>
      <c r="V416" s="7">
        <v>0</v>
      </c>
      <c r="W416" s="7">
        <v>0</v>
      </c>
      <c r="X416" s="7">
        <v>0</v>
      </c>
      <c r="Y416" s="7">
        <v>0</v>
      </c>
      <c r="Z416" s="7">
        <v>0</v>
      </c>
      <c r="AA416" s="7">
        <v>0</v>
      </c>
      <c r="AB416" s="7">
        <v>0</v>
      </c>
      <c r="AC416" s="7">
        <v>0</v>
      </c>
      <c r="AD416" s="7">
        <v>0</v>
      </c>
      <c r="AE416" s="7">
        <v>0</v>
      </c>
      <c r="AF416" s="7">
        <v>0</v>
      </c>
      <c r="AG416" s="7">
        <v>0</v>
      </c>
      <c r="AH416" s="7">
        <v>0</v>
      </c>
      <c r="AI416" s="7">
        <v>0</v>
      </c>
      <c r="AJ416" s="7">
        <v>0</v>
      </c>
      <c r="AK416" s="7">
        <v>0</v>
      </c>
      <c r="AL416" s="7">
        <v>0</v>
      </c>
      <c r="AM416" s="7">
        <v>0</v>
      </c>
      <c r="AN416" s="7">
        <v>0</v>
      </c>
      <c r="AO416" s="7">
        <v>0</v>
      </c>
      <c r="AP416" s="7">
        <v>0</v>
      </c>
      <c r="AQ416" s="7">
        <v>0</v>
      </c>
      <c r="AR416" s="7">
        <v>0</v>
      </c>
      <c r="AS416" s="7">
        <v>0</v>
      </c>
      <c r="AT416" s="7">
        <v>0</v>
      </c>
      <c r="AU416" s="7">
        <v>0</v>
      </c>
      <c r="AV416" s="7">
        <v>0</v>
      </c>
      <c r="AW416" s="7">
        <v>0</v>
      </c>
      <c r="AX416" s="7">
        <v>0</v>
      </c>
      <c r="AY416" s="7">
        <v>0</v>
      </c>
      <c r="AZ416" s="7">
        <v>0</v>
      </c>
      <c r="BA416" s="7">
        <v>0</v>
      </c>
      <c r="BB416" s="7">
        <v>0</v>
      </c>
      <c r="BC416" s="7">
        <v>0</v>
      </c>
      <c r="BD416">
        <v>0</v>
      </c>
      <c r="BE416">
        <v>31.32</v>
      </c>
      <c r="BF4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6" s="42" t="str">
        <f>+IF(AVANCE[[#This Row],[FECHA INICIO REAL]]="","",AVANCE[[#This Row],[FECHA INICIO REAL]]-AVANCE[[#This Row],[FECHA INICIO TEORICO]])</f>
        <v/>
      </c>
      <c r="BH4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7" spans="1:61" x14ac:dyDescent="0.25">
      <c r="A417" t="s">
        <v>1220</v>
      </c>
      <c r="B417" t="s">
        <v>1252</v>
      </c>
      <c r="C417">
        <v>2282600416</v>
      </c>
      <c r="D417" t="s">
        <v>833</v>
      </c>
      <c r="E417" s="4">
        <v>0</v>
      </c>
      <c r="F417" s="1">
        <v>46346</v>
      </c>
      <c r="G417" s="1"/>
      <c r="H417" s="1">
        <v>0</v>
      </c>
      <c r="I417" s="1">
        <v>46366</v>
      </c>
      <c r="J417">
        <v>46188</v>
      </c>
      <c r="K417" s="1"/>
      <c r="L417" s="7">
        <v>0</v>
      </c>
      <c r="M417" s="7">
        <v>0</v>
      </c>
      <c r="N417" s="7">
        <v>0</v>
      </c>
      <c r="O417" s="7">
        <v>0</v>
      </c>
      <c r="P417" s="7">
        <v>0</v>
      </c>
      <c r="Q417" s="7">
        <v>0</v>
      </c>
      <c r="R417" s="7">
        <v>0</v>
      </c>
      <c r="S417" s="7">
        <v>0</v>
      </c>
      <c r="T417" s="7">
        <v>0</v>
      </c>
      <c r="U417" s="7">
        <v>0</v>
      </c>
      <c r="V417" s="7">
        <v>0</v>
      </c>
      <c r="W417" s="7">
        <v>0</v>
      </c>
      <c r="X417" s="7">
        <v>0</v>
      </c>
      <c r="Y417" s="7">
        <v>0</v>
      </c>
      <c r="Z417" s="7">
        <v>0</v>
      </c>
      <c r="AA417" s="7">
        <v>0</v>
      </c>
      <c r="AB417" s="7">
        <v>0</v>
      </c>
      <c r="AC417" s="7">
        <v>0</v>
      </c>
      <c r="AD417" s="7">
        <v>0</v>
      </c>
      <c r="AE417" s="7">
        <v>0</v>
      </c>
      <c r="AF417" s="7">
        <v>0</v>
      </c>
      <c r="AG417" s="7">
        <v>0</v>
      </c>
      <c r="AH417" s="7">
        <v>0</v>
      </c>
      <c r="AI417" s="7">
        <v>0</v>
      </c>
      <c r="AJ417" s="7">
        <v>0</v>
      </c>
      <c r="AK417" s="7">
        <v>0</v>
      </c>
      <c r="AL417" s="7">
        <v>0</v>
      </c>
      <c r="AM417" s="7">
        <v>0</v>
      </c>
      <c r="AN417" s="7">
        <v>0</v>
      </c>
      <c r="AO417" s="7">
        <v>0</v>
      </c>
      <c r="AP417" s="7">
        <v>0</v>
      </c>
      <c r="AQ417" s="7">
        <v>0</v>
      </c>
      <c r="AR417" s="7">
        <v>0</v>
      </c>
      <c r="AS417" s="7">
        <v>0</v>
      </c>
      <c r="AT417" s="7">
        <v>0</v>
      </c>
      <c r="AU417" s="7">
        <v>0</v>
      </c>
      <c r="AV417" s="7">
        <v>0</v>
      </c>
      <c r="AW417" s="7">
        <v>0</v>
      </c>
      <c r="AX417" s="7">
        <v>0</v>
      </c>
      <c r="AY417" s="7">
        <v>0</v>
      </c>
      <c r="AZ417" s="7">
        <v>0</v>
      </c>
      <c r="BA417" s="7">
        <v>0</v>
      </c>
      <c r="BB417" s="7">
        <v>0</v>
      </c>
      <c r="BC417" s="7">
        <v>0</v>
      </c>
      <c r="BD417">
        <v>0</v>
      </c>
      <c r="BE417">
        <v>28.87</v>
      </c>
      <c r="BF4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7" s="42" t="str">
        <f>+IF(AVANCE[[#This Row],[FECHA INICIO REAL]]="","",AVANCE[[#This Row],[FECHA INICIO REAL]]-AVANCE[[#This Row],[FECHA INICIO TEORICO]])</f>
        <v/>
      </c>
      <c r="BH4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8" spans="1:61" x14ac:dyDescent="0.25">
      <c r="A418" t="s">
        <v>1253</v>
      </c>
      <c r="B418" t="s">
        <v>1254</v>
      </c>
      <c r="C418">
        <v>2282600417</v>
      </c>
      <c r="D418" t="s">
        <v>833</v>
      </c>
      <c r="E418" s="4">
        <v>0</v>
      </c>
      <c r="F418" s="1">
        <v>46346</v>
      </c>
      <c r="G418" s="1"/>
      <c r="H418" s="1">
        <v>0</v>
      </c>
      <c r="I418" s="1">
        <v>46366</v>
      </c>
      <c r="J418">
        <v>46188</v>
      </c>
      <c r="K418" s="1"/>
      <c r="L418" s="7">
        <v>0</v>
      </c>
      <c r="M418" s="7">
        <v>0</v>
      </c>
      <c r="N418" s="7">
        <v>0</v>
      </c>
      <c r="O418" s="7">
        <v>0</v>
      </c>
      <c r="P418" s="7">
        <v>0</v>
      </c>
      <c r="Q418" s="7">
        <v>0</v>
      </c>
      <c r="R418" s="7">
        <v>0</v>
      </c>
      <c r="S418" s="7">
        <v>0</v>
      </c>
      <c r="T418" s="7">
        <v>0</v>
      </c>
      <c r="U418" s="7">
        <v>0</v>
      </c>
      <c r="V418" s="7">
        <v>0</v>
      </c>
      <c r="W418" s="7">
        <v>0</v>
      </c>
      <c r="X418" s="7">
        <v>0</v>
      </c>
      <c r="Y418" s="7">
        <v>0</v>
      </c>
      <c r="Z418" s="7">
        <v>0</v>
      </c>
      <c r="AA418" s="7">
        <v>0</v>
      </c>
      <c r="AB418" s="7">
        <v>0</v>
      </c>
      <c r="AC418" s="7">
        <v>0</v>
      </c>
      <c r="AD418" s="7">
        <v>0</v>
      </c>
      <c r="AE418" s="7">
        <v>0</v>
      </c>
      <c r="AF418" s="7">
        <v>0</v>
      </c>
      <c r="AG418" s="7">
        <v>0</v>
      </c>
      <c r="AH418" s="7">
        <v>0</v>
      </c>
      <c r="AI418" s="7">
        <v>0</v>
      </c>
      <c r="AJ418" s="7">
        <v>0</v>
      </c>
      <c r="AK418" s="7">
        <v>0</v>
      </c>
      <c r="AL418" s="7">
        <v>0</v>
      </c>
      <c r="AM418" s="7">
        <v>0</v>
      </c>
      <c r="AN418" s="7">
        <v>0</v>
      </c>
      <c r="AO418" s="7">
        <v>0</v>
      </c>
      <c r="AP418" s="7">
        <v>0</v>
      </c>
      <c r="AQ418" s="7">
        <v>0</v>
      </c>
      <c r="AR418" s="7">
        <v>0</v>
      </c>
      <c r="AS418" s="7">
        <v>0</v>
      </c>
      <c r="AT418" s="7">
        <v>0</v>
      </c>
      <c r="AU418" s="7">
        <v>0</v>
      </c>
      <c r="AV418" s="7">
        <v>0</v>
      </c>
      <c r="AW418" s="7">
        <v>0</v>
      </c>
      <c r="AX418" s="7">
        <v>0</v>
      </c>
      <c r="AY418" s="7">
        <v>0</v>
      </c>
      <c r="AZ418" s="7">
        <v>0</v>
      </c>
      <c r="BA418" s="7">
        <v>0</v>
      </c>
      <c r="BB418" s="7">
        <v>0</v>
      </c>
      <c r="BC418" s="7">
        <v>0</v>
      </c>
      <c r="BD418">
        <v>0</v>
      </c>
      <c r="BE418">
        <v>28.87</v>
      </c>
      <c r="BF4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8" s="42" t="str">
        <f>+IF(AVANCE[[#This Row],[FECHA INICIO REAL]]="","",AVANCE[[#This Row],[FECHA INICIO REAL]]-AVANCE[[#This Row],[FECHA INICIO TEORICO]])</f>
        <v/>
      </c>
      <c r="BH4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9" spans="1:61" x14ac:dyDescent="0.25">
      <c r="A419" t="s">
        <v>1253</v>
      </c>
      <c r="B419" t="s">
        <v>1255</v>
      </c>
      <c r="C419">
        <v>2302600418</v>
      </c>
      <c r="D419" t="s">
        <v>834</v>
      </c>
      <c r="E419" s="4">
        <v>0</v>
      </c>
      <c r="F419" s="1">
        <v>46346</v>
      </c>
      <c r="G419" s="1"/>
      <c r="H419" s="1">
        <v>0</v>
      </c>
      <c r="I419" s="1">
        <v>46376</v>
      </c>
      <c r="J419">
        <v>46188</v>
      </c>
      <c r="K419" s="1"/>
      <c r="L419" s="7">
        <v>0</v>
      </c>
      <c r="M419" s="7">
        <v>0</v>
      </c>
      <c r="N419" s="7">
        <v>0</v>
      </c>
      <c r="O419" s="7">
        <v>0</v>
      </c>
      <c r="P419" s="7">
        <v>0</v>
      </c>
      <c r="Q419" s="7">
        <v>0</v>
      </c>
      <c r="R419" s="7">
        <v>0</v>
      </c>
      <c r="S419" s="7">
        <v>0</v>
      </c>
      <c r="T419" s="7">
        <v>0</v>
      </c>
      <c r="U419" s="7">
        <v>0</v>
      </c>
      <c r="V419" s="7">
        <v>0</v>
      </c>
      <c r="W419" s="7">
        <v>0</v>
      </c>
      <c r="X419" s="7">
        <v>0</v>
      </c>
      <c r="Y419" s="7">
        <v>0</v>
      </c>
      <c r="Z419" s="7">
        <v>0</v>
      </c>
      <c r="AA419" s="7">
        <v>0</v>
      </c>
      <c r="AB419" s="7">
        <v>0</v>
      </c>
      <c r="AC419" s="7">
        <v>0</v>
      </c>
      <c r="AD419" s="7">
        <v>0</v>
      </c>
      <c r="AE419" s="7">
        <v>0</v>
      </c>
      <c r="AF419" s="7">
        <v>0</v>
      </c>
      <c r="AG419" s="7">
        <v>0</v>
      </c>
      <c r="AH419" s="7">
        <v>0</v>
      </c>
      <c r="AI419" s="7">
        <v>0</v>
      </c>
      <c r="AJ419" s="7">
        <v>0</v>
      </c>
      <c r="AK419" s="7">
        <v>0</v>
      </c>
      <c r="AL419" s="7">
        <v>0</v>
      </c>
      <c r="AM419" s="7">
        <v>0</v>
      </c>
      <c r="AN419" s="7">
        <v>0</v>
      </c>
      <c r="AO419" s="7">
        <v>0</v>
      </c>
      <c r="AP419" s="7">
        <v>0</v>
      </c>
      <c r="AQ419" s="7">
        <v>0</v>
      </c>
      <c r="AR419" s="7">
        <v>0</v>
      </c>
      <c r="AS419" s="7">
        <v>0</v>
      </c>
      <c r="AT419" s="7">
        <v>0</v>
      </c>
      <c r="AU419" s="7">
        <v>0</v>
      </c>
      <c r="AV419" s="7">
        <v>0</v>
      </c>
      <c r="AW419" s="7">
        <v>0</v>
      </c>
      <c r="AX419" s="7">
        <v>0</v>
      </c>
      <c r="AY419" s="7">
        <v>0</v>
      </c>
      <c r="AZ419" s="7">
        <v>0</v>
      </c>
      <c r="BA419" s="7">
        <v>0</v>
      </c>
      <c r="BB419" s="7">
        <v>0</v>
      </c>
      <c r="BC419" s="7">
        <v>0</v>
      </c>
      <c r="BD419">
        <v>0</v>
      </c>
      <c r="BE419">
        <v>31.32</v>
      </c>
      <c r="BF4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9" s="42" t="str">
        <f>+IF(AVANCE[[#This Row],[FECHA INICIO REAL]]="","",AVANCE[[#This Row],[FECHA INICIO REAL]]-AVANCE[[#This Row],[FECHA INICIO TEORICO]])</f>
        <v/>
      </c>
      <c r="BH4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0" spans="1:61" x14ac:dyDescent="0.25">
      <c r="A420" t="s">
        <v>1253</v>
      </c>
      <c r="B420" t="s">
        <v>1256</v>
      </c>
      <c r="C420">
        <v>2302600419</v>
      </c>
      <c r="D420" t="s">
        <v>834</v>
      </c>
      <c r="E420" s="4">
        <v>0</v>
      </c>
      <c r="F420" s="1">
        <v>46349</v>
      </c>
      <c r="G420" s="1"/>
      <c r="H420" s="1">
        <v>0</v>
      </c>
      <c r="I420" s="1">
        <v>46379</v>
      </c>
      <c r="J420">
        <v>46188</v>
      </c>
      <c r="K420" s="1"/>
      <c r="L420" s="7">
        <v>0</v>
      </c>
      <c r="M420" s="7">
        <v>0</v>
      </c>
      <c r="N420" s="7">
        <v>0</v>
      </c>
      <c r="O420" s="7">
        <v>0</v>
      </c>
      <c r="P420" s="7">
        <v>0</v>
      </c>
      <c r="Q420" s="7">
        <v>0</v>
      </c>
      <c r="R420" s="7">
        <v>0</v>
      </c>
      <c r="S420" s="7">
        <v>0</v>
      </c>
      <c r="T420" s="7">
        <v>0</v>
      </c>
      <c r="U420" s="7">
        <v>0</v>
      </c>
      <c r="V420" s="7">
        <v>0</v>
      </c>
      <c r="W420" s="7">
        <v>0</v>
      </c>
      <c r="X420" s="7">
        <v>0</v>
      </c>
      <c r="Y420" s="7">
        <v>0</v>
      </c>
      <c r="Z420" s="7">
        <v>0</v>
      </c>
      <c r="AA420" s="7">
        <v>0</v>
      </c>
      <c r="AB420" s="7">
        <v>0</v>
      </c>
      <c r="AC420" s="7">
        <v>0</v>
      </c>
      <c r="AD420" s="7">
        <v>0</v>
      </c>
      <c r="AE420" s="7">
        <v>0</v>
      </c>
      <c r="AF420" s="7">
        <v>0</v>
      </c>
      <c r="AG420" s="7">
        <v>0</v>
      </c>
      <c r="AH420" s="7">
        <v>0</v>
      </c>
      <c r="AI420" s="7">
        <v>0</v>
      </c>
      <c r="AJ420" s="7">
        <v>0</v>
      </c>
      <c r="AK420" s="7">
        <v>0</v>
      </c>
      <c r="AL420" s="7">
        <v>0</v>
      </c>
      <c r="AM420" s="7">
        <v>0</v>
      </c>
      <c r="AN420" s="7">
        <v>0</v>
      </c>
      <c r="AO420" s="7">
        <v>0</v>
      </c>
      <c r="AP420" s="7">
        <v>0</v>
      </c>
      <c r="AQ420" s="7">
        <v>0</v>
      </c>
      <c r="AR420" s="7">
        <v>0</v>
      </c>
      <c r="AS420" s="7">
        <v>0</v>
      </c>
      <c r="AT420" s="7">
        <v>0</v>
      </c>
      <c r="AU420" s="7">
        <v>0</v>
      </c>
      <c r="AV420" s="7">
        <v>0</v>
      </c>
      <c r="AW420" s="7">
        <v>0</v>
      </c>
      <c r="AX420" s="7">
        <v>0</v>
      </c>
      <c r="AY420" s="7">
        <v>0</v>
      </c>
      <c r="AZ420" s="7">
        <v>0</v>
      </c>
      <c r="BA420" s="7">
        <v>0</v>
      </c>
      <c r="BB420" s="7">
        <v>0</v>
      </c>
      <c r="BC420" s="7">
        <v>0</v>
      </c>
      <c r="BD420">
        <v>0</v>
      </c>
      <c r="BE420">
        <v>31.32</v>
      </c>
      <c r="BF4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0" s="42" t="str">
        <f>+IF(AVANCE[[#This Row],[FECHA INICIO REAL]]="","",AVANCE[[#This Row],[FECHA INICIO REAL]]-AVANCE[[#This Row],[FECHA INICIO TEORICO]])</f>
        <v/>
      </c>
      <c r="BH4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1" spans="1:61" x14ac:dyDescent="0.25">
      <c r="A421" t="s">
        <v>1253</v>
      </c>
      <c r="B421" t="s">
        <v>1257</v>
      </c>
      <c r="C421">
        <v>2282600420</v>
      </c>
      <c r="D421" t="s">
        <v>833</v>
      </c>
      <c r="E421" s="4">
        <v>0</v>
      </c>
      <c r="F421" s="1">
        <v>46349</v>
      </c>
      <c r="G421" s="1"/>
      <c r="H421" s="1">
        <v>0</v>
      </c>
      <c r="I421" s="1">
        <v>46369</v>
      </c>
      <c r="J421">
        <v>46188</v>
      </c>
      <c r="K421" s="1"/>
      <c r="L421" s="7">
        <v>0</v>
      </c>
      <c r="M421" s="7">
        <v>0</v>
      </c>
      <c r="N421" s="7">
        <v>0</v>
      </c>
      <c r="O421" s="7">
        <v>0</v>
      </c>
      <c r="P421" s="7">
        <v>0</v>
      </c>
      <c r="Q421" s="7">
        <v>0</v>
      </c>
      <c r="R421" s="7">
        <v>0</v>
      </c>
      <c r="S421" s="7">
        <v>0</v>
      </c>
      <c r="T421" s="7">
        <v>0</v>
      </c>
      <c r="U421" s="7">
        <v>0</v>
      </c>
      <c r="V421" s="7">
        <v>0</v>
      </c>
      <c r="W421" s="7">
        <v>0</v>
      </c>
      <c r="X421" s="7">
        <v>0</v>
      </c>
      <c r="Y421" s="7">
        <v>0</v>
      </c>
      <c r="Z421" s="7">
        <v>0</v>
      </c>
      <c r="AA421" s="7">
        <v>0</v>
      </c>
      <c r="AB421" s="7">
        <v>0</v>
      </c>
      <c r="AC421" s="7">
        <v>0</v>
      </c>
      <c r="AD421" s="7">
        <v>0</v>
      </c>
      <c r="AE421" s="7">
        <v>0</v>
      </c>
      <c r="AF421" s="7">
        <v>0</v>
      </c>
      <c r="AG421" s="7">
        <v>0</v>
      </c>
      <c r="AH421" s="7">
        <v>0</v>
      </c>
      <c r="AI421" s="7">
        <v>0</v>
      </c>
      <c r="AJ421" s="7">
        <v>0</v>
      </c>
      <c r="AK421" s="7">
        <v>0</v>
      </c>
      <c r="AL421" s="7">
        <v>0</v>
      </c>
      <c r="AM421" s="7">
        <v>0</v>
      </c>
      <c r="AN421" s="7">
        <v>0</v>
      </c>
      <c r="AO421" s="7">
        <v>0</v>
      </c>
      <c r="AP421" s="7">
        <v>0</v>
      </c>
      <c r="AQ421" s="7">
        <v>0</v>
      </c>
      <c r="AR421" s="7">
        <v>0</v>
      </c>
      <c r="AS421" s="7">
        <v>0</v>
      </c>
      <c r="AT421" s="7">
        <v>0</v>
      </c>
      <c r="AU421" s="7">
        <v>0</v>
      </c>
      <c r="AV421" s="7">
        <v>0</v>
      </c>
      <c r="AW421" s="7">
        <v>0</v>
      </c>
      <c r="AX421" s="7">
        <v>0</v>
      </c>
      <c r="AY421" s="7">
        <v>0</v>
      </c>
      <c r="AZ421" s="7">
        <v>0</v>
      </c>
      <c r="BA421" s="7">
        <v>0</v>
      </c>
      <c r="BB421" s="7">
        <v>0</v>
      </c>
      <c r="BC421" s="7">
        <v>0</v>
      </c>
      <c r="BD421">
        <v>0</v>
      </c>
      <c r="BE421">
        <v>28.87</v>
      </c>
      <c r="BF4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1" s="42" t="str">
        <f>+IF(AVANCE[[#This Row],[FECHA INICIO REAL]]="","",AVANCE[[#This Row],[FECHA INICIO REAL]]-AVANCE[[#This Row],[FECHA INICIO TEORICO]])</f>
        <v/>
      </c>
      <c r="BH4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2" spans="1:61" x14ac:dyDescent="0.25">
      <c r="A422" t="s">
        <v>1253</v>
      </c>
      <c r="B422" t="s">
        <v>1258</v>
      </c>
      <c r="C422">
        <v>2282600421</v>
      </c>
      <c r="D422" t="s">
        <v>833</v>
      </c>
      <c r="E422" s="4">
        <v>0</v>
      </c>
      <c r="F422" s="1">
        <v>46349</v>
      </c>
      <c r="G422" s="1"/>
      <c r="H422" s="1">
        <v>0</v>
      </c>
      <c r="I422" s="1">
        <v>46369</v>
      </c>
      <c r="J422">
        <v>46188</v>
      </c>
      <c r="K422" s="1"/>
      <c r="L422" s="7">
        <v>0</v>
      </c>
      <c r="M422" s="7">
        <v>0</v>
      </c>
      <c r="N422" s="7">
        <v>0</v>
      </c>
      <c r="O422" s="7">
        <v>0</v>
      </c>
      <c r="P422" s="7">
        <v>0</v>
      </c>
      <c r="Q422" s="7">
        <v>0</v>
      </c>
      <c r="R422" s="7">
        <v>0</v>
      </c>
      <c r="S422" s="7">
        <v>0</v>
      </c>
      <c r="T422" s="7">
        <v>0</v>
      </c>
      <c r="U422" s="7">
        <v>0</v>
      </c>
      <c r="V422" s="7">
        <v>0</v>
      </c>
      <c r="W422" s="7">
        <v>0</v>
      </c>
      <c r="X422" s="7">
        <v>0</v>
      </c>
      <c r="Y422" s="7">
        <v>0</v>
      </c>
      <c r="Z422" s="7">
        <v>0</v>
      </c>
      <c r="AA422" s="7">
        <v>0</v>
      </c>
      <c r="AB422" s="7">
        <v>0</v>
      </c>
      <c r="AC422" s="7">
        <v>0</v>
      </c>
      <c r="AD422" s="7">
        <v>0</v>
      </c>
      <c r="AE422" s="7">
        <v>0</v>
      </c>
      <c r="AF422" s="7">
        <v>0</v>
      </c>
      <c r="AG422" s="7">
        <v>0</v>
      </c>
      <c r="AH422" s="7">
        <v>0</v>
      </c>
      <c r="AI422" s="7">
        <v>0</v>
      </c>
      <c r="AJ422" s="7">
        <v>0</v>
      </c>
      <c r="AK422" s="7">
        <v>0</v>
      </c>
      <c r="AL422" s="7">
        <v>0</v>
      </c>
      <c r="AM422" s="7">
        <v>0</v>
      </c>
      <c r="AN422" s="7">
        <v>0</v>
      </c>
      <c r="AO422" s="7">
        <v>0</v>
      </c>
      <c r="AP422" s="7">
        <v>0</v>
      </c>
      <c r="AQ422" s="7">
        <v>0</v>
      </c>
      <c r="AR422" s="7">
        <v>0</v>
      </c>
      <c r="AS422" s="7">
        <v>0</v>
      </c>
      <c r="AT422" s="7">
        <v>0</v>
      </c>
      <c r="AU422" s="7">
        <v>0</v>
      </c>
      <c r="AV422" s="7">
        <v>0</v>
      </c>
      <c r="AW422" s="7">
        <v>0</v>
      </c>
      <c r="AX422" s="7">
        <v>0</v>
      </c>
      <c r="AY422" s="7">
        <v>0</v>
      </c>
      <c r="AZ422" s="7">
        <v>0</v>
      </c>
      <c r="BA422" s="7">
        <v>0</v>
      </c>
      <c r="BB422" s="7">
        <v>0</v>
      </c>
      <c r="BC422" s="7">
        <v>0</v>
      </c>
      <c r="BD422">
        <v>0</v>
      </c>
      <c r="BE422">
        <v>28.87</v>
      </c>
      <c r="BF4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2" s="42" t="str">
        <f>+IF(AVANCE[[#This Row],[FECHA INICIO REAL]]="","",AVANCE[[#This Row],[FECHA INICIO REAL]]-AVANCE[[#This Row],[FECHA INICIO TEORICO]])</f>
        <v/>
      </c>
      <c r="BH4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3" spans="1:61" x14ac:dyDescent="0.25">
      <c r="A423" t="s">
        <v>1253</v>
      </c>
      <c r="B423" t="s">
        <v>1259</v>
      </c>
      <c r="C423">
        <v>2302600422</v>
      </c>
      <c r="D423" t="s">
        <v>834</v>
      </c>
      <c r="E423" s="4">
        <v>0</v>
      </c>
      <c r="F423" s="1">
        <v>46350</v>
      </c>
      <c r="G423" s="1"/>
      <c r="H423" s="1">
        <v>0</v>
      </c>
      <c r="I423" s="1">
        <v>46380</v>
      </c>
      <c r="J423">
        <v>46188</v>
      </c>
      <c r="K423" s="1"/>
      <c r="L423" s="7">
        <v>0</v>
      </c>
      <c r="M423" s="7">
        <v>0</v>
      </c>
      <c r="N423" s="7">
        <v>0</v>
      </c>
      <c r="O423" s="7">
        <v>0</v>
      </c>
      <c r="P423" s="7">
        <v>0</v>
      </c>
      <c r="Q423" s="7">
        <v>0</v>
      </c>
      <c r="R423" s="7">
        <v>0</v>
      </c>
      <c r="S423" s="7">
        <v>0</v>
      </c>
      <c r="T423" s="7">
        <v>0</v>
      </c>
      <c r="U423" s="7">
        <v>0</v>
      </c>
      <c r="V423" s="7">
        <v>0</v>
      </c>
      <c r="W423" s="7">
        <v>0</v>
      </c>
      <c r="X423" s="7">
        <v>0</v>
      </c>
      <c r="Y423" s="7">
        <v>0</v>
      </c>
      <c r="Z423" s="7">
        <v>0</v>
      </c>
      <c r="AA423" s="7">
        <v>0</v>
      </c>
      <c r="AB423" s="7">
        <v>0</v>
      </c>
      <c r="AC423" s="7">
        <v>0</v>
      </c>
      <c r="AD423" s="7">
        <v>0</v>
      </c>
      <c r="AE423" s="7">
        <v>0</v>
      </c>
      <c r="AF423" s="7">
        <v>0</v>
      </c>
      <c r="AG423" s="7">
        <v>0</v>
      </c>
      <c r="AH423" s="7">
        <v>0</v>
      </c>
      <c r="AI423" s="7">
        <v>0</v>
      </c>
      <c r="AJ423" s="7">
        <v>0</v>
      </c>
      <c r="AK423" s="7">
        <v>0</v>
      </c>
      <c r="AL423" s="7">
        <v>0</v>
      </c>
      <c r="AM423" s="7">
        <v>0</v>
      </c>
      <c r="AN423" s="7">
        <v>0</v>
      </c>
      <c r="AO423" s="7">
        <v>0</v>
      </c>
      <c r="AP423" s="7">
        <v>0</v>
      </c>
      <c r="AQ423" s="7">
        <v>0</v>
      </c>
      <c r="AR423" s="7">
        <v>0</v>
      </c>
      <c r="AS423" s="7">
        <v>0</v>
      </c>
      <c r="AT423" s="7">
        <v>0</v>
      </c>
      <c r="AU423" s="7">
        <v>0</v>
      </c>
      <c r="AV423" s="7">
        <v>0</v>
      </c>
      <c r="AW423" s="7">
        <v>0</v>
      </c>
      <c r="AX423" s="7">
        <v>0</v>
      </c>
      <c r="AY423" s="7">
        <v>0</v>
      </c>
      <c r="AZ423" s="7">
        <v>0</v>
      </c>
      <c r="BA423" s="7">
        <v>0</v>
      </c>
      <c r="BB423" s="7">
        <v>0</v>
      </c>
      <c r="BC423" s="7">
        <v>0</v>
      </c>
      <c r="BD423">
        <v>0</v>
      </c>
      <c r="BE423">
        <v>31.32</v>
      </c>
      <c r="BF4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3" s="42" t="str">
        <f>+IF(AVANCE[[#This Row],[FECHA INICIO REAL]]="","",AVANCE[[#This Row],[FECHA INICIO REAL]]-AVANCE[[#This Row],[FECHA INICIO TEORICO]])</f>
        <v/>
      </c>
      <c r="BH4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4" spans="1:61" x14ac:dyDescent="0.25">
      <c r="A424" t="s">
        <v>1253</v>
      </c>
      <c r="B424" t="s">
        <v>1260</v>
      </c>
      <c r="C424">
        <v>2302600423</v>
      </c>
      <c r="D424" t="s">
        <v>834</v>
      </c>
      <c r="E424" s="4">
        <v>0</v>
      </c>
      <c r="F424" s="1">
        <v>46350</v>
      </c>
      <c r="G424" s="1"/>
      <c r="H424" s="1">
        <v>0</v>
      </c>
      <c r="I424" s="1">
        <v>46380</v>
      </c>
      <c r="J424">
        <v>46188</v>
      </c>
      <c r="K424" s="1"/>
      <c r="L424" s="7">
        <v>0</v>
      </c>
      <c r="M424" s="7">
        <v>0</v>
      </c>
      <c r="N424" s="7">
        <v>0</v>
      </c>
      <c r="O424" s="7">
        <v>0</v>
      </c>
      <c r="P424" s="7">
        <v>0</v>
      </c>
      <c r="Q424" s="7">
        <v>0</v>
      </c>
      <c r="R424" s="7">
        <v>0</v>
      </c>
      <c r="S424" s="7">
        <v>0</v>
      </c>
      <c r="T424" s="7">
        <v>0</v>
      </c>
      <c r="U424" s="7">
        <v>0</v>
      </c>
      <c r="V424" s="7">
        <v>0</v>
      </c>
      <c r="W424" s="7">
        <v>0</v>
      </c>
      <c r="X424" s="7">
        <v>0</v>
      </c>
      <c r="Y424" s="7">
        <v>0</v>
      </c>
      <c r="Z424" s="7">
        <v>0</v>
      </c>
      <c r="AA424" s="7">
        <v>0</v>
      </c>
      <c r="AB424" s="7">
        <v>0</v>
      </c>
      <c r="AC424" s="7">
        <v>0</v>
      </c>
      <c r="AD424" s="7">
        <v>0</v>
      </c>
      <c r="AE424" s="7">
        <v>0</v>
      </c>
      <c r="AF424" s="7">
        <v>0</v>
      </c>
      <c r="AG424" s="7">
        <v>0</v>
      </c>
      <c r="AH424" s="7">
        <v>0</v>
      </c>
      <c r="AI424" s="7">
        <v>0</v>
      </c>
      <c r="AJ424" s="7">
        <v>0</v>
      </c>
      <c r="AK424" s="7">
        <v>0</v>
      </c>
      <c r="AL424" s="7">
        <v>0</v>
      </c>
      <c r="AM424" s="7">
        <v>0</v>
      </c>
      <c r="AN424" s="7">
        <v>0</v>
      </c>
      <c r="AO424" s="7">
        <v>0</v>
      </c>
      <c r="AP424" s="7">
        <v>0</v>
      </c>
      <c r="AQ424" s="7">
        <v>0</v>
      </c>
      <c r="AR424" s="7">
        <v>0</v>
      </c>
      <c r="AS424" s="7">
        <v>0</v>
      </c>
      <c r="AT424" s="7">
        <v>0</v>
      </c>
      <c r="AU424" s="7">
        <v>0</v>
      </c>
      <c r="AV424" s="7">
        <v>0</v>
      </c>
      <c r="AW424" s="7">
        <v>0</v>
      </c>
      <c r="AX424" s="7">
        <v>0</v>
      </c>
      <c r="AY424" s="7">
        <v>0</v>
      </c>
      <c r="AZ424" s="7">
        <v>0</v>
      </c>
      <c r="BA424" s="7">
        <v>0</v>
      </c>
      <c r="BB424" s="7">
        <v>0</v>
      </c>
      <c r="BC424" s="7">
        <v>0</v>
      </c>
      <c r="BD424">
        <v>0</v>
      </c>
      <c r="BE424">
        <v>31.32</v>
      </c>
      <c r="BF4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4" s="42" t="str">
        <f>+IF(AVANCE[[#This Row],[FECHA INICIO REAL]]="","",AVANCE[[#This Row],[FECHA INICIO REAL]]-AVANCE[[#This Row],[FECHA INICIO TEORICO]])</f>
        <v/>
      </c>
      <c r="BH4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5" spans="1:61" x14ac:dyDescent="0.25">
      <c r="A425" t="s">
        <v>1253</v>
      </c>
      <c r="B425" t="s">
        <v>1261</v>
      </c>
      <c r="C425">
        <v>2282600424</v>
      </c>
      <c r="D425" t="s">
        <v>833</v>
      </c>
      <c r="E425" s="4">
        <v>0</v>
      </c>
      <c r="F425" s="1">
        <v>46350</v>
      </c>
      <c r="G425" s="1"/>
      <c r="H425" s="1">
        <v>0</v>
      </c>
      <c r="I425" s="1">
        <v>46370</v>
      </c>
      <c r="J425">
        <v>46188</v>
      </c>
      <c r="K425" s="1"/>
      <c r="L425" s="7">
        <v>0</v>
      </c>
      <c r="M425" s="7">
        <v>0</v>
      </c>
      <c r="N425" s="7">
        <v>0</v>
      </c>
      <c r="O425" s="7">
        <v>0</v>
      </c>
      <c r="P425" s="7">
        <v>0</v>
      </c>
      <c r="Q425" s="7">
        <v>0</v>
      </c>
      <c r="R425" s="7">
        <v>0</v>
      </c>
      <c r="S425" s="7">
        <v>0</v>
      </c>
      <c r="T425" s="7">
        <v>0</v>
      </c>
      <c r="U425" s="7">
        <v>0</v>
      </c>
      <c r="V425" s="7">
        <v>0</v>
      </c>
      <c r="W425" s="7">
        <v>0</v>
      </c>
      <c r="X425" s="7">
        <v>0</v>
      </c>
      <c r="Y425" s="7">
        <v>0</v>
      </c>
      <c r="Z425" s="7">
        <v>0</v>
      </c>
      <c r="AA425" s="7">
        <v>0</v>
      </c>
      <c r="AB425" s="7">
        <v>0</v>
      </c>
      <c r="AC425" s="7">
        <v>0</v>
      </c>
      <c r="AD425" s="7">
        <v>0</v>
      </c>
      <c r="AE425" s="7">
        <v>0</v>
      </c>
      <c r="AF425" s="7">
        <v>0</v>
      </c>
      <c r="AG425" s="7">
        <v>0</v>
      </c>
      <c r="AH425" s="7">
        <v>0</v>
      </c>
      <c r="AI425" s="7">
        <v>0</v>
      </c>
      <c r="AJ425" s="7">
        <v>0</v>
      </c>
      <c r="AK425" s="7">
        <v>0</v>
      </c>
      <c r="AL425" s="7">
        <v>0</v>
      </c>
      <c r="AM425" s="7">
        <v>0</v>
      </c>
      <c r="AN425" s="7">
        <v>0</v>
      </c>
      <c r="AO425" s="7">
        <v>0</v>
      </c>
      <c r="AP425" s="7">
        <v>0</v>
      </c>
      <c r="AQ425" s="7">
        <v>0</v>
      </c>
      <c r="AR425" s="7">
        <v>0</v>
      </c>
      <c r="AS425" s="7">
        <v>0</v>
      </c>
      <c r="AT425" s="7">
        <v>0</v>
      </c>
      <c r="AU425" s="7">
        <v>0</v>
      </c>
      <c r="AV425" s="7">
        <v>0</v>
      </c>
      <c r="AW425" s="7">
        <v>0</v>
      </c>
      <c r="AX425" s="7">
        <v>0</v>
      </c>
      <c r="AY425" s="7">
        <v>0</v>
      </c>
      <c r="AZ425" s="7">
        <v>0</v>
      </c>
      <c r="BA425" s="7">
        <v>0</v>
      </c>
      <c r="BB425" s="7">
        <v>0</v>
      </c>
      <c r="BC425" s="7">
        <v>0</v>
      </c>
      <c r="BD425">
        <v>0</v>
      </c>
      <c r="BE425">
        <v>28.87</v>
      </c>
      <c r="BF4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5" s="42" t="str">
        <f>+IF(AVANCE[[#This Row],[FECHA INICIO REAL]]="","",AVANCE[[#This Row],[FECHA INICIO REAL]]-AVANCE[[#This Row],[FECHA INICIO TEORICO]])</f>
        <v/>
      </c>
      <c r="BH4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6" spans="1:61" x14ac:dyDescent="0.25">
      <c r="A426" t="s">
        <v>1253</v>
      </c>
      <c r="B426" t="s">
        <v>1262</v>
      </c>
      <c r="C426">
        <v>2282600425</v>
      </c>
      <c r="D426" t="s">
        <v>833</v>
      </c>
      <c r="E426" s="4">
        <v>0</v>
      </c>
      <c r="F426" s="1">
        <v>46351</v>
      </c>
      <c r="G426" s="1"/>
      <c r="H426" s="1">
        <v>0</v>
      </c>
      <c r="I426" s="1">
        <v>46371</v>
      </c>
      <c r="J426">
        <v>46188</v>
      </c>
      <c r="K426" s="1"/>
      <c r="L426" s="7">
        <v>0</v>
      </c>
      <c r="M426" s="7">
        <v>0</v>
      </c>
      <c r="N426" s="7">
        <v>0</v>
      </c>
      <c r="O426" s="7">
        <v>0</v>
      </c>
      <c r="P426" s="7">
        <v>0</v>
      </c>
      <c r="Q426" s="7">
        <v>0</v>
      </c>
      <c r="R426" s="7">
        <v>0</v>
      </c>
      <c r="S426" s="7">
        <v>0</v>
      </c>
      <c r="T426" s="7">
        <v>0</v>
      </c>
      <c r="U426" s="7">
        <v>0</v>
      </c>
      <c r="V426" s="7">
        <v>0</v>
      </c>
      <c r="W426" s="7">
        <v>0</v>
      </c>
      <c r="X426" s="7">
        <v>0</v>
      </c>
      <c r="Y426" s="7">
        <v>0</v>
      </c>
      <c r="Z426" s="7">
        <v>0</v>
      </c>
      <c r="AA426" s="7">
        <v>0</v>
      </c>
      <c r="AB426" s="7">
        <v>0</v>
      </c>
      <c r="AC426" s="7">
        <v>0</v>
      </c>
      <c r="AD426" s="7">
        <v>0</v>
      </c>
      <c r="AE426" s="7">
        <v>0</v>
      </c>
      <c r="AF426" s="7">
        <v>0</v>
      </c>
      <c r="AG426" s="7">
        <v>0</v>
      </c>
      <c r="AH426" s="7">
        <v>0</v>
      </c>
      <c r="AI426" s="7">
        <v>0</v>
      </c>
      <c r="AJ426" s="7">
        <v>0</v>
      </c>
      <c r="AK426" s="7">
        <v>0</v>
      </c>
      <c r="AL426" s="7">
        <v>0</v>
      </c>
      <c r="AM426" s="7">
        <v>0</v>
      </c>
      <c r="AN426" s="7">
        <v>0</v>
      </c>
      <c r="AO426" s="7">
        <v>0</v>
      </c>
      <c r="AP426" s="7">
        <v>0</v>
      </c>
      <c r="AQ426" s="7">
        <v>0</v>
      </c>
      <c r="AR426" s="7">
        <v>0</v>
      </c>
      <c r="AS426" s="7">
        <v>0</v>
      </c>
      <c r="AT426" s="7">
        <v>0</v>
      </c>
      <c r="AU426" s="7">
        <v>0</v>
      </c>
      <c r="AV426" s="7">
        <v>0</v>
      </c>
      <c r="AW426" s="7">
        <v>0</v>
      </c>
      <c r="AX426" s="7">
        <v>0</v>
      </c>
      <c r="AY426" s="7">
        <v>0</v>
      </c>
      <c r="AZ426" s="7">
        <v>0</v>
      </c>
      <c r="BA426" s="7">
        <v>0</v>
      </c>
      <c r="BB426" s="7">
        <v>0</v>
      </c>
      <c r="BC426" s="7">
        <v>0</v>
      </c>
      <c r="BD426">
        <v>0</v>
      </c>
      <c r="BE426">
        <v>28.87</v>
      </c>
      <c r="BF4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6" s="42" t="str">
        <f>+IF(AVANCE[[#This Row],[FECHA INICIO REAL]]="","",AVANCE[[#This Row],[FECHA INICIO REAL]]-AVANCE[[#This Row],[FECHA INICIO TEORICO]])</f>
        <v/>
      </c>
      <c r="BH4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7" spans="1:61" x14ac:dyDescent="0.25">
      <c r="A427" t="s">
        <v>1253</v>
      </c>
      <c r="B427" t="s">
        <v>1263</v>
      </c>
      <c r="C427">
        <v>2302600426</v>
      </c>
      <c r="D427" t="s">
        <v>834</v>
      </c>
      <c r="E427" s="4">
        <v>0</v>
      </c>
      <c r="F427" s="1">
        <v>46351</v>
      </c>
      <c r="G427" s="1"/>
      <c r="H427" s="1">
        <v>0</v>
      </c>
      <c r="I427" s="1">
        <v>46381</v>
      </c>
      <c r="J427">
        <v>46188</v>
      </c>
      <c r="K427" s="1"/>
      <c r="L427" s="7">
        <v>0</v>
      </c>
      <c r="M427" s="7">
        <v>0</v>
      </c>
      <c r="N427" s="7">
        <v>0</v>
      </c>
      <c r="O427" s="7">
        <v>0</v>
      </c>
      <c r="P427" s="7">
        <v>0</v>
      </c>
      <c r="Q427" s="7">
        <v>0</v>
      </c>
      <c r="R427" s="7">
        <v>0</v>
      </c>
      <c r="S427" s="7">
        <v>0</v>
      </c>
      <c r="T427" s="7">
        <v>0</v>
      </c>
      <c r="U427" s="7">
        <v>0</v>
      </c>
      <c r="V427" s="7">
        <v>0</v>
      </c>
      <c r="W427" s="7">
        <v>0</v>
      </c>
      <c r="X427" s="7">
        <v>0</v>
      </c>
      <c r="Y427" s="7">
        <v>0</v>
      </c>
      <c r="Z427" s="7">
        <v>0</v>
      </c>
      <c r="AA427" s="7">
        <v>0</v>
      </c>
      <c r="AB427" s="7">
        <v>0</v>
      </c>
      <c r="AC427" s="7">
        <v>0</v>
      </c>
      <c r="AD427" s="7">
        <v>0</v>
      </c>
      <c r="AE427" s="7">
        <v>0</v>
      </c>
      <c r="AF427" s="7">
        <v>0</v>
      </c>
      <c r="AG427" s="7">
        <v>0</v>
      </c>
      <c r="AH427" s="7">
        <v>0</v>
      </c>
      <c r="AI427" s="7">
        <v>0</v>
      </c>
      <c r="AJ427" s="7">
        <v>0</v>
      </c>
      <c r="AK427" s="7">
        <v>0</v>
      </c>
      <c r="AL427" s="7">
        <v>0</v>
      </c>
      <c r="AM427" s="7">
        <v>0</v>
      </c>
      <c r="AN427" s="7">
        <v>0</v>
      </c>
      <c r="AO427" s="7">
        <v>0</v>
      </c>
      <c r="AP427" s="7">
        <v>0</v>
      </c>
      <c r="AQ427" s="7">
        <v>0</v>
      </c>
      <c r="AR427" s="7">
        <v>0</v>
      </c>
      <c r="AS427" s="7">
        <v>0</v>
      </c>
      <c r="AT427" s="7">
        <v>0</v>
      </c>
      <c r="AU427" s="7">
        <v>0</v>
      </c>
      <c r="AV427" s="7">
        <v>0</v>
      </c>
      <c r="AW427" s="7">
        <v>0</v>
      </c>
      <c r="AX427" s="7">
        <v>0</v>
      </c>
      <c r="AY427" s="7">
        <v>0</v>
      </c>
      <c r="AZ427" s="7">
        <v>0</v>
      </c>
      <c r="BA427" s="7">
        <v>0</v>
      </c>
      <c r="BB427" s="7">
        <v>0</v>
      </c>
      <c r="BC427" s="7">
        <v>0</v>
      </c>
      <c r="BD427">
        <v>0</v>
      </c>
      <c r="BE427">
        <v>31.32</v>
      </c>
      <c r="BF4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7" s="42" t="str">
        <f>+IF(AVANCE[[#This Row],[FECHA INICIO REAL]]="","",AVANCE[[#This Row],[FECHA INICIO REAL]]-AVANCE[[#This Row],[FECHA INICIO TEORICO]])</f>
        <v/>
      </c>
      <c r="BH4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8" spans="1:61" x14ac:dyDescent="0.25">
      <c r="A428" t="s">
        <v>1253</v>
      </c>
      <c r="B428" t="s">
        <v>1264</v>
      </c>
      <c r="C428">
        <v>2302600427</v>
      </c>
      <c r="D428" t="s">
        <v>834</v>
      </c>
      <c r="E428" s="4">
        <v>0</v>
      </c>
      <c r="F428" s="1">
        <v>46351</v>
      </c>
      <c r="G428" s="1"/>
      <c r="H428" s="1">
        <v>0</v>
      </c>
      <c r="I428" s="1">
        <v>46381</v>
      </c>
      <c r="J428">
        <v>46188</v>
      </c>
      <c r="K428" s="1"/>
      <c r="L428" s="7">
        <v>0</v>
      </c>
      <c r="M428" s="7">
        <v>0</v>
      </c>
      <c r="N428" s="7">
        <v>0</v>
      </c>
      <c r="O428" s="7">
        <v>0</v>
      </c>
      <c r="P428" s="7">
        <v>0</v>
      </c>
      <c r="Q428" s="7">
        <v>0</v>
      </c>
      <c r="R428" s="7">
        <v>0</v>
      </c>
      <c r="S428" s="7">
        <v>0</v>
      </c>
      <c r="T428" s="7">
        <v>0</v>
      </c>
      <c r="U428" s="7">
        <v>0</v>
      </c>
      <c r="V428" s="7">
        <v>0</v>
      </c>
      <c r="W428" s="7">
        <v>0</v>
      </c>
      <c r="X428" s="7">
        <v>0</v>
      </c>
      <c r="Y428" s="7">
        <v>0</v>
      </c>
      <c r="Z428" s="7">
        <v>0</v>
      </c>
      <c r="AA428" s="7">
        <v>0</v>
      </c>
      <c r="AB428" s="7">
        <v>0</v>
      </c>
      <c r="AC428" s="7">
        <v>0</v>
      </c>
      <c r="AD428" s="7">
        <v>0</v>
      </c>
      <c r="AE428" s="7">
        <v>0</v>
      </c>
      <c r="AF428" s="7">
        <v>0</v>
      </c>
      <c r="AG428" s="7">
        <v>0</v>
      </c>
      <c r="AH428" s="7">
        <v>0</v>
      </c>
      <c r="AI428" s="7">
        <v>0</v>
      </c>
      <c r="AJ428" s="7">
        <v>0</v>
      </c>
      <c r="AK428" s="7">
        <v>0</v>
      </c>
      <c r="AL428" s="7">
        <v>0</v>
      </c>
      <c r="AM428" s="7">
        <v>0</v>
      </c>
      <c r="AN428" s="7">
        <v>0</v>
      </c>
      <c r="AO428" s="7">
        <v>0</v>
      </c>
      <c r="AP428" s="7">
        <v>0</v>
      </c>
      <c r="AQ428" s="7">
        <v>0</v>
      </c>
      <c r="AR428" s="7">
        <v>0</v>
      </c>
      <c r="AS428" s="7">
        <v>0</v>
      </c>
      <c r="AT428" s="7">
        <v>0</v>
      </c>
      <c r="AU428" s="7">
        <v>0</v>
      </c>
      <c r="AV428" s="7">
        <v>0</v>
      </c>
      <c r="AW428" s="7">
        <v>0</v>
      </c>
      <c r="AX428" s="7">
        <v>0</v>
      </c>
      <c r="AY428" s="7">
        <v>0</v>
      </c>
      <c r="AZ428" s="7">
        <v>0</v>
      </c>
      <c r="BA428" s="7">
        <v>0</v>
      </c>
      <c r="BB428" s="7">
        <v>0</v>
      </c>
      <c r="BC428" s="7">
        <v>0</v>
      </c>
      <c r="BD428">
        <v>0</v>
      </c>
      <c r="BE428">
        <v>31.32</v>
      </c>
      <c r="BF4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8" s="42" t="str">
        <f>+IF(AVANCE[[#This Row],[FECHA INICIO REAL]]="","",AVANCE[[#This Row],[FECHA INICIO REAL]]-AVANCE[[#This Row],[FECHA INICIO TEORICO]])</f>
        <v/>
      </c>
      <c r="BH4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9" spans="1:61" x14ac:dyDescent="0.25">
      <c r="A429" t="s">
        <v>1253</v>
      </c>
      <c r="B429" t="s">
        <v>1265</v>
      </c>
      <c r="C429">
        <v>2282600428</v>
      </c>
      <c r="D429" t="s">
        <v>833</v>
      </c>
      <c r="E429" s="4">
        <v>0</v>
      </c>
      <c r="F429" s="1">
        <v>46352</v>
      </c>
      <c r="G429" s="1"/>
      <c r="H429" s="1">
        <v>0</v>
      </c>
      <c r="I429" s="1">
        <v>46372</v>
      </c>
      <c r="J429">
        <v>46188</v>
      </c>
      <c r="K429" s="1"/>
      <c r="L429" s="7">
        <v>0</v>
      </c>
      <c r="M429" s="7">
        <v>0</v>
      </c>
      <c r="N429" s="7">
        <v>0</v>
      </c>
      <c r="O429" s="7">
        <v>0</v>
      </c>
      <c r="P429" s="7">
        <v>0</v>
      </c>
      <c r="Q429" s="7">
        <v>0</v>
      </c>
      <c r="R429" s="7">
        <v>0</v>
      </c>
      <c r="S429" s="7">
        <v>0</v>
      </c>
      <c r="T429" s="7">
        <v>0</v>
      </c>
      <c r="U429" s="7">
        <v>0</v>
      </c>
      <c r="V429" s="7">
        <v>0</v>
      </c>
      <c r="W429" s="7">
        <v>0</v>
      </c>
      <c r="X429" s="7">
        <v>0</v>
      </c>
      <c r="Y429" s="7">
        <v>0</v>
      </c>
      <c r="Z429" s="7">
        <v>0</v>
      </c>
      <c r="AA429" s="7">
        <v>0</v>
      </c>
      <c r="AB429" s="7">
        <v>0</v>
      </c>
      <c r="AC429" s="7">
        <v>0</v>
      </c>
      <c r="AD429" s="7">
        <v>0</v>
      </c>
      <c r="AE429" s="7">
        <v>0</v>
      </c>
      <c r="AF429" s="7">
        <v>0</v>
      </c>
      <c r="AG429" s="7">
        <v>0</v>
      </c>
      <c r="AH429" s="7">
        <v>0</v>
      </c>
      <c r="AI429" s="7">
        <v>0</v>
      </c>
      <c r="AJ429" s="7">
        <v>0</v>
      </c>
      <c r="AK429" s="7">
        <v>0</v>
      </c>
      <c r="AL429" s="7">
        <v>0</v>
      </c>
      <c r="AM429" s="7">
        <v>0</v>
      </c>
      <c r="AN429" s="7">
        <v>0</v>
      </c>
      <c r="AO429" s="7">
        <v>0</v>
      </c>
      <c r="AP429" s="7">
        <v>0</v>
      </c>
      <c r="AQ429" s="7">
        <v>0</v>
      </c>
      <c r="AR429" s="7">
        <v>0</v>
      </c>
      <c r="AS429" s="7">
        <v>0</v>
      </c>
      <c r="AT429" s="7">
        <v>0</v>
      </c>
      <c r="AU429" s="7">
        <v>0</v>
      </c>
      <c r="AV429" s="7">
        <v>0</v>
      </c>
      <c r="AW429" s="7">
        <v>0</v>
      </c>
      <c r="AX429" s="7">
        <v>0</v>
      </c>
      <c r="AY429" s="7">
        <v>0</v>
      </c>
      <c r="AZ429" s="7">
        <v>0</v>
      </c>
      <c r="BA429" s="7">
        <v>0</v>
      </c>
      <c r="BB429" s="7">
        <v>0</v>
      </c>
      <c r="BC429" s="7">
        <v>0</v>
      </c>
      <c r="BD429">
        <v>0</v>
      </c>
      <c r="BE429">
        <v>28.87</v>
      </c>
      <c r="BF4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9" s="42" t="str">
        <f>+IF(AVANCE[[#This Row],[FECHA INICIO REAL]]="","",AVANCE[[#This Row],[FECHA INICIO REAL]]-AVANCE[[#This Row],[FECHA INICIO TEORICO]])</f>
        <v/>
      </c>
      <c r="BH4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0" spans="1:61" x14ac:dyDescent="0.25">
      <c r="A430" t="s">
        <v>1253</v>
      </c>
      <c r="B430" t="s">
        <v>1266</v>
      </c>
      <c r="C430">
        <v>2282600429</v>
      </c>
      <c r="D430" t="s">
        <v>833</v>
      </c>
      <c r="E430" s="4">
        <v>0</v>
      </c>
      <c r="F430" s="1">
        <v>46352</v>
      </c>
      <c r="G430" s="1"/>
      <c r="H430" s="1">
        <v>0</v>
      </c>
      <c r="I430" s="1">
        <v>46372</v>
      </c>
      <c r="J430">
        <v>46188</v>
      </c>
      <c r="K430" s="1"/>
      <c r="L430" s="7">
        <v>0</v>
      </c>
      <c r="M430" s="7">
        <v>0</v>
      </c>
      <c r="N430" s="7">
        <v>0</v>
      </c>
      <c r="O430" s="7">
        <v>0</v>
      </c>
      <c r="P430" s="7">
        <v>0</v>
      </c>
      <c r="Q430" s="7">
        <v>0</v>
      </c>
      <c r="R430" s="7">
        <v>0</v>
      </c>
      <c r="S430" s="7">
        <v>0</v>
      </c>
      <c r="T430" s="7">
        <v>0</v>
      </c>
      <c r="U430" s="7">
        <v>0</v>
      </c>
      <c r="V430" s="7">
        <v>0</v>
      </c>
      <c r="W430" s="7">
        <v>0</v>
      </c>
      <c r="X430" s="7">
        <v>0</v>
      </c>
      <c r="Y430" s="7">
        <v>0</v>
      </c>
      <c r="Z430" s="7">
        <v>0</v>
      </c>
      <c r="AA430" s="7">
        <v>0</v>
      </c>
      <c r="AB430" s="7">
        <v>0</v>
      </c>
      <c r="AC430" s="7">
        <v>0</v>
      </c>
      <c r="AD430" s="7">
        <v>0</v>
      </c>
      <c r="AE430" s="7">
        <v>0</v>
      </c>
      <c r="AF430" s="7">
        <v>0</v>
      </c>
      <c r="AG430" s="7">
        <v>0</v>
      </c>
      <c r="AH430" s="7">
        <v>0</v>
      </c>
      <c r="AI430" s="7">
        <v>0</v>
      </c>
      <c r="AJ430" s="7">
        <v>0</v>
      </c>
      <c r="AK430" s="7">
        <v>0</v>
      </c>
      <c r="AL430" s="7">
        <v>0</v>
      </c>
      <c r="AM430" s="7">
        <v>0</v>
      </c>
      <c r="AN430" s="7">
        <v>0</v>
      </c>
      <c r="AO430" s="7">
        <v>0</v>
      </c>
      <c r="AP430" s="7">
        <v>0</v>
      </c>
      <c r="AQ430" s="7">
        <v>0</v>
      </c>
      <c r="AR430" s="7">
        <v>0</v>
      </c>
      <c r="AS430" s="7">
        <v>0</v>
      </c>
      <c r="AT430" s="7">
        <v>0</v>
      </c>
      <c r="AU430" s="7">
        <v>0</v>
      </c>
      <c r="AV430" s="7">
        <v>0</v>
      </c>
      <c r="AW430" s="7">
        <v>0</v>
      </c>
      <c r="AX430" s="7">
        <v>0</v>
      </c>
      <c r="AY430" s="7">
        <v>0</v>
      </c>
      <c r="AZ430" s="7">
        <v>0</v>
      </c>
      <c r="BA430" s="7">
        <v>0</v>
      </c>
      <c r="BB430" s="7">
        <v>0</v>
      </c>
      <c r="BC430" s="7">
        <v>0</v>
      </c>
      <c r="BD430">
        <v>0</v>
      </c>
      <c r="BE430">
        <v>28.87</v>
      </c>
      <c r="BF4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0" s="42" t="str">
        <f>+IF(AVANCE[[#This Row],[FECHA INICIO REAL]]="","",AVANCE[[#This Row],[FECHA INICIO REAL]]-AVANCE[[#This Row],[FECHA INICIO TEORICO]])</f>
        <v/>
      </c>
      <c r="BH4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1" spans="1:61" x14ac:dyDescent="0.25">
      <c r="A431" t="s">
        <v>1253</v>
      </c>
      <c r="B431" t="s">
        <v>1267</v>
      </c>
      <c r="C431">
        <v>2302600430</v>
      </c>
      <c r="D431" t="s">
        <v>834</v>
      </c>
      <c r="E431" s="4">
        <v>0</v>
      </c>
      <c r="F431" s="1">
        <v>46352</v>
      </c>
      <c r="G431" s="1"/>
      <c r="H431" s="1">
        <v>0</v>
      </c>
      <c r="I431" s="1">
        <v>46382</v>
      </c>
      <c r="J431">
        <v>46188</v>
      </c>
      <c r="K431" s="1"/>
      <c r="L431" s="7">
        <v>0</v>
      </c>
      <c r="M431" s="7">
        <v>0</v>
      </c>
      <c r="N431" s="7">
        <v>0</v>
      </c>
      <c r="O431" s="7">
        <v>0</v>
      </c>
      <c r="P431" s="7">
        <v>0</v>
      </c>
      <c r="Q431" s="7">
        <v>0</v>
      </c>
      <c r="R431" s="7">
        <v>0</v>
      </c>
      <c r="S431" s="7">
        <v>0</v>
      </c>
      <c r="T431" s="7">
        <v>0</v>
      </c>
      <c r="U431" s="7">
        <v>0</v>
      </c>
      <c r="V431" s="7">
        <v>0</v>
      </c>
      <c r="W431" s="7">
        <v>0</v>
      </c>
      <c r="X431" s="7">
        <v>0</v>
      </c>
      <c r="Y431" s="7">
        <v>0</v>
      </c>
      <c r="Z431" s="7">
        <v>0</v>
      </c>
      <c r="AA431" s="7">
        <v>0</v>
      </c>
      <c r="AB431" s="7">
        <v>0</v>
      </c>
      <c r="AC431" s="7">
        <v>0</v>
      </c>
      <c r="AD431" s="7">
        <v>0</v>
      </c>
      <c r="AE431" s="7">
        <v>0</v>
      </c>
      <c r="AF431" s="7">
        <v>0</v>
      </c>
      <c r="AG431" s="7">
        <v>0</v>
      </c>
      <c r="AH431" s="7">
        <v>0</v>
      </c>
      <c r="AI431" s="7">
        <v>0</v>
      </c>
      <c r="AJ431" s="7">
        <v>0</v>
      </c>
      <c r="AK431" s="7">
        <v>0</v>
      </c>
      <c r="AL431" s="7">
        <v>0</v>
      </c>
      <c r="AM431" s="7">
        <v>0</v>
      </c>
      <c r="AN431" s="7">
        <v>0</v>
      </c>
      <c r="AO431" s="7">
        <v>0</v>
      </c>
      <c r="AP431" s="7">
        <v>0</v>
      </c>
      <c r="AQ431" s="7">
        <v>0</v>
      </c>
      <c r="AR431" s="7">
        <v>0</v>
      </c>
      <c r="AS431" s="7">
        <v>0</v>
      </c>
      <c r="AT431" s="7">
        <v>0</v>
      </c>
      <c r="AU431" s="7">
        <v>0</v>
      </c>
      <c r="AV431" s="7">
        <v>0</v>
      </c>
      <c r="AW431" s="7">
        <v>0</v>
      </c>
      <c r="AX431" s="7">
        <v>0</v>
      </c>
      <c r="AY431" s="7">
        <v>0</v>
      </c>
      <c r="AZ431" s="7">
        <v>0</v>
      </c>
      <c r="BA431" s="7">
        <v>0</v>
      </c>
      <c r="BB431" s="7">
        <v>0</v>
      </c>
      <c r="BC431" s="7">
        <v>0</v>
      </c>
      <c r="BD431">
        <v>0</v>
      </c>
      <c r="BE431">
        <v>31.32</v>
      </c>
      <c r="BF4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1" s="42" t="str">
        <f>+IF(AVANCE[[#This Row],[FECHA INICIO REAL]]="","",AVANCE[[#This Row],[FECHA INICIO REAL]]-AVANCE[[#This Row],[FECHA INICIO TEORICO]])</f>
        <v/>
      </c>
      <c r="BH4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2" spans="1:61" x14ac:dyDescent="0.25">
      <c r="A432" t="s">
        <v>1253</v>
      </c>
      <c r="B432" t="s">
        <v>1268</v>
      </c>
      <c r="C432">
        <v>2302600431</v>
      </c>
      <c r="D432" t="s">
        <v>834</v>
      </c>
      <c r="E432" s="4">
        <v>0</v>
      </c>
      <c r="F432" s="1">
        <v>46353</v>
      </c>
      <c r="G432" s="1"/>
      <c r="H432" s="1">
        <v>0</v>
      </c>
      <c r="I432" s="1">
        <v>46383</v>
      </c>
      <c r="J432">
        <v>46188</v>
      </c>
      <c r="K432" s="1"/>
      <c r="L432" s="7">
        <v>0</v>
      </c>
      <c r="M432" s="7">
        <v>0</v>
      </c>
      <c r="N432" s="7">
        <v>0</v>
      </c>
      <c r="O432" s="7">
        <v>0</v>
      </c>
      <c r="P432" s="7">
        <v>0</v>
      </c>
      <c r="Q432" s="7">
        <v>0</v>
      </c>
      <c r="R432" s="7">
        <v>0</v>
      </c>
      <c r="S432" s="7">
        <v>0</v>
      </c>
      <c r="T432" s="7">
        <v>0</v>
      </c>
      <c r="U432" s="7">
        <v>0</v>
      </c>
      <c r="V432" s="7">
        <v>0</v>
      </c>
      <c r="W432" s="7">
        <v>0</v>
      </c>
      <c r="X432" s="7">
        <v>0</v>
      </c>
      <c r="Y432" s="7">
        <v>0</v>
      </c>
      <c r="Z432" s="7">
        <v>0</v>
      </c>
      <c r="AA432" s="7">
        <v>0</v>
      </c>
      <c r="AB432" s="7">
        <v>0</v>
      </c>
      <c r="AC432" s="7">
        <v>0</v>
      </c>
      <c r="AD432" s="7">
        <v>0</v>
      </c>
      <c r="AE432" s="7">
        <v>0</v>
      </c>
      <c r="AF432" s="7">
        <v>0</v>
      </c>
      <c r="AG432" s="7">
        <v>0</v>
      </c>
      <c r="AH432" s="7">
        <v>0</v>
      </c>
      <c r="AI432" s="7">
        <v>0</v>
      </c>
      <c r="AJ432" s="7">
        <v>0</v>
      </c>
      <c r="AK432" s="7">
        <v>0</v>
      </c>
      <c r="AL432" s="7">
        <v>0</v>
      </c>
      <c r="AM432" s="7">
        <v>0</v>
      </c>
      <c r="AN432" s="7">
        <v>0</v>
      </c>
      <c r="AO432" s="7">
        <v>0</v>
      </c>
      <c r="AP432" s="7">
        <v>0</v>
      </c>
      <c r="AQ432" s="7">
        <v>0</v>
      </c>
      <c r="AR432" s="7">
        <v>0</v>
      </c>
      <c r="AS432" s="7">
        <v>0</v>
      </c>
      <c r="AT432" s="7">
        <v>0</v>
      </c>
      <c r="AU432" s="7">
        <v>0</v>
      </c>
      <c r="AV432" s="7">
        <v>0</v>
      </c>
      <c r="AW432" s="7">
        <v>0</v>
      </c>
      <c r="AX432" s="7">
        <v>0</v>
      </c>
      <c r="AY432" s="7">
        <v>0</v>
      </c>
      <c r="AZ432" s="7">
        <v>0</v>
      </c>
      <c r="BA432" s="7">
        <v>0</v>
      </c>
      <c r="BB432" s="7">
        <v>0</v>
      </c>
      <c r="BC432" s="7">
        <v>0</v>
      </c>
      <c r="BD432">
        <v>0</v>
      </c>
      <c r="BE432">
        <v>31.32</v>
      </c>
      <c r="BF4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2" s="42" t="str">
        <f>+IF(AVANCE[[#This Row],[FECHA INICIO REAL]]="","",AVANCE[[#This Row],[FECHA INICIO REAL]]-AVANCE[[#This Row],[FECHA INICIO TEORICO]])</f>
        <v/>
      </c>
      <c r="BH4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3" spans="1:61" x14ac:dyDescent="0.25">
      <c r="A433" t="s">
        <v>1253</v>
      </c>
      <c r="B433" t="s">
        <v>1269</v>
      </c>
      <c r="C433">
        <v>2282600432</v>
      </c>
      <c r="D433" t="s">
        <v>833</v>
      </c>
      <c r="E433" s="4">
        <v>0</v>
      </c>
      <c r="F433" s="1">
        <v>46353</v>
      </c>
      <c r="G433" s="1"/>
      <c r="H433" s="1">
        <v>0</v>
      </c>
      <c r="I433" s="1">
        <v>46373</v>
      </c>
      <c r="J433">
        <v>46188</v>
      </c>
      <c r="K433" s="1"/>
      <c r="L433" s="7">
        <v>0</v>
      </c>
      <c r="M433" s="7">
        <v>0</v>
      </c>
      <c r="N433" s="7">
        <v>0</v>
      </c>
      <c r="O433" s="7">
        <v>0</v>
      </c>
      <c r="P433" s="7">
        <v>0</v>
      </c>
      <c r="Q433" s="7">
        <v>0</v>
      </c>
      <c r="R433" s="7">
        <v>0</v>
      </c>
      <c r="S433" s="7">
        <v>0</v>
      </c>
      <c r="T433" s="7">
        <v>0</v>
      </c>
      <c r="U433" s="7">
        <v>0</v>
      </c>
      <c r="V433" s="7">
        <v>0</v>
      </c>
      <c r="W433" s="7">
        <v>0</v>
      </c>
      <c r="X433" s="7">
        <v>0</v>
      </c>
      <c r="Y433" s="7">
        <v>0</v>
      </c>
      <c r="Z433" s="7">
        <v>0</v>
      </c>
      <c r="AA433" s="7">
        <v>0</v>
      </c>
      <c r="AB433" s="7">
        <v>0</v>
      </c>
      <c r="AC433" s="7">
        <v>0</v>
      </c>
      <c r="AD433" s="7">
        <v>0</v>
      </c>
      <c r="AE433" s="7">
        <v>0</v>
      </c>
      <c r="AF433" s="7">
        <v>0</v>
      </c>
      <c r="AG433" s="7">
        <v>0</v>
      </c>
      <c r="AH433" s="7">
        <v>0</v>
      </c>
      <c r="AI433" s="7">
        <v>0</v>
      </c>
      <c r="AJ433" s="7">
        <v>0</v>
      </c>
      <c r="AK433" s="7">
        <v>0</v>
      </c>
      <c r="AL433" s="7">
        <v>0</v>
      </c>
      <c r="AM433" s="7">
        <v>0</v>
      </c>
      <c r="AN433" s="7">
        <v>0</v>
      </c>
      <c r="AO433" s="7">
        <v>0</v>
      </c>
      <c r="AP433" s="7">
        <v>0</v>
      </c>
      <c r="AQ433" s="7">
        <v>0</v>
      </c>
      <c r="AR433" s="7">
        <v>0</v>
      </c>
      <c r="AS433" s="7">
        <v>0</v>
      </c>
      <c r="AT433" s="7">
        <v>0</v>
      </c>
      <c r="AU433" s="7">
        <v>0</v>
      </c>
      <c r="AV433" s="7">
        <v>0</v>
      </c>
      <c r="AW433" s="7">
        <v>0</v>
      </c>
      <c r="AX433" s="7">
        <v>0</v>
      </c>
      <c r="AY433" s="7">
        <v>0</v>
      </c>
      <c r="AZ433" s="7">
        <v>0</v>
      </c>
      <c r="BA433" s="7">
        <v>0</v>
      </c>
      <c r="BB433" s="7">
        <v>0</v>
      </c>
      <c r="BC433" s="7">
        <v>0</v>
      </c>
      <c r="BD433">
        <v>0</v>
      </c>
      <c r="BE433">
        <v>28.87</v>
      </c>
      <c r="BF4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3" s="42" t="str">
        <f>+IF(AVANCE[[#This Row],[FECHA INICIO REAL]]="","",AVANCE[[#This Row],[FECHA INICIO REAL]]-AVANCE[[#This Row],[FECHA INICIO TEORICO]])</f>
        <v/>
      </c>
      <c r="BH4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4" spans="1:61" x14ac:dyDescent="0.25">
      <c r="A434" t="s">
        <v>1253</v>
      </c>
      <c r="B434" t="s">
        <v>1270</v>
      </c>
      <c r="C434">
        <v>2282600433</v>
      </c>
      <c r="D434" t="s">
        <v>833</v>
      </c>
      <c r="E434" s="4">
        <v>0</v>
      </c>
      <c r="F434" s="1">
        <v>46353</v>
      </c>
      <c r="G434" s="1"/>
      <c r="H434" s="1">
        <v>0</v>
      </c>
      <c r="I434" s="1">
        <v>46373</v>
      </c>
      <c r="J434">
        <v>46188</v>
      </c>
      <c r="K434" s="1"/>
      <c r="L434" s="7">
        <v>0</v>
      </c>
      <c r="M434" s="7">
        <v>0</v>
      </c>
      <c r="N434" s="7">
        <v>0</v>
      </c>
      <c r="O434" s="7">
        <v>0</v>
      </c>
      <c r="P434" s="7">
        <v>0</v>
      </c>
      <c r="Q434" s="7">
        <v>0</v>
      </c>
      <c r="R434" s="7">
        <v>0</v>
      </c>
      <c r="S434" s="7">
        <v>0</v>
      </c>
      <c r="T434" s="7">
        <v>0</v>
      </c>
      <c r="U434" s="7">
        <v>0</v>
      </c>
      <c r="V434" s="7">
        <v>0</v>
      </c>
      <c r="W434" s="7">
        <v>0</v>
      </c>
      <c r="X434" s="7">
        <v>0</v>
      </c>
      <c r="Y434" s="7">
        <v>0</v>
      </c>
      <c r="Z434" s="7">
        <v>0</v>
      </c>
      <c r="AA434" s="7">
        <v>0</v>
      </c>
      <c r="AB434" s="7">
        <v>0</v>
      </c>
      <c r="AC434" s="7">
        <v>0</v>
      </c>
      <c r="AD434" s="7">
        <v>0</v>
      </c>
      <c r="AE434" s="7">
        <v>0</v>
      </c>
      <c r="AF434" s="7">
        <v>0</v>
      </c>
      <c r="AG434" s="7">
        <v>0</v>
      </c>
      <c r="AH434" s="7">
        <v>0</v>
      </c>
      <c r="AI434" s="7">
        <v>0</v>
      </c>
      <c r="AJ434" s="7">
        <v>0</v>
      </c>
      <c r="AK434" s="7">
        <v>0</v>
      </c>
      <c r="AL434" s="7">
        <v>0</v>
      </c>
      <c r="AM434" s="7">
        <v>0</v>
      </c>
      <c r="AN434" s="7">
        <v>0</v>
      </c>
      <c r="AO434" s="7">
        <v>0</v>
      </c>
      <c r="AP434" s="7">
        <v>0</v>
      </c>
      <c r="AQ434" s="7">
        <v>0</v>
      </c>
      <c r="AR434" s="7">
        <v>0</v>
      </c>
      <c r="AS434" s="7">
        <v>0</v>
      </c>
      <c r="AT434" s="7">
        <v>0</v>
      </c>
      <c r="AU434" s="7">
        <v>0</v>
      </c>
      <c r="AV434" s="7">
        <v>0</v>
      </c>
      <c r="AW434" s="7">
        <v>0</v>
      </c>
      <c r="AX434" s="7">
        <v>0</v>
      </c>
      <c r="AY434" s="7">
        <v>0</v>
      </c>
      <c r="AZ434" s="7">
        <v>0</v>
      </c>
      <c r="BA434" s="7">
        <v>0</v>
      </c>
      <c r="BB434" s="7">
        <v>0</v>
      </c>
      <c r="BC434" s="7">
        <v>0</v>
      </c>
      <c r="BD434">
        <v>0</v>
      </c>
      <c r="BE434">
        <v>28.87</v>
      </c>
      <c r="BF4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4" s="42" t="str">
        <f>+IF(AVANCE[[#This Row],[FECHA INICIO REAL]]="","",AVANCE[[#This Row],[FECHA INICIO REAL]]-AVANCE[[#This Row],[FECHA INICIO TEORICO]])</f>
        <v/>
      </c>
      <c r="BH4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5" spans="1:61" x14ac:dyDescent="0.25">
      <c r="A435" t="s">
        <v>1253</v>
      </c>
      <c r="B435" t="s">
        <v>1271</v>
      </c>
      <c r="C435">
        <v>2302600434</v>
      </c>
      <c r="D435" t="s">
        <v>834</v>
      </c>
      <c r="E435" s="4">
        <v>0</v>
      </c>
      <c r="F435" s="1">
        <v>46356</v>
      </c>
      <c r="G435" s="1"/>
      <c r="H435" s="1">
        <v>0</v>
      </c>
      <c r="I435" s="1">
        <v>46386</v>
      </c>
      <c r="J435">
        <v>46188</v>
      </c>
      <c r="K435" s="1"/>
      <c r="L435" s="7">
        <v>0</v>
      </c>
      <c r="M435" s="7">
        <v>0</v>
      </c>
      <c r="N435" s="7">
        <v>0</v>
      </c>
      <c r="O435" s="7">
        <v>0</v>
      </c>
      <c r="P435" s="7">
        <v>0</v>
      </c>
      <c r="Q435" s="7">
        <v>0</v>
      </c>
      <c r="R435" s="7">
        <v>0</v>
      </c>
      <c r="S435" s="7">
        <v>0</v>
      </c>
      <c r="T435" s="7">
        <v>0</v>
      </c>
      <c r="U435" s="7">
        <v>0</v>
      </c>
      <c r="V435" s="7">
        <v>0</v>
      </c>
      <c r="W435" s="7">
        <v>0</v>
      </c>
      <c r="X435" s="7">
        <v>0</v>
      </c>
      <c r="Y435" s="7">
        <v>0</v>
      </c>
      <c r="Z435" s="7">
        <v>0</v>
      </c>
      <c r="AA435" s="7">
        <v>0</v>
      </c>
      <c r="AB435" s="7">
        <v>0</v>
      </c>
      <c r="AC435" s="7">
        <v>0</v>
      </c>
      <c r="AD435" s="7">
        <v>0</v>
      </c>
      <c r="AE435" s="7">
        <v>0</v>
      </c>
      <c r="AF435" s="7">
        <v>0</v>
      </c>
      <c r="AG435" s="7">
        <v>0</v>
      </c>
      <c r="AH435" s="7">
        <v>0</v>
      </c>
      <c r="AI435" s="7">
        <v>0</v>
      </c>
      <c r="AJ435" s="7">
        <v>0</v>
      </c>
      <c r="AK435" s="7">
        <v>0</v>
      </c>
      <c r="AL435" s="7">
        <v>0</v>
      </c>
      <c r="AM435" s="7">
        <v>0</v>
      </c>
      <c r="AN435" s="7">
        <v>0</v>
      </c>
      <c r="AO435" s="7">
        <v>0</v>
      </c>
      <c r="AP435" s="7">
        <v>0</v>
      </c>
      <c r="AQ435" s="7">
        <v>0</v>
      </c>
      <c r="AR435" s="7">
        <v>0</v>
      </c>
      <c r="AS435" s="7">
        <v>0</v>
      </c>
      <c r="AT435" s="7">
        <v>0</v>
      </c>
      <c r="AU435" s="7">
        <v>0</v>
      </c>
      <c r="AV435" s="7">
        <v>0</v>
      </c>
      <c r="AW435" s="7">
        <v>0</v>
      </c>
      <c r="AX435" s="7">
        <v>0</v>
      </c>
      <c r="AY435" s="7">
        <v>0</v>
      </c>
      <c r="AZ435" s="7">
        <v>0</v>
      </c>
      <c r="BA435" s="7">
        <v>0</v>
      </c>
      <c r="BB435" s="7">
        <v>0</v>
      </c>
      <c r="BC435" s="7">
        <v>0</v>
      </c>
      <c r="BD435">
        <v>0</v>
      </c>
      <c r="BE435">
        <v>31.32</v>
      </c>
      <c r="BF4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5" s="42" t="str">
        <f>+IF(AVANCE[[#This Row],[FECHA INICIO REAL]]="","",AVANCE[[#This Row],[FECHA INICIO REAL]]-AVANCE[[#This Row],[FECHA INICIO TEORICO]])</f>
        <v/>
      </c>
      <c r="BH4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6" spans="1:61" x14ac:dyDescent="0.25">
      <c r="A436" t="s">
        <v>1253</v>
      </c>
      <c r="B436" t="s">
        <v>1272</v>
      </c>
      <c r="C436">
        <v>2302600435</v>
      </c>
      <c r="D436" t="s">
        <v>834</v>
      </c>
      <c r="E436" s="4">
        <v>0</v>
      </c>
      <c r="F436" s="1">
        <v>46356</v>
      </c>
      <c r="G436" s="1"/>
      <c r="H436" s="1">
        <v>0</v>
      </c>
      <c r="I436" s="1">
        <v>46386</v>
      </c>
      <c r="J436">
        <v>46188</v>
      </c>
      <c r="K436" s="1"/>
      <c r="L436" s="7">
        <v>0</v>
      </c>
      <c r="M436" s="7">
        <v>0</v>
      </c>
      <c r="N436" s="7">
        <v>0</v>
      </c>
      <c r="O436" s="7">
        <v>0</v>
      </c>
      <c r="P436" s="7">
        <v>0</v>
      </c>
      <c r="Q436" s="7">
        <v>0</v>
      </c>
      <c r="R436" s="7">
        <v>0</v>
      </c>
      <c r="S436" s="7">
        <v>0</v>
      </c>
      <c r="T436" s="7">
        <v>0</v>
      </c>
      <c r="U436" s="7">
        <v>0</v>
      </c>
      <c r="V436" s="7">
        <v>0</v>
      </c>
      <c r="W436" s="7">
        <v>0</v>
      </c>
      <c r="X436" s="7">
        <v>0</v>
      </c>
      <c r="Y436" s="7">
        <v>0</v>
      </c>
      <c r="Z436" s="7">
        <v>0</v>
      </c>
      <c r="AA436" s="7">
        <v>0</v>
      </c>
      <c r="AB436" s="7">
        <v>0</v>
      </c>
      <c r="AC436" s="7">
        <v>0</v>
      </c>
      <c r="AD436" s="7">
        <v>0</v>
      </c>
      <c r="AE436" s="7">
        <v>0</v>
      </c>
      <c r="AF436" s="7">
        <v>0</v>
      </c>
      <c r="AG436" s="7">
        <v>0</v>
      </c>
      <c r="AH436" s="7">
        <v>0</v>
      </c>
      <c r="AI436" s="7">
        <v>0</v>
      </c>
      <c r="AJ436" s="7">
        <v>0</v>
      </c>
      <c r="AK436" s="7">
        <v>0</v>
      </c>
      <c r="AL436" s="7">
        <v>0</v>
      </c>
      <c r="AM436" s="7">
        <v>0</v>
      </c>
      <c r="AN436" s="7">
        <v>0</v>
      </c>
      <c r="AO436" s="7">
        <v>0</v>
      </c>
      <c r="AP436" s="7">
        <v>0</v>
      </c>
      <c r="AQ436" s="7">
        <v>0</v>
      </c>
      <c r="AR436" s="7">
        <v>0</v>
      </c>
      <c r="AS436" s="7">
        <v>0</v>
      </c>
      <c r="AT436" s="7">
        <v>0</v>
      </c>
      <c r="AU436" s="7">
        <v>0</v>
      </c>
      <c r="AV436" s="7">
        <v>0</v>
      </c>
      <c r="AW436" s="7">
        <v>0</v>
      </c>
      <c r="AX436" s="7">
        <v>0</v>
      </c>
      <c r="AY436" s="7">
        <v>0</v>
      </c>
      <c r="AZ436" s="7">
        <v>0</v>
      </c>
      <c r="BA436" s="7">
        <v>0</v>
      </c>
      <c r="BB436" s="7">
        <v>0</v>
      </c>
      <c r="BC436" s="7">
        <v>0</v>
      </c>
      <c r="BD436">
        <v>0</v>
      </c>
      <c r="BE436">
        <v>31.32</v>
      </c>
      <c r="BF4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6" s="42" t="str">
        <f>+IF(AVANCE[[#This Row],[FECHA INICIO REAL]]="","",AVANCE[[#This Row],[FECHA INICIO REAL]]-AVANCE[[#This Row],[FECHA INICIO TEORICO]])</f>
        <v/>
      </c>
      <c r="BH4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7" spans="1:61" x14ac:dyDescent="0.25">
      <c r="A437" t="s">
        <v>1253</v>
      </c>
      <c r="B437" t="s">
        <v>1273</v>
      </c>
      <c r="C437">
        <v>2282600436</v>
      </c>
      <c r="D437" t="s">
        <v>833</v>
      </c>
      <c r="E437" s="4">
        <v>0</v>
      </c>
      <c r="F437" s="1">
        <v>46356</v>
      </c>
      <c r="G437" s="1"/>
      <c r="H437" s="1">
        <v>0</v>
      </c>
      <c r="I437" s="1">
        <v>46376</v>
      </c>
      <c r="J437">
        <v>46188</v>
      </c>
      <c r="K437" s="1"/>
      <c r="L437" s="7">
        <v>0</v>
      </c>
      <c r="M437" s="7">
        <v>0</v>
      </c>
      <c r="N437" s="7">
        <v>0</v>
      </c>
      <c r="O437" s="7">
        <v>0</v>
      </c>
      <c r="P437" s="7">
        <v>0</v>
      </c>
      <c r="Q437" s="7">
        <v>0</v>
      </c>
      <c r="R437" s="7">
        <v>0</v>
      </c>
      <c r="S437" s="7">
        <v>0</v>
      </c>
      <c r="T437" s="7">
        <v>0</v>
      </c>
      <c r="U437" s="7">
        <v>0</v>
      </c>
      <c r="V437" s="7">
        <v>0</v>
      </c>
      <c r="W437" s="7">
        <v>0</v>
      </c>
      <c r="X437" s="7">
        <v>0</v>
      </c>
      <c r="Y437" s="7">
        <v>0</v>
      </c>
      <c r="Z437" s="7">
        <v>0</v>
      </c>
      <c r="AA437" s="7">
        <v>0</v>
      </c>
      <c r="AB437" s="7">
        <v>0</v>
      </c>
      <c r="AC437" s="7">
        <v>0</v>
      </c>
      <c r="AD437" s="7">
        <v>0</v>
      </c>
      <c r="AE437" s="7">
        <v>0</v>
      </c>
      <c r="AF437" s="7">
        <v>0</v>
      </c>
      <c r="AG437" s="7">
        <v>0</v>
      </c>
      <c r="AH437" s="7">
        <v>0</v>
      </c>
      <c r="AI437" s="7">
        <v>0</v>
      </c>
      <c r="AJ437" s="7">
        <v>0</v>
      </c>
      <c r="AK437" s="7">
        <v>0</v>
      </c>
      <c r="AL437" s="7">
        <v>0</v>
      </c>
      <c r="AM437" s="7">
        <v>0</v>
      </c>
      <c r="AN437" s="7">
        <v>0</v>
      </c>
      <c r="AO437" s="7">
        <v>0</v>
      </c>
      <c r="AP437" s="7">
        <v>0</v>
      </c>
      <c r="AQ437" s="7">
        <v>0</v>
      </c>
      <c r="AR437" s="7">
        <v>0</v>
      </c>
      <c r="AS437" s="7">
        <v>0</v>
      </c>
      <c r="AT437" s="7">
        <v>0</v>
      </c>
      <c r="AU437" s="7">
        <v>0</v>
      </c>
      <c r="AV437" s="7">
        <v>0</v>
      </c>
      <c r="AW437" s="7">
        <v>0</v>
      </c>
      <c r="AX437" s="7">
        <v>0</v>
      </c>
      <c r="AY437" s="7">
        <v>0</v>
      </c>
      <c r="AZ437" s="7">
        <v>0</v>
      </c>
      <c r="BA437" s="7">
        <v>0</v>
      </c>
      <c r="BB437" s="7">
        <v>0</v>
      </c>
      <c r="BC437" s="7">
        <v>0</v>
      </c>
      <c r="BD437">
        <v>0</v>
      </c>
      <c r="BE437">
        <v>28.87</v>
      </c>
      <c r="BF4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7" s="42" t="str">
        <f>+IF(AVANCE[[#This Row],[FECHA INICIO REAL]]="","",AVANCE[[#This Row],[FECHA INICIO REAL]]-AVANCE[[#This Row],[FECHA INICIO TEORICO]])</f>
        <v/>
      </c>
      <c r="BH4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8" spans="1:61" x14ac:dyDescent="0.25">
      <c r="A438" t="s">
        <v>1253</v>
      </c>
      <c r="B438" t="s">
        <v>1274</v>
      </c>
      <c r="C438">
        <v>2282600437</v>
      </c>
      <c r="D438" t="s">
        <v>833</v>
      </c>
      <c r="E438" s="4">
        <v>0</v>
      </c>
      <c r="F438" s="1">
        <v>46357</v>
      </c>
      <c r="G438" s="1"/>
      <c r="H438" s="1">
        <v>0</v>
      </c>
      <c r="I438" s="1">
        <v>46377</v>
      </c>
      <c r="J438">
        <v>46188</v>
      </c>
      <c r="K438" s="1"/>
      <c r="L438" s="7">
        <v>0</v>
      </c>
      <c r="M438" s="7">
        <v>0</v>
      </c>
      <c r="N438" s="7">
        <v>0</v>
      </c>
      <c r="O438" s="7">
        <v>0</v>
      </c>
      <c r="P438" s="7">
        <v>0</v>
      </c>
      <c r="Q438" s="7">
        <v>0</v>
      </c>
      <c r="R438" s="7">
        <v>0</v>
      </c>
      <c r="S438" s="7">
        <v>0</v>
      </c>
      <c r="T438" s="7">
        <v>0</v>
      </c>
      <c r="U438" s="7">
        <v>0</v>
      </c>
      <c r="V438" s="7">
        <v>0</v>
      </c>
      <c r="W438" s="7">
        <v>0</v>
      </c>
      <c r="X438" s="7">
        <v>0</v>
      </c>
      <c r="Y438" s="7">
        <v>0</v>
      </c>
      <c r="Z438" s="7">
        <v>0</v>
      </c>
      <c r="AA438" s="7">
        <v>0</v>
      </c>
      <c r="AB438" s="7">
        <v>0</v>
      </c>
      <c r="AC438" s="7">
        <v>0</v>
      </c>
      <c r="AD438" s="7">
        <v>0</v>
      </c>
      <c r="AE438" s="7">
        <v>0</v>
      </c>
      <c r="AF438" s="7">
        <v>0</v>
      </c>
      <c r="AG438" s="7">
        <v>0</v>
      </c>
      <c r="AH438" s="7">
        <v>0</v>
      </c>
      <c r="AI438" s="7">
        <v>0</v>
      </c>
      <c r="AJ438" s="7">
        <v>0</v>
      </c>
      <c r="AK438" s="7">
        <v>0</v>
      </c>
      <c r="AL438" s="7">
        <v>0</v>
      </c>
      <c r="AM438" s="7">
        <v>0</v>
      </c>
      <c r="AN438" s="7">
        <v>0</v>
      </c>
      <c r="AO438" s="7">
        <v>0</v>
      </c>
      <c r="AP438" s="7">
        <v>0</v>
      </c>
      <c r="AQ438" s="7">
        <v>0</v>
      </c>
      <c r="AR438" s="7">
        <v>0</v>
      </c>
      <c r="AS438" s="7">
        <v>0</v>
      </c>
      <c r="AT438" s="7">
        <v>0</v>
      </c>
      <c r="AU438" s="7">
        <v>0</v>
      </c>
      <c r="AV438" s="7">
        <v>0</v>
      </c>
      <c r="AW438" s="7">
        <v>0</v>
      </c>
      <c r="AX438" s="7">
        <v>0</v>
      </c>
      <c r="AY438" s="7">
        <v>0</v>
      </c>
      <c r="AZ438" s="7">
        <v>0</v>
      </c>
      <c r="BA438" s="7">
        <v>0</v>
      </c>
      <c r="BB438" s="7">
        <v>0</v>
      </c>
      <c r="BC438" s="7">
        <v>0</v>
      </c>
      <c r="BD438">
        <v>0</v>
      </c>
      <c r="BE438">
        <v>28.87</v>
      </c>
      <c r="BF4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8" s="42" t="str">
        <f>+IF(AVANCE[[#This Row],[FECHA INICIO REAL]]="","",AVANCE[[#This Row],[FECHA INICIO REAL]]-AVANCE[[#This Row],[FECHA INICIO TEORICO]])</f>
        <v/>
      </c>
      <c r="BH4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9" spans="1:61" x14ac:dyDescent="0.25">
      <c r="A439" t="s">
        <v>1253</v>
      </c>
      <c r="B439" t="s">
        <v>1275</v>
      </c>
      <c r="C439">
        <v>2302600438</v>
      </c>
      <c r="D439" t="s">
        <v>834</v>
      </c>
      <c r="E439" s="4">
        <v>0</v>
      </c>
      <c r="F439" s="1">
        <v>46357</v>
      </c>
      <c r="G439" s="1"/>
      <c r="H439" s="1">
        <v>0</v>
      </c>
      <c r="I439" s="1">
        <v>46387</v>
      </c>
      <c r="J439">
        <v>46188</v>
      </c>
      <c r="K439" s="1"/>
      <c r="L439" s="7">
        <v>0</v>
      </c>
      <c r="M439" s="7">
        <v>0</v>
      </c>
      <c r="N439" s="7">
        <v>0</v>
      </c>
      <c r="O439" s="7">
        <v>0</v>
      </c>
      <c r="P439" s="7">
        <v>0</v>
      </c>
      <c r="Q439" s="7">
        <v>0</v>
      </c>
      <c r="R439" s="7">
        <v>0</v>
      </c>
      <c r="S439" s="7">
        <v>0</v>
      </c>
      <c r="T439" s="7">
        <v>0</v>
      </c>
      <c r="U439" s="7">
        <v>0</v>
      </c>
      <c r="V439" s="7">
        <v>0</v>
      </c>
      <c r="W439" s="7">
        <v>0</v>
      </c>
      <c r="X439" s="7">
        <v>0</v>
      </c>
      <c r="Y439" s="7">
        <v>0</v>
      </c>
      <c r="Z439" s="7">
        <v>0</v>
      </c>
      <c r="AA439" s="7">
        <v>0</v>
      </c>
      <c r="AB439" s="7">
        <v>0</v>
      </c>
      <c r="AC439" s="7">
        <v>0</v>
      </c>
      <c r="AD439" s="7">
        <v>0</v>
      </c>
      <c r="AE439" s="7">
        <v>0</v>
      </c>
      <c r="AF439" s="7">
        <v>0</v>
      </c>
      <c r="AG439" s="7">
        <v>0</v>
      </c>
      <c r="AH439" s="7">
        <v>0</v>
      </c>
      <c r="AI439" s="7">
        <v>0</v>
      </c>
      <c r="AJ439" s="7">
        <v>0</v>
      </c>
      <c r="AK439" s="7">
        <v>0</v>
      </c>
      <c r="AL439" s="7">
        <v>0</v>
      </c>
      <c r="AM439" s="7">
        <v>0</v>
      </c>
      <c r="AN439" s="7">
        <v>0</v>
      </c>
      <c r="AO439" s="7">
        <v>0</v>
      </c>
      <c r="AP439" s="7">
        <v>0</v>
      </c>
      <c r="AQ439" s="7">
        <v>0</v>
      </c>
      <c r="AR439" s="7">
        <v>0</v>
      </c>
      <c r="AS439" s="7">
        <v>0</v>
      </c>
      <c r="AT439" s="7">
        <v>0</v>
      </c>
      <c r="AU439" s="7">
        <v>0</v>
      </c>
      <c r="AV439" s="7">
        <v>0</v>
      </c>
      <c r="AW439" s="7">
        <v>0</v>
      </c>
      <c r="AX439" s="7">
        <v>0</v>
      </c>
      <c r="AY439" s="7">
        <v>0</v>
      </c>
      <c r="AZ439" s="7">
        <v>0</v>
      </c>
      <c r="BA439" s="7">
        <v>0</v>
      </c>
      <c r="BB439" s="7">
        <v>0</v>
      </c>
      <c r="BC439" s="7">
        <v>0</v>
      </c>
      <c r="BD439">
        <v>0</v>
      </c>
      <c r="BE439">
        <v>31.32</v>
      </c>
      <c r="BF4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9" s="42" t="str">
        <f>+IF(AVANCE[[#This Row],[FECHA INICIO REAL]]="","",AVANCE[[#This Row],[FECHA INICIO REAL]]-AVANCE[[#This Row],[FECHA INICIO TEORICO]])</f>
        <v/>
      </c>
      <c r="BH4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0" spans="1:61" x14ac:dyDescent="0.25">
      <c r="A440" t="s">
        <v>1253</v>
      </c>
      <c r="B440" t="s">
        <v>1276</v>
      </c>
      <c r="C440">
        <v>2302600439</v>
      </c>
      <c r="D440" t="s">
        <v>834</v>
      </c>
      <c r="E440" s="4">
        <v>0</v>
      </c>
      <c r="F440" s="1">
        <v>46357</v>
      </c>
      <c r="G440" s="1"/>
      <c r="H440" s="1">
        <v>0</v>
      </c>
      <c r="I440" s="1">
        <v>46387</v>
      </c>
      <c r="J440">
        <v>46188</v>
      </c>
      <c r="K440" s="1"/>
      <c r="L440" s="7">
        <v>0</v>
      </c>
      <c r="M440" s="7">
        <v>0</v>
      </c>
      <c r="N440" s="7">
        <v>0</v>
      </c>
      <c r="O440" s="7">
        <v>0</v>
      </c>
      <c r="P440" s="7">
        <v>0</v>
      </c>
      <c r="Q440" s="7">
        <v>0</v>
      </c>
      <c r="R440" s="7">
        <v>0</v>
      </c>
      <c r="S440" s="7">
        <v>0</v>
      </c>
      <c r="T440" s="7">
        <v>0</v>
      </c>
      <c r="U440" s="7">
        <v>0</v>
      </c>
      <c r="V440" s="7">
        <v>0</v>
      </c>
      <c r="W440" s="7">
        <v>0</v>
      </c>
      <c r="X440" s="7">
        <v>0</v>
      </c>
      <c r="Y440" s="7">
        <v>0</v>
      </c>
      <c r="Z440" s="7">
        <v>0</v>
      </c>
      <c r="AA440" s="7">
        <v>0</v>
      </c>
      <c r="AB440" s="7">
        <v>0</v>
      </c>
      <c r="AC440" s="7">
        <v>0</v>
      </c>
      <c r="AD440" s="7">
        <v>0</v>
      </c>
      <c r="AE440" s="7">
        <v>0</v>
      </c>
      <c r="AF440" s="7">
        <v>0</v>
      </c>
      <c r="AG440" s="7">
        <v>0</v>
      </c>
      <c r="AH440" s="7">
        <v>0</v>
      </c>
      <c r="AI440" s="7">
        <v>0</v>
      </c>
      <c r="AJ440" s="7">
        <v>0</v>
      </c>
      <c r="AK440" s="7">
        <v>0</v>
      </c>
      <c r="AL440" s="7">
        <v>0</v>
      </c>
      <c r="AM440" s="7">
        <v>0</v>
      </c>
      <c r="AN440" s="7">
        <v>0</v>
      </c>
      <c r="AO440" s="7">
        <v>0</v>
      </c>
      <c r="AP440" s="7">
        <v>0</v>
      </c>
      <c r="AQ440" s="7">
        <v>0</v>
      </c>
      <c r="AR440" s="7">
        <v>0</v>
      </c>
      <c r="AS440" s="7">
        <v>0</v>
      </c>
      <c r="AT440" s="7">
        <v>0</v>
      </c>
      <c r="AU440" s="7">
        <v>0</v>
      </c>
      <c r="AV440" s="7">
        <v>0</v>
      </c>
      <c r="AW440" s="7">
        <v>0</v>
      </c>
      <c r="AX440" s="7">
        <v>0</v>
      </c>
      <c r="AY440" s="7">
        <v>0</v>
      </c>
      <c r="AZ440" s="7">
        <v>0</v>
      </c>
      <c r="BA440" s="7">
        <v>0</v>
      </c>
      <c r="BB440" s="7">
        <v>0</v>
      </c>
      <c r="BC440" s="7">
        <v>0</v>
      </c>
      <c r="BD440">
        <v>0</v>
      </c>
      <c r="BE440">
        <v>31.32</v>
      </c>
      <c r="BF4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0" s="42" t="str">
        <f>+IF(AVANCE[[#This Row],[FECHA INICIO REAL]]="","",AVANCE[[#This Row],[FECHA INICIO REAL]]-AVANCE[[#This Row],[FECHA INICIO TEORICO]])</f>
        <v/>
      </c>
      <c r="BH4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1" spans="1:61" x14ac:dyDescent="0.25">
      <c r="A441" t="s">
        <v>1253</v>
      </c>
      <c r="B441" t="s">
        <v>1277</v>
      </c>
      <c r="C441">
        <v>2282600440</v>
      </c>
      <c r="D441" t="s">
        <v>833</v>
      </c>
      <c r="E441" s="4">
        <v>0</v>
      </c>
      <c r="F441" s="1">
        <v>46358</v>
      </c>
      <c r="G441" s="1"/>
      <c r="H441" s="1">
        <v>0</v>
      </c>
      <c r="I441" s="1">
        <v>46378</v>
      </c>
      <c r="J441">
        <v>46188</v>
      </c>
      <c r="K441" s="1"/>
      <c r="L441" s="7">
        <v>0</v>
      </c>
      <c r="M441" s="7">
        <v>0</v>
      </c>
      <c r="N441" s="7">
        <v>0</v>
      </c>
      <c r="O441" s="7">
        <v>0</v>
      </c>
      <c r="P441" s="7">
        <v>0</v>
      </c>
      <c r="Q441" s="7">
        <v>0</v>
      </c>
      <c r="R441" s="7">
        <v>0</v>
      </c>
      <c r="S441" s="7">
        <v>0</v>
      </c>
      <c r="T441" s="7">
        <v>0</v>
      </c>
      <c r="U441" s="7">
        <v>0</v>
      </c>
      <c r="V441" s="7">
        <v>0</v>
      </c>
      <c r="W441" s="7">
        <v>0</v>
      </c>
      <c r="X441" s="7">
        <v>0</v>
      </c>
      <c r="Y441" s="7">
        <v>0</v>
      </c>
      <c r="Z441" s="7">
        <v>0</v>
      </c>
      <c r="AA441" s="7">
        <v>0</v>
      </c>
      <c r="AB441" s="7">
        <v>0</v>
      </c>
      <c r="AC441" s="7">
        <v>0</v>
      </c>
      <c r="AD441" s="7">
        <v>0</v>
      </c>
      <c r="AE441" s="7">
        <v>0</v>
      </c>
      <c r="AF441" s="7">
        <v>0</v>
      </c>
      <c r="AG441" s="7">
        <v>0</v>
      </c>
      <c r="AH441" s="7">
        <v>0</v>
      </c>
      <c r="AI441" s="7">
        <v>0</v>
      </c>
      <c r="AJ441" s="7">
        <v>0</v>
      </c>
      <c r="AK441" s="7">
        <v>0</v>
      </c>
      <c r="AL441" s="7">
        <v>0</v>
      </c>
      <c r="AM441" s="7">
        <v>0</v>
      </c>
      <c r="AN441" s="7">
        <v>0</v>
      </c>
      <c r="AO441" s="7">
        <v>0</v>
      </c>
      <c r="AP441" s="7">
        <v>0</v>
      </c>
      <c r="AQ441" s="7">
        <v>0</v>
      </c>
      <c r="AR441" s="7">
        <v>0</v>
      </c>
      <c r="AS441" s="7">
        <v>0</v>
      </c>
      <c r="AT441" s="7">
        <v>0</v>
      </c>
      <c r="AU441" s="7">
        <v>0</v>
      </c>
      <c r="AV441" s="7">
        <v>0</v>
      </c>
      <c r="AW441" s="7">
        <v>0</v>
      </c>
      <c r="AX441" s="7">
        <v>0</v>
      </c>
      <c r="AY441" s="7">
        <v>0</v>
      </c>
      <c r="AZ441" s="7">
        <v>0</v>
      </c>
      <c r="BA441" s="7">
        <v>0</v>
      </c>
      <c r="BB441" s="7">
        <v>0</v>
      </c>
      <c r="BC441" s="7">
        <v>0</v>
      </c>
      <c r="BD441">
        <v>0</v>
      </c>
      <c r="BE441">
        <v>28.87</v>
      </c>
      <c r="BF4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1" s="42" t="str">
        <f>+IF(AVANCE[[#This Row],[FECHA INICIO REAL]]="","",AVANCE[[#This Row],[FECHA INICIO REAL]]-AVANCE[[#This Row],[FECHA INICIO TEORICO]])</f>
        <v/>
      </c>
      <c r="BH4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2" spans="1:61" x14ac:dyDescent="0.25">
      <c r="A442" t="s">
        <v>1253</v>
      </c>
      <c r="B442" t="s">
        <v>1278</v>
      </c>
      <c r="C442">
        <v>2282600441</v>
      </c>
      <c r="D442" t="s">
        <v>833</v>
      </c>
      <c r="E442" s="4">
        <v>0</v>
      </c>
      <c r="F442" s="1">
        <v>46358</v>
      </c>
      <c r="G442" s="1"/>
      <c r="H442" s="1">
        <v>0</v>
      </c>
      <c r="I442" s="1">
        <v>46378</v>
      </c>
      <c r="J442">
        <v>46188</v>
      </c>
      <c r="K442" s="1"/>
      <c r="L442" s="7">
        <v>0</v>
      </c>
      <c r="M442" s="7">
        <v>0</v>
      </c>
      <c r="N442" s="7">
        <v>0</v>
      </c>
      <c r="O442" s="7">
        <v>0</v>
      </c>
      <c r="P442" s="7">
        <v>0</v>
      </c>
      <c r="Q442" s="7">
        <v>0</v>
      </c>
      <c r="R442" s="7">
        <v>0</v>
      </c>
      <c r="S442" s="7">
        <v>0</v>
      </c>
      <c r="T442" s="7">
        <v>0</v>
      </c>
      <c r="U442" s="7">
        <v>0</v>
      </c>
      <c r="V442" s="7">
        <v>0</v>
      </c>
      <c r="W442" s="7">
        <v>0</v>
      </c>
      <c r="X442" s="7">
        <v>0</v>
      </c>
      <c r="Y442" s="7">
        <v>0</v>
      </c>
      <c r="Z442" s="7">
        <v>0</v>
      </c>
      <c r="AA442" s="7">
        <v>0</v>
      </c>
      <c r="AB442" s="7">
        <v>0</v>
      </c>
      <c r="AC442" s="7">
        <v>0</v>
      </c>
      <c r="AD442" s="7">
        <v>0</v>
      </c>
      <c r="AE442" s="7">
        <v>0</v>
      </c>
      <c r="AF442" s="7">
        <v>0</v>
      </c>
      <c r="AG442" s="7">
        <v>0</v>
      </c>
      <c r="AH442" s="7">
        <v>0</v>
      </c>
      <c r="AI442" s="7">
        <v>0</v>
      </c>
      <c r="AJ442" s="7">
        <v>0</v>
      </c>
      <c r="AK442" s="7">
        <v>0</v>
      </c>
      <c r="AL442" s="7">
        <v>0</v>
      </c>
      <c r="AM442" s="7">
        <v>0</v>
      </c>
      <c r="AN442" s="7">
        <v>0</v>
      </c>
      <c r="AO442" s="7">
        <v>0</v>
      </c>
      <c r="AP442" s="7">
        <v>0</v>
      </c>
      <c r="AQ442" s="7">
        <v>0</v>
      </c>
      <c r="AR442" s="7">
        <v>0</v>
      </c>
      <c r="AS442" s="7">
        <v>0</v>
      </c>
      <c r="AT442" s="7">
        <v>0</v>
      </c>
      <c r="AU442" s="7">
        <v>0</v>
      </c>
      <c r="AV442" s="7">
        <v>0</v>
      </c>
      <c r="AW442" s="7">
        <v>0</v>
      </c>
      <c r="AX442" s="7">
        <v>0</v>
      </c>
      <c r="AY442" s="7">
        <v>0</v>
      </c>
      <c r="AZ442" s="7">
        <v>0</v>
      </c>
      <c r="BA442" s="7">
        <v>0</v>
      </c>
      <c r="BB442" s="7">
        <v>0</v>
      </c>
      <c r="BC442" s="7">
        <v>0</v>
      </c>
      <c r="BD442">
        <v>0</v>
      </c>
      <c r="BE442">
        <v>28.87</v>
      </c>
      <c r="BF4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2" s="42" t="str">
        <f>+IF(AVANCE[[#This Row],[FECHA INICIO REAL]]="","",AVANCE[[#This Row],[FECHA INICIO REAL]]-AVANCE[[#This Row],[FECHA INICIO TEORICO]])</f>
        <v/>
      </c>
      <c r="BH4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3" spans="1:61" x14ac:dyDescent="0.25">
      <c r="A443" t="s">
        <v>1253</v>
      </c>
      <c r="B443" t="s">
        <v>1279</v>
      </c>
      <c r="C443">
        <v>2302600442</v>
      </c>
      <c r="D443" t="s">
        <v>834</v>
      </c>
      <c r="E443" s="4">
        <v>0</v>
      </c>
      <c r="F443" s="1">
        <v>46358</v>
      </c>
      <c r="G443" s="1"/>
      <c r="H443" s="1">
        <v>0</v>
      </c>
      <c r="I443" s="1">
        <v>46388</v>
      </c>
      <c r="J443">
        <v>46188</v>
      </c>
      <c r="K443" s="1"/>
      <c r="L443" s="7">
        <v>0</v>
      </c>
      <c r="M443" s="7">
        <v>0</v>
      </c>
      <c r="N443" s="7">
        <v>0</v>
      </c>
      <c r="O443" s="7">
        <v>0</v>
      </c>
      <c r="P443" s="7">
        <v>0</v>
      </c>
      <c r="Q443" s="7">
        <v>0</v>
      </c>
      <c r="R443" s="7">
        <v>0</v>
      </c>
      <c r="S443" s="7">
        <v>0</v>
      </c>
      <c r="T443" s="7">
        <v>0</v>
      </c>
      <c r="U443" s="7">
        <v>0</v>
      </c>
      <c r="V443" s="7">
        <v>0</v>
      </c>
      <c r="W443" s="7">
        <v>0</v>
      </c>
      <c r="X443" s="7">
        <v>0</v>
      </c>
      <c r="Y443" s="7">
        <v>0</v>
      </c>
      <c r="Z443" s="7">
        <v>0</v>
      </c>
      <c r="AA443" s="7">
        <v>0</v>
      </c>
      <c r="AB443" s="7">
        <v>0</v>
      </c>
      <c r="AC443" s="7">
        <v>0</v>
      </c>
      <c r="AD443" s="7">
        <v>0</v>
      </c>
      <c r="AE443" s="7">
        <v>0</v>
      </c>
      <c r="AF443" s="7">
        <v>0</v>
      </c>
      <c r="AG443" s="7">
        <v>0</v>
      </c>
      <c r="AH443" s="7">
        <v>0</v>
      </c>
      <c r="AI443" s="7">
        <v>0</v>
      </c>
      <c r="AJ443" s="7">
        <v>0</v>
      </c>
      <c r="AK443" s="7">
        <v>0</v>
      </c>
      <c r="AL443" s="7">
        <v>0</v>
      </c>
      <c r="AM443" s="7">
        <v>0</v>
      </c>
      <c r="AN443" s="7">
        <v>0</v>
      </c>
      <c r="AO443" s="7">
        <v>0</v>
      </c>
      <c r="AP443" s="7">
        <v>0</v>
      </c>
      <c r="AQ443" s="7">
        <v>0</v>
      </c>
      <c r="AR443" s="7">
        <v>0</v>
      </c>
      <c r="AS443" s="7">
        <v>0</v>
      </c>
      <c r="AT443" s="7">
        <v>0</v>
      </c>
      <c r="AU443" s="7">
        <v>0</v>
      </c>
      <c r="AV443" s="7">
        <v>0</v>
      </c>
      <c r="AW443" s="7">
        <v>0</v>
      </c>
      <c r="AX443" s="7">
        <v>0</v>
      </c>
      <c r="AY443" s="7">
        <v>0</v>
      </c>
      <c r="AZ443" s="7">
        <v>0</v>
      </c>
      <c r="BA443" s="7">
        <v>0</v>
      </c>
      <c r="BB443" s="7">
        <v>0</v>
      </c>
      <c r="BC443" s="7">
        <v>0</v>
      </c>
      <c r="BD443">
        <v>0</v>
      </c>
      <c r="BE443">
        <v>31.32</v>
      </c>
      <c r="BF4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3" s="42" t="str">
        <f>+IF(AVANCE[[#This Row],[FECHA INICIO REAL]]="","",AVANCE[[#This Row],[FECHA INICIO REAL]]-AVANCE[[#This Row],[FECHA INICIO TEORICO]])</f>
        <v/>
      </c>
      <c r="BH4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4" spans="1:61" x14ac:dyDescent="0.25">
      <c r="A444" t="s">
        <v>1253</v>
      </c>
      <c r="B444" t="s">
        <v>1280</v>
      </c>
      <c r="C444">
        <v>2302600443</v>
      </c>
      <c r="D444" t="s">
        <v>834</v>
      </c>
      <c r="E444" s="4">
        <v>0</v>
      </c>
      <c r="F444" s="1">
        <v>46359</v>
      </c>
      <c r="G444" s="1"/>
      <c r="H444" s="1">
        <v>0</v>
      </c>
      <c r="I444" s="1">
        <v>46389</v>
      </c>
      <c r="J444">
        <v>46188</v>
      </c>
      <c r="K444" s="1"/>
      <c r="L444" s="7">
        <v>0</v>
      </c>
      <c r="M444" s="7">
        <v>0</v>
      </c>
      <c r="N444" s="7">
        <v>0</v>
      </c>
      <c r="O444" s="7">
        <v>0</v>
      </c>
      <c r="P444" s="7">
        <v>0</v>
      </c>
      <c r="Q444" s="7">
        <v>0</v>
      </c>
      <c r="R444" s="7">
        <v>0</v>
      </c>
      <c r="S444" s="7">
        <v>0</v>
      </c>
      <c r="T444" s="7">
        <v>0</v>
      </c>
      <c r="U444" s="7">
        <v>0</v>
      </c>
      <c r="V444" s="7">
        <v>0</v>
      </c>
      <c r="W444" s="7">
        <v>0</v>
      </c>
      <c r="X444" s="7">
        <v>0</v>
      </c>
      <c r="Y444" s="7">
        <v>0</v>
      </c>
      <c r="Z444" s="7">
        <v>0</v>
      </c>
      <c r="AA444" s="7">
        <v>0</v>
      </c>
      <c r="AB444" s="7">
        <v>0</v>
      </c>
      <c r="AC444" s="7">
        <v>0</v>
      </c>
      <c r="AD444" s="7">
        <v>0</v>
      </c>
      <c r="AE444" s="7">
        <v>0</v>
      </c>
      <c r="AF444" s="7">
        <v>0</v>
      </c>
      <c r="AG444" s="7">
        <v>0</v>
      </c>
      <c r="AH444" s="7">
        <v>0</v>
      </c>
      <c r="AI444" s="7">
        <v>0</v>
      </c>
      <c r="AJ444" s="7">
        <v>0</v>
      </c>
      <c r="AK444" s="7">
        <v>0</v>
      </c>
      <c r="AL444" s="7">
        <v>0</v>
      </c>
      <c r="AM444" s="7">
        <v>0</v>
      </c>
      <c r="AN444" s="7">
        <v>0</v>
      </c>
      <c r="AO444" s="7">
        <v>0</v>
      </c>
      <c r="AP444" s="7">
        <v>0</v>
      </c>
      <c r="AQ444" s="7">
        <v>0</v>
      </c>
      <c r="AR444" s="7">
        <v>0</v>
      </c>
      <c r="AS444" s="7">
        <v>0</v>
      </c>
      <c r="AT444" s="7">
        <v>0</v>
      </c>
      <c r="AU444" s="7">
        <v>0</v>
      </c>
      <c r="AV444" s="7">
        <v>0</v>
      </c>
      <c r="AW444" s="7">
        <v>0</v>
      </c>
      <c r="AX444" s="7">
        <v>0</v>
      </c>
      <c r="AY444" s="7">
        <v>0</v>
      </c>
      <c r="AZ444" s="7">
        <v>0</v>
      </c>
      <c r="BA444" s="7">
        <v>0</v>
      </c>
      <c r="BB444" s="7">
        <v>0</v>
      </c>
      <c r="BC444" s="7">
        <v>0</v>
      </c>
      <c r="BD444">
        <v>0</v>
      </c>
      <c r="BE444">
        <v>31.32</v>
      </c>
      <c r="BF4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4" s="42" t="str">
        <f>+IF(AVANCE[[#This Row],[FECHA INICIO REAL]]="","",AVANCE[[#This Row],[FECHA INICIO REAL]]-AVANCE[[#This Row],[FECHA INICIO TEORICO]])</f>
        <v/>
      </c>
      <c r="BH4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5" spans="1:61" x14ac:dyDescent="0.25">
      <c r="A445" t="s">
        <v>1253</v>
      </c>
      <c r="B445" t="s">
        <v>1281</v>
      </c>
      <c r="C445">
        <v>2282600444</v>
      </c>
      <c r="D445" t="s">
        <v>833</v>
      </c>
      <c r="E445" s="4">
        <v>0</v>
      </c>
      <c r="F445" s="1">
        <v>46359</v>
      </c>
      <c r="G445" s="1"/>
      <c r="H445" s="1">
        <v>0</v>
      </c>
      <c r="I445" s="1">
        <v>46379</v>
      </c>
      <c r="J445">
        <v>46188</v>
      </c>
      <c r="K445" s="1"/>
      <c r="L445" s="7">
        <v>0</v>
      </c>
      <c r="M445" s="7">
        <v>0</v>
      </c>
      <c r="N445" s="7">
        <v>0</v>
      </c>
      <c r="O445" s="7">
        <v>0</v>
      </c>
      <c r="P445" s="7">
        <v>0</v>
      </c>
      <c r="Q445" s="7">
        <v>0</v>
      </c>
      <c r="R445" s="7">
        <v>0</v>
      </c>
      <c r="S445" s="7">
        <v>0</v>
      </c>
      <c r="T445" s="7">
        <v>0</v>
      </c>
      <c r="U445" s="7">
        <v>0</v>
      </c>
      <c r="V445" s="7">
        <v>0</v>
      </c>
      <c r="W445" s="7">
        <v>0</v>
      </c>
      <c r="X445" s="7">
        <v>0</v>
      </c>
      <c r="Y445" s="7">
        <v>0</v>
      </c>
      <c r="Z445" s="7">
        <v>0</v>
      </c>
      <c r="AA445" s="7">
        <v>0</v>
      </c>
      <c r="AB445" s="7">
        <v>0</v>
      </c>
      <c r="AC445" s="7">
        <v>0</v>
      </c>
      <c r="AD445" s="7">
        <v>0</v>
      </c>
      <c r="AE445" s="7">
        <v>0</v>
      </c>
      <c r="AF445" s="7">
        <v>0</v>
      </c>
      <c r="AG445" s="7">
        <v>0</v>
      </c>
      <c r="AH445" s="7">
        <v>0</v>
      </c>
      <c r="AI445" s="7">
        <v>0</v>
      </c>
      <c r="AJ445" s="7">
        <v>0</v>
      </c>
      <c r="AK445" s="7">
        <v>0</v>
      </c>
      <c r="AL445" s="7">
        <v>0</v>
      </c>
      <c r="AM445" s="7">
        <v>0</v>
      </c>
      <c r="AN445" s="7">
        <v>0</v>
      </c>
      <c r="AO445" s="7">
        <v>0</v>
      </c>
      <c r="AP445" s="7">
        <v>0</v>
      </c>
      <c r="AQ445" s="7">
        <v>0</v>
      </c>
      <c r="AR445" s="7">
        <v>0</v>
      </c>
      <c r="AS445" s="7">
        <v>0</v>
      </c>
      <c r="AT445" s="7">
        <v>0</v>
      </c>
      <c r="AU445" s="7">
        <v>0</v>
      </c>
      <c r="AV445" s="7">
        <v>0</v>
      </c>
      <c r="AW445" s="7">
        <v>0</v>
      </c>
      <c r="AX445" s="7">
        <v>0</v>
      </c>
      <c r="AY445" s="7">
        <v>0</v>
      </c>
      <c r="AZ445" s="7">
        <v>0</v>
      </c>
      <c r="BA445" s="7">
        <v>0</v>
      </c>
      <c r="BB445" s="7">
        <v>0</v>
      </c>
      <c r="BC445" s="7">
        <v>0</v>
      </c>
      <c r="BD445">
        <v>0</v>
      </c>
      <c r="BE445">
        <v>28.87</v>
      </c>
      <c r="BF4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5" s="42" t="str">
        <f>+IF(AVANCE[[#This Row],[FECHA INICIO REAL]]="","",AVANCE[[#This Row],[FECHA INICIO REAL]]-AVANCE[[#This Row],[FECHA INICIO TEORICO]])</f>
        <v/>
      </c>
      <c r="BH4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6" spans="1:61" x14ac:dyDescent="0.25">
      <c r="A446" t="s">
        <v>1253</v>
      </c>
      <c r="B446" t="s">
        <v>1282</v>
      </c>
      <c r="C446">
        <v>2282600445</v>
      </c>
      <c r="D446" t="s">
        <v>833</v>
      </c>
      <c r="E446" s="4">
        <v>0</v>
      </c>
      <c r="F446" s="1">
        <v>46359</v>
      </c>
      <c r="G446" s="1"/>
      <c r="H446" s="1">
        <v>0</v>
      </c>
      <c r="I446" s="1">
        <v>46379</v>
      </c>
      <c r="J446">
        <v>46188</v>
      </c>
      <c r="K446" s="1"/>
      <c r="L446" s="7">
        <v>0</v>
      </c>
      <c r="M446" s="7">
        <v>0</v>
      </c>
      <c r="N446" s="7">
        <v>0</v>
      </c>
      <c r="O446" s="7">
        <v>0</v>
      </c>
      <c r="P446" s="7">
        <v>0</v>
      </c>
      <c r="Q446" s="7">
        <v>0</v>
      </c>
      <c r="R446" s="7">
        <v>0</v>
      </c>
      <c r="S446" s="7">
        <v>0</v>
      </c>
      <c r="T446" s="7">
        <v>0</v>
      </c>
      <c r="U446" s="7">
        <v>0</v>
      </c>
      <c r="V446" s="7">
        <v>0</v>
      </c>
      <c r="W446" s="7">
        <v>0</v>
      </c>
      <c r="X446" s="7">
        <v>0</v>
      </c>
      <c r="Y446" s="7">
        <v>0</v>
      </c>
      <c r="Z446" s="7">
        <v>0</v>
      </c>
      <c r="AA446" s="7">
        <v>0</v>
      </c>
      <c r="AB446" s="7">
        <v>0</v>
      </c>
      <c r="AC446" s="7">
        <v>0</v>
      </c>
      <c r="AD446" s="7">
        <v>0</v>
      </c>
      <c r="AE446" s="7">
        <v>0</v>
      </c>
      <c r="AF446" s="7">
        <v>0</v>
      </c>
      <c r="AG446" s="7">
        <v>0</v>
      </c>
      <c r="AH446" s="7">
        <v>0</v>
      </c>
      <c r="AI446" s="7">
        <v>0</v>
      </c>
      <c r="AJ446" s="7">
        <v>0</v>
      </c>
      <c r="AK446" s="7">
        <v>0</v>
      </c>
      <c r="AL446" s="7">
        <v>0</v>
      </c>
      <c r="AM446" s="7">
        <v>0</v>
      </c>
      <c r="AN446" s="7">
        <v>0</v>
      </c>
      <c r="AO446" s="7">
        <v>0</v>
      </c>
      <c r="AP446" s="7">
        <v>0</v>
      </c>
      <c r="AQ446" s="7">
        <v>0</v>
      </c>
      <c r="AR446" s="7">
        <v>0</v>
      </c>
      <c r="AS446" s="7">
        <v>0</v>
      </c>
      <c r="AT446" s="7">
        <v>0</v>
      </c>
      <c r="AU446" s="7">
        <v>0</v>
      </c>
      <c r="AV446" s="7">
        <v>0</v>
      </c>
      <c r="AW446" s="7">
        <v>0</v>
      </c>
      <c r="AX446" s="7">
        <v>0</v>
      </c>
      <c r="AY446" s="7">
        <v>0</v>
      </c>
      <c r="AZ446" s="7">
        <v>0</v>
      </c>
      <c r="BA446" s="7">
        <v>0</v>
      </c>
      <c r="BB446" s="7">
        <v>0</v>
      </c>
      <c r="BC446" s="7">
        <v>0</v>
      </c>
      <c r="BD446">
        <v>0</v>
      </c>
      <c r="BE446">
        <v>28.87</v>
      </c>
      <c r="BF4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6" s="42" t="str">
        <f>+IF(AVANCE[[#This Row],[FECHA INICIO REAL]]="","",AVANCE[[#This Row],[FECHA INICIO REAL]]-AVANCE[[#This Row],[FECHA INICIO TEORICO]])</f>
        <v/>
      </c>
      <c r="BH4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7" spans="1:61" x14ac:dyDescent="0.25">
      <c r="A447" t="s">
        <v>1253</v>
      </c>
      <c r="B447" t="s">
        <v>1283</v>
      </c>
      <c r="C447">
        <v>2302600446</v>
      </c>
      <c r="D447" t="s">
        <v>834</v>
      </c>
      <c r="E447" s="4">
        <v>0</v>
      </c>
      <c r="F447" s="1">
        <v>46360</v>
      </c>
      <c r="G447" s="1"/>
      <c r="H447" s="1">
        <v>0</v>
      </c>
      <c r="I447" s="1">
        <v>46390</v>
      </c>
      <c r="J447">
        <v>46188</v>
      </c>
      <c r="K447" s="1"/>
      <c r="L447" s="7">
        <v>0</v>
      </c>
      <c r="M447" s="7">
        <v>0</v>
      </c>
      <c r="N447" s="7">
        <v>0</v>
      </c>
      <c r="O447" s="7">
        <v>0</v>
      </c>
      <c r="P447" s="7">
        <v>0</v>
      </c>
      <c r="Q447" s="7">
        <v>0</v>
      </c>
      <c r="R447" s="7">
        <v>0</v>
      </c>
      <c r="S447" s="7">
        <v>0</v>
      </c>
      <c r="T447" s="7">
        <v>0</v>
      </c>
      <c r="U447" s="7">
        <v>0</v>
      </c>
      <c r="V447" s="7">
        <v>0</v>
      </c>
      <c r="W447" s="7">
        <v>0</v>
      </c>
      <c r="X447" s="7">
        <v>0</v>
      </c>
      <c r="Y447" s="7">
        <v>0</v>
      </c>
      <c r="Z447" s="7">
        <v>0</v>
      </c>
      <c r="AA447" s="7">
        <v>0</v>
      </c>
      <c r="AB447" s="7">
        <v>0</v>
      </c>
      <c r="AC447" s="7">
        <v>0</v>
      </c>
      <c r="AD447" s="7">
        <v>0</v>
      </c>
      <c r="AE447" s="7">
        <v>0</v>
      </c>
      <c r="AF447" s="7">
        <v>0</v>
      </c>
      <c r="AG447" s="7">
        <v>0</v>
      </c>
      <c r="AH447" s="7">
        <v>0</v>
      </c>
      <c r="AI447" s="7">
        <v>0</v>
      </c>
      <c r="AJ447" s="7">
        <v>0</v>
      </c>
      <c r="AK447" s="7">
        <v>0</v>
      </c>
      <c r="AL447" s="7">
        <v>0</v>
      </c>
      <c r="AM447" s="7">
        <v>0</v>
      </c>
      <c r="AN447" s="7">
        <v>0</v>
      </c>
      <c r="AO447" s="7">
        <v>0</v>
      </c>
      <c r="AP447" s="7">
        <v>0</v>
      </c>
      <c r="AQ447" s="7">
        <v>0</v>
      </c>
      <c r="AR447" s="7">
        <v>0</v>
      </c>
      <c r="AS447" s="7">
        <v>0</v>
      </c>
      <c r="AT447" s="7">
        <v>0</v>
      </c>
      <c r="AU447" s="7">
        <v>0</v>
      </c>
      <c r="AV447" s="7">
        <v>0</v>
      </c>
      <c r="AW447" s="7">
        <v>0</v>
      </c>
      <c r="AX447" s="7">
        <v>0</v>
      </c>
      <c r="AY447" s="7">
        <v>0</v>
      </c>
      <c r="AZ447" s="7">
        <v>0</v>
      </c>
      <c r="BA447" s="7">
        <v>0</v>
      </c>
      <c r="BB447" s="7">
        <v>0</v>
      </c>
      <c r="BC447" s="7">
        <v>0</v>
      </c>
      <c r="BD447">
        <v>0</v>
      </c>
      <c r="BE447">
        <v>31.32</v>
      </c>
      <c r="BF4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7" s="42" t="str">
        <f>+IF(AVANCE[[#This Row],[FECHA INICIO REAL]]="","",AVANCE[[#This Row],[FECHA INICIO REAL]]-AVANCE[[#This Row],[FECHA INICIO TEORICO]])</f>
        <v/>
      </c>
      <c r="BH4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8" spans="1:61" x14ac:dyDescent="0.25">
      <c r="A448" t="s">
        <v>1253</v>
      </c>
      <c r="B448" t="s">
        <v>1284</v>
      </c>
      <c r="C448">
        <v>2302600447</v>
      </c>
      <c r="D448" t="s">
        <v>834</v>
      </c>
      <c r="E448" s="4">
        <v>0</v>
      </c>
      <c r="F448" s="1">
        <v>46360</v>
      </c>
      <c r="G448" s="1"/>
      <c r="H448" s="1">
        <v>0</v>
      </c>
      <c r="I448" s="1">
        <v>46390</v>
      </c>
      <c r="J448">
        <v>46188</v>
      </c>
      <c r="K448" s="1"/>
      <c r="L448" s="7">
        <v>0</v>
      </c>
      <c r="M448" s="7">
        <v>0</v>
      </c>
      <c r="N448" s="7">
        <v>0</v>
      </c>
      <c r="O448" s="7">
        <v>0</v>
      </c>
      <c r="P448" s="7">
        <v>0</v>
      </c>
      <c r="Q448" s="7">
        <v>0</v>
      </c>
      <c r="R448" s="7">
        <v>0</v>
      </c>
      <c r="S448" s="7">
        <v>0</v>
      </c>
      <c r="T448" s="7">
        <v>0</v>
      </c>
      <c r="U448" s="7">
        <v>0</v>
      </c>
      <c r="V448" s="7">
        <v>0</v>
      </c>
      <c r="W448" s="7">
        <v>0</v>
      </c>
      <c r="X448" s="7">
        <v>0</v>
      </c>
      <c r="Y448" s="7">
        <v>0</v>
      </c>
      <c r="Z448" s="7">
        <v>0</v>
      </c>
      <c r="AA448" s="7">
        <v>0</v>
      </c>
      <c r="AB448" s="7">
        <v>0</v>
      </c>
      <c r="AC448" s="7">
        <v>0</v>
      </c>
      <c r="AD448" s="7">
        <v>0</v>
      </c>
      <c r="AE448" s="7">
        <v>0</v>
      </c>
      <c r="AF448" s="7">
        <v>0</v>
      </c>
      <c r="AG448" s="7">
        <v>0</v>
      </c>
      <c r="AH448" s="7">
        <v>0</v>
      </c>
      <c r="AI448" s="7">
        <v>0</v>
      </c>
      <c r="AJ448" s="7">
        <v>0</v>
      </c>
      <c r="AK448" s="7">
        <v>0</v>
      </c>
      <c r="AL448" s="7">
        <v>0</v>
      </c>
      <c r="AM448" s="7">
        <v>0</v>
      </c>
      <c r="AN448" s="7">
        <v>0</v>
      </c>
      <c r="AO448" s="7">
        <v>0</v>
      </c>
      <c r="AP448" s="7">
        <v>0</v>
      </c>
      <c r="AQ448" s="7">
        <v>0</v>
      </c>
      <c r="AR448" s="7">
        <v>0</v>
      </c>
      <c r="AS448" s="7">
        <v>0</v>
      </c>
      <c r="AT448" s="7">
        <v>0</v>
      </c>
      <c r="AU448" s="7">
        <v>0</v>
      </c>
      <c r="AV448" s="7">
        <v>0</v>
      </c>
      <c r="AW448" s="7">
        <v>0</v>
      </c>
      <c r="AX448" s="7">
        <v>0</v>
      </c>
      <c r="AY448" s="7">
        <v>0</v>
      </c>
      <c r="AZ448" s="7">
        <v>0</v>
      </c>
      <c r="BA448" s="7">
        <v>0</v>
      </c>
      <c r="BB448" s="7">
        <v>0</v>
      </c>
      <c r="BC448" s="7">
        <v>0</v>
      </c>
      <c r="BD448">
        <v>0</v>
      </c>
      <c r="BE448">
        <v>31.32</v>
      </c>
      <c r="BF4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8" s="42" t="str">
        <f>+IF(AVANCE[[#This Row],[FECHA INICIO REAL]]="","",AVANCE[[#This Row],[FECHA INICIO REAL]]-AVANCE[[#This Row],[FECHA INICIO TEORICO]])</f>
        <v/>
      </c>
      <c r="BH4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9" spans="1:61" x14ac:dyDescent="0.25">
      <c r="A449" t="s">
        <v>1253</v>
      </c>
      <c r="B449" t="s">
        <v>1285</v>
      </c>
      <c r="C449">
        <v>2282600448</v>
      </c>
      <c r="D449" t="s">
        <v>833</v>
      </c>
      <c r="E449" s="4">
        <v>0</v>
      </c>
      <c r="F449" s="1">
        <v>46360</v>
      </c>
      <c r="G449" s="1"/>
      <c r="H449" s="1">
        <v>0</v>
      </c>
      <c r="I449" s="1">
        <v>46380</v>
      </c>
      <c r="J449">
        <v>46188</v>
      </c>
      <c r="K449" s="1"/>
      <c r="L449" s="7">
        <v>0</v>
      </c>
      <c r="M449" s="7">
        <v>0</v>
      </c>
      <c r="N449" s="7">
        <v>0</v>
      </c>
      <c r="O449" s="7">
        <v>0</v>
      </c>
      <c r="P449" s="7">
        <v>0</v>
      </c>
      <c r="Q449" s="7">
        <v>0</v>
      </c>
      <c r="R449" s="7">
        <v>0</v>
      </c>
      <c r="S449" s="7">
        <v>0</v>
      </c>
      <c r="T449" s="7">
        <v>0</v>
      </c>
      <c r="U449" s="7">
        <v>0</v>
      </c>
      <c r="V449" s="7">
        <v>0</v>
      </c>
      <c r="W449" s="7">
        <v>0</v>
      </c>
      <c r="X449" s="7">
        <v>0</v>
      </c>
      <c r="Y449" s="7">
        <v>0</v>
      </c>
      <c r="Z449" s="7">
        <v>0</v>
      </c>
      <c r="AA449" s="7">
        <v>0</v>
      </c>
      <c r="AB449" s="7">
        <v>0</v>
      </c>
      <c r="AC449" s="7">
        <v>0</v>
      </c>
      <c r="AD449" s="7">
        <v>0</v>
      </c>
      <c r="AE449" s="7">
        <v>0</v>
      </c>
      <c r="AF449" s="7">
        <v>0</v>
      </c>
      <c r="AG449" s="7">
        <v>0</v>
      </c>
      <c r="AH449" s="7">
        <v>0</v>
      </c>
      <c r="AI449" s="7">
        <v>0</v>
      </c>
      <c r="AJ449" s="7">
        <v>0</v>
      </c>
      <c r="AK449" s="7">
        <v>0</v>
      </c>
      <c r="AL449" s="7">
        <v>0</v>
      </c>
      <c r="AM449" s="7">
        <v>0</v>
      </c>
      <c r="AN449" s="7">
        <v>0</v>
      </c>
      <c r="AO449" s="7">
        <v>0</v>
      </c>
      <c r="AP449" s="7">
        <v>0</v>
      </c>
      <c r="AQ449" s="7">
        <v>0</v>
      </c>
      <c r="AR449" s="7">
        <v>0</v>
      </c>
      <c r="AS449" s="7">
        <v>0</v>
      </c>
      <c r="AT449" s="7">
        <v>0</v>
      </c>
      <c r="AU449" s="7">
        <v>0</v>
      </c>
      <c r="AV449" s="7">
        <v>0</v>
      </c>
      <c r="AW449" s="7">
        <v>0</v>
      </c>
      <c r="AX449" s="7">
        <v>0</v>
      </c>
      <c r="AY449" s="7">
        <v>0</v>
      </c>
      <c r="AZ449" s="7">
        <v>0</v>
      </c>
      <c r="BA449" s="7">
        <v>0</v>
      </c>
      <c r="BB449" s="7">
        <v>0</v>
      </c>
      <c r="BC449" s="7">
        <v>0</v>
      </c>
      <c r="BD449">
        <v>0</v>
      </c>
      <c r="BE449">
        <v>28.87</v>
      </c>
      <c r="BF4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9" s="42" t="str">
        <f>+IF(AVANCE[[#This Row],[FECHA INICIO REAL]]="","",AVANCE[[#This Row],[FECHA INICIO REAL]]-AVANCE[[#This Row],[FECHA INICIO TEORICO]])</f>
        <v/>
      </c>
      <c r="BH4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0" spans="1:61" x14ac:dyDescent="0.25">
      <c r="A450" t="s">
        <v>1286</v>
      </c>
      <c r="B450" t="s">
        <v>1287</v>
      </c>
      <c r="C450">
        <v>2282600449</v>
      </c>
      <c r="D450" t="s">
        <v>833</v>
      </c>
      <c r="E450" s="4">
        <v>0</v>
      </c>
      <c r="F450" s="1">
        <v>46363</v>
      </c>
      <c r="G450" s="1"/>
      <c r="H450" s="1">
        <v>0</v>
      </c>
      <c r="I450" s="1">
        <v>46383</v>
      </c>
      <c r="J450">
        <v>46188</v>
      </c>
      <c r="K450" s="1"/>
      <c r="L450" s="7">
        <v>0</v>
      </c>
      <c r="M450" s="7">
        <v>0</v>
      </c>
      <c r="N450" s="7">
        <v>0</v>
      </c>
      <c r="O450" s="7">
        <v>0</v>
      </c>
      <c r="P450" s="7">
        <v>0</v>
      </c>
      <c r="Q450" s="7">
        <v>0</v>
      </c>
      <c r="R450" s="7">
        <v>0</v>
      </c>
      <c r="S450" s="7">
        <v>0</v>
      </c>
      <c r="T450" s="7">
        <v>0</v>
      </c>
      <c r="U450" s="7">
        <v>0</v>
      </c>
      <c r="V450" s="7">
        <v>0</v>
      </c>
      <c r="W450" s="7">
        <v>0</v>
      </c>
      <c r="X450" s="7">
        <v>0</v>
      </c>
      <c r="Y450" s="7">
        <v>0</v>
      </c>
      <c r="Z450" s="7">
        <v>0</v>
      </c>
      <c r="AA450" s="7">
        <v>0</v>
      </c>
      <c r="AB450" s="7">
        <v>0</v>
      </c>
      <c r="AC450" s="7">
        <v>0</v>
      </c>
      <c r="AD450" s="7">
        <v>0</v>
      </c>
      <c r="AE450" s="7">
        <v>0</v>
      </c>
      <c r="AF450" s="7">
        <v>0</v>
      </c>
      <c r="AG450" s="7">
        <v>0</v>
      </c>
      <c r="AH450" s="7">
        <v>0</v>
      </c>
      <c r="AI450" s="7">
        <v>0</v>
      </c>
      <c r="AJ450" s="7">
        <v>0</v>
      </c>
      <c r="AK450" s="7">
        <v>0</v>
      </c>
      <c r="AL450" s="7">
        <v>0</v>
      </c>
      <c r="AM450" s="7">
        <v>0</v>
      </c>
      <c r="AN450" s="7">
        <v>0</v>
      </c>
      <c r="AO450" s="7">
        <v>0</v>
      </c>
      <c r="AP450" s="7">
        <v>0</v>
      </c>
      <c r="AQ450" s="7">
        <v>0</v>
      </c>
      <c r="AR450" s="7">
        <v>0</v>
      </c>
      <c r="AS450" s="7">
        <v>0</v>
      </c>
      <c r="AT450" s="7">
        <v>0</v>
      </c>
      <c r="AU450" s="7">
        <v>0</v>
      </c>
      <c r="AV450" s="7">
        <v>0</v>
      </c>
      <c r="AW450" s="7">
        <v>0</v>
      </c>
      <c r="AX450" s="7">
        <v>0</v>
      </c>
      <c r="AY450" s="7">
        <v>0</v>
      </c>
      <c r="AZ450" s="7">
        <v>0</v>
      </c>
      <c r="BA450" s="7">
        <v>0</v>
      </c>
      <c r="BB450" s="7">
        <v>0</v>
      </c>
      <c r="BC450" s="7">
        <v>0</v>
      </c>
      <c r="BD450">
        <v>0</v>
      </c>
      <c r="BE450">
        <v>28.87</v>
      </c>
      <c r="BF4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0" s="42" t="str">
        <f>+IF(AVANCE[[#This Row],[FECHA INICIO REAL]]="","",AVANCE[[#This Row],[FECHA INICIO REAL]]-AVANCE[[#This Row],[FECHA INICIO TEORICO]])</f>
        <v/>
      </c>
      <c r="BH4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1" spans="1:61" x14ac:dyDescent="0.25">
      <c r="A451" t="s">
        <v>1286</v>
      </c>
      <c r="B451" t="s">
        <v>1288</v>
      </c>
      <c r="C451">
        <v>2302600450</v>
      </c>
      <c r="D451" t="s">
        <v>834</v>
      </c>
      <c r="E451" s="4">
        <v>0</v>
      </c>
      <c r="F451" s="1">
        <v>46363</v>
      </c>
      <c r="G451" s="1"/>
      <c r="H451" s="1">
        <v>0</v>
      </c>
      <c r="I451" s="1">
        <v>46393</v>
      </c>
      <c r="J451">
        <v>46188</v>
      </c>
      <c r="K451" s="1"/>
      <c r="L451" s="7">
        <v>0</v>
      </c>
      <c r="M451" s="7">
        <v>0</v>
      </c>
      <c r="N451" s="7">
        <v>0</v>
      </c>
      <c r="O451" s="7">
        <v>0</v>
      </c>
      <c r="P451" s="7">
        <v>0</v>
      </c>
      <c r="Q451" s="7">
        <v>0</v>
      </c>
      <c r="R451" s="7">
        <v>0</v>
      </c>
      <c r="S451" s="7">
        <v>0</v>
      </c>
      <c r="T451" s="7">
        <v>0</v>
      </c>
      <c r="U451" s="7">
        <v>0</v>
      </c>
      <c r="V451" s="7">
        <v>0</v>
      </c>
      <c r="W451" s="7">
        <v>0</v>
      </c>
      <c r="X451" s="7">
        <v>0</v>
      </c>
      <c r="Y451" s="7">
        <v>0</v>
      </c>
      <c r="Z451" s="7">
        <v>0</v>
      </c>
      <c r="AA451" s="7">
        <v>0</v>
      </c>
      <c r="AB451" s="7">
        <v>0</v>
      </c>
      <c r="AC451" s="7">
        <v>0</v>
      </c>
      <c r="AD451" s="7">
        <v>0</v>
      </c>
      <c r="AE451" s="7">
        <v>0</v>
      </c>
      <c r="AF451" s="7">
        <v>0</v>
      </c>
      <c r="AG451" s="7">
        <v>0</v>
      </c>
      <c r="AH451" s="7">
        <v>0</v>
      </c>
      <c r="AI451" s="7">
        <v>0</v>
      </c>
      <c r="AJ451" s="7">
        <v>0</v>
      </c>
      <c r="AK451" s="7">
        <v>0</v>
      </c>
      <c r="AL451" s="7">
        <v>0</v>
      </c>
      <c r="AM451" s="7">
        <v>0</v>
      </c>
      <c r="AN451" s="7">
        <v>0</v>
      </c>
      <c r="AO451" s="7">
        <v>0</v>
      </c>
      <c r="AP451" s="7">
        <v>0</v>
      </c>
      <c r="AQ451" s="7">
        <v>0</v>
      </c>
      <c r="AR451" s="7">
        <v>0</v>
      </c>
      <c r="AS451" s="7">
        <v>0</v>
      </c>
      <c r="AT451" s="7">
        <v>0</v>
      </c>
      <c r="AU451" s="7">
        <v>0</v>
      </c>
      <c r="AV451" s="7">
        <v>0</v>
      </c>
      <c r="AW451" s="7">
        <v>0</v>
      </c>
      <c r="AX451" s="7">
        <v>0</v>
      </c>
      <c r="AY451" s="7">
        <v>0</v>
      </c>
      <c r="AZ451" s="7">
        <v>0</v>
      </c>
      <c r="BA451" s="7">
        <v>0</v>
      </c>
      <c r="BB451" s="7">
        <v>0</v>
      </c>
      <c r="BC451" s="7">
        <v>0</v>
      </c>
      <c r="BD451">
        <v>0</v>
      </c>
      <c r="BE451">
        <v>31.32</v>
      </c>
      <c r="BF4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1" s="42" t="str">
        <f>+IF(AVANCE[[#This Row],[FECHA INICIO REAL]]="","",AVANCE[[#This Row],[FECHA INICIO REAL]]-AVANCE[[#This Row],[FECHA INICIO TEORICO]])</f>
        <v/>
      </c>
      <c r="BH4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2" spans="1:61" x14ac:dyDescent="0.25">
      <c r="A452" t="s">
        <v>1286</v>
      </c>
      <c r="B452" t="s">
        <v>1289</v>
      </c>
      <c r="C452">
        <v>2302600451</v>
      </c>
      <c r="D452" t="s">
        <v>834</v>
      </c>
      <c r="E452" s="4">
        <v>0</v>
      </c>
      <c r="F452" s="1">
        <v>46363</v>
      </c>
      <c r="G452" s="1"/>
      <c r="H452" s="1">
        <v>0</v>
      </c>
      <c r="I452" s="1">
        <v>46393</v>
      </c>
      <c r="J452">
        <v>46188</v>
      </c>
      <c r="K452" s="1"/>
      <c r="L452" s="7">
        <v>0</v>
      </c>
      <c r="M452" s="7">
        <v>0</v>
      </c>
      <c r="N452" s="7">
        <v>0</v>
      </c>
      <c r="O452" s="7">
        <v>0</v>
      </c>
      <c r="P452" s="7">
        <v>0</v>
      </c>
      <c r="Q452" s="7">
        <v>0</v>
      </c>
      <c r="R452" s="7">
        <v>0</v>
      </c>
      <c r="S452" s="7">
        <v>0</v>
      </c>
      <c r="T452" s="7">
        <v>0</v>
      </c>
      <c r="U452" s="7">
        <v>0</v>
      </c>
      <c r="V452" s="7">
        <v>0</v>
      </c>
      <c r="W452" s="7">
        <v>0</v>
      </c>
      <c r="X452" s="7">
        <v>0</v>
      </c>
      <c r="Y452" s="7">
        <v>0</v>
      </c>
      <c r="Z452" s="7">
        <v>0</v>
      </c>
      <c r="AA452" s="7">
        <v>0</v>
      </c>
      <c r="AB452" s="7">
        <v>0</v>
      </c>
      <c r="AC452" s="7">
        <v>0</v>
      </c>
      <c r="AD452" s="7">
        <v>0</v>
      </c>
      <c r="AE452" s="7">
        <v>0</v>
      </c>
      <c r="AF452" s="7">
        <v>0</v>
      </c>
      <c r="AG452" s="7">
        <v>0</v>
      </c>
      <c r="AH452" s="7">
        <v>0</v>
      </c>
      <c r="AI452" s="7">
        <v>0</v>
      </c>
      <c r="AJ452" s="7">
        <v>0</v>
      </c>
      <c r="AK452" s="7">
        <v>0</v>
      </c>
      <c r="AL452" s="7">
        <v>0</v>
      </c>
      <c r="AM452" s="7">
        <v>0</v>
      </c>
      <c r="AN452" s="7">
        <v>0</v>
      </c>
      <c r="AO452" s="7">
        <v>0</v>
      </c>
      <c r="AP452" s="7">
        <v>0</v>
      </c>
      <c r="AQ452" s="7">
        <v>0</v>
      </c>
      <c r="AR452" s="7">
        <v>0</v>
      </c>
      <c r="AS452" s="7">
        <v>0</v>
      </c>
      <c r="AT452" s="7">
        <v>0</v>
      </c>
      <c r="AU452" s="7">
        <v>0</v>
      </c>
      <c r="AV452" s="7">
        <v>0</v>
      </c>
      <c r="AW452" s="7">
        <v>0</v>
      </c>
      <c r="AX452" s="7">
        <v>0</v>
      </c>
      <c r="AY452" s="7">
        <v>0</v>
      </c>
      <c r="AZ452" s="7">
        <v>0</v>
      </c>
      <c r="BA452" s="7">
        <v>0</v>
      </c>
      <c r="BB452" s="7">
        <v>0</v>
      </c>
      <c r="BC452" s="7">
        <v>0</v>
      </c>
      <c r="BD452">
        <v>0</v>
      </c>
      <c r="BE452">
        <v>31.32</v>
      </c>
      <c r="BF4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2" s="42" t="str">
        <f>+IF(AVANCE[[#This Row],[FECHA INICIO REAL]]="","",AVANCE[[#This Row],[FECHA INICIO REAL]]-AVANCE[[#This Row],[FECHA INICIO TEORICO]])</f>
        <v/>
      </c>
      <c r="BH4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3" spans="1:61" x14ac:dyDescent="0.25">
      <c r="A453" t="s">
        <v>1286</v>
      </c>
      <c r="B453" t="s">
        <v>1290</v>
      </c>
      <c r="C453">
        <v>2282600452</v>
      </c>
      <c r="D453" t="s">
        <v>833</v>
      </c>
      <c r="E453" s="4">
        <v>0</v>
      </c>
      <c r="F453" s="1">
        <v>46365</v>
      </c>
      <c r="G453" s="1"/>
      <c r="H453" s="1">
        <v>0</v>
      </c>
      <c r="I453" s="1">
        <v>46385</v>
      </c>
      <c r="J453">
        <v>46188</v>
      </c>
      <c r="K453" s="1"/>
      <c r="L453" s="7">
        <v>0</v>
      </c>
      <c r="M453" s="7">
        <v>0</v>
      </c>
      <c r="N453" s="7">
        <v>0</v>
      </c>
      <c r="O453" s="7">
        <v>0</v>
      </c>
      <c r="P453" s="7">
        <v>0</v>
      </c>
      <c r="Q453" s="7">
        <v>0</v>
      </c>
      <c r="R453" s="7">
        <v>0</v>
      </c>
      <c r="S453" s="7">
        <v>0</v>
      </c>
      <c r="T453" s="7">
        <v>0</v>
      </c>
      <c r="U453" s="7">
        <v>0</v>
      </c>
      <c r="V453" s="7">
        <v>0</v>
      </c>
      <c r="W453" s="7">
        <v>0</v>
      </c>
      <c r="X453" s="7">
        <v>0</v>
      </c>
      <c r="Y453" s="7">
        <v>0</v>
      </c>
      <c r="Z453" s="7">
        <v>0</v>
      </c>
      <c r="AA453" s="7">
        <v>0</v>
      </c>
      <c r="AB453" s="7">
        <v>0</v>
      </c>
      <c r="AC453" s="7">
        <v>0</v>
      </c>
      <c r="AD453" s="7">
        <v>0</v>
      </c>
      <c r="AE453" s="7">
        <v>0</v>
      </c>
      <c r="AF453" s="7">
        <v>0</v>
      </c>
      <c r="AG453" s="7">
        <v>0</v>
      </c>
      <c r="AH453" s="7">
        <v>0</v>
      </c>
      <c r="AI453" s="7">
        <v>0</v>
      </c>
      <c r="AJ453" s="7">
        <v>0</v>
      </c>
      <c r="AK453" s="7">
        <v>0</v>
      </c>
      <c r="AL453" s="7">
        <v>0</v>
      </c>
      <c r="AM453" s="7">
        <v>0</v>
      </c>
      <c r="AN453" s="7">
        <v>0</v>
      </c>
      <c r="AO453" s="7">
        <v>0</v>
      </c>
      <c r="AP453" s="7">
        <v>0</v>
      </c>
      <c r="AQ453" s="7">
        <v>0</v>
      </c>
      <c r="AR453" s="7">
        <v>0</v>
      </c>
      <c r="AS453" s="7">
        <v>0</v>
      </c>
      <c r="AT453" s="7">
        <v>0</v>
      </c>
      <c r="AU453" s="7">
        <v>0</v>
      </c>
      <c r="AV453" s="7">
        <v>0</v>
      </c>
      <c r="AW453" s="7">
        <v>0</v>
      </c>
      <c r="AX453" s="7">
        <v>0</v>
      </c>
      <c r="AY453" s="7">
        <v>0</v>
      </c>
      <c r="AZ453" s="7">
        <v>0</v>
      </c>
      <c r="BA453" s="7">
        <v>0</v>
      </c>
      <c r="BB453" s="7">
        <v>0</v>
      </c>
      <c r="BC453" s="7">
        <v>0</v>
      </c>
      <c r="BD453">
        <v>0</v>
      </c>
      <c r="BE453">
        <v>28.87</v>
      </c>
      <c r="BF4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3" s="42" t="str">
        <f>+IF(AVANCE[[#This Row],[FECHA INICIO REAL]]="","",AVANCE[[#This Row],[FECHA INICIO REAL]]-AVANCE[[#This Row],[FECHA INICIO TEORICO]])</f>
        <v/>
      </c>
      <c r="BH4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4" spans="1:61" x14ac:dyDescent="0.25">
      <c r="A454" t="s">
        <v>1286</v>
      </c>
      <c r="B454" t="s">
        <v>1291</v>
      </c>
      <c r="C454">
        <v>2282600453</v>
      </c>
      <c r="D454" t="s">
        <v>833</v>
      </c>
      <c r="E454" s="4">
        <v>0</v>
      </c>
      <c r="F454" s="1">
        <v>46365</v>
      </c>
      <c r="G454" s="1"/>
      <c r="H454" s="1">
        <v>0</v>
      </c>
      <c r="I454" s="1">
        <v>46385</v>
      </c>
      <c r="J454">
        <v>46188</v>
      </c>
      <c r="K454" s="1"/>
      <c r="L454" s="7">
        <v>0</v>
      </c>
      <c r="M454" s="7">
        <v>0</v>
      </c>
      <c r="N454" s="7">
        <v>0</v>
      </c>
      <c r="O454" s="7">
        <v>0</v>
      </c>
      <c r="P454" s="7">
        <v>0</v>
      </c>
      <c r="Q454" s="7">
        <v>0</v>
      </c>
      <c r="R454" s="7">
        <v>0</v>
      </c>
      <c r="S454" s="7">
        <v>0</v>
      </c>
      <c r="T454" s="7">
        <v>0</v>
      </c>
      <c r="U454" s="7">
        <v>0</v>
      </c>
      <c r="V454" s="7">
        <v>0</v>
      </c>
      <c r="W454" s="7">
        <v>0</v>
      </c>
      <c r="X454" s="7">
        <v>0</v>
      </c>
      <c r="Y454" s="7">
        <v>0</v>
      </c>
      <c r="Z454" s="7">
        <v>0</v>
      </c>
      <c r="AA454" s="7">
        <v>0</v>
      </c>
      <c r="AB454" s="7">
        <v>0</v>
      </c>
      <c r="AC454" s="7">
        <v>0</v>
      </c>
      <c r="AD454" s="7">
        <v>0</v>
      </c>
      <c r="AE454" s="7">
        <v>0</v>
      </c>
      <c r="AF454" s="7">
        <v>0</v>
      </c>
      <c r="AG454" s="7">
        <v>0</v>
      </c>
      <c r="AH454" s="7">
        <v>0</v>
      </c>
      <c r="AI454" s="7">
        <v>0</v>
      </c>
      <c r="AJ454" s="7">
        <v>0</v>
      </c>
      <c r="AK454" s="7">
        <v>0</v>
      </c>
      <c r="AL454" s="7">
        <v>0</v>
      </c>
      <c r="AM454" s="7">
        <v>0</v>
      </c>
      <c r="AN454" s="7">
        <v>0</v>
      </c>
      <c r="AO454" s="7">
        <v>0</v>
      </c>
      <c r="AP454" s="7">
        <v>0</v>
      </c>
      <c r="AQ454" s="7">
        <v>0</v>
      </c>
      <c r="AR454" s="7">
        <v>0</v>
      </c>
      <c r="AS454" s="7">
        <v>0</v>
      </c>
      <c r="AT454" s="7">
        <v>0</v>
      </c>
      <c r="AU454" s="7">
        <v>0</v>
      </c>
      <c r="AV454" s="7">
        <v>0</v>
      </c>
      <c r="AW454" s="7">
        <v>0</v>
      </c>
      <c r="AX454" s="7">
        <v>0</v>
      </c>
      <c r="AY454" s="7">
        <v>0</v>
      </c>
      <c r="AZ454" s="7">
        <v>0</v>
      </c>
      <c r="BA454" s="7">
        <v>0</v>
      </c>
      <c r="BB454" s="7">
        <v>0</v>
      </c>
      <c r="BC454" s="7">
        <v>0</v>
      </c>
      <c r="BD454">
        <v>0</v>
      </c>
      <c r="BE454">
        <v>28.87</v>
      </c>
      <c r="BF4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4" s="42" t="str">
        <f>+IF(AVANCE[[#This Row],[FECHA INICIO REAL]]="","",AVANCE[[#This Row],[FECHA INICIO REAL]]-AVANCE[[#This Row],[FECHA INICIO TEORICO]])</f>
        <v/>
      </c>
      <c r="BH4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5" spans="1:61" x14ac:dyDescent="0.25">
      <c r="A455" t="s">
        <v>1286</v>
      </c>
      <c r="B455" t="s">
        <v>1292</v>
      </c>
      <c r="C455">
        <v>2302600454</v>
      </c>
      <c r="D455" t="s">
        <v>834</v>
      </c>
      <c r="E455" s="4">
        <v>0</v>
      </c>
      <c r="F455" s="1">
        <v>46365</v>
      </c>
      <c r="G455" s="1"/>
      <c r="H455" s="1">
        <v>0</v>
      </c>
      <c r="I455" s="1">
        <v>46395</v>
      </c>
      <c r="J455">
        <v>46188</v>
      </c>
      <c r="K455" s="1"/>
      <c r="L455" s="7">
        <v>0</v>
      </c>
      <c r="M455" s="7">
        <v>0</v>
      </c>
      <c r="N455" s="7">
        <v>0</v>
      </c>
      <c r="O455" s="7">
        <v>0</v>
      </c>
      <c r="P455" s="7">
        <v>0</v>
      </c>
      <c r="Q455" s="7">
        <v>0</v>
      </c>
      <c r="R455" s="7">
        <v>0</v>
      </c>
      <c r="S455" s="7">
        <v>0</v>
      </c>
      <c r="T455" s="7">
        <v>0</v>
      </c>
      <c r="U455" s="7">
        <v>0</v>
      </c>
      <c r="V455" s="7">
        <v>0</v>
      </c>
      <c r="W455" s="7">
        <v>0</v>
      </c>
      <c r="X455" s="7">
        <v>0</v>
      </c>
      <c r="Y455" s="7">
        <v>0</v>
      </c>
      <c r="Z455" s="7">
        <v>0</v>
      </c>
      <c r="AA455" s="7">
        <v>0</v>
      </c>
      <c r="AB455" s="7">
        <v>0</v>
      </c>
      <c r="AC455" s="7">
        <v>0</v>
      </c>
      <c r="AD455" s="7">
        <v>0</v>
      </c>
      <c r="AE455" s="7">
        <v>0</v>
      </c>
      <c r="AF455" s="7">
        <v>0</v>
      </c>
      <c r="AG455" s="7">
        <v>0</v>
      </c>
      <c r="AH455" s="7">
        <v>0</v>
      </c>
      <c r="AI455" s="7">
        <v>0</v>
      </c>
      <c r="AJ455" s="7">
        <v>0</v>
      </c>
      <c r="AK455" s="7">
        <v>0</v>
      </c>
      <c r="AL455" s="7">
        <v>0</v>
      </c>
      <c r="AM455" s="7">
        <v>0</v>
      </c>
      <c r="AN455" s="7">
        <v>0</v>
      </c>
      <c r="AO455" s="7">
        <v>0</v>
      </c>
      <c r="AP455" s="7">
        <v>0</v>
      </c>
      <c r="AQ455" s="7">
        <v>0</v>
      </c>
      <c r="AR455" s="7">
        <v>0</v>
      </c>
      <c r="AS455" s="7">
        <v>0</v>
      </c>
      <c r="AT455" s="7">
        <v>0</v>
      </c>
      <c r="AU455" s="7">
        <v>0</v>
      </c>
      <c r="AV455" s="7">
        <v>0</v>
      </c>
      <c r="AW455" s="7">
        <v>0</v>
      </c>
      <c r="AX455" s="7">
        <v>0</v>
      </c>
      <c r="AY455" s="7">
        <v>0</v>
      </c>
      <c r="AZ455" s="7">
        <v>0</v>
      </c>
      <c r="BA455" s="7">
        <v>0</v>
      </c>
      <c r="BB455" s="7">
        <v>0</v>
      </c>
      <c r="BC455" s="7">
        <v>0</v>
      </c>
      <c r="BD455">
        <v>0</v>
      </c>
      <c r="BE455">
        <v>31.32</v>
      </c>
      <c r="BF4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5" s="42" t="str">
        <f>+IF(AVANCE[[#This Row],[FECHA INICIO REAL]]="","",AVANCE[[#This Row],[FECHA INICIO REAL]]-AVANCE[[#This Row],[FECHA INICIO TEORICO]])</f>
        <v/>
      </c>
      <c r="BH4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6" spans="1:61" x14ac:dyDescent="0.25">
      <c r="A456" t="s">
        <v>1286</v>
      </c>
      <c r="B456" t="s">
        <v>1293</v>
      </c>
      <c r="C456">
        <v>2302600455</v>
      </c>
      <c r="D456" t="s">
        <v>834</v>
      </c>
      <c r="E456" s="4">
        <v>0</v>
      </c>
      <c r="F456" s="1">
        <v>46366</v>
      </c>
      <c r="G456" s="1"/>
      <c r="H456" s="1">
        <v>0</v>
      </c>
      <c r="I456" s="1">
        <v>46396</v>
      </c>
      <c r="J456">
        <v>46188</v>
      </c>
      <c r="K456" s="1"/>
      <c r="L456" s="7">
        <v>0</v>
      </c>
      <c r="M456" s="7">
        <v>0</v>
      </c>
      <c r="N456" s="7">
        <v>0</v>
      </c>
      <c r="O456" s="7">
        <v>0</v>
      </c>
      <c r="P456" s="7">
        <v>0</v>
      </c>
      <c r="Q456" s="7">
        <v>0</v>
      </c>
      <c r="R456" s="7">
        <v>0</v>
      </c>
      <c r="S456" s="7">
        <v>0</v>
      </c>
      <c r="T456" s="7">
        <v>0</v>
      </c>
      <c r="U456" s="7">
        <v>0</v>
      </c>
      <c r="V456" s="7">
        <v>0</v>
      </c>
      <c r="W456" s="7">
        <v>0</v>
      </c>
      <c r="X456" s="7">
        <v>0</v>
      </c>
      <c r="Y456" s="7">
        <v>0</v>
      </c>
      <c r="Z456" s="7">
        <v>0</v>
      </c>
      <c r="AA456" s="7">
        <v>0</v>
      </c>
      <c r="AB456" s="7">
        <v>0</v>
      </c>
      <c r="AC456" s="7">
        <v>0</v>
      </c>
      <c r="AD456" s="7">
        <v>0</v>
      </c>
      <c r="AE456" s="7">
        <v>0</v>
      </c>
      <c r="AF456" s="7">
        <v>0</v>
      </c>
      <c r="AG456" s="7">
        <v>0</v>
      </c>
      <c r="AH456" s="7">
        <v>0</v>
      </c>
      <c r="AI456" s="7">
        <v>0</v>
      </c>
      <c r="AJ456" s="7">
        <v>0</v>
      </c>
      <c r="AK456" s="7">
        <v>0</v>
      </c>
      <c r="AL456" s="7">
        <v>0</v>
      </c>
      <c r="AM456" s="7">
        <v>0</v>
      </c>
      <c r="AN456" s="7">
        <v>0</v>
      </c>
      <c r="AO456" s="7">
        <v>0</v>
      </c>
      <c r="AP456" s="7">
        <v>0</v>
      </c>
      <c r="AQ456" s="7">
        <v>0</v>
      </c>
      <c r="AR456" s="7">
        <v>0</v>
      </c>
      <c r="AS456" s="7">
        <v>0</v>
      </c>
      <c r="AT456" s="7">
        <v>0</v>
      </c>
      <c r="AU456" s="7">
        <v>0</v>
      </c>
      <c r="AV456" s="7">
        <v>0</v>
      </c>
      <c r="AW456" s="7">
        <v>0</v>
      </c>
      <c r="AX456" s="7">
        <v>0</v>
      </c>
      <c r="AY456" s="7">
        <v>0</v>
      </c>
      <c r="AZ456" s="7">
        <v>0</v>
      </c>
      <c r="BA456" s="7">
        <v>0</v>
      </c>
      <c r="BB456" s="7">
        <v>0</v>
      </c>
      <c r="BC456" s="7">
        <v>0</v>
      </c>
      <c r="BD456">
        <v>0</v>
      </c>
      <c r="BE456">
        <v>31.32</v>
      </c>
      <c r="BF4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6" s="42" t="str">
        <f>+IF(AVANCE[[#This Row],[FECHA INICIO REAL]]="","",AVANCE[[#This Row],[FECHA INICIO REAL]]-AVANCE[[#This Row],[FECHA INICIO TEORICO]])</f>
        <v/>
      </c>
      <c r="BH4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7" spans="1:61" x14ac:dyDescent="0.25">
      <c r="A457" t="s">
        <v>1286</v>
      </c>
      <c r="B457" t="s">
        <v>1294</v>
      </c>
      <c r="C457">
        <v>2282600456</v>
      </c>
      <c r="D457" t="s">
        <v>833</v>
      </c>
      <c r="E457" s="4">
        <v>0</v>
      </c>
      <c r="F457" s="1">
        <v>46366</v>
      </c>
      <c r="G457" s="1"/>
      <c r="H457" s="1">
        <v>0</v>
      </c>
      <c r="I457" s="1">
        <v>46386</v>
      </c>
      <c r="J457">
        <v>46188</v>
      </c>
      <c r="K457" s="1"/>
      <c r="L457" s="7">
        <v>0</v>
      </c>
      <c r="M457" s="7">
        <v>0</v>
      </c>
      <c r="N457" s="7">
        <v>0</v>
      </c>
      <c r="O457" s="7">
        <v>0</v>
      </c>
      <c r="P457" s="7">
        <v>0</v>
      </c>
      <c r="Q457" s="7">
        <v>0</v>
      </c>
      <c r="R457" s="7">
        <v>0</v>
      </c>
      <c r="S457" s="7">
        <v>0</v>
      </c>
      <c r="T457" s="7">
        <v>0</v>
      </c>
      <c r="U457" s="7">
        <v>0</v>
      </c>
      <c r="V457" s="7">
        <v>0</v>
      </c>
      <c r="W457" s="7">
        <v>0</v>
      </c>
      <c r="X457" s="7">
        <v>0</v>
      </c>
      <c r="Y457" s="7">
        <v>0</v>
      </c>
      <c r="Z457" s="7">
        <v>0</v>
      </c>
      <c r="AA457" s="7">
        <v>0</v>
      </c>
      <c r="AB457" s="7">
        <v>0</v>
      </c>
      <c r="AC457" s="7">
        <v>0</v>
      </c>
      <c r="AD457" s="7">
        <v>0</v>
      </c>
      <c r="AE457" s="7">
        <v>0</v>
      </c>
      <c r="AF457" s="7">
        <v>0</v>
      </c>
      <c r="AG457" s="7">
        <v>0</v>
      </c>
      <c r="AH457" s="7">
        <v>0</v>
      </c>
      <c r="AI457" s="7">
        <v>0</v>
      </c>
      <c r="AJ457" s="7">
        <v>0</v>
      </c>
      <c r="AK457" s="7">
        <v>0</v>
      </c>
      <c r="AL457" s="7">
        <v>0</v>
      </c>
      <c r="AM457" s="7">
        <v>0</v>
      </c>
      <c r="AN457" s="7">
        <v>0</v>
      </c>
      <c r="AO457" s="7">
        <v>0</v>
      </c>
      <c r="AP457" s="7">
        <v>0</v>
      </c>
      <c r="AQ457" s="7">
        <v>0</v>
      </c>
      <c r="AR457" s="7">
        <v>0</v>
      </c>
      <c r="AS457" s="7">
        <v>0</v>
      </c>
      <c r="AT457" s="7">
        <v>0</v>
      </c>
      <c r="AU457" s="7">
        <v>0</v>
      </c>
      <c r="AV457" s="7">
        <v>0</v>
      </c>
      <c r="AW457" s="7">
        <v>0</v>
      </c>
      <c r="AX457" s="7">
        <v>0</v>
      </c>
      <c r="AY457" s="7">
        <v>0</v>
      </c>
      <c r="AZ457" s="7">
        <v>0</v>
      </c>
      <c r="BA457" s="7">
        <v>0</v>
      </c>
      <c r="BB457" s="7">
        <v>0</v>
      </c>
      <c r="BC457" s="7">
        <v>0</v>
      </c>
      <c r="BD457">
        <v>0</v>
      </c>
      <c r="BE457">
        <v>28.87</v>
      </c>
      <c r="BF4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7" s="42" t="str">
        <f>+IF(AVANCE[[#This Row],[FECHA INICIO REAL]]="","",AVANCE[[#This Row],[FECHA INICIO REAL]]-AVANCE[[#This Row],[FECHA INICIO TEORICO]])</f>
        <v/>
      </c>
      <c r="BH4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8" spans="1:61" x14ac:dyDescent="0.25">
      <c r="A458" t="s">
        <v>1286</v>
      </c>
      <c r="B458" t="s">
        <v>1295</v>
      </c>
      <c r="C458">
        <v>2282600457</v>
      </c>
      <c r="D458" t="s">
        <v>833</v>
      </c>
      <c r="E458" s="4">
        <v>0</v>
      </c>
      <c r="F458" s="1">
        <v>46366</v>
      </c>
      <c r="G458" s="1"/>
      <c r="H458" s="1">
        <v>0</v>
      </c>
      <c r="I458" s="1">
        <v>46386</v>
      </c>
      <c r="J458">
        <v>46188</v>
      </c>
      <c r="K458" s="1"/>
      <c r="L458" s="7">
        <v>0</v>
      </c>
      <c r="M458" s="7">
        <v>0</v>
      </c>
      <c r="N458" s="7">
        <v>0</v>
      </c>
      <c r="O458" s="7">
        <v>0</v>
      </c>
      <c r="P458" s="7">
        <v>0</v>
      </c>
      <c r="Q458" s="7">
        <v>0</v>
      </c>
      <c r="R458" s="7">
        <v>0</v>
      </c>
      <c r="S458" s="7">
        <v>0</v>
      </c>
      <c r="T458" s="7">
        <v>0</v>
      </c>
      <c r="U458" s="7">
        <v>0</v>
      </c>
      <c r="V458" s="7">
        <v>0</v>
      </c>
      <c r="W458" s="7">
        <v>0</v>
      </c>
      <c r="X458" s="7">
        <v>0</v>
      </c>
      <c r="Y458" s="7">
        <v>0</v>
      </c>
      <c r="Z458" s="7">
        <v>0</v>
      </c>
      <c r="AA458" s="7">
        <v>0</v>
      </c>
      <c r="AB458" s="7">
        <v>0</v>
      </c>
      <c r="AC458" s="7">
        <v>0</v>
      </c>
      <c r="AD458" s="7">
        <v>0</v>
      </c>
      <c r="AE458" s="7">
        <v>0</v>
      </c>
      <c r="AF458" s="7">
        <v>0</v>
      </c>
      <c r="AG458" s="7">
        <v>0</v>
      </c>
      <c r="AH458" s="7">
        <v>0</v>
      </c>
      <c r="AI458" s="7">
        <v>0</v>
      </c>
      <c r="AJ458" s="7">
        <v>0</v>
      </c>
      <c r="AK458" s="7">
        <v>0</v>
      </c>
      <c r="AL458" s="7">
        <v>0</v>
      </c>
      <c r="AM458" s="7">
        <v>0</v>
      </c>
      <c r="AN458" s="7">
        <v>0</v>
      </c>
      <c r="AO458" s="7">
        <v>0</v>
      </c>
      <c r="AP458" s="7">
        <v>0</v>
      </c>
      <c r="AQ458" s="7">
        <v>0</v>
      </c>
      <c r="AR458" s="7">
        <v>0</v>
      </c>
      <c r="AS458" s="7">
        <v>0</v>
      </c>
      <c r="AT458" s="7">
        <v>0</v>
      </c>
      <c r="AU458" s="7">
        <v>0</v>
      </c>
      <c r="AV458" s="7">
        <v>0</v>
      </c>
      <c r="AW458" s="7">
        <v>0</v>
      </c>
      <c r="AX458" s="7">
        <v>0</v>
      </c>
      <c r="AY458" s="7">
        <v>0</v>
      </c>
      <c r="AZ458" s="7">
        <v>0</v>
      </c>
      <c r="BA458" s="7">
        <v>0</v>
      </c>
      <c r="BB458" s="7">
        <v>0</v>
      </c>
      <c r="BC458" s="7">
        <v>0</v>
      </c>
      <c r="BD458">
        <v>0</v>
      </c>
      <c r="BE458">
        <v>28.87</v>
      </c>
      <c r="BF4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8" s="42" t="str">
        <f>+IF(AVANCE[[#This Row],[FECHA INICIO REAL]]="","",AVANCE[[#This Row],[FECHA INICIO REAL]]-AVANCE[[#This Row],[FECHA INICIO TEORICO]])</f>
        <v/>
      </c>
      <c r="BH4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9" spans="1:61" x14ac:dyDescent="0.25">
      <c r="A459" t="s">
        <v>1286</v>
      </c>
      <c r="B459" t="s">
        <v>1296</v>
      </c>
      <c r="C459">
        <v>2302600458</v>
      </c>
      <c r="D459" t="s">
        <v>834</v>
      </c>
      <c r="E459" s="4">
        <v>0</v>
      </c>
      <c r="F459" s="1">
        <v>46367</v>
      </c>
      <c r="G459" s="1"/>
      <c r="H459" s="1">
        <v>0</v>
      </c>
      <c r="I459" s="1">
        <v>46397</v>
      </c>
      <c r="J459">
        <v>46188</v>
      </c>
      <c r="K459" s="1"/>
      <c r="L459" s="7">
        <v>0</v>
      </c>
      <c r="M459" s="7">
        <v>0</v>
      </c>
      <c r="N459" s="7">
        <v>0</v>
      </c>
      <c r="O459" s="7">
        <v>0</v>
      </c>
      <c r="P459" s="7">
        <v>0</v>
      </c>
      <c r="Q459" s="7">
        <v>0</v>
      </c>
      <c r="R459" s="7">
        <v>0</v>
      </c>
      <c r="S459" s="7">
        <v>0</v>
      </c>
      <c r="T459" s="7">
        <v>0</v>
      </c>
      <c r="U459" s="7">
        <v>0</v>
      </c>
      <c r="V459" s="7">
        <v>0</v>
      </c>
      <c r="W459" s="7">
        <v>0</v>
      </c>
      <c r="X459" s="7">
        <v>0</v>
      </c>
      <c r="Y459" s="7">
        <v>0</v>
      </c>
      <c r="Z459" s="7">
        <v>0</v>
      </c>
      <c r="AA459" s="7">
        <v>0</v>
      </c>
      <c r="AB459" s="7">
        <v>0</v>
      </c>
      <c r="AC459" s="7">
        <v>0</v>
      </c>
      <c r="AD459" s="7">
        <v>0</v>
      </c>
      <c r="AE459" s="7">
        <v>0</v>
      </c>
      <c r="AF459" s="7">
        <v>0</v>
      </c>
      <c r="AG459" s="7">
        <v>0</v>
      </c>
      <c r="AH459" s="7">
        <v>0</v>
      </c>
      <c r="AI459" s="7">
        <v>0</v>
      </c>
      <c r="AJ459" s="7">
        <v>0</v>
      </c>
      <c r="AK459" s="7">
        <v>0</v>
      </c>
      <c r="AL459" s="7">
        <v>0</v>
      </c>
      <c r="AM459" s="7">
        <v>0</v>
      </c>
      <c r="AN459" s="7">
        <v>0</v>
      </c>
      <c r="AO459" s="7">
        <v>0</v>
      </c>
      <c r="AP459" s="7">
        <v>0</v>
      </c>
      <c r="AQ459" s="7">
        <v>0</v>
      </c>
      <c r="AR459" s="7">
        <v>0</v>
      </c>
      <c r="AS459" s="7">
        <v>0</v>
      </c>
      <c r="AT459" s="7">
        <v>0</v>
      </c>
      <c r="AU459" s="7">
        <v>0</v>
      </c>
      <c r="AV459" s="7">
        <v>0</v>
      </c>
      <c r="AW459" s="7">
        <v>0</v>
      </c>
      <c r="AX459" s="7">
        <v>0</v>
      </c>
      <c r="AY459" s="7">
        <v>0</v>
      </c>
      <c r="AZ459" s="7">
        <v>0</v>
      </c>
      <c r="BA459" s="7">
        <v>0</v>
      </c>
      <c r="BB459" s="7">
        <v>0</v>
      </c>
      <c r="BC459" s="7">
        <v>0</v>
      </c>
      <c r="BD459">
        <v>0</v>
      </c>
      <c r="BE459">
        <v>31.32</v>
      </c>
      <c r="BF4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9" s="42" t="str">
        <f>+IF(AVANCE[[#This Row],[FECHA INICIO REAL]]="","",AVANCE[[#This Row],[FECHA INICIO REAL]]-AVANCE[[#This Row],[FECHA INICIO TEORICO]])</f>
        <v/>
      </c>
      <c r="BH4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0" spans="1:61" x14ac:dyDescent="0.25">
      <c r="A460" t="s">
        <v>1286</v>
      </c>
      <c r="B460" t="s">
        <v>1297</v>
      </c>
      <c r="C460">
        <v>2302600459</v>
      </c>
      <c r="D460" t="s">
        <v>834</v>
      </c>
      <c r="E460" s="4">
        <v>0</v>
      </c>
      <c r="F460" s="1">
        <v>46367</v>
      </c>
      <c r="G460" s="1"/>
      <c r="H460" s="1">
        <v>0</v>
      </c>
      <c r="I460" s="1">
        <v>46397</v>
      </c>
      <c r="J460">
        <v>46188</v>
      </c>
      <c r="K460" s="1"/>
      <c r="L460" s="7">
        <v>0</v>
      </c>
      <c r="M460" s="7">
        <v>0</v>
      </c>
      <c r="N460" s="7">
        <v>0</v>
      </c>
      <c r="O460" s="7">
        <v>0</v>
      </c>
      <c r="P460" s="7">
        <v>0</v>
      </c>
      <c r="Q460" s="7">
        <v>0</v>
      </c>
      <c r="R460" s="7">
        <v>0</v>
      </c>
      <c r="S460" s="7">
        <v>0</v>
      </c>
      <c r="T460" s="7">
        <v>0</v>
      </c>
      <c r="U460" s="7">
        <v>0</v>
      </c>
      <c r="V460" s="7">
        <v>0</v>
      </c>
      <c r="W460" s="7">
        <v>0</v>
      </c>
      <c r="X460" s="7">
        <v>0</v>
      </c>
      <c r="Y460" s="7">
        <v>0</v>
      </c>
      <c r="Z460" s="7">
        <v>0</v>
      </c>
      <c r="AA460" s="7">
        <v>0</v>
      </c>
      <c r="AB460" s="7">
        <v>0</v>
      </c>
      <c r="AC460" s="7">
        <v>0</v>
      </c>
      <c r="AD460" s="7">
        <v>0</v>
      </c>
      <c r="AE460" s="7">
        <v>0</v>
      </c>
      <c r="AF460" s="7">
        <v>0</v>
      </c>
      <c r="AG460" s="7">
        <v>0</v>
      </c>
      <c r="AH460" s="7">
        <v>0</v>
      </c>
      <c r="AI460" s="7">
        <v>0</v>
      </c>
      <c r="AJ460" s="7">
        <v>0</v>
      </c>
      <c r="AK460" s="7">
        <v>0</v>
      </c>
      <c r="AL460" s="7">
        <v>0</v>
      </c>
      <c r="AM460" s="7">
        <v>0</v>
      </c>
      <c r="AN460" s="7">
        <v>0</v>
      </c>
      <c r="AO460" s="7">
        <v>0</v>
      </c>
      <c r="AP460" s="7">
        <v>0</v>
      </c>
      <c r="AQ460" s="7">
        <v>0</v>
      </c>
      <c r="AR460" s="7">
        <v>0</v>
      </c>
      <c r="AS460" s="7">
        <v>0</v>
      </c>
      <c r="AT460" s="7">
        <v>0</v>
      </c>
      <c r="AU460" s="7">
        <v>0</v>
      </c>
      <c r="AV460" s="7">
        <v>0</v>
      </c>
      <c r="AW460" s="7">
        <v>0</v>
      </c>
      <c r="AX460" s="7">
        <v>0</v>
      </c>
      <c r="AY460" s="7">
        <v>0</v>
      </c>
      <c r="AZ460" s="7">
        <v>0</v>
      </c>
      <c r="BA460" s="7">
        <v>0</v>
      </c>
      <c r="BB460" s="7">
        <v>0</v>
      </c>
      <c r="BC460" s="7">
        <v>0</v>
      </c>
      <c r="BD460">
        <v>0</v>
      </c>
      <c r="BE460">
        <v>31.32</v>
      </c>
      <c r="BF4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0" s="42" t="str">
        <f>+IF(AVANCE[[#This Row],[FECHA INICIO REAL]]="","",AVANCE[[#This Row],[FECHA INICIO REAL]]-AVANCE[[#This Row],[FECHA INICIO TEORICO]])</f>
        <v/>
      </c>
      <c r="BH4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1" spans="1:61" x14ac:dyDescent="0.25">
      <c r="A461" t="s">
        <v>1286</v>
      </c>
      <c r="B461" t="s">
        <v>1298</v>
      </c>
      <c r="C461">
        <v>2282600460</v>
      </c>
      <c r="D461" t="s">
        <v>833</v>
      </c>
      <c r="E461" s="4">
        <v>0</v>
      </c>
      <c r="F461" s="1">
        <v>46367</v>
      </c>
      <c r="G461" s="1"/>
      <c r="H461" s="1">
        <v>0</v>
      </c>
      <c r="I461" s="1">
        <v>46387</v>
      </c>
      <c r="J461">
        <v>46188</v>
      </c>
      <c r="K461" s="1"/>
      <c r="L461" s="7">
        <v>0</v>
      </c>
      <c r="M461" s="7">
        <v>0</v>
      </c>
      <c r="N461" s="7">
        <v>0</v>
      </c>
      <c r="O461" s="7">
        <v>0</v>
      </c>
      <c r="P461" s="7">
        <v>0</v>
      </c>
      <c r="Q461" s="7">
        <v>0</v>
      </c>
      <c r="R461" s="7">
        <v>0</v>
      </c>
      <c r="S461" s="7">
        <v>0</v>
      </c>
      <c r="T461" s="7">
        <v>0</v>
      </c>
      <c r="U461" s="7">
        <v>0</v>
      </c>
      <c r="V461" s="7">
        <v>0</v>
      </c>
      <c r="W461" s="7">
        <v>0</v>
      </c>
      <c r="X461" s="7">
        <v>0</v>
      </c>
      <c r="Y461" s="7">
        <v>0</v>
      </c>
      <c r="Z461" s="7">
        <v>0</v>
      </c>
      <c r="AA461" s="7">
        <v>0</v>
      </c>
      <c r="AB461" s="7">
        <v>0</v>
      </c>
      <c r="AC461" s="7">
        <v>0</v>
      </c>
      <c r="AD461" s="7">
        <v>0</v>
      </c>
      <c r="AE461" s="7">
        <v>0</v>
      </c>
      <c r="AF461" s="7">
        <v>0</v>
      </c>
      <c r="AG461" s="7">
        <v>0</v>
      </c>
      <c r="AH461" s="7">
        <v>0</v>
      </c>
      <c r="AI461" s="7">
        <v>0</v>
      </c>
      <c r="AJ461" s="7">
        <v>0</v>
      </c>
      <c r="AK461" s="7">
        <v>0</v>
      </c>
      <c r="AL461" s="7">
        <v>0</v>
      </c>
      <c r="AM461" s="7">
        <v>0</v>
      </c>
      <c r="AN461" s="7">
        <v>0</v>
      </c>
      <c r="AO461" s="7">
        <v>0</v>
      </c>
      <c r="AP461" s="7">
        <v>0</v>
      </c>
      <c r="AQ461" s="7">
        <v>0</v>
      </c>
      <c r="AR461" s="7">
        <v>0</v>
      </c>
      <c r="AS461" s="7">
        <v>0</v>
      </c>
      <c r="AT461" s="7">
        <v>0</v>
      </c>
      <c r="AU461" s="7">
        <v>0</v>
      </c>
      <c r="AV461" s="7">
        <v>0</v>
      </c>
      <c r="AW461" s="7">
        <v>0</v>
      </c>
      <c r="AX461" s="7">
        <v>0</v>
      </c>
      <c r="AY461" s="7">
        <v>0</v>
      </c>
      <c r="AZ461" s="7">
        <v>0</v>
      </c>
      <c r="BA461" s="7">
        <v>0</v>
      </c>
      <c r="BB461" s="7">
        <v>0</v>
      </c>
      <c r="BC461" s="7">
        <v>0</v>
      </c>
      <c r="BD461">
        <v>0</v>
      </c>
      <c r="BE461">
        <v>28.87</v>
      </c>
      <c r="BF4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1" s="42" t="str">
        <f>+IF(AVANCE[[#This Row],[FECHA INICIO REAL]]="","",AVANCE[[#This Row],[FECHA INICIO REAL]]-AVANCE[[#This Row],[FECHA INICIO TEORICO]])</f>
        <v/>
      </c>
      <c r="BH4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2" spans="1:61" x14ac:dyDescent="0.25">
      <c r="A462" t="s">
        <v>1286</v>
      </c>
      <c r="B462" t="s">
        <v>1299</v>
      </c>
      <c r="C462">
        <v>2282600461</v>
      </c>
      <c r="D462" t="s">
        <v>833</v>
      </c>
      <c r="E462" s="4">
        <v>0</v>
      </c>
      <c r="F462" s="1">
        <v>46370</v>
      </c>
      <c r="G462" s="1"/>
      <c r="H462" s="1">
        <v>0</v>
      </c>
      <c r="I462" s="1">
        <v>46390</v>
      </c>
      <c r="J462">
        <v>46188</v>
      </c>
      <c r="K462" s="1"/>
      <c r="L462" s="7">
        <v>0</v>
      </c>
      <c r="M462" s="7">
        <v>0</v>
      </c>
      <c r="N462" s="7">
        <v>0</v>
      </c>
      <c r="O462" s="7">
        <v>0</v>
      </c>
      <c r="P462" s="7">
        <v>0</v>
      </c>
      <c r="Q462" s="7">
        <v>0</v>
      </c>
      <c r="R462" s="7">
        <v>0</v>
      </c>
      <c r="S462" s="7">
        <v>0</v>
      </c>
      <c r="T462" s="7">
        <v>0</v>
      </c>
      <c r="U462" s="7">
        <v>0</v>
      </c>
      <c r="V462" s="7">
        <v>0</v>
      </c>
      <c r="W462" s="7">
        <v>0</v>
      </c>
      <c r="X462" s="7">
        <v>0</v>
      </c>
      <c r="Y462" s="7">
        <v>0</v>
      </c>
      <c r="Z462" s="7">
        <v>0</v>
      </c>
      <c r="AA462" s="7">
        <v>0</v>
      </c>
      <c r="AB462" s="7">
        <v>0</v>
      </c>
      <c r="AC462" s="7">
        <v>0</v>
      </c>
      <c r="AD462" s="7">
        <v>0</v>
      </c>
      <c r="AE462" s="7">
        <v>0</v>
      </c>
      <c r="AF462" s="7">
        <v>0</v>
      </c>
      <c r="AG462" s="7">
        <v>0</v>
      </c>
      <c r="AH462" s="7">
        <v>0</v>
      </c>
      <c r="AI462" s="7">
        <v>0</v>
      </c>
      <c r="AJ462" s="7">
        <v>0</v>
      </c>
      <c r="AK462" s="7">
        <v>0</v>
      </c>
      <c r="AL462" s="7">
        <v>0</v>
      </c>
      <c r="AM462" s="7">
        <v>0</v>
      </c>
      <c r="AN462" s="7">
        <v>0</v>
      </c>
      <c r="AO462" s="7">
        <v>0</v>
      </c>
      <c r="AP462" s="7">
        <v>0</v>
      </c>
      <c r="AQ462" s="7">
        <v>0</v>
      </c>
      <c r="AR462" s="7">
        <v>0</v>
      </c>
      <c r="AS462" s="7">
        <v>0</v>
      </c>
      <c r="AT462" s="7">
        <v>0</v>
      </c>
      <c r="AU462" s="7">
        <v>0</v>
      </c>
      <c r="AV462" s="7">
        <v>0</v>
      </c>
      <c r="AW462" s="7">
        <v>0</v>
      </c>
      <c r="AX462" s="7">
        <v>0</v>
      </c>
      <c r="AY462" s="7">
        <v>0</v>
      </c>
      <c r="AZ462" s="7">
        <v>0</v>
      </c>
      <c r="BA462" s="7">
        <v>0</v>
      </c>
      <c r="BB462" s="7">
        <v>0</v>
      </c>
      <c r="BC462" s="7">
        <v>0</v>
      </c>
      <c r="BD462">
        <v>0</v>
      </c>
      <c r="BE462">
        <v>28.87</v>
      </c>
      <c r="BF4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2" s="42" t="str">
        <f>+IF(AVANCE[[#This Row],[FECHA INICIO REAL]]="","",AVANCE[[#This Row],[FECHA INICIO REAL]]-AVANCE[[#This Row],[FECHA INICIO TEORICO]])</f>
        <v/>
      </c>
      <c r="BH4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3" spans="1:61" x14ac:dyDescent="0.25">
      <c r="A463" t="s">
        <v>1286</v>
      </c>
      <c r="B463" t="s">
        <v>1300</v>
      </c>
      <c r="C463">
        <v>2302600462</v>
      </c>
      <c r="D463" t="s">
        <v>834</v>
      </c>
      <c r="E463" s="4">
        <v>0</v>
      </c>
      <c r="F463" s="1">
        <v>46370</v>
      </c>
      <c r="G463" s="1"/>
      <c r="H463" s="1">
        <v>0</v>
      </c>
      <c r="I463" s="1">
        <v>46400</v>
      </c>
      <c r="J463">
        <v>46188</v>
      </c>
      <c r="K463" s="1"/>
      <c r="L463" s="7">
        <v>0</v>
      </c>
      <c r="M463" s="7">
        <v>0</v>
      </c>
      <c r="N463" s="7">
        <v>0</v>
      </c>
      <c r="O463" s="7">
        <v>0</v>
      </c>
      <c r="P463" s="7">
        <v>0</v>
      </c>
      <c r="Q463" s="7">
        <v>0</v>
      </c>
      <c r="R463" s="7">
        <v>0</v>
      </c>
      <c r="S463" s="7">
        <v>0</v>
      </c>
      <c r="T463" s="7">
        <v>0</v>
      </c>
      <c r="U463" s="7">
        <v>0</v>
      </c>
      <c r="V463" s="7">
        <v>0</v>
      </c>
      <c r="W463" s="7">
        <v>0</v>
      </c>
      <c r="X463" s="7">
        <v>0</v>
      </c>
      <c r="Y463" s="7">
        <v>0</v>
      </c>
      <c r="Z463" s="7">
        <v>0</v>
      </c>
      <c r="AA463" s="7">
        <v>0</v>
      </c>
      <c r="AB463" s="7">
        <v>0</v>
      </c>
      <c r="AC463" s="7">
        <v>0</v>
      </c>
      <c r="AD463" s="7">
        <v>0</v>
      </c>
      <c r="AE463" s="7">
        <v>0</v>
      </c>
      <c r="AF463" s="7">
        <v>0</v>
      </c>
      <c r="AG463" s="7">
        <v>0</v>
      </c>
      <c r="AH463" s="7">
        <v>0</v>
      </c>
      <c r="AI463" s="7">
        <v>0</v>
      </c>
      <c r="AJ463" s="7">
        <v>0</v>
      </c>
      <c r="AK463" s="7">
        <v>0</v>
      </c>
      <c r="AL463" s="7">
        <v>0</v>
      </c>
      <c r="AM463" s="7">
        <v>0</v>
      </c>
      <c r="AN463" s="7">
        <v>0</v>
      </c>
      <c r="AO463" s="7">
        <v>0</v>
      </c>
      <c r="AP463" s="7">
        <v>0</v>
      </c>
      <c r="AQ463" s="7">
        <v>0</v>
      </c>
      <c r="AR463" s="7">
        <v>0</v>
      </c>
      <c r="AS463" s="7">
        <v>0</v>
      </c>
      <c r="AT463" s="7">
        <v>0</v>
      </c>
      <c r="AU463" s="7">
        <v>0</v>
      </c>
      <c r="AV463" s="7">
        <v>0</v>
      </c>
      <c r="AW463" s="7">
        <v>0</v>
      </c>
      <c r="AX463" s="7">
        <v>0</v>
      </c>
      <c r="AY463" s="7">
        <v>0</v>
      </c>
      <c r="AZ463" s="7">
        <v>0</v>
      </c>
      <c r="BA463" s="7">
        <v>0</v>
      </c>
      <c r="BB463" s="7">
        <v>0</v>
      </c>
      <c r="BC463" s="7">
        <v>0</v>
      </c>
      <c r="BD463">
        <v>0</v>
      </c>
      <c r="BE463">
        <v>31.32</v>
      </c>
      <c r="BF4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3" s="42" t="str">
        <f>+IF(AVANCE[[#This Row],[FECHA INICIO REAL]]="","",AVANCE[[#This Row],[FECHA INICIO REAL]]-AVANCE[[#This Row],[FECHA INICIO TEORICO]])</f>
        <v/>
      </c>
      <c r="BH4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4" spans="1:61" x14ac:dyDescent="0.25">
      <c r="A464" t="s">
        <v>1286</v>
      </c>
      <c r="B464" t="s">
        <v>1301</v>
      </c>
      <c r="C464">
        <v>2302600463</v>
      </c>
      <c r="D464" t="s">
        <v>834</v>
      </c>
      <c r="E464" s="4">
        <v>0</v>
      </c>
      <c r="F464" s="1">
        <v>46370</v>
      </c>
      <c r="G464" s="1"/>
      <c r="H464" s="1">
        <v>0</v>
      </c>
      <c r="I464" s="1">
        <v>46400</v>
      </c>
      <c r="J464">
        <v>46188</v>
      </c>
      <c r="K464" s="1"/>
      <c r="L464" s="7">
        <v>0</v>
      </c>
      <c r="M464" s="7">
        <v>0</v>
      </c>
      <c r="N464" s="7">
        <v>0</v>
      </c>
      <c r="O464" s="7">
        <v>0</v>
      </c>
      <c r="P464" s="7">
        <v>0</v>
      </c>
      <c r="Q464" s="7">
        <v>0</v>
      </c>
      <c r="R464" s="7">
        <v>0</v>
      </c>
      <c r="S464" s="7">
        <v>0</v>
      </c>
      <c r="T464" s="7">
        <v>0</v>
      </c>
      <c r="U464" s="7">
        <v>0</v>
      </c>
      <c r="V464" s="7">
        <v>0</v>
      </c>
      <c r="W464" s="7">
        <v>0</v>
      </c>
      <c r="X464" s="7">
        <v>0</v>
      </c>
      <c r="Y464" s="7">
        <v>0</v>
      </c>
      <c r="Z464" s="7">
        <v>0</v>
      </c>
      <c r="AA464" s="7">
        <v>0</v>
      </c>
      <c r="AB464" s="7">
        <v>0</v>
      </c>
      <c r="AC464" s="7">
        <v>0</v>
      </c>
      <c r="AD464" s="7">
        <v>0</v>
      </c>
      <c r="AE464" s="7">
        <v>0</v>
      </c>
      <c r="AF464" s="7">
        <v>0</v>
      </c>
      <c r="AG464" s="7">
        <v>0</v>
      </c>
      <c r="AH464" s="7">
        <v>0</v>
      </c>
      <c r="AI464" s="7">
        <v>0</v>
      </c>
      <c r="AJ464" s="7">
        <v>0</v>
      </c>
      <c r="AK464" s="7">
        <v>0</v>
      </c>
      <c r="AL464" s="7">
        <v>0</v>
      </c>
      <c r="AM464" s="7">
        <v>0</v>
      </c>
      <c r="AN464" s="7">
        <v>0</v>
      </c>
      <c r="AO464" s="7">
        <v>0</v>
      </c>
      <c r="AP464" s="7">
        <v>0</v>
      </c>
      <c r="AQ464" s="7">
        <v>0</v>
      </c>
      <c r="AR464" s="7">
        <v>0</v>
      </c>
      <c r="AS464" s="7">
        <v>0</v>
      </c>
      <c r="AT464" s="7">
        <v>0</v>
      </c>
      <c r="AU464" s="7">
        <v>0</v>
      </c>
      <c r="AV464" s="7">
        <v>0</v>
      </c>
      <c r="AW464" s="7">
        <v>0</v>
      </c>
      <c r="AX464" s="7">
        <v>0</v>
      </c>
      <c r="AY464" s="7">
        <v>0</v>
      </c>
      <c r="AZ464" s="7">
        <v>0</v>
      </c>
      <c r="BA464" s="7">
        <v>0</v>
      </c>
      <c r="BB464" s="7">
        <v>0</v>
      </c>
      <c r="BC464" s="7">
        <v>0</v>
      </c>
      <c r="BD464">
        <v>0</v>
      </c>
      <c r="BE464">
        <v>31.32</v>
      </c>
      <c r="BF4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4" s="42" t="str">
        <f>+IF(AVANCE[[#This Row],[FECHA INICIO REAL]]="","",AVANCE[[#This Row],[FECHA INICIO REAL]]-AVANCE[[#This Row],[FECHA INICIO TEORICO]])</f>
        <v/>
      </c>
      <c r="BH4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5" spans="1:61" x14ac:dyDescent="0.25">
      <c r="A465" t="s">
        <v>1286</v>
      </c>
      <c r="B465" t="s">
        <v>1302</v>
      </c>
      <c r="C465">
        <v>2282600464</v>
      </c>
      <c r="D465" t="s">
        <v>833</v>
      </c>
      <c r="E465" s="4">
        <v>0</v>
      </c>
      <c r="F465" s="1">
        <v>46371</v>
      </c>
      <c r="G465" s="1"/>
      <c r="H465" s="1">
        <v>0</v>
      </c>
      <c r="I465" s="1">
        <v>46391</v>
      </c>
      <c r="J465">
        <v>46188</v>
      </c>
      <c r="K465" s="1"/>
      <c r="L465" s="7">
        <v>0</v>
      </c>
      <c r="M465" s="7">
        <v>0</v>
      </c>
      <c r="N465" s="7">
        <v>0</v>
      </c>
      <c r="O465" s="7">
        <v>0</v>
      </c>
      <c r="P465" s="7">
        <v>0</v>
      </c>
      <c r="Q465" s="7">
        <v>0</v>
      </c>
      <c r="R465" s="7">
        <v>0</v>
      </c>
      <c r="S465" s="7">
        <v>0</v>
      </c>
      <c r="T465" s="7">
        <v>0</v>
      </c>
      <c r="U465" s="7">
        <v>0</v>
      </c>
      <c r="V465" s="7">
        <v>0</v>
      </c>
      <c r="W465" s="7">
        <v>0</v>
      </c>
      <c r="X465" s="7">
        <v>0</v>
      </c>
      <c r="Y465" s="7">
        <v>0</v>
      </c>
      <c r="Z465" s="7">
        <v>0</v>
      </c>
      <c r="AA465" s="7">
        <v>0</v>
      </c>
      <c r="AB465" s="7">
        <v>0</v>
      </c>
      <c r="AC465" s="7">
        <v>0</v>
      </c>
      <c r="AD465" s="7">
        <v>0</v>
      </c>
      <c r="AE465" s="7">
        <v>0</v>
      </c>
      <c r="AF465" s="7">
        <v>0</v>
      </c>
      <c r="AG465" s="7">
        <v>0</v>
      </c>
      <c r="AH465" s="7">
        <v>0</v>
      </c>
      <c r="AI465" s="7">
        <v>0</v>
      </c>
      <c r="AJ465" s="7">
        <v>0</v>
      </c>
      <c r="AK465" s="7">
        <v>0</v>
      </c>
      <c r="AL465" s="7">
        <v>0</v>
      </c>
      <c r="AM465" s="7">
        <v>0</v>
      </c>
      <c r="AN465" s="7">
        <v>0</v>
      </c>
      <c r="AO465" s="7">
        <v>0</v>
      </c>
      <c r="AP465" s="7">
        <v>0</v>
      </c>
      <c r="AQ465" s="7">
        <v>0</v>
      </c>
      <c r="AR465" s="7">
        <v>0</v>
      </c>
      <c r="AS465" s="7">
        <v>0</v>
      </c>
      <c r="AT465" s="7">
        <v>0</v>
      </c>
      <c r="AU465" s="7">
        <v>0</v>
      </c>
      <c r="AV465" s="7">
        <v>0</v>
      </c>
      <c r="AW465" s="7">
        <v>0</v>
      </c>
      <c r="AX465" s="7">
        <v>0</v>
      </c>
      <c r="AY465" s="7">
        <v>0</v>
      </c>
      <c r="AZ465" s="7">
        <v>0</v>
      </c>
      <c r="BA465" s="7">
        <v>0</v>
      </c>
      <c r="BB465" s="7">
        <v>0</v>
      </c>
      <c r="BC465" s="7">
        <v>0</v>
      </c>
      <c r="BD465">
        <v>0</v>
      </c>
      <c r="BE465">
        <v>28.87</v>
      </c>
      <c r="BF4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5" s="42" t="str">
        <f>+IF(AVANCE[[#This Row],[FECHA INICIO REAL]]="","",AVANCE[[#This Row],[FECHA INICIO REAL]]-AVANCE[[#This Row],[FECHA INICIO TEORICO]])</f>
        <v/>
      </c>
      <c r="BH4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6" spans="1:61" x14ac:dyDescent="0.25">
      <c r="A466" t="s">
        <v>1286</v>
      </c>
      <c r="B466" t="s">
        <v>1303</v>
      </c>
      <c r="C466">
        <v>2282600465</v>
      </c>
      <c r="D466" t="s">
        <v>833</v>
      </c>
      <c r="E466" s="4">
        <v>0</v>
      </c>
      <c r="F466" s="1">
        <v>46371</v>
      </c>
      <c r="G466" s="1"/>
      <c r="H466" s="1">
        <v>0</v>
      </c>
      <c r="I466" s="1">
        <v>46391</v>
      </c>
      <c r="J466">
        <v>46188</v>
      </c>
      <c r="K466" s="1"/>
      <c r="L466" s="7">
        <v>0</v>
      </c>
      <c r="M466" s="7">
        <v>0</v>
      </c>
      <c r="N466" s="7">
        <v>0</v>
      </c>
      <c r="O466" s="7">
        <v>0</v>
      </c>
      <c r="P466" s="7">
        <v>0</v>
      </c>
      <c r="Q466" s="7">
        <v>0</v>
      </c>
      <c r="R466" s="7">
        <v>0</v>
      </c>
      <c r="S466" s="7">
        <v>0</v>
      </c>
      <c r="T466" s="7">
        <v>0</v>
      </c>
      <c r="U466" s="7">
        <v>0</v>
      </c>
      <c r="V466" s="7">
        <v>0</v>
      </c>
      <c r="W466" s="7">
        <v>0</v>
      </c>
      <c r="X466" s="7">
        <v>0</v>
      </c>
      <c r="Y466" s="7">
        <v>0</v>
      </c>
      <c r="Z466" s="7">
        <v>0</v>
      </c>
      <c r="AA466" s="7">
        <v>0</v>
      </c>
      <c r="AB466" s="7">
        <v>0</v>
      </c>
      <c r="AC466" s="7">
        <v>0</v>
      </c>
      <c r="AD466" s="7">
        <v>0</v>
      </c>
      <c r="AE466" s="7">
        <v>0</v>
      </c>
      <c r="AF466" s="7">
        <v>0</v>
      </c>
      <c r="AG466" s="7">
        <v>0</v>
      </c>
      <c r="AH466" s="7">
        <v>0</v>
      </c>
      <c r="AI466" s="7">
        <v>0</v>
      </c>
      <c r="AJ466" s="7">
        <v>0</v>
      </c>
      <c r="AK466" s="7">
        <v>0</v>
      </c>
      <c r="AL466" s="7">
        <v>0</v>
      </c>
      <c r="AM466" s="7">
        <v>0</v>
      </c>
      <c r="AN466" s="7">
        <v>0</v>
      </c>
      <c r="AO466" s="7">
        <v>0</v>
      </c>
      <c r="AP466" s="7">
        <v>0</v>
      </c>
      <c r="AQ466" s="7">
        <v>0</v>
      </c>
      <c r="AR466" s="7">
        <v>0</v>
      </c>
      <c r="AS466" s="7">
        <v>0</v>
      </c>
      <c r="AT466" s="7">
        <v>0</v>
      </c>
      <c r="AU466" s="7">
        <v>0</v>
      </c>
      <c r="AV466" s="7">
        <v>0</v>
      </c>
      <c r="AW466" s="7">
        <v>0</v>
      </c>
      <c r="AX466" s="7">
        <v>0</v>
      </c>
      <c r="AY466" s="7">
        <v>0</v>
      </c>
      <c r="AZ466" s="7">
        <v>0</v>
      </c>
      <c r="BA466" s="7">
        <v>0</v>
      </c>
      <c r="BB466" s="7">
        <v>0</v>
      </c>
      <c r="BC466" s="7">
        <v>0</v>
      </c>
      <c r="BD466">
        <v>0</v>
      </c>
      <c r="BE466">
        <v>28.87</v>
      </c>
      <c r="BF4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6" s="42" t="str">
        <f>+IF(AVANCE[[#This Row],[FECHA INICIO REAL]]="","",AVANCE[[#This Row],[FECHA INICIO REAL]]-AVANCE[[#This Row],[FECHA INICIO TEORICO]])</f>
        <v/>
      </c>
      <c r="BH4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7" spans="1:61" x14ac:dyDescent="0.25">
      <c r="A467" t="s">
        <v>1286</v>
      </c>
      <c r="B467" t="s">
        <v>1304</v>
      </c>
      <c r="C467">
        <v>2302600466</v>
      </c>
      <c r="D467" t="s">
        <v>834</v>
      </c>
      <c r="E467" s="4">
        <v>0</v>
      </c>
      <c r="F467" s="1">
        <v>46371</v>
      </c>
      <c r="G467" s="1"/>
      <c r="H467" s="1">
        <v>0</v>
      </c>
      <c r="I467" s="1">
        <v>46401</v>
      </c>
      <c r="J467">
        <v>46188</v>
      </c>
      <c r="K467" s="1"/>
      <c r="L467" s="7">
        <v>0</v>
      </c>
      <c r="M467" s="7">
        <v>0</v>
      </c>
      <c r="N467" s="7">
        <v>0</v>
      </c>
      <c r="O467" s="7">
        <v>0</v>
      </c>
      <c r="P467" s="7">
        <v>0</v>
      </c>
      <c r="Q467" s="7">
        <v>0</v>
      </c>
      <c r="R467" s="7">
        <v>0</v>
      </c>
      <c r="S467" s="7">
        <v>0</v>
      </c>
      <c r="T467" s="7">
        <v>0</v>
      </c>
      <c r="U467" s="7">
        <v>0</v>
      </c>
      <c r="V467" s="7">
        <v>0</v>
      </c>
      <c r="W467" s="7">
        <v>0</v>
      </c>
      <c r="X467" s="7">
        <v>0</v>
      </c>
      <c r="Y467" s="7">
        <v>0</v>
      </c>
      <c r="Z467" s="7">
        <v>0</v>
      </c>
      <c r="AA467" s="7">
        <v>0</v>
      </c>
      <c r="AB467" s="7">
        <v>0</v>
      </c>
      <c r="AC467" s="7">
        <v>0</v>
      </c>
      <c r="AD467" s="7">
        <v>0</v>
      </c>
      <c r="AE467" s="7">
        <v>0</v>
      </c>
      <c r="AF467" s="7">
        <v>0</v>
      </c>
      <c r="AG467" s="7">
        <v>0</v>
      </c>
      <c r="AH467" s="7">
        <v>0</v>
      </c>
      <c r="AI467" s="7">
        <v>0</v>
      </c>
      <c r="AJ467" s="7">
        <v>0</v>
      </c>
      <c r="AK467" s="7">
        <v>0</v>
      </c>
      <c r="AL467" s="7">
        <v>0</v>
      </c>
      <c r="AM467" s="7">
        <v>0</v>
      </c>
      <c r="AN467" s="7">
        <v>0</v>
      </c>
      <c r="AO467" s="7">
        <v>0</v>
      </c>
      <c r="AP467" s="7">
        <v>0</v>
      </c>
      <c r="AQ467" s="7">
        <v>0</v>
      </c>
      <c r="AR467" s="7">
        <v>0</v>
      </c>
      <c r="AS467" s="7">
        <v>0</v>
      </c>
      <c r="AT467" s="7">
        <v>0</v>
      </c>
      <c r="AU467" s="7">
        <v>0</v>
      </c>
      <c r="AV467" s="7">
        <v>0</v>
      </c>
      <c r="AW467" s="7">
        <v>0</v>
      </c>
      <c r="AX467" s="7">
        <v>0</v>
      </c>
      <c r="AY467" s="7">
        <v>0</v>
      </c>
      <c r="AZ467" s="7">
        <v>0</v>
      </c>
      <c r="BA467" s="7">
        <v>0</v>
      </c>
      <c r="BB467" s="7">
        <v>0</v>
      </c>
      <c r="BC467" s="7">
        <v>0</v>
      </c>
      <c r="BD467">
        <v>0</v>
      </c>
      <c r="BE467">
        <v>31.32</v>
      </c>
      <c r="BF4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7" s="42" t="str">
        <f>+IF(AVANCE[[#This Row],[FECHA INICIO REAL]]="","",AVANCE[[#This Row],[FECHA INICIO REAL]]-AVANCE[[#This Row],[FECHA INICIO TEORICO]])</f>
        <v/>
      </c>
      <c r="BH4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8" spans="1:61" x14ac:dyDescent="0.25">
      <c r="A468" t="s">
        <v>1286</v>
      </c>
      <c r="B468" t="s">
        <v>1305</v>
      </c>
      <c r="C468">
        <v>2302600467</v>
      </c>
      <c r="D468" t="s">
        <v>834</v>
      </c>
      <c r="E468" s="4">
        <v>0</v>
      </c>
      <c r="F468" s="1">
        <v>46372</v>
      </c>
      <c r="G468" s="1"/>
      <c r="H468" s="1">
        <v>0</v>
      </c>
      <c r="I468" s="1">
        <v>46402</v>
      </c>
      <c r="J468">
        <v>46188</v>
      </c>
      <c r="K468" s="1"/>
      <c r="L468" s="7">
        <v>0</v>
      </c>
      <c r="M468" s="7">
        <v>0</v>
      </c>
      <c r="N468" s="7">
        <v>0</v>
      </c>
      <c r="O468" s="7">
        <v>0</v>
      </c>
      <c r="P468" s="7">
        <v>0</v>
      </c>
      <c r="Q468" s="7">
        <v>0</v>
      </c>
      <c r="R468" s="7">
        <v>0</v>
      </c>
      <c r="S468" s="7">
        <v>0</v>
      </c>
      <c r="T468" s="7">
        <v>0</v>
      </c>
      <c r="U468" s="7">
        <v>0</v>
      </c>
      <c r="V468" s="7">
        <v>0</v>
      </c>
      <c r="W468" s="7">
        <v>0</v>
      </c>
      <c r="X468" s="7">
        <v>0</v>
      </c>
      <c r="Y468" s="7">
        <v>0</v>
      </c>
      <c r="Z468" s="7">
        <v>0</v>
      </c>
      <c r="AA468" s="7">
        <v>0</v>
      </c>
      <c r="AB468" s="7">
        <v>0</v>
      </c>
      <c r="AC468" s="7">
        <v>0</v>
      </c>
      <c r="AD468" s="7">
        <v>0</v>
      </c>
      <c r="AE468" s="7">
        <v>0</v>
      </c>
      <c r="AF468" s="7">
        <v>0</v>
      </c>
      <c r="AG468" s="7">
        <v>0</v>
      </c>
      <c r="AH468" s="7">
        <v>0</v>
      </c>
      <c r="AI468" s="7">
        <v>0</v>
      </c>
      <c r="AJ468" s="7">
        <v>0</v>
      </c>
      <c r="AK468" s="7">
        <v>0</v>
      </c>
      <c r="AL468" s="7">
        <v>0</v>
      </c>
      <c r="AM468" s="7">
        <v>0</v>
      </c>
      <c r="AN468" s="7">
        <v>0</v>
      </c>
      <c r="AO468" s="7">
        <v>0</v>
      </c>
      <c r="AP468" s="7">
        <v>0</v>
      </c>
      <c r="AQ468" s="7">
        <v>0</v>
      </c>
      <c r="AR468" s="7">
        <v>0</v>
      </c>
      <c r="AS468" s="7">
        <v>0</v>
      </c>
      <c r="AT468" s="7">
        <v>0</v>
      </c>
      <c r="AU468" s="7">
        <v>0</v>
      </c>
      <c r="AV468" s="7">
        <v>0</v>
      </c>
      <c r="AW468" s="7">
        <v>0</v>
      </c>
      <c r="AX468" s="7">
        <v>0</v>
      </c>
      <c r="AY468" s="7">
        <v>0</v>
      </c>
      <c r="AZ468" s="7">
        <v>0</v>
      </c>
      <c r="BA468" s="7">
        <v>0</v>
      </c>
      <c r="BB468" s="7">
        <v>0</v>
      </c>
      <c r="BC468" s="7">
        <v>0</v>
      </c>
      <c r="BD468">
        <v>0</v>
      </c>
      <c r="BE468">
        <v>31.32</v>
      </c>
      <c r="BF4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8" s="42" t="str">
        <f>+IF(AVANCE[[#This Row],[FECHA INICIO REAL]]="","",AVANCE[[#This Row],[FECHA INICIO REAL]]-AVANCE[[#This Row],[FECHA INICIO TEORICO]])</f>
        <v/>
      </c>
      <c r="BH4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9" spans="1:61" x14ac:dyDescent="0.25">
      <c r="A469" t="s">
        <v>1286</v>
      </c>
      <c r="B469" t="s">
        <v>1306</v>
      </c>
      <c r="C469">
        <v>2282600468</v>
      </c>
      <c r="D469" t="s">
        <v>833</v>
      </c>
      <c r="E469" s="4">
        <v>0</v>
      </c>
      <c r="F469" s="1">
        <v>46372</v>
      </c>
      <c r="G469" s="1"/>
      <c r="H469" s="1">
        <v>0</v>
      </c>
      <c r="I469" s="1">
        <v>46392</v>
      </c>
      <c r="J469">
        <v>46188</v>
      </c>
      <c r="K469" s="1"/>
      <c r="L469" s="7">
        <v>0</v>
      </c>
      <c r="M469" s="7">
        <v>0</v>
      </c>
      <c r="N469" s="7">
        <v>0</v>
      </c>
      <c r="O469" s="7">
        <v>0</v>
      </c>
      <c r="P469" s="7">
        <v>0</v>
      </c>
      <c r="Q469" s="7">
        <v>0</v>
      </c>
      <c r="R469" s="7">
        <v>0</v>
      </c>
      <c r="S469" s="7">
        <v>0</v>
      </c>
      <c r="T469" s="7">
        <v>0</v>
      </c>
      <c r="U469" s="7">
        <v>0</v>
      </c>
      <c r="V469" s="7">
        <v>0</v>
      </c>
      <c r="W469" s="7">
        <v>0</v>
      </c>
      <c r="X469" s="7">
        <v>0</v>
      </c>
      <c r="Y469" s="7">
        <v>0</v>
      </c>
      <c r="Z469" s="7">
        <v>0</v>
      </c>
      <c r="AA469" s="7">
        <v>0</v>
      </c>
      <c r="AB469" s="7">
        <v>0</v>
      </c>
      <c r="AC469" s="7">
        <v>0</v>
      </c>
      <c r="AD469" s="7">
        <v>0</v>
      </c>
      <c r="AE469" s="7">
        <v>0</v>
      </c>
      <c r="AF469" s="7">
        <v>0</v>
      </c>
      <c r="AG469" s="7">
        <v>0</v>
      </c>
      <c r="AH469" s="7">
        <v>0</v>
      </c>
      <c r="AI469" s="7">
        <v>0</v>
      </c>
      <c r="AJ469" s="7">
        <v>0</v>
      </c>
      <c r="AK469" s="7">
        <v>0</v>
      </c>
      <c r="AL469" s="7">
        <v>0</v>
      </c>
      <c r="AM469" s="7">
        <v>0</v>
      </c>
      <c r="AN469" s="7">
        <v>0</v>
      </c>
      <c r="AO469" s="7">
        <v>0</v>
      </c>
      <c r="AP469" s="7">
        <v>0</v>
      </c>
      <c r="AQ469" s="7">
        <v>0</v>
      </c>
      <c r="AR469" s="7">
        <v>0</v>
      </c>
      <c r="AS469" s="7">
        <v>0</v>
      </c>
      <c r="AT469" s="7">
        <v>0</v>
      </c>
      <c r="AU469" s="7">
        <v>0</v>
      </c>
      <c r="AV469" s="7">
        <v>0</v>
      </c>
      <c r="AW469" s="7">
        <v>0</v>
      </c>
      <c r="AX469" s="7">
        <v>0</v>
      </c>
      <c r="AY469" s="7">
        <v>0</v>
      </c>
      <c r="AZ469" s="7">
        <v>0</v>
      </c>
      <c r="BA469" s="7">
        <v>0</v>
      </c>
      <c r="BB469" s="7">
        <v>0</v>
      </c>
      <c r="BC469" s="7">
        <v>0</v>
      </c>
      <c r="BD469">
        <v>0</v>
      </c>
      <c r="BE469">
        <v>28.87</v>
      </c>
      <c r="BF4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9" s="42" t="str">
        <f>+IF(AVANCE[[#This Row],[FECHA INICIO REAL]]="","",AVANCE[[#This Row],[FECHA INICIO REAL]]-AVANCE[[#This Row],[FECHA INICIO TEORICO]])</f>
        <v/>
      </c>
      <c r="BH4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0" spans="1:61" x14ac:dyDescent="0.25">
      <c r="A470" t="s">
        <v>1286</v>
      </c>
      <c r="B470" t="s">
        <v>1307</v>
      </c>
      <c r="C470">
        <v>2282600469</v>
      </c>
      <c r="D470" t="s">
        <v>833</v>
      </c>
      <c r="E470" s="4">
        <v>0</v>
      </c>
      <c r="F470" s="1">
        <v>46372</v>
      </c>
      <c r="G470" s="1"/>
      <c r="H470" s="1">
        <v>0</v>
      </c>
      <c r="I470" s="1">
        <v>46392</v>
      </c>
      <c r="J470">
        <v>46188</v>
      </c>
      <c r="K470" s="1"/>
      <c r="L470" s="7">
        <v>0</v>
      </c>
      <c r="M470" s="7">
        <v>0</v>
      </c>
      <c r="N470" s="7">
        <v>0</v>
      </c>
      <c r="O470" s="7">
        <v>0</v>
      </c>
      <c r="P470" s="7">
        <v>0</v>
      </c>
      <c r="Q470" s="7">
        <v>0</v>
      </c>
      <c r="R470" s="7">
        <v>0</v>
      </c>
      <c r="S470" s="7">
        <v>0</v>
      </c>
      <c r="T470" s="7">
        <v>0</v>
      </c>
      <c r="U470" s="7">
        <v>0</v>
      </c>
      <c r="V470" s="7">
        <v>0</v>
      </c>
      <c r="W470" s="7">
        <v>0</v>
      </c>
      <c r="X470" s="7">
        <v>0</v>
      </c>
      <c r="Y470" s="7">
        <v>0</v>
      </c>
      <c r="Z470" s="7">
        <v>0</v>
      </c>
      <c r="AA470" s="7">
        <v>0</v>
      </c>
      <c r="AB470" s="7">
        <v>0</v>
      </c>
      <c r="AC470" s="7">
        <v>0</v>
      </c>
      <c r="AD470" s="7">
        <v>0</v>
      </c>
      <c r="AE470" s="7">
        <v>0</v>
      </c>
      <c r="AF470" s="7">
        <v>0</v>
      </c>
      <c r="AG470" s="7">
        <v>0</v>
      </c>
      <c r="AH470" s="7">
        <v>0</v>
      </c>
      <c r="AI470" s="7">
        <v>0</v>
      </c>
      <c r="AJ470" s="7">
        <v>0</v>
      </c>
      <c r="AK470" s="7">
        <v>0</v>
      </c>
      <c r="AL470" s="7">
        <v>0</v>
      </c>
      <c r="AM470" s="7">
        <v>0</v>
      </c>
      <c r="AN470" s="7">
        <v>0</v>
      </c>
      <c r="AO470" s="7">
        <v>0</v>
      </c>
      <c r="AP470" s="7">
        <v>0</v>
      </c>
      <c r="AQ470" s="7">
        <v>0</v>
      </c>
      <c r="AR470" s="7">
        <v>0</v>
      </c>
      <c r="AS470" s="7">
        <v>0</v>
      </c>
      <c r="AT470" s="7">
        <v>0</v>
      </c>
      <c r="AU470" s="7">
        <v>0</v>
      </c>
      <c r="AV470" s="7">
        <v>0</v>
      </c>
      <c r="AW470" s="7">
        <v>0</v>
      </c>
      <c r="AX470" s="7">
        <v>0</v>
      </c>
      <c r="AY470" s="7">
        <v>0</v>
      </c>
      <c r="AZ470" s="7">
        <v>0</v>
      </c>
      <c r="BA470" s="7">
        <v>0</v>
      </c>
      <c r="BB470" s="7">
        <v>0</v>
      </c>
      <c r="BC470" s="7">
        <v>0</v>
      </c>
      <c r="BD470">
        <v>0</v>
      </c>
      <c r="BE470">
        <v>28.87</v>
      </c>
      <c r="BF4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0" s="42" t="str">
        <f>+IF(AVANCE[[#This Row],[FECHA INICIO REAL]]="","",AVANCE[[#This Row],[FECHA INICIO REAL]]-AVANCE[[#This Row],[FECHA INICIO TEORICO]])</f>
        <v/>
      </c>
      <c r="BH4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1" spans="1:61" x14ac:dyDescent="0.25">
      <c r="A471" t="s">
        <v>1286</v>
      </c>
      <c r="B471" t="s">
        <v>1308</v>
      </c>
      <c r="C471">
        <v>2302600470</v>
      </c>
      <c r="D471" t="s">
        <v>834</v>
      </c>
      <c r="E471" s="4">
        <v>0</v>
      </c>
      <c r="F471" s="1">
        <v>46373</v>
      </c>
      <c r="G471" s="1"/>
      <c r="H471" s="1">
        <v>0</v>
      </c>
      <c r="I471" s="1">
        <v>46403</v>
      </c>
      <c r="J471">
        <v>46188</v>
      </c>
      <c r="K471" s="1"/>
      <c r="L471" s="7">
        <v>0</v>
      </c>
      <c r="M471" s="7">
        <v>0</v>
      </c>
      <c r="N471" s="7">
        <v>0</v>
      </c>
      <c r="O471" s="7">
        <v>0</v>
      </c>
      <c r="P471" s="7">
        <v>0</v>
      </c>
      <c r="Q471" s="7">
        <v>0</v>
      </c>
      <c r="R471" s="7">
        <v>0</v>
      </c>
      <c r="S471" s="7">
        <v>0</v>
      </c>
      <c r="T471" s="7">
        <v>0</v>
      </c>
      <c r="U471" s="7">
        <v>0</v>
      </c>
      <c r="V471" s="7">
        <v>0</v>
      </c>
      <c r="W471" s="7">
        <v>0</v>
      </c>
      <c r="X471" s="7">
        <v>0</v>
      </c>
      <c r="Y471" s="7">
        <v>0</v>
      </c>
      <c r="Z471" s="7">
        <v>0</v>
      </c>
      <c r="AA471" s="7">
        <v>0</v>
      </c>
      <c r="AB471" s="7">
        <v>0</v>
      </c>
      <c r="AC471" s="7">
        <v>0</v>
      </c>
      <c r="AD471" s="7">
        <v>0</v>
      </c>
      <c r="AE471" s="7">
        <v>0</v>
      </c>
      <c r="AF471" s="7">
        <v>0</v>
      </c>
      <c r="AG471" s="7">
        <v>0</v>
      </c>
      <c r="AH471" s="7">
        <v>0</v>
      </c>
      <c r="AI471" s="7">
        <v>0</v>
      </c>
      <c r="AJ471" s="7">
        <v>0</v>
      </c>
      <c r="AK471" s="7">
        <v>0</v>
      </c>
      <c r="AL471" s="7">
        <v>0</v>
      </c>
      <c r="AM471" s="7">
        <v>0</v>
      </c>
      <c r="AN471" s="7">
        <v>0</v>
      </c>
      <c r="AO471" s="7">
        <v>0</v>
      </c>
      <c r="AP471" s="7">
        <v>0</v>
      </c>
      <c r="AQ471" s="7">
        <v>0</v>
      </c>
      <c r="AR471" s="7">
        <v>0</v>
      </c>
      <c r="AS471" s="7">
        <v>0</v>
      </c>
      <c r="AT471" s="7">
        <v>0</v>
      </c>
      <c r="AU471" s="7">
        <v>0</v>
      </c>
      <c r="AV471" s="7">
        <v>0</v>
      </c>
      <c r="AW471" s="7">
        <v>0</v>
      </c>
      <c r="AX471" s="7">
        <v>0</v>
      </c>
      <c r="AY471" s="7">
        <v>0</v>
      </c>
      <c r="AZ471" s="7">
        <v>0</v>
      </c>
      <c r="BA471" s="7">
        <v>0</v>
      </c>
      <c r="BB471" s="7">
        <v>0</v>
      </c>
      <c r="BC471" s="7">
        <v>0</v>
      </c>
      <c r="BD471">
        <v>0</v>
      </c>
      <c r="BE471">
        <v>31.32</v>
      </c>
      <c r="BF4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1" s="42" t="str">
        <f>+IF(AVANCE[[#This Row],[FECHA INICIO REAL]]="","",AVANCE[[#This Row],[FECHA INICIO REAL]]-AVANCE[[#This Row],[FECHA INICIO TEORICO]])</f>
        <v/>
      </c>
      <c r="BH4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2" spans="1:61" x14ac:dyDescent="0.25">
      <c r="A472" t="s">
        <v>1286</v>
      </c>
      <c r="B472" t="s">
        <v>1309</v>
      </c>
      <c r="C472">
        <v>2302600471</v>
      </c>
      <c r="D472" t="s">
        <v>834</v>
      </c>
      <c r="E472" s="4">
        <v>0</v>
      </c>
      <c r="F472" s="1">
        <v>46373</v>
      </c>
      <c r="G472" s="1"/>
      <c r="H472" s="1">
        <v>0</v>
      </c>
      <c r="I472" s="1">
        <v>46403</v>
      </c>
      <c r="J472">
        <v>46188</v>
      </c>
      <c r="K472" s="1"/>
      <c r="L472" s="7">
        <v>0</v>
      </c>
      <c r="M472" s="7">
        <v>0</v>
      </c>
      <c r="N472" s="7">
        <v>0</v>
      </c>
      <c r="O472" s="7">
        <v>0</v>
      </c>
      <c r="P472" s="7">
        <v>0</v>
      </c>
      <c r="Q472" s="7">
        <v>0</v>
      </c>
      <c r="R472" s="7">
        <v>0</v>
      </c>
      <c r="S472" s="7">
        <v>0</v>
      </c>
      <c r="T472" s="7">
        <v>0</v>
      </c>
      <c r="U472" s="7">
        <v>0</v>
      </c>
      <c r="V472" s="7">
        <v>0</v>
      </c>
      <c r="W472" s="7">
        <v>0</v>
      </c>
      <c r="X472" s="7">
        <v>0</v>
      </c>
      <c r="Y472" s="7">
        <v>0</v>
      </c>
      <c r="Z472" s="7">
        <v>0</v>
      </c>
      <c r="AA472" s="7">
        <v>0</v>
      </c>
      <c r="AB472" s="7">
        <v>0</v>
      </c>
      <c r="AC472" s="7">
        <v>0</v>
      </c>
      <c r="AD472" s="7">
        <v>0</v>
      </c>
      <c r="AE472" s="7">
        <v>0</v>
      </c>
      <c r="AF472" s="7">
        <v>0</v>
      </c>
      <c r="AG472" s="7">
        <v>0</v>
      </c>
      <c r="AH472" s="7">
        <v>0</v>
      </c>
      <c r="AI472" s="7">
        <v>0</v>
      </c>
      <c r="AJ472" s="7">
        <v>0</v>
      </c>
      <c r="AK472" s="7">
        <v>0</v>
      </c>
      <c r="AL472" s="7">
        <v>0</v>
      </c>
      <c r="AM472" s="7">
        <v>0</v>
      </c>
      <c r="AN472" s="7">
        <v>0</v>
      </c>
      <c r="AO472" s="7">
        <v>0</v>
      </c>
      <c r="AP472" s="7">
        <v>0</v>
      </c>
      <c r="AQ472" s="7">
        <v>0</v>
      </c>
      <c r="AR472" s="7">
        <v>0</v>
      </c>
      <c r="AS472" s="7">
        <v>0</v>
      </c>
      <c r="AT472" s="7">
        <v>0</v>
      </c>
      <c r="AU472" s="7">
        <v>0</v>
      </c>
      <c r="AV472" s="7">
        <v>0</v>
      </c>
      <c r="AW472" s="7">
        <v>0</v>
      </c>
      <c r="AX472" s="7">
        <v>0</v>
      </c>
      <c r="AY472" s="7">
        <v>0</v>
      </c>
      <c r="AZ472" s="7">
        <v>0</v>
      </c>
      <c r="BA472" s="7">
        <v>0</v>
      </c>
      <c r="BB472" s="7">
        <v>0</v>
      </c>
      <c r="BC472" s="7">
        <v>0</v>
      </c>
      <c r="BD472">
        <v>0</v>
      </c>
      <c r="BE472">
        <v>31.32</v>
      </c>
      <c r="BF4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2" s="42" t="str">
        <f>+IF(AVANCE[[#This Row],[FECHA INICIO REAL]]="","",AVANCE[[#This Row],[FECHA INICIO REAL]]-AVANCE[[#This Row],[FECHA INICIO TEORICO]])</f>
        <v/>
      </c>
      <c r="BH4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3" spans="1:61" x14ac:dyDescent="0.25">
      <c r="A473" t="s">
        <v>1286</v>
      </c>
      <c r="B473" t="s">
        <v>1310</v>
      </c>
      <c r="C473">
        <v>2282600472</v>
      </c>
      <c r="D473" t="s">
        <v>833</v>
      </c>
      <c r="E473" s="4">
        <v>0</v>
      </c>
      <c r="F473" s="1">
        <v>46373</v>
      </c>
      <c r="G473" s="1"/>
      <c r="H473" s="1">
        <v>0</v>
      </c>
      <c r="I473" s="1">
        <v>46393</v>
      </c>
      <c r="J473">
        <v>46188</v>
      </c>
      <c r="K473" s="1"/>
      <c r="L473" s="7">
        <v>0</v>
      </c>
      <c r="M473" s="7">
        <v>0</v>
      </c>
      <c r="N473" s="7">
        <v>0</v>
      </c>
      <c r="O473" s="7">
        <v>0</v>
      </c>
      <c r="P473" s="7">
        <v>0</v>
      </c>
      <c r="Q473" s="7">
        <v>0</v>
      </c>
      <c r="R473" s="7">
        <v>0</v>
      </c>
      <c r="S473" s="7">
        <v>0</v>
      </c>
      <c r="T473" s="7">
        <v>0</v>
      </c>
      <c r="U473" s="7">
        <v>0</v>
      </c>
      <c r="V473" s="7">
        <v>0</v>
      </c>
      <c r="W473" s="7">
        <v>0</v>
      </c>
      <c r="X473" s="7">
        <v>0</v>
      </c>
      <c r="Y473" s="7">
        <v>0</v>
      </c>
      <c r="Z473" s="7">
        <v>0</v>
      </c>
      <c r="AA473" s="7">
        <v>0</v>
      </c>
      <c r="AB473" s="7">
        <v>0</v>
      </c>
      <c r="AC473" s="7">
        <v>0</v>
      </c>
      <c r="AD473" s="7">
        <v>0</v>
      </c>
      <c r="AE473" s="7">
        <v>0</v>
      </c>
      <c r="AF473" s="7">
        <v>0</v>
      </c>
      <c r="AG473" s="7">
        <v>0</v>
      </c>
      <c r="AH473" s="7">
        <v>0</v>
      </c>
      <c r="AI473" s="7">
        <v>0</v>
      </c>
      <c r="AJ473" s="7">
        <v>0</v>
      </c>
      <c r="AK473" s="7">
        <v>0</v>
      </c>
      <c r="AL473" s="7">
        <v>0</v>
      </c>
      <c r="AM473" s="7">
        <v>0</v>
      </c>
      <c r="AN473" s="7">
        <v>0</v>
      </c>
      <c r="AO473" s="7">
        <v>0</v>
      </c>
      <c r="AP473" s="7">
        <v>0</v>
      </c>
      <c r="AQ473" s="7">
        <v>0</v>
      </c>
      <c r="AR473" s="7">
        <v>0</v>
      </c>
      <c r="AS473" s="7">
        <v>0</v>
      </c>
      <c r="AT473" s="7">
        <v>0</v>
      </c>
      <c r="AU473" s="7">
        <v>0</v>
      </c>
      <c r="AV473" s="7">
        <v>0</v>
      </c>
      <c r="AW473" s="7">
        <v>0</v>
      </c>
      <c r="AX473" s="7">
        <v>0</v>
      </c>
      <c r="AY473" s="7">
        <v>0</v>
      </c>
      <c r="AZ473" s="7">
        <v>0</v>
      </c>
      <c r="BA473" s="7">
        <v>0</v>
      </c>
      <c r="BB473" s="7">
        <v>0</v>
      </c>
      <c r="BC473" s="7">
        <v>0</v>
      </c>
      <c r="BD473">
        <v>0</v>
      </c>
      <c r="BE473">
        <v>28.87</v>
      </c>
      <c r="BF4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3" s="42" t="str">
        <f>+IF(AVANCE[[#This Row],[FECHA INICIO REAL]]="","",AVANCE[[#This Row],[FECHA INICIO REAL]]-AVANCE[[#This Row],[FECHA INICIO TEORICO]])</f>
        <v/>
      </c>
      <c r="BH4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4" spans="1:61" x14ac:dyDescent="0.25">
      <c r="A474" t="s">
        <v>1286</v>
      </c>
      <c r="B474" t="s">
        <v>1311</v>
      </c>
      <c r="C474">
        <v>2282600473</v>
      </c>
      <c r="D474" t="s">
        <v>833</v>
      </c>
      <c r="E474" s="4">
        <v>0</v>
      </c>
      <c r="F474" s="1">
        <v>46374</v>
      </c>
      <c r="G474" s="1"/>
      <c r="H474" s="1">
        <v>0</v>
      </c>
      <c r="I474" s="1">
        <v>46394</v>
      </c>
      <c r="J474">
        <v>46188</v>
      </c>
      <c r="K474" s="1"/>
      <c r="L474" s="7">
        <v>0</v>
      </c>
      <c r="M474" s="7">
        <v>0</v>
      </c>
      <c r="N474" s="7">
        <v>0</v>
      </c>
      <c r="O474" s="7">
        <v>0</v>
      </c>
      <c r="P474" s="7">
        <v>0</v>
      </c>
      <c r="Q474" s="7">
        <v>0</v>
      </c>
      <c r="R474" s="7">
        <v>0</v>
      </c>
      <c r="S474" s="7">
        <v>0</v>
      </c>
      <c r="T474" s="7">
        <v>0</v>
      </c>
      <c r="U474" s="7">
        <v>0</v>
      </c>
      <c r="V474" s="7">
        <v>0</v>
      </c>
      <c r="W474" s="7">
        <v>0</v>
      </c>
      <c r="X474" s="7">
        <v>0</v>
      </c>
      <c r="Y474" s="7">
        <v>0</v>
      </c>
      <c r="Z474" s="7">
        <v>0</v>
      </c>
      <c r="AA474" s="7">
        <v>0</v>
      </c>
      <c r="AB474" s="7">
        <v>0</v>
      </c>
      <c r="AC474" s="7">
        <v>0</v>
      </c>
      <c r="AD474" s="7">
        <v>0</v>
      </c>
      <c r="AE474" s="7">
        <v>0</v>
      </c>
      <c r="AF474" s="7">
        <v>0</v>
      </c>
      <c r="AG474" s="7">
        <v>0</v>
      </c>
      <c r="AH474" s="7">
        <v>0</v>
      </c>
      <c r="AI474" s="7">
        <v>0</v>
      </c>
      <c r="AJ474" s="7">
        <v>0</v>
      </c>
      <c r="AK474" s="7">
        <v>0</v>
      </c>
      <c r="AL474" s="7">
        <v>0</v>
      </c>
      <c r="AM474" s="7">
        <v>0</v>
      </c>
      <c r="AN474" s="7">
        <v>0</v>
      </c>
      <c r="AO474" s="7">
        <v>0</v>
      </c>
      <c r="AP474" s="7">
        <v>0</v>
      </c>
      <c r="AQ474" s="7">
        <v>0</v>
      </c>
      <c r="AR474" s="7">
        <v>0</v>
      </c>
      <c r="AS474" s="7">
        <v>0</v>
      </c>
      <c r="AT474" s="7">
        <v>0</v>
      </c>
      <c r="AU474" s="7">
        <v>0</v>
      </c>
      <c r="AV474" s="7">
        <v>0</v>
      </c>
      <c r="AW474" s="7">
        <v>0</v>
      </c>
      <c r="AX474" s="7">
        <v>0</v>
      </c>
      <c r="AY474" s="7">
        <v>0</v>
      </c>
      <c r="AZ474" s="7">
        <v>0</v>
      </c>
      <c r="BA474" s="7">
        <v>0</v>
      </c>
      <c r="BB474" s="7">
        <v>0</v>
      </c>
      <c r="BC474" s="7">
        <v>0</v>
      </c>
      <c r="BD474">
        <v>0</v>
      </c>
      <c r="BE474">
        <v>28.87</v>
      </c>
      <c r="BF4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4" s="42" t="str">
        <f>+IF(AVANCE[[#This Row],[FECHA INICIO REAL]]="","",AVANCE[[#This Row],[FECHA INICIO REAL]]-AVANCE[[#This Row],[FECHA INICIO TEORICO]])</f>
        <v/>
      </c>
      <c r="BH4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5" spans="1:61" x14ac:dyDescent="0.25">
      <c r="A475" t="s">
        <v>1286</v>
      </c>
      <c r="B475" t="s">
        <v>1312</v>
      </c>
      <c r="C475">
        <v>2302600474</v>
      </c>
      <c r="D475" t="s">
        <v>834</v>
      </c>
      <c r="E475" s="4">
        <v>0</v>
      </c>
      <c r="F475" s="1">
        <v>46374</v>
      </c>
      <c r="G475" s="1"/>
      <c r="H475" s="1">
        <v>0</v>
      </c>
      <c r="I475" s="1">
        <v>46404</v>
      </c>
      <c r="J475">
        <v>46188</v>
      </c>
      <c r="K475" s="1"/>
      <c r="L475" s="7">
        <v>0</v>
      </c>
      <c r="M475" s="7">
        <v>0</v>
      </c>
      <c r="N475" s="7">
        <v>0</v>
      </c>
      <c r="O475" s="7">
        <v>0</v>
      </c>
      <c r="P475" s="7">
        <v>0</v>
      </c>
      <c r="Q475" s="7">
        <v>0</v>
      </c>
      <c r="R475" s="7">
        <v>0</v>
      </c>
      <c r="S475" s="7">
        <v>0</v>
      </c>
      <c r="T475" s="7">
        <v>0</v>
      </c>
      <c r="U475" s="7">
        <v>0</v>
      </c>
      <c r="V475" s="7">
        <v>0</v>
      </c>
      <c r="W475" s="7">
        <v>0</v>
      </c>
      <c r="X475" s="7">
        <v>0</v>
      </c>
      <c r="Y475" s="7">
        <v>0</v>
      </c>
      <c r="Z475" s="7">
        <v>0</v>
      </c>
      <c r="AA475" s="7">
        <v>0</v>
      </c>
      <c r="AB475" s="7">
        <v>0</v>
      </c>
      <c r="AC475" s="7">
        <v>0</v>
      </c>
      <c r="AD475" s="7">
        <v>0</v>
      </c>
      <c r="AE475" s="7">
        <v>0</v>
      </c>
      <c r="AF475" s="7">
        <v>0</v>
      </c>
      <c r="AG475" s="7">
        <v>0</v>
      </c>
      <c r="AH475" s="7">
        <v>0</v>
      </c>
      <c r="AI475" s="7">
        <v>0</v>
      </c>
      <c r="AJ475" s="7">
        <v>0</v>
      </c>
      <c r="AK475" s="7">
        <v>0</v>
      </c>
      <c r="AL475" s="7">
        <v>0</v>
      </c>
      <c r="AM475" s="7">
        <v>0</v>
      </c>
      <c r="AN475" s="7">
        <v>0</v>
      </c>
      <c r="AO475" s="7">
        <v>0</v>
      </c>
      <c r="AP475" s="7">
        <v>0</v>
      </c>
      <c r="AQ475" s="7">
        <v>0</v>
      </c>
      <c r="AR475" s="7">
        <v>0</v>
      </c>
      <c r="AS475" s="7">
        <v>0</v>
      </c>
      <c r="AT475" s="7">
        <v>0</v>
      </c>
      <c r="AU475" s="7">
        <v>0</v>
      </c>
      <c r="AV475" s="7">
        <v>0</v>
      </c>
      <c r="AW475" s="7">
        <v>0</v>
      </c>
      <c r="AX475" s="7">
        <v>0</v>
      </c>
      <c r="AY475" s="7">
        <v>0</v>
      </c>
      <c r="AZ475" s="7">
        <v>0</v>
      </c>
      <c r="BA475" s="7">
        <v>0</v>
      </c>
      <c r="BB475" s="7">
        <v>0</v>
      </c>
      <c r="BC475" s="7">
        <v>0</v>
      </c>
      <c r="BD475">
        <v>0</v>
      </c>
      <c r="BE475">
        <v>31.32</v>
      </c>
      <c r="BF4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5" s="42" t="str">
        <f>+IF(AVANCE[[#This Row],[FECHA INICIO REAL]]="","",AVANCE[[#This Row],[FECHA INICIO REAL]]-AVANCE[[#This Row],[FECHA INICIO TEORICO]])</f>
        <v/>
      </c>
      <c r="BH4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6" spans="1:61" x14ac:dyDescent="0.25">
      <c r="A476" t="s">
        <v>1286</v>
      </c>
      <c r="B476" t="s">
        <v>1313</v>
      </c>
      <c r="C476">
        <v>2302600475</v>
      </c>
      <c r="D476" t="s">
        <v>834</v>
      </c>
      <c r="E476" s="4">
        <v>0</v>
      </c>
      <c r="F476" s="1">
        <v>46374</v>
      </c>
      <c r="G476" s="1"/>
      <c r="H476" s="1">
        <v>0</v>
      </c>
      <c r="I476" s="1">
        <v>46404</v>
      </c>
      <c r="J476">
        <v>46188</v>
      </c>
      <c r="K476" s="1"/>
      <c r="L476" s="7">
        <v>0</v>
      </c>
      <c r="M476" s="7">
        <v>0</v>
      </c>
      <c r="N476" s="7">
        <v>0</v>
      </c>
      <c r="O476" s="7">
        <v>0</v>
      </c>
      <c r="P476" s="7">
        <v>0</v>
      </c>
      <c r="Q476" s="7">
        <v>0</v>
      </c>
      <c r="R476" s="7">
        <v>0</v>
      </c>
      <c r="S476" s="7">
        <v>0</v>
      </c>
      <c r="T476" s="7">
        <v>0</v>
      </c>
      <c r="U476" s="7">
        <v>0</v>
      </c>
      <c r="V476" s="7">
        <v>0</v>
      </c>
      <c r="W476" s="7">
        <v>0</v>
      </c>
      <c r="X476" s="7">
        <v>0</v>
      </c>
      <c r="Y476" s="7">
        <v>0</v>
      </c>
      <c r="Z476" s="7">
        <v>0</v>
      </c>
      <c r="AA476" s="7">
        <v>0</v>
      </c>
      <c r="AB476" s="7">
        <v>0</v>
      </c>
      <c r="AC476" s="7">
        <v>0</v>
      </c>
      <c r="AD476" s="7">
        <v>0</v>
      </c>
      <c r="AE476" s="7">
        <v>0</v>
      </c>
      <c r="AF476" s="7">
        <v>0</v>
      </c>
      <c r="AG476" s="7">
        <v>0</v>
      </c>
      <c r="AH476" s="7">
        <v>0</v>
      </c>
      <c r="AI476" s="7">
        <v>0</v>
      </c>
      <c r="AJ476" s="7">
        <v>0</v>
      </c>
      <c r="AK476" s="7">
        <v>0</v>
      </c>
      <c r="AL476" s="7">
        <v>0</v>
      </c>
      <c r="AM476" s="7">
        <v>0</v>
      </c>
      <c r="AN476" s="7">
        <v>0</v>
      </c>
      <c r="AO476" s="7">
        <v>0</v>
      </c>
      <c r="AP476" s="7">
        <v>0</v>
      </c>
      <c r="AQ476" s="7">
        <v>0</v>
      </c>
      <c r="AR476" s="7">
        <v>0</v>
      </c>
      <c r="AS476" s="7">
        <v>0</v>
      </c>
      <c r="AT476" s="7">
        <v>0</v>
      </c>
      <c r="AU476" s="7">
        <v>0</v>
      </c>
      <c r="AV476" s="7">
        <v>0</v>
      </c>
      <c r="AW476" s="7">
        <v>0</v>
      </c>
      <c r="AX476" s="7">
        <v>0</v>
      </c>
      <c r="AY476" s="7">
        <v>0</v>
      </c>
      <c r="AZ476" s="7">
        <v>0</v>
      </c>
      <c r="BA476" s="7">
        <v>0</v>
      </c>
      <c r="BB476" s="7">
        <v>0</v>
      </c>
      <c r="BC476" s="7">
        <v>0</v>
      </c>
      <c r="BD476">
        <v>0</v>
      </c>
      <c r="BE476">
        <v>31.32</v>
      </c>
      <c r="BF4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6" s="42" t="str">
        <f>+IF(AVANCE[[#This Row],[FECHA INICIO REAL]]="","",AVANCE[[#This Row],[FECHA INICIO REAL]]-AVANCE[[#This Row],[FECHA INICIO TEORICO]])</f>
        <v/>
      </c>
      <c r="BH4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7" spans="1:61" x14ac:dyDescent="0.25">
      <c r="A477" t="s">
        <v>1286</v>
      </c>
      <c r="B477" t="s">
        <v>1314</v>
      </c>
      <c r="C477">
        <v>2282600476</v>
      </c>
      <c r="D477" t="s">
        <v>833</v>
      </c>
      <c r="E477" s="4">
        <v>0</v>
      </c>
      <c r="F477" s="1">
        <v>46377</v>
      </c>
      <c r="G477" s="1"/>
      <c r="H477" s="1">
        <v>0</v>
      </c>
      <c r="I477" s="1">
        <v>46397</v>
      </c>
      <c r="J477">
        <v>46188</v>
      </c>
      <c r="K477" s="1"/>
      <c r="L477" s="7">
        <v>0</v>
      </c>
      <c r="M477" s="7">
        <v>0</v>
      </c>
      <c r="N477" s="7">
        <v>0</v>
      </c>
      <c r="O477" s="7">
        <v>0</v>
      </c>
      <c r="P477" s="7">
        <v>0</v>
      </c>
      <c r="Q477" s="7">
        <v>0</v>
      </c>
      <c r="R477" s="7">
        <v>0</v>
      </c>
      <c r="S477" s="7">
        <v>0</v>
      </c>
      <c r="T477" s="7">
        <v>0</v>
      </c>
      <c r="U477" s="7">
        <v>0</v>
      </c>
      <c r="V477" s="7">
        <v>0</v>
      </c>
      <c r="W477" s="7">
        <v>0</v>
      </c>
      <c r="X477" s="7">
        <v>0</v>
      </c>
      <c r="Y477" s="7">
        <v>0</v>
      </c>
      <c r="Z477" s="7">
        <v>0</v>
      </c>
      <c r="AA477" s="7">
        <v>0</v>
      </c>
      <c r="AB477" s="7">
        <v>0</v>
      </c>
      <c r="AC477" s="7">
        <v>0</v>
      </c>
      <c r="AD477" s="7">
        <v>0</v>
      </c>
      <c r="AE477" s="7">
        <v>0</v>
      </c>
      <c r="AF477" s="7">
        <v>0</v>
      </c>
      <c r="AG477" s="7">
        <v>0</v>
      </c>
      <c r="AH477" s="7">
        <v>0</v>
      </c>
      <c r="AI477" s="7">
        <v>0</v>
      </c>
      <c r="AJ477" s="7">
        <v>0</v>
      </c>
      <c r="AK477" s="7">
        <v>0</v>
      </c>
      <c r="AL477" s="7">
        <v>0</v>
      </c>
      <c r="AM477" s="7">
        <v>0</v>
      </c>
      <c r="AN477" s="7">
        <v>0</v>
      </c>
      <c r="AO477" s="7">
        <v>0</v>
      </c>
      <c r="AP477" s="7">
        <v>0</v>
      </c>
      <c r="AQ477" s="7">
        <v>0</v>
      </c>
      <c r="AR477" s="7">
        <v>0</v>
      </c>
      <c r="AS477" s="7">
        <v>0</v>
      </c>
      <c r="AT477" s="7">
        <v>0</v>
      </c>
      <c r="AU477" s="7">
        <v>0</v>
      </c>
      <c r="AV477" s="7">
        <v>0</v>
      </c>
      <c r="AW477" s="7">
        <v>0</v>
      </c>
      <c r="AX477" s="7">
        <v>0</v>
      </c>
      <c r="AY477" s="7">
        <v>0</v>
      </c>
      <c r="AZ477" s="7">
        <v>0</v>
      </c>
      <c r="BA477" s="7">
        <v>0</v>
      </c>
      <c r="BB477" s="7">
        <v>0</v>
      </c>
      <c r="BC477" s="7">
        <v>0</v>
      </c>
      <c r="BD477">
        <v>0</v>
      </c>
      <c r="BE477">
        <v>28.87</v>
      </c>
      <c r="BF4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7" s="42" t="str">
        <f>+IF(AVANCE[[#This Row],[FECHA INICIO REAL]]="","",AVANCE[[#This Row],[FECHA INICIO REAL]]-AVANCE[[#This Row],[FECHA INICIO TEORICO]])</f>
        <v/>
      </c>
      <c r="BH4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8" spans="1:61" x14ac:dyDescent="0.25">
      <c r="A478" t="s">
        <v>1286</v>
      </c>
      <c r="B478" t="s">
        <v>1315</v>
      </c>
      <c r="C478">
        <v>2282600477</v>
      </c>
      <c r="D478" t="s">
        <v>833</v>
      </c>
      <c r="E478" s="4">
        <v>0</v>
      </c>
      <c r="F478" s="1">
        <v>46377</v>
      </c>
      <c r="G478" s="1"/>
      <c r="H478" s="1">
        <v>0</v>
      </c>
      <c r="I478" s="1">
        <v>46397</v>
      </c>
      <c r="J478">
        <v>46188</v>
      </c>
      <c r="K478" s="1"/>
      <c r="L478" s="7">
        <v>0</v>
      </c>
      <c r="M478" s="7">
        <v>0</v>
      </c>
      <c r="N478" s="7">
        <v>0</v>
      </c>
      <c r="O478" s="7">
        <v>0</v>
      </c>
      <c r="P478" s="7">
        <v>0</v>
      </c>
      <c r="Q478" s="7">
        <v>0</v>
      </c>
      <c r="R478" s="7">
        <v>0</v>
      </c>
      <c r="S478" s="7">
        <v>0</v>
      </c>
      <c r="T478" s="7">
        <v>0</v>
      </c>
      <c r="U478" s="7">
        <v>0</v>
      </c>
      <c r="V478" s="7">
        <v>0</v>
      </c>
      <c r="W478" s="7">
        <v>0</v>
      </c>
      <c r="X478" s="7">
        <v>0</v>
      </c>
      <c r="Y478" s="7">
        <v>0</v>
      </c>
      <c r="Z478" s="7">
        <v>0</v>
      </c>
      <c r="AA478" s="7">
        <v>0</v>
      </c>
      <c r="AB478" s="7">
        <v>0</v>
      </c>
      <c r="AC478" s="7">
        <v>0</v>
      </c>
      <c r="AD478" s="7">
        <v>0</v>
      </c>
      <c r="AE478" s="7">
        <v>0</v>
      </c>
      <c r="AF478" s="7">
        <v>0</v>
      </c>
      <c r="AG478" s="7">
        <v>0</v>
      </c>
      <c r="AH478" s="7">
        <v>0</v>
      </c>
      <c r="AI478" s="7">
        <v>0</v>
      </c>
      <c r="AJ478" s="7">
        <v>0</v>
      </c>
      <c r="AK478" s="7">
        <v>0</v>
      </c>
      <c r="AL478" s="7">
        <v>0</v>
      </c>
      <c r="AM478" s="7">
        <v>0</v>
      </c>
      <c r="AN478" s="7">
        <v>0</v>
      </c>
      <c r="AO478" s="7">
        <v>0</v>
      </c>
      <c r="AP478" s="7">
        <v>0</v>
      </c>
      <c r="AQ478" s="7">
        <v>0</v>
      </c>
      <c r="AR478" s="7">
        <v>0</v>
      </c>
      <c r="AS478" s="7">
        <v>0</v>
      </c>
      <c r="AT478" s="7">
        <v>0</v>
      </c>
      <c r="AU478" s="7">
        <v>0</v>
      </c>
      <c r="AV478" s="7">
        <v>0</v>
      </c>
      <c r="AW478" s="7">
        <v>0</v>
      </c>
      <c r="AX478" s="7">
        <v>0</v>
      </c>
      <c r="AY478" s="7">
        <v>0</v>
      </c>
      <c r="AZ478" s="7">
        <v>0</v>
      </c>
      <c r="BA478" s="7">
        <v>0</v>
      </c>
      <c r="BB478" s="7">
        <v>0</v>
      </c>
      <c r="BC478" s="7">
        <v>0</v>
      </c>
      <c r="BD478">
        <v>0</v>
      </c>
      <c r="BE478">
        <v>28.87</v>
      </c>
      <c r="BF4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8" s="42" t="str">
        <f>+IF(AVANCE[[#This Row],[FECHA INICIO REAL]]="","",AVANCE[[#This Row],[FECHA INICIO REAL]]-AVANCE[[#This Row],[FECHA INICIO TEORICO]])</f>
        <v/>
      </c>
      <c r="BH4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9" spans="1:61" x14ac:dyDescent="0.25">
      <c r="A479" t="s">
        <v>1286</v>
      </c>
      <c r="B479" t="s">
        <v>1316</v>
      </c>
      <c r="C479">
        <v>2302600478</v>
      </c>
      <c r="D479" t="s">
        <v>834</v>
      </c>
      <c r="E479" s="4">
        <v>0</v>
      </c>
      <c r="F479" s="1">
        <v>46377</v>
      </c>
      <c r="G479" s="1"/>
      <c r="H479" s="1">
        <v>0</v>
      </c>
      <c r="I479" s="1">
        <v>46407</v>
      </c>
      <c r="J479">
        <v>46188</v>
      </c>
      <c r="K479" s="1"/>
      <c r="L479" s="7">
        <v>0</v>
      </c>
      <c r="M479" s="7">
        <v>0</v>
      </c>
      <c r="N479" s="7">
        <v>0</v>
      </c>
      <c r="O479" s="7">
        <v>0</v>
      </c>
      <c r="P479" s="7">
        <v>0</v>
      </c>
      <c r="Q479" s="7">
        <v>0</v>
      </c>
      <c r="R479" s="7">
        <v>0</v>
      </c>
      <c r="S479" s="7">
        <v>0</v>
      </c>
      <c r="T479" s="7">
        <v>0</v>
      </c>
      <c r="U479" s="7">
        <v>0</v>
      </c>
      <c r="V479" s="7">
        <v>0</v>
      </c>
      <c r="W479" s="7">
        <v>0</v>
      </c>
      <c r="X479" s="7">
        <v>0</v>
      </c>
      <c r="Y479" s="7">
        <v>0</v>
      </c>
      <c r="Z479" s="7">
        <v>0</v>
      </c>
      <c r="AA479" s="7">
        <v>0</v>
      </c>
      <c r="AB479" s="7">
        <v>0</v>
      </c>
      <c r="AC479" s="7">
        <v>0</v>
      </c>
      <c r="AD479" s="7">
        <v>0</v>
      </c>
      <c r="AE479" s="7">
        <v>0</v>
      </c>
      <c r="AF479" s="7">
        <v>0</v>
      </c>
      <c r="AG479" s="7">
        <v>0</v>
      </c>
      <c r="AH479" s="7">
        <v>0</v>
      </c>
      <c r="AI479" s="7">
        <v>0</v>
      </c>
      <c r="AJ479" s="7">
        <v>0</v>
      </c>
      <c r="AK479" s="7">
        <v>0</v>
      </c>
      <c r="AL479" s="7">
        <v>0</v>
      </c>
      <c r="AM479" s="7">
        <v>0</v>
      </c>
      <c r="AN479" s="7">
        <v>0</v>
      </c>
      <c r="AO479" s="7">
        <v>0</v>
      </c>
      <c r="AP479" s="7">
        <v>0</v>
      </c>
      <c r="AQ479" s="7">
        <v>0</v>
      </c>
      <c r="AR479" s="7">
        <v>0</v>
      </c>
      <c r="AS479" s="7">
        <v>0</v>
      </c>
      <c r="AT479" s="7">
        <v>0</v>
      </c>
      <c r="AU479" s="7">
        <v>0</v>
      </c>
      <c r="AV479" s="7">
        <v>0</v>
      </c>
      <c r="AW479" s="7">
        <v>0</v>
      </c>
      <c r="AX479" s="7">
        <v>0</v>
      </c>
      <c r="AY479" s="7">
        <v>0</v>
      </c>
      <c r="AZ479" s="7">
        <v>0</v>
      </c>
      <c r="BA479" s="7">
        <v>0</v>
      </c>
      <c r="BB479" s="7">
        <v>0</v>
      </c>
      <c r="BC479" s="7">
        <v>0</v>
      </c>
      <c r="BD479">
        <v>0</v>
      </c>
      <c r="BE479">
        <v>31.32</v>
      </c>
      <c r="BF4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9" s="42" t="str">
        <f>+IF(AVANCE[[#This Row],[FECHA INICIO REAL]]="","",AVANCE[[#This Row],[FECHA INICIO REAL]]-AVANCE[[#This Row],[FECHA INICIO TEORICO]])</f>
        <v/>
      </c>
      <c r="BH4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0" spans="1:61" x14ac:dyDescent="0.25">
      <c r="A480" t="s">
        <v>1286</v>
      </c>
      <c r="B480" t="s">
        <v>1317</v>
      </c>
      <c r="C480">
        <v>2302600479</v>
      </c>
      <c r="D480" t="s">
        <v>834</v>
      </c>
      <c r="E480" s="4">
        <v>0</v>
      </c>
      <c r="F480" s="1">
        <v>46378</v>
      </c>
      <c r="G480" s="1"/>
      <c r="H480" s="1">
        <v>0</v>
      </c>
      <c r="I480" s="1">
        <v>46408</v>
      </c>
      <c r="J480">
        <v>46188</v>
      </c>
      <c r="K480" s="1"/>
      <c r="L480" s="7">
        <v>0</v>
      </c>
      <c r="M480" s="7">
        <v>0</v>
      </c>
      <c r="N480" s="7">
        <v>0</v>
      </c>
      <c r="O480" s="7">
        <v>0</v>
      </c>
      <c r="P480" s="7">
        <v>0</v>
      </c>
      <c r="Q480" s="7">
        <v>0</v>
      </c>
      <c r="R480" s="7">
        <v>0</v>
      </c>
      <c r="S480" s="7">
        <v>0</v>
      </c>
      <c r="T480" s="7">
        <v>0</v>
      </c>
      <c r="U480" s="7">
        <v>0</v>
      </c>
      <c r="V480" s="7">
        <v>0</v>
      </c>
      <c r="W480" s="7">
        <v>0</v>
      </c>
      <c r="X480" s="7">
        <v>0</v>
      </c>
      <c r="Y480" s="7">
        <v>0</v>
      </c>
      <c r="Z480" s="7">
        <v>0</v>
      </c>
      <c r="AA480" s="7">
        <v>0</v>
      </c>
      <c r="AB480" s="7">
        <v>0</v>
      </c>
      <c r="AC480" s="7">
        <v>0</v>
      </c>
      <c r="AD480" s="7">
        <v>0</v>
      </c>
      <c r="AE480" s="7">
        <v>0</v>
      </c>
      <c r="AF480" s="7">
        <v>0</v>
      </c>
      <c r="AG480" s="7">
        <v>0</v>
      </c>
      <c r="AH480" s="7">
        <v>0</v>
      </c>
      <c r="AI480" s="7">
        <v>0</v>
      </c>
      <c r="AJ480" s="7">
        <v>0</v>
      </c>
      <c r="AK480" s="7">
        <v>0</v>
      </c>
      <c r="AL480" s="7">
        <v>0</v>
      </c>
      <c r="AM480" s="7">
        <v>0</v>
      </c>
      <c r="AN480" s="7">
        <v>0</v>
      </c>
      <c r="AO480" s="7">
        <v>0</v>
      </c>
      <c r="AP480" s="7">
        <v>0</v>
      </c>
      <c r="AQ480" s="7">
        <v>0</v>
      </c>
      <c r="AR480" s="7">
        <v>0</v>
      </c>
      <c r="AS480" s="7">
        <v>0</v>
      </c>
      <c r="AT480" s="7">
        <v>0</v>
      </c>
      <c r="AU480" s="7">
        <v>0</v>
      </c>
      <c r="AV480" s="7">
        <v>0</v>
      </c>
      <c r="AW480" s="7">
        <v>0</v>
      </c>
      <c r="AX480" s="7">
        <v>0</v>
      </c>
      <c r="AY480" s="7">
        <v>0</v>
      </c>
      <c r="AZ480" s="7">
        <v>0</v>
      </c>
      <c r="BA480" s="7">
        <v>0</v>
      </c>
      <c r="BB480" s="7">
        <v>0</v>
      </c>
      <c r="BC480" s="7">
        <v>0</v>
      </c>
      <c r="BD480">
        <v>0</v>
      </c>
      <c r="BE480">
        <v>31.32</v>
      </c>
      <c r="BF4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0" s="42" t="str">
        <f>+IF(AVANCE[[#This Row],[FECHA INICIO REAL]]="","",AVANCE[[#This Row],[FECHA INICIO REAL]]-AVANCE[[#This Row],[FECHA INICIO TEORICO]])</f>
        <v/>
      </c>
      <c r="BH4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1" spans="1:61" x14ac:dyDescent="0.25">
      <c r="A481" t="s">
        <v>1286</v>
      </c>
      <c r="B481" t="s">
        <v>1318</v>
      </c>
      <c r="C481">
        <v>2282600480</v>
      </c>
      <c r="D481" t="s">
        <v>833</v>
      </c>
      <c r="E481" s="4">
        <v>0</v>
      </c>
      <c r="F481" s="1">
        <v>46378</v>
      </c>
      <c r="G481" s="1"/>
      <c r="H481" s="1">
        <v>0</v>
      </c>
      <c r="I481" s="1">
        <v>46398</v>
      </c>
      <c r="J481">
        <v>46188</v>
      </c>
      <c r="K481" s="1"/>
      <c r="L481" s="7">
        <v>0</v>
      </c>
      <c r="M481" s="7">
        <v>0</v>
      </c>
      <c r="N481" s="7">
        <v>0</v>
      </c>
      <c r="O481" s="7">
        <v>0</v>
      </c>
      <c r="P481" s="7">
        <v>0</v>
      </c>
      <c r="Q481" s="7">
        <v>0</v>
      </c>
      <c r="R481" s="7">
        <v>0</v>
      </c>
      <c r="S481" s="7">
        <v>0</v>
      </c>
      <c r="T481" s="7">
        <v>0</v>
      </c>
      <c r="U481" s="7">
        <v>0</v>
      </c>
      <c r="V481" s="7">
        <v>0</v>
      </c>
      <c r="W481" s="7">
        <v>0</v>
      </c>
      <c r="X481" s="7">
        <v>0</v>
      </c>
      <c r="Y481" s="7">
        <v>0</v>
      </c>
      <c r="Z481" s="7">
        <v>0</v>
      </c>
      <c r="AA481" s="7">
        <v>0</v>
      </c>
      <c r="AB481" s="7">
        <v>0</v>
      </c>
      <c r="AC481" s="7">
        <v>0</v>
      </c>
      <c r="AD481" s="7">
        <v>0</v>
      </c>
      <c r="AE481" s="7">
        <v>0</v>
      </c>
      <c r="AF481" s="7">
        <v>0</v>
      </c>
      <c r="AG481" s="7">
        <v>0</v>
      </c>
      <c r="AH481" s="7">
        <v>0</v>
      </c>
      <c r="AI481" s="7">
        <v>0</v>
      </c>
      <c r="AJ481" s="7">
        <v>0</v>
      </c>
      <c r="AK481" s="7">
        <v>0</v>
      </c>
      <c r="AL481" s="7">
        <v>0</v>
      </c>
      <c r="AM481" s="7">
        <v>0</v>
      </c>
      <c r="AN481" s="7">
        <v>0</v>
      </c>
      <c r="AO481" s="7">
        <v>0</v>
      </c>
      <c r="AP481" s="7">
        <v>0</v>
      </c>
      <c r="AQ481" s="7">
        <v>0</v>
      </c>
      <c r="AR481" s="7">
        <v>0</v>
      </c>
      <c r="AS481" s="7">
        <v>0</v>
      </c>
      <c r="AT481" s="7">
        <v>0</v>
      </c>
      <c r="AU481" s="7">
        <v>0</v>
      </c>
      <c r="AV481" s="7">
        <v>0</v>
      </c>
      <c r="AW481" s="7">
        <v>0</v>
      </c>
      <c r="AX481" s="7">
        <v>0</v>
      </c>
      <c r="AY481" s="7">
        <v>0</v>
      </c>
      <c r="AZ481" s="7">
        <v>0</v>
      </c>
      <c r="BA481" s="7">
        <v>0</v>
      </c>
      <c r="BB481" s="7">
        <v>0</v>
      </c>
      <c r="BC481" s="7">
        <v>0</v>
      </c>
      <c r="BD481">
        <v>0</v>
      </c>
      <c r="BE481">
        <v>28.87</v>
      </c>
      <c r="BF4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1" s="42" t="str">
        <f>+IF(AVANCE[[#This Row],[FECHA INICIO REAL]]="","",AVANCE[[#This Row],[FECHA INICIO REAL]]-AVANCE[[#This Row],[FECHA INICIO TEORICO]])</f>
        <v/>
      </c>
      <c r="BH4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2" spans="1:61" x14ac:dyDescent="0.25">
      <c r="A482" t="s">
        <v>1319</v>
      </c>
      <c r="B482" t="s">
        <v>1320</v>
      </c>
      <c r="C482">
        <v>2282600481</v>
      </c>
      <c r="D482" t="s">
        <v>833</v>
      </c>
      <c r="E482" s="4">
        <v>0</v>
      </c>
      <c r="F482" s="1">
        <v>46378</v>
      </c>
      <c r="G482" s="1"/>
      <c r="H482" s="1">
        <v>0</v>
      </c>
      <c r="I482" s="1">
        <v>46398</v>
      </c>
      <c r="J482">
        <v>46188</v>
      </c>
      <c r="K482" s="1"/>
      <c r="L482" s="7">
        <v>0</v>
      </c>
      <c r="M482" s="7">
        <v>0</v>
      </c>
      <c r="N482" s="7">
        <v>0</v>
      </c>
      <c r="O482" s="7">
        <v>0</v>
      </c>
      <c r="P482" s="7">
        <v>0</v>
      </c>
      <c r="Q482" s="7">
        <v>0</v>
      </c>
      <c r="R482" s="7">
        <v>0</v>
      </c>
      <c r="S482" s="7">
        <v>0</v>
      </c>
      <c r="T482" s="7">
        <v>0</v>
      </c>
      <c r="U482" s="7">
        <v>0</v>
      </c>
      <c r="V482" s="7">
        <v>0</v>
      </c>
      <c r="W482" s="7">
        <v>0</v>
      </c>
      <c r="X482" s="7">
        <v>0</v>
      </c>
      <c r="Y482" s="7">
        <v>0</v>
      </c>
      <c r="Z482" s="7">
        <v>0</v>
      </c>
      <c r="AA482" s="7">
        <v>0</v>
      </c>
      <c r="AB482" s="7">
        <v>0</v>
      </c>
      <c r="AC482" s="7">
        <v>0</v>
      </c>
      <c r="AD482" s="7">
        <v>0</v>
      </c>
      <c r="AE482" s="7">
        <v>0</v>
      </c>
      <c r="AF482" s="7">
        <v>0</v>
      </c>
      <c r="AG482" s="7">
        <v>0</v>
      </c>
      <c r="AH482" s="7">
        <v>0</v>
      </c>
      <c r="AI482" s="7">
        <v>0</v>
      </c>
      <c r="AJ482" s="7">
        <v>0</v>
      </c>
      <c r="AK482" s="7">
        <v>0</v>
      </c>
      <c r="AL482" s="7">
        <v>0</v>
      </c>
      <c r="AM482" s="7">
        <v>0</v>
      </c>
      <c r="AN482" s="7">
        <v>0</v>
      </c>
      <c r="AO482" s="7">
        <v>0</v>
      </c>
      <c r="AP482" s="7">
        <v>0</v>
      </c>
      <c r="AQ482" s="7">
        <v>0</v>
      </c>
      <c r="AR482" s="7">
        <v>0</v>
      </c>
      <c r="AS482" s="7">
        <v>0</v>
      </c>
      <c r="AT482" s="7">
        <v>0</v>
      </c>
      <c r="AU482" s="7">
        <v>0</v>
      </c>
      <c r="AV482" s="7">
        <v>0</v>
      </c>
      <c r="AW482" s="7">
        <v>0</v>
      </c>
      <c r="AX482" s="7">
        <v>0</v>
      </c>
      <c r="AY482" s="7">
        <v>0</v>
      </c>
      <c r="AZ482" s="7">
        <v>0</v>
      </c>
      <c r="BA482" s="7">
        <v>0</v>
      </c>
      <c r="BB482" s="7">
        <v>0</v>
      </c>
      <c r="BC482" s="7">
        <v>0</v>
      </c>
      <c r="BD482">
        <v>0</v>
      </c>
      <c r="BE482">
        <v>28.87</v>
      </c>
      <c r="BF4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2" s="42" t="str">
        <f>+IF(AVANCE[[#This Row],[FECHA INICIO REAL]]="","",AVANCE[[#This Row],[FECHA INICIO REAL]]-AVANCE[[#This Row],[FECHA INICIO TEORICO]])</f>
        <v/>
      </c>
      <c r="BH4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3" spans="1:61" x14ac:dyDescent="0.25">
      <c r="A483" t="s">
        <v>1319</v>
      </c>
      <c r="B483" t="s">
        <v>1321</v>
      </c>
      <c r="C483">
        <v>2302600482</v>
      </c>
      <c r="D483" t="s">
        <v>834</v>
      </c>
      <c r="E483" s="4">
        <v>0</v>
      </c>
      <c r="F483" s="1">
        <v>46379</v>
      </c>
      <c r="G483" s="1"/>
      <c r="H483" s="1">
        <v>0</v>
      </c>
      <c r="I483" s="1">
        <v>46409</v>
      </c>
      <c r="J483">
        <v>46188</v>
      </c>
      <c r="K483" s="1"/>
      <c r="L483" s="7">
        <v>0</v>
      </c>
      <c r="M483" s="7">
        <v>0</v>
      </c>
      <c r="N483" s="7">
        <v>0</v>
      </c>
      <c r="O483" s="7">
        <v>0</v>
      </c>
      <c r="P483" s="7">
        <v>0</v>
      </c>
      <c r="Q483" s="7">
        <v>0</v>
      </c>
      <c r="R483" s="7">
        <v>0</v>
      </c>
      <c r="S483" s="7">
        <v>0</v>
      </c>
      <c r="T483" s="7">
        <v>0</v>
      </c>
      <c r="U483" s="7">
        <v>0</v>
      </c>
      <c r="V483" s="7">
        <v>0</v>
      </c>
      <c r="W483" s="7">
        <v>0</v>
      </c>
      <c r="X483" s="7">
        <v>0</v>
      </c>
      <c r="Y483" s="7">
        <v>0</v>
      </c>
      <c r="Z483" s="7">
        <v>0</v>
      </c>
      <c r="AA483" s="7">
        <v>0</v>
      </c>
      <c r="AB483" s="7">
        <v>0</v>
      </c>
      <c r="AC483" s="7">
        <v>0</v>
      </c>
      <c r="AD483" s="7">
        <v>0</v>
      </c>
      <c r="AE483" s="7">
        <v>0</v>
      </c>
      <c r="AF483" s="7">
        <v>0</v>
      </c>
      <c r="AG483" s="7">
        <v>0</v>
      </c>
      <c r="AH483" s="7">
        <v>0</v>
      </c>
      <c r="AI483" s="7">
        <v>0</v>
      </c>
      <c r="AJ483" s="7">
        <v>0</v>
      </c>
      <c r="AK483" s="7">
        <v>0</v>
      </c>
      <c r="AL483" s="7">
        <v>0</v>
      </c>
      <c r="AM483" s="7">
        <v>0</v>
      </c>
      <c r="AN483" s="7">
        <v>0</v>
      </c>
      <c r="AO483" s="7">
        <v>0</v>
      </c>
      <c r="AP483" s="7">
        <v>0</v>
      </c>
      <c r="AQ483" s="7">
        <v>0</v>
      </c>
      <c r="AR483" s="7">
        <v>0</v>
      </c>
      <c r="AS483" s="7">
        <v>0</v>
      </c>
      <c r="AT483" s="7">
        <v>0</v>
      </c>
      <c r="AU483" s="7">
        <v>0</v>
      </c>
      <c r="AV483" s="7">
        <v>0</v>
      </c>
      <c r="AW483" s="7">
        <v>0</v>
      </c>
      <c r="AX483" s="7">
        <v>0</v>
      </c>
      <c r="AY483" s="7">
        <v>0</v>
      </c>
      <c r="AZ483" s="7">
        <v>0</v>
      </c>
      <c r="BA483" s="7">
        <v>0</v>
      </c>
      <c r="BB483" s="7">
        <v>0</v>
      </c>
      <c r="BC483" s="7">
        <v>0</v>
      </c>
      <c r="BD483">
        <v>0</v>
      </c>
      <c r="BE483">
        <v>31.32</v>
      </c>
      <c r="BF4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3" s="42" t="str">
        <f>+IF(AVANCE[[#This Row],[FECHA INICIO REAL]]="","",AVANCE[[#This Row],[FECHA INICIO REAL]]-AVANCE[[#This Row],[FECHA INICIO TEORICO]])</f>
        <v/>
      </c>
      <c r="BH4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4" spans="1:61" x14ac:dyDescent="0.25">
      <c r="A484" t="s">
        <v>1319</v>
      </c>
      <c r="B484" t="s">
        <v>1322</v>
      </c>
      <c r="C484">
        <v>2302600483</v>
      </c>
      <c r="D484" t="s">
        <v>834</v>
      </c>
      <c r="E484" s="4">
        <v>0</v>
      </c>
      <c r="F484" s="1">
        <v>46379</v>
      </c>
      <c r="G484" s="1"/>
      <c r="H484" s="1">
        <v>0</v>
      </c>
      <c r="I484" s="1">
        <v>46409</v>
      </c>
      <c r="J484">
        <v>46188</v>
      </c>
      <c r="K484" s="1"/>
      <c r="L484" s="7">
        <v>0</v>
      </c>
      <c r="M484" s="7">
        <v>0</v>
      </c>
      <c r="N484" s="7">
        <v>0</v>
      </c>
      <c r="O484" s="7">
        <v>0</v>
      </c>
      <c r="P484" s="7">
        <v>0</v>
      </c>
      <c r="Q484" s="7">
        <v>0</v>
      </c>
      <c r="R484" s="7">
        <v>0</v>
      </c>
      <c r="S484" s="7">
        <v>0</v>
      </c>
      <c r="T484" s="7">
        <v>0</v>
      </c>
      <c r="U484" s="7">
        <v>0</v>
      </c>
      <c r="V484" s="7">
        <v>0</v>
      </c>
      <c r="W484" s="7">
        <v>0</v>
      </c>
      <c r="X484" s="7">
        <v>0</v>
      </c>
      <c r="Y484" s="7">
        <v>0</v>
      </c>
      <c r="Z484" s="7">
        <v>0</v>
      </c>
      <c r="AA484" s="7">
        <v>0</v>
      </c>
      <c r="AB484" s="7">
        <v>0</v>
      </c>
      <c r="AC484" s="7">
        <v>0</v>
      </c>
      <c r="AD484" s="7">
        <v>0</v>
      </c>
      <c r="AE484" s="7">
        <v>0</v>
      </c>
      <c r="AF484" s="7">
        <v>0</v>
      </c>
      <c r="AG484" s="7">
        <v>0</v>
      </c>
      <c r="AH484" s="7">
        <v>0</v>
      </c>
      <c r="AI484" s="7">
        <v>0</v>
      </c>
      <c r="AJ484" s="7">
        <v>0</v>
      </c>
      <c r="AK484" s="7">
        <v>0</v>
      </c>
      <c r="AL484" s="7">
        <v>0</v>
      </c>
      <c r="AM484" s="7">
        <v>0</v>
      </c>
      <c r="AN484" s="7">
        <v>0</v>
      </c>
      <c r="AO484" s="7">
        <v>0</v>
      </c>
      <c r="AP484" s="7">
        <v>0</v>
      </c>
      <c r="AQ484" s="7">
        <v>0</v>
      </c>
      <c r="AR484" s="7">
        <v>0</v>
      </c>
      <c r="AS484" s="7">
        <v>0</v>
      </c>
      <c r="AT484" s="7">
        <v>0</v>
      </c>
      <c r="AU484" s="7">
        <v>0</v>
      </c>
      <c r="AV484" s="7">
        <v>0</v>
      </c>
      <c r="AW484" s="7">
        <v>0</v>
      </c>
      <c r="AX484" s="7">
        <v>0</v>
      </c>
      <c r="AY484" s="7">
        <v>0</v>
      </c>
      <c r="AZ484" s="7">
        <v>0</v>
      </c>
      <c r="BA484" s="7">
        <v>0</v>
      </c>
      <c r="BB484" s="7">
        <v>0</v>
      </c>
      <c r="BC484" s="7">
        <v>0</v>
      </c>
      <c r="BD484">
        <v>0</v>
      </c>
      <c r="BE484">
        <v>31.32</v>
      </c>
      <c r="BF4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4" s="42" t="str">
        <f>+IF(AVANCE[[#This Row],[FECHA INICIO REAL]]="","",AVANCE[[#This Row],[FECHA INICIO REAL]]-AVANCE[[#This Row],[FECHA INICIO TEORICO]])</f>
        <v/>
      </c>
      <c r="BH4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5" spans="1:61" x14ac:dyDescent="0.25">
      <c r="A485" t="s">
        <v>1319</v>
      </c>
      <c r="B485" t="s">
        <v>1323</v>
      </c>
      <c r="C485">
        <v>2282600484</v>
      </c>
      <c r="D485" t="s">
        <v>833</v>
      </c>
      <c r="E485" s="4">
        <v>0</v>
      </c>
      <c r="F485" s="1">
        <v>46379</v>
      </c>
      <c r="G485" s="1"/>
      <c r="H485" s="1">
        <v>0</v>
      </c>
      <c r="I485" s="1">
        <v>46399</v>
      </c>
      <c r="J485">
        <v>46188</v>
      </c>
      <c r="K485" s="1"/>
      <c r="L485" s="7">
        <v>0</v>
      </c>
      <c r="M485" s="7">
        <v>0</v>
      </c>
      <c r="N485" s="7">
        <v>0</v>
      </c>
      <c r="O485" s="7">
        <v>0</v>
      </c>
      <c r="P485" s="7">
        <v>0</v>
      </c>
      <c r="Q485" s="7">
        <v>0</v>
      </c>
      <c r="R485" s="7">
        <v>0</v>
      </c>
      <c r="S485" s="7">
        <v>0</v>
      </c>
      <c r="T485" s="7">
        <v>0</v>
      </c>
      <c r="U485" s="7">
        <v>0</v>
      </c>
      <c r="V485" s="7">
        <v>0</v>
      </c>
      <c r="W485" s="7">
        <v>0</v>
      </c>
      <c r="X485" s="7">
        <v>0</v>
      </c>
      <c r="Y485" s="7">
        <v>0</v>
      </c>
      <c r="Z485" s="7">
        <v>0</v>
      </c>
      <c r="AA485" s="7">
        <v>0</v>
      </c>
      <c r="AB485" s="7">
        <v>0</v>
      </c>
      <c r="AC485" s="7">
        <v>0</v>
      </c>
      <c r="AD485" s="7">
        <v>0</v>
      </c>
      <c r="AE485" s="7">
        <v>0</v>
      </c>
      <c r="AF485" s="7">
        <v>0</v>
      </c>
      <c r="AG485" s="7">
        <v>0</v>
      </c>
      <c r="AH485" s="7">
        <v>0</v>
      </c>
      <c r="AI485" s="7">
        <v>0</v>
      </c>
      <c r="AJ485" s="7">
        <v>0</v>
      </c>
      <c r="AK485" s="7">
        <v>0</v>
      </c>
      <c r="AL485" s="7">
        <v>0</v>
      </c>
      <c r="AM485" s="7">
        <v>0</v>
      </c>
      <c r="AN485" s="7">
        <v>0</v>
      </c>
      <c r="AO485" s="7">
        <v>0</v>
      </c>
      <c r="AP485" s="7">
        <v>0</v>
      </c>
      <c r="AQ485" s="7">
        <v>0</v>
      </c>
      <c r="AR485" s="7">
        <v>0</v>
      </c>
      <c r="AS485" s="7">
        <v>0</v>
      </c>
      <c r="AT485" s="7">
        <v>0</v>
      </c>
      <c r="AU485" s="7">
        <v>0</v>
      </c>
      <c r="AV485" s="7">
        <v>0</v>
      </c>
      <c r="AW485" s="7">
        <v>0</v>
      </c>
      <c r="AX485" s="7">
        <v>0</v>
      </c>
      <c r="AY485" s="7">
        <v>0</v>
      </c>
      <c r="AZ485" s="7">
        <v>0</v>
      </c>
      <c r="BA485" s="7">
        <v>0</v>
      </c>
      <c r="BB485" s="7">
        <v>0</v>
      </c>
      <c r="BC485" s="7">
        <v>0</v>
      </c>
      <c r="BD485">
        <v>0</v>
      </c>
      <c r="BE485">
        <v>28.87</v>
      </c>
      <c r="BF4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5" s="42" t="str">
        <f>+IF(AVANCE[[#This Row],[FECHA INICIO REAL]]="","",AVANCE[[#This Row],[FECHA INICIO REAL]]-AVANCE[[#This Row],[FECHA INICIO TEORICO]])</f>
        <v/>
      </c>
      <c r="BH4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6" spans="1:61" x14ac:dyDescent="0.25">
      <c r="A486" t="s">
        <v>1319</v>
      </c>
      <c r="B486" t="s">
        <v>1324</v>
      </c>
      <c r="C486">
        <v>2282600485</v>
      </c>
      <c r="D486" t="s">
        <v>833</v>
      </c>
      <c r="E486" s="4">
        <v>0</v>
      </c>
      <c r="F486" s="1">
        <v>46384</v>
      </c>
      <c r="G486" s="1"/>
      <c r="H486" s="1">
        <v>0</v>
      </c>
      <c r="I486" s="1">
        <v>46404</v>
      </c>
      <c r="J486">
        <v>46188</v>
      </c>
      <c r="K486" s="1"/>
      <c r="L486" s="7">
        <v>0</v>
      </c>
      <c r="M486" s="7">
        <v>0</v>
      </c>
      <c r="N486" s="7">
        <v>0</v>
      </c>
      <c r="O486" s="7">
        <v>0</v>
      </c>
      <c r="P486" s="7">
        <v>0</v>
      </c>
      <c r="Q486" s="7">
        <v>0</v>
      </c>
      <c r="R486" s="7">
        <v>0</v>
      </c>
      <c r="S486" s="7">
        <v>0</v>
      </c>
      <c r="T486" s="7">
        <v>0</v>
      </c>
      <c r="U486" s="7">
        <v>0</v>
      </c>
      <c r="V486" s="7">
        <v>0</v>
      </c>
      <c r="W486" s="7">
        <v>0</v>
      </c>
      <c r="X486" s="7">
        <v>0</v>
      </c>
      <c r="Y486" s="7">
        <v>0</v>
      </c>
      <c r="Z486" s="7">
        <v>0</v>
      </c>
      <c r="AA486" s="7">
        <v>0</v>
      </c>
      <c r="AB486" s="7">
        <v>0</v>
      </c>
      <c r="AC486" s="7">
        <v>0</v>
      </c>
      <c r="AD486" s="7">
        <v>0</v>
      </c>
      <c r="AE486" s="7">
        <v>0</v>
      </c>
      <c r="AF486" s="7">
        <v>0</v>
      </c>
      <c r="AG486" s="7">
        <v>0</v>
      </c>
      <c r="AH486" s="7">
        <v>0</v>
      </c>
      <c r="AI486" s="7">
        <v>0</v>
      </c>
      <c r="AJ486" s="7">
        <v>0</v>
      </c>
      <c r="AK486" s="7">
        <v>0</v>
      </c>
      <c r="AL486" s="7">
        <v>0</v>
      </c>
      <c r="AM486" s="7">
        <v>0</v>
      </c>
      <c r="AN486" s="7">
        <v>0</v>
      </c>
      <c r="AO486" s="7">
        <v>0</v>
      </c>
      <c r="AP486" s="7">
        <v>0</v>
      </c>
      <c r="AQ486" s="7">
        <v>0</v>
      </c>
      <c r="AR486" s="7">
        <v>0</v>
      </c>
      <c r="AS486" s="7">
        <v>0</v>
      </c>
      <c r="AT486" s="7">
        <v>0</v>
      </c>
      <c r="AU486" s="7">
        <v>0</v>
      </c>
      <c r="AV486" s="7">
        <v>0</v>
      </c>
      <c r="AW486" s="7">
        <v>0</v>
      </c>
      <c r="AX486" s="7">
        <v>0</v>
      </c>
      <c r="AY486" s="7">
        <v>0</v>
      </c>
      <c r="AZ486" s="7">
        <v>0</v>
      </c>
      <c r="BA486" s="7">
        <v>0</v>
      </c>
      <c r="BB486" s="7">
        <v>0</v>
      </c>
      <c r="BC486" s="7">
        <v>0</v>
      </c>
      <c r="BD486">
        <v>0</v>
      </c>
      <c r="BE486">
        <v>28.87</v>
      </c>
      <c r="BF4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6" s="42" t="str">
        <f>+IF(AVANCE[[#This Row],[FECHA INICIO REAL]]="","",AVANCE[[#This Row],[FECHA INICIO REAL]]-AVANCE[[#This Row],[FECHA INICIO TEORICO]])</f>
        <v/>
      </c>
      <c r="BH4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7" spans="1:61" x14ac:dyDescent="0.25">
      <c r="A487" t="s">
        <v>1319</v>
      </c>
      <c r="B487" t="s">
        <v>1325</v>
      </c>
      <c r="C487">
        <v>2302600486</v>
      </c>
      <c r="D487" t="s">
        <v>834</v>
      </c>
      <c r="E487" s="4">
        <v>0</v>
      </c>
      <c r="F487" s="1">
        <v>46384</v>
      </c>
      <c r="G487" s="1"/>
      <c r="H487" s="1">
        <v>0</v>
      </c>
      <c r="I487" s="1">
        <v>46414</v>
      </c>
      <c r="J487">
        <v>46188</v>
      </c>
      <c r="K487" s="1"/>
      <c r="L487" s="7">
        <v>0</v>
      </c>
      <c r="M487" s="7">
        <v>0</v>
      </c>
      <c r="N487" s="7">
        <v>0</v>
      </c>
      <c r="O487" s="7">
        <v>0</v>
      </c>
      <c r="P487" s="7">
        <v>0</v>
      </c>
      <c r="Q487" s="7">
        <v>0</v>
      </c>
      <c r="R487" s="7">
        <v>0</v>
      </c>
      <c r="S487" s="7">
        <v>0</v>
      </c>
      <c r="T487" s="7">
        <v>0</v>
      </c>
      <c r="U487" s="7">
        <v>0</v>
      </c>
      <c r="V487" s="7">
        <v>0</v>
      </c>
      <c r="W487" s="7">
        <v>0</v>
      </c>
      <c r="X487" s="7">
        <v>0</v>
      </c>
      <c r="Y487" s="7">
        <v>0</v>
      </c>
      <c r="Z487" s="7">
        <v>0</v>
      </c>
      <c r="AA487" s="7">
        <v>0</v>
      </c>
      <c r="AB487" s="7">
        <v>0</v>
      </c>
      <c r="AC487" s="7">
        <v>0</v>
      </c>
      <c r="AD487" s="7">
        <v>0</v>
      </c>
      <c r="AE487" s="7">
        <v>0</v>
      </c>
      <c r="AF487" s="7">
        <v>0</v>
      </c>
      <c r="AG487" s="7">
        <v>0</v>
      </c>
      <c r="AH487" s="7">
        <v>0</v>
      </c>
      <c r="AI487" s="7">
        <v>0</v>
      </c>
      <c r="AJ487" s="7">
        <v>0</v>
      </c>
      <c r="AK487" s="7">
        <v>0</v>
      </c>
      <c r="AL487" s="7">
        <v>0</v>
      </c>
      <c r="AM487" s="7">
        <v>0</v>
      </c>
      <c r="AN487" s="7">
        <v>0</v>
      </c>
      <c r="AO487" s="7">
        <v>0</v>
      </c>
      <c r="AP487" s="7">
        <v>0</v>
      </c>
      <c r="AQ487" s="7">
        <v>0</v>
      </c>
      <c r="AR487" s="7">
        <v>0</v>
      </c>
      <c r="AS487" s="7">
        <v>0</v>
      </c>
      <c r="AT487" s="7">
        <v>0</v>
      </c>
      <c r="AU487" s="7">
        <v>0</v>
      </c>
      <c r="AV487" s="7">
        <v>0</v>
      </c>
      <c r="AW487" s="7">
        <v>0</v>
      </c>
      <c r="AX487" s="7">
        <v>0</v>
      </c>
      <c r="AY487" s="7">
        <v>0</v>
      </c>
      <c r="AZ487" s="7">
        <v>0</v>
      </c>
      <c r="BA487" s="7">
        <v>0</v>
      </c>
      <c r="BB487" s="7">
        <v>0</v>
      </c>
      <c r="BC487" s="7">
        <v>0</v>
      </c>
      <c r="BD487">
        <v>0</v>
      </c>
      <c r="BE487">
        <v>31.32</v>
      </c>
      <c r="BF4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7" s="42" t="str">
        <f>+IF(AVANCE[[#This Row],[FECHA INICIO REAL]]="","",AVANCE[[#This Row],[FECHA INICIO REAL]]-AVANCE[[#This Row],[FECHA INICIO TEORICO]])</f>
        <v/>
      </c>
      <c r="BH4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8" spans="1:61" x14ac:dyDescent="0.25">
      <c r="A488" t="s">
        <v>1319</v>
      </c>
      <c r="B488" t="s">
        <v>1326</v>
      </c>
      <c r="C488">
        <v>2302600487</v>
      </c>
      <c r="D488" t="s">
        <v>834</v>
      </c>
      <c r="E488" s="4">
        <v>0</v>
      </c>
      <c r="F488" s="1">
        <v>46384</v>
      </c>
      <c r="G488" s="1"/>
      <c r="H488" s="1">
        <v>0</v>
      </c>
      <c r="I488" s="1">
        <v>46414</v>
      </c>
      <c r="J488">
        <v>46188</v>
      </c>
      <c r="K488" s="1"/>
      <c r="L488" s="7">
        <v>0</v>
      </c>
      <c r="M488" s="7">
        <v>0</v>
      </c>
      <c r="N488" s="7">
        <v>0</v>
      </c>
      <c r="O488" s="7">
        <v>0</v>
      </c>
      <c r="P488" s="7">
        <v>0</v>
      </c>
      <c r="Q488" s="7">
        <v>0</v>
      </c>
      <c r="R488" s="7">
        <v>0</v>
      </c>
      <c r="S488" s="7">
        <v>0</v>
      </c>
      <c r="T488" s="7">
        <v>0</v>
      </c>
      <c r="U488" s="7">
        <v>0</v>
      </c>
      <c r="V488" s="7">
        <v>0</v>
      </c>
      <c r="W488" s="7">
        <v>0</v>
      </c>
      <c r="X488" s="7">
        <v>0</v>
      </c>
      <c r="Y488" s="7">
        <v>0</v>
      </c>
      <c r="Z488" s="7">
        <v>0</v>
      </c>
      <c r="AA488" s="7">
        <v>0</v>
      </c>
      <c r="AB488" s="7">
        <v>0</v>
      </c>
      <c r="AC488" s="7">
        <v>0</v>
      </c>
      <c r="AD488" s="7">
        <v>0</v>
      </c>
      <c r="AE488" s="7">
        <v>0</v>
      </c>
      <c r="AF488" s="7">
        <v>0</v>
      </c>
      <c r="AG488" s="7">
        <v>0</v>
      </c>
      <c r="AH488" s="7">
        <v>0</v>
      </c>
      <c r="AI488" s="7">
        <v>0</v>
      </c>
      <c r="AJ488" s="7">
        <v>0</v>
      </c>
      <c r="AK488" s="7">
        <v>0</v>
      </c>
      <c r="AL488" s="7">
        <v>0</v>
      </c>
      <c r="AM488" s="7">
        <v>0</v>
      </c>
      <c r="AN488" s="7">
        <v>0</v>
      </c>
      <c r="AO488" s="7">
        <v>0</v>
      </c>
      <c r="AP488" s="7">
        <v>0</v>
      </c>
      <c r="AQ488" s="7">
        <v>0</v>
      </c>
      <c r="AR488" s="7">
        <v>0</v>
      </c>
      <c r="AS488" s="7">
        <v>0</v>
      </c>
      <c r="AT488" s="7">
        <v>0</v>
      </c>
      <c r="AU488" s="7">
        <v>0</v>
      </c>
      <c r="AV488" s="7">
        <v>0</v>
      </c>
      <c r="AW488" s="7">
        <v>0</v>
      </c>
      <c r="AX488" s="7">
        <v>0</v>
      </c>
      <c r="AY488" s="7">
        <v>0</v>
      </c>
      <c r="AZ488" s="7">
        <v>0</v>
      </c>
      <c r="BA488" s="7">
        <v>0</v>
      </c>
      <c r="BB488" s="7">
        <v>0</v>
      </c>
      <c r="BC488" s="7">
        <v>0</v>
      </c>
      <c r="BD488">
        <v>0</v>
      </c>
      <c r="BE488">
        <v>31.32</v>
      </c>
      <c r="BF4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8" s="42" t="str">
        <f>+IF(AVANCE[[#This Row],[FECHA INICIO REAL]]="","",AVANCE[[#This Row],[FECHA INICIO REAL]]-AVANCE[[#This Row],[FECHA INICIO TEORICO]])</f>
        <v/>
      </c>
      <c r="BH4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9" spans="1:61" x14ac:dyDescent="0.25">
      <c r="A489" t="s">
        <v>1319</v>
      </c>
      <c r="B489" t="s">
        <v>1327</v>
      </c>
      <c r="C489">
        <v>2282600488</v>
      </c>
      <c r="D489" t="s">
        <v>833</v>
      </c>
      <c r="E489" s="4">
        <v>0</v>
      </c>
      <c r="F489" s="1">
        <v>46385</v>
      </c>
      <c r="G489" s="1"/>
      <c r="H489" s="1">
        <v>0</v>
      </c>
      <c r="I489" s="1">
        <v>46405</v>
      </c>
      <c r="J489">
        <v>46188</v>
      </c>
      <c r="K489" s="1"/>
      <c r="L489" s="7">
        <v>0</v>
      </c>
      <c r="M489" s="7">
        <v>0</v>
      </c>
      <c r="N489" s="7">
        <v>0</v>
      </c>
      <c r="O489" s="7">
        <v>0</v>
      </c>
      <c r="P489" s="7">
        <v>0</v>
      </c>
      <c r="Q489" s="7">
        <v>0</v>
      </c>
      <c r="R489" s="7">
        <v>0</v>
      </c>
      <c r="S489" s="7">
        <v>0</v>
      </c>
      <c r="T489" s="7">
        <v>0</v>
      </c>
      <c r="U489" s="7">
        <v>0</v>
      </c>
      <c r="V489" s="7">
        <v>0</v>
      </c>
      <c r="W489" s="7">
        <v>0</v>
      </c>
      <c r="X489" s="7">
        <v>0</v>
      </c>
      <c r="Y489" s="7">
        <v>0</v>
      </c>
      <c r="Z489" s="7">
        <v>0</v>
      </c>
      <c r="AA489" s="7">
        <v>0</v>
      </c>
      <c r="AB489" s="7">
        <v>0</v>
      </c>
      <c r="AC489" s="7">
        <v>0</v>
      </c>
      <c r="AD489" s="7">
        <v>0</v>
      </c>
      <c r="AE489" s="7">
        <v>0</v>
      </c>
      <c r="AF489" s="7">
        <v>0</v>
      </c>
      <c r="AG489" s="7">
        <v>0</v>
      </c>
      <c r="AH489" s="7">
        <v>0</v>
      </c>
      <c r="AI489" s="7">
        <v>0</v>
      </c>
      <c r="AJ489" s="7">
        <v>0</v>
      </c>
      <c r="AK489" s="7">
        <v>0</v>
      </c>
      <c r="AL489" s="7">
        <v>0</v>
      </c>
      <c r="AM489" s="7">
        <v>0</v>
      </c>
      <c r="AN489" s="7">
        <v>0</v>
      </c>
      <c r="AO489" s="7">
        <v>0</v>
      </c>
      <c r="AP489" s="7">
        <v>0</v>
      </c>
      <c r="AQ489" s="7">
        <v>0</v>
      </c>
      <c r="AR489" s="7">
        <v>0</v>
      </c>
      <c r="AS489" s="7">
        <v>0</v>
      </c>
      <c r="AT489" s="7">
        <v>0</v>
      </c>
      <c r="AU489" s="7">
        <v>0</v>
      </c>
      <c r="AV489" s="7">
        <v>0</v>
      </c>
      <c r="AW489" s="7">
        <v>0</v>
      </c>
      <c r="AX489" s="7">
        <v>0</v>
      </c>
      <c r="AY489" s="7">
        <v>0</v>
      </c>
      <c r="AZ489" s="7">
        <v>0</v>
      </c>
      <c r="BA489" s="7">
        <v>0</v>
      </c>
      <c r="BB489" s="7">
        <v>0</v>
      </c>
      <c r="BC489" s="7">
        <v>0</v>
      </c>
      <c r="BD489">
        <v>0</v>
      </c>
      <c r="BE489">
        <v>28.87</v>
      </c>
      <c r="BF4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9" s="42" t="str">
        <f>+IF(AVANCE[[#This Row],[FECHA INICIO REAL]]="","",AVANCE[[#This Row],[FECHA INICIO REAL]]-AVANCE[[#This Row],[FECHA INICIO TEORICO]])</f>
        <v/>
      </c>
      <c r="BH4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0" spans="1:61" x14ac:dyDescent="0.25">
      <c r="A490" t="s">
        <v>1319</v>
      </c>
      <c r="B490" t="s">
        <v>1328</v>
      </c>
      <c r="C490">
        <v>2282600489</v>
      </c>
      <c r="D490" t="s">
        <v>833</v>
      </c>
      <c r="E490" s="4">
        <v>0</v>
      </c>
      <c r="F490" s="1">
        <v>46385</v>
      </c>
      <c r="G490" s="1"/>
      <c r="H490" s="1">
        <v>0</v>
      </c>
      <c r="I490" s="1">
        <v>46405</v>
      </c>
      <c r="J490">
        <v>46188</v>
      </c>
      <c r="K490" s="1"/>
      <c r="L490" s="7">
        <v>0</v>
      </c>
      <c r="M490" s="7">
        <v>0</v>
      </c>
      <c r="N490" s="7">
        <v>0</v>
      </c>
      <c r="O490" s="7">
        <v>0</v>
      </c>
      <c r="P490" s="7">
        <v>0</v>
      </c>
      <c r="Q490" s="7">
        <v>0</v>
      </c>
      <c r="R490" s="7">
        <v>0</v>
      </c>
      <c r="S490" s="7">
        <v>0</v>
      </c>
      <c r="T490" s="7">
        <v>0</v>
      </c>
      <c r="U490" s="7">
        <v>0</v>
      </c>
      <c r="V490" s="7">
        <v>0</v>
      </c>
      <c r="W490" s="7">
        <v>0</v>
      </c>
      <c r="X490" s="7">
        <v>0</v>
      </c>
      <c r="Y490" s="7">
        <v>0</v>
      </c>
      <c r="Z490" s="7">
        <v>0</v>
      </c>
      <c r="AA490" s="7">
        <v>0</v>
      </c>
      <c r="AB490" s="7">
        <v>0</v>
      </c>
      <c r="AC490" s="7">
        <v>0</v>
      </c>
      <c r="AD490" s="7">
        <v>0</v>
      </c>
      <c r="AE490" s="7">
        <v>0</v>
      </c>
      <c r="AF490" s="7">
        <v>0</v>
      </c>
      <c r="AG490" s="7">
        <v>0</v>
      </c>
      <c r="AH490" s="7">
        <v>0</v>
      </c>
      <c r="AI490" s="7">
        <v>0</v>
      </c>
      <c r="AJ490" s="7">
        <v>0</v>
      </c>
      <c r="AK490" s="7">
        <v>0</v>
      </c>
      <c r="AL490" s="7">
        <v>0</v>
      </c>
      <c r="AM490" s="7">
        <v>0</v>
      </c>
      <c r="AN490" s="7">
        <v>0</v>
      </c>
      <c r="AO490" s="7">
        <v>0</v>
      </c>
      <c r="AP490" s="7">
        <v>0</v>
      </c>
      <c r="AQ490" s="7">
        <v>0</v>
      </c>
      <c r="AR490" s="7">
        <v>0</v>
      </c>
      <c r="AS490" s="7">
        <v>0</v>
      </c>
      <c r="AT490" s="7">
        <v>0</v>
      </c>
      <c r="AU490" s="7">
        <v>0</v>
      </c>
      <c r="AV490" s="7">
        <v>0</v>
      </c>
      <c r="AW490" s="7">
        <v>0</v>
      </c>
      <c r="AX490" s="7">
        <v>0</v>
      </c>
      <c r="AY490" s="7">
        <v>0</v>
      </c>
      <c r="AZ490" s="7">
        <v>0</v>
      </c>
      <c r="BA490" s="7">
        <v>0</v>
      </c>
      <c r="BB490" s="7">
        <v>0</v>
      </c>
      <c r="BC490" s="7">
        <v>0</v>
      </c>
      <c r="BD490">
        <v>0</v>
      </c>
      <c r="BE490">
        <v>28.87</v>
      </c>
      <c r="BF4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0" s="42" t="str">
        <f>+IF(AVANCE[[#This Row],[FECHA INICIO REAL]]="","",AVANCE[[#This Row],[FECHA INICIO REAL]]-AVANCE[[#This Row],[FECHA INICIO TEORICO]])</f>
        <v/>
      </c>
      <c r="BH4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1" spans="1:61" x14ac:dyDescent="0.25">
      <c r="A491" t="s">
        <v>1319</v>
      </c>
      <c r="B491" t="s">
        <v>1329</v>
      </c>
      <c r="C491">
        <v>2302600490</v>
      </c>
      <c r="D491" t="s">
        <v>834</v>
      </c>
      <c r="E491" s="4">
        <v>0</v>
      </c>
      <c r="F491" s="1">
        <v>46385</v>
      </c>
      <c r="G491" s="1"/>
      <c r="H491" s="1">
        <v>0</v>
      </c>
      <c r="I491" s="1">
        <v>46415</v>
      </c>
      <c r="J491">
        <v>46188</v>
      </c>
      <c r="K491" s="1"/>
      <c r="L491" s="7">
        <v>0</v>
      </c>
      <c r="M491" s="7">
        <v>0</v>
      </c>
      <c r="N491" s="7">
        <v>0</v>
      </c>
      <c r="O491" s="7">
        <v>0</v>
      </c>
      <c r="P491" s="7">
        <v>0</v>
      </c>
      <c r="Q491" s="7">
        <v>0</v>
      </c>
      <c r="R491" s="7">
        <v>0</v>
      </c>
      <c r="S491" s="7">
        <v>0</v>
      </c>
      <c r="T491" s="7">
        <v>0</v>
      </c>
      <c r="U491" s="7">
        <v>0</v>
      </c>
      <c r="V491" s="7">
        <v>0</v>
      </c>
      <c r="W491" s="7">
        <v>0</v>
      </c>
      <c r="X491" s="7">
        <v>0</v>
      </c>
      <c r="Y491" s="7">
        <v>0</v>
      </c>
      <c r="Z491" s="7">
        <v>0</v>
      </c>
      <c r="AA491" s="7">
        <v>0</v>
      </c>
      <c r="AB491" s="7">
        <v>0</v>
      </c>
      <c r="AC491" s="7">
        <v>0</v>
      </c>
      <c r="AD491" s="7">
        <v>0</v>
      </c>
      <c r="AE491" s="7">
        <v>0</v>
      </c>
      <c r="AF491" s="7">
        <v>0</v>
      </c>
      <c r="AG491" s="7">
        <v>0</v>
      </c>
      <c r="AH491" s="7">
        <v>0</v>
      </c>
      <c r="AI491" s="7">
        <v>0</v>
      </c>
      <c r="AJ491" s="7">
        <v>0</v>
      </c>
      <c r="AK491" s="7">
        <v>0</v>
      </c>
      <c r="AL491" s="7">
        <v>0</v>
      </c>
      <c r="AM491" s="7">
        <v>0</v>
      </c>
      <c r="AN491" s="7">
        <v>0</v>
      </c>
      <c r="AO491" s="7">
        <v>0</v>
      </c>
      <c r="AP491" s="7">
        <v>0</v>
      </c>
      <c r="AQ491" s="7">
        <v>0</v>
      </c>
      <c r="AR491" s="7">
        <v>0</v>
      </c>
      <c r="AS491" s="7">
        <v>0</v>
      </c>
      <c r="AT491" s="7">
        <v>0</v>
      </c>
      <c r="AU491" s="7">
        <v>0</v>
      </c>
      <c r="AV491" s="7">
        <v>0</v>
      </c>
      <c r="AW491" s="7">
        <v>0</v>
      </c>
      <c r="AX491" s="7">
        <v>0</v>
      </c>
      <c r="AY491" s="7">
        <v>0</v>
      </c>
      <c r="AZ491" s="7">
        <v>0</v>
      </c>
      <c r="BA491" s="7">
        <v>0</v>
      </c>
      <c r="BB491" s="7">
        <v>0</v>
      </c>
      <c r="BC491" s="7">
        <v>0</v>
      </c>
      <c r="BD491">
        <v>0</v>
      </c>
      <c r="BE491">
        <v>31.32</v>
      </c>
      <c r="BF4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1" s="42" t="str">
        <f>+IF(AVANCE[[#This Row],[FECHA INICIO REAL]]="","",AVANCE[[#This Row],[FECHA INICIO REAL]]-AVANCE[[#This Row],[FECHA INICIO TEORICO]])</f>
        <v/>
      </c>
      <c r="BH4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2" spans="1:61" x14ac:dyDescent="0.25">
      <c r="A492" t="s">
        <v>1319</v>
      </c>
      <c r="B492" t="s">
        <v>1330</v>
      </c>
      <c r="C492">
        <v>2302600491</v>
      </c>
      <c r="D492" t="s">
        <v>834</v>
      </c>
      <c r="E492" s="4">
        <v>0</v>
      </c>
      <c r="F492" s="1">
        <v>46386</v>
      </c>
      <c r="G492" s="1"/>
      <c r="H492" s="1">
        <v>0</v>
      </c>
      <c r="I492" s="1">
        <v>46416</v>
      </c>
      <c r="J492">
        <v>46188</v>
      </c>
      <c r="K492" s="1"/>
      <c r="L492" s="7">
        <v>0</v>
      </c>
      <c r="M492" s="7">
        <v>0</v>
      </c>
      <c r="N492" s="7">
        <v>0</v>
      </c>
      <c r="O492" s="7">
        <v>0</v>
      </c>
      <c r="P492" s="7">
        <v>0</v>
      </c>
      <c r="Q492" s="7">
        <v>0</v>
      </c>
      <c r="R492" s="7">
        <v>0</v>
      </c>
      <c r="S492" s="7">
        <v>0</v>
      </c>
      <c r="T492" s="7">
        <v>0</v>
      </c>
      <c r="U492" s="7">
        <v>0</v>
      </c>
      <c r="V492" s="7">
        <v>0</v>
      </c>
      <c r="W492" s="7">
        <v>0</v>
      </c>
      <c r="X492" s="7">
        <v>0</v>
      </c>
      <c r="Y492" s="7">
        <v>0</v>
      </c>
      <c r="Z492" s="7">
        <v>0</v>
      </c>
      <c r="AA492" s="7">
        <v>0</v>
      </c>
      <c r="AB492" s="7">
        <v>0</v>
      </c>
      <c r="AC492" s="7">
        <v>0</v>
      </c>
      <c r="AD492" s="7">
        <v>0</v>
      </c>
      <c r="AE492" s="7">
        <v>0</v>
      </c>
      <c r="AF492" s="7">
        <v>0</v>
      </c>
      <c r="AG492" s="7">
        <v>0</v>
      </c>
      <c r="AH492" s="7">
        <v>0</v>
      </c>
      <c r="AI492" s="7">
        <v>0</v>
      </c>
      <c r="AJ492" s="7">
        <v>0</v>
      </c>
      <c r="AK492" s="7">
        <v>0</v>
      </c>
      <c r="AL492" s="7">
        <v>0</v>
      </c>
      <c r="AM492" s="7">
        <v>0</v>
      </c>
      <c r="AN492" s="7">
        <v>0</v>
      </c>
      <c r="AO492" s="7">
        <v>0</v>
      </c>
      <c r="AP492" s="7">
        <v>0</v>
      </c>
      <c r="AQ492" s="7">
        <v>0</v>
      </c>
      <c r="AR492" s="7">
        <v>0</v>
      </c>
      <c r="AS492" s="7">
        <v>0</v>
      </c>
      <c r="AT492" s="7">
        <v>0</v>
      </c>
      <c r="AU492" s="7">
        <v>0</v>
      </c>
      <c r="AV492" s="7">
        <v>0</v>
      </c>
      <c r="AW492" s="7">
        <v>0</v>
      </c>
      <c r="AX492" s="7">
        <v>0</v>
      </c>
      <c r="AY492" s="7">
        <v>0</v>
      </c>
      <c r="AZ492" s="7">
        <v>0</v>
      </c>
      <c r="BA492" s="7">
        <v>0</v>
      </c>
      <c r="BB492" s="7">
        <v>0</v>
      </c>
      <c r="BC492" s="7">
        <v>0</v>
      </c>
      <c r="BD492">
        <v>0</v>
      </c>
      <c r="BE492">
        <v>31.32</v>
      </c>
      <c r="BF4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2" s="42" t="str">
        <f>+IF(AVANCE[[#This Row],[FECHA INICIO REAL]]="","",AVANCE[[#This Row],[FECHA INICIO REAL]]-AVANCE[[#This Row],[FECHA INICIO TEORICO]])</f>
        <v/>
      </c>
      <c r="BH4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3" spans="1:61" x14ac:dyDescent="0.25">
      <c r="A493" t="s">
        <v>1319</v>
      </c>
      <c r="B493" t="s">
        <v>1331</v>
      </c>
      <c r="C493">
        <v>2282600492</v>
      </c>
      <c r="D493" t="s">
        <v>833</v>
      </c>
      <c r="E493" s="4">
        <v>0</v>
      </c>
      <c r="F493" s="1">
        <v>46386</v>
      </c>
      <c r="G493" s="1"/>
      <c r="H493" s="1">
        <v>0</v>
      </c>
      <c r="I493" s="1">
        <v>46406</v>
      </c>
      <c r="J493">
        <v>46188</v>
      </c>
      <c r="K493" s="1"/>
      <c r="L493" s="7">
        <v>0</v>
      </c>
      <c r="M493" s="7">
        <v>0</v>
      </c>
      <c r="N493" s="7">
        <v>0</v>
      </c>
      <c r="O493" s="7">
        <v>0</v>
      </c>
      <c r="P493" s="7">
        <v>0</v>
      </c>
      <c r="Q493" s="7">
        <v>0</v>
      </c>
      <c r="R493" s="7">
        <v>0</v>
      </c>
      <c r="S493" s="7">
        <v>0</v>
      </c>
      <c r="T493" s="7">
        <v>0</v>
      </c>
      <c r="U493" s="7">
        <v>0</v>
      </c>
      <c r="V493" s="7">
        <v>0</v>
      </c>
      <c r="W493" s="7">
        <v>0</v>
      </c>
      <c r="X493" s="7">
        <v>0</v>
      </c>
      <c r="Y493" s="7">
        <v>0</v>
      </c>
      <c r="Z493" s="7">
        <v>0</v>
      </c>
      <c r="AA493" s="7">
        <v>0</v>
      </c>
      <c r="AB493" s="7">
        <v>0</v>
      </c>
      <c r="AC493" s="7">
        <v>0</v>
      </c>
      <c r="AD493" s="7">
        <v>0</v>
      </c>
      <c r="AE493" s="7">
        <v>0</v>
      </c>
      <c r="AF493" s="7">
        <v>0</v>
      </c>
      <c r="AG493" s="7">
        <v>0</v>
      </c>
      <c r="AH493" s="7">
        <v>0</v>
      </c>
      <c r="AI493" s="7">
        <v>0</v>
      </c>
      <c r="AJ493" s="7">
        <v>0</v>
      </c>
      <c r="AK493" s="7">
        <v>0</v>
      </c>
      <c r="AL493" s="7">
        <v>0</v>
      </c>
      <c r="AM493" s="7">
        <v>0</v>
      </c>
      <c r="AN493" s="7">
        <v>0</v>
      </c>
      <c r="AO493" s="7">
        <v>0</v>
      </c>
      <c r="AP493" s="7">
        <v>0</v>
      </c>
      <c r="AQ493" s="7">
        <v>0</v>
      </c>
      <c r="AR493" s="7">
        <v>0</v>
      </c>
      <c r="AS493" s="7">
        <v>0</v>
      </c>
      <c r="AT493" s="7">
        <v>0</v>
      </c>
      <c r="AU493" s="7">
        <v>0</v>
      </c>
      <c r="AV493" s="7">
        <v>0</v>
      </c>
      <c r="AW493" s="7">
        <v>0</v>
      </c>
      <c r="AX493" s="7">
        <v>0</v>
      </c>
      <c r="AY493" s="7">
        <v>0</v>
      </c>
      <c r="AZ493" s="7">
        <v>0</v>
      </c>
      <c r="BA493" s="7">
        <v>0</v>
      </c>
      <c r="BB493" s="7">
        <v>0</v>
      </c>
      <c r="BC493" s="7">
        <v>0</v>
      </c>
      <c r="BD493">
        <v>0</v>
      </c>
      <c r="BE493">
        <v>28.87</v>
      </c>
      <c r="BF4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3" s="42" t="str">
        <f>+IF(AVANCE[[#This Row],[FECHA INICIO REAL]]="","",AVANCE[[#This Row],[FECHA INICIO REAL]]-AVANCE[[#This Row],[FECHA INICIO TEORICO]])</f>
        <v/>
      </c>
      <c r="BH4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4" spans="1:61" x14ac:dyDescent="0.25">
      <c r="A494" t="s">
        <v>1319</v>
      </c>
      <c r="B494" t="s">
        <v>1332</v>
      </c>
      <c r="C494">
        <v>2282600493</v>
      </c>
      <c r="D494" t="s">
        <v>833</v>
      </c>
      <c r="E494" s="4">
        <v>0</v>
      </c>
      <c r="F494" s="1">
        <v>46386</v>
      </c>
      <c r="G494" s="1"/>
      <c r="H494" s="1">
        <v>0</v>
      </c>
      <c r="I494" s="1">
        <v>46406</v>
      </c>
      <c r="J494">
        <v>46188</v>
      </c>
      <c r="K494" s="1"/>
      <c r="L494" s="7">
        <v>0</v>
      </c>
      <c r="M494" s="7">
        <v>0</v>
      </c>
      <c r="N494" s="7">
        <v>0</v>
      </c>
      <c r="O494" s="7">
        <v>0</v>
      </c>
      <c r="P494" s="7">
        <v>0</v>
      </c>
      <c r="Q494" s="7">
        <v>0</v>
      </c>
      <c r="R494" s="7">
        <v>0</v>
      </c>
      <c r="S494" s="7">
        <v>0</v>
      </c>
      <c r="T494" s="7">
        <v>0</v>
      </c>
      <c r="U494" s="7">
        <v>0</v>
      </c>
      <c r="V494" s="7">
        <v>0</v>
      </c>
      <c r="W494" s="7">
        <v>0</v>
      </c>
      <c r="X494" s="7">
        <v>0</v>
      </c>
      <c r="Y494" s="7">
        <v>0</v>
      </c>
      <c r="Z494" s="7">
        <v>0</v>
      </c>
      <c r="AA494" s="7">
        <v>0</v>
      </c>
      <c r="AB494" s="7">
        <v>0</v>
      </c>
      <c r="AC494" s="7">
        <v>0</v>
      </c>
      <c r="AD494" s="7">
        <v>0</v>
      </c>
      <c r="AE494" s="7">
        <v>0</v>
      </c>
      <c r="AF494" s="7">
        <v>0</v>
      </c>
      <c r="AG494" s="7">
        <v>0</v>
      </c>
      <c r="AH494" s="7">
        <v>0</v>
      </c>
      <c r="AI494" s="7">
        <v>0</v>
      </c>
      <c r="AJ494" s="7">
        <v>0</v>
      </c>
      <c r="AK494" s="7">
        <v>0</v>
      </c>
      <c r="AL494" s="7">
        <v>0</v>
      </c>
      <c r="AM494" s="7">
        <v>0</v>
      </c>
      <c r="AN494" s="7">
        <v>0</v>
      </c>
      <c r="AO494" s="7">
        <v>0</v>
      </c>
      <c r="AP494" s="7">
        <v>0</v>
      </c>
      <c r="AQ494" s="7">
        <v>0</v>
      </c>
      <c r="AR494" s="7">
        <v>0</v>
      </c>
      <c r="AS494" s="7">
        <v>0</v>
      </c>
      <c r="AT494" s="7">
        <v>0</v>
      </c>
      <c r="AU494" s="7">
        <v>0</v>
      </c>
      <c r="AV494" s="7">
        <v>0</v>
      </c>
      <c r="AW494" s="7">
        <v>0</v>
      </c>
      <c r="AX494" s="7">
        <v>0</v>
      </c>
      <c r="AY494" s="7">
        <v>0</v>
      </c>
      <c r="AZ494" s="7">
        <v>0</v>
      </c>
      <c r="BA494" s="7">
        <v>0</v>
      </c>
      <c r="BB494" s="7">
        <v>0</v>
      </c>
      <c r="BC494" s="7">
        <v>0</v>
      </c>
      <c r="BD494">
        <v>0</v>
      </c>
      <c r="BE494">
        <v>28.87</v>
      </c>
      <c r="BF4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4" s="42" t="str">
        <f>+IF(AVANCE[[#This Row],[FECHA INICIO REAL]]="","",AVANCE[[#This Row],[FECHA INICIO REAL]]-AVANCE[[#This Row],[FECHA INICIO TEORICO]])</f>
        <v/>
      </c>
      <c r="BH4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5" spans="1:61" x14ac:dyDescent="0.25">
      <c r="A495" t="s">
        <v>1319</v>
      </c>
      <c r="B495" t="s">
        <v>1333</v>
      </c>
      <c r="C495">
        <v>2302600494</v>
      </c>
      <c r="D495" t="s">
        <v>834</v>
      </c>
      <c r="E495" s="4">
        <v>0</v>
      </c>
      <c r="F495" s="1">
        <v>46391</v>
      </c>
      <c r="G495" s="1"/>
      <c r="H495" s="1">
        <v>0</v>
      </c>
      <c r="I495" s="1">
        <v>46421</v>
      </c>
      <c r="J495">
        <v>46188</v>
      </c>
      <c r="K495" s="1"/>
      <c r="L495" s="7">
        <v>0</v>
      </c>
      <c r="M495" s="7">
        <v>0</v>
      </c>
      <c r="N495" s="7">
        <v>0</v>
      </c>
      <c r="O495" s="7">
        <v>0</v>
      </c>
      <c r="P495" s="7">
        <v>0</v>
      </c>
      <c r="Q495" s="7">
        <v>0</v>
      </c>
      <c r="R495" s="7">
        <v>0</v>
      </c>
      <c r="S495" s="7">
        <v>0</v>
      </c>
      <c r="T495" s="7">
        <v>0</v>
      </c>
      <c r="U495" s="7">
        <v>0</v>
      </c>
      <c r="V495" s="7">
        <v>0</v>
      </c>
      <c r="W495" s="7">
        <v>0</v>
      </c>
      <c r="X495" s="7">
        <v>0</v>
      </c>
      <c r="Y495" s="7">
        <v>0</v>
      </c>
      <c r="Z495" s="7">
        <v>0</v>
      </c>
      <c r="AA495" s="7">
        <v>0</v>
      </c>
      <c r="AB495" s="7">
        <v>0</v>
      </c>
      <c r="AC495" s="7">
        <v>0</v>
      </c>
      <c r="AD495" s="7">
        <v>0</v>
      </c>
      <c r="AE495" s="7">
        <v>0</v>
      </c>
      <c r="AF495" s="7">
        <v>0</v>
      </c>
      <c r="AG495" s="7">
        <v>0</v>
      </c>
      <c r="AH495" s="7">
        <v>0</v>
      </c>
      <c r="AI495" s="7">
        <v>0</v>
      </c>
      <c r="AJ495" s="7">
        <v>0</v>
      </c>
      <c r="AK495" s="7">
        <v>0</v>
      </c>
      <c r="AL495" s="7">
        <v>0</v>
      </c>
      <c r="AM495" s="7">
        <v>0</v>
      </c>
      <c r="AN495" s="7">
        <v>0</v>
      </c>
      <c r="AO495" s="7">
        <v>0</v>
      </c>
      <c r="AP495" s="7">
        <v>0</v>
      </c>
      <c r="AQ495" s="7">
        <v>0</v>
      </c>
      <c r="AR495" s="7">
        <v>0</v>
      </c>
      <c r="AS495" s="7">
        <v>0</v>
      </c>
      <c r="AT495" s="7">
        <v>0</v>
      </c>
      <c r="AU495" s="7">
        <v>0</v>
      </c>
      <c r="AV495" s="7">
        <v>0</v>
      </c>
      <c r="AW495" s="7">
        <v>0</v>
      </c>
      <c r="AX495" s="7">
        <v>0</v>
      </c>
      <c r="AY495" s="7">
        <v>0</v>
      </c>
      <c r="AZ495" s="7">
        <v>0</v>
      </c>
      <c r="BA495" s="7">
        <v>0</v>
      </c>
      <c r="BB495" s="7">
        <v>0</v>
      </c>
      <c r="BC495" s="7">
        <v>0</v>
      </c>
      <c r="BD495">
        <v>0</v>
      </c>
      <c r="BE495">
        <v>31.32</v>
      </c>
      <c r="BF4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5" s="42" t="str">
        <f>+IF(AVANCE[[#This Row],[FECHA INICIO REAL]]="","",AVANCE[[#This Row],[FECHA INICIO REAL]]-AVANCE[[#This Row],[FECHA INICIO TEORICO]])</f>
        <v/>
      </c>
      <c r="BH4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6" spans="1:61" x14ac:dyDescent="0.25">
      <c r="A496" t="s">
        <v>1319</v>
      </c>
      <c r="B496" t="s">
        <v>1334</v>
      </c>
      <c r="C496">
        <v>2302600495</v>
      </c>
      <c r="D496" t="s">
        <v>834</v>
      </c>
      <c r="E496" s="4">
        <v>0</v>
      </c>
      <c r="F496" s="1">
        <v>46391</v>
      </c>
      <c r="G496" s="1"/>
      <c r="H496" s="1">
        <v>0</v>
      </c>
      <c r="I496" s="1">
        <v>46421</v>
      </c>
      <c r="J496">
        <v>46188</v>
      </c>
      <c r="K496" s="1"/>
      <c r="L496" s="7">
        <v>0</v>
      </c>
      <c r="M496" s="7">
        <v>0</v>
      </c>
      <c r="N496" s="7">
        <v>0</v>
      </c>
      <c r="O496" s="7">
        <v>0</v>
      </c>
      <c r="P496" s="7">
        <v>0</v>
      </c>
      <c r="Q496" s="7">
        <v>0</v>
      </c>
      <c r="R496" s="7">
        <v>0</v>
      </c>
      <c r="S496" s="7">
        <v>0</v>
      </c>
      <c r="T496" s="7">
        <v>0</v>
      </c>
      <c r="U496" s="7">
        <v>0</v>
      </c>
      <c r="V496" s="7">
        <v>0</v>
      </c>
      <c r="W496" s="7">
        <v>0</v>
      </c>
      <c r="X496" s="7">
        <v>0</v>
      </c>
      <c r="Y496" s="7">
        <v>0</v>
      </c>
      <c r="Z496" s="7">
        <v>0</v>
      </c>
      <c r="AA496" s="7">
        <v>0</v>
      </c>
      <c r="AB496" s="7">
        <v>0</v>
      </c>
      <c r="AC496" s="7">
        <v>0</v>
      </c>
      <c r="AD496" s="7">
        <v>0</v>
      </c>
      <c r="AE496" s="7">
        <v>0</v>
      </c>
      <c r="AF496" s="7">
        <v>0</v>
      </c>
      <c r="AG496" s="7">
        <v>0</v>
      </c>
      <c r="AH496" s="7">
        <v>0</v>
      </c>
      <c r="AI496" s="7">
        <v>0</v>
      </c>
      <c r="AJ496" s="7">
        <v>0</v>
      </c>
      <c r="AK496" s="7">
        <v>0</v>
      </c>
      <c r="AL496" s="7">
        <v>0</v>
      </c>
      <c r="AM496" s="7">
        <v>0</v>
      </c>
      <c r="AN496" s="7">
        <v>0</v>
      </c>
      <c r="AO496" s="7">
        <v>0</v>
      </c>
      <c r="AP496" s="7">
        <v>0</v>
      </c>
      <c r="AQ496" s="7">
        <v>0</v>
      </c>
      <c r="AR496" s="7">
        <v>0</v>
      </c>
      <c r="AS496" s="7">
        <v>0</v>
      </c>
      <c r="AT496" s="7">
        <v>0</v>
      </c>
      <c r="AU496" s="7">
        <v>0</v>
      </c>
      <c r="AV496" s="7">
        <v>0</v>
      </c>
      <c r="AW496" s="7">
        <v>0</v>
      </c>
      <c r="AX496" s="7">
        <v>0</v>
      </c>
      <c r="AY496" s="7">
        <v>0</v>
      </c>
      <c r="AZ496" s="7">
        <v>0</v>
      </c>
      <c r="BA496" s="7">
        <v>0</v>
      </c>
      <c r="BB496" s="7">
        <v>0</v>
      </c>
      <c r="BC496" s="7">
        <v>0</v>
      </c>
      <c r="BD496">
        <v>0</v>
      </c>
      <c r="BE496">
        <v>31.32</v>
      </c>
      <c r="BF4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6" s="42" t="str">
        <f>+IF(AVANCE[[#This Row],[FECHA INICIO REAL]]="","",AVANCE[[#This Row],[FECHA INICIO REAL]]-AVANCE[[#This Row],[FECHA INICIO TEORICO]])</f>
        <v/>
      </c>
      <c r="BH4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7" spans="1:61" x14ac:dyDescent="0.25">
      <c r="A497" t="s">
        <v>1319</v>
      </c>
      <c r="B497" t="s">
        <v>1335</v>
      </c>
      <c r="C497">
        <v>2282600496</v>
      </c>
      <c r="D497" t="s">
        <v>833</v>
      </c>
      <c r="E497" s="4">
        <v>0</v>
      </c>
      <c r="F497" s="1">
        <v>46391</v>
      </c>
      <c r="G497" s="1"/>
      <c r="H497" s="1">
        <v>0</v>
      </c>
      <c r="I497" s="1">
        <v>46411</v>
      </c>
      <c r="J497">
        <v>46188</v>
      </c>
      <c r="K497" s="1"/>
      <c r="L497" s="7">
        <v>0</v>
      </c>
      <c r="M497" s="7">
        <v>0</v>
      </c>
      <c r="N497" s="7">
        <v>0</v>
      </c>
      <c r="O497" s="7">
        <v>0</v>
      </c>
      <c r="P497" s="7">
        <v>0</v>
      </c>
      <c r="Q497" s="7">
        <v>0</v>
      </c>
      <c r="R497" s="7">
        <v>0</v>
      </c>
      <c r="S497" s="7">
        <v>0</v>
      </c>
      <c r="T497" s="7">
        <v>0</v>
      </c>
      <c r="U497" s="7">
        <v>0</v>
      </c>
      <c r="V497" s="7">
        <v>0</v>
      </c>
      <c r="W497" s="7">
        <v>0</v>
      </c>
      <c r="X497" s="7">
        <v>0</v>
      </c>
      <c r="Y497" s="7">
        <v>0</v>
      </c>
      <c r="Z497" s="7">
        <v>0</v>
      </c>
      <c r="AA497" s="7">
        <v>0</v>
      </c>
      <c r="AB497" s="7">
        <v>0</v>
      </c>
      <c r="AC497" s="7">
        <v>0</v>
      </c>
      <c r="AD497" s="7">
        <v>0</v>
      </c>
      <c r="AE497" s="7">
        <v>0</v>
      </c>
      <c r="AF497" s="7">
        <v>0</v>
      </c>
      <c r="AG497" s="7">
        <v>0</v>
      </c>
      <c r="AH497" s="7">
        <v>0</v>
      </c>
      <c r="AI497" s="7">
        <v>0</v>
      </c>
      <c r="AJ497" s="7">
        <v>0</v>
      </c>
      <c r="AK497" s="7">
        <v>0</v>
      </c>
      <c r="AL497" s="7">
        <v>0</v>
      </c>
      <c r="AM497" s="7">
        <v>0</v>
      </c>
      <c r="AN497" s="7">
        <v>0</v>
      </c>
      <c r="AO497" s="7">
        <v>0</v>
      </c>
      <c r="AP497" s="7">
        <v>0</v>
      </c>
      <c r="AQ497" s="7">
        <v>0</v>
      </c>
      <c r="AR497" s="7">
        <v>0</v>
      </c>
      <c r="AS497" s="7">
        <v>0</v>
      </c>
      <c r="AT497" s="7">
        <v>0</v>
      </c>
      <c r="AU497" s="7">
        <v>0</v>
      </c>
      <c r="AV497" s="7">
        <v>0</v>
      </c>
      <c r="AW497" s="7">
        <v>0</v>
      </c>
      <c r="AX497" s="7">
        <v>0</v>
      </c>
      <c r="AY497" s="7">
        <v>0</v>
      </c>
      <c r="AZ497" s="7">
        <v>0</v>
      </c>
      <c r="BA497" s="7">
        <v>0</v>
      </c>
      <c r="BB497" s="7">
        <v>0</v>
      </c>
      <c r="BC497" s="7">
        <v>0</v>
      </c>
      <c r="BD497">
        <v>0</v>
      </c>
      <c r="BE497">
        <v>28.87</v>
      </c>
      <c r="BF4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7" s="42" t="str">
        <f>+IF(AVANCE[[#This Row],[FECHA INICIO REAL]]="","",AVANCE[[#This Row],[FECHA INICIO REAL]]-AVANCE[[#This Row],[FECHA INICIO TEORICO]])</f>
        <v/>
      </c>
      <c r="BH4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8" spans="1:61" x14ac:dyDescent="0.25">
      <c r="A498" t="s">
        <v>1319</v>
      </c>
      <c r="B498" t="s">
        <v>1336</v>
      </c>
      <c r="C498">
        <v>2282600497</v>
      </c>
      <c r="D498" t="s">
        <v>833</v>
      </c>
      <c r="E498" s="4">
        <v>0</v>
      </c>
      <c r="F498" s="1">
        <v>46392</v>
      </c>
      <c r="G498" s="1"/>
      <c r="H498" s="1">
        <v>0</v>
      </c>
      <c r="I498" s="1">
        <v>46412</v>
      </c>
      <c r="J498">
        <v>46188</v>
      </c>
      <c r="K498" s="1"/>
      <c r="L498" s="7">
        <v>0</v>
      </c>
      <c r="M498" s="7">
        <v>0</v>
      </c>
      <c r="N498" s="7">
        <v>0</v>
      </c>
      <c r="O498" s="7">
        <v>0</v>
      </c>
      <c r="P498" s="7">
        <v>0</v>
      </c>
      <c r="Q498" s="7">
        <v>0</v>
      </c>
      <c r="R498" s="7">
        <v>0</v>
      </c>
      <c r="S498" s="7">
        <v>0</v>
      </c>
      <c r="T498" s="7">
        <v>0</v>
      </c>
      <c r="U498" s="7">
        <v>0</v>
      </c>
      <c r="V498" s="7">
        <v>0</v>
      </c>
      <c r="W498" s="7">
        <v>0</v>
      </c>
      <c r="X498" s="7">
        <v>0</v>
      </c>
      <c r="Y498" s="7">
        <v>0</v>
      </c>
      <c r="Z498" s="7">
        <v>0</v>
      </c>
      <c r="AA498" s="7">
        <v>0</v>
      </c>
      <c r="AB498" s="7">
        <v>0</v>
      </c>
      <c r="AC498" s="7">
        <v>0</v>
      </c>
      <c r="AD498" s="7">
        <v>0</v>
      </c>
      <c r="AE498" s="7">
        <v>0</v>
      </c>
      <c r="AF498" s="7">
        <v>0</v>
      </c>
      <c r="AG498" s="7">
        <v>0</v>
      </c>
      <c r="AH498" s="7">
        <v>0</v>
      </c>
      <c r="AI498" s="7">
        <v>0</v>
      </c>
      <c r="AJ498" s="7">
        <v>0</v>
      </c>
      <c r="AK498" s="7">
        <v>0</v>
      </c>
      <c r="AL498" s="7">
        <v>0</v>
      </c>
      <c r="AM498" s="7">
        <v>0</v>
      </c>
      <c r="AN498" s="7">
        <v>0</v>
      </c>
      <c r="AO498" s="7">
        <v>0</v>
      </c>
      <c r="AP498" s="7">
        <v>0</v>
      </c>
      <c r="AQ498" s="7">
        <v>0</v>
      </c>
      <c r="AR498" s="7">
        <v>0</v>
      </c>
      <c r="AS498" s="7">
        <v>0</v>
      </c>
      <c r="AT498" s="7">
        <v>0</v>
      </c>
      <c r="AU498" s="7">
        <v>0</v>
      </c>
      <c r="AV498" s="7">
        <v>0</v>
      </c>
      <c r="AW498" s="7">
        <v>0</v>
      </c>
      <c r="AX498" s="7">
        <v>0</v>
      </c>
      <c r="AY498" s="7">
        <v>0</v>
      </c>
      <c r="AZ498" s="7">
        <v>0</v>
      </c>
      <c r="BA498" s="7">
        <v>0</v>
      </c>
      <c r="BB498" s="7">
        <v>0</v>
      </c>
      <c r="BC498" s="7">
        <v>0</v>
      </c>
      <c r="BD498">
        <v>0</v>
      </c>
      <c r="BE498">
        <v>28.87</v>
      </c>
      <c r="BF4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8" s="42" t="str">
        <f>+IF(AVANCE[[#This Row],[FECHA INICIO REAL]]="","",AVANCE[[#This Row],[FECHA INICIO REAL]]-AVANCE[[#This Row],[FECHA INICIO TEORICO]])</f>
        <v/>
      </c>
      <c r="BH4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9" spans="1:61" x14ac:dyDescent="0.25">
      <c r="A499" t="s">
        <v>1319</v>
      </c>
      <c r="B499" t="s">
        <v>1337</v>
      </c>
      <c r="C499">
        <v>2302600498</v>
      </c>
      <c r="D499" t="s">
        <v>834</v>
      </c>
      <c r="E499" s="4">
        <v>0</v>
      </c>
      <c r="F499" s="1">
        <v>46392</v>
      </c>
      <c r="G499" s="1"/>
      <c r="H499" s="1">
        <v>0</v>
      </c>
      <c r="I499" s="1">
        <v>46422</v>
      </c>
      <c r="J499">
        <v>46188</v>
      </c>
      <c r="K499" s="1"/>
      <c r="L499" s="7">
        <v>0</v>
      </c>
      <c r="M499" s="7">
        <v>0</v>
      </c>
      <c r="N499" s="7">
        <v>0</v>
      </c>
      <c r="O499" s="7">
        <v>0</v>
      </c>
      <c r="P499" s="7">
        <v>0</v>
      </c>
      <c r="Q499" s="7">
        <v>0</v>
      </c>
      <c r="R499" s="7">
        <v>0</v>
      </c>
      <c r="S499" s="7">
        <v>0</v>
      </c>
      <c r="T499" s="7">
        <v>0</v>
      </c>
      <c r="U499" s="7">
        <v>0</v>
      </c>
      <c r="V499" s="7">
        <v>0</v>
      </c>
      <c r="W499" s="7">
        <v>0</v>
      </c>
      <c r="X499" s="7">
        <v>0</v>
      </c>
      <c r="Y499" s="7">
        <v>0</v>
      </c>
      <c r="Z499" s="7">
        <v>0</v>
      </c>
      <c r="AA499" s="7">
        <v>0</v>
      </c>
      <c r="AB499" s="7">
        <v>0</v>
      </c>
      <c r="AC499" s="7">
        <v>0</v>
      </c>
      <c r="AD499" s="7">
        <v>0</v>
      </c>
      <c r="AE499" s="7">
        <v>0</v>
      </c>
      <c r="AF499" s="7">
        <v>0</v>
      </c>
      <c r="AG499" s="7">
        <v>0</v>
      </c>
      <c r="AH499" s="7">
        <v>0</v>
      </c>
      <c r="AI499" s="7">
        <v>0</v>
      </c>
      <c r="AJ499" s="7">
        <v>0</v>
      </c>
      <c r="AK499" s="7">
        <v>0</v>
      </c>
      <c r="AL499" s="7">
        <v>0</v>
      </c>
      <c r="AM499" s="7">
        <v>0</v>
      </c>
      <c r="AN499" s="7">
        <v>0</v>
      </c>
      <c r="AO499" s="7">
        <v>0</v>
      </c>
      <c r="AP499" s="7">
        <v>0</v>
      </c>
      <c r="AQ499" s="7">
        <v>0</v>
      </c>
      <c r="AR499" s="7">
        <v>0</v>
      </c>
      <c r="AS499" s="7">
        <v>0</v>
      </c>
      <c r="AT499" s="7">
        <v>0</v>
      </c>
      <c r="AU499" s="7">
        <v>0</v>
      </c>
      <c r="AV499" s="7">
        <v>0</v>
      </c>
      <c r="AW499" s="7">
        <v>0</v>
      </c>
      <c r="AX499" s="7">
        <v>0</v>
      </c>
      <c r="AY499" s="7">
        <v>0</v>
      </c>
      <c r="AZ499" s="7">
        <v>0</v>
      </c>
      <c r="BA499" s="7">
        <v>0</v>
      </c>
      <c r="BB499" s="7">
        <v>0</v>
      </c>
      <c r="BC499" s="7">
        <v>0</v>
      </c>
      <c r="BD499">
        <v>0</v>
      </c>
      <c r="BE499">
        <v>31.32</v>
      </c>
      <c r="BF4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9" s="42" t="str">
        <f>+IF(AVANCE[[#This Row],[FECHA INICIO REAL]]="","",AVANCE[[#This Row],[FECHA INICIO REAL]]-AVANCE[[#This Row],[FECHA INICIO TEORICO]])</f>
        <v/>
      </c>
      <c r="BH4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0" spans="1:61" x14ac:dyDescent="0.25">
      <c r="A500" t="s">
        <v>1319</v>
      </c>
      <c r="B500" t="s">
        <v>1338</v>
      </c>
      <c r="C500">
        <v>2302600499</v>
      </c>
      <c r="D500" t="s">
        <v>834</v>
      </c>
      <c r="E500" s="4">
        <v>0</v>
      </c>
      <c r="F500" s="1">
        <v>46392</v>
      </c>
      <c r="G500" s="1"/>
      <c r="H500" s="1">
        <v>0</v>
      </c>
      <c r="I500" s="1">
        <v>46422</v>
      </c>
      <c r="J500">
        <v>46188</v>
      </c>
      <c r="K500" s="1"/>
      <c r="L500" s="7">
        <v>0</v>
      </c>
      <c r="M500" s="7">
        <v>0</v>
      </c>
      <c r="N500" s="7">
        <v>0</v>
      </c>
      <c r="O500" s="7">
        <v>0</v>
      </c>
      <c r="P500" s="7">
        <v>0</v>
      </c>
      <c r="Q500" s="7">
        <v>0</v>
      </c>
      <c r="R500" s="7">
        <v>0</v>
      </c>
      <c r="S500" s="7">
        <v>0</v>
      </c>
      <c r="T500" s="7">
        <v>0</v>
      </c>
      <c r="U500" s="7">
        <v>0</v>
      </c>
      <c r="V500" s="7">
        <v>0</v>
      </c>
      <c r="W500" s="7">
        <v>0</v>
      </c>
      <c r="X500" s="7">
        <v>0</v>
      </c>
      <c r="Y500" s="7">
        <v>0</v>
      </c>
      <c r="Z500" s="7">
        <v>0</v>
      </c>
      <c r="AA500" s="7">
        <v>0</v>
      </c>
      <c r="AB500" s="7">
        <v>0</v>
      </c>
      <c r="AC500" s="7">
        <v>0</v>
      </c>
      <c r="AD500" s="7">
        <v>0</v>
      </c>
      <c r="AE500" s="7">
        <v>0</v>
      </c>
      <c r="AF500" s="7">
        <v>0</v>
      </c>
      <c r="AG500" s="7">
        <v>0</v>
      </c>
      <c r="AH500" s="7">
        <v>0</v>
      </c>
      <c r="AI500" s="7">
        <v>0</v>
      </c>
      <c r="AJ500" s="7">
        <v>0</v>
      </c>
      <c r="AK500" s="7">
        <v>0</v>
      </c>
      <c r="AL500" s="7">
        <v>0</v>
      </c>
      <c r="AM500" s="7">
        <v>0</v>
      </c>
      <c r="AN500" s="7">
        <v>0</v>
      </c>
      <c r="AO500" s="7">
        <v>0</v>
      </c>
      <c r="AP500" s="7">
        <v>0</v>
      </c>
      <c r="AQ500" s="7">
        <v>0</v>
      </c>
      <c r="AR500" s="7">
        <v>0</v>
      </c>
      <c r="AS500" s="7">
        <v>0</v>
      </c>
      <c r="AT500" s="7">
        <v>0</v>
      </c>
      <c r="AU500" s="7">
        <v>0</v>
      </c>
      <c r="AV500" s="7">
        <v>0</v>
      </c>
      <c r="AW500" s="7">
        <v>0</v>
      </c>
      <c r="AX500" s="7">
        <v>0</v>
      </c>
      <c r="AY500" s="7">
        <v>0</v>
      </c>
      <c r="AZ500" s="7">
        <v>0</v>
      </c>
      <c r="BA500" s="7">
        <v>0</v>
      </c>
      <c r="BB500" s="7">
        <v>0</v>
      </c>
      <c r="BC500" s="7">
        <v>0</v>
      </c>
      <c r="BD500">
        <v>0</v>
      </c>
      <c r="BE500">
        <v>31.32</v>
      </c>
      <c r="BF5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0" s="42" t="str">
        <f>+IF(AVANCE[[#This Row],[FECHA INICIO REAL]]="","",AVANCE[[#This Row],[FECHA INICIO REAL]]-AVANCE[[#This Row],[FECHA INICIO TEORICO]])</f>
        <v/>
      </c>
      <c r="BH5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1" spans="1:61" x14ac:dyDescent="0.25">
      <c r="A501" t="s">
        <v>1319</v>
      </c>
      <c r="B501" t="s">
        <v>1339</v>
      </c>
      <c r="C501">
        <v>2282600500</v>
      </c>
      <c r="D501" t="s">
        <v>833</v>
      </c>
      <c r="E501" s="4">
        <v>0</v>
      </c>
      <c r="F501" s="1">
        <v>46393</v>
      </c>
      <c r="G501" s="1"/>
      <c r="H501" s="1">
        <v>0</v>
      </c>
      <c r="I501" s="1">
        <v>46413</v>
      </c>
      <c r="J501">
        <v>46188</v>
      </c>
      <c r="K501" s="1"/>
      <c r="L501" s="7">
        <v>0</v>
      </c>
      <c r="M501" s="7">
        <v>0</v>
      </c>
      <c r="N501" s="7">
        <v>0</v>
      </c>
      <c r="O501" s="7">
        <v>0</v>
      </c>
      <c r="P501" s="7">
        <v>0</v>
      </c>
      <c r="Q501" s="7">
        <v>0</v>
      </c>
      <c r="R501" s="7">
        <v>0</v>
      </c>
      <c r="S501" s="7">
        <v>0</v>
      </c>
      <c r="T501" s="7">
        <v>0</v>
      </c>
      <c r="U501" s="7">
        <v>0</v>
      </c>
      <c r="V501" s="7">
        <v>0</v>
      </c>
      <c r="W501" s="7">
        <v>0</v>
      </c>
      <c r="X501" s="7">
        <v>0</v>
      </c>
      <c r="Y501" s="7">
        <v>0</v>
      </c>
      <c r="Z501" s="7">
        <v>0</v>
      </c>
      <c r="AA501" s="7">
        <v>0</v>
      </c>
      <c r="AB501" s="7">
        <v>0</v>
      </c>
      <c r="AC501" s="7">
        <v>0</v>
      </c>
      <c r="AD501" s="7">
        <v>0</v>
      </c>
      <c r="AE501" s="7">
        <v>0</v>
      </c>
      <c r="AF501" s="7">
        <v>0</v>
      </c>
      <c r="AG501" s="7">
        <v>0</v>
      </c>
      <c r="AH501" s="7">
        <v>0</v>
      </c>
      <c r="AI501" s="7">
        <v>0</v>
      </c>
      <c r="AJ501" s="7">
        <v>0</v>
      </c>
      <c r="AK501" s="7">
        <v>0</v>
      </c>
      <c r="AL501" s="7">
        <v>0</v>
      </c>
      <c r="AM501" s="7">
        <v>0</v>
      </c>
      <c r="AN501" s="7">
        <v>0</v>
      </c>
      <c r="AO501" s="7">
        <v>0</v>
      </c>
      <c r="AP501" s="7">
        <v>0</v>
      </c>
      <c r="AQ501" s="7">
        <v>0</v>
      </c>
      <c r="AR501" s="7">
        <v>0</v>
      </c>
      <c r="AS501" s="7">
        <v>0</v>
      </c>
      <c r="AT501" s="7">
        <v>0</v>
      </c>
      <c r="AU501" s="7">
        <v>0</v>
      </c>
      <c r="AV501" s="7">
        <v>0</v>
      </c>
      <c r="AW501" s="7">
        <v>0</v>
      </c>
      <c r="AX501" s="7">
        <v>0</v>
      </c>
      <c r="AY501" s="7">
        <v>0</v>
      </c>
      <c r="AZ501" s="7">
        <v>0</v>
      </c>
      <c r="BA501" s="7">
        <v>0</v>
      </c>
      <c r="BB501" s="7">
        <v>0</v>
      </c>
      <c r="BC501" s="7">
        <v>0</v>
      </c>
      <c r="BD501">
        <v>0</v>
      </c>
      <c r="BE501">
        <v>28.87</v>
      </c>
      <c r="BF5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1" s="42" t="str">
        <f>+IF(AVANCE[[#This Row],[FECHA INICIO REAL]]="","",AVANCE[[#This Row],[FECHA INICIO REAL]]-AVANCE[[#This Row],[FECHA INICIO TEORICO]])</f>
        <v/>
      </c>
      <c r="BH5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2" spans="1:61" x14ac:dyDescent="0.25">
      <c r="A502" t="s">
        <v>1319</v>
      </c>
      <c r="B502" t="s">
        <v>1340</v>
      </c>
      <c r="C502">
        <v>2282600501</v>
      </c>
      <c r="D502" t="s">
        <v>833</v>
      </c>
      <c r="E502" s="4">
        <v>0</v>
      </c>
      <c r="F502" s="1">
        <v>46393</v>
      </c>
      <c r="G502" s="1"/>
      <c r="H502" s="1">
        <v>0</v>
      </c>
      <c r="I502" s="1">
        <v>46413</v>
      </c>
      <c r="J502">
        <v>46188</v>
      </c>
      <c r="K502" s="1"/>
      <c r="L502" s="7">
        <v>0</v>
      </c>
      <c r="M502" s="7">
        <v>0</v>
      </c>
      <c r="N502" s="7">
        <v>0</v>
      </c>
      <c r="O502" s="7">
        <v>0</v>
      </c>
      <c r="P502" s="7">
        <v>0</v>
      </c>
      <c r="Q502" s="7">
        <v>0</v>
      </c>
      <c r="R502" s="7">
        <v>0</v>
      </c>
      <c r="S502" s="7">
        <v>0</v>
      </c>
      <c r="T502" s="7">
        <v>0</v>
      </c>
      <c r="U502" s="7">
        <v>0</v>
      </c>
      <c r="V502" s="7">
        <v>0</v>
      </c>
      <c r="W502" s="7">
        <v>0</v>
      </c>
      <c r="X502" s="7">
        <v>0</v>
      </c>
      <c r="Y502" s="7">
        <v>0</v>
      </c>
      <c r="Z502" s="7">
        <v>0</v>
      </c>
      <c r="AA502" s="7">
        <v>0</v>
      </c>
      <c r="AB502" s="7">
        <v>0</v>
      </c>
      <c r="AC502" s="7">
        <v>0</v>
      </c>
      <c r="AD502" s="7">
        <v>0</v>
      </c>
      <c r="AE502" s="7">
        <v>0</v>
      </c>
      <c r="AF502" s="7">
        <v>0</v>
      </c>
      <c r="AG502" s="7">
        <v>0</v>
      </c>
      <c r="AH502" s="7">
        <v>0</v>
      </c>
      <c r="AI502" s="7">
        <v>0</v>
      </c>
      <c r="AJ502" s="7">
        <v>0</v>
      </c>
      <c r="AK502" s="7">
        <v>0</v>
      </c>
      <c r="AL502" s="7">
        <v>0</v>
      </c>
      <c r="AM502" s="7">
        <v>0</v>
      </c>
      <c r="AN502" s="7">
        <v>0</v>
      </c>
      <c r="AO502" s="7">
        <v>0</v>
      </c>
      <c r="AP502" s="7">
        <v>0</v>
      </c>
      <c r="AQ502" s="7">
        <v>0</v>
      </c>
      <c r="AR502" s="7">
        <v>0</v>
      </c>
      <c r="AS502" s="7">
        <v>0</v>
      </c>
      <c r="AT502" s="7">
        <v>0</v>
      </c>
      <c r="AU502" s="7">
        <v>0</v>
      </c>
      <c r="AV502" s="7">
        <v>0</v>
      </c>
      <c r="AW502" s="7">
        <v>0</v>
      </c>
      <c r="AX502" s="7">
        <v>0</v>
      </c>
      <c r="AY502" s="7">
        <v>0</v>
      </c>
      <c r="AZ502" s="7">
        <v>0</v>
      </c>
      <c r="BA502" s="7">
        <v>0</v>
      </c>
      <c r="BB502" s="7">
        <v>0</v>
      </c>
      <c r="BC502" s="7">
        <v>0</v>
      </c>
      <c r="BD502">
        <v>0</v>
      </c>
      <c r="BE502">
        <v>28.87</v>
      </c>
      <c r="BF5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2" s="42" t="str">
        <f>+IF(AVANCE[[#This Row],[FECHA INICIO REAL]]="","",AVANCE[[#This Row],[FECHA INICIO REAL]]-AVANCE[[#This Row],[FECHA INICIO TEORICO]])</f>
        <v/>
      </c>
      <c r="BH5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3" spans="1:61" x14ac:dyDescent="0.25">
      <c r="A503" t="s">
        <v>1319</v>
      </c>
      <c r="B503" t="s">
        <v>1341</v>
      </c>
      <c r="C503">
        <v>2302600502</v>
      </c>
      <c r="D503" t="s">
        <v>834</v>
      </c>
      <c r="E503" s="4">
        <v>0</v>
      </c>
      <c r="F503" s="1">
        <v>46393</v>
      </c>
      <c r="G503" s="1"/>
      <c r="H503" s="1">
        <v>0</v>
      </c>
      <c r="I503" s="1">
        <v>46423</v>
      </c>
      <c r="J503">
        <v>46188</v>
      </c>
      <c r="K503" s="1"/>
      <c r="L503" s="7">
        <v>0</v>
      </c>
      <c r="M503" s="7">
        <v>0</v>
      </c>
      <c r="N503" s="7">
        <v>0</v>
      </c>
      <c r="O503" s="7">
        <v>0</v>
      </c>
      <c r="P503" s="7">
        <v>0</v>
      </c>
      <c r="Q503" s="7">
        <v>0</v>
      </c>
      <c r="R503" s="7">
        <v>0</v>
      </c>
      <c r="S503" s="7">
        <v>0</v>
      </c>
      <c r="T503" s="7">
        <v>0</v>
      </c>
      <c r="U503" s="7">
        <v>0</v>
      </c>
      <c r="V503" s="7">
        <v>0</v>
      </c>
      <c r="W503" s="7">
        <v>0</v>
      </c>
      <c r="X503" s="7">
        <v>0</v>
      </c>
      <c r="Y503" s="7">
        <v>0</v>
      </c>
      <c r="Z503" s="7">
        <v>0</v>
      </c>
      <c r="AA503" s="7">
        <v>0</v>
      </c>
      <c r="AB503" s="7">
        <v>0</v>
      </c>
      <c r="AC503" s="7">
        <v>0</v>
      </c>
      <c r="AD503" s="7">
        <v>0</v>
      </c>
      <c r="AE503" s="7">
        <v>0</v>
      </c>
      <c r="AF503" s="7">
        <v>0</v>
      </c>
      <c r="AG503" s="7">
        <v>0</v>
      </c>
      <c r="AH503" s="7">
        <v>0</v>
      </c>
      <c r="AI503" s="7">
        <v>0</v>
      </c>
      <c r="AJ503" s="7">
        <v>0</v>
      </c>
      <c r="AK503" s="7">
        <v>0</v>
      </c>
      <c r="AL503" s="7">
        <v>0</v>
      </c>
      <c r="AM503" s="7">
        <v>0</v>
      </c>
      <c r="AN503" s="7">
        <v>0</v>
      </c>
      <c r="AO503" s="7">
        <v>0</v>
      </c>
      <c r="AP503" s="7">
        <v>0</v>
      </c>
      <c r="AQ503" s="7">
        <v>0</v>
      </c>
      <c r="AR503" s="7">
        <v>0</v>
      </c>
      <c r="AS503" s="7">
        <v>0</v>
      </c>
      <c r="AT503" s="7">
        <v>0</v>
      </c>
      <c r="AU503" s="7">
        <v>0</v>
      </c>
      <c r="AV503" s="7">
        <v>0</v>
      </c>
      <c r="AW503" s="7">
        <v>0</v>
      </c>
      <c r="AX503" s="7">
        <v>0</v>
      </c>
      <c r="AY503" s="7">
        <v>0</v>
      </c>
      <c r="AZ503" s="7">
        <v>0</v>
      </c>
      <c r="BA503" s="7">
        <v>0</v>
      </c>
      <c r="BB503" s="7">
        <v>0</v>
      </c>
      <c r="BC503" s="7">
        <v>0</v>
      </c>
      <c r="BD503">
        <v>0</v>
      </c>
      <c r="BE503">
        <v>31.32</v>
      </c>
      <c r="BF5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3" s="42" t="str">
        <f>+IF(AVANCE[[#This Row],[FECHA INICIO REAL]]="","",AVANCE[[#This Row],[FECHA INICIO REAL]]-AVANCE[[#This Row],[FECHA INICIO TEORICO]])</f>
        <v/>
      </c>
      <c r="BH5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4" spans="1:61" x14ac:dyDescent="0.25">
      <c r="A504" t="s">
        <v>1319</v>
      </c>
      <c r="B504" t="s">
        <v>1342</v>
      </c>
      <c r="C504">
        <v>2302600503</v>
      </c>
      <c r="D504" t="s">
        <v>834</v>
      </c>
      <c r="E504" s="4">
        <v>0</v>
      </c>
      <c r="F504" s="1">
        <v>46394</v>
      </c>
      <c r="G504" s="1"/>
      <c r="H504" s="1">
        <v>0</v>
      </c>
      <c r="I504" s="1">
        <v>46424</v>
      </c>
      <c r="J504">
        <v>46188</v>
      </c>
      <c r="K504" s="1"/>
      <c r="L504" s="7">
        <v>0</v>
      </c>
      <c r="M504" s="7">
        <v>0</v>
      </c>
      <c r="N504" s="7">
        <v>0</v>
      </c>
      <c r="O504" s="7">
        <v>0</v>
      </c>
      <c r="P504" s="7">
        <v>0</v>
      </c>
      <c r="Q504" s="7">
        <v>0</v>
      </c>
      <c r="R504" s="7">
        <v>0</v>
      </c>
      <c r="S504" s="7">
        <v>0</v>
      </c>
      <c r="T504" s="7">
        <v>0</v>
      </c>
      <c r="U504" s="7">
        <v>0</v>
      </c>
      <c r="V504" s="7">
        <v>0</v>
      </c>
      <c r="W504" s="7">
        <v>0</v>
      </c>
      <c r="X504" s="7">
        <v>0</v>
      </c>
      <c r="Y504" s="7">
        <v>0</v>
      </c>
      <c r="Z504" s="7">
        <v>0</v>
      </c>
      <c r="AA504" s="7">
        <v>0</v>
      </c>
      <c r="AB504" s="7">
        <v>0</v>
      </c>
      <c r="AC504" s="7">
        <v>0</v>
      </c>
      <c r="AD504" s="7">
        <v>0</v>
      </c>
      <c r="AE504" s="7">
        <v>0</v>
      </c>
      <c r="AF504" s="7">
        <v>0</v>
      </c>
      <c r="AG504" s="7">
        <v>0</v>
      </c>
      <c r="AH504" s="7">
        <v>0</v>
      </c>
      <c r="AI504" s="7">
        <v>0</v>
      </c>
      <c r="AJ504" s="7">
        <v>0</v>
      </c>
      <c r="AK504" s="7">
        <v>0</v>
      </c>
      <c r="AL504" s="7">
        <v>0</v>
      </c>
      <c r="AM504" s="7">
        <v>0</v>
      </c>
      <c r="AN504" s="7">
        <v>0</v>
      </c>
      <c r="AO504" s="7">
        <v>0</v>
      </c>
      <c r="AP504" s="7">
        <v>0</v>
      </c>
      <c r="AQ504" s="7">
        <v>0</v>
      </c>
      <c r="AR504" s="7">
        <v>0</v>
      </c>
      <c r="AS504" s="7">
        <v>0</v>
      </c>
      <c r="AT504" s="7">
        <v>0</v>
      </c>
      <c r="AU504" s="7">
        <v>0</v>
      </c>
      <c r="AV504" s="7">
        <v>0</v>
      </c>
      <c r="AW504" s="7">
        <v>0</v>
      </c>
      <c r="AX504" s="7">
        <v>0</v>
      </c>
      <c r="AY504" s="7">
        <v>0</v>
      </c>
      <c r="AZ504" s="7">
        <v>0</v>
      </c>
      <c r="BA504" s="7">
        <v>0</v>
      </c>
      <c r="BB504" s="7">
        <v>0</v>
      </c>
      <c r="BC504" s="7">
        <v>0</v>
      </c>
      <c r="BD504">
        <v>0</v>
      </c>
      <c r="BE504">
        <v>31.32</v>
      </c>
      <c r="BF5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4" s="42" t="str">
        <f>+IF(AVANCE[[#This Row],[FECHA INICIO REAL]]="","",AVANCE[[#This Row],[FECHA INICIO REAL]]-AVANCE[[#This Row],[FECHA INICIO TEORICO]])</f>
        <v/>
      </c>
      <c r="BH5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5" spans="1:61" x14ac:dyDescent="0.25">
      <c r="A505" t="s">
        <v>1319</v>
      </c>
      <c r="B505" t="s">
        <v>1343</v>
      </c>
      <c r="C505">
        <v>2282600504</v>
      </c>
      <c r="D505" t="s">
        <v>833</v>
      </c>
      <c r="E505" s="4">
        <v>0</v>
      </c>
      <c r="F505" s="1">
        <v>46394</v>
      </c>
      <c r="G505" s="1"/>
      <c r="H505" s="1">
        <v>0</v>
      </c>
      <c r="I505" s="1">
        <v>46414</v>
      </c>
      <c r="J505">
        <v>46188</v>
      </c>
      <c r="K505" s="1"/>
      <c r="L505" s="7">
        <v>0</v>
      </c>
      <c r="M505" s="7">
        <v>0</v>
      </c>
      <c r="N505" s="7">
        <v>0</v>
      </c>
      <c r="O505" s="7">
        <v>0</v>
      </c>
      <c r="P505" s="7">
        <v>0</v>
      </c>
      <c r="Q505" s="7">
        <v>0</v>
      </c>
      <c r="R505" s="7">
        <v>0</v>
      </c>
      <c r="S505" s="7">
        <v>0</v>
      </c>
      <c r="T505" s="7">
        <v>0</v>
      </c>
      <c r="U505" s="7">
        <v>0</v>
      </c>
      <c r="V505" s="7">
        <v>0</v>
      </c>
      <c r="W505" s="7">
        <v>0</v>
      </c>
      <c r="X505" s="7">
        <v>0</v>
      </c>
      <c r="Y505" s="7">
        <v>0</v>
      </c>
      <c r="Z505" s="7">
        <v>0</v>
      </c>
      <c r="AA505" s="7">
        <v>0</v>
      </c>
      <c r="AB505" s="7">
        <v>0</v>
      </c>
      <c r="AC505" s="7">
        <v>0</v>
      </c>
      <c r="AD505" s="7">
        <v>0</v>
      </c>
      <c r="AE505" s="7">
        <v>0</v>
      </c>
      <c r="AF505" s="7">
        <v>0</v>
      </c>
      <c r="AG505" s="7">
        <v>0</v>
      </c>
      <c r="AH505" s="7">
        <v>0</v>
      </c>
      <c r="AI505" s="7">
        <v>0</v>
      </c>
      <c r="AJ505" s="7">
        <v>0</v>
      </c>
      <c r="AK505" s="7">
        <v>0</v>
      </c>
      <c r="AL505" s="7">
        <v>0</v>
      </c>
      <c r="AM505" s="7">
        <v>0</v>
      </c>
      <c r="AN505" s="7">
        <v>0</v>
      </c>
      <c r="AO505" s="7">
        <v>0</v>
      </c>
      <c r="AP505" s="7">
        <v>0</v>
      </c>
      <c r="AQ505" s="7">
        <v>0</v>
      </c>
      <c r="AR505" s="7">
        <v>0</v>
      </c>
      <c r="AS505" s="7">
        <v>0</v>
      </c>
      <c r="AT505" s="7">
        <v>0</v>
      </c>
      <c r="AU505" s="7">
        <v>0</v>
      </c>
      <c r="AV505" s="7">
        <v>0</v>
      </c>
      <c r="AW505" s="7">
        <v>0</v>
      </c>
      <c r="AX505" s="7">
        <v>0</v>
      </c>
      <c r="AY505" s="7">
        <v>0</v>
      </c>
      <c r="AZ505" s="7">
        <v>0</v>
      </c>
      <c r="BA505" s="7">
        <v>0</v>
      </c>
      <c r="BB505" s="7">
        <v>0</v>
      </c>
      <c r="BC505" s="7">
        <v>0</v>
      </c>
      <c r="BD505">
        <v>0</v>
      </c>
      <c r="BE505">
        <v>28.87</v>
      </c>
      <c r="BF5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5" s="42" t="str">
        <f>+IF(AVANCE[[#This Row],[FECHA INICIO REAL]]="","",AVANCE[[#This Row],[FECHA INICIO REAL]]-AVANCE[[#This Row],[FECHA INICIO TEORICO]])</f>
        <v/>
      </c>
      <c r="BH5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6" spans="1:61" x14ac:dyDescent="0.25">
      <c r="A506" t="s">
        <v>1319</v>
      </c>
      <c r="B506" t="s">
        <v>1344</v>
      </c>
      <c r="C506">
        <v>2282600505</v>
      </c>
      <c r="D506" t="s">
        <v>833</v>
      </c>
      <c r="E506" s="4">
        <v>0</v>
      </c>
      <c r="F506" s="1">
        <v>46394</v>
      </c>
      <c r="G506" s="1"/>
      <c r="H506" s="1">
        <v>0</v>
      </c>
      <c r="I506" s="1">
        <v>46414</v>
      </c>
      <c r="J506">
        <v>46188</v>
      </c>
      <c r="K506" s="1"/>
      <c r="L506" s="7">
        <v>0</v>
      </c>
      <c r="M506" s="7">
        <v>0</v>
      </c>
      <c r="N506" s="7">
        <v>0</v>
      </c>
      <c r="O506" s="7">
        <v>0</v>
      </c>
      <c r="P506" s="7">
        <v>0</v>
      </c>
      <c r="Q506" s="7">
        <v>0</v>
      </c>
      <c r="R506" s="7">
        <v>0</v>
      </c>
      <c r="S506" s="7">
        <v>0</v>
      </c>
      <c r="T506" s="7">
        <v>0</v>
      </c>
      <c r="U506" s="7">
        <v>0</v>
      </c>
      <c r="V506" s="7">
        <v>0</v>
      </c>
      <c r="W506" s="7">
        <v>0</v>
      </c>
      <c r="X506" s="7">
        <v>0</v>
      </c>
      <c r="Y506" s="7">
        <v>0</v>
      </c>
      <c r="Z506" s="7">
        <v>0</v>
      </c>
      <c r="AA506" s="7">
        <v>0</v>
      </c>
      <c r="AB506" s="7">
        <v>0</v>
      </c>
      <c r="AC506" s="7">
        <v>0</v>
      </c>
      <c r="AD506" s="7">
        <v>0</v>
      </c>
      <c r="AE506" s="7">
        <v>0</v>
      </c>
      <c r="AF506" s="7">
        <v>0</v>
      </c>
      <c r="AG506" s="7">
        <v>0</v>
      </c>
      <c r="AH506" s="7">
        <v>0</v>
      </c>
      <c r="AI506" s="7">
        <v>0</v>
      </c>
      <c r="AJ506" s="7">
        <v>0</v>
      </c>
      <c r="AK506" s="7">
        <v>0</v>
      </c>
      <c r="AL506" s="7">
        <v>0</v>
      </c>
      <c r="AM506" s="7">
        <v>0</v>
      </c>
      <c r="AN506" s="7">
        <v>0</v>
      </c>
      <c r="AO506" s="7">
        <v>0</v>
      </c>
      <c r="AP506" s="7">
        <v>0</v>
      </c>
      <c r="AQ506" s="7">
        <v>0</v>
      </c>
      <c r="AR506" s="7">
        <v>0</v>
      </c>
      <c r="AS506" s="7">
        <v>0</v>
      </c>
      <c r="AT506" s="7">
        <v>0</v>
      </c>
      <c r="AU506" s="7">
        <v>0</v>
      </c>
      <c r="AV506" s="7">
        <v>0</v>
      </c>
      <c r="AW506" s="7">
        <v>0</v>
      </c>
      <c r="AX506" s="7">
        <v>0</v>
      </c>
      <c r="AY506" s="7">
        <v>0</v>
      </c>
      <c r="AZ506" s="7">
        <v>0</v>
      </c>
      <c r="BA506" s="7">
        <v>0</v>
      </c>
      <c r="BB506" s="7">
        <v>0</v>
      </c>
      <c r="BC506" s="7">
        <v>0</v>
      </c>
      <c r="BD506">
        <v>0</v>
      </c>
      <c r="BE506">
        <v>28.87</v>
      </c>
      <c r="BF5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6" s="42" t="str">
        <f>+IF(AVANCE[[#This Row],[FECHA INICIO REAL]]="","",AVANCE[[#This Row],[FECHA INICIO REAL]]-AVANCE[[#This Row],[FECHA INICIO TEORICO]])</f>
        <v/>
      </c>
      <c r="BH5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7" spans="1:61" x14ac:dyDescent="0.25">
      <c r="A507" t="s">
        <v>1319</v>
      </c>
      <c r="B507" t="s">
        <v>1345</v>
      </c>
      <c r="C507">
        <v>2302600506</v>
      </c>
      <c r="D507" t="s">
        <v>834</v>
      </c>
      <c r="E507" s="4">
        <v>0</v>
      </c>
      <c r="F507" s="1">
        <v>46395</v>
      </c>
      <c r="G507" s="1"/>
      <c r="H507" s="1">
        <v>0</v>
      </c>
      <c r="I507" s="1">
        <v>46425</v>
      </c>
      <c r="J507">
        <v>46188</v>
      </c>
      <c r="K507" s="1"/>
      <c r="L507" s="7">
        <v>0</v>
      </c>
      <c r="M507" s="7">
        <v>0</v>
      </c>
      <c r="N507" s="7">
        <v>0</v>
      </c>
      <c r="O507" s="7">
        <v>0</v>
      </c>
      <c r="P507" s="7">
        <v>0</v>
      </c>
      <c r="Q507" s="7">
        <v>0</v>
      </c>
      <c r="R507" s="7">
        <v>0</v>
      </c>
      <c r="S507" s="7">
        <v>0</v>
      </c>
      <c r="T507" s="7">
        <v>0</v>
      </c>
      <c r="U507" s="7">
        <v>0</v>
      </c>
      <c r="V507" s="7">
        <v>0</v>
      </c>
      <c r="W507" s="7">
        <v>0</v>
      </c>
      <c r="X507" s="7">
        <v>0</v>
      </c>
      <c r="Y507" s="7">
        <v>0</v>
      </c>
      <c r="Z507" s="7">
        <v>0</v>
      </c>
      <c r="AA507" s="7">
        <v>0</v>
      </c>
      <c r="AB507" s="7">
        <v>0</v>
      </c>
      <c r="AC507" s="7">
        <v>0</v>
      </c>
      <c r="AD507" s="7">
        <v>0</v>
      </c>
      <c r="AE507" s="7">
        <v>0</v>
      </c>
      <c r="AF507" s="7">
        <v>0</v>
      </c>
      <c r="AG507" s="7">
        <v>0</v>
      </c>
      <c r="AH507" s="7">
        <v>0</v>
      </c>
      <c r="AI507" s="7">
        <v>0</v>
      </c>
      <c r="AJ507" s="7">
        <v>0</v>
      </c>
      <c r="AK507" s="7">
        <v>0</v>
      </c>
      <c r="AL507" s="7">
        <v>0</v>
      </c>
      <c r="AM507" s="7">
        <v>0</v>
      </c>
      <c r="AN507" s="7">
        <v>0</v>
      </c>
      <c r="AO507" s="7">
        <v>0</v>
      </c>
      <c r="AP507" s="7">
        <v>0</v>
      </c>
      <c r="AQ507" s="7">
        <v>0</v>
      </c>
      <c r="AR507" s="7">
        <v>0</v>
      </c>
      <c r="AS507" s="7">
        <v>0</v>
      </c>
      <c r="AT507" s="7">
        <v>0</v>
      </c>
      <c r="AU507" s="7">
        <v>0</v>
      </c>
      <c r="AV507" s="7">
        <v>0</v>
      </c>
      <c r="AW507" s="7">
        <v>0</v>
      </c>
      <c r="AX507" s="7">
        <v>0</v>
      </c>
      <c r="AY507" s="7">
        <v>0</v>
      </c>
      <c r="AZ507" s="7">
        <v>0</v>
      </c>
      <c r="BA507" s="7">
        <v>0</v>
      </c>
      <c r="BB507" s="7">
        <v>0</v>
      </c>
      <c r="BC507" s="7">
        <v>0</v>
      </c>
      <c r="BD507">
        <v>0</v>
      </c>
      <c r="BE507">
        <v>31.32</v>
      </c>
      <c r="BF5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7" s="42" t="str">
        <f>+IF(AVANCE[[#This Row],[FECHA INICIO REAL]]="","",AVANCE[[#This Row],[FECHA INICIO REAL]]-AVANCE[[#This Row],[FECHA INICIO TEORICO]])</f>
        <v/>
      </c>
      <c r="BH5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8" spans="1:61" x14ac:dyDescent="0.25">
      <c r="A508" t="s">
        <v>1319</v>
      </c>
      <c r="B508" t="s">
        <v>1346</v>
      </c>
      <c r="C508">
        <v>2302600507</v>
      </c>
      <c r="D508" t="s">
        <v>834</v>
      </c>
      <c r="E508" s="4">
        <v>0</v>
      </c>
      <c r="F508" s="1">
        <v>46395</v>
      </c>
      <c r="G508" s="1"/>
      <c r="H508" s="1">
        <v>0</v>
      </c>
      <c r="I508" s="1">
        <v>46425</v>
      </c>
      <c r="J508">
        <v>46188</v>
      </c>
      <c r="K508" s="1"/>
      <c r="L508" s="7">
        <v>0</v>
      </c>
      <c r="M508" s="7">
        <v>0</v>
      </c>
      <c r="N508" s="7">
        <v>0</v>
      </c>
      <c r="O508" s="7">
        <v>0</v>
      </c>
      <c r="P508" s="7">
        <v>0</v>
      </c>
      <c r="Q508" s="7">
        <v>0</v>
      </c>
      <c r="R508" s="7">
        <v>0</v>
      </c>
      <c r="S508" s="7">
        <v>0</v>
      </c>
      <c r="T508" s="7">
        <v>0</v>
      </c>
      <c r="U508" s="7">
        <v>0</v>
      </c>
      <c r="V508" s="7">
        <v>0</v>
      </c>
      <c r="W508" s="7">
        <v>0</v>
      </c>
      <c r="X508" s="7">
        <v>0</v>
      </c>
      <c r="Y508" s="7">
        <v>0</v>
      </c>
      <c r="Z508" s="7">
        <v>0</v>
      </c>
      <c r="AA508" s="7">
        <v>0</v>
      </c>
      <c r="AB508" s="7">
        <v>0</v>
      </c>
      <c r="AC508" s="7">
        <v>0</v>
      </c>
      <c r="AD508" s="7">
        <v>0</v>
      </c>
      <c r="AE508" s="7">
        <v>0</v>
      </c>
      <c r="AF508" s="7">
        <v>0</v>
      </c>
      <c r="AG508" s="7">
        <v>0</v>
      </c>
      <c r="AH508" s="7">
        <v>0</v>
      </c>
      <c r="AI508" s="7">
        <v>0</v>
      </c>
      <c r="AJ508" s="7">
        <v>0</v>
      </c>
      <c r="AK508" s="7">
        <v>0</v>
      </c>
      <c r="AL508" s="7">
        <v>0</v>
      </c>
      <c r="AM508" s="7">
        <v>0</v>
      </c>
      <c r="AN508" s="7">
        <v>0</v>
      </c>
      <c r="AO508" s="7">
        <v>0</v>
      </c>
      <c r="AP508" s="7">
        <v>0</v>
      </c>
      <c r="AQ508" s="7">
        <v>0</v>
      </c>
      <c r="AR508" s="7">
        <v>0</v>
      </c>
      <c r="AS508" s="7">
        <v>0</v>
      </c>
      <c r="AT508" s="7">
        <v>0</v>
      </c>
      <c r="AU508" s="7">
        <v>0</v>
      </c>
      <c r="AV508" s="7">
        <v>0</v>
      </c>
      <c r="AW508" s="7">
        <v>0</v>
      </c>
      <c r="AX508" s="7">
        <v>0</v>
      </c>
      <c r="AY508" s="7">
        <v>0</v>
      </c>
      <c r="AZ508" s="7">
        <v>0</v>
      </c>
      <c r="BA508" s="7">
        <v>0</v>
      </c>
      <c r="BB508" s="7">
        <v>0</v>
      </c>
      <c r="BC508" s="7">
        <v>0</v>
      </c>
      <c r="BD508">
        <v>0</v>
      </c>
      <c r="BE508">
        <v>31.32</v>
      </c>
      <c r="BF5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8" s="42" t="str">
        <f>+IF(AVANCE[[#This Row],[FECHA INICIO REAL]]="","",AVANCE[[#This Row],[FECHA INICIO REAL]]-AVANCE[[#This Row],[FECHA INICIO TEORICO]])</f>
        <v/>
      </c>
      <c r="BH5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9" spans="1:61" x14ac:dyDescent="0.25">
      <c r="A509" t="s">
        <v>1319</v>
      </c>
      <c r="B509" t="s">
        <v>1347</v>
      </c>
      <c r="C509">
        <v>2282600508</v>
      </c>
      <c r="D509" t="s">
        <v>833</v>
      </c>
      <c r="E509" s="4">
        <v>0</v>
      </c>
      <c r="F509" s="1">
        <v>46395</v>
      </c>
      <c r="G509" s="1"/>
      <c r="H509" s="1">
        <v>0</v>
      </c>
      <c r="I509" s="1">
        <v>46415</v>
      </c>
      <c r="J509">
        <v>46188</v>
      </c>
      <c r="K509" s="1"/>
      <c r="L509" s="7">
        <v>0</v>
      </c>
      <c r="M509" s="7">
        <v>0</v>
      </c>
      <c r="N509" s="7">
        <v>0</v>
      </c>
      <c r="O509" s="7">
        <v>0</v>
      </c>
      <c r="P509" s="7">
        <v>0</v>
      </c>
      <c r="Q509" s="7">
        <v>0</v>
      </c>
      <c r="R509" s="7">
        <v>0</v>
      </c>
      <c r="S509" s="7">
        <v>0</v>
      </c>
      <c r="T509" s="7">
        <v>0</v>
      </c>
      <c r="U509" s="7">
        <v>0</v>
      </c>
      <c r="V509" s="7">
        <v>0</v>
      </c>
      <c r="W509" s="7">
        <v>0</v>
      </c>
      <c r="X509" s="7">
        <v>0</v>
      </c>
      <c r="Y509" s="7">
        <v>0</v>
      </c>
      <c r="Z509" s="7">
        <v>0</v>
      </c>
      <c r="AA509" s="7">
        <v>0</v>
      </c>
      <c r="AB509" s="7">
        <v>0</v>
      </c>
      <c r="AC509" s="7">
        <v>0</v>
      </c>
      <c r="AD509" s="7">
        <v>0</v>
      </c>
      <c r="AE509" s="7">
        <v>0</v>
      </c>
      <c r="AF509" s="7">
        <v>0</v>
      </c>
      <c r="AG509" s="7">
        <v>0</v>
      </c>
      <c r="AH509" s="7">
        <v>0</v>
      </c>
      <c r="AI509" s="7">
        <v>0</v>
      </c>
      <c r="AJ509" s="7">
        <v>0</v>
      </c>
      <c r="AK509" s="7">
        <v>0</v>
      </c>
      <c r="AL509" s="7">
        <v>0</v>
      </c>
      <c r="AM509" s="7">
        <v>0</v>
      </c>
      <c r="AN509" s="7">
        <v>0</v>
      </c>
      <c r="AO509" s="7">
        <v>0</v>
      </c>
      <c r="AP509" s="7">
        <v>0</v>
      </c>
      <c r="AQ509" s="7">
        <v>0</v>
      </c>
      <c r="AR509" s="7">
        <v>0</v>
      </c>
      <c r="AS509" s="7">
        <v>0</v>
      </c>
      <c r="AT509" s="7">
        <v>0</v>
      </c>
      <c r="AU509" s="7">
        <v>0</v>
      </c>
      <c r="AV509" s="7">
        <v>0</v>
      </c>
      <c r="AW509" s="7">
        <v>0</v>
      </c>
      <c r="AX509" s="7">
        <v>0</v>
      </c>
      <c r="AY509" s="7">
        <v>0</v>
      </c>
      <c r="AZ509" s="7">
        <v>0</v>
      </c>
      <c r="BA509" s="7">
        <v>0</v>
      </c>
      <c r="BB509" s="7">
        <v>0</v>
      </c>
      <c r="BC509" s="7">
        <v>0</v>
      </c>
      <c r="BD509">
        <v>0</v>
      </c>
      <c r="BE509">
        <v>28.87</v>
      </c>
      <c r="BF5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9" s="42" t="str">
        <f>+IF(AVANCE[[#This Row],[FECHA INICIO REAL]]="","",AVANCE[[#This Row],[FECHA INICIO REAL]]-AVANCE[[#This Row],[FECHA INICIO TEORICO]])</f>
        <v/>
      </c>
      <c r="BH5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0" spans="1:61" x14ac:dyDescent="0.25">
      <c r="A510" t="s">
        <v>1319</v>
      </c>
      <c r="B510" t="s">
        <v>1348</v>
      </c>
      <c r="C510">
        <v>2282600509</v>
      </c>
      <c r="D510" t="s">
        <v>833</v>
      </c>
      <c r="E510" s="4">
        <v>0</v>
      </c>
      <c r="F510" s="1">
        <v>46398</v>
      </c>
      <c r="G510" s="1"/>
      <c r="H510" s="1">
        <v>0</v>
      </c>
      <c r="I510" s="1">
        <v>46418</v>
      </c>
      <c r="J510">
        <v>46188</v>
      </c>
      <c r="K510" s="1"/>
      <c r="L510" s="7">
        <v>0</v>
      </c>
      <c r="M510" s="7">
        <v>0</v>
      </c>
      <c r="N510" s="7">
        <v>0</v>
      </c>
      <c r="O510" s="7">
        <v>0</v>
      </c>
      <c r="P510" s="7">
        <v>0</v>
      </c>
      <c r="Q510" s="7">
        <v>0</v>
      </c>
      <c r="R510" s="7">
        <v>0</v>
      </c>
      <c r="S510" s="7">
        <v>0</v>
      </c>
      <c r="T510" s="7">
        <v>0</v>
      </c>
      <c r="U510" s="7">
        <v>0</v>
      </c>
      <c r="V510" s="7">
        <v>0</v>
      </c>
      <c r="W510" s="7">
        <v>0</v>
      </c>
      <c r="X510" s="7">
        <v>0</v>
      </c>
      <c r="Y510" s="7">
        <v>0</v>
      </c>
      <c r="Z510" s="7">
        <v>0</v>
      </c>
      <c r="AA510" s="7">
        <v>0</v>
      </c>
      <c r="AB510" s="7">
        <v>0</v>
      </c>
      <c r="AC510" s="7">
        <v>0</v>
      </c>
      <c r="AD510" s="7">
        <v>0</v>
      </c>
      <c r="AE510" s="7">
        <v>0</v>
      </c>
      <c r="AF510" s="7">
        <v>0</v>
      </c>
      <c r="AG510" s="7">
        <v>0</v>
      </c>
      <c r="AH510" s="7">
        <v>0</v>
      </c>
      <c r="AI510" s="7">
        <v>0</v>
      </c>
      <c r="AJ510" s="7">
        <v>0</v>
      </c>
      <c r="AK510" s="7">
        <v>0</v>
      </c>
      <c r="AL510" s="7">
        <v>0</v>
      </c>
      <c r="AM510" s="7">
        <v>0</v>
      </c>
      <c r="AN510" s="7">
        <v>0</v>
      </c>
      <c r="AO510" s="7">
        <v>0</v>
      </c>
      <c r="AP510" s="7">
        <v>0</v>
      </c>
      <c r="AQ510" s="7">
        <v>0</v>
      </c>
      <c r="AR510" s="7">
        <v>0</v>
      </c>
      <c r="AS510" s="7">
        <v>0</v>
      </c>
      <c r="AT510" s="7">
        <v>0</v>
      </c>
      <c r="AU510" s="7">
        <v>0</v>
      </c>
      <c r="AV510" s="7">
        <v>0</v>
      </c>
      <c r="AW510" s="7">
        <v>0</v>
      </c>
      <c r="AX510" s="7">
        <v>0</v>
      </c>
      <c r="AY510" s="7">
        <v>0</v>
      </c>
      <c r="AZ510" s="7">
        <v>0</v>
      </c>
      <c r="BA510" s="7">
        <v>0</v>
      </c>
      <c r="BB510" s="7">
        <v>0</v>
      </c>
      <c r="BC510" s="7">
        <v>0</v>
      </c>
      <c r="BD510">
        <v>0</v>
      </c>
      <c r="BE510">
        <v>28.87</v>
      </c>
      <c r="BF5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0" s="42" t="str">
        <f>+IF(AVANCE[[#This Row],[FECHA INICIO REAL]]="","",AVANCE[[#This Row],[FECHA INICIO REAL]]-AVANCE[[#This Row],[FECHA INICIO TEORICO]])</f>
        <v/>
      </c>
      <c r="BH5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1" spans="1:61" x14ac:dyDescent="0.25">
      <c r="A511" t="s">
        <v>1319</v>
      </c>
      <c r="B511" t="s">
        <v>1349</v>
      </c>
      <c r="C511">
        <v>2302600510</v>
      </c>
      <c r="D511" t="s">
        <v>834</v>
      </c>
      <c r="E511" s="4">
        <v>0</v>
      </c>
      <c r="F511" s="1">
        <v>46398</v>
      </c>
      <c r="G511" s="1"/>
      <c r="H511" s="1">
        <v>0</v>
      </c>
      <c r="I511" s="1">
        <v>46428</v>
      </c>
      <c r="J511">
        <v>46188</v>
      </c>
      <c r="K511" s="1"/>
      <c r="L511" s="7">
        <v>0</v>
      </c>
      <c r="M511" s="7">
        <v>0</v>
      </c>
      <c r="N511" s="7">
        <v>0</v>
      </c>
      <c r="O511" s="7">
        <v>0</v>
      </c>
      <c r="P511" s="7">
        <v>0</v>
      </c>
      <c r="Q511" s="7">
        <v>0</v>
      </c>
      <c r="R511" s="7">
        <v>0</v>
      </c>
      <c r="S511" s="7">
        <v>0</v>
      </c>
      <c r="T511" s="7">
        <v>0</v>
      </c>
      <c r="U511" s="7">
        <v>0</v>
      </c>
      <c r="V511" s="7">
        <v>0</v>
      </c>
      <c r="W511" s="7">
        <v>0</v>
      </c>
      <c r="X511" s="7">
        <v>0</v>
      </c>
      <c r="Y511" s="7">
        <v>0</v>
      </c>
      <c r="Z511" s="7">
        <v>0</v>
      </c>
      <c r="AA511" s="7">
        <v>0</v>
      </c>
      <c r="AB511" s="7">
        <v>0</v>
      </c>
      <c r="AC511" s="7">
        <v>0</v>
      </c>
      <c r="AD511" s="7">
        <v>0</v>
      </c>
      <c r="AE511" s="7">
        <v>0</v>
      </c>
      <c r="AF511" s="7">
        <v>0</v>
      </c>
      <c r="AG511" s="7">
        <v>0</v>
      </c>
      <c r="AH511" s="7">
        <v>0</v>
      </c>
      <c r="AI511" s="7">
        <v>0</v>
      </c>
      <c r="AJ511" s="7">
        <v>0</v>
      </c>
      <c r="AK511" s="7">
        <v>0</v>
      </c>
      <c r="AL511" s="7">
        <v>0</v>
      </c>
      <c r="AM511" s="7">
        <v>0</v>
      </c>
      <c r="AN511" s="7">
        <v>0</v>
      </c>
      <c r="AO511" s="7">
        <v>0</v>
      </c>
      <c r="AP511" s="7">
        <v>0</v>
      </c>
      <c r="AQ511" s="7">
        <v>0</v>
      </c>
      <c r="AR511" s="7">
        <v>0</v>
      </c>
      <c r="AS511" s="7">
        <v>0</v>
      </c>
      <c r="AT511" s="7">
        <v>0</v>
      </c>
      <c r="AU511" s="7">
        <v>0</v>
      </c>
      <c r="AV511" s="7">
        <v>0</v>
      </c>
      <c r="AW511" s="7">
        <v>0</v>
      </c>
      <c r="AX511" s="7">
        <v>0</v>
      </c>
      <c r="AY511" s="7">
        <v>0</v>
      </c>
      <c r="AZ511" s="7">
        <v>0</v>
      </c>
      <c r="BA511" s="7">
        <v>0</v>
      </c>
      <c r="BB511" s="7">
        <v>0</v>
      </c>
      <c r="BC511" s="7">
        <v>0</v>
      </c>
      <c r="BD511">
        <v>0</v>
      </c>
      <c r="BE511">
        <v>31.32</v>
      </c>
      <c r="BF5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1" s="42" t="str">
        <f>+IF(AVANCE[[#This Row],[FECHA INICIO REAL]]="","",AVANCE[[#This Row],[FECHA INICIO REAL]]-AVANCE[[#This Row],[FECHA INICIO TEORICO]])</f>
        <v/>
      </c>
      <c r="BH5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2" spans="1:61" x14ac:dyDescent="0.25">
      <c r="A512" t="s">
        <v>1319</v>
      </c>
      <c r="B512" t="s">
        <v>1350</v>
      </c>
      <c r="C512">
        <v>2302600511</v>
      </c>
      <c r="D512" t="s">
        <v>834</v>
      </c>
      <c r="E512" s="4">
        <v>0</v>
      </c>
      <c r="F512" s="1">
        <v>46398</v>
      </c>
      <c r="G512" s="1"/>
      <c r="H512" s="1">
        <v>0</v>
      </c>
      <c r="I512" s="1">
        <v>46428</v>
      </c>
      <c r="J512">
        <v>46188</v>
      </c>
      <c r="K512" s="1"/>
      <c r="L512" s="7">
        <v>0</v>
      </c>
      <c r="M512" s="7">
        <v>0</v>
      </c>
      <c r="N512" s="7">
        <v>0</v>
      </c>
      <c r="O512" s="7">
        <v>0</v>
      </c>
      <c r="P512" s="7">
        <v>0</v>
      </c>
      <c r="Q512" s="7">
        <v>0</v>
      </c>
      <c r="R512" s="7">
        <v>0</v>
      </c>
      <c r="S512" s="7">
        <v>0</v>
      </c>
      <c r="T512" s="7">
        <v>0</v>
      </c>
      <c r="U512" s="7">
        <v>0</v>
      </c>
      <c r="V512" s="7">
        <v>0</v>
      </c>
      <c r="W512" s="7">
        <v>0</v>
      </c>
      <c r="X512" s="7">
        <v>0</v>
      </c>
      <c r="Y512" s="7">
        <v>0</v>
      </c>
      <c r="Z512" s="7">
        <v>0</v>
      </c>
      <c r="AA512" s="7">
        <v>0</v>
      </c>
      <c r="AB512" s="7">
        <v>0</v>
      </c>
      <c r="AC512" s="7">
        <v>0</v>
      </c>
      <c r="AD512" s="7">
        <v>0</v>
      </c>
      <c r="AE512" s="7">
        <v>0</v>
      </c>
      <c r="AF512" s="7">
        <v>0</v>
      </c>
      <c r="AG512" s="7">
        <v>0</v>
      </c>
      <c r="AH512" s="7">
        <v>0</v>
      </c>
      <c r="AI512" s="7">
        <v>0</v>
      </c>
      <c r="AJ512" s="7">
        <v>0</v>
      </c>
      <c r="AK512" s="7">
        <v>0</v>
      </c>
      <c r="AL512" s="7">
        <v>0</v>
      </c>
      <c r="AM512" s="7">
        <v>0</v>
      </c>
      <c r="AN512" s="7">
        <v>0</v>
      </c>
      <c r="AO512" s="7">
        <v>0</v>
      </c>
      <c r="AP512" s="7">
        <v>0</v>
      </c>
      <c r="AQ512" s="7">
        <v>0</v>
      </c>
      <c r="AR512" s="7">
        <v>0</v>
      </c>
      <c r="AS512" s="7">
        <v>0</v>
      </c>
      <c r="AT512" s="7">
        <v>0</v>
      </c>
      <c r="AU512" s="7">
        <v>0</v>
      </c>
      <c r="AV512" s="7">
        <v>0</v>
      </c>
      <c r="AW512" s="7">
        <v>0</v>
      </c>
      <c r="AX512" s="7">
        <v>0</v>
      </c>
      <c r="AY512" s="7">
        <v>0</v>
      </c>
      <c r="AZ512" s="7">
        <v>0</v>
      </c>
      <c r="BA512" s="7">
        <v>0</v>
      </c>
      <c r="BB512" s="7">
        <v>0</v>
      </c>
      <c r="BC512" s="7">
        <v>0</v>
      </c>
      <c r="BD512">
        <v>0</v>
      </c>
      <c r="BE512">
        <v>31.32</v>
      </c>
      <c r="BF5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2" s="42" t="str">
        <f>+IF(AVANCE[[#This Row],[FECHA INICIO REAL]]="","",AVANCE[[#This Row],[FECHA INICIO REAL]]-AVANCE[[#This Row],[FECHA INICIO TEORICO]])</f>
        <v/>
      </c>
      <c r="BH5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3" spans="1:61" x14ac:dyDescent="0.25">
      <c r="A513" t="s">
        <v>1319</v>
      </c>
      <c r="B513" t="s">
        <v>1351</v>
      </c>
      <c r="C513">
        <v>2282600512</v>
      </c>
      <c r="D513" t="s">
        <v>833</v>
      </c>
      <c r="E513" s="4">
        <v>0</v>
      </c>
      <c r="F513" s="1">
        <v>46399</v>
      </c>
      <c r="G513" s="1"/>
      <c r="H513" s="1">
        <v>0</v>
      </c>
      <c r="I513" s="1">
        <v>46419</v>
      </c>
      <c r="J513">
        <v>46188</v>
      </c>
      <c r="K513" s="1"/>
      <c r="L513" s="7">
        <v>0</v>
      </c>
      <c r="M513" s="7">
        <v>0</v>
      </c>
      <c r="N513" s="7">
        <v>0</v>
      </c>
      <c r="O513" s="7">
        <v>0</v>
      </c>
      <c r="P513" s="7">
        <v>0</v>
      </c>
      <c r="Q513" s="7">
        <v>0</v>
      </c>
      <c r="R513" s="7">
        <v>0</v>
      </c>
      <c r="S513" s="7">
        <v>0</v>
      </c>
      <c r="T513" s="7">
        <v>0</v>
      </c>
      <c r="U513" s="7">
        <v>0</v>
      </c>
      <c r="V513" s="7">
        <v>0</v>
      </c>
      <c r="W513" s="7">
        <v>0</v>
      </c>
      <c r="X513" s="7">
        <v>0</v>
      </c>
      <c r="Y513" s="7">
        <v>0</v>
      </c>
      <c r="Z513" s="7">
        <v>0</v>
      </c>
      <c r="AA513" s="7">
        <v>0</v>
      </c>
      <c r="AB513" s="7">
        <v>0</v>
      </c>
      <c r="AC513" s="7">
        <v>0</v>
      </c>
      <c r="AD513" s="7">
        <v>0</v>
      </c>
      <c r="AE513" s="7">
        <v>0</v>
      </c>
      <c r="AF513" s="7">
        <v>0</v>
      </c>
      <c r="AG513" s="7">
        <v>0</v>
      </c>
      <c r="AH513" s="7">
        <v>0</v>
      </c>
      <c r="AI513" s="7">
        <v>0</v>
      </c>
      <c r="AJ513" s="7">
        <v>0</v>
      </c>
      <c r="AK513" s="7">
        <v>0</v>
      </c>
      <c r="AL513" s="7">
        <v>0</v>
      </c>
      <c r="AM513" s="7">
        <v>0</v>
      </c>
      <c r="AN513" s="7">
        <v>0</v>
      </c>
      <c r="AO513" s="7">
        <v>0</v>
      </c>
      <c r="AP513" s="7">
        <v>0</v>
      </c>
      <c r="AQ513" s="7">
        <v>0</v>
      </c>
      <c r="AR513" s="7">
        <v>0</v>
      </c>
      <c r="AS513" s="7">
        <v>0</v>
      </c>
      <c r="AT513" s="7">
        <v>0</v>
      </c>
      <c r="AU513" s="7">
        <v>0</v>
      </c>
      <c r="AV513" s="7">
        <v>0</v>
      </c>
      <c r="AW513" s="7">
        <v>0</v>
      </c>
      <c r="AX513" s="7">
        <v>0</v>
      </c>
      <c r="AY513" s="7">
        <v>0</v>
      </c>
      <c r="AZ513" s="7">
        <v>0</v>
      </c>
      <c r="BA513" s="7">
        <v>0</v>
      </c>
      <c r="BB513" s="7">
        <v>0</v>
      </c>
      <c r="BC513" s="7">
        <v>0</v>
      </c>
      <c r="BD513">
        <v>0</v>
      </c>
      <c r="BE513">
        <v>28.87</v>
      </c>
      <c r="BF5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3" s="42" t="str">
        <f>+IF(AVANCE[[#This Row],[FECHA INICIO REAL]]="","",AVANCE[[#This Row],[FECHA INICIO REAL]]-AVANCE[[#This Row],[FECHA INICIO TEORICO]])</f>
        <v/>
      </c>
      <c r="BH5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4" spans="1:61" x14ac:dyDescent="0.25">
      <c r="A514" t="s">
        <v>1352</v>
      </c>
      <c r="B514" t="s">
        <v>1353</v>
      </c>
      <c r="C514">
        <v>2282600513</v>
      </c>
      <c r="D514" t="s">
        <v>833</v>
      </c>
      <c r="E514" s="4">
        <v>0</v>
      </c>
      <c r="F514" s="1">
        <v>46399</v>
      </c>
      <c r="G514" s="1"/>
      <c r="H514" s="1">
        <v>0</v>
      </c>
      <c r="I514" s="1">
        <v>46419</v>
      </c>
      <c r="J514">
        <v>46188</v>
      </c>
      <c r="K514" s="1"/>
      <c r="L514" s="7">
        <v>0</v>
      </c>
      <c r="M514" s="7">
        <v>0</v>
      </c>
      <c r="N514" s="7">
        <v>0</v>
      </c>
      <c r="O514" s="7">
        <v>0</v>
      </c>
      <c r="P514" s="7">
        <v>0</v>
      </c>
      <c r="Q514" s="7">
        <v>0</v>
      </c>
      <c r="R514" s="7">
        <v>0</v>
      </c>
      <c r="S514" s="7">
        <v>0</v>
      </c>
      <c r="T514" s="7">
        <v>0</v>
      </c>
      <c r="U514" s="7">
        <v>0</v>
      </c>
      <c r="V514" s="7">
        <v>0</v>
      </c>
      <c r="W514" s="7">
        <v>0</v>
      </c>
      <c r="X514" s="7">
        <v>0</v>
      </c>
      <c r="Y514" s="7">
        <v>0</v>
      </c>
      <c r="Z514" s="7">
        <v>0</v>
      </c>
      <c r="AA514" s="7">
        <v>0</v>
      </c>
      <c r="AB514" s="7">
        <v>0</v>
      </c>
      <c r="AC514" s="7">
        <v>0</v>
      </c>
      <c r="AD514" s="7">
        <v>0</v>
      </c>
      <c r="AE514" s="7">
        <v>0</v>
      </c>
      <c r="AF514" s="7">
        <v>0</v>
      </c>
      <c r="AG514" s="7">
        <v>0</v>
      </c>
      <c r="AH514" s="7">
        <v>0</v>
      </c>
      <c r="AI514" s="7">
        <v>0</v>
      </c>
      <c r="AJ514" s="7">
        <v>0</v>
      </c>
      <c r="AK514" s="7">
        <v>0</v>
      </c>
      <c r="AL514" s="7">
        <v>0</v>
      </c>
      <c r="AM514" s="7">
        <v>0</v>
      </c>
      <c r="AN514" s="7">
        <v>0</v>
      </c>
      <c r="AO514" s="7">
        <v>0</v>
      </c>
      <c r="AP514" s="7">
        <v>0</v>
      </c>
      <c r="AQ514" s="7">
        <v>0</v>
      </c>
      <c r="AR514" s="7">
        <v>0</v>
      </c>
      <c r="AS514" s="7">
        <v>0</v>
      </c>
      <c r="AT514" s="7">
        <v>0</v>
      </c>
      <c r="AU514" s="7">
        <v>0</v>
      </c>
      <c r="AV514" s="7">
        <v>0</v>
      </c>
      <c r="AW514" s="7">
        <v>0</v>
      </c>
      <c r="AX514" s="7">
        <v>0</v>
      </c>
      <c r="AY514" s="7">
        <v>0</v>
      </c>
      <c r="AZ514" s="7">
        <v>0</v>
      </c>
      <c r="BA514" s="7">
        <v>0</v>
      </c>
      <c r="BB514" s="7">
        <v>0</v>
      </c>
      <c r="BC514" s="7">
        <v>0</v>
      </c>
      <c r="BD514">
        <v>0</v>
      </c>
      <c r="BE514">
        <v>28.87</v>
      </c>
      <c r="BF5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4" s="42" t="str">
        <f>+IF(AVANCE[[#This Row],[FECHA INICIO REAL]]="","",AVANCE[[#This Row],[FECHA INICIO REAL]]-AVANCE[[#This Row],[FECHA INICIO TEORICO]])</f>
        <v/>
      </c>
      <c r="BH5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5" spans="1:61" x14ac:dyDescent="0.25">
      <c r="A515" t="s">
        <v>1352</v>
      </c>
      <c r="B515" t="s">
        <v>1354</v>
      </c>
      <c r="C515">
        <v>2302600514</v>
      </c>
      <c r="D515" t="s">
        <v>834</v>
      </c>
      <c r="E515" s="4">
        <v>0</v>
      </c>
      <c r="F515" s="1">
        <v>46399</v>
      </c>
      <c r="G515" s="1"/>
      <c r="H515" s="1">
        <v>0</v>
      </c>
      <c r="I515" s="1">
        <v>46429</v>
      </c>
      <c r="J515">
        <v>46188</v>
      </c>
      <c r="K515" s="1"/>
      <c r="L515" s="7">
        <v>0</v>
      </c>
      <c r="M515" s="7">
        <v>0</v>
      </c>
      <c r="N515" s="7">
        <v>0</v>
      </c>
      <c r="O515" s="7">
        <v>0</v>
      </c>
      <c r="P515" s="7">
        <v>0</v>
      </c>
      <c r="Q515" s="7">
        <v>0</v>
      </c>
      <c r="R515" s="7">
        <v>0</v>
      </c>
      <c r="S515" s="7">
        <v>0</v>
      </c>
      <c r="T515" s="7">
        <v>0</v>
      </c>
      <c r="U515" s="7">
        <v>0</v>
      </c>
      <c r="V515" s="7">
        <v>0</v>
      </c>
      <c r="W515" s="7">
        <v>0</v>
      </c>
      <c r="X515" s="7">
        <v>0</v>
      </c>
      <c r="Y515" s="7">
        <v>0</v>
      </c>
      <c r="Z515" s="7">
        <v>0</v>
      </c>
      <c r="AA515" s="7">
        <v>0</v>
      </c>
      <c r="AB515" s="7">
        <v>0</v>
      </c>
      <c r="AC515" s="7">
        <v>0</v>
      </c>
      <c r="AD515" s="7">
        <v>0</v>
      </c>
      <c r="AE515" s="7">
        <v>0</v>
      </c>
      <c r="AF515" s="7">
        <v>0</v>
      </c>
      <c r="AG515" s="7">
        <v>0</v>
      </c>
      <c r="AH515" s="7">
        <v>0</v>
      </c>
      <c r="AI515" s="7">
        <v>0</v>
      </c>
      <c r="AJ515" s="7">
        <v>0</v>
      </c>
      <c r="AK515" s="7">
        <v>0</v>
      </c>
      <c r="AL515" s="7">
        <v>0</v>
      </c>
      <c r="AM515" s="7">
        <v>0</v>
      </c>
      <c r="AN515" s="7">
        <v>0</v>
      </c>
      <c r="AO515" s="7">
        <v>0</v>
      </c>
      <c r="AP515" s="7">
        <v>0</v>
      </c>
      <c r="AQ515" s="7">
        <v>0</v>
      </c>
      <c r="AR515" s="7">
        <v>0</v>
      </c>
      <c r="AS515" s="7">
        <v>0</v>
      </c>
      <c r="AT515" s="7">
        <v>0</v>
      </c>
      <c r="AU515" s="7">
        <v>0</v>
      </c>
      <c r="AV515" s="7">
        <v>0</v>
      </c>
      <c r="AW515" s="7">
        <v>0</v>
      </c>
      <c r="AX515" s="7">
        <v>0</v>
      </c>
      <c r="AY515" s="7">
        <v>0</v>
      </c>
      <c r="AZ515" s="7">
        <v>0</v>
      </c>
      <c r="BA515" s="7">
        <v>0</v>
      </c>
      <c r="BB515" s="7">
        <v>0</v>
      </c>
      <c r="BC515" s="7">
        <v>0</v>
      </c>
      <c r="BD515">
        <v>0</v>
      </c>
      <c r="BE515">
        <v>31.32</v>
      </c>
      <c r="BF5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5" s="42" t="str">
        <f>+IF(AVANCE[[#This Row],[FECHA INICIO REAL]]="","",AVANCE[[#This Row],[FECHA INICIO REAL]]-AVANCE[[#This Row],[FECHA INICIO TEORICO]])</f>
        <v/>
      </c>
      <c r="BH5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6" spans="1:61" x14ac:dyDescent="0.25">
      <c r="A516" t="s">
        <v>1352</v>
      </c>
      <c r="B516" t="s">
        <v>1355</v>
      </c>
      <c r="C516">
        <v>2302600515</v>
      </c>
      <c r="D516" t="s">
        <v>834</v>
      </c>
      <c r="E516" s="4">
        <v>0</v>
      </c>
      <c r="F516" s="1">
        <v>46400</v>
      </c>
      <c r="G516" s="1"/>
      <c r="H516" s="1">
        <v>0</v>
      </c>
      <c r="I516" s="1">
        <v>46430</v>
      </c>
      <c r="J516">
        <v>46188</v>
      </c>
      <c r="K516" s="1"/>
      <c r="L516" s="7">
        <v>0</v>
      </c>
      <c r="M516" s="7">
        <v>0</v>
      </c>
      <c r="N516" s="7">
        <v>0</v>
      </c>
      <c r="O516" s="7">
        <v>0</v>
      </c>
      <c r="P516" s="7">
        <v>0</v>
      </c>
      <c r="Q516" s="7">
        <v>0</v>
      </c>
      <c r="R516" s="7">
        <v>0</v>
      </c>
      <c r="S516" s="7">
        <v>0</v>
      </c>
      <c r="T516" s="7">
        <v>0</v>
      </c>
      <c r="U516" s="7">
        <v>0</v>
      </c>
      <c r="V516" s="7">
        <v>0</v>
      </c>
      <c r="W516" s="7">
        <v>0</v>
      </c>
      <c r="X516" s="7">
        <v>0</v>
      </c>
      <c r="Y516" s="7">
        <v>0</v>
      </c>
      <c r="Z516" s="7">
        <v>0</v>
      </c>
      <c r="AA516" s="7">
        <v>0</v>
      </c>
      <c r="AB516" s="7">
        <v>0</v>
      </c>
      <c r="AC516" s="7">
        <v>0</v>
      </c>
      <c r="AD516" s="7">
        <v>0</v>
      </c>
      <c r="AE516" s="7">
        <v>0</v>
      </c>
      <c r="AF516" s="7">
        <v>0</v>
      </c>
      <c r="AG516" s="7">
        <v>0</v>
      </c>
      <c r="AH516" s="7">
        <v>0</v>
      </c>
      <c r="AI516" s="7">
        <v>0</v>
      </c>
      <c r="AJ516" s="7">
        <v>0</v>
      </c>
      <c r="AK516" s="7">
        <v>0</v>
      </c>
      <c r="AL516" s="7">
        <v>0</v>
      </c>
      <c r="AM516" s="7">
        <v>0</v>
      </c>
      <c r="AN516" s="7">
        <v>0</v>
      </c>
      <c r="AO516" s="7">
        <v>0</v>
      </c>
      <c r="AP516" s="7">
        <v>0</v>
      </c>
      <c r="AQ516" s="7">
        <v>0</v>
      </c>
      <c r="AR516" s="7">
        <v>0</v>
      </c>
      <c r="AS516" s="7">
        <v>0</v>
      </c>
      <c r="AT516" s="7">
        <v>0</v>
      </c>
      <c r="AU516" s="7">
        <v>0</v>
      </c>
      <c r="AV516" s="7">
        <v>0</v>
      </c>
      <c r="AW516" s="7">
        <v>0</v>
      </c>
      <c r="AX516" s="7">
        <v>0</v>
      </c>
      <c r="AY516" s="7">
        <v>0</v>
      </c>
      <c r="AZ516" s="7">
        <v>0</v>
      </c>
      <c r="BA516" s="7">
        <v>0</v>
      </c>
      <c r="BB516" s="7">
        <v>0</v>
      </c>
      <c r="BC516" s="7">
        <v>0</v>
      </c>
      <c r="BD516">
        <v>0</v>
      </c>
      <c r="BE516">
        <v>31.32</v>
      </c>
      <c r="BF5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6" s="42" t="str">
        <f>+IF(AVANCE[[#This Row],[FECHA INICIO REAL]]="","",AVANCE[[#This Row],[FECHA INICIO REAL]]-AVANCE[[#This Row],[FECHA INICIO TEORICO]])</f>
        <v/>
      </c>
      <c r="BH5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7" spans="1:61" x14ac:dyDescent="0.25">
      <c r="A517" t="s">
        <v>1352</v>
      </c>
      <c r="B517" t="s">
        <v>1356</v>
      </c>
      <c r="C517">
        <v>2282600516</v>
      </c>
      <c r="D517" t="s">
        <v>833</v>
      </c>
      <c r="E517" s="4">
        <v>0</v>
      </c>
      <c r="F517" s="1">
        <v>46400</v>
      </c>
      <c r="G517" s="1"/>
      <c r="H517" s="1">
        <v>0</v>
      </c>
      <c r="I517" s="1">
        <v>46420</v>
      </c>
      <c r="J517">
        <v>46188</v>
      </c>
      <c r="K517" s="1"/>
      <c r="L517" s="7">
        <v>0</v>
      </c>
      <c r="M517" s="7">
        <v>0</v>
      </c>
      <c r="N517" s="7">
        <v>0</v>
      </c>
      <c r="O517" s="7">
        <v>0</v>
      </c>
      <c r="P517" s="7">
        <v>0</v>
      </c>
      <c r="Q517" s="7">
        <v>0</v>
      </c>
      <c r="R517" s="7">
        <v>0</v>
      </c>
      <c r="S517" s="7">
        <v>0</v>
      </c>
      <c r="T517" s="7">
        <v>0</v>
      </c>
      <c r="U517" s="7">
        <v>0</v>
      </c>
      <c r="V517" s="7">
        <v>0</v>
      </c>
      <c r="W517" s="7">
        <v>0</v>
      </c>
      <c r="X517" s="7">
        <v>0</v>
      </c>
      <c r="Y517" s="7">
        <v>0</v>
      </c>
      <c r="Z517" s="7">
        <v>0</v>
      </c>
      <c r="AA517" s="7">
        <v>0</v>
      </c>
      <c r="AB517" s="7">
        <v>0</v>
      </c>
      <c r="AC517" s="7">
        <v>0</v>
      </c>
      <c r="AD517" s="7">
        <v>0</v>
      </c>
      <c r="AE517" s="7">
        <v>0</v>
      </c>
      <c r="AF517" s="7">
        <v>0</v>
      </c>
      <c r="AG517" s="7">
        <v>0</v>
      </c>
      <c r="AH517" s="7">
        <v>0</v>
      </c>
      <c r="AI517" s="7">
        <v>0</v>
      </c>
      <c r="AJ517" s="7">
        <v>0</v>
      </c>
      <c r="AK517" s="7">
        <v>0</v>
      </c>
      <c r="AL517" s="7">
        <v>0</v>
      </c>
      <c r="AM517" s="7">
        <v>0</v>
      </c>
      <c r="AN517" s="7">
        <v>0</v>
      </c>
      <c r="AO517" s="7">
        <v>0</v>
      </c>
      <c r="AP517" s="7">
        <v>0</v>
      </c>
      <c r="AQ517" s="7">
        <v>0</v>
      </c>
      <c r="AR517" s="7">
        <v>0</v>
      </c>
      <c r="AS517" s="7">
        <v>0</v>
      </c>
      <c r="AT517" s="7">
        <v>0</v>
      </c>
      <c r="AU517" s="7">
        <v>0</v>
      </c>
      <c r="AV517" s="7">
        <v>0</v>
      </c>
      <c r="AW517" s="7">
        <v>0</v>
      </c>
      <c r="AX517" s="7">
        <v>0</v>
      </c>
      <c r="AY517" s="7">
        <v>0</v>
      </c>
      <c r="AZ517" s="7">
        <v>0</v>
      </c>
      <c r="BA517" s="7">
        <v>0</v>
      </c>
      <c r="BB517" s="7">
        <v>0</v>
      </c>
      <c r="BC517" s="7">
        <v>0</v>
      </c>
      <c r="BD517">
        <v>0</v>
      </c>
      <c r="BE517">
        <v>28.87</v>
      </c>
      <c r="BF5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7" s="42" t="str">
        <f>+IF(AVANCE[[#This Row],[FECHA INICIO REAL]]="","",AVANCE[[#This Row],[FECHA INICIO REAL]]-AVANCE[[#This Row],[FECHA INICIO TEORICO]])</f>
        <v/>
      </c>
      <c r="BH5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8" spans="1:61" x14ac:dyDescent="0.25">
      <c r="A518" t="s">
        <v>1352</v>
      </c>
      <c r="B518" t="s">
        <v>1357</v>
      </c>
      <c r="C518">
        <v>2282600517</v>
      </c>
      <c r="D518" t="s">
        <v>833</v>
      </c>
      <c r="E518" s="4">
        <v>0</v>
      </c>
      <c r="F518" s="1">
        <v>46400</v>
      </c>
      <c r="G518" s="1"/>
      <c r="H518" s="1">
        <v>0</v>
      </c>
      <c r="I518" s="1">
        <v>46420</v>
      </c>
      <c r="J518">
        <v>46188</v>
      </c>
      <c r="K518" s="1"/>
      <c r="L518" s="7">
        <v>0</v>
      </c>
      <c r="M518" s="7">
        <v>0</v>
      </c>
      <c r="N518" s="7">
        <v>0</v>
      </c>
      <c r="O518" s="7">
        <v>0</v>
      </c>
      <c r="P518" s="7">
        <v>0</v>
      </c>
      <c r="Q518" s="7">
        <v>0</v>
      </c>
      <c r="R518" s="7">
        <v>0</v>
      </c>
      <c r="S518" s="7">
        <v>0</v>
      </c>
      <c r="T518" s="7">
        <v>0</v>
      </c>
      <c r="U518" s="7">
        <v>0</v>
      </c>
      <c r="V518" s="7">
        <v>0</v>
      </c>
      <c r="W518" s="7">
        <v>0</v>
      </c>
      <c r="X518" s="7">
        <v>0</v>
      </c>
      <c r="Y518" s="7">
        <v>0</v>
      </c>
      <c r="Z518" s="7">
        <v>0</v>
      </c>
      <c r="AA518" s="7">
        <v>0</v>
      </c>
      <c r="AB518" s="7">
        <v>0</v>
      </c>
      <c r="AC518" s="7">
        <v>0</v>
      </c>
      <c r="AD518" s="7">
        <v>0</v>
      </c>
      <c r="AE518" s="7">
        <v>0</v>
      </c>
      <c r="AF518" s="7">
        <v>0</v>
      </c>
      <c r="AG518" s="7">
        <v>0</v>
      </c>
      <c r="AH518" s="7">
        <v>0</v>
      </c>
      <c r="AI518" s="7">
        <v>0</v>
      </c>
      <c r="AJ518" s="7">
        <v>0</v>
      </c>
      <c r="AK518" s="7">
        <v>0</v>
      </c>
      <c r="AL518" s="7">
        <v>0</v>
      </c>
      <c r="AM518" s="7">
        <v>0</v>
      </c>
      <c r="AN518" s="7">
        <v>0</v>
      </c>
      <c r="AO518" s="7">
        <v>0</v>
      </c>
      <c r="AP518" s="7">
        <v>0</v>
      </c>
      <c r="AQ518" s="7">
        <v>0</v>
      </c>
      <c r="AR518" s="7">
        <v>0</v>
      </c>
      <c r="AS518" s="7">
        <v>0</v>
      </c>
      <c r="AT518" s="7">
        <v>0</v>
      </c>
      <c r="AU518" s="7">
        <v>0</v>
      </c>
      <c r="AV518" s="7">
        <v>0</v>
      </c>
      <c r="AW518" s="7">
        <v>0</v>
      </c>
      <c r="AX518" s="7">
        <v>0</v>
      </c>
      <c r="AY518" s="7">
        <v>0</v>
      </c>
      <c r="AZ518" s="7">
        <v>0</v>
      </c>
      <c r="BA518" s="7">
        <v>0</v>
      </c>
      <c r="BB518" s="7">
        <v>0</v>
      </c>
      <c r="BC518" s="7">
        <v>0</v>
      </c>
      <c r="BD518">
        <v>0</v>
      </c>
      <c r="BE518">
        <v>28.87</v>
      </c>
      <c r="BF5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8" s="42" t="str">
        <f>+IF(AVANCE[[#This Row],[FECHA INICIO REAL]]="","",AVANCE[[#This Row],[FECHA INICIO REAL]]-AVANCE[[#This Row],[FECHA INICIO TEORICO]])</f>
        <v/>
      </c>
      <c r="BH5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9" spans="1:61" x14ac:dyDescent="0.25">
      <c r="A519" t="s">
        <v>1352</v>
      </c>
      <c r="B519" t="s">
        <v>1358</v>
      </c>
      <c r="C519">
        <v>2302600518</v>
      </c>
      <c r="D519" t="s">
        <v>834</v>
      </c>
      <c r="E519" s="4">
        <v>0</v>
      </c>
      <c r="F519" s="1">
        <v>46401</v>
      </c>
      <c r="G519" s="1"/>
      <c r="H519" s="1">
        <v>0</v>
      </c>
      <c r="I519" s="1">
        <v>46431</v>
      </c>
      <c r="J519">
        <v>46188</v>
      </c>
      <c r="K519" s="1"/>
      <c r="L519" s="7">
        <v>0</v>
      </c>
      <c r="M519" s="7">
        <v>0</v>
      </c>
      <c r="N519" s="7">
        <v>0</v>
      </c>
      <c r="O519" s="7">
        <v>0</v>
      </c>
      <c r="P519" s="7">
        <v>0</v>
      </c>
      <c r="Q519" s="7">
        <v>0</v>
      </c>
      <c r="R519" s="7">
        <v>0</v>
      </c>
      <c r="S519" s="7">
        <v>0</v>
      </c>
      <c r="T519" s="7">
        <v>0</v>
      </c>
      <c r="U519" s="7">
        <v>0</v>
      </c>
      <c r="V519" s="7">
        <v>0</v>
      </c>
      <c r="W519" s="7">
        <v>0</v>
      </c>
      <c r="X519" s="7">
        <v>0</v>
      </c>
      <c r="Y519" s="7">
        <v>0</v>
      </c>
      <c r="Z519" s="7">
        <v>0</v>
      </c>
      <c r="AA519" s="7">
        <v>0</v>
      </c>
      <c r="AB519" s="7">
        <v>0</v>
      </c>
      <c r="AC519" s="7">
        <v>0</v>
      </c>
      <c r="AD519" s="7">
        <v>0</v>
      </c>
      <c r="AE519" s="7">
        <v>0</v>
      </c>
      <c r="AF519" s="7">
        <v>0</v>
      </c>
      <c r="AG519" s="7">
        <v>0</v>
      </c>
      <c r="AH519" s="7">
        <v>0</v>
      </c>
      <c r="AI519" s="7">
        <v>0</v>
      </c>
      <c r="AJ519" s="7">
        <v>0</v>
      </c>
      <c r="AK519" s="7">
        <v>0</v>
      </c>
      <c r="AL519" s="7">
        <v>0</v>
      </c>
      <c r="AM519" s="7">
        <v>0</v>
      </c>
      <c r="AN519" s="7">
        <v>0</v>
      </c>
      <c r="AO519" s="7">
        <v>0</v>
      </c>
      <c r="AP519" s="7">
        <v>0</v>
      </c>
      <c r="AQ519" s="7">
        <v>0</v>
      </c>
      <c r="AR519" s="7">
        <v>0</v>
      </c>
      <c r="AS519" s="7">
        <v>0</v>
      </c>
      <c r="AT519" s="7">
        <v>0</v>
      </c>
      <c r="AU519" s="7">
        <v>0</v>
      </c>
      <c r="AV519" s="7">
        <v>0</v>
      </c>
      <c r="AW519" s="7">
        <v>0</v>
      </c>
      <c r="AX519" s="7">
        <v>0</v>
      </c>
      <c r="AY519" s="7">
        <v>0</v>
      </c>
      <c r="AZ519" s="7">
        <v>0</v>
      </c>
      <c r="BA519" s="7">
        <v>0</v>
      </c>
      <c r="BB519" s="7">
        <v>0</v>
      </c>
      <c r="BC519" s="7">
        <v>0</v>
      </c>
      <c r="BD519">
        <v>0</v>
      </c>
      <c r="BE519">
        <v>31.32</v>
      </c>
      <c r="BF5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9" s="42" t="str">
        <f>+IF(AVANCE[[#This Row],[FECHA INICIO REAL]]="","",AVANCE[[#This Row],[FECHA INICIO REAL]]-AVANCE[[#This Row],[FECHA INICIO TEORICO]])</f>
        <v/>
      </c>
      <c r="BH5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0" spans="1:61" x14ac:dyDescent="0.25">
      <c r="A520" t="s">
        <v>1352</v>
      </c>
      <c r="B520" t="s">
        <v>1359</v>
      </c>
      <c r="C520">
        <v>2302600519</v>
      </c>
      <c r="D520" t="s">
        <v>834</v>
      </c>
      <c r="E520" s="4">
        <v>0</v>
      </c>
      <c r="F520" s="1">
        <v>46401</v>
      </c>
      <c r="G520" s="1"/>
      <c r="H520" s="1">
        <v>0</v>
      </c>
      <c r="I520" s="1">
        <v>46431</v>
      </c>
      <c r="J520">
        <v>46188</v>
      </c>
      <c r="K520" s="1"/>
      <c r="L520" s="7">
        <v>0</v>
      </c>
      <c r="M520" s="7">
        <v>0</v>
      </c>
      <c r="N520" s="7">
        <v>0</v>
      </c>
      <c r="O520" s="7">
        <v>0</v>
      </c>
      <c r="P520" s="7">
        <v>0</v>
      </c>
      <c r="Q520" s="7">
        <v>0</v>
      </c>
      <c r="R520" s="7">
        <v>0</v>
      </c>
      <c r="S520" s="7">
        <v>0</v>
      </c>
      <c r="T520" s="7">
        <v>0</v>
      </c>
      <c r="U520" s="7">
        <v>0</v>
      </c>
      <c r="V520" s="7">
        <v>0</v>
      </c>
      <c r="W520" s="7">
        <v>0</v>
      </c>
      <c r="X520" s="7">
        <v>0</v>
      </c>
      <c r="Y520" s="7">
        <v>0</v>
      </c>
      <c r="Z520" s="7">
        <v>0</v>
      </c>
      <c r="AA520" s="7">
        <v>0</v>
      </c>
      <c r="AB520" s="7">
        <v>0</v>
      </c>
      <c r="AC520" s="7">
        <v>0</v>
      </c>
      <c r="AD520" s="7">
        <v>0</v>
      </c>
      <c r="AE520" s="7">
        <v>0</v>
      </c>
      <c r="AF520" s="7">
        <v>0</v>
      </c>
      <c r="AG520" s="7">
        <v>0</v>
      </c>
      <c r="AH520" s="7">
        <v>0</v>
      </c>
      <c r="AI520" s="7">
        <v>0</v>
      </c>
      <c r="AJ520" s="7">
        <v>0</v>
      </c>
      <c r="AK520" s="7">
        <v>0</v>
      </c>
      <c r="AL520" s="7">
        <v>0</v>
      </c>
      <c r="AM520" s="7">
        <v>0</v>
      </c>
      <c r="AN520" s="7">
        <v>0</v>
      </c>
      <c r="AO520" s="7">
        <v>0</v>
      </c>
      <c r="AP520" s="7">
        <v>0</v>
      </c>
      <c r="AQ520" s="7">
        <v>0</v>
      </c>
      <c r="AR520" s="7">
        <v>0</v>
      </c>
      <c r="AS520" s="7">
        <v>0</v>
      </c>
      <c r="AT520" s="7">
        <v>0</v>
      </c>
      <c r="AU520" s="7">
        <v>0</v>
      </c>
      <c r="AV520" s="7">
        <v>0</v>
      </c>
      <c r="AW520" s="7">
        <v>0</v>
      </c>
      <c r="AX520" s="7">
        <v>0</v>
      </c>
      <c r="AY520" s="7">
        <v>0</v>
      </c>
      <c r="AZ520" s="7">
        <v>0</v>
      </c>
      <c r="BA520" s="7">
        <v>0</v>
      </c>
      <c r="BB520" s="7">
        <v>0</v>
      </c>
      <c r="BC520" s="7">
        <v>0</v>
      </c>
      <c r="BD520">
        <v>0</v>
      </c>
      <c r="BE520">
        <v>31.32</v>
      </c>
      <c r="BF5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0" s="42" t="str">
        <f>+IF(AVANCE[[#This Row],[FECHA INICIO REAL]]="","",AVANCE[[#This Row],[FECHA INICIO REAL]]-AVANCE[[#This Row],[FECHA INICIO TEORICO]])</f>
        <v/>
      </c>
      <c r="BH5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1" spans="1:61" x14ac:dyDescent="0.25">
      <c r="A521" t="s">
        <v>1352</v>
      </c>
      <c r="B521" t="s">
        <v>1360</v>
      </c>
      <c r="C521">
        <v>2282600520</v>
      </c>
      <c r="D521" t="s">
        <v>833</v>
      </c>
      <c r="E521" s="4">
        <v>0</v>
      </c>
      <c r="F521" s="1">
        <v>46401</v>
      </c>
      <c r="G521" s="1"/>
      <c r="H521" s="1">
        <v>0</v>
      </c>
      <c r="I521" s="1">
        <v>46421</v>
      </c>
      <c r="J521">
        <v>46188</v>
      </c>
      <c r="K521" s="1"/>
      <c r="L521" s="7">
        <v>0</v>
      </c>
      <c r="M521" s="7">
        <v>0</v>
      </c>
      <c r="N521" s="7">
        <v>0</v>
      </c>
      <c r="O521" s="7">
        <v>0</v>
      </c>
      <c r="P521" s="7">
        <v>0</v>
      </c>
      <c r="Q521" s="7">
        <v>0</v>
      </c>
      <c r="R521" s="7">
        <v>0</v>
      </c>
      <c r="S521" s="7">
        <v>0</v>
      </c>
      <c r="T521" s="7">
        <v>0</v>
      </c>
      <c r="U521" s="7">
        <v>0</v>
      </c>
      <c r="V521" s="7">
        <v>0</v>
      </c>
      <c r="W521" s="7">
        <v>0</v>
      </c>
      <c r="X521" s="7">
        <v>0</v>
      </c>
      <c r="Y521" s="7">
        <v>0</v>
      </c>
      <c r="Z521" s="7">
        <v>0</v>
      </c>
      <c r="AA521" s="7">
        <v>0</v>
      </c>
      <c r="AB521" s="7">
        <v>0</v>
      </c>
      <c r="AC521" s="7">
        <v>0</v>
      </c>
      <c r="AD521" s="7">
        <v>0</v>
      </c>
      <c r="AE521" s="7">
        <v>0</v>
      </c>
      <c r="AF521" s="7">
        <v>0</v>
      </c>
      <c r="AG521" s="7">
        <v>0</v>
      </c>
      <c r="AH521" s="7">
        <v>0</v>
      </c>
      <c r="AI521" s="7">
        <v>0</v>
      </c>
      <c r="AJ521" s="7">
        <v>0</v>
      </c>
      <c r="AK521" s="7">
        <v>0</v>
      </c>
      <c r="AL521" s="7">
        <v>0</v>
      </c>
      <c r="AM521" s="7">
        <v>0</v>
      </c>
      <c r="AN521" s="7">
        <v>0</v>
      </c>
      <c r="AO521" s="7">
        <v>0</v>
      </c>
      <c r="AP521" s="7">
        <v>0</v>
      </c>
      <c r="AQ521" s="7">
        <v>0</v>
      </c>
      <c r="AR521" s="7">
        <v>0</v>
      </c>
      <c r="AS521" s="7">
        <v>0</v>
      </c>
      <c r="AT521" s="7">
        <v>0</v>
      </c>
      <c r="AU521" s="7">
        <v>0</v>
      </c>
      <c r="AV521" s="7">
        <v>0</v>
      </c>
      <c r="AW521" s="7">
        <v>0</v>
      </c>
      <c r="AX521" s="7">
        <v>0</v>
      </c>
      <c r="AY521" s="7">
        <v>0</v>
      </c>
      <c r="AZ521" s="7">
        <v>0</v>
      </c>
      <c r="BA521" s="7">
        <v>0</v>
      </c>
      <c r="BB521" s="7">
        <v>0</v>
      </c>
      <c r="BC521" s="7">
        <v>0</v>
      </c>
      <c r="BD521">
        <v>0</v>
      </c>
      <c r="BE521">
        <v>28.87</v>
      </c>
      <c r="BF5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1" s="42" t="str">
        <f>+IF(AVANCE[[#This Row],[FECHA INICIO REAL]]="","",AVANCE[[#This Row],[FECHA INICIO REAL]]-AVANCE[[#This Row],[FECHA INICIO TEORICO]])</f>
        <v/>
      </c>
      <c r="BH5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2" spans="1:61" x14ac:dyDescent="0.25">
      <c r="A522" t="s">
        <v>1352</v>
      </c>
      <c r="B522" t="s">
        <v>1361</v>
      </c>
      <c r="C522">
        <v>2282600521</v>
      </c>
      <c r="D522" t="s">
        <v>833</v>
      </c>
      <c r="E522" s="4">
        <v>0</v>
      </c>
      <c r="F522" s="1">
        <v>46402</v>
      </c>
      <c r="G522" s="1"/>
      <c r="H522" s="1">
        <v>0</v>
      </c>
      <c r="I522" s="1">
        <v>46422</v>
      </c>
      <c r="J522">
        <v>46188</v>
      </c>
      <c r="K522" s="1"/>
      <c r="L522" s="7">
        <v>0</v>
      </c>
      <c r="M522" s="7">
        <v>0</v>
      </c>
      <c r="N522" s="7">
        <v>0</v>
      </c>
      <c r="O522" s="7">
        <v>0</v>
      </c>
      <c r="P522" s="7">
        <v>0</v>
      </c>
      <c r="Q522" s="7">
        <v>0</v>
      </c>
      <c r="R522" s="7">
        <v>0</v>
      </c>
      <c r="S522" s="7">
        <v>0</v>
      </c>
      <c r="T522" s="7">
        <v>0</v>
      </c>
      <c r="U522" s="7">
        <v>0</v>
      </c>
      <c r="V522" s="7">
        <v>0</v>
      </c>
      <c r="W522" s="7">
        <v>0</v>
      </c>
      <c r="X522" s="7">
        <v>0</v>
      </c>
      <c r="Y522" s="7">
        <v>0</v>
      </c>
      <c r="Z522" s="7">
        <v>0</v>
      </c>
      <c r="AA522" s="7">
        <v>0</v>
      </c>
      <c r="AB522" s="7">
        <v>0</v>
      </c>
      <c r="AC522" s="7">
        <v>0</v>
      </c>
      <c r="AD522" s="7">
        <v>0</v>
      </c>
      <c r="AE522" s="7">
        <v>0</v>
      </c>
      <c r="AF522" s="7">
        <v>0</v>
      </c>
      <c r="AG522" s="7">
        <v>0</v>
      </c>
      <c r="AH522" s="7">
        <v>0</v>
      </c>
      <c r="AI522" s="7">
        <v>0</v>
      </c>
      <c r="AJ522" s="7">
        <v>0</v>
      </c>
      <c r="AK522" s="7">
        <v>0</v>
      </c>
      <c r="AL522" s="7">
        <v>0</v>
      </c>
      <c r="AM522" s="7">
        <v>0</v>
      </c>
      <c r="AN522" s="7">
        <v>0</v>
      </c>
      <c r="AO522" s="7">
        <v>0</v>
      </c>
      <c r="AP522" s="7">
        <v>0</v>
      </c>
      <c r="AQ522" s="7">
        <v>0</v>
      </c>
      <c r="AR522" s="7">
        <v>0</v>
      </c>
      <c r="AS522" s="7">
        <v>0</v>
      </c>
      <c r="AT522" s="7">
        <v>0</v>
      </c>
      <c r="AU522" s="7">
        <v>0</v>
      </c>
      <c r="AV522" s="7">
        <v>0</v>
      </c>
      <c r="AW522" s="7">
        <v>0</v>
      </c>
      <c r="AX522" s="7">
        <v>0</v>
      </c>
      <c r="AY522" s="7">
        <v>0</v>
      </c>
      <c r="AZ522" s="7">
        <v>0</v>
      </c>
      <c r="BA522" s="7">
        <v>0</v>
      </c>
      <c r="BB522" s="7">
        <v>0</v>
      </c>
      <c r="BC522" s="7">
        <v>0</v>
      </c>
      <c r="BD522">
        <v>0</v>
      </c>
      <c r="BE522">
        <v>28.87</v>
      </c>
      <c r="BF5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2" s="42" t="str">
        <f>+IF(AVANCE[[#This Row],[FECHA INICIO REAL]]="","",AVANCE[[#This Row],[FECHA INICIO REAL]]-AVANCE[[#This Row],[FECHA INICIO TEORICO]])</f>
        <v/>
      </c>
      <c r="BH5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3" spans="1:61" x14ac:dyDescent="0.25">
      <c r="A523" t="s">
        <v>1352</v>
      </c>
      <c r="B523" t="s">
        <v>1362</v>
      </c>
      <c r="C523">
        <v>2302600522</v>
      </c>
      <c r="D523" t="s">
        <v>834</v>
      </c>
      <c r="E523" s="4">
        <v>0</v>
      </c>
      <c r="F523" s="1">
        <v>46402</v>
      </c>
      <c r="G523" s="1"/>
      <c r="H523" s="1">
        <v>0</v>
      </c>
      <c r="I523" s="1">
        <v>46432</v>
      </c>
      <c r="J523">
        <v>46188</v>
      </c>
      <c r="K523" s="1"/>
      <c r="L523" s="7">
        <v>0</v>
      </c>
      <c r="M523" s="7">
        <v>0</v>
      </c>
      <c r="N523" s="7">
        <v>0</v>
      </c>
      <c r="O523" s="7">
        <v>0</v>
      </c>
      <c r="P523" s="7">
        <v>0</v>
      </c>
      <c r="Q523" s="7">
        <v>0</v>
      </c>
      <c r="R523" s="7">
        <v>0</v>
      </c>
      <c r="S523" s="7">
        <v>0</v>
      </c>
      <c r="T523" s="7">
        <v>0</v>
      </c>
      <c r="U523" s="7">
        <v>0</v>
      </c>
      <c r="V523" s="7">
        <v>0</v>
      </c>
      <c r="W523" s="7">
        <v>0</v>
      </c>
      <c r="X523" s="7">
        <v>0</v>
      </c>
      <c r="Y523" s="7">
        <v>0</v>
      </c>
      <c r="Z523" s="7">
        <v>0</v>
      </c>
      <c r="AA523" s="7">
        <v>0</v>
      </c>
      <c r="AB523" s="7">
        <v>0</v>
      </c>
      <c r="AC523" s="7">
        <v>0</v>
      </c>
      <c r="AD523" s="7">
        <v>0</v>
      </c>
      <c r="AE523" s="7">
        <v>0</v>
      </c>
      <c r="AF523" s="7">
        <v>0</v>
      </c>
      <c r="AG523" s="7">
        <v>0</v>
      </c>
      <c r="AH523" s="7">
        <v>0</v>
      </c>
      <c r="AI523" s="7">
        <v>0</v>
      </c>
      <c r="AJ523" s="7">
        <v>0</v>
      </c>
      <c r="AK523" s="7">
        <v>0</v>
      </c>
      <c r="AL523" s="7">
        <v>0</v>
      </c>
      <c r="AM523" s="7">
        <v>0</v>
      </c>
      <c r="AN523" s="7">
        <v>0</v>
      </c>
      <c r="AO523" s="7">
        <v>0</v>
      </c>
      <c r="AP523" s="7">
        <v>0</v>
      </c>
      <c r="AQ523" s="7">
        <v>0</v>
      </c>
      <c r="AR523" s="7">
        <v>0</v>
      </c>
      <c r="AS523" s="7">
        <v>0</v>
      </c>
      <c r="AT523" s="7">
        <v>0</v>
      </c>
      <c r="AU523" s="7">
        <v>0</v>
      </c>
      <c r="AV523" s="7">
        <v>0</v>
      </c>
      <c r="AW523" s="7">
        <v>0</v>
      </c>
      <c r="AX523" s="7">
        <v>0</v>
      </c>
      <c r="AY523" s="7">
        <v>0</v>
      </c>
      <c r="AZ523" s="7">
        <v>0</v>
      </c>
      <c r="BA523" s="7">
        <v>0</v>
      </c>
      <c r="BB523" s="7">
        <v>0</v>
      </c>
      <c r="BC523" s="7">
        <v>0</v>
      </c>
      <c r="BD523">
        <v>0</v>
      </c>
      <c r="BE523">
        <v>31.32</v>
      </c>
      <c r="BF5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3" s="42" t="str">
        <f>+IF(AVANCE[[#This Row],[FECHA INICIO REAL]]="","",AVANCE[[#This Row],[FECHA INICIO REAL]]-AVANCE[[#This Row],[FECHA INICIO TEORICO]])</f>
        <v/>
      </c>
      <c r="BH5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4" spans="1:61" x14ac:dyDescent="0.25">
      <c r="A524" t="s">
        <v>1352</v>
      </c>
      <c r="B524" t="s">
        <v>1363</v>
      </c>
      <c r="C524">
        <v>2302600523</v>
      </c>
      <c r="D524" t="s">
        <v>834</v>
      </c>
      <c r="E524" s="4">
        <v>0</v>
      </c>
      <c r="F524" s="1">
        <v>46402</v>
      </c>
      <c r="G524" s="1"/>
      <c r="H524" s="1">
        <v>0</v>
      </c>
      <c r="I524" s="1">
        <v>46432</v>
      </c>
      <c r="J524">
        <v>46188</v>
      </c>
      <c r="K524" s="1"/>
      <c r="L524" s="7">
        <v>0</v>
      </c>
      <c r="M524" s="7">
        <v>0</v>
      </c>
      <c r="N524" s="7">
        <v>0</v>
      </c>
      <c r="O524" s="7">
        <v>0</v>
      </c>
      <c r="P524" s="7">
        <v>0</v>
      </c>
      <c r="Q524" s="7">
        <v>0</v>
      </c>
      <c r="R524" s="7">
        <v>0</v>
      </c>
      <c r="S524" s="7">
        <v>0</v>
      </c>
      <c r="T524" s="7">
        <v>0</v>
      </c>
      <c r="U524" s="7">
        <v>0</v>
      </c>
      <c r="V524" s="7">
        <v>0</v>
      </c>
      <c r="W524" s="7">
        <v>0</v>
      </c>
      <c r="X524" s="7">
        <v>0</v>
      </c>
      <c r="Y524" s="7">
        <v>0</v>
      </c>
      <c r="Z524" s="7">
        <v>0</v>
      </c>
      <c r="AA524" s="7">
        <v>0</v>
      </c>
      <c r="AB524" s="7">
        <v>0</v>
      </c>
      <c r="AC524" s="7">
        <v>0</v>
      </c>
      <c r="AD524" s="7">
        <v>0</v>
      </c>
      <c r="AE524" s="7">
        <v>0</v>
      </c>
      <c r="AF524" s="7">
        <v>0</v>
      </c>
      <c r="AG524" s="7">
        <v>0</v>
      </c>
      <c r="AH524" s="7">
        <v>0</v>
      </c>
      <c r="AI524" s="7">
        <v>0</v>
      </c>
      <c r="AJ524" s="7">
        <v>0</v>
      </c>
      <c r="AK524" s="7">
        <v>0</v>
      </c>
      <c r="AL524" s="7">
        <v>0</v>
      </c>
      <c r="AM524" s="7">
        <v>0</v>
      </c>
      <c r="AN524" s="7">
        <v>0</v>
      </c>
      <c r="AO524" s="7">
        <v>0</v>
      </c>
      <c r="AP524" s="7">
        <v>0</v>
      </c>
      <c r="AQ524" s="7">
        <v>0</v>
      </c>
      <c r="AR524" s="7">
        <v>0</v>
      </c>
      <c r="AS524" s="7">
        <v>0</v>
      </c>
      <c r="AT524" s="7">
        <v>0</v>
      </c>
      <c r="AU524" s="7">
        <v>0</v>
      </c>
      <c r="AV524" s="7">
        <v>0</v>
      </c>
      <c r="AW524" s="7">
        <v>0</v>
      </c>
      <c r="AX524" s="7">
        <v>0</v>
      </c>
      <c r="AY524" s="7">
        <v>0</v>
      </c>
      <c r="AZ524" s="7">
        <v>0</v>
      </c>
      <c r="BA524" s="7">
        <v>0</v>
      </c>
      <c r="BB524" s="7">
        <v>0</v>
      </c>
      <c r="BC524" s="7">
        <v>0</v>
      </c>
      <c r="BD524">
        <v>0</v>
      </c>
      <c r="BE524">
        <v>31.32</v>
      </c>
      <c r="BF5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4" s="42" t="str">
        <f>+IF(AVANCE[[#This Row],[FECHA INICIO REAL]]="","",AVANCE[[#This Row],[FECHA INICIO REAL]]-AVANCE[[#This Row],[FECHA INICIO TEORICO]])</f>
        <v/>
      </c>
      <c r="BH5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5" spans="1:61" x14ac:dyDescent="0.25">
      <c r="A525" t="s">
        <v>1352</v>
      </c>
      <c r="B525" t="s">
        <v>1364</v>
      </c>
      <c r="C525">
        <v>2282600524</v>
      </c>
      <c r="D525" t="s">
        <v>833</v>
      </c>
      <c r="E525" s="4">
        <v>0</v>
      </c>
      <c r="F525" s="1">
        <v>46405</v>
      </c>
      <c r="G525" s="1"/>
      <c r="H525" s="1">
        <v>0</v>
      </c>
      <c r="I525" s="1">
        <v>46425</v>
      </c>
      <c r="J525">
        <v>46188</v>
      </c>
      <c r="K525" s="1"/>
      <c r="L525" s="7">
        <v>0</v>
      </c>
      <c r="M525" s="7">
        <v>0</v>
      </c>
      <c r="N525" s="7">
        <v>0</v>
      </c>
      <c r="O525" s="7">
        <v>0</v>
      </c>
      <c r="P525" s="7">
        <v>0</v>
      </c>
      <c r="Q525" s="7">
        <v>0</v>
      </c>
      <c r="R525" s="7">
        <v>0</v>
      </c>
      <c r="S525" s="7">
        <v>0</v>
      </c>
      <c r="T525" s="7">
        <v>0</v>
      </c>
      <c r="U525" s="7">
        <v>0</v>
      </c>
      <c r="V525" s="7">
        <v>0</v>
      </c>
      <c r="W525" s="7">
        <v>0</v>
      </c>
      <c r="X525" s="7">
        <v>0</v>
      </c>
      <c r="Y525" s="7">
        <v>0</v>
      </c>
      <c r="Z525" s="7">
        <v>0</v>
      </c>
      <c r="AA525" s="7">
        <v>0</v>
      </c>
      <c r="AB525" s="7">
        <v>0</v>
      </c>
      <c r="AC525" s="7">
        <v>0</v>
      </c>
      <c r="AD525" s="7">
        <v>0</v>
      </c>
      <c r="AE525" s="7">
        <v>0</v>
      </c>
      <c r="AF525" s="7">
        <v>0</v>
      </c>
      <c r="AG525" s="7">
        <v>0</v>
      </c>
      <c r="AH525" s="7">
        <v>0</v>
      </c>
      <c r="AI525" s="7">
        <v>0</v>
      </c>
      <c r="AJ525" s="7">
        <v>0</v>
      </c>
      <c r="AK525" s="7">
        <v>0</v>
      </c>
      <c r="AL525" s="7">
        <v>0</v>
      </c>
      <c r="AM525" s="7">
        <v>0</v>
      </c>
      <c r="AN525" s="7">
        <v>0</v>
      </c>
      <c r="AO525" s="7">
        <v>0</v>
      </c>
      <c r="AP525" s="7">
        <v>0</v>
      </c>
      <c r="AQ525" s="7">
        <v>0</v>
      </c>
      <c r="AR525" s="7">
        <v>0</v>
      </c>
      <c r="AS525" s="7">
        <v>0</v>
      </c>
      <c r="AT525" s="7">
        <v>0</v>
      </c>
      <c r="AU525" s="7">
        <v>0</v>
      </c>
      <c r="AV525" s="7">
        <v>0</v>
      </c>
      <c r="AW525" s="7">
        <v>0</v>
      </c>
      <c r="AX525" s="7">
        <v>0</v>
      </c>
      <c r="AY525" s="7">
        <v>0</v>
      </c>
      <c r="AZ525" s="7">
        <v>0</v>
      </c>
      <c r="BA525" s="7">
        <v>0</v>
      </c>
      <c r="BB525" s="7">
        <v>0</v>
      </c>
      <c r="BC525" s="7">
        <v>0</v>
      </c>
      <c r="BD525">
        <v>0</v>
      </c>
      <c r="BE525">
        <v>28.87</v>
      </c>
      <c r="BF5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5" s="42" t="str">
        <f>+IF(AVANCE[[#This Row],[FECHA INICIO REAL]]="","",AVANCE[[#This Row],[FECHA INICIO REAL]]-AVANCE[[#This Row],[FECHA INICIO TEORICO]])</f>
        <v/>
      </c>
      <c r="BH5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6" spans="1:61" x14ac:dyDescent="0.25">
      <c r="A526" t="s">
        <v>1352</v>
      </c>
      <c r="B526" t="s">
        <v>1365</v>
      </c>
      <c r="C526">
        <v>2282600525</v>
      </c>
      <c r="D526" t="s">
        <v>833</v>
      </c>
      <c r="E526" s="4">
        <v>0</v>
      </c>
      <c r="F526" s="1">
        <v>46405</v>
      </c>
      <c r="G526" s="1"/>
      <c r="H526" s="1">
        <v>0</v>
      </c>
      <c r="I526" s="1">
        <v>46425</v>
      </c>
      <c r="J526">
        <v>46188</v>
      </c>
      <c r="K526" s="1"/>
      <c r="L526" s="7">
        <v>0</v>
      </c>
      <c r="M526" s="7">
        <v>0</v>
      </c>
      <c r="N526" s="7">
        <v>0</v>
      </c>
      <c r="O526" s="7">
        <v>0</v>
      </c>
      <c r="P526" s="7">
        <v>0</v>
      </c>
      <c r="Q526" s="7">
        <v>0</v>
      </c>
      <c r="R526" s="7">
        <v>0</v>
      </c>
      <c r="S526" s="7">
        <v>0</v>
      </c>
      <c r="T526" s="7">
        <v>0</v>
      </c>
      <c r="U526" s="7">
        <v>0</v>
      </c>
      <c r="V526" s="7">
        <v>0</v>
      </c>
      <c r="W526" s="7">
        <v>0</v>
      </c>
      <c r="X526" s="7">
        <v>0</v>
      </c>
      <c r="Y526" s="7">
        <v>0</v>
      </c>
      <c r="Z526" s="7">
        <v>0</v>
      </c>
      <c r="AA526" s="7">
        <v>0</v>
      </c>
      <c r="AB526" s="7">
        <v>0</v>
      </c>
      <c r="AC526" s="7">
        <v>0</v>
      </c>
      <c r="AD526" s="7">
        <v>0</v>
      </c>
      <c r="AE526" s="7">
        <v>0</v>
      </c>
      <c r="AF526" s="7">
        <v>0</v>
      </c>
      <c r="AG526" s="7">
        <v>0</v>
      </c>
      <c r="AH526" s="7">
        <v>0</v>
      </c>
      <c r="AI526" s="7">
        <v>0</v>
      </c>
      <c r="AJ526" s="7">
        <v>0</v>
      </c>
      <c r="AK526" s="7">
        <v>0</v>
      </c>
      <c r="AL526" s="7">
        <v>0</v>
      </c>
      <c r="AM526" s="7">
        <v>0</v>
      </c>
      <c r="AN526" s="7">
        <v>0</v>
      </c>
      <c r="AO526" s="7">
        <v>0</v>
      </c>
      <c r="AP526" s="7">
        <v>0</v>
      </c>
      <c r="AQ526" s="7">
        <v>0</v>
      </c>
      <c r="AR526" s="7">
        <v>0</v>
      </c>
      <c r="AS526" s="7">
        <v>0</v>
      </c>
      <c r="AT526" s="7">
        <v>0</v>
      </c>
      <c r="AU526" s="7">
        <v>0</v>
      </c>
      <c r="AV526" s="7">
        <v>0</v>
      </c>
      <c r="AW526" s="7">
        <v>0</v>
      </c>
      <c r="AX526" s="7">
        <v>0</v>
      </c>
      <c r="AY526" s="7">
        <v>0</v>
      </c>
      <c r="AZ526" s="7">
        <v>0</v>
      </c>
      <c r="BA526" s="7">
        <v>0</v>
      </c>
      <c r="BB526" s="7">
        <v>0</v>
      </c>
      <c r="BC526" s="7">
        <v>0</v>
      </c>
      <c r="BD526">
        <v>0</v>
      </c>
      <c r="BE526">
        <v>28.87</v>
      </c>
      <c r="BF5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6" s="42" t="str">
        <f>+IF(AVANCE[[#This Row],[FECHA INICIO REAL]]="","",AVANCE[[#This Row],[FECHA INICIO REAL]]-AVANCE[[#This Row],[FECHA INICIO TEORICO]])</f>
        <v/>
      </c>
      <c r="BH5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7" spans="1:61" x14ac:dyDescent="0.25">
      <c r="A527" t="s">
        <v>1352</v>
      </c>
      <c r="B527" t="s">
        <v>1366</v>
      </c>
      <c r="C527">
        <v>2302600526</v>
      </c>
      <c r="D527" t="s">
        <v>834</v>
      </c>
      <c r="E527" s="4">
        <v>0</v>
      </c>
      <c r="F527" s="1">
        <v>46405</v>
      </c>
      <c r="G527" s="1"/>
      <c r="H527" s="1">
        <v>0</v>
      </c>
      <c r="I527" s="1">
        <v>46435</v>
      </c>
      <c r="J527">
        <v>46188</v>
      </c>
      <c r="K527" s="1"/>
      <c r="L527" s="7">
        <v>0</v>
      </c>
      <c r="M527" s="7">
        <v>0</v>
      </c>
      <c r="N527" s="7">
        <v>0</v>
      </c>
      <c r="O527" s="7">
        <v>0</v>
      </c>
      <c r="P527" s="7">
        <v>0</v>
      </c>
      <c r="Q527" s="7">
        <v>0</v>
      </c>
      <c r="R527" s="7">
        <v>0</v>
      </c>
      <c r="S527" s="7">
        <v>0</v>
      </c>
      <c r="T527" s="7">
        <v>0</v>
      </c>
      <c r="U527" s="7">
        <v>0</v>
      </c>
      <c r="V527" s="7">
        <v>0</v>
      </c>
      <c r="W527" s="7">
        <v>0</v>
      </c>
      <c r="X527" s="7">
        <v>0</v>
      </c>
      <c r="Y527" s="7">
        <v>0</v>
      </c>
      <c r="Z527" s="7">
        <v>0</v>
      </c>
      <c r="AA527" s="7">
        <v>0</v>
      </c>
      <c r="AB527" s="7">
        <v>0</v>
      </c>
      <c r="AC527" s="7">
        <v>0</v>
      </c>
      <c r="AD527" s="7">
        <v>0</v>
      </c>
      <c r="AE527" s="7">
        <v>0</v>
      </c>
      <c r="AF527" s="7">
        <v>0</v>
      </c>
      <c r="AG527" s="7">
        <v>0</v>
      </c>
      <c r="AH527" s="7">
        <v>0</v>
      </c>
      <c r="AI527" s="7">
        <v>0</v>
      </c>
      <c r="AJ527" s="7">
        <v>0</v>
      </c>
      <c r="AK527" s="7">
        <v>0</v>
      </c>
      <c r="AL527" s="7">
        <v>0</v>
      </c>
      <c r="AM527" s="7">
        <v>0</v>
      </c>
      <c r="AN527" s="7">
        <v>0</v>
      </c>
      <c r="AO527" s="7">
        <v>0</v>
      </c>
      <c r="AP527" s="7">
        <v>0</v>
      </c>
      <c r="AQ527" s="7">
        <v>0</v>
      </c>
      <c r="AR527" s="7">
        <v>0</v>
      </c>
      <c r="AS527" s="7">
        <v>0</v>
      </c>
      <c r="AT527" s="7">
        <v>0</v>
      </c>
      <c r="AU527" s="7">
        <v>0</v>
      </c>
      <c r="AV527" s="7">
        <v>0</v>
      </c>
      <c r="AW527" s="7">
        <v>0</v>
      </c>
      <c r="AX527" s="7">
        <v>0</v>
      </c>
      <c r="AY527" s="7">
        <v>0</v>
      </c>
      <c r="AZ527" s="7">
        <v>0</v>
      </c>
      <c r="BA527" s="7">
        <v>0</v>
      </c>
      <c r="BB527" s="7">
        <v>0</v>
      </c>
      <c r="BC527" s="7">
        <v>0</v>
      </c>
      <c r="BD527">
        <v>0</v>
      </c>
      <c r="BE527">
        <v>31.32</v>
      </c>
      <c r="BF5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7" s="42" t="str">
        <f>+IF(AVANCE[[#This Row],[FECHA INICIO REAL]]="","",AVANCE[[#This Row],[FECHA INICIO REAL]]-AVANCE[[#This Row],[FECHA INICIO TEORICO]])</f>
        <v/>
      </c>
      <c r="BH5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8" spans="1:61" x14ac:dyDescent="0.25">
      <c r="A528" t="s">
        <v>1352</v>
      </c>
      <c r="B528" t="s">
        <v>1367</v>
      </c>
      <c r="C528">
        <v>2302600527</v>
      </c>
      <c r="D528" t="s">
        <v>834</v>
      </c>
      <c r="E528" s="4">
        <v>0</v>
      </c>
      <c r="F528" s="1">
        <v>46406</v>
      </c>
      <c r="G528" s="1"/>
      <c r="H528" s="1">
        <v>0</v>
      </c>
      <c r="I528" s="1">
        <v>46436</v>
      </c>
      <c r="J528">
        <v>46188</v>
      </c>
      <c r="K528" s="1"/>
      <c r="L528" s="7">
        <v>0</v>
      </c>
      <c r="M528" s="7">
        <v>0</v>
      </c>
      <c r="N528" s="7">
        <v>0</v>
      </c>
      <c r="O528" s="7">
        <v>0</v>
      </c>
      <c r="P528" s="7">
        <v>0</v>
      </c>
      <c r="Q528" s="7">
        <v>0</v>
      </c>
      <c r="R528" s="7">
        <v>0</v>
      </c>
      <c r="S528" s="7">
        <v>0</v>
      </c>
      <c r="T528" s="7">
        <v>0</v>
      </c>
      <c r="U528" s="7">
        <v>0</v>
      </c>
      <c r="V528" s="7">
        <v>0</v>
      </c>
      <c r="W528" s="7">
        <v>0</v>
      </c>
      <c r="X528" s="7">
        <v>0</v>
      </c>
      <c r="Y528" s="7">
        <v>0</v>
      </c>
      <c r="Z528" s="7">
        <v>0</v>
      </c>
      <c r="AA528" s="7">
        <v>0</v>
      </c>
      <c r="AB528" s="7">
        <v>0</v>
      </c>
      <c r="AC528" s="7">
        <v>0</v>
      </c>
      <c r="AD528" s="7">
        <v>0</v>
      </c>
      <c r="AE528" s="7">
        <v>0</v>
      </c>
      <c r="AF528" s="7">
        <v>0</v>
      </c>
      <c r="AG528" s="7">
        <v>0</v>
      </c>
      <c r="AH528" s="7">
        <v>0</v>
      </c>
      <c r="AI528" s="7">
        <v>0</v>
      </c>
      <c r="AJ528" s="7">
        <v>0</v>
      </c>
      <c r="AK528" s="7">
        <v>0</v>
      </c>
      <c r="AL528" s="7">
        <v>0</v>
      </c>
      <c r="AM528" s="7">
        <v>0</v>
      </c>
      <c r="AN528" s="7">
        <v>0</v>
      </c>
      <c r="AO528" s="7">
        <v>0</v>
      </c>
      <c r="AP528" s="7">
        <v>0</v>
      </c>
      <c r="AQ528" s="7">
        <v>0</v>
      </c>
      <c r="AR528" s="7">
        <v>0</v>
      </c>
      <c r="AS528" s="7">
        <v>0</v>
      </c>
      <c r="AT528" s="7">
        <v>0</v>
      </c>
      <c r="AU528" s="7">
        <v>0</v>
      </c>
      <c r="AV528" s="7">
        <v>0</v>
      </c>
      <c r="AW528" s="7">
        <v>0</v>
      </c>
      <c r="AX528" s="7">
        <v>0</v>
      </c>
      <c r="AY528" s="7">
        <v>0</v>
      </c>
      <c r="AZ528" s="7">
        <v>0</v>
      </c>
      <c r="BA528" s="7">
        <v>0</v>
      </c>
      <c r="BB528" s="7">
        <v>0</v>
      </c>
      <c r="BC528" s="7">
        <v>0</v>
      </c>
      <c r="BD528">
        <v>0</v>
      </c>
      <c r="BE528">
        <v>31.32</v>
      </c>
      <c r="BF5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8" s="42" t="str">
        <f>+IF(AVANCE[[#This Row],[FECHA INICIO REAL]]="","",AVANCE[[#This Row],[FECHA INICIO REAL]]-AVANCE[[#This Row],[FECHA INICIO TEORICO]])</f>
        <v/>
      </c>
      <c r="BH5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9" spans="1:61" x14ac:dyDescent="0.25">
      <c r="A529" t="s">
        <v>1352</v>
      </c>
      <c r="B529" t="s">
        <v>1368</v>
      </c>
      <c r="C529">
        <v>2282600528</v>
      </c>
      <c r="D529" t="s">
        <v>833</v>
      </c>
      <c r="E529" s="4">
        <v>0</v>
      </c>
      <c r="F529" s="1">
        <v>46406</v>
      </c>
      <c r="G529" s="1"/>
      <c r="H529" s="1">
        <v>0</v>
      </c>
      <c r="I529" s="1">
        <v>46426</v>
      </c>
      <c r="J529">
        <v>46188</v>
      </c>
      <c r="K529" s="1"/>
      <c r="L529" s="7">
        <v>0</v>
      </c>
      <c r="M529" s="7">
        <v>0</v>
      </c>
      <c r="N529" s="7">
        <v>0</v>
      </c>
      <c r="O529" s="7">
        <v>0</v>
      </c>
      <c r="P529" s="7">
        <v>0</v>
      </c>
      <c r="Q529" s="7">
        <v>0</v>
      </c>
      <c r="R529" s="7">
        <v>0</v>
      </c>
      <c r="S529" s="7">
        <v>0</v>
      </c>
      <c r="T529" s="7">
        <v>0</v>
      </c>
      <c r="U529" s="7">
        <v>0</v>
      </c>
      <c r="V529" s="7">
        <v>0</v>
      </c>
      <c r="W529" s="7">
        <v>0</v>
      </c>
      <c r="X529" s="7">
        <v>0</v>
      </c>
      <c r="Y529" s="7">
        <v>0</v>
      </c>
      <c r="Z529" s="7">
        <v>0</v>
      </c>
      <c r="AA529" s="7">
        <v>0</v>
      </c>
      <c r="AB529" s="7">
        <v>0</v>
      </c>
      <c r="AC529" s="7">
        <v>0</v>
      </c>
      <c r="AD529" s="7">
        <v>0</v>
      </c>
      <c r="AE529" s="7">
        <v>0</v>
      </c>
      <c r="AF529" s="7">
        <v>0</v>
      </c>
      <c r="AG529" s="7">
        <v>0</v>
      </c>
      <c r="AH529" s="7">
        <v>0</v>
      </c>
      <c r="AI529" s="7">
        <v>0</v>
      </c>
      <c r="AJ529" s="7">
        <v>0</v>
      </c>
      <c r="AK529" s="7">
        <v>0</v>
      </c>
      <c r="AL529" s="7">
        <v>0</v>
      </c>
      <c r="AM529" s="7">
        <v>0</v>
      </c>
      <c r="AN529" s="7">
        <v>0</v>
      </c>
      <c r="AO529" s="7">
        <v>0</v>
      </c>
      <c r="AP529" s="7">
        <v>0</v>
      </c>
      <c r="AQ529" s="7">
        <v>0</v>
      </c>
      <c r="AR529" s="7">
        <v>0</v>
      </c>
      <c r="AS529" s="7">
        <v>0</v>
      </c>
      <c r="AT529" s="7">
        <v>0</v>
      </c>
      <c r="AU529" s="7">
        <v>0</v>
      </c>
      <c r="AV529" s="7">
        <v>0</v>
      </c>
      <c r="AW529" s="7">
        <v>0</v>
      </c>
      <c r="AX529" s="7">
        <v>0</v>
      </c>
      <c r="AY529" s="7">
        <v>0</v>
      </c>
      <c r="AZ529" s="7">
        <v>0</v>
      </c>
      <c r="BA529" s="7">
        <v>0</v>
      </c>
      <c r="BB529" s="7">
        <v>0</v>
      </c>
      <c r="BC529" s="7">
        <v>0</v>
      </c>
      <c r="BD529">
        <v>0</v>
      </c>
      <c r="BE529">
        <v>28.87</v>
      </c>
      <c r="BF5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9" s="42" t="str">
        <f>+IF(AVANCE[[#This Row],[FECHA INICIO REAL]]="","",AVANCE[[#This Row],[FECHA INICIO REAL]]-AVANCE[[#This Row],[FECHA INICIO TEORICO]])</f>
        <v/>
      </c>
      <c r="BH5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0" spans="1:61" x14ac:dyDescent="0.25">
      <c r="A530" t="s">
        <v>1352</v>
      </c>
      <c r="B530" t="s">
        <v>1369</v>
      </c>
      <c r="C530">
        <v>2282600529</v>
      </c>
      <c r="D530" t="s">
        <v>833</v>
      </c>
      <c r="E530" s="4">
        <v>0</v>
      </c>
      <c r="F530" s="1">
        <v>46406</v>
      </c>
      <c r="G530" s="1"/>
      <c r="H530" s="1">
        <v>0</v>
      </c>
      <c r="I530" s="1">
        <v>46426</v>
      </c>
      <c r="J530">
        <v>46188</v>
      </c>
      <c r="K530" s="1"/>
      <c r="L530" s="7">
        <v>0</v>
      </c>
      <c r="M530" s="7">
        <v>0</v>
      </c>
      <c r="N530" s="7">
        <v>0</v>
      </c>
      <c r="O530" s="7">
        <v>0</v>
      </c>
      <c r="P530" s="7">
        <v>0</v>
      </c>
      <c r="Q530" s="7">
        <v>0</v>
      </c>
      <c r="R530" s="7">
        <v>0</v>
      </c>
      <c r="S530" s="7">
        <v>0</v>
      </c>
      <c r="T530" s="7">
        <v>0</v>
      </c>
      <c r="U530" s="7">
        <v>0</v>
      </c>
      <c r="V530" s="7">
        <v>0</v>
      </c>
      <c r="W530" s="7">
        <v>0</v>
      </c>
      <c r="X530" s="7">
        <v>0</v>
      </c>
      <c r="Y530" s="7">
        <v>0</v>
      </c>
      <c r="Z530" s="7">
        <v>0</v>
      </c>
      <c r="AA530" s="7">
        <v>0</v>
      </c>
      <c r="AB530" s="7">
        <v>0</v>
      </c>
      <c r="AC530" s="7">
        <v>0</v>
      </c>
      <c r="AD530" s="7">
        <v>0</v>
      </c>
      <c r="AE530" s="7">
        <v>0</v>
      </c>
      <c r="AF530" s="7">
        <v>0</v>
      </c>
      <c r="AG530" s="7">
        <v>0</v>
      </c>
      <c r="AH530" s="7">
        <v>0</v>
      </c>
      <c r="AI530" s="7">
        <v>0</v>
      </c>
      <c r="AJ530" s="7">
        <v>0</v>
      </c>
      <c r="AK530" s="7">
        <v>0</v>
      </c>
      <c r="AL530" s="7">
        <v>0</v>
      </c>
      <c r="AM530" s="7">
        <v>0</v>
      </c>
      <c r="AN530" s="7">
        <v>0</v>
      </c>
      <c r="AO530" s="7">
        <v>0</v>
      </c>
      <c r="AP530" s="7">
        <v>0</v>
      </c>
      <c r="AQ530" s="7">
        <v>0</v>
      </c>
      <c r="AR530" s="7">
        <v>0</v>
      </c>
      <c r="AS530" s="7">
        <v>0</v>
      </c>
      <c r="AT530" s="7">
        <v>0</v>
      </c>
      <c r="AU530" s="7">
        <v>0</v>
      </c>
      <c r="AV530" s="7">
        <v>0</v>
      </c>
      <c r="AW530" s="7">
        <v>0</v>
      </c>
      <c r="AX530" s="7">
        <v>0</v>
      </c>
      <c r="AY530" s="7">
        <v>0</v>
      </c>
      <c r="AZ530" s="7">
        <v>0</v>
      </c>
      <c r="BA530" s="7">
        <v>0</v>
      </c>
      <c r="BB530" s="7">
        <v>0</v>
      </c>
      <c r="BC530" s="7">
        <v>0</v>
      </c>
      <c r="BD530">
        <v>0</v>
      </c>
      <c r="BE530">
        <v>28.87</v>
      </c>
      <c r="BF5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0" s="42" t="str">
        <f>+IF(AVANCE[[#This Row],[FECHA INICIO REAL]]="","",AVANCE[[#This Row],[FECHA INICIO REAL]]-AVANCE[[#This Row],[FECHA INICIO TEORICO]])</f>
        <v/>
      </c>
      <c r="BH5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1" spans="1:61" x14ac:dyDescent="0.25">
      <c r="A531" t="s">
        <v>1352</v>
      </c>
      <c r="B531" t="s">
        <v>1370</v>
      </c>
      <c r="C531">
        <v>2302600530</v>
      </c>
      <c r="D531" t="s">
        <v>834</v>
      </c>
      <c r="E531" s="4">
        <v>0</v>
      </c>
      <c r="F531" s="1">
        <v>46407</v>
      </c>
      <c r="G531" s="1"/>
      <c r="H531" s="1">
        <v>0</v>
      </c>
      <c r="I531" s="1">
        <v>46437</v>
      </c>
      <c r="J531">
        <v>46188</v>
      </c>
      <c r="K531" s="1"/>
      <c r="L531" s="7">
        <v>0</v>
      </c>
      <c r="M531" s="7">
        <v>0</v>
      </c>
      <c r="N531" s="7">
        <v>0</v>
      </c>
      <c r="O531" s="7">
        <v>0</v>
      </c>
      <c r="P531" s="7">
        <v>0</v>
      </c>
      <c r="Q531" s="7">
        <v>0</v>
      </c>
      <c r="R531" s="7">
        <v>0</v>
      </c>
      <c r="S531" s="7">
        <v>0</v>
      </c>
      <c r="T531" s="7">
        <v>0</v>
      </c>
      <c r="U531" s="7">
        <v>0</v>
      </c>
      <c r="V531" s="7">
        <v>0</v>
      </c>
      <c r="W531" s="7">
        <v>0</v>
      </c>
      <c r="X531" s="7">
        <v>0</v>
      </c>
      <c r="Y531" s="7">
        <v>0</v>
      </c>
      <c r="Z531" s="7">
        <v>0</v>
      </c>
      <c r="AA531" s="7">
        <v>0</v>
      </c>
      <c r="AB531" s="7">
        <v>0</v>
      </c>
      <c r="AC531" s="7">
        <v>0</v>
      </c>
      <c r="AD531" s="7">
        <v>0</v>
      </c>
      <c r="AE531" s="7">
        <v>0</v>
      </c>
      <c r="AF531" s="7">
        <v>0</v>
      </c>
      <c r="AG531" s="7">
        <v>0</v>
      </c>
      <c r="AH531" s="7">
        <v>0</v>
      </c>
      <c r="AI531" s="7">
        <v>0</v>
      </c>
      <c r="AJ531" s="7">
        <v>0</v>
      </c>
      <c r="AK531" s="7">
        <v>0</v>
      </c>
      <c r="AL531" s="7">
        <v>0</v>
      </c>
      <c r="AM531" s="7">
        <v>0</v>
      </c>
      <c r="AN531" s="7">
        <v>0</v>
      </c>
      <c r="AO531" s="7">
        <v>0</v>
      </c>
      <c r="AP531" s="7">
        <v>0</v>
      </c>
      <c r="AQ531" s="7">
        <v>0</v>
      </c>
      <c r="AR531" s="7">
        <v>0</v>
      </c>
      <c r="AS531" s="7">
        <v>0</v>
      </c>
      <c r="AT531" s="7">
        <v>0</v>
      </c>
      <c r="AU531" s="7">
        <v>0</v>
      </c>
      <c r="AV531" s="7">
        <v>0</v>
      </c>
      <c r="AW531" s="7">
        <v>0</v>
      </c>
      <c r="AX531" s="7">
        <v>0</v>
      </c>
      <c r="AY531" s="7">
        <v>0</v>
      </c>
      <c r="AZ531" s="7">
        <v>0</v>
      </c>
      <c r="BA531" s="7">
        <v>0</v>
      </c>
      <c r="BB531" s="7">
        <v>0</v>
      </c>
      <c r="BC531" s="7">
        <v>0</v>
      </c>
      <c r="BD531">
        <v>0</v>
      </c>
      <c r="BE531">
        <v>31.32</v>
      </c>
      <c r="BF5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1" s="42" t="str">
        <f>+IF(AVANCE[[#This Row],[FECHA INICIO REAL]]="","",AVANCE[[#This Row],[FECHA INICIO REAL]]-AVANCE[[#This Row],[FECHA INICIO TEORICO]])</f>
        <v/>
      </c>
      <c r="BH5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2" spans="1:61" x14ac:dyDescent="0.25">
      <c r="A532" t="s">
        <v>1352</v>
      </c>
      <c r="B532" t="s">
        <v>1371</v>
      </c>
      <c r="C532">
        <v>2302600531</v>
      </c>
      <c r="D532" t="s">
        <v>834</v>
      </c>
      <c r="E532" s="4">
        <v>0</v>
      </c>
      <c r="F532" s="1">
        <v>46407</v>
      </c>
      <c r="G532" s="1"/>
      <c r="H532" s="1">
        <v>0</v>
      </c>
      <c r="I532" s="1">
        <v>46437</v>
      </c>
      <c r="J532">
        <v>46188</v>
      </c>
      <c r="K532" s="1"/>
      <c r="L532" s="7">
        <v>0</v>
      </c>
      <c r="M532" s="7">
        <v>0</v>
      </c>
      <c r="N532" s="7">
        <v>0</v>
      </c>
      <c r="O532" s="7">
        <v>0</v>
      </c>
      <c r="P532" s="7">
        <v>0</v>
      </c>
      <c r="Q532" s="7">
        <v>0</v>
      </c>
      <c r="R532" s="7">
        <v>0</v>
      </c>
      <c r="S532" s="7">
        <v>0</v>
      </c>
      <c r="T532" s="7">
        <v>0</v>
      </c>
      <c r="U532" s="7">
        <v>0</v>
      </c>
      <c r="V532" s="7">
        <v>0</v>
      </c>
      <c r="W532" s="7">
        <v>0</v>
      </c>
      <c r="X532" s="7">
        <v>0</v>
      </c>
      <c r="Y532" s="7">
        <v>0</v>
      </c>
      <c r="Z532" s="7">
        <v>0</v>
      </c>
      <c r="AA532" s="7">
        <v>0</v>
      </c>
      <c r="AB532" s="7">
        <v>0</v>
      </c>
      <c r="AC532" s="7">
        <v>0</v>
      </c>
      <c r="AD532" s="7">
        <v>0</v>
      </c>
      <c r="AE532" s="7">
        <v>0</v>
      </c>
      <c r="AF532" s="7">
        <v>0</v>
      </c>
      <c r="AG532" s="7">
        <v>0</v>
      </c>
      <c r="AH532" s="7">
        <v>0</v>
      </c>
      <c r="AI532" s="7">
        <v>0</v>
      </c>
      <c r="AJ532" s="7">
        <v>0</v>
      </c>
      <c r="AK532" s="7">
        <v>0</v>
      </c>
      <c r="AL532" s="7">
        <v>0</v>
      </c>
      <c r="AM532" s="7">
        <v>0</v>
      </c>
      <c r="AN532" s="7">
        <v>0</v>
      </c>
      <c r="AO532" s="7">
        <v>0</v>
      </c>
      <c r="AP532" s="7">
        <v>0</v>
      </c>
      <c r="AQ532" s="7">
        <v>0</v>
      </c>
      <c r="AR532" s="7">
        <v>0</v>
      </c>
      <c r="AS532" s="7">
        <v>0</v>
      </c>
      <c r="AT532" s="7">
        <v>0</v>
      </c>
      <c r="AU532" s="7">
        <v>0</v>
      </c>
      <c r="AV532" s="7">
        <v>0</v>
      </c>
      <c r="AW532" s="7">
        <v>0</v>
      </c>
      <c r="AX532" s="7">
        <v>0</v>
      </c>
      <c r="AY532" s="7">
        <v>0</v>
      </c>
      <c r="AZ532" s="7">
        <v>0</v>
      </c>
      <c r="BA532" s="7">
        <v>0</v>
      </c>
      <c r="BB532" s="7">
        <v>0</v>
      </c>
      <c r="BC532" s="7">
        <v>0</v>
      </c>
      <c r="BD532">
        <v>0</v>
      </c>
      <c r="BE532">
        <v>31.32</v>
      </c>
      <c r="BF5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2" s="42" t="str">
        <f>+IF(AVANCE[[#This Row],[FECHA INICIO REAL]]="","",AVANCE[[#This Row],[FECHA INICIO REAL]]-AVANCE[[#This Row],[FECHA INICIO TEORICO]])</f>
        <v/>
      </c>
      <c r="BH5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3" spans="1:61" x14ac:dyDescent="0.25">
      <c r="A533" t="s">
        <v>1352</v>
      </c>
      <c r="B533" t="s">
        <v>1372</v>
      </c>
      <c r="C533">
        <v>2282600532</v>
      </c>
      <c r="D533" t="s">
        <v>833</v>
      </c>
      <c r="E533" s="4">
        <v>0</v>
      </c>
      <c r="F533" s="1">
        <v>46407</v>
      </c>
      <c r="G533" s="1"/>
      <c r="H533" s="1">
        <v>0</v>
      </c>
      <c r="I533" s="1">
        <v>46427</v>
      </c>
      <c r="J533">
        <v>46188</v>
      </c>
      <c r="K533" s="1"/>
      <c r="L533" s="7">
        <v>0</v>
      </c>
      <c r="M533" s="7">
        <v>0</v>
      </c>
      <c r="N533" s="7">
        <v>0</v>
      </c>
      <c r="O533" s="7">
        <v>0</v>
      </c>
      <c r="P533" s="7">
        <v>0</v>
      </c>
      <c r="Q533" s="7">
        <v>0</v>
      </c>
      <c r="R533" s="7">
        <v>0</v>
      </c>
      <c r="S533" s="7">
        <v>0</v>
      </c>
      <c r="T533" s="7">
        <v>0</v>
      </c>
      <c r="U533" s="7">
        <v>0</v>
      </c>
      <c r="V533" s="7">
        <v>0</v>
      </c>
      <c r="W533" s="7">
        <v>0</v>
      </c>
      <c r="X533" s="7">
        <v>0</v>
      </c>
      <c r="Y533" s="7">
        <v>0</v>
      </c>
      <c r="Z533" s="7">
        <v>0</v>
      </c>
      <c r="AA533" s="7">
        <v>0</v>
      </c>
      <c r="AB533" s="7">
        <v>0</v>
      </c>
      <c r="AC533" s="7">
        <v>0</v>
      </c>
      <c r="AD533" s="7">
        <v>0</v>
      </c>
      <c r="AE533" s="7">
        <v>0</v>
      </c>
      <c r="AF533" s="7">
        <v>0</v>
      </c>
      <c r="AG533" s="7">
        <v>0</v>
      </c>
      <c r="AH533" s="7">
        <v>0</v>
      </c>
      <c r="AI533" s="7">
        <v>0</v>
      </c>
      <c r="AJ533" s="7">
        <v>0</v>
      </c>
      <c r="AK533" s="7">
        <v>0</v>
      </c>
      <c r="AL533" s="7">
        <v>0</v>
      </c>
      <c r="AM533" s="7">
        <v>0</v>
      </c>
      <c r="AN533" s="7">
        <v>0</v>
      </c>
      <c r="AO533" s="7">
        <v>0</v>
      </c>
      <c r="AP533" s="7">
        <v>0</v>
      </c>
      <c r="AQ533" s="7">
        <v>0</v>
      </c>
      <c r="AR533" s="7">
        <v>0</v>
      </c>
      <c r="AS533" s="7">
        <v>0</v>
      </c>
      <c r="AT533" s="7">
        <v>0</v>
      </c>
      <c r="AU533" s="7">
        <v>0</v>
      </c>
      <c r="AV533" s="7">
        <v>0</v>
      </c>
      <c r="AW533" s="7">
        <v>0</v>
      </c>
      <c r="AX533" s="7">
        <v>0</v>
      </c>
      <c r="AY533" s="7">
        <v>0</v>
      </c>
      <c r="AZ533" s="7">
        <v>0</v>
      </c>
      <c r="BA533" s="7">
        <v>0</v>
      </c>
      <c r="BB533" s="7">
        <v>0</v>
      </c>
      <c r="BC533" s="7">
        <v>0</v>
      </c>
      <c r="BD533">
        <v>0</v>
      </c>
      <c r="BE533">
        <v>28.87</v>
      </c>
      <c r="BF5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3" s="42" t="str">
        <f>+IF(AVANCE[[#This Row],[FECHA INICIO REAL]]="","",AVANCE[[#This Row],[FECHA INICIO REAL]]-AVANCE[[#This Row],[FECHA INICIO TEORICO]])</f>
        <v/>
      </c>
      <c r="BH5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4" spans="1:61" x14ac:dyDescent="0.25">
      <c r="A534" t="s">
        <v>1352</v>
      </c>
      <c r="B534" t="s">
        <v>1373</v>
      </c>
      <c r="C534">
        <v>2282600533</v>
      </c>
      <c r="D534" t="s">
        <v>833</v>
      </c>
      <c r="E534" s="4">
        <v>0</v>
      </c>
      <c r="F534" s="1">
        <v>46408</v>
      </c>
      <c r="G534" s="1"/>
      <c r="H534" s="1">
        <v>0</v>
      </c>
      <c r="I534" s="1">
        <v>46428</v>
      </c>
      <c r="J534">
        <v>46188</v>
      </c>
      <c r="K534" s="1"/>
      <c r="L534" s="7">
        <v>0</v>
      </c>
      <c r="M534" s="7">
        <v>0</v>
      </c>
      <c r="N534" s="7">
        <v>0</v>
      </c>
      <c r="O534" s="7">
        <v>0</v>
      </c>
      <c r="P534" s="7">
        <v>0</v>
      </c>
      <c r="Q534" s="7">
        <v>0</v>
      </c>
      <c r="R534" s="7">
        <v>0</v>
      </c>
      <c r="S534" s="7">
        <v>0</v>
      </c>
      <c r="T534" s="7">
        <v>0</v>
      </c>
      <c r="U534" s="7">
        <v>0</v>
      </c>
      <c r="V534" s="7">
        <v>0</v>
      </c>
      <c r="W534" s="7">
        <v>0</v>
      </c>
      <c r="X534" s="7">
        <v>0</v>
      </c>
      <c r="Y534" s="7">
        <v>0</v>
      </c>
      <c r="Z534" s="7">
        <v>0</v>
      </c>
      <c r="AA534" s="7">
        <v>0</v>
      </c>
      <c r="AB534" s="7">
        <v>0</v>
      </c>
      <c r="AC534" s="7">
        <v>0</v>
      </c>
      <c r="AD534" s="7">
        <v>0</v>
      </c>
      <c r="AE534" s="7">
        <v>0</v>
      </c>
      <c r="AF534" s="7">
        <v>0</v>
      </c>
      <c r="AG534" s="7">
        <v>0</v>
      </c>
      <c r="AH534" s="7">
        <v>0</v>
      </c>
      <c r="AI534" s="7">
        <v>0</v>
      </c>
      <c r="AJ534" s="7">
        <v>0</v>
      </c>
      <c r="AK534" s="7">
        <v>0</v>
      </c>
      <c r="AL534" s="7">
        <v>0</v>
      </c>
      <c r="AM534" s="7">
        <v>0</v>
      </c>
      <c r="AN534" s="7">
        <v>0</v>
      </c>
      <c r="AO534" s="7">
        <v>0</v>
      </c>
      <c r="AP534" s="7">
        <v>0</v>
      </c>
      <c r="AQ534" s="7">
        <v>0</v>
      </c>
      <c r="AR534" s="7">
        <v>0</v>
      </c>
      <c r="AS534" s="7">
        <v>0</v>
      </c>
      <c r="AT534" s="7">
        <v>0</v>
      </c>
      <c r="AU534" s="7">
        <v>0</v>
      </c>
      <c r="AV534" s="7">
        <v>0</v>
      </c>
      <c r="AW534" s="7">
        <v>0</v>
      </c>
      <c r="AX534" s="7">
        <v>0</v>
      </c>
      <c r="AY534" s="7">
        <v>0</v>
      </c>
      <c r="AZ534" s="7">
        <v>0</v>
      </c>
      <c r="BA534" s="7">
        <v>0</v>
      </c>
      <c r="BB534" s="7">
        <v>0</v>
      </c>
      <c r="BC534" s="7">
        <v>0</v>
      </c>
      <c r="BD534">
        <v>0</v>
      </c>
      <c r="BE534">
        <v>28.87</v>
      </c>
      <c r="BF5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4" s="42" t="str">
        <f>+IF(AVANCE[[#This Row],[FECHA INICIO REAL]]="","",AVANCE[[#This Row],[FECHA INICIO REAL]]-AVANCE[[#This Row],[FECHA INICIO TEORICO]])</f>
        <v/>
      </c>
      <c r="BH5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5" spans="1:61" x14ac:dyDescent="0.25">
      <c r="A535" t="s">
        <v>1352</v>
      </c>
      <c r="B535" t="s">
        <v>1374</v>
      </c>
      <c r="C535">
        <v>2302600534</v>
      </c>
      <c r="D535" t="s">
        <v>834</v>
      </c>
      <c r="E535" s="4">
        <v>0</v>
      </c>
      <c r="F535" s="1">
        <v>46408</v>
      </c>
      <c r="G535" s="1"/>
      <c r="H535" s="1">
        <v>0</v>
      </c>
      <c r="I535" s="1">
        <v>46438</v>
      </c>
      <c r="J535">
        <v>46188</v>
      </c>
      <c r="K535" s="1"/>
      <c r="L535" s="7">
        <v>0</v>
      </c>
      <c r="M535" s="7">
        <v>0</v>
      </c>
      <c r="N535" s="7">
        <v>0</v>
      </c>
      <c r="O535" s="7">
        <v>0</v>
      </c>
      <c r="P535" s="7">
        <v>0</v>
      </c>
      <c r="Q535" s="7">
        <v>0</v>
      </c>
      <c r="R535" s="7">
        <v>0</v>
      </c>
      <c r="S535" s="7">
        <v>0</v>
      </c>
      <c r="T535" s="7">
        <v>0</v>
      </c>
      <c r="U535" s="7">
        <v>0</v>
      </c>
      <c r="V535" s="7">
        <v>0</v>
      </c>
      <c r="W535" s="7">
        <v>0</v>
      </c>
      <c r="X535" s="7">
        <v>0</v>
      </c>
      <c r="Y535" s="7">
        <v>0</v>
      </c>
      <c r="Z535" s="7">
        <v>0</v>
      </c>
      <c r="AA535" s="7">
        <v>0</v>
      </c>
      <c r="AB535" s="7">
        <v>0</v>
      </c>
      <c r="AC535" s="7">
        <v>0</v>
      </c>
      <c r="AD535" s="7">
        <v>0</v>
      </c>
      <c r="AE535" s="7">
        <v>0</v>
      </c>
      <c r="AF535" s="7">
        <v>0</v>
      </c>
      <c r="AG535" s="7">
        <v>0</v>
      </c>
      <c r="AH535" s="7">
        <v>0</v>
      </c>
      <c r="AI535" s="7">
        <v>0</v>
      </c>
      <c r="AJ535" s="7">
        <v>0</v>
      </c>
      <c r="AK535" s="7">
        <v>0</v>
      </c>
      <c r="AL535" s="7">
        <v>0</v>
      </c>
      <c r="AM535" s="7">
        <v>0</v>
      </c>
      <c r="AN535" s="7">
        <v>0</v>
      </c>
      <c r="AO535" s="7">
        <v>0</v>
      </c>
      <c r="AP535" s="7">
        <v>0</v>
      </c>
      <c r="AQ535" s="7">
        <v>0</v>
      </c>
      <c r="AR535" s="7">
        <v>0</v>
      </c>
      <c r="AS535" s="7">
        <v>0</v>
      </c>
      <c r="AT535" s="7">
        <v>0</v>
      </c>
      <c r="AU535" s="7">
        <v>0</v>
      </c>
      <c r="AV535" s="7">
        <v>0</v>
      </c>
      <c r="AW535" s="7">
        <v>0</v>
      </c>
      <c r="AX535" s="7">
        <v>0</v>
      </c>
      <c r="AY535" s="7">
        <v>0</v>
      </c>
      <c r="AZ535" s="7">
        <v>0</v>
      </c>
      <c r="BA535" s="7">
        <v>0</v>
      </c>
      <c r="BB535" s="7">
        <v>0</v>
      </c>
      <c r="BC535" s="7">
        <v>0</v>
      </c>
      <c r="BD535">
        <v>0</v>
      </c>
      <c r="BE535">
        <v>31.32</v>
      </c>
      <c r="BF5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5" s="42" t="str">
        <f>+IF(AVANCE[[#This Row],[FECHA INICIO REAL]]="","",AVANCE[[#This Row],[FECHA INICIO REAL]]-AVANCE[[#This Row],[FECHA INICIO TEORICO]])</f>
        <v/>
      </c>
      <c r="BH5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6" spans="1:61" x14ac:dyDescent="0.25">
      <c r="A536" t="s">
        <v>1352</v>
      </c>
      <c r="B536" t="s">
        <v>1375</v>
      </c>
      <c r="C536">
        <v>2302600535</v>
      </c>
      <c r="D536" t="s">
        <v>834</v>
      </c>
      <c r="E536" s="4">
        <v>0</v>
      </c>
      <c r="F536" s="1">
        <v>46408</v>
      </c>
      <c r="G536" s="1"/>
      <c r="H536" s="1">
        <v>0</v>
      </c>
      <c r="I536" s="1">
        <v>46438</v>
      </c>
      <c r="J536">
        <v>46188</v>
      </c>
      <c r="K536" s="1"/>
      <c r="L536" s="7">
        <v>0</v>
      </c>
      <c r="M536" s="7">
        <v>0</v>
      </c>
      <c r="N536" s="7">
        <v>0</v>
      </c>
      <c r="O536" s="7">
        <v>0</v>
      </c>
      <c r="P536" s="7">
        <v>0</v>
      </c>
      <c r="Q536" s="7">
        <v>0</v>
      </c>
      <c r="R536" s="7">
        <v>0</v>
      </c>
      <c r="S536" s="7">
        <v>0</v>
      </c>
      <c r="T536" s="7">
        <v>0</v>
      </c>
      <c r="U536" s="7">
        <v>0</v>
      </c>
      <c r="V536" s="7">
        <v>0</v>
      </c>
      <c r="W536" s="7">
        <v>0</v>
      </c>
      <c r="X536" s="7">
        <v>0</v>
      </c>
      <c r="Y536" s="7">
        <v>0</v>
      </c>
      <c r="Z536" s="7">
        <v>0</v>
      </c>
      <c r="AA536" s="7">
        <v>0</v>
      </c>
      <c r="AB536" s="7">
        <v>0</v>
      </c>
      <c r="AC536" s="7">
        <v>0</v>
      </c>
      <c r="AD536" s="7">
        <v>0</v>
      </c>
      <c r="AE536" s="7">
        <v>0</v>
      </c>
      <c r="AF536" s="7">
        <v>0</v>
      </c>
      <c r="AG536" s="7">
        <v>0</v>
      </c>
      <c r="AH536" s="7">
        <v>0</v>
      </c>
      <c r="AI536" s="7">
        <v>0</v>
      </c>
      <c r="AJ536" s="7">
        <v>0</v>
      </c>
      <c r="AK536" s="7">
        <v>0</v>
      </c>
      <c r="AL536" s="7">
        <v>0</v>
      </c>
      <c r="AM536" s="7">
        <v>0</v>
      </c>
      <c r="AN536" s="7">
        <v>0</v>
      </c>
      <c r="AO536" s="7">
        <v>0</v>
      </c>
      <c r="AP536" s="7">
        <v>0</v>
      </c>
      <c r="AQ536" s="7">
        <v>0</v>
      </c>
      <c r="AR536" s="7">
        <v>0</v>
      </c>
      <c r="AS536" s="7">
        <v>0</v>
      </c>
      <c r="AT536" s="7">
        <v>0</v>
      </c>
      <c r="AU536" s="7">
        <v>0</v>
      </c>
      <c r="AV536" s="7">
        <v>0</v>
      </c>
      <c r="AW536" s="7">
        <v>0</v>
      </c>
      <c r="AX536" s="7">
        <v>0</v>
      </c>
      <c r="AY536" s="7">
        <v>0</v>
      </c>
      <c r="AZ536" s="7">
        <v>0</v>
      </c>
      <c r="BA536" s="7">
        <v>0</v>
      </c>
      <c r="BB536" s="7">
        <v>0</v>
      </c>
      <c r="BC536" s="7">
        <v>0</v>
      </c>
      <c r="BD536">
        <v>0</v>
      </c>
      <c r="BE536">
        <v>31.32</v>
      </c>
      <c r="BF5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6" s="42" t="str">
        <f>+IF(AVANCE[[#This Row],[FECHA INICIO REAL]]="","",AVANCE[[#This Row],[FECHA INICIO REAL]]-AVANCE[[#This Row],[FECHA INICIO TEORICO]])</f>
        <v/>
      </c>
      <c r="BH5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7" spans="1:61" x14ac:dyDescent="0.25">
      <c r="A537" t="s">
        <v>1352</v>
      </c>
      <c r="B537" t="s">
        <v>1376</v>
      </c>
      <c r="C537">
        <v>2282600536</v>
      </c>
      <c r="D537" t="s">
        <v>833</v>
      </c>
      <c r="E537" s="4">
        <v>0</v>
      </c>
      <c r="F537" s="1">
        <v>46409</v>
      </c>
      <c r="G537" s="1"/>
      <c r="H537" s="1">
        <v>0</v>
      </c>
      <c r="I537" s="1">
        <v>46429</v>
      </c>
      <c r="J537">
        <v>46188</v>
      </c>
      <c r="K537" s="1"/>
      <c r="L537" s="7">
        <v>0</v>
      </c>
      <c r="M537" s="7">
        <v>0</v>
      </c>
      <c r="N537" s="7">
        <v>0</v>
      </c>
      <c r="O537" s="7">
        <v>0</v>
      </c>
      <c r="P537" s="7">
        <v>0</v>
      </c>
      <c r="Q537" s="7">
        <v>0</v>
      </c>
      <c r="R537" s="7">
        <v>0</v>
      </c>
      <c r="S537" s="7">
        <v>0</v>
      </c>
      <c r="T537" s="7">
        <v>0</v>
      </c>
      <c r="U537" s="7">
        <v>0</v>
      </c>
      <c r="V537" s="7">
        <v>0</v>
      </c>
      <c r="W537" s="7">
        <v>0</v>
      </c>
      <c r="X537" s="7">
        <v>0</v>
      </c>
      <c r="Y537" s="7">
        <v>0</v>
      </c>
      <c r="Z537" s="7">
        <v>0</v>
      </c>
      <c r="AA537" s="7">
        <v>0</v>
      </c>
      <c r="AB537" s="7">
        <v>0</v>
      </c>
      <c r="AC537" s="7">
        <v>0</v>
      </c>
      <c r="AD537" s="7">
        <v>0</v>
      </c>
      <c r="AE537" s="7">
        <v>0</v>
      </c>
      <c r="AF537" s="7">
        <v>0</v>
      </c>
      <c r="AG537" s="7">
        <v>0</v>
      </c>
      <c r="AH537" s="7">
        <v>0</v>
      </c>
      <c r="AI537" s="7">
        <v>0</v>
      </c>
      <c r="AJ537" s="7">
        <v>0</v>
      </c>
      <c r="AK537" s="7">
        <v>0</v>
      </c>
      <c r="AL537" s="7">
        <v>0</v>
      </c>
      <c r="AM537" s="7">
        <v>0</v>
      </c>
      <c r="AN537" s="7">
        <v>0</v>
      </c>
      <c r="AO537" s="7">
        <v>0</v>
      </c>
      <c r="AP537" s="7">
        <v>0</v>
      </c>
      <c r="AQ537" s="7">
        <v>0</v>
      </c>
      <c r="AR537" s="7">
        <v>0</v>
      </c>
      <c r="AS537" s="7">
        <v>0</v>
      </c>
      <c r="AT537" s="7">
        <v>0</v>
      </c>
      <c r="AU537" s="7">
        <v>0</v>
      </c>
      <c r="AV537" s="7">
        <v>0</v>
      </c>
      <c r="AW537" s="7">
        <v>0</v>
      </c>
      <c r="AX537" s="7">
        <v>0</v>
      </c>
      <c r="AY537" s="7">
        <v>0</v>
      </c>
      <c r="AZ537" s="7">
        <v>0</v>
      </c>
      <c r="BA537" s="7">
        <v>0</v>
      </c>
      <c r="BB537" s="7">
        <v>0</v>
      </c>
      <c r="BC537" s="7">
        <v>0</v>
      </c>
      <c r="BD537">
        <v>0</v>
      </c>
      <c r="BE537">
        <v>28.87</v>
      </c>
      <c r="BF5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7" s="42" t="str">
        <f>+IF(AVANCE[[#This Row],[FECHA INICIO REAL]]="","",AVANCE[[#This Row],[FECHA INICIO REAL]]-AVANCE[[#This Row],[FECHA INICIO TEORICO]])</f>
        <v/>
      </c>
      <c r="BH5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8" spans="1:61" x14ac:dyDescent="0.25">
      <c r="A538" t="s">
        <v>1352</v>
      </c>
      <c r="B538" t="s">
        <v>1377</v>
      </c>
      <c r="C538">
        <v>2282600537</v>
      </c>
      <c r="D538" t="s">
        <v>833</v>
      </c>
      <c r="E538" s="4">
        <v>0</v>
      </c>
      <c r="F538" s="1">
        <v>46409</v>
      </c>
      <c r="G538" s="1"/>
      <c r="H538" s="1">
        <v>0</v>
      </c>
      <c r="I538" s="1">
        <v>46429</v>
      </c>
      <c r="J538">
        <v>46188</v>
      </c>
      <c r="K538" s="1"/>
      <c r="L538" s="7">
        <v>0</v>
      </c>
      <c r="M538" s="7">
        <v>0</v>
      </c>
      <c r="N538" s="7">
        <v>0</v>
      </c>
      <c r="O538" s="7">
        <v>0</v>
      </c>
      <c r="P538" s="7">
        <v>0</v>
      </c>
      <c r="Q538" s="7">
        <v>0</v>
      </c>
      <c r="R538" s="7">
        <v>0</v>
      </c>
      <c r="S538" s="7">
        <v>0</v>
      </c>
      <c r="T538" s="7">
        <v>0</v>
      </c>
      <c r="U538" s="7">
        <v>0</v>
      </c>
      <c r="V538" s="7">
        <v>0</v>
      </c>
      <c r="W538" s="7">
        <v>0</v>
      </c>
      <c r="X538" s="7">
        <v>0</v>
      </c>
      <c r="Y538" s="7">
        <v>0</v>
      </c>
      <c r="Z538" s="7">
        <v>0</v>
      </c>
      <c r="AA538" s="7">
        <v>0</v>
      </c>
      <c r="AB538" s="7">
        <v>0</v>
      </c>
      <c r="AC538" s="7">
        <v>0</v>
      </c>
      <c r="AD538" s="7">
        <v>0</v>
      </c>
      <c r="AE538" s="7">
        <v>0</v>
      </c>
      <c r="AF538" s="7">
        <v>0</v>
      </c>
      <c r="AG538" s="7">
        <v>0</v>
      </c>
      <c r="AH538" s="7">
        <v>0</v>
      </c>
      <c r="AI538" s="7">
        <v>0</v>
      </c>
      <c r="AJ538" s="7">
        <v>0</v>
      </c>
      <c r="AK538" s="7">
        <v>0</v>
      </c>
      <c r="AL538" s="7">
        <v>0</v>
      </c>
      <c r="AM538" s="7">
        <v>0</v>
      </c>
      <c r="AN538" s="7">
        <v>0</v>
      </c>
      <c r="AO538" s="7">
        <v>0</v>
      </c>
      <c r="AP538" s="7">
        <v>0</v>
      </c>
      <c r="AQ538" s="7">
        <v>0</v>
      </c>
      <c r="AR538" s="7">
        <v>0</v>
      </c>
      <c r="AS538" s="7">
        <v>0</v>
      </c>
      <c r="AT538" s="7">
        <v>0</v>
      </c>
      <c r="AU538" s="7">
        <v>0</v>
      </c>
      <c r="AV538" s="7">
        <v>0</v>
      </c>
      <c r="AW538" s="7">
        <v>0</v>
      </c>
      <c r="AX538" s="7">
        <v>0</v>
      </c>
      <c r="AY538" s="7">
        <v>0</v>
      </c>
      <c r="AZ538" s="7">
        <v>0</v>
      </c>
      <c r="BA538" s="7">
        <v>0</v>
      </c>
      <c r="BB538" s="7">
        <v>0</v>
      </c>
      <c r="BC538" s="7">
        <v>0</v>
      </c>
      <c r="BD538">
        <v>0</v>
      </c>
      <c r="BE538">
        <v>28.87</v>
      </c>
      <c r="BF5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8" s="42" t="str">
        <f>+IF(AVANCE[[#This Row],[FECHA INICIO REAL]]="","",AVANCE[[#This Row],[FECHA INICIO REAL]]-AVANCE[[#This Row],[FECHA INICIO TEORICO]])</f>
        <v/>
      </c>
      <c r="BH5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9" spans="1:61" x14ac:dyDescent="0.25">
      <c r="A539" t="s">
        <v>1352</v>
      </c>
      <c r="B539" t="s">
        <v>1378</v>
      </c>
      <c r="C539">
        <v>2302600538</v>
      </c>
      <c r="D539" t="s">
        <v>834</v>
      </c>
      <c r="E539" s="4">
        <v>0</v>
      </c>
      <c r="F539" s="1">
        <v>46409</v>
      </c>
      <c r="G539" s="1"/>
      <c r="H539" s="1">
        <v>0</v>
      </c>
      <c r="I539" s="1">
        <v>46439</v>
      </c>
      <c r="J539">
        <v>46188</v>
      </c>
      <c r="K539" s="1"/>
      <c r="L539" s="7">
        <v>0</v>
      </c>
      <c r="M539" s="7">
        <v>0</v>
      </c>
      <c r="N539" s="7">
        <v>0</v>
      </c>
      <c r="O539" s="7">
        <v>0</v>
      </c>
      <c r="P539" s="7">
        <v>0</v>
      </c>
      <c r="Q539" s="7">
        <v>0</v>
      </c>
      <c r="R539" s="7">
        <v>0</v>
      </c>
      <c r="S539" s="7">
        <v>0</v>
      </c>
      <c r="T539" s="7">
        <v>0</v>
      </c>
      <c r="U539" s="7">
        <v>0</v>
      </c>
      <c r="V539" s="7">
        <v>0</v>
      </c>
      <c r="W539" s="7">
        <v>0</v>
      </c>
      <c r="X539" s="7">
        <v>0</v>
      </c>
      <c r="Y539" s="7">
        <v>0</v>
      </c>
      <c r="Z539" s="7">
        <v>0</v>
      </c>
      <c r="AA539" s="7">
        <v>0</v>
      </c>
      <c r="AB539" s="7">
        <v>0</v>
      </c>
      <c r="AC539" s="7">
        <v>0</v>
      </c>
      <c r="AD539" s="7">
        <v>0</v>
      </c>
      <c r="AE539" s="7">
        <v>0</v>
      </c>
      <c r="AF539" s="7">
        <v>0</v>
      </c>
      <c r="AG539" s="7">
        <v>0</v>
      </c>
      <c r="AH539" s="7">
        <v>0</v>
      </c>
      <c r="AI539" s="7">
        <v>0</v>
      </c>
      <c r="AJ539" s="7">
        <v>0</v>
      </c>
      <c r="AK539" s="7">
        <v>0</v>
      </c>
      <c r="AL539" s="7">
        <v>0</v>
      </c>
      <c r="AM539" s="7">
        <v>0</v>
      </c>
      <c r="AN539" s="7">
        <v>0</v>
      </c>
      <c r="AO539" s="7">
        <v>0</v>
      </c>
      <c r="AP539" s="7">
        <v>0</v>
      </c>
      <c r="AQ539" s="7">
        <v>0</v>
      </c>
      <c r="AR539" s="7">
        <v>0</v>
      </c>
      <c r="AS539" s="7">
        <v>0</v>
      </c>
      <c r="AT539" s="7">
        <v>0</v>
      </c>
      <c r="AU539" s="7">
        <v>0</v>
      </c>
      <c r="AV539" s="7">
        <v>0</v>
      </c>
      <c r="AW539" s="7">
        <v>0</v>
      </c>
      <c r="AX539" s="7">
        <v>0</v>
      </c>
      <c r="AY539" s="7">
        <v>0</v>
      </c>
      <c r="AZ539" s="7">
        <v>0</v>
      </c>
      <c r="BA539" s="7">
        <v>0</v>
      </c>
      <c r="BB539" s="7">
        <v>0</v>
      </c>
      <c r="BC539" s="7">
        <v>0</v>
      </c>
      <c r="BD539">
        <v>0</v>
      </c>
      <c r="BE539">
        <v>31.32</v>
      </c>
      <c r="BF5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9" s="42" t="str">
        <f>+IF(AVANCE[[#This Row],[FECHA INICIO REAL]]="","",AVANCE[[#This Row],[FECHA INICIO REAL]]-AVANCE[[#This Row],[FECHA INICIO TEORICO]])</f>
        <v/>
      </c>
      <c r="BH5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0" spans="1:61" x14ac:dyDescent="0.25">
      <c r="A540" t="s">
        <v>1352</v>
      </c>
      <c r="B540" t="s">
        <v>1379</v>
      </c>
      <c r="C540">
        <v>2302600539</v>
      </c>
      <c r="D540" t="s">
        <v>834</v>
      </c>
      <c r="E540" s="4">
        <v>0</v>
      </c>
      <c r="F540" s="1">
        <v>46412</v>
      </c>
      <c r="G540" s="1"/>
      <c r="H540" s="1">
        <v>0</v>
      </c>
      <c r="I540" s="1">
        <v>46442</v>
      </c>
      <c r="J540">
        <v>46188</v>
      </c>
      <c r="K540" s="1"/>
      <c r="L540" s="7">
        <v>0</v>
      </c>
      <c r="M540" s="7">
        <v>0</v>
      </c>
      <c r="N540" s="7">
        <v>0</v>
      </c>
      <c r="O540" s="7">
        <v>0</v>
      </c>
      <c r="P540" s="7">
        <v>0</v>
      </c>
      <c r="Q540" s="7">
        <v>0</v>
      </c>
      <c r="R540" s="7">
        <v>0</v>
      </c>
      <c r="S540" s="7">
        <v>0</v>
      </c>
      <c r="T540" s="7">
        <v>0</v>
      </c>
      <c r="U540" s="7">
        <v>0</v>
      </c>
      <c r="V540" s="7">
        <v>0</v>
      </c>
      <c r="W540" s="7">
        <v>0</v>
      </c>
      <c r="X540" s="7">
        <v>0</v>
      </c>
      <c r="Y540" s="7">
        <v>0</v>
      </c>
      <c r="Z540" s="7">
        <v>0</v>
      </c>
      <c r="AA540" s="7">
        <v>0</v>
      </c>
      <c r="AB540" s="7">
        <v>0</v>
      </c>
      <c r="AC540" s="7">
        <v>0</v>
      </c>
      <c r="AD540" s="7">
        <v>0</v>
      </c>
      <c r="AE540" s="7">
        <v>0</v>
      </c>
      <c r="AF540" s="7">
        <v>0</v>
      </c>
      <c r="AG540" s="7">
        <v>0</v>
      </c>
      <c r="AH540" s="7">
        <v>0</v>
      </c>
      <c r="AI540" s="7">
        <v>0</v>
      </c>
      <c r="AJ540" s="7">
        <v>0</v>
      </c>
      <c r="AK540" s="7">
        <v>0</v>
      </c>
      <c r="AL540" s="7">
        <v>0</v>
      </c>
      <c r="AM540" s="7">
        <v>0</v>
      </c>
      <c r="AN540" s="7">
        <v>0</v>
      </c>
      <c r="AO540" s="7">
        <v>0</v>
      </c>
      <c r="AP540" s="7">
        <v>0</v>
      </c>
      <c r="AQ540" s="7">
        <v>0</v>
      </c>
      <c r="AR540" s="7">
        <v>0</v>
      </c>
      <c r="AS540" s="7">
        <v>0</v>
      </c>
      <c r="AT540" s="7">
        <v>0</v>
      </c>
      <c r="AU540" s="7">
        <v>0</v>
      </c>
      <c r="AV540" s="7">
        <v>0</v>
      </c>
      <c r="AW540" s="7">
        <v>0</v>
      </c>
      <c r="AX540" s="7">
        <v>0</v>
      </c>
      <c r="AY540" s="7">
        <v>0</v>
      </c>
      <c r="AZ540" s="7">
        <v>0</v>
      </c>
      <c r="BA540" s="7">
        <v>0</v>
      </c>
      <c r="BB540" s="7">
        <v>0</v>
      </c>
      <c r="BC540" s="7">
        <v>0</v>
      </c>
      <c r="BD540">
        <v>0</v>
      </c>
      <c r="BE540">
        <v>31.32</v>
      </c>
      <c r="BF5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0" s="42" t="str">
        <f>+IF(AVANCE[[#This Row],[FECHA INICIO REAL]]="","",AVANCE[[#This Row],[FECHA INICIO REAL]]-AVANCE[[#This Row],[FECHA INICIO TEORICO]])</f>
        <v/>
      </c>
      <c r="BH5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1" spans="1:61" x14ac:dyDescent="0.25">
      <c r="A541" t="s">
        <v>1352</v>
      </c>
      <c r="B541" t="s">
        <v>1380</v>
      </c>
      <c r="C541">
        <v>2282600540</v>
      </c>
      <c r="D541" t="s">
        <v>833</v>
      </c>
      <c r="E541" s="4">
        <v>0</v>
      </c>
      <c r="F541" s="1">
        <v>46412</v>
      </c>
      <c r="G541" s="1"/>
      <c r="H541" s="1">
        <v>0</v>
      </c>
      <c r="I541" s="1">
        <v>46432</v>
      </c>
      <c r="J541">
        <v>46188</v>
      </c>
      <c r="K541" s="1"/>
      <c r="L541" s="7">
        <v>0</v>
      </c>
      <c r="M541" s="7">
        <v>0</v>
      </c>
      <c r="N541" s="7">
        <v>0</v>
      </c>
      <c r="O541" s="7">
        <v>0</v>
      </c>
      <c r="P541" s="7">
        <v>0</v>
      </c>
      <c r="Q541" s="7">
        <v>0</v>
      </c>
      <c r="R541" s="7">
        <v>0</v>
      </c>
      <c r="S541" s="7">
        <v>0</v>
      </c>
      <c r="T541" s="7">
        <v>0</v>
      </c>
      <c r="U541" s="7">
        <v>0</v>
      </c>
      <c r="V541" s="7">
        <v>0</v>
      </c>
      <c r="W541" s="7">
        <v>0</v>
      </c>
      <c r="X541" s="7">
        <v>0</v>
      </c>
      <c r="Y541" s="7">
        <v>0</v>
      </c>
      <c r="Z541" s="7">
        <v>0</v>
      </c>
      <c r="AA541" s="7">
        <v>0</v>
      </c>
      <c r="AB541" s="7">
        <v>0</v>
      </c>
      <c r="AC541" s="7">
        <v>0</v>
      </c>
      <c r="AD541" s="7">
        <v>0</v>
      </c>
      <c r="AE541" s="7">
        <v>0</v>
      </c>
      <c r="AF541" s="7">
        <v>0</v>
      </c>
      <c r="AG541" s="7">
        <v>0</v>
      </c>
      <c r="AH541" s="7">
        <v>0</v>
      </c>
      <c r="AI541" s="7">
        <v>0</v>
      </c>
      <c r="AJ541" s="7">
        <v>0</v>
      </c>
      <c r="AK541" s="7">
        <v>0</v>
      </c>
      <c r="AL541" s="7">
        <v>0</v>
      </c>
      <c r="AM541" s="7">
        <v>0</v>
      </c>
      <c r="AN541" s="7">
        <v>0</v>
      </c>
      <c r="AO541" s="7">
        <v>0</v>
      </c>
      <c r="AP541" s="7">
        <v>0</v>
      </c>
      <c r="AQ541" s="7">
        <v>0</v>
      </c>
      <c r="AR541" s="7">
        <v>0</v>
      </c>
      <c r="AS541" s="7">
        <v>0</v>
      </c>
      <c r="AT541" s="7">
        <v>0</v>
      </c>
      <c r="AU541" s="7">
        <v>0</v>
      </c>
      <c r="AV541" s="7">
        <v>0</v>
      </c>
      <c r="AW541" s="7">
        <v>0</v>
      </c>
      <c r="AX541" s="7">
        <v>0</v>
      </c>
      <c r="AY541" s="7">
        <v>0</v>
      </c>
      <c r="AZ541" s="7">
        <v>0</v>
      </c>
      <c r="BA541" s="7">
        <v>0</v>
      </c>
      <c r="BB541" s="7">
        <v>0</v>
      </c>
      <c r="BC541" s="7">
        <v>0</v>
      </c>
      <c r="BD541">
        <v>0</v>
      </c>
      <c r="BE541">
        <v>28.87</v>
      </c>
      <c r="BF5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1" s="42" t="str">
        <f>+IF(AVANCE[[#This Row],[FECHA INICIO REAL]]="","",AVANCE[[#This Row],[FECHA INICIO REAL]]-AVANCE[[#This Row],[FECHA INICIO TEORICO]])</f>
        <v/>
      </c>
      <c r="BH5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2" spans="1:61" x14ac:dyDescent="0.25">
      <c r="A542" t="s">
        <v>1352</v>
      </c>
      <c r="B542" t="s">
        <v>1381</v>
      </c>
      <c r="C542">
        <v>2282600541</v>
      </c>
      <c r="D542" t="s">
        <v>833</v>
      </c>
      <c r="E542" s="4">
        <v>0</v>
      </c>
      <c r="F542" s="1">
        <v>46412</v>
      </c>
      <c r="G542" s="1"/>
      <c r="H542" s="1">
        <v>0</v>
      </c>
      <c r="I542" s="1">
        <v>46432</v>
      </c>
      <c r="J542">
        <v>46188</v>
      </c>
      <c r="K542" s="1"/>
      <c r="L542" s="7">
        <v>0</v>
      </c>
      <c r="M542" s="7">
        <v>0</v>
      </c>
      <c r="N542" s="7">
        <v>0</v>
      </c>
      <c r="O542" s="7">
        <v>0</v>
      </c>
      <c r="P542" s="7">
        <v>0</v>
      </c>
      <c r="Q542" s="7">
        <v>0</v>
      </c>
      <c r="R542" s="7">
        <v>0</v>
      </c>
      <c r="S542" s="7">
        <v>0</v>
      </c>
      <c r="T542" s="7">
        <v>0</v>
      </c>
      <c r="U542" s="7">
        <v>0</v>
      </c>
      <c r="V542" s="7">
        <v>0</v>
      </c>
      <c r="W542" s="7">
        <v>0</v>
      </c>
      <c r="X542" s="7">
        <v>0</v>
      </c>
      <c r="Y542" s="7">
        <v>0</v>
      </c>
      <c r="Z542" s="7">
        <v>0</v>
      </c>
      <c r="AA542" s="7">
        <v>0</v>
      </c>
      <c r="AB542" s="7">
        <v>0</v>
      </c>
      <c r="AC542" s="7">
        <v>0</v>
      </c>
      <c r="AD542" s="7">
        <v>0</v>
      </c>
      <c r="AE542" s="7">
        <v>0</v>
      </c>
      <c r="AF542" s="7">
        <v>0</v>
      </c>
      <c r="AG542" s="7">
        <v>0</v>
      </c>
      <c r="AH542" s="7">
        <v>0</v>
      </c>
      <c r="AI542" s="7">
        <v>0</v>
      </c>
      <c r="AJ542" s="7">
        <v>0</v>
      </c>
      <c r="AK542" s="7">
        <v>0</v>
      </c>
      <c r="AL542" s="7">
        <v>0</v>
      </c>
      <c r="AM542" s="7">
        <v>0</v>
      </c>
      <c r="AN542" s="7">
        <v>0</v>
      </c>
      <c r="AO542" s="7">
        <v>0</v>
      </c>
      <c r="AP542" s="7">
        <v>0</v>
      </c>
      <c r="AQ542" s="7">
        <v>0</v>
      </c>
      <c r="AR542" s="7">
        <v>0</v>
      </c>
      <c r="AS542" s="7">
        <v>0</v>
      </c>
      <c r="AT542" s="7">
        <v>0</v>
      </c>
      <c r="AU542" s="7">
        <v>0</v>
      </c>
      <c r="AV542" s="7">
        <v>0</v>
      </c>
      <c r="AW542" s="7">
        <v>0</v>
      </c>
      <c r="AX542" s="7">
        <v>0</v>
      </c>
      <c r="AY542" s="7">
        <v>0</v>
      </c>
      <c r="AZ542" s="7">
        <v>0</v>
      </c>
      <c r="BA542" s="7">
        <v>0</v>
      </c>
      <c r="BB542" s="7">
        <v>0</v>
      </c>
      <c r="BC542" s="7">
        <v>0</v>
      </c>
      <c r="BD542">
        <v>0</v>
      </c>
      <c r="BE542">
        <v>28.87</v>
      </c>
      <c r="BF5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2" s="42" t="str">
        <f>+IF(AVANCE[[#This Row],[FECHA INICIO REAL]]="","",AVANCE[[#This Row],[FECHA INICIO REAL]]-AVANCE[[#This Row],[FECHA INICIO TEORICO]])</f>
        <v/>
      </c>
      <c r="BH5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3" spans="1:61" x14ac:dyDescent="0.25">
      <c r="A543" t="s">
        <v>1352</v>
      </c>
      <c r="B543" t="s">
        <v>1382</v>
      </c>
      <c r="C543">
        <v>2302600542</v>
      </c>
      <c r="D543" t="s">
        <v>834</v>
      </c>
      <c r="E543" s="4">
        <v>0</v>
      </c>
      <c r="F543" s="1">
        <v>46413</v>
      </c>
      <c r="G543" s="1"/>
      <c r="H543" s="1">
        <v>0</v>
      </c>
      <c r="I543" s="1">
        <v>46443</v>
      </c>
      <c r="J543">
        <v>46188</v>
      </c>
      <c r="K543" s="1"/>
      <c r="L543" s="7">
        <v>0</v>
      </c>
      <c r="M543" s="7">
        <v>0</v>
      </c>
      <c r="N543" s="7">
        <v>0</v>
      </c>
      <c r="O543" s="7">
        <v>0</v>
      </c>
      <c r="P543" s="7">
        <v>0</v>
      </c>
      <c r="Q543" s="7">
        <v>0</v>
      </c>
      <c r="R543" s="7">
        <v>0</v>
      </c>
      <c r="S543" s="7">
        <v>0</v>
      </c>
      <c r="T543" s="7">
        <v>0</v>
      </c>
      <c r="U543" s="7">
        <v>0</v>
      </c>
      <c r="V543" s="7">
        <v>0</v>
      </c>
      <c r="W543" s="7">
        <v>0</v>
      </c>
      <c r="X543" s="7">
        <v>0</v>
      </c>
      <c r="Y543" s="7">
        <v>0</v>
      </c>
      <c r="Z543" s="7">
        <v>0</v>
      </c>
      <c r="AA543" s="7">
        <v>0</v>
      </c>
      <c r="AB543" s="7">
        <v>0</v>
      </c>
      <c r="AC543" s="7">
        <v>0</v>
      </c>
      <c r="AD543" s="7">
        <v>0</v>
      </c>
      <c r="AE543" s="7">
        <v>0</v>
      </c>
      <c r="AF543" s="7">
        <v>0</v>
      </c>
      <c r="AG543" s="7">
        <v>0</v>
      </c>
      <c r="AH543" s="7">
        <v>0</v>
      </c>
      <c r="AI543" s="7">
        <v>0</v>
      </c>
      <c r="AJ543" s="7">
        <v>0</v>
      </c>
      <c r="AK543" s="7">
        <v>0</v>
      </c>
      <c r="AL543" s="7">
        <v>0</v>
      </c>
      <c r="AM543" s="7">
        <v>0</v>
      </c>
      <c r="AN543" s="7">
        <v>0</v>
      </c>
      <c r="AO543" s="7">
        <v>0</v>
      </c>
      <c r="AP543" s="7">
        <v>0</v>
      </c>
      <c r="AQ543" s="7">
        <v>0</v>
      </c>
      <c r="AR543" s="7">
        <v>0</v>
      </c>
      <c r="AS543" s="7">
        <v>0</v>
      </c>
      <c r="AT543" s="7">
        <v>0</v>
      </c>
      <c r="AU543" s="7">
        <v>0</v>
      </c>
      <c r="AV543" s="7">
        <v>0</v>
      </c>
      <c r="AW543" s="7">
        <v>0</v>
      </c>
      <c r="AX543" s="7">
        <v>0</v>
      </c>
      <c r="AY543" s="7">
        <v>0</v>
      </c>
      <c r="AZ543" s="7">
        <v>0</v>
      </c>
      <c r="BA543" s="7">
        <v>0</v>
      </c>
      <c r="BB543" s="7">
        <v>0</v>
      </c>
      <c r="BC543" s="7">
        <v>0</v>
      </c>
      <c r="BD543">
        <v>0</v>
      </c>
      <c r="BE543">
        <v>31.32</v>
      </c>
      <c r="BF5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3" s="42" t="str">
        <f>+IF(AVANCE[[#This Row],[FECHA INICIO REAL]]="","",AVANCE[[#This Row],[FECHA INICIO REAL]]-AVANCE[[#This Row],[FECHA INICIO TEORICO]])</f>
        <v/>
      </c>
      <c r="BH5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4" spans="1:61" x14ac:dyDescent="0.25">
      <c r="A544" t="s">
        <v>1352</v>
      </c>
      <c r="B544" t="s">
        <v>1383</v>
      </c>
      <c r="C544">
        <v>2302600543</v>
      </c>
      <c r="D544" t="s">
        <v>834</v>
      </c>
      <c r="E544" s="4">
        <v>0</v>
      </c>
      <c r="F544" s="1">
        <v>46413</v>
      </c>
      <c r="G544" s="1"/>
      <c r="H544" s="1">
        <v>0</v>
      </c>
      <c r="I544" s="1">
        <v>46443</v>
      </c>
      <c r="J544">
        <v>46188</v>
      </c>
      <c r="K544" s="1"/>
      <c r="L544" s="7">
        <v>0</v>
      </c>
      <c r="M544" s="7">
        <v>0</v>
      </c>
      <c r="N544" s="7">
        <v>0</v>
      </c>
      <c r="O544" s="7">
        <v>0</v>
      </c>
      <c r="P544" s="7">
        <v>0</v>
      </c>
      <c r="Q544" s="7">
        <v>0</v>
      </c>
      <c r="R544" s="7">
        <v>0</v>
      </c>
      <c r="S544" s="7">
        <v>0</v>
      </c>
      <c r="T544" s="7">
        <v>0</v>
      </c>
      <c r="U544" s="7">
        <v>0</v>
      </c>
      <c r="V544" s="7">
        <v>0</v>
      </c>
      <c r="W544" s="7">
        <v>0</v>
      </c>
      <c r="X544" s="7">
        <v>0</v>
      </c>
      <c r="Y544" s="7">
        <v>0</v>
      </c>
      <c r="Z544" s="7">
        <v>0</v>
      </c>
      <c r="AA544" s="7">
        <v>0</v>
      </c>
      <c r="AB544" s="7">
        <v>0</v>
      </c>
      <c r="AC544" s="7">
        <v>0</v>
      </c>
      <c r="AD544" s="7">
        <v>0</v>
      </c>
      <c r="AE544" s="7">
        <v>0</v>
      </c>
      <c r="AF544" s="7">
        <v>0</v>
      </c>
      <c r="AG544" s="7">
        <v>0</v>
      </c>
      <c r="AH544" s="7">
        <v>0</v>
      </c>
      <c r="AI544" s="7">
        <v>0</v>
      </c>
      <c r="AJ544" s="7">
        <v>0</v>
      </c>
      <c r="AK544" s="7">
        <v>0</v>
      </c>
      <c r="AL544" s="7">
        <v>0</v>
      </c>
      <c r="AM544" s="7">
        <v>0</v>
      </c>
      <c r="AN544" s="7">
        <v>0</v>
      </c>
      <c r="AO544" s="7">
        <v>0</v>
      </c>
      <c r="AP544" s="7">
        <v>0</v>
      </c>
      <c r="AQ544" s="7">
        <v>0</v>
      </c>
      <c r="AR544" s="7">
        <v>0</v>
      </c>
      <c r="AS544" s="7">
        <v>0</v>
      </c>
      <c r="AT544" s="7">
        <v>0</v>
      </c>
      <c r="AU544" s="7">
        <v>0</v>
      </c>
      <c r="AV544" s="7">
        <v>0</v>
      </c>
      <c r="AW544" s="7">
        <v>0</v>
      </c>
      <c r="AX544" s="7">
        <v>0</v>
      </c>
      <c r="AY544" s="7">
        <v>0</v>
      </c>
      <c r="AZ544" s="7">
        <v>0</v>
      </c>
      <c r="BA544" s="7">
        <v>0</v>
      </c>
      <c r="BB544" s="7">
        <v>0</v>
      </c>
      <c r="BC544" s="7">
        <v>0</v>
      </c>
      <c r="BD544">
        <v>0</v>
      </c>
      <c r="BE544">
        <v>31.32</v>
      </c>
      <c r="BF5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4" s="42" t="str">
        <f>+IF(AVANCE[[#This Row],[FECHA INICIO REAL]]="","",AVANCE[[#This Row],[FECHA INICIO REAL]]-AVANCE[[#This Row],[FECHA INICIO TEORICO]])</f>
        <v/>
      </c>
      <c r="BH5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5" spans="1:61" x14ac:dyDescent="0.25">
      <c r="A545" t="s">
        <v>1352</v>
      </c>
      <c r="B545" t="s">
        <v>1384</v>
      </c>
      <c r="C545">
        <v>2282600544</v>
      </c>
      <c r="D545" t="s">
        <v>833</v>
      </c>
      <c r="E545" s="4">
        <v>0</v>
      </c>
      <c r="F545" s="1">
        <v>46413</v>
      </c>
      <c r="G545" s="1"/>
      <c r="H545" s="1">
        <v>0</v>
      </c>
      <c r="I545" s="1">
        <v>46433</v>
      </c>
      <c r="J545">
        <v>46188</v>
      </c>
      <c r="K545" s="1"/>
      <c r="L545" s="7">
        <v>0</v>
      </c>
      <c r="M545" s="7">
        <v>0</v>
      </c>
      <c r="N545" s="7">
        <v>0</v>
      </c>
      <c r="O545" s="7">
        <v>0</v>
      </c>
      <c r="P545" s="7">
        <v>0</v>
      </c>
      <c r="Q545" s="7">
        <v>0</v>
      </c>
      <c r="R545" s="7">
        <v>0</v>
      </c>
      <c r="S545" s="7">
        <v>0</v>
      </c>
      <c r="T545" s="7">
        <v>0</v>
      </c>
      <c r="U545" s="7">
        <v>0</v>
      </c>
      <c r="V545" s="7">
        <v>0</v>
      </c>
      <c r="W545" s="7">
        <v>0</v>
      </c>
      <c r="X545" s="7">
        <v>0</v>
      </c>
      <c r="Y545" s="7">
        <v>0</v>
      </c>
      <c r="Z545" s="7">
        <v>0</v>
      </c>
      <c r="AA545" s="7">
        <v>0</v>
      </c>
      <c r="AB545" s="7">
        <v>0</v>
      </c>
      <c r="AC545" s="7">
        <v>0</v>
      </c>
      <c r="AD545" s="7">
        <v>0</v>
      </c>
      <c r="AE545" s="7">
        <v>0</v>
      </c>
      <c r="AF545" s="7">
        <v>0</v>
      </c>
      <c r="AG545" s="7">
        <v>0</v>
      </c>
      <c r="AH545" s="7">
        <v>0</v>
      </c>
      <c r="AI545" s="7">
        <v>0</v>
      </c>
      <c r="AJ545" s="7">
        <v>0</v>
      </c>
      <c r="AK545" s="7">
        <v>0</v>
      </c>
      <c r="AL545" s="7">
        <v>0</v>
      </c>
      <c r="AM545" s="7">
        <v>0</v>
      </c>
      <c r="AN545" s="7">
        <v>0</v>
      </c>
      <c r="AO545" s="7">
        <v>0</v>
      </c>
      <c r="AP545" s="7">
        <v>0</v>
      </c>
      <c r="AQ545" s="7">
        <v>0</v>
      </c>
      <c r="AR545" s="7">
        <v>0</v>
      </c>
      <c r="AS545" s="7">
        <v>0</v>
      </c>
      <c r="AT545" s="7">
        <v>0</v>
      </c>
      <c r="AU545" s="7">
        <v>0</v>
      </c>
      <c r="AV545" s="7">
        <v>0</v>
      </c>
      <c r="AW545" s="7">
        <v>0</v>
      </c>
      <c r="AX545" s="7">
        <v>0</v>
      </c>
      <c r="AY545" s="7">
        <v>0</v>
      </c>
      <c r="AZ545" s="7">
        <v>0</v>
      </c>
      <c r="BA545" s="7">
        <v>0</v>
      </c>
      <c r="BB545" s="7">
        <v>0</v>
      </c>
      <c r="BC545" s="7">
        <v>0</v>
      </c>
      <c r="BD545">
        <v>0</v>
      </c>
      <c r="BE545">
        <v>28.87</v>
      </c>
      <c r="BF5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5" s="42" t="str">
        <f>+IF(AVANCE[[#This Row],[FECHA INICIO REAL]]="","",AVANCE[[#This Row],[FECHA INICIO REAL]]-AVANCE[[#This Row],[FECHA INICIO TEORICO]])</f>
        <v/>
      </c>
      <c r="BH5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6" spans="1:61" x14ac:dyDescent="0.25">
      <c r="A546" t="s">
        <v>1385</v>
      </c>
      <c r="B546" t="s">
        <v>1386</v>
      </c>
      <c r="C546">
        <v>2282600545</v>
      </c>
      <c r="D546" t="s">
        <v>833</v>
      </c>
      <c r="E546" s="4">
        <v>0</v>
      </c>
      <c r="F546" s="1">
        <v>46414</v>
      </c>
      <c r="G546" s="1"/>
      <c r="H546" s="1">
        <v>0</v>
      </c>
      <c r="I546" s="1">
        <v>46434</v>
      </c>
      <c r="J546">
        <v>46188</v>
      </c>
      <c r="K546" s="1"/>
      <c r="L546" s="7">
        <v>0</v>
      </c>
      <c r="M546" s="7">
        <v>0</v>
      </c>
      <c r="N546" s="7">
        <v>0</v>
      </c>
      <c r="O546" s="7">
        <v>0</v>
      </c>
      <c r="P546" s="7">
        <v>0</v>
      </c>
      <c r="Q546" s="7">
        <v>0</v>
      </c>
      <c r="R546" s="7">
        <v>0</v>
      </c>
      <c r="S546" s="7">
        <v>0</v>
      </c>
      <c r="T546" s="7">
        <v>0</v>
      </c>
      <c r="U546" s="7">
        <v>0</v>
      </c>
      <c r="V546" s="7">
        <v>0</v>
      </c>
      <c r="W546" s="7">
        <v>0</v>
      </c>
      <c r="X546" s="7">
        <v>0</v>
      </c>
      <c r="Y546" s="7">
        <v>0</v>
      </c>
      <c r="Z546" s="7">
        <v>0</v>
      </c>
      <c r="AA546" s="7">
        <v>0</v>
      </c>
      <c r="AB546" s="7">
        <v>0</v>
      </c>
      <c r="AC546" s="7">
        <v>0</v>
      </c>
      <c r="AD546" s="7">
        <v>0</v>
      </c>
      <c r="AE546" s="7">
        <v>0</v>
      </c>
      <c r="AF546" s="7">
        <v>0</v>
      </c>
      <c r="AG546" s="7">
        <v>0</v>
      </c>
      <c r="AH546" s="7">
        <v>0</v>
      </c>
      <c r="AI546" s="7">
        <v>0</v>
      </c>
      <c r="AJ546" s="7">
        <v>0</v>
      </c>
      <c r="AK546" s="7">
        <v>0</v>
      </c>
      <c r="AL546" s="7">
        <v>0</v>
      </c>
      <c r="AM546" s="7">
        <v>0</v>
      </c>
      <c r="AN546" s="7">
        <v>0</v>
      </c>
      <c r="AO546" s="7">
        <v>0</v>
      </c>
      <c r="AP546" s="7">
        <v>0</v>
      </c>
      <c r="AQ546" s="7">
        <v>0</v>
      </c>
      <c r="AR546" s="7">
        <v>0</v>
      </c>
      <c r="AS546" s="7">
        <v>0</v>
      </c>
      <c r="AT546" s="7">
        <v>0</v>
      </c>
      <c r="AU546" s="7">
        <v>0</v>
      </c>
      <c r="AV546" s="7">
        <v>0</v>
      </c>
      <c r="AW546" s="7">
        <v>0</v>
      </c>
      <c r="AX546" s="7">
        <v>0</v>
      </c>
      <c r="AY546" s="7">
        <v>0</v>
      </c>
      <c r="AZ546" s="7">
        <v>0</v>
      </c>
      <c r="BA546" s="7">
        <v>0</v>
      </c>
      <c r="BB546" s="7">
        <v>0</v>
      </c>
      <c r="BC546" s="7">
        <v>0</v>
      </c>
      <c r="BD546">
        <v>0</v>
      </c>
      <c r="BE546">
        <v>28.87</v>
      </c>
      <c r="BF5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6" s="42" t="str">
        <f>+IF(AVANCE[[#This Row],[FECHA INICIO REAL]]="","",AVANCE[[#This Row],[FECHA INICIO REAL]]-AVANCE[[#This Row],[FECHA INICIO TEORICO]])</f>
        <v/>
      </c>
      <c r="BH5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7" spans="1:61" x14ac:dyDescent="0.25">
      <c r="A547" t="s">
        <v>1385</v>
      </c>
      <c r="B547" t="s">
        <v>1387</v>
      </c>
      <c r="C547">
        <v>2302600546</v>
      </c>
      <c r="D547" t="s">
        <v>834</v>
      </c>
      <c r="E547" s="4">
        <v>0</v>
      </c>
      <c r="F547" s="1">
        <v>46414</v>
      </c>
      <c r="G547" s="1"/>
      <c r="H547" s="1">
        <v>0</v>
      </c>
      <c r="I547" s="1">
        <v>46444</v>
      </c>
      <c r="J547">
        <v>46188</v>
      </c>
      <c r="K547" s="1"/>
      <c r="L547" s="7">
        <v>0</v>
      </c>
      <c r="M547" s="7">
        <v>0</v>
      </c>
      <c r="N547" s="7">
        <v>0</v>
      </c>
      <c r="O547" s="7">
        <v>0</v>
      </c>
      <c r="P547" s="7">
        <v>0</v>
      </c>
      <c r="Q547" s="7">
        <v>0</v>
      </c>
      <c r="R547" s="7">
        <v>0</v>
      </c>
      <c r="S547" s="7">
        <v>0</v>
      </c>
      <c r="T547" s="7">
        <v>0</v>
      </c>
      <c r="U547" s="7">
        <v>0</v>
      </c>
      <c r="V547" s="7">
        <v>0</v>
      </c>
      <c r="W547" s="7">
        <v>0</v>
      </c>
      <c r="X547" s="7">
        <v>0</v>
      </c>
      <c r="Y547" s="7">
        <v>0</v>
      </c>
      <c r="Z547" s="7">
        <v>0</v>
      </c>
      <c r="AA547" s="7">
        <v>0</v>
      </c>
      <c r="AB547" s="7">
        <v>0</v>
      </c>
      <c r="AC547" s="7">
        <v>0</v>
      </c>
      <c r="AD547" s="7">
        <v>0</v>
      </c>
      <c r="AE547" s="7">
        <v>0</v>
      </c>
      <c r="AF547" s="7">
        <v>0</v>
      </c>
      <c r="AG547" s="7">
        <v>0</v>
      </c>
      <c r="AH547" s="7">
        <v>0</v>
      </c>
      <c r="AI547" s="7">
        <v>0</v>
      </c>
      <c r="AJ547" s="7">
        <v>0</v>
      </c>
      <c r="AK547" s="7">
        <v>0</v>
      </c>
      <c r="AL547" s="7">
        <v>0</v>
      </c>
      <c r="AM547" s="7">
        <v>0</v>
      </c>
      <c r="AN547" s="7">
        <v>0</v>
      </c>
      <c r="AO547" s="7">
        <v>0</v>
      </c>
      <c r="AP547" s="7">
        <v>0</v>
      </c>
      <c r="AQ547" s="7">
        <v>0</v>
      </c>
      <c r="AR547" s="7">
        <v>0</v>
      </c>
      <c r="AS547" s="7">
        <v>0</v>
      </c>
      <c r="AT547" s="7">
        <v>0</v>
      </c>
      <c r="AU547" s="7">
        <v>0</v>
      </c>
      <c r="AV547" s="7">
        <v>0</v>
      </c>
      <c r="AW547" s="7">
        <v>0</v>
      </c>
      <c r="AX547" s="7">
        <v>0</v>
      </c>
      <c r="AY547" s="7">
        <v>0</v>
      </c>
      <c r="AZ547" s="7">
        <v>0</v>
      </c>
      <c r="BA547" s="7">
        <v>0</v>
      </c>
      <c r="BB547" s="7">
        <v>0</v>
      </c>
      <c r="BC547" s="7">
        <v>0</v>
      </c>
      <c r="BD547">
        <v>0</v>
      </c>
      <c r="BE547">
        <v>31.32</v>
      </c>
      <c r="BF5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7" s="42" t="str">
        <f>+IF(AVANCE[[#This Row],[FECHA INICIO REAL]]="","",AVANCE[[#This Row],[FECHA INICIO REAL]]-AVANCE[[#This Row],[FECHA INICIO TEORICO]])</f>
        <v/>
      </c>
      <c r="BH5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8" spans="1:61" x14ac:dyDescent="0.25">
      <c r="A548" t="s">
        <v>1385</v>
      </c>
      <c r="B548" t="s">
        <v>1388</v>
      </c>
      <c r="C548">
        <v>2302600547</v>
      </c>
      <c r="D548" t="s">
        <v>834</v>
      </c>
      <c r="E548" s="4">
        <v>0</v>
      </c>
      <c r="F548" s="1">
        <v>46414</v>
      </c>
      <c r="G548" s="1"/>
      <c r="H548" s="1">
        <v>0</v>
      </c>
      <c r="I548" s="1">
        <v>46444</v>
      </c>
      <c r="J548">
        <v>46188</v>
      </c>
      <c r="K548" s="1"/>
      <c r="L548" s="7">
        <v>0</v>
      </c>
      <c r="M548" s="7">
        <v>0</v>
      </c>
      <c r="N548" s="7">
        <v>0</v>
      </c>
      <c r="O548" s="7">
        <v>0</v>
      </c>
      <c r="P548" s="7">
        <v>0</v>
      </c>
      <c r="Q548" s="7">
        <v>0</v>
      </c>
      <c r="R548" s="7">
        <v>0</v>
      </c>
      <c r="S548" s="7">
        <v>0</v>
      </c>
      <c r="T548" s="7">
        <v>0</v>
      </c>
      <c r="U548" s="7">
        <v>0</v>
      </c>
      <c r="V548" s="7">
        <v>0</v>
      </c>
      <c r="W548" s="7">
        <v>0</v>
      </c>
      <c r="X548" s="7">
        <v>0</v>
      </c>
      <c r="Y548" s="7">
        <v>0</v>
      </c>
      <c r="Z548" s="7">
        <v>0</v>
      </c>
      <c r="AA548" s="7">
        <v>0</v>
      </c>
      <c r="AB548" s="7">
        <v>0</v>
      </c>
      <c r="AC548" s="7">
        <v>0</v>
      </c>
      <c r="AD548" s="7">
        <v>0</v>
      </c>
      <c r="AE548" s="7">
        <v>0</v>
      </c>
      <c r="AF548" s="7">
        <v>0</v>
      </c>
      <c r="AG548" s="7">
        <v>0</v>
      </c>
      <c r="AH548" s="7">
        <v>0</v>
      </c>
      <c r="AI548" s="7">
        <v>0</v>
      </c>
      <c r="AJ548" s="7">
        <v>0</v>
      </c>
      <c r="AK548" s="7">
        <v>0</v>
      </c>
      <c r="AL548" s="7">
        <v>0</v>
      </c>
      <c r="AM548" s="7">
        <v>0</v>
      </c>
      <c r="AN548" s="7">
        <v>0</v>
      </c>
      <c r="AO548" s="7">
        <v>0</v>
      </c>
      <c r="AP548" s="7">
        <v>0</v>
      </c>
      <c r="AQ548" s="7">
        <v>0</v>
      </c>
      <c r="AR548" s="7">
        <v>0</v>
      </c>
      <c r="AS548" s="7">
        <v>0</v>
      </c>
      <c r="AT548" s="7">
        <v>0</v>
      </c>
      <c r="AU548" s="7">
        <v>0</v>
      </c>
      <c r="AV548" s="7">
        <v>0</v>
      </c>
      <c r="AW548" s="7">
        <v>0</v>
      </c>
      <c r="AX548" s="7">
        <v>0</v>
      </c>
      <c r="AY548" s="7">
        <v>0</v>
      </c>
      <c r="AZ548" s="7">
        <v>0</v>
      </c>
      <c r="BA548" s="7">
        <v>0</v>
      </c>
      <c r="BB548" s="7">
        <v>0</v>
      </c>
      <c r="BC548" s="7">
        <v>0</v>
      </c>
      <c r="BD548">
        <v>0</v>
      </c>
      <c r="BE548">
        <v>31.32</v>
      </c>
      <c r="BF5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8" s="42" t="str">
        <f>+IF(AVANCE[[#This Row],[FECHA INICIO REAL]]="","",AVANCE[[#This Row],[FECHA INICIO REAL]]-AVANCE[[#This Row],[FECHA INICIO TEORICO]])</f>
        <v/>
      </c>
      <c r="BH5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9" spans="1:61" x14ac:dyDescent="0.25">
      <c r="A549" t="s">
        <v>1385</v>
      </c>
      <c r="B549" t="s">
        <v>1389</v>
      </c>
      <c r="C549">
        <v>2282600548</v>
      </c>
      <c r="D549" t="s">
        <v>833</v>
      </c>
      <c r="E549" s="4">
        <v>0</v>
      </c>
      <c r="F549" s="1">
        <v>46415</v>
      </c>
      <c r="G549" s="1"/>
      <c r="H549" s="1">
        <v>0</v>
      </c>
      <c r="I549" s="1">
        <v>46435</v>
      </c>
      <c r="J549">
        <v>46188</v>
      </c>
      <c r="K549" s="1"/>
      <c r="L549" s="7">
        <v>0</v>
      </c>
      <c r="M549" s="7">
        <v>0</v>
      </c>
      <c r="N549" s="7">
        <v>0</v>
      </c>
      <c r="O549" s="7">
        <v>0</v>
      </c>
      <c r="P549" s="7">
        <v>0</v>
      </c>
      <c r="Q549" s="7">
        <v>0</v>
      </c>
      <c r="R549" s="7">
        <v>0</v>
      </c>
      <c r="S549" s="7">
        <v>0</v>
      </c>
      <c r="T549" s="7">
        <v>0</v>
      </c>
      <c r="U549" s="7">
        <v>0</v>
      </c>
      <c r="V549" s="7">
        <v>0</v>
      </c>
      <c r="W549" s="7">
        <v>0</v>
      </c>
      <c r="X549" s="7">
        <v>0</v>
      </c>
      <c r="Y549" s="7">
        <v>0</v>
      </c>
      <c r="Z549" s="7">
        <v>0</v>
      </c>
      <c r="AA549" s="7">
        <v>0</v>
      </c>
      <c r="AB549" s="7">
        <v>0</v>
      </c>
      <c r="AC549" s="7">
        <v>0</v>
      </c>
      <c r="AD549" s="7">
        <v>0</v>
      </c>
      <c r="AE549" s="7">
        <v>0</v>
      </c>
      <c r="AF549" s="7">
        <v>0</v>
      </c>
      <c r="AG549" s="7">
        <v>0</v>
      </c>
      <c r="AH549" s="7">
        <v>0</v>
      </c>
      <c r="AI549" s="7">
        <v>0</v>
      </c>
      <c r="AJ549" s="7">
        <v>0</v>
      </c>
      <c r="AK549" s="7">
        <v>0</v>
      </c>
      <c r="AL549" s="7">
        <v>0</v>
      </c>
      <c r="AM549" s="7">
        <v>0</v>
      </c>
      <c r="AN549" s="7">
        <v>0</v>
      </c>
      <c r="AO549" s="7">
        <v>0</v>
      </c>
      <c r="AP549" s="7">
        <v>0</v>
      </c>
      <c r="AQ549" s="7">
        <v>0</v>
      </c>
      <c r="AR549" s="7">
        <v>0</v>
      </c>
      <c r="AS549" s="7">
        <v>0</v>
      </c>
      <c r="AT549" s="7">
        <v>0</v>
      </c>
      <c r="AU549" s="7">
        <v>0</v>
      </c>
      <c r="AV549" s="7">
        <v>0</v>
      </c>
      <c r="AW549" s="7">
        <v>0</v>
      </c>
      <c r="AX549" s="7">
        <v>0</v>
      </c>
      <c r="AY549" s="7">
        <v>0</v>
      </c>
      <c r="AZ549" s="7">
        <v>0</v>
      </c>
      <c r="BA549" s="7">
        <v>0</v>
      </c>
      <c r="BB549" s="7">
        <v>0</v>
      </c>
      <c r="BC549" s="7">
        <v>0</v>
      </c>
      <c r="BD549">
        <v>0</v>
      </c>
      <c r="BE549">
        <v>28.87</v>
      </c>
      <c r="BF5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9" s="42" t="str">
        <f>+IF(AVANCE[[#This Row],[FECHA INICIO REAL]]="","",AVANCE[[#This Row],[FECHA INICIO REAL]]-AVANCE[[#This Row],[FECHA INICIO TEORICO]])</f>
        <v/>
      </c>
      <c r="BH5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0" spans="1:61" x14ac:dyDescent="0.25">
      <c r="A550" t="s">
        <v>1385</v>
      </c>
      <c r="B550" t="s">
        <v>1390</v>
      </c>
      <c r="C550">
        <v>2282600549</v>
      </c>
      <c r="D550" t="s">
        <v>833</v>
      </c>
      <c r="E550" s="4">
        <v>0</v>
      </c>
      <c r="F550" s="1">
        <v>46415</v>
      </c>
      <c r="G550" s="1"/>
      <c r="H550" s="1">
        <v>0</v>
      </c>
      <c r="I550" s="1">
        <v>46435</v>
      </c>
      <c r="J550">
        <v>46188</v>
      </c>
      <c r="K550" s="1"/>
      <c r="L550" s="7">
        <v>0</v>
      </c>
      <c r="M550" s="7">
        <v>0</v>
      </c>
      <c r="N550" s="7">
        <v>0</v>
      </c>
      <c r="O550" s="7">
        <v>0</v>
      </c>
      <c r="P550" s="7">
        <v>0</v>
      </c>
      <c r="Q550" s="7">
        <v>0</v>
      </c>
      <c r="R550" s="7">
        <v>0</v>
      </c>
      <c r="S550" s="7">
        <v>0</v>
      </c>
      <c r="T550" s="7">
        <v>0</v>
      </c>
      <c r="U550" s="7">
        <v>0</v>
      </c>
      <c r="V550" s="7">
        <v>0</v>
      </c>
      <c r="W550" s="7">
        <v>0</v>
      </c>
      <c r="X550" s="7">
        <v>0</v>
      </c>
      <c r="Y550" s="7">
        <v>0</v>
      </c>
      <c r="Z550" s="7">
        <v>0</v>
      </c>
      <c r="AA550" s="7">
        <v>0</v>
      </c>
      <c r="AB550" s="7">
        <v>0</v>
      </c>
      <c r="AC550" s="7">
        <v>0</v>
      </c>
      <c r="AD550" s="7">
        <v>0</v>
      </c>
      <c r="AE550" s="7">
        <v>0</v>
      </c>
      <c r="AF550" s="7">
        <v>0</v>
      </c>
      <c r="AG550" s="7">
        <v>0</v>
      </c>
      <c r="AH550" s="7">
        <v>0</v>
      </c>
      <c r="AI550" s="7">
        <v>0</v>
      </c>
      <c r="AJ550" s="7">
        <v>0</v>
      </c>
      <c r="AK550" s="7">
        <v>0</v>
      </c>
      <c r="AL550" s="7">
        <v>0</v>
      </c>
      <c r="AM550" s="7">
        <v>0</v>
      </c>
      <c r="AN550" s="7">
        <v>0</v>
      </c>
      <c r="AO550" s="7">
        <v>0</v>
      </c>
      <c r="AP550" s="7">
        <v>0</v>
      </c>
      <c r="AQ550" s="7">
        <v>0</v>
      </c>
      <c r="AR550" s="7">
        <v>0</v>
      </c>
      <c r="AS550" s="7">
        <v>0</v>
      </c>
      <c r="AT550" s="7">
        <v>0</v>
      </c>
      <c r="AU550" s="7">
        <v>0</v>
      </c>
      <c r="AV550" s="7">
        <v>0</v>
      </c>
      <c r="AW550" s="7">
        <v>0</v>
      </c>
      <c r="AX550" s="7">
        <v>0</v>
      </c>
      <c r="AY550" s="7">
        <v>0</v>
      </c>
      <c r="AZ550" s="7">
        <v>0</v>
      </c>
      <c r="BA550" s="7">
        <v>0</v>
      </c>
      <c r="BB550" s="7">
        <v>0</v>
      </c>
      <c r="BC550" s="7">
        <v>0</v>
      </c>
      <c r="BD550">
        <v>0</v>
      </c>
      <c r="BE550">
        <v>28.87</v>
      </c>
      <c r="BF5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0" s="42" t="str">
        <f>+IF(AVANCE[[#This Row],[FECHA INICIO REAL]]="","",AVANCE[[#This Row],[FECHA INICIO REAL]]-AVANCE[[#This Row],[FECHA INICIO TEORICO]])</f>
        <v/>
      </c>
      <c r="BH5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1" spans="1:61" x14ac:dyDescent="0.25">
      <c r="A551" t="s">
        <v>1385</v>
      </c>
      <c r="B551" t="s">
        <v>1391</v>
      </c>
      <c r="C551">
        <v>2302600550</v>
      </c>
      <c r="D551" t="s">
        <v>834</v>
      </c>
      <c r="E551" s="4">
        <v>0</v>
      </c>
      <c r="F551" s="1">
        <v>46415</v>
      </c>
      <c r="G551" s="1"/>
      <c r="H551" s="1">
        <v>0</v>
      </c>
      <c r="I551" s="1">
        <v>46445</v>
      </c>
      <c r="J551">
        <v>46188</v>
      </c>
      <c r="K551" s="1"/>
      <c r="L551" s="7">
        <v>0</v>
      </c>
      <c r="M551" s="7">
        <v>0</v>
      </c>
      <c r="N551" s="7">
        <v>0</v>
      </c>
      <c r="O551" s="7">
        <v>0</v>
      </c>
      <c r="P551" s="7">
        <v>0</v>
      </c>
      <c r="Q551" s="7">
        <v>0</v>
      </c>
      <c r="R551" s="7">
        <v>0</v>
      </c>
      <c r="S551" s="7">
        <v>0</v>
      </c>
      <c r="T551" s="7">
        <v>0</v>
      </c>
      <c r="U551" s="7">
        <v>0</v>
      </c>
      <c r="V551" s="7">
        <v>0</v>
      </c>
      <c r="W551" s="7">
        <v>0</v>
      </c>
      <c r="X551" s="7">
        <v>0</v>
      </c>
      <c r="Y551" s="7">
        <v>0</v>
      </c>
      <c r="Z551" s="7">
        <v>0</v>
      </c>
      <c r="AA551" s="7">
        <v>0</v>
      </c>
      <c r="AB551" s="7">
        <v>0</v>
      </c>
      <c r="AC551" s="7">
        <v>0</v>
      </c>
      <c r="AD551" s="7">
        <v>0</v>
      </c>
      <c r="AE551" s="7">
        <v>0</v>
      </c>
      <c r="AF551" s="7">
        <v>0</v>
      </c>
      <c r="AG551" s="7">
        <v>0</v>
      </c>
      <c r="AH551" s="7">
        <v>0</v>
      </c>
      <c r="AI551" s="7">
        <v>0</v>
      </c>
      <c r="AJ551" s="7">
        <v>0</v>
      </c>
      <c r="AK551" s="7">
        <v>0</v>
      </c>
      <c r="AL551" s="7">
        <v>0</v>
      </c>
      <c r="AM551" s="7">
        <v>0</v>
      </c>
      <c r="AN551" s="7">
        <v>0</v>
      </c>
      <c r="AO551" s="7">
        <v>0</v>
      </c>
      <c r="AP551" s="7">
        <v>0</v>
      </c>
      <c r="AQ551" s="7">
        <v>0</v>
      </c>
      <c r="AR551" s="7">
        <v>0</v>
      </c>
      <c r="AS551" s="7">
        <v>0</v>
      </c>
      <c r="AT551" s="7">
        <v>0</v>
      </c>
      <c r="AU551" s="7">
        <v>0</v>
      </c>
      <c r="AV551" s="7">
        <v>0</v>
      </c>
      <c r="AW551" s="7">
        <v>0</v>
      </c>
      <c r="AX551" s="7">
        <v>0</v>
      </c>
      <c r="AY551" s="7">
        <v>0</v>
      </c>
      <c r="AZ551" s="7">
        <v>0</v>
      </c>
      <c r="BA551" s="7">
        <v>0</v>
      </c>
      <c r="BB551" s="7">
        <v>0</v>
      </c>
      <c r="BC551" s="7">
        <v>0</v>
      </c>
      <c r="BD551">
        <v>0</v>
      </c>
      <c r="BE551">
        <v>31.32</v>
      </c>
      <c r="BF5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1" s="42" t="str">
        <f>+IF(AVANCE[[#This Row],[FECHA INICIO REAL]]="","",AVANCE[[#This Row],[FECHA INICIO REAL]]-AVANCE[[#This Row],[FECHA INICIO TEORICO]])</f>
        <v/>
      </c>
      <c r="BH5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2" spans="1:61" x14ac:dyDescent="0.25">
      <c r="A552" t="s">
        <v>1385</v>
      </c>
      <c r="B552" t="s">
        <v>1392</v>
      </c>
      <c r="C552">
        <v>2302600551</v>
      </c>
      <c r="D552" t="s">
        <v>834</v>
      </c>
      <c r="E552" s="4">
        <v>0</v>
      </c>
      <c r="F552" s="1">
        <v>46416</v>
      </c>
      <c r="G552" s="1"/>
      <c r="H552" s="1">
        <v>0</v>
      </c>
      <c r="I552" s="1">
        <v>46446</v>
      </c>
      <c r="J552">
        <v>46188</v>
      </c>
      <c r="K552" s="1"/>
      <c r="L552" s="7">
        <v>0</v>
      </c>
      <c r="M552" s="7">
        <v>0</v>
      </c>
      <c r="N552" s="7">
        <v>0</v>
      </c>
      <c r="O552" s="7">
        <v>0</v>
      </c>
      <c r="P552" s="7">
        <v>0</v>
      </c>
      <c r="Q552" s="7">
        <v>0</v>
      </c>
      <c r="R552" s="7">
        <v>0</v>
      </c>
      <c r="S552" s="7">
        <v>0</v>
      </c>
      <c r="T552" s="7">
        <v>0</v>
      </c>
      <c r="U552" s="7">
        <v>0</v>
      </c>
      <c r="V552" s="7">
        <v>0</v>
      </c>
      <c r="W552" s="7">
        <v>0</v>
      </c>
      <c r="X552" s="7">
        <v>0</v>
      </c>
      <c r="Y552" s="7">
        <v>0</v>
      </c>
      <c r="Z552" s="7">
        <v>0</v>
      </c>
      <c r="AA552" s="7">
        <v>0</v>
      </c>
      <c r="AB552" s="7">
        <v>0</v>
      </c>
      <c r="AC552" s="7">
        <v>0</v>
      </c>
      <c r="AD552" s="7">
        <v>0</v>
      </c>
      <c r="AE552" s="7">
        <v>0</v>
      </c>
      <c r="AF552" s="7">
        <v>0</v>
      </c>
      <c r="AG552" s="7">
        <v>0</v>
      </c>
      <c r="AH552" s="7">
        <v>0</v>
      </c>
      <c r="AI552" s="7">
        <v>0</v>
      </c>
      <c r="AJ552" s="7">
        <v>0</v>
      </c>
      <c r="AK552" s="7">
        <v>0</v>
      </c>
      <c r="AL552" s="7">
        <v>0</v>
      </c>
      <c r="AM552" s="7">
        <v>0</v>
      </c>
      <c r="AN552" s="7">
        <v>0</v>
      </c>
      <c r="AO552" s="7">
        <v>0</v>
      </c>
      <c r="AP552" s="7">
        <v>0</v>
      </c>
      <c r="AQ552" s="7">
        <v>0</v>
      </c>
      <c r="AR552" s="7">
        <v>0</v>
      </c>
      <c r="AS552" s="7">
        <v>0</v>
      </c>
      <c r="AT552" s="7">
        <v>0</v>
      </c>
      <c r="AU552" s="7">
        <v>0</v>
      </c>
      <c r="AV552" s="7">
        <v>0</v>
      </c>
      <c r="AW552" s="7">
        <v>0</v>
      </c>
      <c r="AX552" s="7">
        <v>0</v>
      </c>
      <c r="AY552" s="7">
        <v>0</v>
      </c>
      <c r="AZ552" s="7">
        <v>0</v>
      </c>
      <c r="BA552" s="7">
        <v>0</v>
      </c>
      <c r="BB552" s="7">
        <v>0</v>
      </c>
      <c r="BC552" s="7">
        <v>0</v>
      </c>
      <c r="BD552">
        <v>0</v>
      </c>
      <c r="BE552">
        <v>31.32</v>
      </c>
      <c r="BF5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2" s="42" t="str">
        <f>+IF(AVANCE[[#This Row],[FECHA INICIO REAL]]="","",AVANCE[[#This Row],[FECHA INICIO REAL]]-AVANCE[[#This Row],[FECHA INICIO TEORICO]])</f>
        <v/>
      </c>
      <c r="BH5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3" spans="1:61" x14ac:dyDescent="0.25">
      <c r="A553" t="s">
        <v>1385</v>
      </c>
      <c r="B553" t="s">
        <v>1393</v>
      </c>
      <c r="C553">
        <v>2282600552</v>
      </c>
      <c r="D553" t="s">
        <v>833</v>
      </c>
      <c r="E553" s="4">
        <v>0</v>
      </c>
      <c r="F553" s="1">
        <v>46416</v>
      </c>
      <c r="G553" s="1"/>
      <c r="H553" s="1">
        <v>0</v>
      </c>
      <c r="I553" s="1">
        <v>46436</v>
      </c>
      <c r="J553">
        <v>46188</v>
      </c>
      <c r="K553" s="1"/>
      <c r="L553" s="7">
        <v>0</v>
      </c>
      <c r="M553" s="7">
        <v>0</v>
      </c>
      <c r="N553" s="7">
        <v>0</v>
      </c>
      <c r="O553" s="7">
        <v>0</v>
      </c>
      <c r="P553" s="7">
        <v>0</v>
      </c>
      <c r="Q553" s="7">
        <v>0</v>
      </c>
      <c r="R553" s="7">
        <v>0</v>
      </c>
      <c r="S553" s="7">
        <v>0</v>
      </c>
      <c r="T553" s="7">
        <v>0</v>
      </c>
      <c r="U553" s="7">
        <v>0</v>
      </c>
      <c r="V553" s="7">
        <v>0</v>
      </c>
      <c r="W553" s="7">
        <v>0</v>
      </c>
      <c r="X553" s="7">
        <v>0</v>
      </c>
      <c r="Y553" s="7">
        <v>0</v>
      </c>
      <c r="Z553" s="7">
        <v>0</v>
      </c>
      <c r="AA553" s="7">
        <v>0</v>
      </c>
      <c r="AB553" s="7">
        <v>0</v>
      </c>
      <c r="AC553" s="7">
        <v>0</v>
      </c>
      <c r="AD553" s="7">
        <v>0</v>
      </c>
      <c r="AE553" s="7">
        <v>0</v>
      </c>
      <c r="AF553" s="7">
        <v>0</v>
      </c>
      <c r="AG553" s="7">
        <v>0</v>
      </c>
      <c r="AH553" s="7">
        <v>0</v>
      </c>
      <c r="AI553" s="7">
        <v>0</v>
      </c>
      <c r="AJ553" s="7">
        <v>0</v>
      </c>
      <c r="AK553" s="7">
        <v>0</v>
      </c>
      <c r="AL553" s="7">
        <v>0</v>
      </c>
      <c r="AM553" s="7">
        <v>0</v>
      </c>
      <c r="AN553" s="7">
        <v>0</v>
      </c>
      <c r="AO553" s="7">
        <v>0</v>
      </c>
      <c r="AP553" s="7">
        <v>0</v>
      </c>
      <c r="AQ553" s="7">
        <v>0</v>
      </c>
      <c r="AR553" s="7">
        <v>0</v>
      </c>
      <c r="AS553" s="7">
        <v>0</v>
      </c>
      <c r="AT553" s="7">
        <v>0</v>
      </c>
      <c r="AU553" s="7">
        <v>0</v>
      </c>
      <c r="AV553" s="7">
        <v>0</v>
      </c>
      <c r="AW553" s="7">
        <v>0</v>
      </c>
      <c r="AX553" s="7">
        <v>0</v>
      </c>
      <c r="AY553" s="7">
        <v>0</v>
      </c>
      <c r="AZ553" s="7">
        <v>0</v>
      </c>
      <c r="BA553" s="7">
        <v>0</v>
      </c>
      <c r="BB553" s="7">
        <v>0</v>
      </c>
      <c r="BC553" s="7">
        <v>0</v>
      </c>
      <c r="BD553">
        <v>0</v>
      </c>
      <c r="BE553">
        <v>28.87</v>
      </c>
      <c r="BF5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3" s="42" t="str">
        <f>+IF(AVANCE[[#This Row],[FECHA INICIO REAL]]="","",AVANCE[[#This Row],[FECHA INICIO REAL]]-AVANCE[[#This Row],[FECHA INICIO TEORICO]])</f>
        <v/>
      </c>
      <c r="BH5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4" spans="1:61" x14ac:dyDescent="0.25">
      <c r="A554" t="s">
        <v>1385</v>
      </c>
      <c r="B554" t="s">
        <v>1394</v>
      </c>
      <c r="C554">
        <v>2282600553</v>
      </c>
      <c r="D554" t="s">
        <v>833</v>
      </c>
      <c r="E554" s="4">
        <v>0</v>
      </c>
      <c r="F554" s="1">
        <v>46416</v>
      </c>
      <c r="G554" s="1"/>
      <c r="H554" s="1">
        <v>0</v>
      </c>
      <c r="I554" s="1">
        <v>46436</v>
      </c>
      <c r="J554">
        <v>46188</v>
      </c>
      <c r="K554" s="1"/>
      <c r="L554" s="7">
        <v>0</v>
      </c>
      <c r="M554" s="7">
        <v>0</v>
      </c>
      <c r="N554" s="7">
        <v>0</v>
      </c>
      <c r="O554" s="7">
        <v>0</v>
      </c>
      <c r="P554" s="7">
        <v>0</v>
      </c>
      <c r="Q554" s="7">
        <v>0</v>
      </c>
      <c r="R554" s="7">
        <v>0</v>
      </c>
      <c r="S554" s="7">
        <v>0</v>
      </c>
      <c r="T554" s="7">
        <v>0</v>
      </c>
      <c r="U554" s="7">
        <v>0</v>
      </c>
      <c r="V554" s="7">
        <v>0</v>
      </c>
      <c r="W554" s="7">
        <v>0</v>
      </c>
      <c r="X554" s="7">
        <v>0</v>
      </c>
      <c r="Y554" s="7">
        <v>0</v>
      </c>
      <c r="Z554" s="7">
        <v>0</v>
      </c>
      <c r="AA554" s="7">
        <v>0</v>
      </c>
      <c r="AB554" s="7">
        <v>0</v>
      </c>
      <c r="AC554" s="7">
        <v>0</v>
      </c>
      <c r="AD554" s="7">
        <v>0</v>
      </c>
      <c r="AE554" s="7">
        <v>0</v>
      </c>
      <c r="AF554" s="7">
        <v>0</v>
      </c>
      <c r="AG554" s="7">
        <v>0</v>
      </c>
      <c r="AH554" s="7">
        <v>0</v>
      </c>
      <c r="AI554" s="7">
        <v>0</v>
      </c>
      <c r="AJ554" s="7">
        <v>0</v>
      </c>
      <c r="AK554" s="7">
        <v>0</v>
      </c>
      <c r="AL554" s="7">
        <v>0</v>
      </c>
      <c r="AM554" s="7">
        <v>0</v>
      </c>
      <c r="AN554" s="7">
        <v>0</v>
      </c>
      <c r="AO554" s="7">
        <v>0</v>
      </c>
      <c r="AP554" s="7">
        <v>0</v>
      </c>
      <c r="AQ554" s="7">
        <v>0</v>
      </c>
      <c r="AR554" s="7">
        <v>0</v>
      </c>
      <c r="AS554" s="7">
        <v>0</v>
      </c>
      <c r="AT554" s="7">
        <v>0</v>
      </c>
      <c r="AU554" s="7">
        <v>0</v>
      </c>
      <c r="AV554" s="7">
        <v>0</v>
      </c>
      <c r="AW554" s="7">
        <v>0</v>
      </c>
      <c r="AX554" s="7">
        <v>0</v>
      </c>
      <c r="AY554" s="7">
        <v>0</v>
      </c>
      <c r="AZ554" s="7">
        <v>0</v>
      </c>
      <c r="BA554" s="7">
        <v>0</v>
      </c>
      <c r="BB554" s="7">
        <v>0</v>
      </c>
      <c r="BC554" s="7">
        <v>0</v>
      </c>
      <c r="BD554">
        <v>0</v>
      </c>
      <c r="BE554">
        <v>28.87</v>
      </c>
      <c r="BF5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4" s="42" t="str">
        <f>+IF(AVANCE[[#This Row],[FECHA INICIO REAL]]="","",AVANCE[[#This Row],[FECHA INICIO REAL]]-AVANCE[[#This Row],[FECHA INICIO TEORICO]])</f>
        <v/>
      </c>
      <c r="BH5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5" spans="1:61" x14ac:dyDescent="0.25">
      <c r="A555" t="s">
        <v>1385</v>
      </c>
      <c r="B555" t="s">
        <v>1395</v>
      </c>
      <c r="C555">
        <v>2302600554</v>
      </c>
      <c r="D555" t="s">
        <v>834</v>
      </c>
      <c r="E555" s="4">
        <v>0</v>
      </c>
      <c r="F555" s="1">
        <v>46419</v>
      </c>
      <c r="G555" s="1"/>
      <c r="H555" s="1">
        <v>0</v>
      </c>
      <c r="I555" s="1">
        <v>46449</v>
      </c>
      <c r="J555">
        <v>46188</v>
      </c>
      <c r="K555" s="1"/>
      <c r="L555" s="7">
        <v>0</v>
      </c>
      <c r="M555" s="7">
        <v>0</v>
      </c>
      <c r="N555" s="7">
        <v>0</v>
      </c>
      <c r="O555" s="7">
        <v>0</v>
      </c>
      <c r="P555" s="7">
        <v>0</v>
      </c>
      <c r="Q555" s="7">
        <v>0</v>
      </c>
      <c r="R555" s="7">
        <v>0</v>
      </c>
      <c r="S555" s="7">
        <v>0</v>
      </c>
      <c r="T555" s="7">
        <v>0</v>
      </c>
      <c r="U555" s="7">
        <v>0</v>
      </c>
      <c r="V555" s="7">
        <v>0</v>
      </c>
      <c r="W555" s="7">
        <v>0</v>
      </c>
      <c r="X555" s="7">
        <v>0</v>
      </c>
      <c r="Y555" s="7">
        <v>0</v>
      </c>
      <c r="Z555" s="7">
        <v>0</v>
      </c>
      <c r="AA555" s="7">
        <v>0</v>
      </c>
      <c r="AB555" s="7">
        <v>0</v>
      </c>
      <c r="AC555" s="7">
        <v>0</v>
      </c>
      <c r="AD555" s="7">
        <v>0</v>
      </c>
      <c r="AE555" s="7">
        <v>0</v>
      </c>
      <c r="AF555" s="7">
        <v>0</v>
      </c>
      <c r="AG555" s="7">
        <v>0</v>
      </c>
      <c r="AH555" s="7">
        <v>0</v>
      </c>
      <c r="AI555" s="7">
        <v>0</v>
      </c>
      <c r="AJ555" s="7">
        <v>0</v>
      </c>
      <c r="AK555" s="7">
        <v>0</v>
      </c>
      <c r="AL555" s="7">
        <v>0</v>
      </c>
      <c r="AM555" s="7">
        <v>0</v>
      </c>
      <c r="AN555" s="7">
        <v>0</v>
      </c>
      <c r="AO555" s="7">
        <v>0</v>
      </c>
      <c r="AP555" s="7">
        <v>0</v>
      </c>
      <c r="AQ555" s="7">
        <v>0</v>
      </c>
      <c r="AR555" s="7">
        <v>0</v>
      </c>
      <c r="AS555" s="7">
        <v>0</v>
      </c>
      <c r="AT555" s="7">
        <v>0</v>
      </c>
      <c r="AU555" s="7">
        <v>0</v>
      </c>
      <c r="AV555" s="7">
        <v>0</v>
      </c>
      <c r="AW555" s="7">
        <v>0</v>
      </c>
      <c r="AX555" s="7">
        <v>0</v>
      </c>
      <c r="AY555" s="7">
        <v>0</v>
      </c>
      <c r="AZ555" s="7">
        <v>0</v>
      </c>
      <c r="BA555" s="7">
        <v>0</v>
      </c>
      <c r="BB555" s="7">
        <v>0</v>
      </c>
      <c r="BC555" s="7">
        <v>0</v>
      </c>
      <c r="BD555">
        <v>0</v>
      </c>
      <c r="BE555">
        <v>31.32</v>
      </c>
      <c r="BF5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5" s="42" t="str">
        <f>+IF(AVANCE[[#This Row],[FECHA INICIO REAL]]="","",AVANCE[[#This Row],[FECHA INICIO REAL]]-AVANCE[[#This Row],[FECHA INICIO TEORICO]])</f>
        <v/>
      </c>
      <c r="BH5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6" spans="1:61" x14ac:dyDescent="0.25">
      <c r="A556" t="s">
        <v>1385</v>
      </c>
      <c r="B556" t="s">
        <v>1396</v>
      </c>
      <c r="C556">
        <v>2302600555</v>
      </c>
      <c r="D556" t="s">
        <v>834</v>
      </c>
      <c r="E556" s="4">
        <v>0</v>
      </c>
      <c r="F556" s="1">
        <v>46419</v>
      </c>
      <c r="G556" s="1"/>
      <c r="H556" s="1">
        <v>0</v>
      </c>
      <c r="I556" s="1">
        <v>46449</v>
      </c>
      <c r="J556">
        <v>46188</v>
      </c>
      <c r="K556" s="1"/>
      <c r="L556" s="7">
        <v>0</v>
      </c>
      <c r="M556" s="7">
        <v>0</v>
      </c>
      <c r="N556" s="7">
        <v>0</v>
      </c>
      <c r="O556" s="7">
        <v>0</v>
      </c>
      <c r="P556" s="7">
        <v>0</v>
      </c>
      <c r="Q556" s="7">
        <v>0</v>
      </c>
      <c r="R556" s="7">
        <v>0</v>
      </c>
      <c r="S556" s="7">
        <v>0</v>
      </c>
      <c r="T556" s="7">
        <v>0</v>
      </c>
      <c r="U556" s="7">
        <v>0</v>
      </c>
      <c r="V556" s="7">
        <v>0</v>
      </c>
      <c r="W556" s="7">
        <v>0</v>
      </c>
      <c r="X556" s="7">
        <v>0</v>
      </c>
      <c r="Y556" s="7">
        <v>0</v>
      </c>
      <c r="Z556" s="7">
        <v>0</v>
      </c>
      <c r="AA556" s="7">
        <v>0</v>
      </c>
      <c r="AB556" s="7">
        <v>0</v>
      </c>
      <c r="AC556" s="7">
        <v>0</v>
      </c>
      <c r="AD556" s="7">
        <v>0</v>
      </c>
      <c r="AE556" s="7">
        <v>0</v>
      </c>
      <c r="AF556" s="7">
        <v>0</v>
      </c>
      <c r="AG556" s="7">
        <v>0</v>
      </c>
      <c r="AH556" s="7">
        <v>0</v>
      </c>
      <c r="AI556" s="7">
        <v>0</v>
      </c>
      <c r="AJ556" s="7">
        <v>0</v>
      </c>
      <c r="AK556" s="7">
        <v>0</v>
      </c>
      <c r="AL556" s="7">
        <v>0</v>
      </c>
      <c r="AM556" s="7">
        <v>0</v>
      </c>
      <c r="AN556" s="7">
        <v>0</v>
      </c>
      <c r="AO556" s="7">
        <v>0</v>
      </c>
      <c r="AP556" s="7">
        <v>0</v>
      </c>
      <c r="AQ556" s="7">
        <v>0</v>
      </c>
      <c r="AR556" s="7">
        <v>0</v>
      </c>
      <c r="AS556" s="7">
        <v>0</v>
      </c>
      <c r="AT556" s="7">
        <v>0</v>
      </c>
      <c r="AU556" s="7">
        <v>0</v>
      </c>
      <c r="AV556" s="7">
        <v>0</v>
      </c>
      <c r="AW556" s="7">
        <v>0</v>
      </c>
      <c r="AX556" s="7">
        <v>0</v>
      </c>
      <c r="AY556" s="7">
        <v>0</v>
      </c>
      <c r="AZ556" s="7">
        <v>0</v>
      </c>
      <c r="BA556" s="7">
        <v>0</v>
      </c>
      <c r="BB556" s="7">
        <v>0</v>
      </c>
      <c r="BC556" s="7">
        <v>0</v>
      </c>
      <c r="BD556">
        <v>0</v>
      </c>
      <c r="BE556">
        <v>31.32</v>
      </c>
      <c r="BF5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6" s="42" t="str">
        <f>+IF(AVANCE[[#This Row],[FECHA INICIO REAL]]="","",AVANCE[[#This Row],[FECHA INICIO REAL]]-AVANCE[[#This Row],[FECHA INICIO TEORICO]])</f>
        <v/>
      </c>
      <c r="BH5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7" spans="1:61" x14ac:dyDescent="0.25">
      <c r="A557" t="s">
        <v>1385</v>
      </c>
      <c r="B557" t="s">
        <v>1397</v>
      </c>
      <c r="C557">
        <v>2282600556</v>
      </c>
      <c r="D557" t="s">
        <v>833</v>
      </c>
      <c r="E557" s="4">
        <v>0</v>
      </c>
      <c r="F557" s="1">
        <v>46419</v>
      </c>
      <c r="G557" s="1"/>
      <c r="H557" s="1">
        <v>0</v>
      </c>
      <c r="I557" s="1">
        <v>46439</v>
      </c>
      <c r="J557">
        <v>46188</v>
      </c>
      <c r="K557" s="1"/>
      <c r="L557" s="7">
        <v>0</v>
      </c>
      <c r="M557" s="7">
        <v>0</v>
      </c>
      <c r="N557" s="7">
        <v>0</v>
      </c>
      <c r="O557" s="7">
        <v>0</v>
      </c>
      <c r="P557" s="7">
        <v>0</v>
      </c>
      <c r="Q557" s="7">
        <v>0</v>
      </c>
      <c r="R557" s="7">
        <v>0</v>
      </c>
      <c r="S557" s="7">
        <v>0</v>
      </c>
      <c r="T557" s="7">
        <v>0</v>
      </c>
      <c r="U557" s="7">
        <v>0</v>
      </c>
      <c r="V557" s="7">
        <v>0</v>
      </c>
      <c r="W557" s="7">
        <v>0</v>
      </c>
      <c r="X557" s="7">
        <v>0</v>
      </c>
      <c r="Y557" s="7">
        <v>0</v>
      </c>
      <c r="Z557" s="7">
        <v>0</v>
      </c>
      <c r="AA557" s="7">
        <v>0</v>
      </c>
      <c r="AB557" s="7">
        <v>0</v>
      </c>
      <c r="AC557" s="7">
        <v>0</v>
      </c>
      <c r="AD557" s="7">
        <v>0</v>
      </c>
      <c r="AE557" s="7">
        <v>0</v>
      </c>
      <c r="AF557" s="7">
        <v>0</v>
      </c>
      <c r="AG557" s="7">
        <v>0</v>
      </c>
      <c r="AH557" s="7">
        <v>0</v>
      </c>
      <c r="AI557" s="7">
        <v>0</v>
      </c>
      <c r="AJ557" s="7">
        <v>0</v>
      </c>
      <c r="AK557" s="7">
        <v>0</v>
      </c>
      <c r="AL557" s="7">
        <v>0</v>
      </c>
      <c r="AM557" s="7">
        <v>0</v>
      </c>
      <c r="AN557" s="7">
        <v>0</v>
      </c>
      <c r="AO557" s="7">
        <v>0</v>
      </c>
      <c r="AP557" s="7">
        <v>0</v>
      </c>
      <c r="AQ557" s="7">
        <v>0</v>
      </c>
      <c r="AR557" s="7">
        <v>0</v>
      </c>
      <c r="AS557" s="7">
        <v>0</v>
      </c>
      <c r="AT557" s="7">
        <v>0</v>
      </c>
      <c r="AU557" s="7">
        <v>0</v>
      </c>
      <c r="AV557" s="7">
        <v>0</v>
      </c>
      <c r="AW557" s="7">
        <v>0</v>
      </c>
      <c r="AX557" s="7">
        <v>0</v>
      </c>
      <c r="AY557" s="7">
        <v>0</v>
      </c>
      <c r="AZ557" s="7">
        <v>0</v>
      </c>
      <c r="BA557" s="7">
        <v>0</v>
      </c>
      <c r="BB557" s="7">
        <v>0</v>
      </c>
      <c r="BC557" s="7">
        <v>0</v>
      </c>
      <c r="BD557">
        <v>0</v>
      </c>
      <c r="BE557">
        <v>28.87</v>
      </c>
      <c r="BF5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7" s="42" t="str">
        <f>+IF(AVANCE[[#This Row],[FECHA INICIO REAL]]="","",AVANCE[[#This Row],[FECHA INICIO REAL]]-AVANCE[[#This Row],[FECHA INICIO TEORICO]])</f>
        <v/>
      </c>
      <c r="BH5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8" spans="1:61" x14ac:dyDescent="0.25">
      <c r="A558" t="s">
        <v>1385</v>
      </c>
      <c r="B558" t="s">
        <v>1398</v>
      </c>
      <c r="C558">
        <v>2282600557</v>
      </c>
      <c r="D558" t="s">
        <v>833</v>
      </c>
      <c r="E558" s="4">
        <v>0</v>
      </c>
      <c r="F558" s="1">
        <v>46420</v>
      </c>
      <c r="G558" s="1"/>
      <c r="H558" s="1">
        <v>0</v>
      </c>
      <c r="I558" s="1">
        <v>46440</v>
      </c>
      <c r="J558">
        <v>46188</v>
      </c>
      <c r="K558" s="1"/>
      <c r="L558" s="7">
        <v>0</v>
      </c>
      <c r="M558" s="7">
        <v>0</v>
      </c>
      <c r="N558" s="7">
        <v>0</v>
      </c>
      <c r="O558" s="7">
        <v>0</v>
      </c>
      <c r="P558" s="7">
        <v>0</v>
      </c>
      <c r="Q558" s="7">
        <v>0</v>
      </c>
      <c r="R558" s="7">
        <v>0</v>
      </c>
      <c r="S558" s="7">
        <v>0</v>
      </c>
      <c r="T558" s="7">
        <v>0</v>
      </c>
      <c r="U558" s="7">
        <v>0</v>
      </c>
      <c r="V558" s="7">
        <v>0</v>
      </c>
      <c r="W558" s="7">
        <v>0</v>
      </c>
      <c r="X558" s="7">
        <v>0</v>
      </c>
      <c r="Y558" s="7">
        <v>0</v>
      </c>
      <c r="Z558" s="7">
        <v>0</v>
      </c>
      <c r="AA558" s="7">
        <v>0</v>
      </c>
      <c r="AB558" s="7">
        <v>0</v>
      </c>
      <c r="AC558" s="7">
        <v>0</v>
      </c>
      <c r="AD558" s="7">
        <v>0</v>
      </c>
      <c r="AE558" s="7">
        <v>0</v>
      </c>
      <c r="AF558" s="7">
        <v>0</v>
      </c>
      <c r="AG558" s="7">
        <v>0</v>
      </c>
      <c r="AH558" s="7">
        <v>0</v>
      </c>
      <c r="AI558" s="7">
        <v>0</v>
      </c>
      <c r="AJ558" s="7">
        <v>0</v>
      </c>
      <c r="AK558" s="7">
        <v>0</v>
      </c>
      <c r="AL558" s="7">
        <v>0</v>
      </c>
      <c r="AM558" s="7">
        <v>0</v>
      </c>
      <c r="AN558" s="7">
        <v>0</v>
      </c>
      <c r="AO558" s="7">
        <v>0</v>
      </c>
      <c r="AP558" s="7">
        <v>0</v>
      </c>
      <c r="AQ558" s="7">
        <v>0</v>
      </c>
      <c r="AR558" s="7">
        <v>0</v>
      </c>
      <c r="AS558" s="7">
        <v>0</v>
      </c>
      <c r="AT558" s="7">
        <v>0</v>
      </c>
      <c r="AU558" s="7">
        <v>0</v>
      </c>
      <c r="AV558" s="7">
        <v>0</v>
      </c>
      <c r="AW558" s="7">
        <v>0</v>
      </c>
      <c r="AX558" s="7">
        <v>0</v>
      </c>
      <c r="AY558" s="7">
        <v>0</v>
      </c>
      <c r="AZ558" s="7">
        <v>0</v>
      </c>
      <c r="BA558" s="7">
        <v>0</v>
      </c>
      <c r="BB558" s="7">
        <v>0</v>
      </c>
      <c r="BC558" s="7">
        <v>0</v>
      </c>
      <c r="BD558">
        <v>0</v>
      </c>
      <c r="BE558">
        <v>28.87</v>
      </c>
      <c r="BF5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8" s="42" t="str">
        <f>+IF(AVANCE[[#This Row],[FECHA INICIO REAL]]="","",AVANCE[[#This Row],[FECHA INICIO REAL]]-AVANCE[[#This Row],[FECHA INICIO TEORICO]])</f>
        <v/>
      </c>
      <c r="BH5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9" spans="1:61" x14ac:dyDescent="0.25">
      <c r="A559" t="s">
        <v>1385</v>
      </c>
      <c r="B559" t="s">
        <v>1399</v>
      </c>
      <c r="C559">
        <v>2302600558</v>
      </c>
      <c r="D559" t="s">
        <v>834</v>
      </c>
      <c r="E559" s="4">
        <v>0</v>
      </c>
      <c r="F559" s="1">
        <v>46420</v>
      </c>
      <c r="G559" s="1"/>
      <c r="H559" s="1">
        <v>0</v>
      </c>
      <c r="I559" s="1">
        <v>46450</v>
      </c>
      <c r="J559">
        <v>46188</v>
      </c>
      <c r="K559" s="1"/>
      <c r="L559" s="7">
        <v>0</v>
      </c>
      <c r="M559" s="7">
        <v>0</v>
      </c>
      <c r="N559" s="7">
        <v>0</v>
      </c>
      <c r="O559" s="7">
        <v>0</v>
      </c>
      <c r="P559" s="7">
        <v>0</v>
      </c>
      <c r="Q559" s="7">
        <v>0</v>
      </c>
      <c r="R559" s="7">
        <v>0</v>
      </c>
      <c r="S559" s="7">
        <v>0</v>
      </c>
      <c r="T559" s="7">
        <v>0</v>
      </c>
      <c r="U559" s="7">
        <v>0</v>
      </c>
      <c r="V559" s="7">
        <v>0</v>
      </c>
      <c r="W559" s="7">
        <v>0</v>
      </c>
      <c r="X559" s="7">
        <v>0</v>
      </c>
      <c r="Y559" s="7">
        <v>0</v>
      </c>
      <c r="Z559" s="7">
        <v>0</v>
      </c>
      <c r="AA559" s="7">
        <v>0</v>
      </c>
      <c r="AB559" s="7">
        <v>0</v>
      </c>
      <c r="AC559" s="7">
        <v>0</v>
      </c>
      <c r="AD559" s="7">
        <v>0</v>
      </c>
      <c r="AE559" s="7">
        <v>0</v>
      </c>
      <c r="AF559" s="7">
        <v>0</v>
      </c>
      <c r="AG559" s="7">
        <v>0</v>
      </c>
      <c r="AH559" s="7">
        <v>0</v>
      </c>
      <c r="AI559" s="7">
        <v>0</v>
      </c>
      <c r="AJ559" s="7">
        <v>0</v>
      </c>
      <c r="AK559" s="7">
        <v>0</v>
      </c>
      <c r="AL559" s="7">
        <v>0</v>
      </c>
      <c r="AM559" s="7">
        <v>0</v>
      </c>
      <c r="AN559" s="7">
        <v>0</v>
      </c>
      <c r="AO559" s="7">
        <v>0</v>
      </c>
      <c r="AP559" s="7">
        <v>0</v>
      </c>
      <c r="AQ559" s="7">
        <v>0</v>
      </c>
      <c r="AR559" s="7">
        <v>0</v>
      </c>
      <c r="AS559" s="7">
        <v>0</v>
      </c>
      <c r="AT559" s="7">
        <v>0</v>
      </c>
      <c r="AU559" s="7">
        <v>0</v>
      </c>
      <c r="AV559" s="7">
        <v>0</v>
      </c>
      <c r="AW559" s="7">
        <v>0</v>
      </c>
      <c r="AX559" s="7">
        <v>0</v>
      </c>
      <c r="AY559" s="7">
        <v>0</v>
      </c>
      <c r="AZ559" s="7">
        <v>0</v>
      </c>
      <c r="BA559" s="7">
        <v>0</v>
      </c>
      <c r="BB559" s="7">
        <v>0</v>
      </c>
      <c r="BC559" s="7">
        <v>0</v>
      </c>
      <c r="BD559">
        <v>0</v>
      </c>
      <c r="BE559">
        <v>31.32</v>
      </c>
      <c r="BF5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9" s="42" t="str">
        <f>+IF(AVANCE[[#This Row],[FECHA INICIO REAL]]="","",AVANCE[[#This Row],[FECHA INICIO REAL]]-AVANCE[[#This Row],[FECHA INICIO TEORICO]])</f>
        <v/>
      </c>
      <c r="BH5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0" spans="1:61" x14ac:dyDescent="0.25">
      <c r="A560" t="s">
        <v>1385</v>
      </c>
      <c r="B560" t="s">
        <v>1400</v>
      </c>
      <c r="C560">
        <v>2302600559</v>
      </c>
      <c r="D560" t="s">
        <v>834</v>
      </c>
      <c r="E560" s="4">
        <v>0</v>
      </c>
      <c r="F560" s="1">
        <v>46420</v>
      </c>
      <c r="G560" s="1"/>
      <c r="H560" s="1">
        <v>0</v>
      </c>
      <c r="I560" s="1">
        <v>46450</v>
      </c>
      <c r="J560">
        <v>46188</v>
      </c>
      <c r="K560" s="1"/>
      <c r="L560" s="7">
        <v>0</v>
      </c>
      <c r="M560" s="7">
        <v>0</v>
      </c>
      <c r="N560" s="7">
        <v>0</v>
      </c>
      <c r="O560" s="7">
        <v>0</v>
      </c>
      <c r="P560" s="7">
        <v>0</v>
      </c>
      <c r="Q560" s="7">
        <v>0</v>
      </c>
      <c r="R560" s="7">
        <v>0</v>
      </c>
      <c r="S560" s="7">
        <v>0</v>
      </c>
      <c r="T560" s="7">
        <v>0</v>
      </c>
      <c r="U560" s="7">
        <v>0</v>
      </c>
      <c r="V560" s="7">
        <v>0</v>
      </c>
      <c r="W560" s="7">
        <v>0</v>
      </c>
      <c r="X560" s="7">
        <v>0</v>
      </c>
      <c r="Y560" s="7">
        <v>0</v>
      </c>
      <c r="Z560" s="7">
        <v>0</v>
      </c>
      <c r="AA560" s="7">
        <v>0</v>
      </c>
      <c r="AB560" s="7">
        <v>0</v>
      </c>
      <c r="AC560" s="7">
        <v>0</v>
      </c>
      <c r="AD560" s="7">
        <v>0</v>
      </c>
      <c r="AE560" s="7">
        <v>0</v>
      </c>
      <c r="AF560" s="7">
        <v>0</v>
      </c>
      <c r="AG560" s="7">
        <v>0</v>
      </c>
      <c r="AH560" s="7">
        <v>0</v>
      </c>
      <c r="AI560" s="7">
        <v>0</v>
      </c>
      <c r="AJ560" s="7">
        <v>0</v>
      </c>
      <c r="AK560" s="7">
        <v>0</v>
      </c>
      <c r="AL560" s="7">
        <v>0</v>
      </c>
      <c r="AM560" s="7">
        <v>0</v>
      </c>
      <c r="AN560" s="7">
        <v>0</v>
      </c>
      <c r="AO560" s="7">
        <v>0</v>
      </c>
      <c r="AP560" s="7">
        <v>0</v>
      </c>
      <c r="AQ560" s="7">
        <v>0</v>
      </c>
      <c r="AR560" s="7">
        <v>0</v>
      </c>
      <c r="AS560" s="7">
        <v>0</v>
      </c>
      <c r="AT560" s="7">
        <v>0</v>
      </c>
      <c r="AU560" s="7">
        <v>0</v>
      </c>
      <c r="AV560" s="7">
        <v>0</v>
      </c>
      <c r="AW560" s="7">
        <v>0</v>
      </c>
      <c r="AX560" s="7">
        <v>0</v>
      </c>
      <c r="AY560" s="7">
        <v>0</v>
      </c>
      <c r="AZ560" s="7">
        <v>0</v>
      </c>
      <c r="BA560" s="7">
        <v>0</v>
      </c>
      <c r="BB560" s="7">
        <v>0</v>
      </c>
      <c r="BC560" s="7">
        <v>0</v>
      </c>
      <c r="BD560">
        <v>0</v>
      </c>
      <c r="BE560">
        <v>31.32</v>
      </c>
      <c r="BF5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0" s="42" t="str">
        <f>+IF(AVANCE[[#This Row],[FECHA INICIO REAL]]="","",AVANCE[[#This Row],[FECHA INICIO REAL]]-AVANCE[[#This Row],[FECHA INICIO TEORICO]])</f>
        <v/>
      </c>
      <c r="BH5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1" spans="1:61" x14ac:dyDescent="0.25">
      <c r="A561" t="s">
        <v>1385</v>
      </c>
      <c r="B561" t="s">
        <v>1401</v>
      </c>
      <c r="C561">
        <v>2282600560</v>
      </c>
      <c r="D561" t="s">
        <v>833</v>
      </c>
      <c r="E561" s="4">
        <v>0</v>
      </c>
      <c r="F561" s="1">
        <v>46421</v>
      </c>
      <c r="G561" s="1"/>
      <c r="H561" s="1">
        <v>0</v>
      </c>
      <c r="I561" s="1">
        <v>46441</v>
      </c>
      <c r="J561">
        <v>46188</v>
      </c>
      <c r="K561" s="1"/>
      <c r="L561" s="7">
        <v>0</v>
      </c>
      <c r="M561" s="7">
        <v>0</v>
      </c>
      <c r="N561" s="7">
        <v>0</v>
      </c>
      <c r="O561" s="7">
        <v>0</v>
      </c>
      <c r="P561" s="7">
        <v>0</v>
      </c>
      <c r="Q561" s="7">
        <v>0</v>
      </c>
      <c r="R561" s="7">
        <v>0</v>
      </c>
      <c r="S561" s="7">
        <v>0</v>
      </c>
      <c r="T561" s="7">
        <v>0</v>
      </c>
      <c r="U561" s="7">
        <v>0</v>
      </c>
      <c r="V561" s="7">
        <v>0</v>
      </c>
      <c r="W561" s="7">
        <v>0</v>
      </c>
      <c r="X561" s="7">
        <v>0</v>
      </c>
      <c r="Y561" s="7">
        <v>0</v>
      </c>
      <c r="Z561" s="7">
        <v>0</v>
      </c>
      <c r="AA561" s="7">
        <v>0</v>
      </c>
      <c r="AB561" s="7">
        <v>0</v>
      </c>
      <c r="AC561" s="7">
        <v>0</v>
      </c>
      <c r="AD561" s="7">
        <v>0</v>
      </c>
      <c r="AE561" s="7">
        <v>0</v>
      </c>
      <c r="AF561" s="7">
        <v>0</v>
      </c>
      <c r="AG561" s="7">
        <v>0</v>
      </c>
      <c r="AH561" s="7">
        <v>0</v>
      </c>
      <c r="AI561" s="7">
        <v>0</v>
      </c>
      <c r="AJ561" s="7">
        <v>0</v>
      </c>
      <c r="AK561" s="7">
        <v>0</v>
      </c>
      <c r="AL561" s="7">
        <v>0</v>
      </c>
      <c r="AM561" s="7">
        <v>0</v>
      </c>
      <c r="AN561" s="7">
        <v>0</v>
      </c>
      <c r="AO561" s="7">
        <v>0</v>
      </c>
      <c r="AP561" s="7">
        <v>0</v>
      </c>
      <c r="AQ561" s="7">
        <v>0</v>
      </c>
      <c r="AR561" s="7">
        <v>0</v>
      </c>
      <c r="AS561" s="7">
        <v>0</v>
      </c>
      <c r="AT561" s="7">
        <v>0</v>
      </c>
      <c r="AU561" s="7">
        <v>0</v>
      </c>
      <c r="AV561" s="7">
        <v>0</v>
      </c>
      <c r="AW561" s="7">
        <v>0</v>
      </c>
      <c r="AX561" s="7">
        <v>0</v>
      </c>
      <c r="AY561" s="7">
        <v>0</v>
      </c>
      <c r="AZ561" s="7">
        <v>0</v>
      </c>
      <c r="BA561" s="7">
        <v>0</v>
      </c>
      <c r="BB561" s="7">
        <v>0</v>
      </c>
      <c r="BC561" s="7">
        <v>0</v>
      </c>
      <c r="BD561">
        <v>0</v>
      </c>
      <c r="BE561">
        <v>28.87</v>
      </c>
      <c r="BF5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1" s="42" t="str">
        <f>+IF(AVANCE[[#This Row],[FECHA INICIO REAL]]="","",AVANCE[[#This Row],[FECHA INICIO REAL]]-AVANCE[[#This Row],[FECHA INICIO TEORICO]])</f>
        <v/>
      </c>
      <c r="BH5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2" spans="1:61" x14ac:dyDescent="0.25">
      <c r="A562" t="s">
        <v>1385</v>
      </c>
      <c r="B562" t="s">
        <v>1402</v>
      </c>
      <c r="C562">
        <v>2282600561</v>
      </c>
      <c r="D562" t="s">
        <v>833</v>
      </c>
      <c r="E562" s="4">
        <v>0</v>
      </c>
      <c r="F562" s="1">
        <v>46421</v>
      </c>
      <c r="G562" s="1"/>
      <c r="H562" s="1">
        <v>0</v>
      </c>
      <c r="I562" s="1">
        <v>46441</v>
      </c>
      <c r="J562">
        <v>46188</v>
      </c>
      <c r="K562" s="1"/>
      <c r="L562" s="7">
        <v>0</v>
      </c>
      <c r="M562" s="7">
        <v>0</v>
      </c>
      <c r="N562" s="7">
        <v>0</v>
      </c>
      <c r="O562" s="7">
        <v>0</v>
      </c>
      <c r="P562" s="7">
        <v>0</v>
      </c>
      <c r="Q562" s="7">
        <v>0</v>
      </c>
      <c r="R562" s="7">
        <v>0</v>
      </c>
      <c r="S562" s="7">
        <v>0</v>
      </c>
      <c r="T562" s="7">
        <v>0</v>
      </c>
      <c r="U562" s="7">
        <v>0</v>
      </c>
      <c r="V562" s="7">
        <v>0</v>
      </c>
      <c r="W562" s="7">
        <v>0</v>
      </c>
      <c r="X562" s="7">
        <v>0</v>
      </c>
      <c r="Y562" s="7">
        <v>0</v>
      </c>
      <c r="Z562" s="7">
        <v>0</v>
      </c>
      <c r="AA562" s="7">
        <v>0</v>
      </c>
      <c r="AB562" s="7">
        <v>0</v>
      </c>
      <c r="AC562" s="7">
        <v>0</v>
      </c>
      <c r="AD562" s="7">
        <v>0</v>
      </c>
      <c r="AE562" s="7">
        <v>0</v>
      </c>
      <c r="AF562" s="7">
        <v>0</v>
      </c>
      <c r="AG562" s="7">
        <v>0</v>
      </c>
      <c r="AH562" s="7">
        <v>0</v>
      </c>
      <c r="AI562" s="7">
        <v>0</v>
      </c>
      <c r="AJ562" s="7">
        <v>0</v>
      </c>
      <c r="AK562" s="7">
        <v>0</v>
      </c>
      <c r="AL562" s="7">
        <v>0</v>
      </c>
      <c r="AM562" s="7">
        <v>0</v>
      </c>
      <c r="AN562" s="7">
        <v>0</v>
      </c>
      <c r="AO562" s="7">
        <v>0</v>
      </c>
      <c r="AP562" s="7">
        <v>0</v>
      </c>
      <c r="AQ562" s="7">
        <v>0</v>
      </c>
      <c r="AR562" s="7">
        <v>0</v>
      </c>
      <c r="AS562" s="7">
        <v>0</v>
      </c>
      <c r="AT562" s="7">
        <v>0</v>
      </c>
      <c r="AU562" s="7">
        <v>0</v>
      </c>
      <c r="AV562" s="7">
        <v>0</v>
      </c>
      <c r="AW562" s="7">
        <v>0</v>
      </c>
      <c r="AX562" s="7">
        <v>0</v>
      </c>
      <c r="AY562" s="7">
        <v>0</v>
      </c>
      <c r="AZ562" s="7">
        <v>0</v>
      </c>
      <c r="BA562" s="7">
        <v>0</v>
      </c>
      <c r="BB562" s="7">
        <v>0</v>
      </c>
      <c r="BC562" s="7">
        <v>0</v>
      </c>
      <c r="BD562">
        <v>0</v>
      </c>
      <c r="BE562">
        <v>28.87</v>
      </c>
      <c r="BF5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2" s="42" t="str">
        <f>+IF(AVANCE[[#This Row],[FECHA INICIO REAL]]="","",AVANCE[[#This Row],[FECHA INICIO REAL]]-AVANCE[[#This Row],[FECHA INICIO TEORICO]])</f>
        <v/>
      </c>
      <c r="BH5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3" spans="1:61" x14ac:dyDescent="0.25">
      <c r="A563" t="s">
        <v>1385</v>
      </c>
      <c r="B563" t="s">
        <v>1403</v>
      </c>
      <c r="C563">
        <v>2302600562</v>
      </c>
      <c r="D563" t="s">
        <v>834</v>
      </c>
      <c r="E563" s="4">
        <v>0</v>
      </c>
      <c r="F563" s="1">
        <v>46421</v>
      </c>
      <c r="G563" s="1"/>
      <c r="H563" s="1">
        <v>0</v>
      </c>
      <c r="I563" s="1">
        <v>46451</v>
      </c>
      <c r="J563">
        <v>46188</v>
      </c>
      <c r="K563" s="1"/>
      <c r="L563" s="7">
        <v>0</v>
      </c>
      <c r="M563" s="7">
        <v>0</v>
      </c>
      <c r="N563" s="7">
        <v>0</v>
      </c>
      <c r="O563" s="7">
        <v>0</v>
      </c>
      <c r="P563" s="7">
        <v>0</v>
      </c>
      <c r="Q563" s="7">
        <v>0</v>
      </c>
      <c r="R563" s="7">
        <v>0</v>
      </c>
      <c r="S563" s="7">
        <v>0</v>
      </c>
      <c r="T563" s="7">
        <v>0</v>
      </c>
      <c r="U563" s="7">
        <v>0</v>
      </c>
      <c r="V563" s="7">
        <v>0</v>
      </c>
      <c r="W563" s="7">
        <v>0</v>
      </c>
      <c r="X563" s="7">
        <v>0</v>
      </c>
      <c r="Y563" s="7">
        <v>0</v>
      </c>
      <c r="Z563" s="7">
        <v>0</v>
      </c>
      <c r="AA563" s="7">
        <v>0</v>
      </c>
      <c r="AB563" s="7">
        <v>0</v>
      </c>
      <c r="AC563" s="7">
        <v>0</v>
      </c>
      <c r="AD563" s="7">
        <v>0</v>
      </c>
      <c r="AE563" s="7">
        <v>0</v>
      </c>
      <c r="AF563" s="7">
        <v>0</v>
      </c>
      <c r="AG563" s="7">
        <v>0</v>
      </c>
      <c r="AH563" s="7">
        <v>0</v>
      </c>
      <c r="AI563" s="7">
        <v>0</v>
      </c>
      <c r="AJ563" s="7">
        <v>0</v>
      </c>
      <c r="AK563" s="7">
        <v>0</v>
      </c>
      <c r="AL563" s="7">
        <v>0</v>
      </c>
      <c r="AM563" s="7">
        <v>0</v>
      </c>
      <c r="AN563" s="7">
        <v>0</v>
      </c>
      <c r="AO563" s="7">
        <v>0</v>
      </c>
      <c r="AP563" s="7">
        <v>0</v>
      </c>
      <c r="AQ563" s="7">
        <v>0</v>
      </c>
      <c r="AR563" s="7">
        <v>0</v>
      </c>
      <c r="AS563" s="7">
        <v>0</v>
      </c>
      <c r="AT563" s="7">
        <v>0</v>
      </c>
      <c r="AU563" s="7">
        <v>0</v>
      </c>
      <c r="AV563" s="7">
        <v>0</v>
      </c>
      <c r="AW563" s="7">
        <v>0</v>
      </c>
      <c r="AX563" s="7">
        <v>0</v>
      </c>
      <c r="AY563" s="7">
        <v>0</v>
      </c>
      <c r="AZ563" s="7">
        <v>0</v>
      </c>
      <c r="BA563" s="7">
        <v>0</v>
      </c>
      <c r="BB563" s="7">
        <v>0</v>
      </c>
      <c r="BC563" s="7">
        <v>0</v>
      </c>
      <c r="BD563">
        <v>0</v>
      </c>
      <c r="BE563">
        <v>31.32</v>
      </c>
      <c r="BF5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3" s="42" t="str">
        <f>+IF(AVANCE[[#This Row],[FECHA INICIO REAL]]="","",AVANCE[[#This Row],[FECHA INICIO REAL]]-AVANCE[[#This Row],[FECHA INICIO TEORICO]])</f>
        <v/>
      </c>
      <c r="BH5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4" spans="1:61" x14ac:dyDescent="0.25">
      <c r="A564" t="s">
        <v>1385</v>
      </c>
      <c r="B564" t="s">
        <v>1404</v>
      </c>
      <c r="C564">
        <v>2302600563</v>
      </c>
      <c r="D564" t="s">
        <v>834</v>
      </c>
      <c r="E564" s="4">
        <v>0</v>
      </c>
      <c r="F564" s="1">
        <v>46422</v>
      </c>
      <c r="G564" s="1"/>
      <c r="H564" s="1">
        <v>0</v>
      </c>
      <c r="I564" s="1">
        <v>46452</v>
      </c>
      <c r="J564">
        <v>46188</v>
      </c>
      <c r="K564" s="1"/>
      <c r="L564" s="7">
        <v>0</v>
      </c>
      <c r="M564" s="7">
        <v>0</v>
      </c>
      <c r="N564" s="7">
        <v>0</v>
      </c>
      <c r="O564" s="7">
        <v>0</v>
      </c>
      <c r="P564" s="7">
        <v>0</v>
      </c>
      <c r="Q564" s="7">
        <v>0</v>
      </c>
      <c r="R564" s="7">
        <v>0</v>
      </c>
      <c r="S564" s="7">
        <v>0</v>
      </c>
      <c r="T564" s="7">
        <v>0</v>
      </c>
      <c r="U564" s="7">
        <v>0</v>
      </c>
      <c r="V564" s="7">
        <v>0</v>
      </c>
      <c r="W564" s="7">
        <v>0</v>
      </c>
      <c r="X564" s="7">
        <v>0</v>
      </c>
      <c r="Y564" s="7">
        <v>0</v>
      </c>
      <c r="Z564" s="7">
        <v>0</v>
      </c>
      <c r="AA564" s="7">
        <v>0</v>
      </c>
      <c r="AB564" s="7">
        <v>0</v>
      </c>
      <c r="AC564" s="7">
        <v>0</v>
      </c>
      <c r="AD564" s="7">
        <v>0</v>
      </c>
      <c r="AE564" s="7">
        <v>0</v>
      </c>
      <c r="AF564" s="7">
        <v>0</v>
      </c>
      <c r="AG564" s="7">
        <v>0</v>
      </c>
      <c r="AH564" s="7">
        <v>0</v>
      </c>
      <c r="AI564" s="7">
        <v>0</v>
      </c>
      <c r="AJ564" s="7">
        <v>0</v>
      </c>
      <c r="AK564" s="7">
        <v>0</v>
      </c>
      <c r="AL564" s="7">
        <v>0</v>
      </c>
      <c r="AM564" s="7">
        <v>0</v>
      </c>
      <c r="AN564" s="7">
        <v>0</v>
      </c>
      <c r="AO564" s="7">
        <v>0</v>
      </c>
      <c r="AP564" s="7">
        <v>0</v>
      </c>
      <c r="AQ564" s="7">
        <v>0</v>
      </c>
      <c r="AR564" s="7">
        <v>0</v>
      </c>
      <c r="AS564" s="7">
        <v>0</v>
      </c>
      <c r="AT564" s="7">
        <v>0</v>
      </c>
      <c r="AU564" s="7">
        <v>0</v>
      </c>
      <c r="AV564" s="7">
        <v>0</v>
      </c>
      <c r="AW564" s="7">
        <v>0</v>
      </c>
      <c r="AX564" s="7">
        <v>0</v>
      </c>
      <c r="AY564" s="7">
        <v>0</v>
      </c>
      <c r="AZ564" s="7">
        <v>0</v>
      </c>
      <c r="BA564" s="7">
        <v>0</v>
      </c>
      <c r="BB564" s="7">
        <v>0</v>
      </c>
      <c r="BC564" s="7">
        <v>0</v>
      </c>
      <c r="BD564">
        <v>0</v>
      </c>
      <c r="BE564">
        <v>31.32</v>
      </c>
      <c r="BF5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4" s="42" t="str">
        <f>+IF(AVANCE[[#This Row],[FECHA INICIO REAL]]="","",AVANCE[[#This Row],[FECHA INICIO REAL]]-AVANCE[[#This Row],[FECHA INICIO TEORICO]])</f>
        <v/>
      </c>
      <c r="BH5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5" spans="1:61" x14ac:dyDescent="0.25">
      <c r="A565" t="s">
        <v>1385</v>
      </c>
      <c r="B565" t="s">
        <v>1405</v>
      </c>
      <c r="C565">
        <v>2282600564</v>
      </c>
      <c r="D565" t="s">
        <v>833</v>
      </c>
      <c r="E565" s="4">
        <v>0</v>
      </c>
      <c r="F565" s="1">
        <v>46422</v>
      </c>
      <c r="G565" s="1"/>
      <c r="H565" s="1">
        <v>0</v>
      </c>
      <c r="I565" s="1">
        <v>46442</v>
      </c>
      <c r="J565">
        <v>46188</v>
      </c>
      <c r="K565" s="1"/>
      <c r="L565" s="7">
        <v>0</v>
      </c>
      <c r="M565" s="7">
        <v>0</v>
      </c>
      <c r="N565" s="7">
        <v>0</v>
      </c>
      <c r="O565" s="7">
        <v>0</v>
      </c>
      <c r="P565" s="7">
        <v>0</v>
      </c>
      <c r="Q565" s="7">
        <v>0</v>
      </c>
      <c r="R565" s="7">
        <v>0</v>
      </c>
      <c r="S565" s="7">
        <v>0</v>
      </c>
      <c r="T565" s="7">
        <v>0</v>
      </c>
      <c r="U565" s="7">
        <v>0</v>
      </c>
      <c r="V565" s="7">
        <v>0</v>
      </c>
      <c r="W565" s="7">
        <v>0</v>
      </c>
      <c r="X565" s="7">
        <v>0</v>
      </c>
      <c r="Y565" s="7">
        <v>0</v>
      </c>
      <c r="Z565" s="7">
        <v>0</v>
      </c>
      <c r="AA565" s="7">
        <v>0</v>
      </c>
      <c r="AB565" s="7">
        <v>0</v>
      </c>
      <c r="AC565" s="7">
        <v>0</v>
      </c>
      <c r="AD565" s="7">
        <v>0</v>
      </c>
      <c r="AE565" s="7">
        <v>0</v>
      </c>
      <c r="AF565" s="7">
        <v>0</v>
      </c>
      <c r="AG565" s="7">
        <v>0</v>
      </c>
      <c r="AH565" s="7">
        <v>0</v>
      </c>
      <c r="AI565" s="7">
        <v>0</v>
      </c>
      <c r="AJ565" s="7">
        <v>0</v>
      </c>
      <c r="AK565" s="7">
        <v>0</v>
      </c>
      <c r="AL565" s="7">
        <v>0</v>
      </c>
      <c r="AM565" s="7">
        <v>0</v>
      </c>
      <c r="AN565" s="7">
        <v>0</v>
      </c>
      <c r="AO565" s="7">
        <v>0</v>
      </c>
      <c r="AP565" s="7">
        <v>0</v>
      </c>
      <c r="AQ565" s="7">
        <v>0</v>
      </c>
      <c r="AR565" s="7">
        <v>0</v>
      </c>
      <c r="AS565" s="7">
        <v>0</v>
      </c>
      <c r="AT565" s="7">
        <v>0</v>
      </c>
      <c r="AU565" s="7">
        <v>0</v>
      </c>
      <c r="AV565" s="7">
        <v>0</v>
      </c>
      <c r="AW565" s="7">
        <v>0</v>
      </c>
      <c r="AX565" s="7">
        <v>0</v>
      </c>
      <c r="AY565" s="7">
        <v>0</v>
      </c>
      <c r="AZ565" s="7">
        <v>0</v>
      </c>
      <c r="BA565" s="7">
        <v>0</v>
      </c>
      <c r="BB565" s="7">
        <v>0</v>
      </c>
      <c r="BC565" s="7">
        <v>0</v>
      </c>
      <c r="BD565">
        <v>0</v>
      </c>
      <c r="BE565">
        <v>28.87</v>
      </c>
      <c r="BF5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5" s="42" t="str">
        <f>+IF(AVANCE[[#This Row],[FECHA INICIO REAL]]="","",AVANCE[[#This Row],[FECHA INICIO REAL]]-AVANCE[[#This Row],[FECHA INICIO TEORICO]])</f>
        <v/>
      </c>
      <c r="BH5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6" spans="1:61" x14ac:dyDescent="0.25">
      <c r="A566" t="s">
        <v>1385</v>
      </c>
      <c r="B566" t="s">
        <v>1406</v>
      </c>
      <c r="C566">
        <v>2282600565</v>
      </c>
      <c r="D566" t="s">
        <v>833</v>
      </c>
      <c r="E566" s="4">
        <v>0</v>
      </c>
      <c r="F566" s="1">
        <v>46422</v>
      </c>
      <c r="G566" s="1"/>
      <c r="H566" s="1">
        <v>0</v>
      </c>
      <c r="I566" s="1">
        <v>46442</v>
      </c>
      <c r="J566">
        <v>46188</v>
      </c>
      <c r="K566" s="1"/>
      <c r="L566" s="7">
        <v>0</v>
      </c>
      <c r="M566" s="7">
        <v>0</v>
      </c>
      <c r="N566" s="7">
        <v>0</v>
      </c>
      <c r="O566" s="7">
        <v>0</v>
      </c>
      <c r="P566" s="7">
        <v>0</v>
      </c>
      <c r="Q566" s="7">
        <v>0</v>
      </c>
      <c r="R566" s="7">
        <v>0</v>
      </c>
      <c r="S566" s="7">
        <v>0</v>
      </c>
      <c r="T566" s="7">
        <v>0</v>
      </c>
      <c r="U566" s="7">
        <v>0</v>
      </c>
      <c r="V566" s="7">
        <v>0</v>
      </c>
      <c r="W566" s="7">
        <v>0</v>
      </c>
      <c r="X566" s="7">
        <v>0</v>
      </c>
      <c r="Y566" s="7">
        <v>0</v>
      </c>
      <c r="Z566" s="7">
        <v>0</v>
      </c>
      <c r="AA566" s="7">
        <v>0</v>
      </c>
      <c r="AB566" s="7">
        <v>0</v>
      </c>
      <c r="AC566" s="7">
        <v>0</v>
      </c>
      <c r="AD566" s="7">
        <v>0</v>
      </c>
      <c r="AE566" s="7">
        <v>0</v>
      </c>
      <c r="AF566" s="7">
        <v>0</v>
      </c>
      <c r="AG566" s="7">
        <v>0</v>
      </c>
      <c r="AH566" s="7">
        <v>0</v>
      </c>
      <c r="AI566" s="7">
        <v>0</v>
      </c>
      <c r="AJ566" s="7">
        <v>0</v>
      </c>
      <c r="AK566" s="7">
        <v>0</v>
      </c>
      <c r="AL566" s="7">
        <v>0</v>
      </c>
      <c r="AM566" s="7">
        <v>0</v>
      </c>
      <c r="AN566" s="7">
        <v>0</v>
      </c>
      <c r="AO566" s="7">
        <v>0</v>
      </c>
      <c r="AP566" s="7">
        <v>0</v>
      </c>
      <c r="AQ566" s="7">
        <v>0</v>
      </c>
      <c r="AR566" s="7">
        <v>0</v>
      </c>
      <c r="AS566" s="7">
        <v>0</v>
      </c>
      <c r="AT566" s="7">
        <v>0</v>
      </c>
      <c r="AU566" s="7">
        <v>0</v>
      </c>
      <c r="AV566" s="7">
        <v>0</v>
      </c>
      <c r="AW566" s="7">
        <v>0</v>
      </c>
      <c r="AX566" s="7">
        <v>0</v>
      </c>
      <c r="AY566" s="7">
        <v>0</v>
      </c>
      <c r="AZ566" s="7">
        <v>0</v>
      </c>
      <c r="BA566" s="7">
        <v>0</v>
      </c>
      <c r="BB566" s="7">
        <v>0</v>
      </c>
      <c r="BC566" s="7">
        <v>0</v>
      </c>
      <c r="BD566">
        <v>0</v>
      </c>
      <c r="BE566">
        <v>28.87</v>
      </c>
      <c r="BF5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6" s="42" t="str">
        <f>+IF(AVANCE[[#This Row],[FECHA INICIO REAL]]="","",AVANCE[[#This Row],[FECHA INICIO REAL]]-AVANCE[[#This Row],[FECHA INICIO TEORICO]])</f>
        <v/>
      </c>
      <c r="BH5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7" spans="1:61" x14ac:dyDescent="0.25">
      <c r="A567" t="s">
        <v>1385</v>
      </c>
      <c r="B567" t="s">
        <v>1407</v>
      </c>
      <c r="C567">
        <v>2302600566</v>
      </c>
      <c r="D567" t="s">
        <v>834</v>
      </c>
      <c r="E567" s="4">
        <v>0</v>
      </c>
      <c r="F567" s="1">
        <v>46423</v>
      </c>
      <c r="G567" s="1"/>
      <c r="H567" s="1">
        <v>0</v>
      </c>
      <c r="I567" s="1">
        <v>46453</v>
      </c>
      <c r="J567">
        <v>46188</v>
      </c>
      <c r="K567" s="1"/>
      <c r="L567" s="7">
        <v>0</v>
      </c>
      <c r="M567" s="7">
        <v>0</v>
      </c>
      <c r="N567" s="7">
        <v>0</v>
      </c>
      <c r="O567" s="7">
        <v>0</v>
      </c>
      <c r="P567" s="7">
        <v>0</v>
      </c>
      <c r="Q567" s="7">
        <v>0</v>
      </c>
      <c r="R567" s="7">
        <v>0</v>
      </c>
      <c r="S567" s="7">
        <v>0</v>
      </c>
      <c r="T567" s="7">
        <v>0</v>
      </c>
      <c r="U567" s="7">
        <v>0</v>
      </c>
      <c r="V567" s="7">
        <v>0</v>
      </c>
      <c r="W567" s="7">
        <v>0</v>
      </c>
      <c r="X567" s="7">
        <v>0</v>
      </c>
      <c r="Y567" s="7">
        <v>0</v>
      </c>
      <c r="Z567" s="7">
        <v>0</v>
      </c>
      <c r="AA567" s="7">
        <v>0</v>
      </c>
      <c r="AB567" s="7">
        <v>0</v>
      </c>
      <c r="AC567" s="7">
        <v>0</v>
      </c>
      <c r="AD567" s="7">
        <v>0</v>
      </c>
      <c r="AE567" s="7">
        <v>0</v>
      </c>
      <c r="AF567" s="7">
        <v>0</v>
      </c>
      <c r="AG567" s="7">
        <v>0</v>
      </c>
      <c r="AH567" s="7">
        <v>0</v>
      </c>
      <c r="AI567" s="7">
        <v>0</v>
      </c>
      <c r="AJ567" s="7">
        <v>0</v>
      </c>
      <c r="AK567" s="7">
        <v>0</v>
      </c>
      <c r="AL567" s="7">
        <v>0</v>
      </c>
      <c r="AM567" s="7">
        <v>0</v>
      </c>
      <c r="AN567" s="7">
        <v>0</v>
      </c>
      <c r="AO567" s="7">
        <v>0</v>
      </c>
      <c r="AP567" s="7">
        <v>0</v>
      </c>
      <c r="AQ567" s="7">
        <v>0</v>
      </c>
      <c r="AR567" s="7">
        <v>0</v>
      </c>
      <c r="AS567" s="7">
        <v>0</v>
      </c>
      <c r="AT567" s="7">
        <v>0</v>
      </c>
      <c r="AU567" s="7">
        <v>0</v>
      </c>
      <c r="AV567" s="7">
        <v>0</v>
      </c>
      <c r="AW567" s="7">
        <v>0</v>
      </c>
      <c r="AX567" s="7">
        <v>0</v>
      </c>
      <c r="AY567" s="7">
        <v>0</v>
      </c>
      <c r="AZ567" s="7">
        <v>0</v>
      </c>
      <c r="BA567" s="7">
        <v>0</v>
      </c>
      <c r="BB567" s="7">
        <v>0</v>
      </c>
      <c r="BC567" s="7">
        <v>0</v>
      </c>
      <c r="BD567">
        <v>0</v>
      </c>
      <c r="BE567">
        <v>31.32</v>
      </c>
      <c r="BF5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7" s="42" t="str">
        <f>+IF(AVANCE[[#This Row],[FECHA INICIO REAL]]="","",AVANCE[[#This Row],[FECHA INICIO REAL]]-AVANCE[[#This Row],[FECHA INICIO TEORICO]])</f>
        <v/>
      </c>
      <c r="BH5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8" spans="1:61" x14ac:dyDescent="0.25">
      <c r="A568" t="s">
        <v>1385</v>
      </c>
      <c r="B568" t="s">
        <v>1408</v>
      </c>
      <c r="C568">
        <v>2302600567</v>
      </c>
      <c r="D568" t="s">
        <v>834</v>
      </c>
      <c r="E568" s="4">
        <v>0</v>
      </c>
      <c r="F568" s="1">
        <v>46423</v>
      </c>
      <c r="G568" s="1"/>
      <c r="H568" s="1">
        <v>0</v>
      </c>
      <c r="I568" s="1">
        <v>46453</v>
      </c>
      <c r="J568">
        <v>46188</v>
      </c>
      <c r="K568" s="1"/>
      <c r="L568" s="7">
        <v>0</v>
      </c>
      <c r="M568" s="7">
        <v>0</v>
      </c>
      <c r="N568" s="7">
        <v>0</v>
      </c>
      <c r="O568" s="7">
        <v>0</v>
      </c>
      <c r="P568" s="7">
        <v>0</v>
      </c>
      <c r="Q568" s="7">
        <v>0</v>
      </c>
      <c r="R568" s="7">
        <v>0</v>
      </c>
      <c r="S568" s="7">
        <v>0</v>
      </c>
      <c r="T568" s="7">
        <v>0</v>
      </c>
      <c r="U568" s="7">
        <v>0</v>
      </c>
      <c r="V568" s="7">
        <v>0</v>
      </c>
      <c r="W568" s="7">
        <v>0</v>
      </c>
      <c r="X568" s="7">
        <v>0</v>
      </c>
      <c r="Y568" s="7">
        <v>0</v>
      </c>
      <c r="Z568" s="7">
        <v>0</v>
      </c>
      <c r="AA568" s="7">
        <v>0</v>
      </c>
      <c r="AB568" s="7">
        <v>0</v>
      </c>
      <c r="AC568" s="7">
        <v>0</v>
      </c>
      <c r="AD568" s="7">
        <v>0</v>
      </c>
      <c r="AE568" s="7">
        <v>0</v>
      </c>
      <c r="AF568" s="7">
        <v>0</v>
      </c>
      <c r="AG568" s="7">
        <v>0</v>
      </c>
      <c r="AH568" s="7">
        <v>0</v>
      </c>
      <c r="AI568" s="7">
        <v>0</v>
      </c>
      <c r="AJ568" s="7">
        <v>0</v>
      </c>
      <c r="AK568" s="7">
        <v>0</v>
      </c>
      <c r="AL568" s="7">
        <v>0</v>
      </c>
      <c r="AM568" s="7">
        <v>0</v>
      </c>
      <c r="AN568" s="7">
        <v>0</v>
      </c>
      <c r="AO568" s="7">
        <v>0</v>
      </c>
      <c r="AP568" s="7">
        <v>0</v>
      </c>
      <c r="AQ568" s="7">
        <v>0</v>
      </c>
      <c r="AR568" s="7">
        <v>0</v>
      </c>
      <c r="AS568" s="7">
        <v>0</v>
      </c>
      <c r="AT568" s="7">
        <v>0</v>
      </c>
      <c r="AU568" s="7">
        <v>0</v>
      </c>
      <c r="AV568" s="7">
        <v>0</v>
      </c>
      <c r="AW568" s="7">
        <v>0</v>
      </c>
      <c r="AX568" s="7">
        <v>0</v>
      </c>
      <c r="AY568" s="7">
        <v>0</v>
      </c>
      <c r="AZ568" s="7">
        <v>0</v>
      </c>
      <c r="BA568" s="7">
        <v>0</v>
      </c>
      <c r="BB568" s="7">
        <v>0</v>
      </c>
      <c r="BC568" s="7">
        <v>0</v>
      </c>
      <c r="BD568">
        <v>0</v>
      </c>
      <c r="BE568">
        <v>31.32</v>
      </c>
      <c r="BF5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8" s="42" t="str">
        <f>+IF(AVANCE[[#This Row],[FECHA INICIO REAL]]="","",AVANCE[[#This Row],[FECHA INICIO REAL]]-AVANCE[[#This Row],[FECHA INICIO TEORICO]])</f>
        <v/>
      </c>
      <c r="BH5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9" spans="1:61" x14ac:dyDescent="0.25">
      <c r="A569" t="s">
        <v>1385</v>
      </c>
      <c r="B569" t="s">
        <v>1409</v>
      </c>
      <c r="C569">
        <v>2282600568</v>
      </c>
      <c r="D569" t="s">
        <v>833</v>
      </c>
      <c r="E569" s="4">
        <v>0</v>
      </c>
      <c r="F569" s="1">
        <v>46423</v>
      </c>
      <c r="G569" s="1"/>
      <c r="H569" s="1">
        <v>0</v>
      </c>
      <c r="I569" s="1">
        <v>46443</v>
      </c>
      <c r="J569">
        <v>46188</v>
      </c>
      <c r="K569" s="1"/>
      <c r="L569" s="7">
        <v>0</v>
      </c>
      <c r="M569" s="7">
        <v>0</v>
      </c>
      <c r="N569" s="7">
        <v>0</v>
      </c>
      <c r="O569" s="7">
        <v>0</v>
      </c>
      <c r="P569" s="7">
        <v>0</v>
      </c>
      <c r="Q569" s="7">
        <v>0</v>
      </c>
      <c r="R569" s="7">
        <v>0</v>
      </c>
      <c r="S569" s="7">
        <v>0</v>
      </c>
      <c r="T569" s="7">
        <v>0</v>
      </c>
      <c r="U569" s="7">
        <v>0</v>
      </c>
      <c r="V569" s="7">
        <v>0</v>
      </c>
      <c r="W569" s="7">
        <v>0</v>
      </c>
      <c r="X569" s="7">
        <v>0</v>
      </c>
      <c r="Y569" s="7">
        <v>0</v>
      </c>
      <c r="Z569" s="7">
        <v>0</v>
      </c>
      <c r="AA569" s="7">
        <v>0</v>
      </c>
      <c r="AB569" s="7">
        <v>0</v>
      </c>
      <c r="AC569" s="7">
        <v>0</v>
      </c>
      <c r="AD569" s="7">
        <v>0</v>
      </c>
      <c r="AE569" s="7">
        <v>0</v>
      </c>
      <c r="AF569" s="7">
        <v>0</v>
      </c>
      <c r="AG569" s="7">
        <v>0</v>
      </c>
      <c r="AH569" s="7">
        <v>0</v>
      </c>
      <c r="AI569" s="7">
        <v>0</v>
      </c>
      <c r="AJ569" s="7">
        <v>0</v>
      </c>
      <c r="AK569" s="7">
        <v>0</v>
      </c>
      <c r="AL569" s="7">
        <v>0</v>
      </c>
      <c r="AM569" s="7">
        <v>0</v>
      </c>
      <c r="AN569" s="7">
        <v>0</v>
      </c>
      <c r="AO569" s="7">
        <v>0</v>
      </c>
      <c r="AP569" s="7">
        <v>0</v>
      </c>
      <c r="AQ569" s="7">
        <v>0</v>
      </c>
      <c r="AR569" s="7">
        <v>0</v>
      </c>
      <c r="AS569" s="7">
        <v>0</v>
      </c>
      <c r="AT569" s="7">
        <v>0</v>
      </c>
      <c r="AU569" s="7">
        <v>0</v>
      </c>
      <c r="AV569" s="7">
        <v>0</v>
      </c>
      <c r="AW569" s="7">
        <v>0</v>
      </c>
      <c r="AX569" s="7">
        <v>0</v>
      </c>
      <c r="AY569" s="7">
        <v>0</v>
      </c>
      <c r="AZ569" s="7">
        <v>0</v>
      </c>
      <c r="BA569" s="7">
        <v>0</v>
      </c>
      <c r="BB569" s="7">
        <v>0</v>
      </c>
      <c r="BC569" s="7">
        <v>0</v>
      </c>
      <c r="BD569">
        <v>0</v>
      </c>
      <c r="BE569">
        <v>28.87</v>
      </c>
      <c r="BF5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9" s="42" t="str">
        <f>+IF(AVANCE[[#This Row],[FECHA INICIO REAL]]="","",AVANCE[[#This Row],[FECHA INICIO REAL]]-AVANCE[[#This Row],[FECHA INICIO TEORICO]])</f>
        <v/>
      </c>
      <c r="BH5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0" spans="1:61" x14ac:dyDescent="0.25">
      <c r="A570" t="s">
        <v>1385</v>
      </c>
      <c r="B570" t="s">
        <v>1410</v>
      </c>
      <c r="C570">
        <v>2282600569</v>
      </c>
      <c r="D570" t="s">
        <v>833</v>
      </c>
      <c r="E570" s="4">
        <v>0</v>
      </c>
      <c r="F570" s="1">
        <v>46426</v>
      </c>
      <c r="G570" s="1"/>
      <c r="H570" s="1">
        <v>0</v>
      </c>
      <c r="I570" s="1">
        <v>46446</v>
      </c>
      <c r="J570">
        <v>46188</v>
      </c>
      <c r="K570" s="1"/>
      <c r="L570" s="7">
        <v>0</v>
      </c>
      <c r="M570" s="7">
        <v>0</v>
      </c>
      <c r="N570" s="7">
        <v>0</v>
      </c>
      <c r="O570" s="7">
        <v>0</v>
      </c>
      <c r="P570" s="7">
        <v>0</v>
      </c>
      <c r="Q570" s="7">
        <v>0</v>
      </c>
      <c r="R570" s="7">
        <v>0</v>
      </c>
      <c r="S570" s="7">
        <v>0</v>
      </c>
      <c r="T570" s="7">
        <v>0</v>
      </c>
      <c r="U570" s="7">
        <v>0</v>
      </c>
      <c r="V570" s="7">
        <v>0</v>
      </c>
      <c r="W570" s="7">
        <v>0</v>
      </c>
      <c r="X570" s="7">
        <v>0</v>
      </c>
      <c r="Y570" s="7">
        <v>0</v>
      </c>
      <c r="Z570" s="7">
        <v>0</v>
      </c>
      <c r="AA570" s="7">
        <v>0</v>
      </c>
      <c r="AB570" s="7">
        <v>0</v>
      </c>
      <c r="AC570" s="7">
        <v>0</v>
      </c>
      <c r="AD570" s="7">
        <v>0</v>
      </c>
      <c r="AE570" s="7">
        <v>0</v>
      </c>
      <c r="AF570" s="7">
        <v>0</v>
      </c>
      <c r="AG570" s="7">
        <v>0</v>
      </c>
      <c r="AH570" s="7">
        <v>0</v>
      </c>
      <c r="AI570" s="7">
        <v>0</v>
      </c>
      <c r="AJ570" s="7">
        <v>0</v>
      </c>
      <c r="AK570" s="7">
        <v>0</v>
      </c>
      <c r="AL570" s="7">
        <v>0</v>
      </c>
      <c r="AM570" s="7">
        <v>0</v>
      </c>
      <c r="AN570" s="7">
        <v>0</v>
      </c>
      <c r="AO570" s="7">
        <v>0</v>
      </c>
      <c r="AP570" s="7">
        <v>0</v>
      </c>
      <c r="AQ570" s="7">
        <v>0</v>
      </c>
      <c r="AR570" s="7">
        <v>0</v>
      </c>
      <c r="AS570" s="7">
        <v>0</v>
      </c>
      <c r="AT570" s="7">
        <v>0</v>
      </c>
      <c r="AU570" s="7">
        <v>0</v>
      </c>
      <c r="AV570" s="7">
        <v>0</v>
      </c>
      <c r="AW570" s="7">
        <v>0</v>
      </c>
      <c r="AX570" s="7">
        <v>0</v>
      </c>
      <c r="AY570" s="7">
        <v>0</v>
      </c>
      <c r="AZ570" s="7">
        <v>0</v>
      </c>
      <c r="BA570" s="7">
        <v>0</v>
      </c>
      <c r="BB570" s="7">
        <v>0</v>
      </c>
      <c r="BC570" s="7">
        <v>0</v>
      </c>
      <c r="BD570">
        <v>0</v>
      </c>
      <c r="BE570">
        <v>28.87</v>
      </c>
      <c r="BF5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0" s="42" t="str">
        <f>+IF(AVANCE[[#This Row],[FECHA INICIO REAL]]="","",AVANCE[[#This Row],[FECHA INICIO REAL]]-AVANCE[[#This Row],[FECHA INICIO TEORICO]])</f>
        <v/>
      </c>
      <c r="BH5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1" spans="1:61" x14ac:dyDescent="0.25">
      <c r="A571" t="s">
        <v>1385</v>
      </c>
      <c r="B571" t="s">
        <v>1411</v>
      </c>
      <c r="C571">
        <v>2302600570</v>
      </c>
      <c r="D571" t="s">
        <v>834</v>
      </c>
      <c r="E571" s="4">
        <v>0</v>
      </c>
      <c r="F571" s="1">
        <v>46426</v>
      </c>
      <c r="G571" s="1"/>
      <c r="H571" s="1">
        <v>0</v>
      </c>
      <c r="I571" s="1">
        <v>46456</v>
      </c>
      <c r="J571">
        <v>46188</v>
      </c>
      <c r="K571" s="1"/>
      <c r="L571" s="7">
        <v>0</v>
      </c>
      <c r="M571" s="7">
        <v>0</v>
      </c>
      <c r="N571" s="7">
        <v>0</v>
      </c>
      <c r="O571" s="7">
        <v>0</v>
      </c>
      <c r="P571" s="7">
        <v>0</v>
      </c>
      <c r="Q571" s="7">
        <v>0</v>
      </c>
      <c r="R571" s="7">
        <v>0</v>
      </c>
      <c r="S571" s="7">
        <v>0</v>
      </c>
      <c r="T571" s="7">
        <v>0</v>
      </c>
      <c r="U571" s="7">
        <v>0</v>
      </c>
      <c r="V571" s="7">
        <v>0</v>
      </c>
      <c r="W571" s="7">
        <v>0</v>
      </c>
      <c r="X571" s="7">
        <v>0</v>
      </c>
      <c r="Y571" s="7">
        <v>0</v>
      </c>
      <c r="Z571" s="7">
        <v>0</v>
      </c>
      <c r="AA571" s="7">
        <v>0</v>
      </c>
      <c r="AB571" s="7">
        <v>0</v>
      </c>
      <c r="AC571" s="7">
        <v>0</v>
      </c>
      <c r="AD571" s="7">
        <v>0</v>
      </c>
      <c r="AE571" s="7">
        <v>0</v>
      </c>
      <c r="AF571" s="7">
        <v>0</v>
      </c>
      <c r="AG571" s="7">
        <v>0</v>
      </c>
      <c r="AH571" s="7">
        <v>0</v>
      </c>
      <c r="AI571" s="7">
        <v>0</v>
      </c>
      <c r="AJ571" s="7">
        <v>0</v>
      </c>
      <c r="AK571" s="7">
        <v>0</v>
      </c>
      <c r="AL571" s="7">
        <v>0</v>
      </c>
      <c r="AM571" s="7">
        <v>0</v>
      </c>
      <c r="AN571" s="7">
        <v>0</v>
      </c>
      <c r="AO571" s="7">
        <v>0</v>
      </c>
      <c r="AP571" s="7">
        <v>0</v>
      </c>
      <c r="AQ571" s="7">
        <v>0</v>
      </c>
      <c r="AR571" s="7">
        <v>0</v>
      </c>
      <c r="AS571" s="7">
        <v>0</v>
      </c>
      <c r="AT571" s="7">
        <v>0</v>
      </c>
      <c r="AU571" s="7">
        <v>0</v>
      </c>
      <c r="AV571" s="7">
        <v>0</v>
      </c>
      <c r="AW571" s="7">
        <v>0</v>
      </c>
      <c r="AX571" s="7">
        <v>0</v>
      </c>
      <c r="AY571" s="7">
        <v>0</v>
      </c>
      <c r="AZ571" s="7">
        <v>0</v>
      </c>
      <c r="BA571" s="7">
        <v>0</v>
      </c>
      <c r="BB571" s="7">
        <v>0</v>
      </c>
      <c r="BC571" s="7">
        <v>0</v>
      </c>
      <c r="BD571">
        <v>0</v>
      </c>
      <c r="BE571">
        <v>31.32</v>
      </c>
      <c r="BF5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1" s="42" t="str">
        <f>+IF(AVANCE[[#This Row],[FECHA INICIO REAL]]="","",AVANCE[[#This Row],[FECHA INICIO REAL]]-AVANCE[[#This Row],[FECHA INICIO TEORICO]])</f>
        <v/>
      </c>
      <c r="BH5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2" spans="1:61" x14ac:dyDescent="0.25">
      <c r="A572" t="s">
        <v>1385</v>
      </c>
      <c r="B572" t="s">
        <v>1412</v>
      </c>
      <c r="C572">
        <v>2302600571</v>
      </c>
      <c r="D572" t="s">
        <v>834</v>
      </c>
      <c r="E572" s="4">
        <v>0</v>
      </c>
      <c r="F572" s="1">
        <v>46426</v>
      </c>
      <c r="G572" s="1"/>
      <c r="H572" s="1">
        <v>0</v>
      </c>
      <c r="I572" s="1">
        <v>46456</v>
      </c>
      <c r="J572">
        <v>46188</v>
      </c>
      <c r="K572" s="1"/>
      <c r="L572" s="7">
        <v>0</v>
      </c>
      <c r="M572" s="7">
        <v>0</v>
      </c>
      <c r="N572" s="7">
        <v>0</v>
      </c>
      <c r="O572" s="7">
        <v>0</v>
      </c>
      <c r="P572" s="7">
        <v>0</v>
      </c>
      <c r="Q572" s="7">
        <v>0</v>
      </c>
      <c r="R572" s="7">
        <v>0</v>
      </c>
      <c r="S572" s="7">
        <v>0</v>
      </c>
      <c r="T572" s="7">
        <v>0</v>
      </c>
      <c r="U572" s="7">
        <v>0</v>
      </c>
      <c r="V572" s="7">
        <v>0</v>
      </c>
      <c r="W572" s="7">
        <v>0</v>
      </c>
      <c r="X572" s="7">
        <v>0</v>
      </c>
      <c r="Y572" s="7">
        <v>0</v>
      </c>
      <c r="Z572" s="7">
        <v>0</v>
      </c>
      <c r="AA572" s="7">
        <v>0</v>
      </c>
      <c r="AB572" s="7">
        <v>0</v>
      </c>
      <c r="AC572" s="7">
        <v>0</v>
      </c>
      <c r="AD572" s="7">
        <v>0</v>
      </c>
      <c r="AE572" s="7">
        <v>0</v>
      </c>
      <c r="AF572" s="7">
        <v>0</v>
      </c>
      <c r="AG572" s="7">
        <v>0</v>
      </c>
      <c r="AH572" s="7">
        <v>0</v>
      </c>
      <c r="AI572" s="7">
        <v>0</v>
      </c>
      <c r="AJ572" s="7">
        <v>0</v>
      </c>
      <c r="AK572" s="7">
        <v>0</v>
      </c>
      <c r="AL572" s="7">
        <v>0</v>
      </c>
      <c r="AM572" s="7">
        <v>0</v>
      </c>
      <c r="AN572" s="7">
        <v>0</v>
      </c>
      <c r="AO572" s="7">
        <v>0</v>
      </c>
      <c r="AP572" s="7">
        <v>0</v>
      </c>
      <c r="AQ572" s="7">
        <v>0</v>
      </c>
      <c r="AR572" s="7">
        <v>0</v>
      </c>
      <c r="AS572" s="7">
        <v>0</v>
      </c>
      <c r="AT572" s="7">
        <v>0</v>
      </c>
      <c r="AU572" s="7">
        <v>0</v>
      </c>
      <c r="AV572" s="7">
        <v>0</v>
      </c>
      <c r="AW572" s="7">
        <v>0</v>
      </c>
      <c r="AX572" s="7">
        <v>0</v>
      </c>
      <c r="AY572" s="7">
        <v>0</v>
      </c>
      <c r="AZ572" s="7">
        <v>0</v>
      </c>
      <c r="BA572" s="7">
        <v>0</v>
      </c>
      <c r="BB572" s="7">
        <v>0</v>
      </c>
      <c r="BC572" s="7">
        <v>0</v>
      </c>
      <c r="BD572">
        <v>0</v>
      </c>
      <c r="BE572">
        <v>31.32</v>
      </c>
      <c r="BF5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2" s="42" t="str">
        <f>+IF(AVANCE[[#This Row],[FECHA INICIO REAL]]="","",AVANCE[[#This Row],[FECHA INICIO REAL]]-AVANCE[[#This Row],[FECHA INICIO TEORICO]])</f>
        <v/>
      </c>
      <c r="BH5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3" spans="1:61" x14ac:dyDescent="0.25">
      <c r="A573" t="s">
        <v>1385</v>
      </c>
      <c r="B573" t="s">
        <v>1413</v>
      </c>
      <c r="C573">
        <v>2282600572</v>
      </c>
      <c r="D573" t="s">
        <v>833</v>
      </c>
      <c r="E573" s="4">
        <v>0</v>
      </c>
      <c r="F573" s="1">
        <v>46427</v>
      </c>
      <c r="G573" s="1"/>
      <c r="H573" s="1">
        <v>0</v>
      </c>
      <c r="I573" s="1">
        <v>46447</v>
      </c>
      <c r="J573">
        <v>46188</v>
      </c>
      <c r="K573" s="1"/>
      <c r="L573" s="7">
        <v>0</v>
      </c>
      <c r="M573" s="7">
        <v>0</v>
      </c>
      <c r="N573" s="7">
        <v>0</v>
      </c>
      <c r="O573" s="7">
        <v>0</v>
      </c>
      <c r="P573" s="7">
        <v>0</v>
      </c>
      <c r="Q573" s="7">
        <v>0</v>
      </c>
      <c r="R573" s="7">
        <v>0</v>
      </c>
      <c r="S573" s="7">
        <v>0</v>
      </c>
      <c r="T573" s="7">
        <v>0</v>
      </c>
      <c r="U573" s="7">
        <v>0</v>
      </c>
      <c r="V573" s="7">
        <v>0</v>
      </c>
      <c r="W573" s="7">
        <v>0</v>
      </c>
      <c r="X573" s="7">
        <v>0</v>
      </c>
      <c r="Y573" s="7">
        <v>0</v>
      </c>
      <c r="Z573" s="7">
        <v>0</v>
      </c>
      <c r="AA573" s="7">
        <v>0</v>
      </c>
      <c r="AB573" s="7">
        <v>0</v>
      </c>
      <c r="AC573" s="7">
        <v>0</v>
      </c>
      <c r="AD573" s="7">
        <v>0</v>
      </c>
      <c r="AE573" s="7">
        <v>0</v>
      </c>
      <c r="AF573" s="7">
        <v>0</v>
      </c>
      <c r="AG573" s="7">
        <v>0</v>
      </c>
      <c r="AH573" s="7">
        <v>0</v>
      </c>
      <c r="AI573" s="7">
        <v>0</v>
      </c>
      <c r="AJ573" s="7">
        <v>0</v>
      </c>
      <c r="AK573" s="7">
        <v>0</v>
      </c>
      <c r="AL573" s="7">
        <v>0</v>
      </c>
      <c r="AM573" s="7">
        <v>0</v>
      </c>
      <c r="AN573" s="7">
        <v>0</v>
      </c>
      <c r="AO573" s="7">
        <v>0</v>
      </c>
      <c r="AP573" s="7">
        <v>0</v>
      </c>
      <c r="AQ573" s="7">
        <v>0</v>
      </c>
      <c r="AR573" s="7">
        <v>0</v>
      </c>
      <c r="AS573" s="7">
        <v>0</v>
      </c>
      <c r="AT573" s="7">
        <v>0</v>
      </c>
      <c r="AU573" s="7">
        <v>0</v>
      </c>
      <c r="AV573" s="7">
        <v>0</v>
      </c>
      <c r="AW573" s="7">
        <v>0</v>
      </c>
      <c r="AX573" s="7">
        <v>0</v>
      </c>
      <c r="AY573" s="7">
        <v>0</v>
      </c>
      <c r="AZ573" s="7">
        <v>0</v>
      </c>
      <c r="BA573" s="7">
        <v>0</v>
      </c>
      <c r="BB573" s="7">
        <v>0</v>
      </c>
      <c r="BC573" s="7">
        <v>0</v>
      </c>
      <c r="BD573">
        <v>0</v>
      </c>
      <c r="BE573">
        <v>28.87</v>
      </c>
      <c r="BF5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3" s="42" t="str">
        <f>+IF(AVANCE[[#This Row],[FECHA INICIO REAL]]="","",AVANCE[[#This Row],[FECHA INICIO REAL]]-AVANCE[[#This Row],[FECHA INICIO TEORICO]])</f>
        <v/>
      </c>
      <c r="BH5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4" spans="1:61" x14ac:dyDescent="0.25">
      <c r="A574" t="s">
        <v>1385</v>
      </c>
      <c r="B574" t="s">
        <v>1414</v>
      </c>
      <c r="C574">
        <v>2282600573</v>
      </c>
      <c r="D574" t="s">
        <v>833</v>
      </c>
      <c r="E574" s="4">
        <v>0</v>
      </c>
      <c r="F574" s="1">
        <v>46427</v>
      </c>
      <c r="G574" s="1"/>
      <c r="H574" s="1">
        <v>0</v>
      </c>
      <c r="I574" s="1">
        <v>46447</v>
      </c>
      <c r="J574">
        <v>46188</v>
      </c>
      <c r="K574" s="1"/>
      <c r="L574" s="7">
        <v>0</v>
      </c>
      <c r="M574" s="7">
        <v>0</v>
      </c>
      <c r="N574" s="7">
        <v>0</v>
      </c>
      <c r="O574" s="7">
        <v>0</v>
      </c>
      <c r="P574" s="7">
        <v>0</v>
      </c>
      <c r="Q574" s="7">
        <v>0</v>
      </c>
      <c r="R574" s="7">
        <v>0</v>
      </c>
      <c r="S574" s="7">
        <v>0</v>
      </c>
      <c r="T574" s="7">
        <v>0</v>
      </c>
      <c r="U574" s="7">
        <v>0</v>
      </c>
      <c r="V574" s="7">
        <v>0</v>
      </c>
      <c r="W574" s="7">
        <v>0</v>
      </c>
      <c r="X574" s="7">
        <v>0</v>
      </c>
      <c r="Y574" s="7">
        <v>0</v>
      </c>
      <c r="Z574" s="7">
        <v>0</v>
      </c>
      <c r="AA574" s="7">
        <v>0</v>
      </c>
      <c r="AB574" s="7">
        <v>0</v>
      </c>
      <c r="AC574" s="7">
        <v>0</v>
      </c>
      <c r="AD574" s="7">
        <v>0</v>
      </c>
      <c r="AE574" s="7">
        <v>0</v>
      </c>
      <c r="AF574" s="7">
        <v>0</v>
      </c>
      <c r="AG574" s="7">
        <v>0</v>
      </c>
      <c r="AH574" s="7">
        <v>0</v>
      </c>
      <c r="AI574" s="7">
        <v>0</v>
      </c>
      <c r="AJ574" s="7">
        <v>0</v>
      </c>
      <c r="AK574" s="7">
        <v>0</v>
      </c>
      <c r="AL574" s="7">
        <v>0</v>
      </c>
      <c r="AM574" s="7">
        <v>0</v>
      </c>
      <c r="AN574" s="7">
        <v>0</v>
      </c>
      <c r="AO574" s="7">
        <v>0</v>
      </c>
      <c r="AP574" s="7">
        <v>0</v>
      </c>
      <c r="AQ574" s="7">
        <v>0</v>
      </c>
      <c r="AR574" s="7">
        <v>0</v>
      </c>
      <c r="AS574" s="7">
        <v>0</v>
      </c>
      <c r="AT574" s="7">
        <v>0</v>
      </c>
      <c r="AU574" s="7">
        <v>0</v>
      </c>
      <c r="AV574" s="7">
        <v>0</v>
      </c>
      <c r="AW574" s="7">
        <v>0</v>
      </c>
      <c r="AX574" s="7">
        <v>0</v>
      </c>
      <c r="AY574" s="7">
        <v>0</v>
      </c>
      <c r="AZ574" s="7">
        <v>0</v>
      </c>
      <c r="BA574" s="7">
        <v>0</v>
      </c>
      <c r="BB574" s="7">
        <v>0</v>
      </c>
      <c r="BC574" s="7">
        <v>0</v>
      </c>
      <c r="BD574">
        <v>0</v>
      </c>
      <c r="BE574">
        <v>28.87</v>
      </c>
      <c r="BF5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4" s="42" t="str">
        <f>+IF(AVANCE[[#This Row],[FECHA INICIO REAL]]="","",AVANCE[[#This Row],[FECHA INICIO REAL]]-AVANCE[[#This Row],[FECHA INICIO TEORICO]])</f>
        <v/>
      </c>
      <c r="BH5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5" spans="1:61" x14ac:dyDescent="0.25">
      <c r="A575" t="s">
        <v>1385</v>
      </c>
      <c r="B575" t="s">
        <v>1415</v>
      </c>
      <c r="C575">
        <v>2302600574</v>
      </c>
      <c r="D575" t="s">
        <v>834</v>
      </c>
      <c r="E575" s="4">
        <v>0</v>
      </c>
      <c r="F575" s="1">
        <v>46427</v>
      </c>
      <c r="G575" s="1"/>
      <c r="H575" s="1">
        <v>0</v>
      </c>
      <c r="I575" s="1">
        <v>46457</v>
      </c>
      <c r="J575">
        <v>46188</v>
      </c>
      <c r="K575" s="1"/>
      <c r="L575" s="7">
        <v>0</v>
      </c>
      <c r="M575" s="7">
        <v>0</v>
      </c>
      <c r="N575" s="7">
        <v>0</v>
      </c>
      <c r="O575" s="7">
        <v>0</v>
      </c>
      <c r="P575" s="7">
        <v>0</v>
      </c>
      <c r="Q575" s="7">
        <v>0</v>
      </c>
      <c r="R575" s="7">
        <v>0</v>
      </c>
      <c r="S575" s="7">
        <v>0</v>
      </c>
      <c r="T575" s="7">
        <v>0</v>
      </c>
      <c r="U575" s="7">
        <v>0</v>
      </c>
      <c r="V575" s="7">
        <v>0</v>
      </c>
      <c r="W575" s="7">
        <v>0</v>
      </c>
      <c r="X575" s="7">
        <v>0</v>
      </c>
      <c r="Y575" s="7">
        <v>0</v>
      </c>
      <c r="Z575" s="7">
        <v>0</v>
      </c>
      <c r="AA575" s="7">
        <v>0</v>
      </c>
      <c r="AB575" s="7">
        <v>0</v>
      </c>
      <c r="AC575" s="7">
        <v>0</v>
      </c>
      <c r="AD575" s="7">
        <v>0</v>
      </c>
      <c r="AE575" s="7">
        <v>0</v>
      </c>
      <c r="AF575" s="7">
        <v>0</v>
      </c>
      <c r="AG575" s="7">
        <v>0</v>
      </c>
      <c r="AH575" s="7">
        <v>0</v>
      </c>
      <c r="AI575" s="7">
        <v>0</v>
      </c>
      <c r="AJ575" s="7">
        <v>0</v>
      </c>
      <c r="AK575" s="7">
        <v>0</v>
      </c>
      <c r="AL575" s="7">
        <v>0</v>
      </c>
      <c r="AM575" s="7">
        <v>0</v>
      </c>
      <c r="AN575" s="7">
        <v>0</v>
      </c>
      <c r="AO575" s="7">
        <v>0</v>
      </c>
      <c r="AP575" s="7">
        <v>0</v>
      </c>
      <c r="AQ575" s="7">
        <v>0</v>
      </c>
      <c r="AR575" s="7">
        <v>0</v>
      </c>
      <c r="AS575" s="7">
        <v>0</v>
      </c>
      <c r="AT575" s="7">
        <v>0</v>
      </c>
      <c r="AU575" s="7">
        <v>0</v>
      </c>
      <c r="AV575" s="7">
        <v>0</v>
      </c>
      <c r="AW575" s="7">
        <v>0</v>
      </c>
      <c r="AX575" s="7">
        <v>0</v>
      </c>
      <c r="AY575" s="7">
        <v>0</v>
      </c>
      <c r="AZ575" s="7">
        <v>0</v>
      </c>
      <c r="BA575" s="7">
        <v>0</v>
      </c>
      <c r="BB575" s="7">
        <v>0</v>
      </c>
      <c r="BC575" s="7">
        <v>0</v>
      </c>
      <c r="BD575">
        <v>0</v>
      </c>
      <c r="BE575">
        <v>31.32</v>
      </c>
      <c r="BF5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5" s="42" t="str">
        <f>+IF(AVANCE[[#This Row],[FECHA INICIO REAL]]="","",AVANCE[[#This Row],[FECHA INICIO REAL]]-AVANCE[[#This Row],[FECHA INICIO TEORICO]])</f>
        <v/>
      </c>
      <c r="BH5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6" spans="1:61" x14ac:dyDescent="0.25">
      <c r="A576" t="s">
        <v>1385</v>
      </c>
      <c r="B576" t="s">
        <v>1416</v>
      </c>
      <c r="C576">
        <v>2302600575</v>
      </c>
      <c r="D576" t="s">
        <v>834</v>
      </c>
      <c r="E576" s="4">
        <v>0</v>
      </c>
      <c r="F576" s="1">
        <v>46428</v>
      </c>
      <c r="G576" s="1"/>
      <c r="H576" s="1">
        <v>0</v>
      </c>
      <c r="I576" s="1">
        <v>46458</v>
      </c>
      <c r="J576">
        <v>46188</v>
      </c>
      <c r="K576" s="1"/>
      <c r="L576" s="7">
        <v>0</v>
      </c>
      <c r="M576" s="7">
        <v>0</v>
      </c>
      <c r="N576" s="7">
        <v>0</v>
      </c>
      <c r="O576" s="7">
        <v>0</v>
      </c>
      <c r="P576" s="7">
        <v>0</v>
      </c>
      <c r="Q576" s="7">
        <v>0</v>
      </c>
      <c r="R576" s="7">
        <v>0</v>
      </c>
      <c r="S576" s="7">
        <v>0</v>
      </c>
      <c r="T576" s="7">
        <v>0</v>
      </c>
      <c r="U576" s="7">
        <v>0</v>
      </c>
      <c r="V576" s="7">
        <v>0</v>
      </c>
      <c r="W576" s="7">
        <v>0</v>
      </c>
      <c r="X576" s="7">
        <v>0</v>
      </c>
      <c r="Y576" s="7">
        <v>0</v>
      </c>
      <c r="Z576" s="7">
        <v>0</v>
      </c>
      <c r="AA576" s="7">
        <v>0</v>
      </c>
      <c r="AB576" s="7">
        <v>0</v>
      </c>
      <c r="AC576" s="7">
        <v>0</v>
      </c>
      <c r="AD576" s="7">
        <v>0</v>
      </c>
      <c r="AE576" s="7">
        <v>0</v>
      </c>
      <c r="AF576" s="7">
        <v>0</v>
      </c>
      <c r="AG576" s="7">
        <v>0</v>
      </c>
      <c r="AH576" s="7">
        <v>0</v>
      </c>
      <c r="AI576" s="7">
        <v>0</v>
      </c>
      <c r="AJ576" s="7">
        <v>0</v>
      </c>
      <c r="AK576" s="7">
        <v>0</v>
      </c>
      <c r="AL576" s="7">
        <v>0</v>
      </c>
      <c r="AM576" s="7">
        <v>0</v>
      </c>
      <c r="AN576" s="7">
        <v>0</v>
      </c>
      <c r="AO576" s="7">
        <v>0</v>
      </c>
      <c r="AP576" s="7">
        <v>0</v>
      </c>
      <c r="AQ576" s="7">
        <v>0</v>
      </c>
      <c r="AR576" s="7">
        <v>0</v>
      </c>
      <c r="AS576" s="7">
        <v>0</v>
      </c>
      <c r="AT576" s="7">
        <v>0</v>
      </c>
      <c r="AU576" s="7">
        <v>0</v>
      </c>
      <c r="AV576" s="7">
        <v>0</v>
      </c>
      <c r="AW576" s="7">
        <v>0</v>
      </c>
      <c r="AX576" s="7">
        <v>0</v>
      </c>
      <c r="AY576" s="7">
        <v>0</v>
      </c>
      <c r="AZ576" s="7">
        <v>0</v>
      </c>
      <c r="BA576" s="7">
        <v>0</v>
      </c>
      <c r="BB576" s="7">
        <v>0</v>
      </c>
      <c r="BC576" s="7">
        <v>0</v>
      </c>
      <c r="BD576">
        <v>0</v>
      </c>
      <c r="BE576">
        <v>31.32</v>
      </c>
      <c r="BF5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6" s="42" t="str">
        <f>+IF(AVANCE[[#This Row],[FECHA INICIO REAL]]="","",AVANCE[[#This Row],[FECHA INICIO REAL]]-AVANCE[[#This Row],[FECHA INICIO TEORICO]])</f>
        <v/>
      </c>
      <c r="BH5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7" spans="1:61" x14ac:dyDescent="0.25">
      <c r="A577" t="s">
        <v>1385</v>
      </c>
      <c r="B577" t="s">
        <v>1417</v>
      </c>
      <c r="C577">
        <v>2282600576</v>
      </c>
      <c r="D577" t="s">
        <v>833</v>
      </c>
      <c r="E577" s="4">
        <v>0</v>
      </c>
      <c r="F577" s="1">
        <v>46428</v>
      </c>
      <c r="G577" s="1"/>
      <c r="H577" s="1">
        <v>0</v>
      </c>
      <c r="I577" s="1">
        <v>46448</v>
      </c>
      <c r="J577">
        <v>46188</v>
      </c>
      <c r="K577" s="1"/>
      <c r="L577" s="7">
        <v>0</v>
      </c>
      <c r="M577" s="7">
        <v>0</v>
      </c>
      <c r="N577" s="7">
        <v>0</v>
      </c>
      <c r="O577" s="7">
        <v>0</v>
      </c>
      <c r="P577" s="7">
        <v>0</v>
      </c>
      <c r="Q577" s="7">
        <v>0</v>
      </c>
      <c r="R577" s="7">
        <v>0</v>
      </c>
      <c r="S577" s="7">
        <v>0</v>
      </c>
      <c r="T577" s="7">
        <v>0</v>
      </c>
      <c r="U577" s="7">
        <v>0</v>
      </c>
      <c r="V577" s="7">
        <v>0</v>
      </c>
      <c r="W577" s="7">
        <v>0</v>
      </c>
      <c r="X577" s="7">
        <v>0</v>
      </c>
      <c r="Y577" s="7">
        <v>0</v>
      </c>
      <c r="Z577" s="7">
        <v>0</v>
      </c>
      <c r="AA577" s="7">
        <v>0</v>
      </c>
      <c r="AB577" s="7">
        <v>0</v>
      </c>
      <c r="AC577" s="7">
        <v>0</v>
      </c>
      <c r="AD577" s="7">
        <v>0</v>
      </c>
      <c r="AE577" s="7">
        <v>0</v>
      </c>
      <c r="AF577" s="7">
        <v>0</v>
      </c>
      <c r="AG577" s="7">
        <v>0</v>
      </c>
      <c r="AH577" s="7">
        <v>0</v>
      </c>
      <c r="AI577" s="7">
        <v>0</v>
      </c>
      <c r="AJ577" s="7">
        <v>0</v>
      </c>
      <c r="AK577" s="7">
        <v>0</v>
      </c>
      <c r="AL577" s="7">
        <v>0</v>
      </c>
      <c r="AM577" s="7">
        <v>0</v>
      </c>
      <c r="AN577" s="7">
        <v>0</v>
      </c>
      <c r="AO577" s="7">
        <v>0</v>
      </c>
      <c r="AP577" s="7">
        <v>0</v>
      </c>
      <c r="AQ577" s="7">
        <v>0</v>
      </c>
      <c r="AR577" s="7">
        <v>0</v>
      </c>
      <c r="AS577" s="7">
        <v>0</v>
      </c>
      <c r="AT577" s="7">
        <v>0</v>
      </c>
      <c r="AU577" s="7">
        <v>0</v>
      </c>
      <c r="AV577" s="7">
        <v>0</v>
      </c>
      <c r="AW577" s="7">
        <v>0</v>
      </c>
      <c r="AX577" s="7">
        <v>0</v>
      </c>
      <c r="AY577" s="7">
        <v>0</v>
      </c>
      <c r="AZ577" s="7">
        <v>0</v>
      </c>
      <c r="BA577" s="7">
        <v>0</v>
      </c>
      <c r="BB577" s="7">
        <v>0</v>
      </c>
      <c r="BC577" s="7">
        <v>0</v>
      </c>
      <c r="BD577">
        <v>0</v>
      </c>
      <c r="BE577">
        <v>28.87</v>
      </c>
      <c r="BF5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7" s="42" t="str">
        <f>+IF(AVANCE[[#This Row],[FECHA INICIO REAL]]="","",AVANCE[[#This Row],[FECHA INICIO REAL]]-AVANCE[[#This Row],[FECHA INICIO TEORICO]])</f>
        <v/>
      </c>
      <c r="BH5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8" spans="1:61" x14ac:dyDescent="0.25">
      <c r="A578" t="s">
        <v>1418</v>
      </c>
      <c r="B578" t="s">
        <v>1419</v>
      </c>
      <c r="C578">
        <v>2282600577</v>
      </c>
      <c r="D578" t="s">
        <v>833</v>
      </c>
      <c r="E578" s="4">
        <v>0</v>
      </c>
      <c r="F578" s="1">
        <v>46428</v>
      </c>
      <c r="G578" s="1"/>
      <c r="H578" s="1">
        <v>0</v>
      </c>
      <c r="I578" s="1">
        <v>46448</v>
      </c>
      <c r="J578">
        <v>46188</v>
      </c>
      <c r="K578" s="1"/>
      <c r="L578" s="7">
        <v>0</v>
      </c>
      <c r="M578" s="7">
        <v>0</v>
      </c>
      <c r="N578" s="7">
        <v>0</v>
      </c>
      <c r="O578" s="7">
        <v>0</v>
      </c>
      <c r="P578" s="7">
        <v>0</v>
      </c>
      <c r="Q578" s="7">
        <v>0</v>
      </c>
      <c r="R578" s="7">
        <v>0</v>
      </c>
      <c r="S578" s="7">
        <v>0</v>
      </c>
      <c r="T578" s="7">
        <v>0</v>
      </c>
      <c r="U578" s="7">
        <v>0</v>
      </c>
      <c r="V578" s="7">
        <v>0</v>
      </c>
      <c r="W578" s="7">
        <v>0</v>
      </c>
      <c r="X578" s="7">
        <v>0</v>
      </c>
      <c r="Y578" s="7">
        <v>0</v>
      </c>
      <c r="Z578" s="7">
        <v>0</v>
      </c>
      <c r="AA578" s="7">
        <v>0</v>
      </c>
      <c r="AB578" s="7">
        <v>0</v>
      </c>
      <c r="AC578" s="7">
        <v>0</v>
      </c>
      <c r="AD578" s="7">
        <v>0</v>
      </c>
      <c r="AE578" s="7">
        <v>0</v>
      </c>
      <c r="AF578" s="7">
        <v>0</v>
      </c>
      <c r="AG578" s="7">
        <v>0</v>
      </c>
      <c r="AH578" s="7">
        <v>0</v>
      </c>
      <c r="AI578" s="7">
        <v>0</v>
      </c>
      <c r="AJ578" s="7">
        <v>0</v>
      </c>
      <c r="AK578" s="7">
        <v>0</v>
      </c>
      <c r="AL578" s="7">
        <v>0</v>
      </c>
      <c r="AM578" s="7">
        <v>0</v>
      </c>
      <c r="AN578" s="7">
        <v>0</v>
      </c>
      <c r="AO578" s="7">
        <v>0</v>
      </c>
      <c r="AP578" s="7">
        <v>0</v>
      </c>
      <c r="AQ578" s="7">
        <v>0</v>
      </c>
      <c r="AR578" s="7">
        <v>0</v>
      </c>
      <c r="AS578" s="7">
        <v>0</v>
      </c>
      <c r="AT578" s="7">
        <v>0</v>
      </c>
      <c r="AU578" s="7">
        <v>0</v>
      </c>
      <c r="AV578" s="7">
        <v>0</v>
      </c>
      <c r="AW578" s="7">
        <v>0</v>
      </c>
      <c r="AX578" s="7">
        <v>0</v>
      </c>
      <c r="AY578" s="7">
        <v>0</v>
      </c>
      <c r="AZ578" s="7">
        <v>0</v>
      </c>
      <c r="BA578" s="7">
        <v>0</v>
      </c>
      <c r="BB578" s="7">
        <v>0</v>
      </c>
      <c r="BC578" s="7">
        <v>0</v>
      </c>
      <c r="BD578">
        <v>0</v>
      </c>
      <c r="BE578">
        <v>28.87</v>
      </c>
      <c r="BF5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8" s="42" t="str">
        <f>+IF(AVANCE[[#This Row],[FECHA INICIO REAL]]="","",AVANCE[[#This Row],[FECHA INICIO REAL]]-AVANCE[[#This Row],[FECHA INICIO TEORICO]])</f>
        <v/>
      </c>
      <c r="BH5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9" spans="1:61" x14ac:dyDescent="0.25">
      <c r="A579" t="s">
        <v>1418</v>
      </c>
      <c r="B579" t="s">
        <v>1420</v>
      </c>
      <c r="C579">
        <v>2302600578</v>
      </c>
      <c r="D579" t="s">
        <v>834</v>
      </c>
      <c r="E579" s="4">
        <v>0</v>
      </c>
      <c r="F579" s="1">
        <v>46429</v>
      </c>
      <c r="G579" s="1"/>
      <c r="H579" s="1">
        <v>0</v>
      </c>
      <c r="I579" s="1">
        <v>46459</v>
      </c>
      <c r="J579">
        <v>46188</v>
      </c>
      <c r="K579" s="1"/>
      <c r="L579" s="7">
        <v>0</v>
      </c>
      <c r="M579" s="7">
        <v>0</v>
      </c>
      <c r="N579" s="7">
        <v>0</v>
      </c>
      <c r="O579" s="7">
        <v>0</v>
      </c>
      <c r="P579" s="7">
        <v>0</v>
      </c>
      <c r="Q579" s="7">
        <v>0</v>
      </c>
      <c r="R579" s="7">
        <v>0</v>
      </c>
      <c r="S579" s="7">
        <v>0</v>
      </c>
      <c r="T579" s="7">
        <v>0</v>
      </c>
      <c r="U579" s="7">
        <v>0</v>
      </c>
      <c r="V579" s="7">
        <v>0</v>
      </c>
      <c r="W579" s="7">
        <v>0</v>
      </c>
      <c r="X579" s="7">
        <v>0</v>
      </c>
      <c r="Y579" s="7">
        <v>0</v>
      </c>
      <c r="Z579" s="7">
        <v>0</v>
      </c>
      <c r="AA579" s="7">
        <v>0</v>
      </c>
      <c r="AB579" s="7">
        <v>0</v>
      </c>
      <c r="AC579" s="7">
        <v>0</v>
      </c>
      <c r="AD579" s="7">
        <v>0</v>
      </c>
      <c r="AE579" s="7">
        <v>0</v>
      </c>
      <c r="AF579" s="7">
        <v>0</v>
      </c>
      <c r="AG579" s="7">
        <v>0</v>
      </c>
      <c r="AH579" s="7">
        <v>0</v>
      </c>
      <c r="AI579" s="7">
        <v>0</v>
      </c>
      <c r="AJ579" s="7">
        <v>0</v>
      </c>
      <c r="AK579" s="7">
        <v>0</v>
      </c>
      <c r="AL579" s="7">
        <v>0</v>
      </c>
      <c r="AM579" s="7">
        <v>0</v>
      </c>
      <c r="AN579" s="7">
        <v>0</v>
      </c>
      <c r="AO579" s="7">
        <v>0</v>
      </c>
      <c r="AP579" s="7">
        <v>0</v>
      </c>
      <c r="AQ579" s="7">
        <v>0</v>
      </c>
      <c r="AR579" s="7">
        <v>0</v>
      </c>
      <c r="AS579" s="7">
        <v>0</v>
      </c>
      <c r="AT579" s="7">
        <v>0</v>
      </c>
      <c r="AU579" s="7">
        <v>0</v>
      </c>
      <c r="AV579" s="7">
        <v>0</v>
      </c>
      <c r="AW579" s="7">
        <v>0</v>
      </c>
      <c r="AX579" s="7">
        <v>0</v>
      </c>
      <c r="AY579" s="7">
        <v>0</v>
      </c>
      <c r="AZ579" s="7">
        <v>0</v>
      </c>
      <c r="BA579" s="7">
        <v>0</v>
      </c>
      <c r="BB579" s="7">
        <v>0</v>
      </c>
      <c r="BC579" s="7">
        <v>0</v>
      </c>
      <c r="BD579">
        <v>0</v>
      </c>
      <c r="BE579">
        <v>31.32</v>
      </c>
      <c r="BF5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9" s="42" t="str">
        <f>+IF(AVANCE[[#This Row],[FECHA INICIO REAL]]="","",AVANCE[[#This Row],[FECHA INICIO REAL]]-AVANCE[[#This Row],[FECHA INICIO TEORICO]])</f>
        <v/>
      </c>
      <c r="BH5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0" spans="1:61" x14ac:dyDescent="0.25">
      <c r="A580" t="s">
        <v>1418</v>
      </c>
      <c r="B580" t="s">
        <v>1421</v>
      </c>
      <c r="C580">
        <v>2302600579</v>
      </c>
      <c r="D580" t="s">
        <v>834</v>
      </c>
      <c r="E580" s="4">
        <v>0</v>
      </c>
      <c r="F580" s="1">
        <v>46429</v>
      </c>
      <c r="G580" s="1"/>
      <c r="H580" s="1">
        <v>0</v>
      </c>
      <c r="I580" s="1">
        <v>46459</v>
      </c>
      <c r="J580">
        <v>46188</v>
      </c>
      <c r="K580" s="1"/>
      <c r="L580" s="7">
        <v>0</v>
      </c>
      <c r="M580" s="7">
        <v>0</v>
      </c>
      <c r="N580" s="7">
        <v>0</v>
      </c>
      <c r="O580" s="7">
        <v>0</v>
      </c>
      <c r="P580" s="7">
        <v>0</v>
      </c>
      <c r="Q580" s="7">
        <v>0</v>
      </c>
      <c r="R580" s="7">
        <v>0</v>
      </c>
      <c r="S580" s="7">
        <v>0</v>
      </c>
      <c r="T580" s="7">
        <v>0</v>
      </c>
      <c r="U580" s="7">
        <v>0</v>
      </c>
      <c r="V580" s="7">
        <v>0</v>
      </c>
      <c r="W580" s="7">
        <v>0</v>
      </c>
      <c r="X580" s="7">
        <v>0</v>
      </c>
      <c r="Y580" s="7">
        <v>0</v>
      </c>
      <c r="Z580" s="7">
        <v>0</v>
      </c>
      <c r="AA580" s="7">
        <v>0</v>
      </c>
      <c r="AB580" s="7">
        <v>0</v>
      </c>
      <c r="AC580" s="7">
        <v>0</v>
      </c>
      <c r="AD580" s="7">
        <v>0</v>
      </c>
      <c r="AE580" s="7">
        <v>0</v>
      </c>
      <c r="AF580" s="7">
        <v>0</v>
      </c>
      <c r="AG580" s="7">
        <v>0</v>
      </c>
      <c r="AH580" s="7">
        <v>0</v>
      </c>
      <c r="AI580" s="7">
        <v>0</v>
      </c>
      <c r="AJ580" s="7">
        <v>0</v>
      </c>
      <c r="AK580" s="7">
        <v>0</v>
      </c>
      <c r="AL580" s="7">
        <v>0</v>
      </c>
      <c r="AM580" s="7">
        <v>0</v>
      </c>
      <c r="AN580" s="7">
        <v>0</v>
      </c>
      <c r="AO580" s="7">
        <v>0</v>
      </c>
      <c r="AP580" s="7">
        <v>0</v>
      </c>
      <c r="AQ580" s="7">
        <v>0</v>
      </c>
      <c r="AR580" s="7">
        <v>0</v>
      </c>
      <c r="AS580" s="7">
        <v>0</v>
      </c>
      <c r="AT580" s="7">
        <v>0</v>
      </c>
      <c r="AU580" s="7">
        <v>0</v>
      </c>
      <c r="AV580" s="7">
        <v>0</v>
      </c>
      <c r="AW580" s="7">
        <v>0</v>
      </c>
      <c r="AX580" s="7">
        <v>0</v>
      </c>
      <c r="AY580" s="7">
        <v>0</v>
      </c>
      <c r="AZ580" s="7">
        <v>0</v>
      </c>
      <c r="BA580" s="7">
        <v>0</v>
      </c>
      <c r="BB580" s="7">
        <v>0</v>
      </c>
      <c r="BC580" s="7">
        <v>0</v>
      </c>
      <c r="BD580">
        <v>0</v>
      </c>
      <c r="BE580">
        <v>31.32</v>
      </c>
      <c r="BF5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0" s="42" t="str">
        <f>+IF(AVANCE[[#This Row],[FECHA INICIO REAL]]="","",AVANCE[[#This Row],[FECHA INICIO REAL]]-AVANCE[[#This Row],[FECHA INICIO TEORICO]])</f>
        <v/>
      </c>
      <c r="BH5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1" spans="1:61" x14ac:dyDescent="0.25">
      <c r="A581" t="s">
        <v>1418</v>
      </c>
      <c r="B581" t="s">
        <v>1422</v>
      </c>
      <c r="C581">
        <v>2282600580</v>
      </c>
      <c r="D581" t="s">
        <v>833</v>
      </c>
      <c r="E581" s="4">
        <v>0</v>
      </c>
      <c r="F581" s="1">
        <v>46429</v>
      </c>
      <c r="G581" s="1"/>
      <c r="H581" s="1">
        <v>0</v>
      </c>
      <c r="I581" s="1">
        <v>46449</v>
      </c>
      <c r="J581">
        <v>46188</v>
      </c>
      <c r="K581" s="1"/>
      <c r="L581" s="7">
        <v>0</v>
      </c>
      <c r="M581" s="7">
        <v>0</v>
      </c>
      <c r="N581" s="7">
        <v>0</v>
      </c>
      <c r="O581" s="7">
        <v>0</v>
      </c>
      <c r="P581" s="7">
        <v>0</v>
      </c>
      <c r="Q581" s="7">
        <v>0</v>
      </c>
      <c r="R581" s="7">
        <v>0</v>
      </c>
      <c r="S581" s="7">
        <v>0</v>
      </c>
      <c r="T581" s="7">
        <v>0</v>
      </c>
      <c r="U581" s="7">
        <v>0</v>
      </c>
      <c r="V581" s="7">
        <v>0</v>
      </c>
      <c r="W581" s="7">
        <v>0</v>
      </c>
      <c r="X581" s="7">
        <v>0</v>
      </c>
      <c r="Y581" s="7">
        <v>0</v>
      </c>
      <c r="Z581" s="7">
        <v>0</v>
      </c>
      <c r="AA581" s="7">
        <v>0</v>
      </c>
      <c r="AB581" s="7">
        <v>0</v>
      </c>
      <c r="AC581" s="7">
        <v>0</v>
      </c>
      <c r="AD581" s="7">
        <v>0</v>
      </c>
      <c r="AE581" s="7">
        <v>0</v>
      </c>
      <c r="AF581" s="7">
        <v>0</v>
      </c>
      <c r="AG581" s="7">
        <v>0</v>
      </c>
      <c r="AH581" s="7">
        <v>0</v>
      </c>
      <c r="AI581" s="7">
        <v>0</v>
      </c>
      <c r="AJ581" s="7">
        <v>0</v>
      </c>
      <c r="AK581" s="7">
        <v>0</v>
      </c>
      <c r="AL581" s="7">
        <v>0</v>
      </c>
      <c r="AM581" s="7">
        <v>0</v>
      </c>
      <c r="AN581" s="7">
        <v>0</v>
      </c>
      <c r="AO581" s="7">
        <v>0</v>
      </c>
      <c r="AP581" s="7">
        <v>0</v>
      </c>
      <c r="AQ581" s="7">
        <v>0</v>
      </c>
      <c r="AR581" s="7">
        <v>0</v>
      </c>
      <c r="AS581" s="7">
        <v>0</v>
      </c>
      <c r="AT581" s="7">
        <v>0</v>
      </c>
      <c r="AU581" s="7">
        <v>0</v>
      </c>
      <c r="AV581" s="7">
        <v>0</v>
      </c>
      <c r="AW581" s="7">
        <v>0</v>
      </c>
      <c r="AX581" s="7">
        <v>0</v>
      </c>
      <c r="AY581" s="7">
        <v>0</v>
      </c>
      <c r="AZ581" s="7">
        <v>0</v>
      </c>
      <c r="BA581" s="7">
        <v>0</v>
      </c>
      <c r="BB581" s="7">
        <v>0</v>
      </c>
      <c r="BC581" s="7">
        <v>0</v>
      </c>
      <c r="BD581">
        <v>0</v>
      </c>
      <c r="BE581">
        <v>28.87</v>
      </c>
      <c r="BF5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1" s="42" t="str">
        <f>+IF(AVANCE[[#This Row],[FECHA INICIO REAL]]="","",AVANCE[[#This Row],[FECHA INICIO REAL]]-AVANCE[[#This Row],[FECHA INICIO TEORICO]])</f>
        <v/>
      </c>
      <c r="BH5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2" spans="1:61" x14ac:dyDescent="0.25">
      <c r="A582" t="s">
        <v>1418</v>
      </c>
      <c r="B582" t="s">
        <v>1423</v>
      </c>
      <c r="C582">
        <v>2282600581</v>
      </c>
      <c r="D582" t="s">
        <v>833</v>
      </c>
      <c r="E582" s="4">
        <v>0</v>
      </c>
      <c r="F582" s="1">
        <v>46430</v>
      </c>
      <c r="G582" s="1"/>
      <c r="H582" s="1">
        <v>0</v>
      </c>
      <c r="I582" s="1">
        <v>46450</v>
      </c>
      <c r="J582">
        <v>46188</v>
      </c>
      <c r="K582" s="1"/>
      <c r="L582" s="7">
        <v>0</v>
      </c>
      <c r="M582" s="7">
        <v>0</v>
      </c>
      <c r="N582" s="7">
        <v>0</v>
      </c>
      <c r="O582" s="7">
        <v>0</v>
      </c>
      <c r="P582" s="7">
        <v>0</v>
      </c>
      <c r="Q582" s="7">
        <v>0</v>
      </c>
      <c r="R582" s="7">
        <v>0</v>
      </c>
      <c r="S582" s="7">
        <v>0</v>
      </c>
      <c r="T582" s="7">
        <v>0</v>
      </c>
      <c r="U582" s="7">
        <v>0</v>
      </c>
      <c r="V582" s="7">
        <v>0</v>
      </c>
      <c r="W582" s="7">
        <v>0</v>
      </c>
      <c r="X582" s="7">
        <v>0</v>
      </c>
      <c r="Y582" s="7">
        <v>0</v>
      </c>
      <c r="Z582" s="7">
        <v>0</v>
      </c>
      <c r="AA582" s="7">
        <v>0</v>
      </c>
      <c r="AB582" s="7">
        <v>0</v>
      </c>
      <c r="AC582" s="7">
        <v>0</v>
      </c>
      <c r="AD582" s="7">
        <v>0</v>
      </c>
      <c r="AE582" s="7">
        <v>0</v>
      </c>
      <c r="AF582" s="7">
        <v>0</v>
      </c>
      <c r="AG582" s="7">
        <v>0</v>
      </c>
      <c r="AH582" s="7">
        <v>0</v>
      </c>
      <c r="AI582" s="7">
        <v>0</v>
      </c>
      <c r="AJ582" s="7">
        <v>0</v>
      </c>
      <c r="AK582" s="7">
        <v>0</v>
      </c>
      <c r="AL582" s="7">
        <v>0</v>
      </c>
      <c r="AM582" s="7">
        <v>0</v>
      </c>
      <c r="AN582" s="7">
        <v>0</v>
      </c>
      <c r="AO582" s="7">
        <v>0</v>
      </c>
      <c r="AP582" s="7">
        <v>0</v>
      </c>
      <c r="AQ582" s="7">
        <v>0</v>
      </c>
      <c r="AR582" s="7">
        <v>0</v>
      </c>
      <c r="AS582" s="7">
        <v>0</v>
      </c>
      <c r="AT582" s="7">
        <v>0</v>
      </c>
      <c r="AU582" s="7">
        <v>0</v>
      </c>
      <c r="AV582" s="7">
        <v>0</v>
      </c>
      <c r="AW582" s="7">
        <v>0</v>
      </c>
      <c r="AX582" s="7">
        <v>0</v>
      </c>
      <c r="AY582" s="7">
        <v>0</v>
      </c>
      <c r="AZ582" s="7">
        <v>0</v>
      </c>
      <c r="BA582" s="7">
        <v>0</v>
      </c>
      <c r="BB582" s="7">
        <v>0</v>
      </c>
      <c r="BC582" s="7">
        <v>0</v>
      </c>
      <c r="BD582">
        <v>0</v>
      </c>
      <c r="BE582">
        <v>28.87</v>
      </c>
      <c r="BF5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2" s="42" t="str">
        <f>+IF(AVANCE[[#This Row],[FECHA INICIO REAL]]="","",AVANCE[[#This Row],[FECHA INICIO REAL]]-AVANCE[[#This Row],[FECHA INICIO TEORICO]])</f>
        <v/>
      </c>
      <c r="BH5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3" spans="1:61" x14ac:dyDescent="0.25">
      <c r="A583" t="s">
        <v>1418</v>
      </c>
      <c r="B583" t="s">
        <v>1424</v>
      </c>
      <c r="C583">
        <v>2302600582</v>
      </c>
      <c r="D583" t="s">
        <v>834</v>
      </c>
      <c r="E583" s="4">
        <v>0</v>
      </c>
      <c r="F583" s="1">
        <v>46430</v>
      </c>
      <c r="G583" s="1"/>
      <c r="H583" s="1">
        <v>0</v>
      </c>
      <c r="I583" s="1">
        <v>46460</v>
      </c>
      <c r="J583">
        <v>46188</v>
      </c>
      <c r="K583" s="1"/>
      <c r="L583" s="7">
        <v>0</v>
      </c>
      <c r="M583" s="7">
        <v>0</v>
      </c>
      <c r="N583" s="7">
        <v>0</v>
      </c>
      <c r="O583" s="7">
        <v>0</v>
      </c>
      <c r="P583" s="7">
        <v>0</v>
      </c>
      <c r="Q583" s="7">
        <v>0</v>
      </c>
      <c r="R583" s="7">
        <v>0</v>
      </c>
      <c r="S583" s="7">
        <v>0</v>
      </c>
      <c r="T583" s="7">
        <v>0</v>
      </c>
      <c r="U583" s="7">
        <v>0</v>
      </c>
      <c r="V583" s="7">
        <v>0</v>
      </c>
      <c r="W583" s="7">
        <v>0</v>
      </c>
      <c r="X583" s="7">
        <v>0</v>
      </c>
      <c r="Y583" s="7">
        <v>0</v>
      </c>
      <c r="Z583" s="7">
        <v>0</v>
      </c>
      <c r="AA583" s="7">
        <v>0</v>
      </c>
      <c r="AB583" s="7">
        <v>0</v>
      </c>
      <c r="AC583" s="7">
        <v>0</v>
      </c>
      <c r="AD583" s="7">
        <v>0</v>
      </c>
      <c r="AE583" s="7">
        <v>0</v>
      </c>
      <c r="AF583" s="7">
        <v>0</v>
      </c>
      <c r="AG583" s="7">
        <v>0</v>
      </c>
      <c r="AH583" s="7">
        <v>0</v>
      </c>
      <c r="AI583" s="7">
        <v>0</v>
      </c>
      <c r="AJ583" s="7">
        <v>0</v>
      </c>
      <c r="AK583" s="7">
        <v>0</v>
      </c>
      <c r="AL583" s="7">
        <v>0</v>
      </c>
      <c r="AM583" s="7">
        <v>0</v>
      </c>
      <c r="AN583" s="7">
        <v>0</v>
      </c>
      <c r="AO583" s="7">
        <v>0</v>
      </c>
      <c r="AP583" s="7">
        <v>0</v>
      </c>
      <c r="AQ583" s="7">
        <v>0</v>
      </c>
      <c r="AR583" s="7">
        <v>0</v>
      </c>
      <c r="AS583" s="7">
        <v>0</v>
      </c>
      <c r="AT583" s="7">
        <v>0</v>
      </c>
      <c r="AU583" s="7">
        <v>0</v>
      </c>
      <c r="AV583" s="7">
        <v>0</v>
      </c>
      <c r="AW583" s="7">
        <v>0</v>
      </c>
      <c r="AX583" s="7">
        <v>0</v>
      </c>
      <c r="AY583" s="7">
        <v>0</v>
      </c>
      <c r="AZ583" s="7">
        <v>0</v>
      </c>
      <c r="BA583" s="7">
        <v>0</v>
      </c>
      <c r="BB583" s="7">
        <v>0</v>
      </c>
      <c r="BC583" s="7">
        <v>0</v>
      </c>
      <c r="BD583">
        <v>0</v>
      </c>
      <c r="BE583">
        <v>31.32</v>
      </c>
      <c r="BF5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3" s="42" t="str">
        <f>+IF(AVANCE[[#This Row],[FECHA INICIO REAL]]="","",AVANCE[[#This Row],[FECHA INICIO REAL]]-AVANCE[[#This Row],[FECHA INICIO TEORICO]])</f>
        <v/>
      </c>
      <c r="BH5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4" spans="1:61" x14ac:dyDescent="0.25">
      <c r="A584" t="s">
        <v>1418</v>
      </c>
      <c r="B584" t="s">
        <v>1425</v>
      </c>
      <c r="C584">
        <v>2302600583</v>
      </c>
      <c r="D584" t="s">
        <v>834</v>
      </c>
      <c r="E584" s="4">
        <v>0</v>
      </c>
      <c r="F584" s="1">
        <v>46430</v>
      </c>
      <c r="G584" s="1"/>
      <c r="H584" s="1">
        <v>0</v>
      </c>
      <c r="I584" s="1">
        <v>46460</v>
      </c>
      <c r="J584">
        <v>46188</v>
      </c>
      <c r="K584" s="1"/>
      <c r="L584" s="7">
        <v>0</v>
      </c>
      <c r="M584" s="7">
        <v>0</v>
      </c>
      <c r="N584" s="7">
        <v>0</v>
      </c>
      <c r="O584" s="7">
        <v>0</v>
      </c>
      <c r="P584" s="7">
        <v>0</v>
      </c>
      <c r="Q584" s="7">
        <v>0</v>
      </c>
      <c r="R584" s="7">
        <v>0</v>
      </c>
      <c r="S584" s="7">
        <v>0</v>
      </c>
      <c r="T584" s="7">
        <v>0</v>
      </c>
      <c r="U584" s="7">
        <v>0</v>
      </c>
      <c r="V584" s="7">
        <v>0</v>
      </c>
      <c r="W584" s="7">
        <v>0</v>
      </c>
      <c r="X584" s="7">
        <v>0</v>
      </c>
      <c r="Y584" s="7">
        <v>0</v>
      </c>
      <c r="Z584" s="7">
        <v>0</v>
      </c>
      <c r="AA584" s="7">
        <v>0</v>
      </c>
      <c r="AB584" s="7">
        <v>0</v>
      </c>
      <c r="AC584" s="7">
        <v>0</v>
      </c>
      <c r="AD584" s="7">
        <v>0</v>
      </c>
      <c r="AE584" s="7">
        <v>0</v>
      </c>
      <c r="AF584" s="7">
        <v>0</v>
      </c>
      <c r="AG584" s="7">
        <v>0</v>
      </c>
      <c r="AH584" s="7">
        <v>0</v>
      </c>
      <c r="AI584" s="7">
        <v>0</v>
      </c>
      <c r="AJ584" s="7">
        <v>0</v>
      </c>
      <c r="AK584" s="7">
        <v>0</v>
      </c>
      <c r="AL584" s="7">
        <v>0</v>
      </c>
      <c r="AM584" s="7">
        <v>0</v>
      </c>
      <c r="AN584" s="7">
        <v>0</v>
      </c>
      <c r="AO584" s="7">
        <v>0</v>
      </c>
      <c r="AP584" s="7">
        <v>0</v>
      </c>
      <c r="AQ584" s="7">
        <v>0</v>
      </c>
      <c r="AR584" s="7">
        <v>0</v>
      </c>
      <c r="AS584" s="7">
        <v>0</v>
      </c>
      <c r="AT584" s="7">
        <v>0</v>
      </c>
      <c r="AU584" s="7">
        <v>0</v>
      </c>
      <c r="AV584" s="7">
        <v>0</v>
      </c>
      <c r="AW584" s="7">
        <v>0</v>
      </c>
      <c r="AX584" s="7">
        <v>0</v>
      </c>
      <c r="AY584" s="7">
        <v>0</v>
      </c>
      <c r="AZ584" s="7">
        <v>0</v>
      </c>
      <c r="BA584" s="7">
        <v>0</v>
      </c>
      <c r="BB584" s="7">
        <v>0</v>
      </c>
      <c r="BC584" s="7">
        <v>0</v>
      </c>
      <c r="BD584">
        <v>0</v>
      </c>
      <c r="BE584">
        <v>31.32</v>
      </c>
      <c r="BF5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4" s="42" t="str">
        <f>+IF(AVANCE[[#This Row],[FECHA INICIO REAL]]="","",AVANCE[[#This Row],[FECHA INICIO REAL]]-AVANCE[[#This Row],[FECHA INICIO TEORICO]])</f>
        <v/>
      </c>
      <c r="BH5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5" spans="1:61" x14ac:dyDescent="0.25">
      <c r="A585" t="s">
        <v>1418</v>
      </c>
      <c r="B585" t="s">
        <v>1426</v>
      </c>
      <c r="C585">
        <v>2282600584</v>
      </c>
      <c r="D585" t="s">
        <v>833</v>
      </c>
      <c r="E585" s="4">
        <v>0</v>
      </c>
      <c r="F585" s="1">
        <v>46433</v>
      </c>
      <c r="G585" s="1"/>
      <c r="H585" s="1">
        <v>0</v>
      </c>
      <c r="I585" s="1">
        <v>46453</v>
      </c>
      <c r="J585">
        <v>46188</v>
      </c>
      <c r="K585" s="1"/>
      <c r="L585" s="7">
        <v>0</v>
      </c>
      <c r="M585" s="7">
        <v>0</v>
      </c>
      <c r="N585" s="7">
        <v>0</v>
      </c>
      <c r="O585" s="7">
        <v>0</v>
      </c>
      <c r="P585" s="7">
        <v>0</v>
      </c>
      <c r="Q585" s="7">
        <v>0</v>
      </c>
      <c r="R585" s="7">
        <v>0</v>
      </c>
      <c r="S585" s="7">
        <v>0</v>
      </c>
      <c r="T585" s="7">
        <v>0</v>
      </c>
      <c r="U585" s="7">
        <v>0</v>
      </c>
      <c r="V585" s="7">
        <v>0</v>
      </c>
      <c r="W585" s="7">
        <v>0</v>
      </c>
      <c r="X585" s="7">
        <v>0</v>
      </c>
      <c r="Y585" s="7">
        <v>0</v>
      </c>
      <c r="Z585" s="7">
        <v>0</v>
      </c>
      <c r="AA585" s="7">
        <v>0</v>
      </c>
      <c r="AB585" s="7">
        <v>0</v>
      </c>
      <c r="AC585" s="7">
        <v>0</v>
      </c>
      <c r="AD585" s="7">
        <v>0</v>
      </c>
      <c r="AE585" s="7">
        <v>0</v>
      </c>
      <c r="AF585" s="7">
        <v>0</v>
      </c>
      <c r="AG585" s="7">
        <v>0</v>
      </c>
      <c r="AH585" s="7">
        <v>0</v>
      </c>
      <c r="AI585" s="7">
        <v>0</v>
      </c>
      <c r="AJ585" s="7">
        <v>0</v>
      </c>
      <c r="AK585" s="7">
        <v>0</v>
      </c>
      <c r="AL585" s="7">
        <v>0</v>
      </c>
      <c r="AM585" s="7">
        <v>0</v>
      </c>
      <c r="AN585" s="7">
        <v>0</v>
      </c>
      <c r="AO585" s="7">
        <v>0</v>
      </c>
      <c r="AP585" s="7">
        <v>0</v>
      </c>
      <c r="AQ585" s="7">
        <v>0</v>
      </c>
      <c r="AR585" s="7">
        <v>0</v>
      </c>
      <c r="AS585" s="7">
        <v>0</v>
      </c>
      <c r="AT585" s="7">
        <v>0</v>
      </c>
      <c r="AU585" s="7">
        <v>0</v>
      </c>
      <c r="AV585" s="7">
        <v>0</v>
      </c>
      <c r="AW585" s="7">
        <v>0</v>
      </c>
      <c r="AX585" s="7">
        <v>0</v>
      </c>
      <c r="AY585" s="7">
        <v>0</v>
      </c>
      <c r="AZ585" s="7">
        <v>0</v>
      </c>
      <c r="BA585" s="7">
        <v>0</v>
      </c>
      <c r="BB585" s="7">
        <v>0</v>
      </c>
      <c r="BC585" s="7">
        <v>0</v>
      </c>
      <c r="BD585">
        <v>0</v>
      </c>
      <c r="BE585">
        <v>28.87</v>
      </c>
      <c r="BF5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5" s="42" t="str">
        <f>+IF(AVANCE[[#This Row],[FECHA INICIO REAL]]="","",AVANCE[[#This Row],[FECHA INICIO REAL]]-AVANCE[[#This Row],[FECHA INICIO TEORICO]])</f>
        <v/>
      </c>
      <c r="BH5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6" spans="1:61" x14ac:dyDescent="0.25">
      <c r="A586" t="s">
        <v>1418</v>
      </c>
      <c r="B586" t="s">
        <v>1427</v>
      </c>
      <c r="C586">
        <v>2282600585</v>
      </c>
      <c r="D586" t="s">
        <v>833</v>
      </c>
      <c r="E586" s="4">
        <v>0</v>
      </c>
      <c r="F586" s="1">
        <v>46433</v>
      </c>
      <c r="G586" s="1"/>
      <c r="H586" s="1">
        <v>0</v>
      </c>
      <c r="I586" s="1">
        <v>46453</v>
      </c>
      <c r="J586">
        <v>46188</v>
      </c>
      <c r="K586" s="1"/>
      <c r="L586" s="7">
        <v>0</v>
      </c>
      <c r="M586" s="7">
        <v>0</v>
      </c>
      <c r="N586" s="7">
        <v>0</v>
      </c>
      <c r="O586" s="7">
        <v>0</v>
      </c>
      <c r="P586" s="7">
        <v>0</v>
      </c>
      <c r="Q586" s="7">
        <v>0</v>
      </c>
      <c r="R586" s="7">
        <v>0</v>
      </c>
      <c r="S586" s="7">
        <v>0</v>
      </c>
      <c r="T586" s="7">
        <v>0</v>
      </c>
      <c r="U586" s="7">
        <v>0</v>
      </c>
      <c r="V586" s="7">
        <v>0</v>
      </c>
      <c r="W586" s="7">
        <v>0</v>
      </c>
      <c r="X586" s="7">
        <v>0</v>
      </c>
      <c r="Y586" s="7">
        <v>0</v>
      </c>
      <c r="Z586" s="7">
        <v>0</v>
      </c>
      <c r="AA586" s="7">
        <v>0</v>
      </c>
      <c r="AB586" s="7">
        <v>0</v>
      </c>
      <c r="AC586" s="7">
        <v>0</v>
      </c>
      <c r="AD586" s="7">
        <v>0</v>
      </c>
      <c r="AE586" s="7">
        <v>0</v>
      </c>
      <c r="AF586" s="7">
        <v>0</v>
      </c>
      <c r="AG586" s="7">
        <v>0</v>
      </c>
      <c r="AH586" s="7">
        <v>0</v>
      </c>
      <c r="AI586" s="7">
        <v>0</v>
      </c>
      <c r="AJ586" s="7">
        <v>0</v>
      </c>
      <c r="AK586" s="7">
        <v>0</v>
      </c>
      <c r="AL586" s="7">
        <v>0</v>
      </c>
      <c r="AM586" s="7">
        <v>0</v>
      </c>
      <c r="AN586" s="7">
        <v>0</v>
      </c>
      <c r="AO586" s="7">
        <v>0</v>
      </c>
      <c r="AP586" s="7">
        <v>0</v>
      </c>
      <c r="AQ586" s="7">
        <v>0</v>
      </c>
      <c r="AR586" s="7">
        <v>0</v>
      </c>
      <c r="AS586" s="7">
        <v>0</v>
      </c>
      <c r="AT586" s="7">
        <v>0</v>
      </c>
      <c r="AU586" s="7">
        <v>0</v>
      </c>
      <c r="AV586" s="7">
        <v>0</v>
      </c>
      <c r="AW586" s="7">
        <v>0</v>
      </c>
      <c r="AX586" s="7">
        <v>0</v>
      </c>
      <c r="AY586" s="7">
        <v>0</v>
      </c>
      <c r="AZ586" s="7">
        <v>0</v>
      </c>
      <c r="BA586" s="7">
        <v>0</v>
      </c>
      <c r="BB586" s="7">
        <v>0</v>
      </c>
      <c r="BC586" s="7">
        <v>0</v>
      </c>
      <c r="BD586">
        <v>0</v>
      </c>
      <c r="BE586">
        <v>28.87</v>
      </c>
      <c r="BF5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6" s="42" t="str">
        <f>+IF(AVANCE[[#This Row],[FECHA INICIO REAL]]="","",AVANCE[[#This Row],[FECHA INICIO REAL]]-AVANCE[[#This Row],[FECHA INICIO TEORICO]])</f>
        <v/>
      </c>
      <c r="BH5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7" spans="1:61" x14ac:dyDescent="0.25">
      <c r="A587" t="s">
        <v>1418</v>
      </c>
      <c r="B587" t="s">
        <v>1428</v>
      </c>
      <c r="C587">
        <v>2302600586</v>
      </c>
      <c r="D587" t="s">
        <v>834</v>
      </c>
      <c r="E587" s="4">
        <v>0</v>
      </c>
      <c r="F587" s="1">
        <v>46433</v>
      </c>
      <c r="G587" s="1"/>
      <c r="H587" s="1">
        <v>0</v>
      </c>
      <c r="I587" s="1">
        <v>46463</v>
      </c>
      <c r="J587">
        <v>46188</v>
      </c>
      <c r="K587" s="1"/>
      <c r="L587" s="7">
        <v>0</v>
      </c>
      <c r="M587" s="7">
        <v>0</v>
      </c>
      <c r="N587" s="7">
        <v>0</v>
      </c>
      <c r="O587" s="7">
        <v>0</v>
      </c>
      <c r="P587" s="7">
        <v>0</v>
      </c>
      <c r="Q587" s="7">
        <v>0</v>
      </c>
      <c r="R587" s="7">
        <v>0</v>
      </c>
      <c r="S587" s="7">
        <v>0</v>
      </c>
      <c r="T587" s="7">
        <v>0</v>
      </c>
      <c r="U587" s="7">
        <v>0</v>
      </c>
      <c r="V587" s="7">
        <v>0</v>
      </c>
      <c r="W587" s="7">
        <v>0</v>
      </c>
      <c r="X587" s="7">
        <v>0</v>
      </c>
      <c r="Y587" s="7">
        <v>0</v>
      </c>
      <c r="Z587" s="7">
        <v>0</v>
      </c>
      <c r="AA587" s="7">
        <v>0</v>
      </c>
      <c r="AB587" s="7">
        <v>0</v>
      </c>
      <c r="AC587" s="7">
        <v>0</v>
      </c>
      <c r="AD587" s="7">
        <v>0</v>
      </c>
      <c r="AE587" s="7">
        <v>0</v>
      </c>
      <c r="AF587" s="7">
        <v>0</v>
      </c>
      <c r="AG587" s="7">
        <v>0</v>
      </c>
      <c r="AH587" s="7">
        <v>0</v>
      </c>
      <c r="AI587" s="7">
        <v>0</v>
      </c>
      <c r="AJ587" s="7">
        <v>0</v>
      </c>
      <c r="AK587" s="7">
        <v>0</v>
      </c>
      <c r="AL587" s="7">
        <v>0</v>
      </c>
      <c r="AM587" s="7">
        <v>0</v>
      </c>
      <c r="AN587" s="7">
        <v>0</v>
      </c>
      <c r="AO587" s="7">
        <v>0</v>
      </c>
      <c r="AP587" s="7">
        <v>0</v>
      </c>
      <c r="AQ587" s="7">
        <v>0</v>
      </c>
      <c r="AR587" s="7">
        <v>0</v>
      </c>
      <c r="AS587" s="7">
        <v>0</v>
      </c>
      <c r="AT587" s="7">
        <v>0</v>
      </c>
      <c r="AU587" s="7">
        <v>0</v>
      </c>
      <c r="AV587" s="7">
        <v>0</v>
      </c>
      <c r="AW587" s="7">
        <v>0</v>
      </c>
      <c r="AX587" s="7">
        <v>0</v>
      </c>
      <c r="AY587" s="7">
        <v>0</v>
      </c>
      <c r="AZ587" s="7">
        <v>0</v>
      </c>
      <c r="BA587" s="7">
        <v>0</v>
      </c>
      <c r="BB587" s="7">
        <v>0</v>
      </c>
      <c r="BC587" s="7">
        <v>0</v>
      </c>
      <c r="BD587">
        <v>0</v>
      </c>
      <c r="BE587">
        <v>31.32</v>
      </c>
      <c r="BF5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7" s="42" t="str">
        <f>+IF(AVANCE[[#This Row],[FECHA INICIO REAL]]="","",AVANCE[[#This Row],[FECHA INICIO REAL]]-AVANCE[[#This Row],[FECHA INICIO TEORICO]])</f>
        <v/>
      </c>
      <c r="BH5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8" spans="1:61" x14ac:dyDescent="0.25">
      <c r="A588" t="s">
        <v>1418</v>
      </c>
      <c r="B588" t="s">
        <v>1429</v>
      </c>
      <c r="C588">
        <v>2302600587</v>
      </c>
      <c r="D588" t="s">
        <v>834</v>
      </c>
      <c r="E588" s="4">
        <v>0</v>
      </c>
      <c r="F588" s="1">
        <v>46434</v>
      </c>
      <c r="G588" s="1"/>
      <c r="H588" s="1">
        <v>0</v>
      </c>
      <c r="I588" s="1">
        <v>46464</v>
      </c>
      <c r="J588">
        <v>46188</v>
      </c>
      <c r="K588" s="1"/>
      <c r="L588" s="7">
        <v>0</v>
      </c>
      <c r="M588" s="7">
        <v>0</v>
      </c>
      <c r="N588" s="7">
        <v>0</v>
      </c>
      <c r="O588" s="7">
        <v>0</v>
      </c>
      <c r="P588" s="7">
        <v>0</v>
      </c>
      <c r="Q588" s="7">
        <v>0</v>
      </c>
      <c r="R588" s="7">
        <v>0</v>
      </c>
      <c r="S588" s="7">
        <v>0</v>
      </c>
      <c r="T588" s="7">
        <v>0</v>
      </c>
      <c r="U588" s="7">
        <v>0</v>
      </c>
      <c r="V588" s="7">
        <v>0</v>
      </c>
      <c r="W588" s="7">
        <v>0</v>
      </c>
      <c r="X588" s="7">
        <v>0</v>
      </c>
      <c r="Y588" s="7">
        <v>0</v>
      </c>
      <c r="Z588" s="7">
        <v>0</v>
      </c>
      <c r="AA588" s="7">
        <v>0</v>
      </c>
      <c r="AB588" s="7">
        <v>0</v>
      </c>
      <c r="AC588" s="7">
        <v>0</v>
      </c>
      <c r="AD588" s="7">
        <v>0</v>
      </c>
      <c r="AE588" s="7">
        <v>0</v>
      </c>
      <c r="AF588" s="7">
        <v>0</v>
      </c>
      <c r="AG588" s="7">
        <v>0</v>
      </c>
      <c r="AH588" s="7">
        <v>0</v>
      </c>
      <c r="AI588" s="7">
        <v>0</v>
      </c>
      <c r="AJ588" s="7">
        <v>0</v>
      </c>
      <c r="AK588" s="7">
        <v>0</v>
      </c>
      <c r="AL588" s="7">
        <v>0</v>
      </c>
      <c r="AM588" s="7">
        <v>0</v>
      </c>
      <c r="AN588" s="7">
        <v>0</v>
      </c>
      <c r="AO588" s="7">
        <v>0</v>
      </c>
      <c r="AP588" s="7">
        <v>0</v>
      </c>
      <c r="AQ588" s="7">
        <v>0</v>
      </c>
      <c r="AR588" s="7">
        <v>0</v>
      </c>
      <c r="AS588" s="7">
        <v>0</v>
      </c>
      <c r="AT588" s="7">
        <v>0</v>
      </c>
      <c r="AU588" s="7">
        <v>0</v>
      </c>
      <c r="AV588" s="7">
        <v>0</v>
      </c>
      <c r="AW588" s="7">
        <v>0</v>
      </c>
      <c r="AX588" s="7">
        <v>0</v>
      </c>
      <c r="AY588" s="7">
        <v>0</v>
      </c>
      <c r="AZ588" s="7">
        <v>0</v>
      </c>
      <c r="BA588" s="7">
        <v>0</v>
      </c>
      <c r="BB588" s="7">
        <v>0</v>
      </c>
      <c r="BC588" s="7">
        <v>0</v>
      </c>
      <c r="BD588">
        <v>0</v>
      </c>
      <c r="BE588">
        <v>31.32</v>
      </c>
      <c r="BF5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8" s="42" t="str">
        <f>+IF(AVANCE[[#This Row],[FECHA INICIO REAL]]="","",AVANCE[[#This Row],[FECHA INICIO REAL]]-AVANCE[[#This Row],[FECHA INICIO TEORICO]])</f>
        <v/>
      </c>
      <c r="BH5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9" spans="1:61" x14ac:dyDescent="0.25">
      <c r="A589" t="s">
        <v>1418</v>
      </c>
      <c r="B589" t="s">
        <v>1430</v>
      </c>
      <c r="C589">
        <v>2282600588</v>
      </c>
      <c r="D589" t="s">
        <v>833</v>
      </c>
      <c r="E589" s="4">
        <v>0</v>
      </c>
      <c r="F589" s="1">
        <v>46434</v>
      </c>
      <c r="G589" s="1"/>
      <c r="H589" s="1">
        <v>0</v>
      </c>
      <c r="I589" s="1">
        <v>46454</v>
      </c>
      <c r="J589">
        <v>46188</v>
      </c>
      <c r="K589" s="1"/>
      <c r="L589" s="7">
        <v>0</v>
      </c>
      <c r="M589" s="7">
        <v>0</v>
      </c>
      <c r="N589" s="7">
        <v>0</v>
      </c>
      <c r="O589" s="7">
        <v>0</v>
      </c>
      <c r="P589" s="7">
        <v>0</v>
      </c>
      <c r="Q589" s="7">
        <v>0</v>
      </c>
      <c r="R589" s="7">
        <v>0</v>
      </c>
      <c r="S589" s="7">
        <v>0</v>
      </c>
      <c r="T589" s="7">
        <v>0</v>
      </c>
      <c r="U589" s="7">
        <v>0</v>
      </c>
      <c r="V589" s="7">
        <v>0</v>
      </c>
      <c r="W589" s="7">
        <v>0</v>
      </c>
      <c r="X589" s="7">
        <v>0</v>
      </c>
      <c r="Y589" s="7">
        <v>0</v>
      </c>
      <c r="Z589" s="7">
        <v>0</v>
      </c>
      <c r="AA589" s="7">
        <v>0</v>
      </c>
      <c r="AB589" s="7">
        <v>0</v>
      </c>
      <c r="AC589" s="7">
        <v>0</v>
      </c>
      <c r="AD589" s="7">
        <v>0</v>
      </c>
      <c r="AE589" s="7">
        <v>0</v>
      </c>
      <c r="AF589" s="7">
        <v>0</v>
      </c>
      <c r="AG589" s="7">
        <v>0</v>
      </c>
      <c r="AH589" s="7">
        <v>0</v>
      </c>
      <c r="AI589" s="7">
        <v>0</v>
      </c>
      <c r="AJ589" s="7">
        <v>0</v>
      </c>
      <c r="AK589" s="7">
        <v>0</v>
      </c>
      <c r="AL589" s="7">
        <v>0</v>
      </c>
      <c r="AM589" s="7">
        <v>0</v>
      </c>
      <c r="AN589" s="7">
        <v>0</v>
      </c>
      <c r="AO589" s="7">
        <v>0</v>
      </c>
      <c r="AP589" s="7">
        <v>0</v>
      </c>
      <c r="AQ589" s="7">
        <v>0</v>
      </c>
      <c r="AR589" s="7">
        <v>0</v>
      </c>
      <c r="AS589" s="7">
        <v>0</v>
      </c>
      <c r="AT589" s="7">
        <v>0</v>
      </c>
      <c r="AU589" s="7">
        <v>0</v>
      </c>
      <c r="AV589" s="7">
        <v>0</v>
      </c>
      <c r="AW589" s="7">
        <v>0</v>
      </c>
      <c r="AX589" s="7">
        <v>0</v>
      </c>
      <c r="AY589" s="7">
        <v>0</v>
      </c>
      <c r="AZ589" s="7">
        <v>0</v>
      </c>
      <c r="BA589" s="7">
        <v>0</v>
      </c>
      <c r="BB589" s="7">
        <v>0</v>
      </c>
      <c r="BC589" s="7">
        <v>0</v>
      </c>
      <c r="BD589">
        <v>0</v>
      </c>
      <c r="BE589">
        <v>28.87</v>
      </c>
      <c r="BF5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9" s="42" t="str">
        <f>+IF(AVANCE[[#This Row],[FECHA INICIO REAL]]="","",AVANCE[[#This Row],[FECHA INICIO REAL]]-AVANCE[[#This Row],[FECHA INICIO TEORICO]])</f>
        <v/>
      </c>
      <c r="BH5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0" spans="1:61" x14ac:dyDescent="0.25">
      <c r="A590" t="s">
        <v>1418</v>
      </c>
      <c r="B590" t="s">
        <v>1431</v>
      </c>
      <c r="C590">
        <v>2282600589</v>
      </c>
      <c r="D590" t="s">
        <v>833</v>
      </c>
      <c r="E590" s="4">
        <v>0</v>
      </c>
      <c r="F590" s="1">
        <v>46434</v>
      </c>
      <c r="G590" s="1"/>
      <c r="H590" s="1">
        <v>0</v>
      </c>
      <c r="I590" s="1">
        <v>46454</v>
      </c>
      <c r="J590">
        <v>46188</v>
      </c>
      <c r="K590" s="1"/>
      <c r="L590" s="7">
        <v>0</v>
      </c>
      <c r="M590" s="7">
        <v>0</v>
      </c>
      <c r="N590" s="7">
        <v>0</v>
      </c>
      <c r="O590" s="7">
        <v>0</v>
      </c>
      <c r="P590" s="7">
        <v>0</v>
      </c>
      <c r="Q590" s="7">
        <v>0</v>
      </c>
      <c r="R590" s="7">
        <v>0</v>
      </c>
      <c r="S590" s="7">
        <v>0</v>
      </c>
      <c r="T590" s="7">
        <v>0</v>
      </c>
      <c r="U590" s="7">
        <v>0</v>
      </c>
      <c r="V590" s="7">
        <v>0</v>
      </c>
      <c r="W590" s="7">
        <v>0</v>
      </c>
      <c r="X590" s="7">
        <v>0</v>
      </c>
      <c r="Y590" s="7">
        <v>0</v>
      </c>
      <c r="Z590" s="7">
        <v>0</v>
      </c>
      <c r="AA590" s="7">
        <v>0</v>
      </c>
      <c r="AB590" s="7">
        <v>0</v>
      </c>
      <c r="AC590" s="7">
        <v>0</v>
      </c>
      <c r="AD590" s="7">
        <v>0</v>
      </c>
      <c r="AE590" s="7">
        <v>0</v>
      </c>
      <c r="AF590" s="7">
        <v>0</v>
      </c>
      <c r="AG590" s="7">
        <v>0</v>
      </c>
      <c r="AH590" s="7">
        <v>0</v>
      </c>
      <c r="AI590" s="7">
        <v>0</v>
      </c>
      <c r="AJ590" s="7">
        <v>0</v>
      </c>
      <c r="AK590" s="7">
        <v>0</v>
      </c>
      <c r="AL590" s="7">
        <v>0</v>
      </c>
      <c r="AM590" s="7">
        <v>0</v>
      </c>
      <c r="AN590" s="7">
        <v>0</v>
      </c>
      <c r="AO590" s="7">
        <v>0</v>
      </c>
      <c r="AP590" s="7">
        <v>0</v>
      </c>
      <c r="AQ590" s="7">
        <v>0</v>
      </c>
      <c r="AR590" s="7">
        <v>0</v>
      </c>
      <c r="AS590" s="7">
        <v>0</v>
      </c>
      <c r="AT590" s="7">
        <v>0</v>
      </c>
      <c r="AU590" s="7">
        <v>0</v>
      </c>
      <c r="AV590" s="7">
        <v>0</v>
      </c>
      <c r="AW590" s="7">
        <v>0</v>
      </c>
      <c r="AX590" s="7">
        <v>0</v>
      </c>
      <c r="AY590" s="7">
        <v>0</v>
      </c>
      <c r="AZ590" s="7">
        <v>0</v>
      </c>
      <c r="BA590" s="7">
        <v>0</v>
      </c>
      <c r="BB590" s="7">
        <v>0</v>
      </c>
      <c r="BC590" s="7">
        <v>0</v>
      </c>
      <c r="BD590">
        <v>0</v>
      </c>
      <c r="BE590">
        <v>28.87</v>
      </c>
      <c r="BF5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0" s="42" t="str">
        <f>+IF(AVANCE[[#This Row],[FECHA INICIO REAL]]="","",AVANCE[[#This Row],[FECHA INICIO REAL]]-AVANCE[[#This Row],[FECHA INICIO TEORICO]])</f>
        <v/>
      </c>
      <c r="BH5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1" spans="1:61" x14ac:dyDescent="0.25">
      <c r="A591" t="s">
        <v>1418</v>
      </c>
      <c r="B591" t="s">
        <v>1432</v>
      </c>
      <c r="C591">
        <v>2302600590</v>
      </c>
      <c r="D591" t="s">
        <v>834</v>
      </c>
      <c r="E591" s="4">
        <v>0</v>
      </c>
      <c r="F591" s="1">
        <v>46435</v>
      </c>
      <c r="G591" s="1"/>
      <c r="H591" s="1">
        <v>0</v>
      </c>
      <c r="I591" s="1">
        <v>46465</v>
      </c>
      <c r="J591">
        <v>46188</v>
      </c>
      <c r="K591" s="1"/>
      <c r="L591" s="7">
        <v>0</v>
      </c>
      <c r="M591" s="7">
        <v>0</v>
      </c>
      <c r="N591" s="7">
        <v>0</v>
      </c>
      <c r="O591" s="7">
        <v>0</v>
      </c>
      <c r="P591" s="7">
        <v>0</v>
      </c>
      <c r="Q591" s="7">
        <v>0</v>
      </c>
      <c r="R591" s="7">
        <v>0</v>
      </c>
      <c r="S591" s="7">
        <v>0</v>
      </c>
      <c r="T591" s="7">
        <v>0</v>
      </c>
      <c r="U591" s="7">
        <v>0</v>
      </c>
      <c r="V591" s="7">
        <v>0</v>
      </c>
      <c r="W591" s="7">
        <v>0</v>
      </c>
      <c r="X591" s="7">
        <v>0</v>
      </c>
      <c r="Y591" s="7">
        <v>0</v>
      </c>
      <c r="Z591" s="7">
        <v>0</v>
      </c>
      <c r="AA591" s="7">
        <v>0</v>
      </c>
      <c r="AB591" s="7">
        <v>0</v>
      </c>
      <c r="AC591" s="7">
        <v>0</v>
      </c>
      <c r="AD591" s="7">
        <v>0</v>
      </c>
      <c r="AE591" s="7">
        <v>0</v>
      </c>
      <c r="AF591" s="7">
        <v>0</v>
      </c>
      <c r="AG591" s="7">
        <v>0</v>
      </c>
      <c r="AH591" s="7">
        <v>0</v>
      </c>
      <c r="AI591" s="7">
        <v>0</v>
      </c>
      <c r="AJ591" s="7">
        <v>0</v>
      </c>
      <c r="AK591" s="7">
        <v>0</v>
      </c>
      <c r="AL591" s="7">
        <v>0</v>
      </c>
      <c r="AM591" s="7">
        <v>0</v>
      </c>
      <c r="AN591" s="7">
        <v>0</v>
      </c>
      <c r="AO591" s="7">
        <v>0</v>
      </c>
      <c r="AP591" s="7">
        <v>0</v>
      </c>
      <c r="AQ591" s="7">
        <v>0</v>
      </c>
      <c r="AR591" s="7">
        <v>0</v>
      </c>
      <c r="AS591" s="7">
        <v>0</v>
      </c>
      <c r="AT591" s="7">
        <v>0</v>
      </c>
      <c r="AU591" s="7">
        <v>0</v>
      </c>
      <c r="AV591" s="7">
        <v>0</v>
      </c>
      <c r="AW591" s="7">
        <v>0</v>
      </c>
      <c r="AX591" s="7">
        <v>0</v>
      </c>
      <c r="AY591" s="7">
        <v>0</v>
      </c>
      <c r="AZ591" s="7">
        <v>0</v>
      </c>
      <c r="BA591" s="7">
        <v>0</v>
      </c>
      <c r="BB591" s="7">
        <v>0</v>
      </c>
      <c r="BC591" s="7">
        <v>0</v>
      </c>
      <c r="BD591">
        <v>0</v>
      </c>
      <c r="BE591">
        <v>31.32</v>
      </c>
      <c r="BF5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1" s="42" t="str">
        <f>+IF(AVANCE[[#This Row],[FECHA INICIO REAL]]="","",AVANCE[[#This Row],[FECHA INICIO REAL]]-AVANCE[[#This Row],[FECHA INICIO TEORICO]])</f>
        <v/>
      </c>
      <c r="BH5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2" spans="1:61" x14ac:dyDescent="0.25">
      <c r="A592" t="s">
        <v>1418</v>
      </c>
      <c r="B592" t="s">
        <v>1433</v>
      </c>
      <c r="C592">
        <v>2302600591</v>
      </c>
      <c r="D592" t="s">
        <v>834</v>
      </c>
      <c r="E592" s="4">
        <v>0</v>
      </c>
      <c r="F592" s="1">
        <v>46435</v>
      </c>
      <c r="G592" s="1"/>
      <c r="H592" s="1">
        <v>0</v>
      </c>
      <c r="I592" s="1">
        <v>46465</v>
      </c>
      <c r="J592">
        <v>46188</v>
      </c>
      <c r="K592" s="1"/>
      <c r="L592" s="7">
        <v>0</v>
      </c>
      <c r="M592" s="7">
        <v>0</v>
      </c>
      <c r="N592" s="7">
        <v>0</v>
      </c>
      <c r="O592" s="7">
        <v>0</v>
      </c>
      <c r="P592" s="7">
        <v>0</v>
      </c>
      <c r="Q592" s="7">
        <v>0</v>
      </c>
      <c r="R592" s="7">
        <v>0</v>
      </c>
      <c r="S592" s="7">
        <v>0</v>
      </c>
      <c r="T592" s="7">
        <v>0</v>
      </c>
      <c r="U592" s="7">
        <v>0</v>
      </c>
      <c r="V592" s="7">
        <v>0</v>
      </c>
      <c r="W592" s="7">
        <v>0</v>
      </c>
      <c r="X592" s="7">
        <v>0</v>
      </c>
      <c r="Y592" s="7">
        <v>0</v>
      </c>
      <c r="Z592" s="7">
        <v>0</v>
      </c>
      <c r="AA592" s="7">
        <v>0</v>
      </c>
      <c r="AB592" s="7">
        <v>0</v>
      </c>
      <c r="AC592" s="7">
        <v>0</v>
      </c>
      <c r="AD592" s="7">
        <v>0</v>
      </c>
      <c r="AE592" s="7">
        <v>0</v>
      </c>
      <c r="AF592" s="7">
        <v>0</v>
      </c>
      <c r="AG592" s="7">
        <v>0</v>
      </c>
      <c r="AH592" s="7">
        <v>0</v>
      </c>
      <c r="AI592" s="7">
        <v>0</v>
      </c>
      <c r="AJ592" s="7">
        <v>0</v>
      </c>
      <c r="AK592" s="7">
        <v>0</v>
      </c>
      <c r="AL592" s="7">
        <v>0</v>
      </c>
      <c r="AM592" s="7">
        <v>0</v>
      </c>
      <c r="AN592" s="7">
        <v>0</v>
      </c>
      <c r="AO592" s="7">
        <v>0</v>
      </c>
      <c r="AP592" s="7">
        <v>0</v>
      </c>
      <c r="AQ592" s="7">
        <v>0</v>
      </c>
      <c r="AR592" s="7">
        <v>0</v>
      </c>
      <c r="AS592" s="7">
        <v>0</v>
      </c>
      <c r="AT592" s="7">
        <v>0</v>
      </c>
      <c r="AU592" s="7">
        <v>0</v>
      </c>
      <c r="AV592" s="7">
        <v>0</v>
      </c>
      <c r="AW592" s="7">
        <v>0</v>
      </c>
      <c r="AX592" s="7">
        <v>0</v>
      </c>
      <c r="AY592" s="7">
        <v>0</v>
      </c>
      <c r="AZ592" s="7">
        <v>0</v>
      </c>
      <c r="BA592" s="7">
        <v>0</v>
      </c>
      <c r="BB592" s="7">
        <v>0</v>
      </c>
      <c r="BC592" s="7">
        <v>0</v>
      </c>
      <c r="BD592">
        <v>0</v>
      </c>
      <c r="BE592">
        <v>31.32</v>
      </c>
      <c r="BF5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2" s="42" t="str">
        <f>+IF(AVANCE[[#This Row],[FECHA INICIO REAL]]="","",AVANCE[[#This Row],[FECHA INICIO REAL]]-AVANCE[[#This Row],[FECHA INICIO TEORICO]])</f>
        <v/>
      </c>
      <c r="BH5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3" spans="1:61" x14ac:dyDescent="0.25">
      <c r="A593" t="s">
        <v>1418</v>
      </c>
      <c r="B593" t="s">
        <v>1434</v>
      </c>
      <c r="C593">
        <v>2282600592</v>
      </c>
      <c r="D593" t="s">
        <v>833</v>
      </c>
      <c r="E593" s="4">
        <v>0</v>
      </c>
      <c r="F593" s="1">
        <v>46435</v>
      </c>
      <c r="G593" s="1"/>
      <c r="H593" s="1">
        <v>0</v>
      </c>
      <c r="I593" s="1">
        <v>46455</v>
      </c>
      <c r="J593">
        <v>46188</v>
      </c>
      <c r="K593" s="1"/>
      <c r="L593" s="7">
        <v>0</v>
      </c>
      <c r="M593" s="7">
        <v>0</v>
      </c>
      <c r="N593" s="7">
        <v>0</v>
      </c>
      <c r="O593" s="7">
        <v>0</v>
      </c>
      <c r="P593" s="7">
        <v>0</v>
      </c>
      <c r="Q593" s="7">
        <v>0</v>
      </c>
      <c r="R593" s="7">
        <v>0</v>
      </c>
      <c r="S593" s="7">
        <v>0</v>
      </c>
      <c r="T593" s="7">
        <v>0</v>
      </c>
      <c r="U593" s="7">
        <v>0</v>
      </c>
      <c r="V593" s="7">
        <v>0</v>
      </c>
      <c r="W593" s="7">
        <v>0</v>
      </c>
      <c r="X593" s="7">
        <v>0</v>
      </c>
      <c r="Y593" s="7">
        <v>0</v>
      </c>
      <c r="Z593" s="7">
        <v>0</v>
      </c>
      <c r="AA593" s="7">
        <v>0</v>
      </c>
      <c r="AB593" s="7">
        <v>0</v>
      </c>
      <c r="AC593" s="7">
        <v>0</v>
      </c>
      <c r="AD593" s="7">
        <v>0</v>
      </c>
      <c r="AE593" s="7">
        <v>0</v>
      </c>
      <c r="AF593" s="7">
        <v>0</v>
      </c>
      <c r="AG593" s="7">
        <v>0</v>
      </c>
      <c r="AH593" s="7">
        <v>0</v>
      </c>
      <c r="AI593" s="7">
        <v>0</v>
      </c>
      <c r="AJ593" s="7">
        <v>0</v>
      </c>
      <c r="AK593" s="7">
        <v>0</v>
      </c>
      <c r="AL593" s="7">
        <v>0</v>
      </c>
      <c r="AM593" s="7">
        <v>0</v>
      </c>
      <c r="AN593" s="7">
        <v>0</v>
      </c>
      <c r="AO593" s="7">
        <v>0</v>
      </c>
      <c r="AP593" s="7">
        <v>0</v>
      </c>
      <c r="AQ593" s="7">
        <v>0</v>
      </c>
      <c r="AR593" s="7">
        <v>0</v>
      </c>
      <c r="AS593" s="7">
        <v>0</v>
      </c>
      <c r="AT593" s="7">
        <v>0</v>
      </c>
      <c r="AU593" s="7">
        <v>0</v>
      </c>
      <c r="AV593" s="7">
        <v>0</v>
      </c>
      <c r="AW593" s="7">
        <v>0</v>
      </c>
      <c r="AX593" s="7">
        <v>0</v>
      </c>
      <c r="AY593" s="7">
        <v>0</v>
      </c>
      <c r="AZ593" s="7">
        <v>0</v>
      </c>
      <c r="BA593" s="7">
        <v>0</v>
      </c>
      <c r="BB593" s="7">
        <v>0</v>
      </c>
      <c r="BC593" s="7">
        <v>0</v>
      </c>
      <c r="BD593">
        <v>0</v>
      </c>
      <c r="BE593">
        <v>28.87</v>
      </c>
      <c r="BF5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3" s="42" t="str">
        <f>+IF(AVANCE[[#This Row],[FECHA INICIO REAL]]="","",AVANCE[[#This Row],[FECHA INICIO REAL]]-AVANCE[[#This Row],[FECHA INICIO TEORICO]])</f>
        <v/>
      </c>
      <c r="BH5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4" spans="1:61" x14ac:dyDescent="0.25">
      <c r="A594" t="s">
        <v>1418</v>
      </c>
      <c r="B594" t="s">
        <v>1435</v>
      </c>
      <c r="C594">
        <v>2282600593</v>
      </c>
      <c r="D594" t="s">
        <v>833</v>
      </c>
      <c r="E594" s="4">
        <v>0</v>
      </c>
      <c r="F594" s="1">
        <v>46436</v>
      </c>
      <c r="G594" s="1"/>
      <c r="H594" s="1">
        <v>0</v>
      </c>
      <c r="I594" s="1">
        <v>46456</v>
      </c>
      <c r="J594">
        <v>46188</v>
      </c>
      <c r="K594" s="1"/>
      <c r="L594" s="7">
        <v>0</v>
      </c>
      <c r="M594" s="7">
        <v>0</v>
      </c>
      <c r="N594" s="7">
        <v>0</v>
      </c>
      <c r="O594" s="7">
        <v>0</v>
      </c>
      <c r="P594" s="7">
        <v>0</v>
      </c>
      <c r="Q594" s="7">
        <v>0</v>
      </c>
      <c r="R594" s="7">
        <v>0</v>
      </c>
      <c r="S594" s="7">
        <v>0</v>
      </c>
      <c r="T594" s="7">
        <v>0</v>
      </c>
      <c r="U594" s="7">
        <v>0</v>
      </c>
      <c r="V594" s="7">
        <v>0</v>
      </c>
      <c r="W594" s="7">
        <v>0</v>
      </c>
      <c r="X594" s="7">
        <v>0</v>
      </c>
      <c r="Y594" s="7">
        <v>0</v>
      </c>
      <c r="Z594" s="7">
        <v>0</v>
      </c>
      <c r="AA594" s="7">
        <v>0</v>
      </c>
      <c r="AB594" s="7">
        <v>0</v>
      </c>
      <c r="AC594" s="7">
        <v>0</v>
      </c>
      <c r="AD594" s="7">
        <v>0</v>
      </c>
      <c r="AE594" s="7">
        <v>0</v>
      </c>
      <c r="AF594" s="7">
        <v>0</v>
      </c>
      <c r="AG594" s="7">
        <v>0</v>
      </c>
      <c r="AH594" s="7">
        <v>0</v>
      </c>
      <c r="AI594" s="7">
        <v>0</v>
      </c>
      <c r="AJ594" s="7">
        <v>0</v>
      </c>
      <c r="AK594" s="7">
        <v>0</v>
      </c>
      <c r="AL594" s="7">
        <v>0</v>
      </c>
      <c r="AM594" s="7">
        <v>0</v>
      </c>
      <c r="AN594" s="7">
        <v>0</v>
      </c>
      <c r="AO594" s="7">
        <v>0</v>
      </c>
      <c r="AP594" s="7">
        <v>0</v>
      </c>
      <c r="AQ594" s="7">
        <v>0</v>
      </c>
      <c r="AR594" s="7">
        <v>0</v>
      </c>
      <c r="AS594" s="7">
        <v>0</v>
      </c>
      <c r="AT594" s="7">
        <v>0</v>
      </c>
      <c r="AU594" s="7">
        <v>0</v>
      </c>
      <c r="AV594" s="7">
        <v>0</v>
      </c>
      <c r="AW594" s="7">
        <v>0</v>
      </c>
      <c r="AX594" s="7">
        <v>0</v>
      </c>
      <c r="AY594" s="7">
        <v>0</v>
      </c>
      <c r="AZ594" s="7">
        <v>0</v>
      </c>
      <c r="BA594" s="7">
        <v>0</v>
      </c>
      <c r="BB594" s="7">
        <v>0</v>
      </c>
      <c r="BC594" s="7">
        <v>0</v>
      </c>
      <c r="BD594">
        <v>0</v>
      </c>
      <c r="BE594">
        <v>28.87</v>
      </c>
      <c r="BF5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4" s="42" t="str">
        <f>+IF(AVANCE[[#This Row],[FECHA INICIO REAL]]="","",AVANCE[[#This Row],[FECHA INICIO REAL]]-AVANCE[[#This Row],[FECHA INICIO TEORICO]])</f>
        <v/>
      </c>
      <c r="BH5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5" spans="1:61" x14ac:dyDescent="0.25">
      <c r="A595" t="s">
        <v>1418</v>
      </c>
      <c r="B595" t="s">
        <v>1436</v>
      </c>
      <c r="C595">
        <v>2302600594</v>
      </c>
      <c r="D595" t="s">
        <v>834</v>
      </c>
      <c r="E595" s="4">
        <v>0</v>
      </c>
      <c r="F595" s="1">
        <v>46436</v>
      </c>
      <c r="G595" s="1"/>
      <c r="H595" s="1">
        <v>0</v>
      </c>
      <c r="I595" s="1">
        <v>46466</v>
      </c>
      <c r="J595">
        <v>46188</v>
      </c>
      <c r="K595" s="1"/>
      <c r="L595" s="7">
        <v>0</v>
      </c>
      <c r="M595" s="7">
        <v>0</v>
      </c>
      <c r="N595" s="7">
        <v>0</v>
      </c>
      <c r="O595" s="7">
        <v>0</v>
      </c>
      <c r="P595" s="7">
        <v>0</v>
      </c>
      <c r="Q595" s="7">
        <v>0</v>
      </c>
      <c r="R595" s="7">
        <v>0</v>
      </c>
      <c r="S595" s="7">
        <v>0</v>
      </c>
      <c r="T595" s="7">
        <v>0</v>
      </c>
      <c r="U595" s="7">
        <v>0</v>
      </c>
      <c r="V595" s="7">
        <v>0</v>
      </c>
      <c r="W595" s="7">
        <v>0</v>
      </c>
      <c r="X595" s="7">
        <v>0</v>
      </c>
      <c r="Y595" s="7">
        <v>0</v>
      </c>
      <c r="Z595" s="7">
        <v>0</v>
      </c>
      <c r="AA595" s="7">
        <v>0</v>
      </c>
      <c r="AB595" s="7">
        <v>0</v>
      </c>
      <c r="AC595" s="7">
        <v>0</v>
      </c>
      <c r="AD595" s="7">
        <v>0</v>
      </c>
      <c r="AE595" s="7">
        <v>0</v>
      </c>
      <c r="AF595" s="7">
        <v>0</v>
      </c>
      <c r="AG595" s="7">
        <v>0</v>
      </c>
      <c r="AH595" s="7">
        <v>0</v>
      </c>
      <c r="AI595" s="7">
        <v>0</v>
      </c>
      <c r="AJ595" s="7">
        <v>0</v>
      </c>
      <c r="AK595" s="7">
        <v>0</v>
      </c>
      <c r="AL595" s="7">
        <v>0</v>
      </c>
      <c r="AM595" s="7">
        <v>0</v>
      </c>
      <c r="AN595" s="7">
        <v>0</v>
      </c>
      <c r="AO595" s="7">
        <v>0</v>
      </c>
      <c r="AP595" s="7">
        <v>0</v>
      </c>
      <c r="AQ595" s="7">
        <v>0</v>
      </c>
      <c r="AR595" s="7">
        <v>0</v>
      </c>
      <c r="AS595" s="7">
        <v>0</v>
      </c>
      <c r="AT595" s="7">
        <v>0</v>
      </c>
      <c r="AU595" s="7">
        <v>0</v>
      </c>
      <c r="AV595" s="7">
        <v>0</v>
      </c>
      <c r="AW595" s="7">
        <v>0</v>
      </c>
      <c r="AX595" s="7">
        <v>0</v>
      </c>
      <c r="AY595" s="7">
        <v>0</v>
      </c>
      <c r="AZ595" s="7">
        <v>0</v>
      </c>
      <c r="BA595" s="7">
        <v>0</v>
      </c>
      <c r="BB595" s="7">
        <v>0</v>
      </c>
      <c r="BC595" s="7">
        <v>0</v>
      </c>
      <c r="BD595">
        <v>0</v>
      </c>
      <c r="BE595">
        <v>31.32</v>
      </c>
      <c r="BF5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5" s="42" t="str">
        <f>+IF(AVANCE[[#This Row],[FECHA INICIO REAL]]="","",AVANCE[[#This Row],[FECHA INICIO REAL]]-AVANCE[[#This Row],[FECHA INICIO TEORICO]])</f>
        <v/>
      </c>
      <c r="BH5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6" spans="1:61" x14ac:dyDescent="0.25">
      <c r="A596" t="s">
        <v>1418</v>
      </c>
      <c r="B596" t="s">
        <v>1437</v>
      </c>
      <c r="C596">
        <v>2302600595</v>
      </c>
      <c r="D596" t="s">
        <v>834</v>
      </c>
      <c r="E596" s="4">
        <v>0</v>
      </c>
      <c r="F596" s="1">
        <v>46436</v>
      </c>
      <c r="G596" s="1"/>
      <c r="H596" s="1">
        <v>0</v>
      </c>
      <c r="I596" s="1">
        <v>46466</v>
      </c>
      <c r="J596">
        <v>46188</v>
      </c>
      <c r="K596" s="1"/>
      <c r="L596" s="7">
        <v>0</v>
      </c>
      <c r="M596" s="7">
        <v>0</v>
      </c>
      <c r="N596" s="7">
        <v>0</v>
      </c>
      <c r="O596" s="7">
        <v>0</v>
      </c>
      <c r="P596" s="7">
        <v>0</v>
      </c>
      <c r="Q596" s="7">
        <v>0</v>
      </c>
      <c r="R596" s="7">
        <v>0</v>
      </c>
      <c r="S596" s="7">
        <v>0</v>
      </c>
      <c r="T596" s="7">
        <v>0</v>
      </c>
      <c r="U596" s="7">
        <v>0</v>
      </c>
      <c r="V596" s="7">
        <v>0</v>
      </c>
      <c r="W596" s="7">
        <v>0</v>
      </c>
      <c r="X596" s="7">
        <v>0</v>
      </c>
      <c r="Y596" s="7">
        <v>0</v>
      </c>
      <c r="Z596" s="7">
        <v>0</v>
      </c>
      <c r="AA596" s="7">
        <v>0</v>
      </c>
      <c r="AB596" s="7">
        <v>0</v>
      </c>
      <c r="AC596" s="7">
        <v>0</v>
      </c>
      <c r="AD596" s="7">
        <v>0</v>
      </c>
      <c r="AE596" s="7">
        <v>0</v>
      </c>
      <c r="AF596" s="7">
        <v>0</v>
      </c>
      <c r="AG596" s="7">
        <v>0</v>
      </c>
      <c r="AH596" s="7">
        <v>0</v>
      </c>
      <c r="AI596" s="7">
        <v>0</v>
      </c>
      <c r="AJ596" s="7">
        <v>0</v>
      </c>
      <c r="AK596" s="7">
        <v>0</v>
      </c>
      <c r="AL596" s="7">
        <v>0</v>
      </c>
      <c r="AM596" s="7">
        <v>0</v>
      </c>
      <c r="AN596" s="7">
        <v>0</v>
      </c>
      <c r="AO596" s="7">
        <v>0</v>
      </c>
      <c r="AP596" s="7">
        <v>0</v>
      </c>
      <c r="AQ596" s="7">
        <v>0</v>
      </c>
      <c r="AR596" s="7">
        <v>0</v>
      </c>
      <c r="AS596" s="7">
        <v>0</v>
      </c>
      <c r="AT596" s="7">
        <v>0</v>
      </c>
      <c r="AU596" s="7">
        <v>0</v>
      </c>
      <c r="AV596" s="7">
        <v>0</v>
      </c>
      <c r="AW596" s="7">
        <v>0</v>
      </c>
      <c r="AX596" s="7">
        <v>0</v>
      </c>
      <c r="AY596" s="7">
        <v>0</v>
      </c>
      <c r="AZ596" s="7">
        <v>0</v>
      </c>
      <c r="BA596" s="7">
        <v>0</v>
      </c>
      <c r="BB596" s="7">
        <v>0</v>
      </c>
      <c r="BC596" s="7">
        <v>0</v>
      </c>
      <c r="BD596">
        <v>0</v>
      </c>
      <c r="BE596">
        <v>31.32</v>
      </c>
      <c r="BF5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6" s="42" t="str">
        <f>+IF(AVANCE[[#This Row],[FECHA INICIO REAL]]="","",AVANCE[[#This Row],[FECHA INICIO REAL]]-AVANCE[[#This Row],[FECHA INICIO TEORICO]])</f>
        <v/>
      </c>
      <c r="BH5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7" spans="1:61" x14ac:dyDescent="0.25">
      <c r="A597" t="s">
        <v>1418</v>
      </c>
      <c r="B597" t="s">
        <v>1438</v>
      </c>
      <c r="C597">
        <v>2282600596</v>
      </c>
      <c r="D597" t="s">
        <v>833</v>
      </c>
      <c r="E597" s="4">
        <v>0</v>
      </c>
      <c r="F597" s="1">
        <v>46437</v>
      </c>
      <c r="G597" s="1"/>
      <c r="H597" s="1">
        <v>0</v>
      </c>
      <c r="I597" s="1">
        <v>46457</v>
      </c>
      <c r="J597">
        <v>46188</v>
      </c>
      <c r="K597" s="1"/>
      <c r="L597" s="7">
        <v>0</v>
      </c>
      <c r="M597" s="7">
        <v>0</v>
      </c>
      <c r="N597" s="7">
        <v>0</v>
      </c>
      <c r="O597" s="7">
        <v>0</v>
      </c>
      <c r="P597" s="7">
        <v>0</v>
      </c>
      <c r="Q597" s="7">
        <v>0</v>
      </c>
      <c r="R597" s="7">
        <v>0</v>
      </c>
      <c r="S597" s="7">
        <v>0</v>
      </c>
      <c r="T597" s="7">
        <v>0</v>
      </c>
      <c r="U597" s="7">
        <v>0</v>
      </c>
      <c r="V597" s="7">
        <v>0</v>
      </c>
      <c r="W597" s="7">
        <v>0</v>
      </c>
      <c r="X597" s="7">
        <v>0</v>
      </c>
      <c r="Y597" s="7">
        <v>0</v>
      </c>
      <c r="Z597" s="7">
        <v>0</v>
      </c>
      <c r="AA597" s="7">
        <v>0</v>
      </c>
      <c r="AB597" s="7">
        <v>0</v>
      </c>
      <c r="AC597" s="7">
        <v>0</v>
      </c>
      <c r="AD597" s="7">
        <v>0</v>
      </c>
      <c r="AE597" s="7">
        <v>0</v>
      </c>
      <c r="AF597" s="7">
        <v>0</v>
      </c>
      <c r="AG597" s="7">
        <v>0</v>
      </c>
      <c r="AH597" s="7">
        <v>0</v>
      </c>
      <c r="AI597" s="7">
        <v>0</v>
      </c>
      <c r="AJ597" s="7">
        <v>0</v>
      </c>
      <c r="AK597" s="7">
        <v>0</v>
      </c>
      <c r="AL597" s="7">
        <v>0</v>
      </c>
      <c r="AM597" s="7">
        <v>0</v>
      </c>
      <c r="AN597" s="7">
        <v>0</v>
      </c>
      <c r="AO597" s="7">
        <v>0</v>
      </c>
      <c r="AP597" s="7">
        <v>0</v>
      </c>
      <c r="AQ597" s="7">
        <v>0</v>
      </c>
      <c r="AR597" s="7">
        <v>0</v>
      </c>
      <c r="AS597" s="7">
        <v>0</v>
      </c>
      <c r="AT597" s="7">
        <v>0</v>
      </c>
      <c r="AU597" s="7">
        <v>0</v>
      </c>
      <c r="AV597" s="7">
        <v>0</v>
      </c>
      <c r="AW597" s="7">
        <v>0</v>
      </c>
      <c r="AX597" s="7">
        <v>0</v>
      </c>
      <c r="AY597" s="7">
        <v>0</v>
      </c>
      <c r="AZ597" s="7">
        <v>0</v>
      </c>
      <c r="BA597" s="7">
        <v>0</v>
      </c>
      <c r="BB597" s="7">
        <v>0</v>
      </c>
      <c r="BC597" s="7">
        <v>0</v>
      </c>
      <c r="BD597">
        <v>0</v>
      </c>
      <c r="BE597">
        <v>28.87</v>
      </c>
      <c r="BF5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7" s="42" t="str">
        <f>+IF(AVANCE[[#This Row],[FECHA INICIO REAL]]="","",AVANCE[[#This Row],[FECHA INICIO REAL]]-AVANCE[[#This Row],[FECHA INICIO TEORICO]])</f>
        <v/>
      </c>
      <c r="BH5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8" spans="1:61" x14ac:dyDescent="0.25">
      <c r="A598" t="s">
        <v>1418</v>
      </c>
      <c r="B598" t="s">
        <v>1439</v>
      </c>
      <c r="C598">
        <v>2282600597</v>
      </c>
      <c r="D598" t="s">
        <v>833</v>
      </c>
      <c r="E598" s="4">
        <v>0</v>
      </c>
      <c r="F598" s="1">
        <v>46437</v>
      </c>
      <c r="G598" s="1"/>
      <c r="H598" s="1">
        <v>0</v>
      </c>
      <c r="I598" s="1">
        <v>46457</v>
      </c>
      <c r="J598">
        <v>46188</v>
      </c>
      <c r="K598" s="1"/>
      <c r="L598" s="7">
        <v>0</v>
      </c>
      <c r="M598" s="7">
        <v>0</v>
      </c>
      <c r="N598" s="7">
        <v>0</v>
      </c>
      <c r="O598" s="7">
        <v>0</v>
      </c>
      <c r="P598" s="7">
        <v>0</v>
      </c>
      <c r="Q598" s="7">
        <v>0</v>
      </c>
      <c r="R598" s="7">
        <v>0</v>
      </c>
      <c r="S598" s="7">
        <v>0</v>
      </c>
      <c r="T598" s="7">
        <v>0</v>
      </c>
      <c r="U598" s="7">
        <v>0</v>
      </c>
      <c r="V598" s="7">
        <v>0</v>
      </c>
      <c r="W598" s="7">
        <v>0</v>
      </c>
      <c r="X598" s="7">
        <v>0</v>
      </c>
      <c r="Y598" s="7">
        <v>0</v>
      </c>
      <c r="Z598" s="7">
        <v>0</v>
      </c>
      <c r="AA598" s="7">
        <v>0</v>
      </c>
      <c r="AB598" s="7">
        <v>0</v>
      </c>
      <c r="AC598" s="7">
        <v>0</v>
      </c>
      <c r="AD598" s="7">
        <v>0</v>
      </c>
      <c r="AE598" s="7">
        <v>0</v>
      </c>
      <c r="AF598" s="7">
        <v>0</v>
      </c>
      <c r="AG598" s="7">
        <v>0</v>
      </c>
      <c r="AH598" s="7">
        <v>0</v>
      </c>
      <c r="AI598" s="7">
        <v>0</v>
      </c>
      <c r="AJ598" s="7">
        <v>0</v>
      </c>
      <c r="AK598" s="7">
        <v>0</v>
      </c>
      <c r="AL598" s="7">
        <v>0</v>
      </c>
      <c r="AM598" s="7">
        <v>0</v>
      </c>
      <c r="AN598" s="7">
        <v>0</v>
      </c>
      <c r="AO598" s="7">
        <v>0</v>
      </c>
      <c r="AP598" s="7">
        <v>0</v>
      </c>
      <c r="AQ598" s="7">
        <v>0</v>
      </c>
      <c r="AR598" s="7">
        <v>0</v>
      </c>
      <c r="AS598" s="7">
        <v>0</v>
      </c>
      <c r="AT598" s="7">
        <v>0</v>
      </c>
      <c r="AU598" s="7">
        <v>0</v>
      </c>
      <c r="AV598" s="7">
        <v>0</v>
      </c>
      <c r="AW598" s="7">
        <v>0</v>
      </c>
      <c r="AX598" s="7">
        <v>0</v>
      </c>
      <c r="AY598" s="7">
        <v>0</v>
      </c>
      <c r="AZ598" s="7">
        <v>0</v>
      </c>
      <c r="BA598" s="7">
        <v>0</v>
      </c>
      <c r="BB598" s="7">
        <v>0</v>
      </c>
      <c r="BC598" s="7">
        <v>0</v>
      </c>
      <c r="BD598">
        <v>0</v>
      </c>
      <c r="BE598">
        <v>28.87</v>
      </c>
      <c r="BF5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8" s="42" t="str">
        <f>+IF(AVANCE[[#This Row],[FECHA INICIO REAL]]="","",AVANCE[[#This Row],[FECHA INICIO REAL]]-AVANCE[[#This Row],[FECHA INICIO TEORICO]])</f>
        <v/>
      </c>
      <c r="BH5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9" spans="1:61" x14ac:dyDescent="0.25">
      <c r="A599" t="s">
        <v>1418</v>
      </c>
      <c r="B599" t="s">
        <v>1440</v>
      </c>
      <c r="C599">
        <v>2302600598</v>
      </c>
      <c r="D599" t="s">
        <v>834</v>
      </c>
      <c r="E599" s="4">
        <v>0</v>
      </c>
      <c r="F599" s="1">
        <v>46437</v>
      </c>
      <c r="G599" s="1"/>
      <c r="H599" s="1">
        <v>0</v>
      </c>
      <c r="I599" s="1">
        <v>46467</v>
      </c>
      <c r="J599">
        <v>46188</v>
      </c>
      <c r="K599" s="1"/>
      <c r="L599" s="7">
        <v>0</v>
      </c>
      <c r="M599" s="7">
        <v>0</v>
      </c>
      <c r="N599" s="7">
        <v>0</v>
      </c>
      <c r="O599" s="7">
        <v>0</v>
      </c>
      <c r="P599" s="7">
        <v>0</v>
      </c>
      <c r="Q599" s="7">
        <v>0</v>
      </c>
      <c r="R599" s="7">
        <v>0</v>
      </c>
      <c r="S599" s="7">
        <v>0</v>
      </c>
      <c r="T599" s="7">
        <v>0</v>
      </c>
      <c r="U599" s="7">
        <v>0</v>
      </c>
      <c r="V599" s="7">
        <v>0</v>
      </c>
      <c r="W599" s="7">
        <v>0</v>
      </c>
      <c r="X599" s="7">
        <v>0</v>
      </c>
      <c r="Y599" s="7">
        <v>0</v>
      </c>
      <c r="Z599" s="7">
        <v>0</v>
      </c>
      <c r="AA599" s="7">
        <v>0</v>
      </c>
      <c r="AB599" s="7">
        <v>0</v>
      </c>
      <c r="AC599" s="7">
        <v>0</v>
      </c>
      <c r="AD599" s="7">
        <v>0</v>
      </c>
      <c r="AE599" s="7">
        <v>0</v>
      </c>
      <c r="AF599" s="7">
        <v>0</v>
      </c>
      <c r="AG599" s="7">
        <v>0</v>
      </c>
      <c r="AH599" s="7">
        <v>0</v>
      </c>
      <c r="AI599" s="7">
        <v>0</v>
      </c>
      <c r="AJ599" s="7">
        <v>0</v>
      </c>
      <c r="AK599" s="7">
        <v>0</v>
      </c>
      <c r="AL599" s="7">
        <v>0</v>
      </c>
      <c r="AM599" s="7">
        <v>0</v>
      </c>
      <c r="AN599" s="7">
        <v>0</v>
      </c>
      <c r="AO599" s="7">
        <v>0</v>
      </c>
      <c r="AP599" s="7">
        <v>0</v>
      </c>
      <c r="AQ599" s="7">
        <v>0</v>
      </c>
      <c r="AR599" s="7">
        <v>0</v>
      </c>
      <c r="AS599" s="7">
        <v>0</v>
      </c>
      <c r="AT599" s="7">
        <v>0</v>
      </c>
      <c r="AU599" s="7">
        <v>0</v>
      </c>
      <c r="AV599" s="7">
        <v>0</v>
      </c>
      <c r="AW599" s="7">
        <v>0</v>
      </c>
      <c r="AX599" s="7">
        <v>0</v>
      </c>
      <c r="AY599" s="7">
        <v>0</v>
      </c>
      <c r="AZ599" s="7">
        <v>0</v>
      </c>
      <c r="BA599" s="7">
        <v>0</v>
      </c>
      <c r="BB599" s="7">
        <v>0</v>
      </c>
      <c r="BC599" s="7">
        <v>0</v>
      </c>
      <c r="BD599">
        <v>0</v>
      </c>
      <c r="BE599">
        <v>31.32</v>
      </c>
      <c r="BF5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9" s="42" t="str">
        <f>+IF(AVANCE[[#This Row],[FECHA INICIO REAL]]="","",AVANCE[[#This Row],[FECHA INICIO REAL]]-AVANCE[[#This Row],[FECHA INICIO TEORICO]])</f>
        <v/>
      </c>
      <c r="BH5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0" spans="1:61" x14ac:dyDescent="0.25">
      <c r="A600" t="s">
        <v>1418</v>
      </c>
      <c r="B600" t="s">
        <v>1441</v>
      </c>
      <c r="C600">
        <v>2302600599</v>
      </c>
      <c r="D600" t="s">
        <v>834</v>
      </c>
      <c r="E600" s="4">
        <v>0</v>
      </c>
      <c r="F600" s="1">
        <v>46440</v>
      </c>
      <c r="G600" s="1"/>
      <c r="H600" s="1">
        <v>0</v>
      </c>
      <c r="I600" s="1">
        <v>46470</v>
      </c>
      <c r="J600">
        <v>46188</v>
      </c>
      <c r="K600" s="1"/>
      <c r="L600" s="7">
        <v>0</v>
      </c>
      <c r="M600" s="7">
        <v>0</v>
      </c>
      <c r="N600" s="7">
        <v>0</v>
      </c>
      <c r="O600" s="7">
        <v>0</v>
      </c>
      <c r="P600" s="7">
        <v>0</v>
      </c>
      <c r="Q600" s="7">
        <v>0</v>
      </c>
      <c r="R600" s="7">
        <v>0</v>
      </c>
      <c r="S600" s="7">
        <v>0</v>
      </c>
      <c r="T600" s="7">
        <v>0</v>
      </c>
      <c r="U600" s="7">
        <v>0</v>
      </c>
      <c r="V600" s="7">
        <v>0</v>
      </c>
      <c r="W600" s="7">
        <v>0</v>
      </c>
      <c r="X600" s="7">
        <v>0</v>
      </c>
      <c r="Y600" s="7">
        <v>0</v>
      </c>
      <c r="Z600" s="7">
        <v>0</v>
      </c>
      <c r="AA600" s="7">
        <v>0</v>
      </c>
      <c r="AB600" s="7">
        <v>0</v>
      </c>
      <c r="AC600" s="7">
        <v>0</v>
      </c>
      <c r="AD600" s="7">
        <v>0</v>
      </c>
      <c r="AE600" s="7">
        <v>0</v>
      </c>
      <c r="AF600" s="7">
        <v>0</v>
      </c>
      <c r="AG600" s="7">
        <v>0</v>
      </c>
      <c r="AH600" s="7">
        <v>0</v>
      </c>
      <c r="AI600" s="7">
        <v>0</v>
      </c>
      <c r="AJ600" s="7">
        <v>0</v>
      </c>
      <c r="AK600" s="7">
        <v>0</v>
      </c>
      <c r="AL600" s="7">
        <v>0</v>
      </c>
      <c r="AM600" s="7">
        <v>0</v>
      </c>
      <c r="AN600" s="7">
        <v>0</v>
      </c>
      <c r="AO600" s="7">
        <v>0</v>
      </c>
      <c r="AP600" s="7">
        <v>0</v>
      </c>
      <c r="AQ600" s="7">
        <v>0</v>
      </c>
      <c r="AR600" s="7">
        <v>0</v>
      </c>
      <c r="AS600" s="7">
        <v>0</v>
      </c>
      <c r="AT600" s="7">
        <v>0</v>
      </c>
      <c r="AU600" s="7">
        <v>0</v>
      </c>
      <c r="AV600" s="7">
        <v>0</v>
      </c>
      <c r="AW600" s="7">
        <v>0</v>
      </c>
      <c r="AX600" s="7">
        <v>0</v>
      </c>
      <c r="AY600" s="7">
        <v>0</v>
      </c>
      <c r="AZ600" s="7">
        <v>0</v>
      </c>
      <c r="BA600" s="7">
        <v>0</v>
      </c>
      <c r="BB600" s="7">
        <v>0</v>
      </c>
      <c r="BC600" s="7">
        <v>0</v>
      </c>
      <c r="BD600">
        <v>0</v>
      </c>
      <c r="BE600">
        <v>31.32</v>
      </c>
      <c r="BF6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0" s="42" t="str">
        <f>+IF(AVANCE[[#This Row],[FECHA INICIO REAL]]="","",AVANCE[[#This Row],[FECHA INICIO REAL]]-AVANCE[[#This Row],[FECHA INICIO TEORICO]])</f>
        <v/>
      </c>
      <c r="BH6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1" spans="1:61" x14ac:dyDescent="0.25">
      <c r="A601" t="s">
        <v>1418</v>
      </c>
      <c r="B601" t="s">
        <v>1442</v>
      </c>
      <c r="C601">
        <v>2282600600</v>
      </c>
      <c r="D601" t="s">
        <v>833</v>
      </c>
      <c r="E601" s="4">
        <v>0</v>
      </c>
      <c r="F601" s="1">
        <v>46440</v>
      </c>
      <c r="G601" s="1"/>
      <c r="H601" s="1">
        <v>0</v>
      </c>
      <c r="I601" s="1">
        <v>46460</v>
      </c>
      <c r="J601">
        <v>46188</v>
      </c>
      <c r="K601" s="1"/>
      <c r="L601" s="7">
        <v>0</v>
      </c>
      <c r="M601" s="7">
        <v>0</v>
      </c>
      <c r="N601" s="7">
        <v>0</v>
      </c>
      <c r="O601" s="7">
        <v>0</v>
      </c>
      <c r="P601" s="7">
        <v>0</v>
      </c>
      <c r="Q601" s="7">
        <v>0</v>
      </c>
      <c r="R601" s="7">
        <v>0</v>
      </c>
      <c r="S601" s="7">
        <v>0</v>
      </c>
      <c r="T601" s="7">
        <v>0</v>
      </c>
      <c r="U601" s="7">
        <v>0</v>
      </c>
      <c r="V601" s="7">
        <v>0</v>
      </c>
      <c r="W601" s="7">
        <v>0</v>
      </c>
      <c r="X601" s="7">
        <v>0</v>
      </c>
      <c r="Y601" s="7">
        <v>0</v>
      </c>
      <c r="Z601" s="7">
        <v>0</v>
      </c>
      <c r="AA601" s="7">
        <v>0</v>
      </c>
      <c r="AB601" s="7">
        <v>0</v>
      </c>
      <c r="AC601" s="7">
        <v>0</v>
      </c>
      <c r="AD601" s="7">
        <v>0</v>
      </c>
      <c r="AE601" s="7">
        <v>0</v>
      </c>
      <c r="AF601" s="7">
        <v>0</v>
      </c>
      <c r="AG601" s="7">
        <v>0</v>
      </c>
      <c r="AH601" s="7">
        <v>0</v>
      </c>
      <c r="AI601" s="7">
        <v>0</v>
      </c>
      <c r="AJ601" s="7">
        <v>0</v>
      </c>
      <c r="AK601" s="7">
        <v>0</v>
      </c>
      <c r="AL601" s="7">
        <v>0</v>
      </c>
      <c r="AM601" s="7">
        <v>0</v>
      </c>
      <c r="AN601" s="7">
        <v>0</v>
      </c>
      <c r="AO601" s="7">
        <v>0</v>
      </c>
      <c r="AP601" s="7">
        <v>0</v>
      </c>
      <c r="AQ601" s="7">
        <v>0</v>
      </c>
      <c r="AR601" s="7">
        <v>0</v>
      </c>
      <c r="AS601" s="7">
        <v>0</v>
      </c>
      <c r="AT601" s="7">
        <v>0</v>
      </c>
      <c r="AU601" s="7">
        <v>0</v>
      </c>
      <c r="AV601" s="7">
        <v>0</v>
      </c>
      <c r="AW601" s="7">
        <v>0</v>
      </c>
      <c r="AX601" s="7">
        <v>0</v>
      </c>
      <c r="AY601" s="7">
        <v>0</v>
      </c>
      <c r="AZ601" s="7">
        <v>0</v>
      </c>
      <c r="BA601" s="7">
        <v>0</v>
      </c>
      <c r="BB601" s="7">
        <v>0</v>
      </c>
      <c r="BC601" s="7">
        <v>0</v>
      </c>
      <c r="BD601">
        <v>0</v>
      </c>
      <c r="BE601">
        <v>28.87</v>
      </c>
      <c r="BF6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1" s="42" t="str">
        <f>+IF(AVANCE[[#This Row],[FECHA INICIO REAL]]="","",AVANCE[[#This Row],[FECHA INICIO REAL]]-AVANCE[[#This Row],[FECHA INICIO TEORICO]])</f>
        <v/>
      </c>
      <c r="BH6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2" spans="1:61" x14ac:dyDescent="0.25">
      <c r="A602" t="s">
        <v>1418</v>
      </c>
      <c r="B602" t="s">
        <v>1443</v>
      </c>
      <c r="C602">
        <v>2282600601</v>
      </c>
      <c r="D602" t="s">
        <v>833</v>
      </c>
      <c r="E602" s="4">
        <v>0</v>
      </c>
      <c r="F602" s="1">
        <v>46440</v>
      </c>
      <c r="G602" s="1"/>
      <c r="H602" s="1">
        <v>0</v>
      </c>
      <c r="I602" s="1">
        <v>46460</v>
      </c>
      <c r="J602">
        <v>46188</v>
      </c>
      <c r="K602" s="1"/>
      <c r="L602" s="7">
        <v>0</v>
      </c>
      <c r="M602" s="7">
        <v>0</v>
      </c>
      <c r="N602" s="7">
        <v>0</v>
      </c>
      <c r="O602" s="7">
        <v>0</v>
      </c>
      <c r="P602" s="7">
        <v>0</v>
      </c>
      <c r="Q602" s="7">
        <v>0</v>
      </c>
      <c r="R602" s="7">
        <v>0</v>
      </c>
      <c r="S602" s="7">
        <v>0</v>
      </c>
      <c r="T602" s="7">
        <v>0</v>
      </c>
      <c r="U602" s="7">
        <v>0</v>
      </c>
      <c r="V602" s="7">
        <v>0</v>
      </c>
      <c r="W602" s="7">
        <v>0</v>
      </c>
      <c r="X602" s="7">
        <v>0</v>
      </c>
      <c r="Y602" s="7">
        <v>0</v>
      </c>
      <c r="Z602" s="7">
        <v>0</v>
      </c>
      <c r="AA602" s="7">
        <v>0</v>
      </c>
      <c r="AB602" s="7">
        <v>0</v>
      </c>
      <c r="AC602" s="7">
        <v>0</v>
      </c>
      <c r="AD602" s="7">
        <v>0</v>
      </c>
      <c r="AE602" s="7">
        <v>0</v>
      </c>
      <c r="AF602" s="7">
        <v>0</v>
      </c>
      <c r="AG602" s="7">
        <v>0</v>
      </c>
      <c r="AH602" s="7">
        <v>0</v>
      </c>
      <c r="AI602" s="7">
        <v>0</v>
      </c>
      <c r="AJ602" s="7">
        <v>0</v>
      </c>
      <c r="AK602" s="7">
        <v>0</v>
      </c>
      <c r="AL602" s="7">
        <v>0</v>
      </c>
      <c r="AM602" s="7">
        <v>0</v>
      </c>
      <c r="AN602" s="7">
        <v>0</v>
      </c>
      <c r="AO602" s="7">
        <v>0</v>
      </c>
      <c r="AP602" s="7">
        <v>0</v>
      </c>
      <c r="AQ602" s="7">
        <v>0</v>
      </c>
      <c r="AR602" s="7">
        <v>0</v>
      </c>
      <c r="AS602" s="7">
        <v>0</v>
      </c>
      <c r="AT602" s="7">
        <v>0</v>
      </c>
      <c r="AU602" s="7">
        <v>0</v>
      </c>
      <c r="AV602" s="7">
        <v>0</v>
      </c>
      <c r="AW602" s="7">
        <v>0</v>
      </c>
      <c r="AX602" s="7">
        <v>0</v>
      </c>
      <c r="AY602" s="7">
        <v>0</v>
      </c>
      <c r="AZ602" s="7">
        <v>0</v>
      </c>
      <c r="BA602" s="7">
        <v>0</v>
      </c>
      <c r="BB602" s="7">
        <v>0</v>
      </c>
      <c r="BC602" s="7">
        <v>0</v>
      </c>
      <c r="BD602">
        <v>0</v>
      </c>
      <c r="BE602">
        <v>28.87</v>
      </c>
      <c r="BF6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2" s="42" t="str">
        <f>+IF(AVANCE[[#This Row],[FECHA INICIO REAL]]="","",AVANCE[[#This Row],[FECHA INICIO REAL]]-AVANCE[[#This Row],[FECHA INICIO TEORICO]])</f>
        <v/>
      </c>
      <c r="BH6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3" spans="1:61" x14ac:dyDescent="0.25">
      <c r="A603" t="s">
        <v>1418</v>
      </c>
      <c r="B603" t="s">
        <v>1444</v>
      </c>
      <c r="C603">
        <v>2302600602</v>
      </c>
      <c r="D603" t="s">
        <v>834</v>
      </c>
      <c r="E603" s="4">
        <v>0</v>
      </c>
      <c r="F603" s="1">
        <v>46441</v>
      </c>
      <c r="G603" s="1"/>
      <c r="H603" s="1">
        <v>0</v>
      </c>
      <c r="I603" s="1">
        <v>46471</v>
      </c>
      <c r="J603">
        <v>46188</v>
      </c>
      <c r="K603" s="1"/>
      <c r="L603" s="7">
        <v>0</v>
      </c>
      <c r="M603" s="7">
        <v>0</v>
      </c>
      <c r="N603" s="7">
        <v>0</v>
      </c>
      <c r="O603" s="7">
        <v>0</v>
      </c>
      <c r="P603" s="7">
        <v>0</v>
      </c>
      <c r="Q603" s="7">
        <v>0</v>
      </c>
      <c r="R603" s="7">
        <v>0</v>
      </c>
      <c r="S603" s="7">
        <v>0</v>
      </c>
      <c r="T603" s="7">
        <v>0</v>
      </c>
      <c r="U603" s="7">
        <v>0</v>
      </c>
      <c r="V603" s="7">
        <v>0</v>
      </c>
      <c r="W603" s="7">
        <v>0</v>
      </c>
      <c r="X603" s="7">
        <v>0</v>
      </c>
      <c r="Y603" s="7">
        <v>0</v>
      </c>
      <c r="Z603" s="7">
        <v>0</v>
      </c>
      <c r="AA603" s="7">
        <v>0</v>
      </c>
      <c r="AB603" s="7">
        <v>0</v>
      </c>
      <c r="AC603" s="7">
        <v>0</v>
      </c>
      <c r="AD603" s="7">
        <v>0</v>
      </c>
      <c r="AE603" s="7">
        <v>0</v>
      </c>
      <c r="AF603" s="7">
        <v>0</v>
      </c>
      <c r="AG603" s="7">
        <v>0</v>
      </c>
      <c r="AH603" s="7">
        <v>0</v>
      </c>
      <c r="AI603" s="7">
        <v>0</v>
      </c>
      <c r="AJ603" s="7">
        <v>0</v>
      </c>
      <c r="AK603" s="7">
        <v>0</v>
      </c>
      <c r="AL603" s="7">
        <v>0</v>
      </c>
      <c r="AM603" s="7">
        <v>0</v>
      </c>
      <c r="AN603" s="7">
        <v>0</v>
      </c>
      <c r="AO603" s="7">
        <v>0</v>
      </c>
      <c r="AP603" s="7">
        <v>0</v>
      </c>
      <c r="AQ603" s="7">
        <v>0</v>
      </c>
      <c r="AR603" s="7">
        <v>0</v>
      </c>
      <c r="AS603" s="7">
        <v>0</v>
      </c>
      <c r="AT603" s="7">
        <v>0</v>
      </c>
      <c r="AU603" s="7">
        <v>0</v>
      </c>
      <c r="AV603" s="7">
        <v>0</v>
      </c>
      <c r="AW603" s="7">
        <v>0</v>
      </c>
      <c r="AX603" s="7">
        <v>0</v>
      </c>
      <c r="AY603" s="7">
        <v>0</v>
      </c>
      <c r="AZ603" s="7">
        <v>0</v>
      </c>
      <c r="BA603" s="7">
        <v>0</v>
      </c>
      <c r="BB603" s="7">
        <v>0</v>
      </c>
      <c r="BC603" s="7">
        <v>0</v>
      </c>
      <c r="BD603">
        <v>0</v>
      </c>
      <c r="BE603">
        <v>31.32</v>
      </c>
      <c r="BF6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3" s="42" t="str">
        <f>+IF(AVANCE[[#This Row],[FECHA INICIO REAL]]="","",AVANCE[[#This Row],[FECHA INICIO REAL]]-AVANCE[[#This Row],[FECHA INICIO TEORICO]])</f>
        <v/>
      </c>
      <c r="BH6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4" spans="1:61" x14ac:dyDescent="0.25">
      <c r="A604" t="s">
        <v>1418</v>
      </c>
      <c r="B604" t="s">
        <v>1445</v>
      </c>
      <c r="C604">
        <v>2302600603</v>
      </c>
      <c r="D604" t="s">
        <v>834</v>
      </c>
      <c r="E604" s="4">
        <v>0</v>
      </c>
      <c r="F604" s="1">
        <v>46441</v>
      </c>
      <c r="G604" s="1"/>
      <c r="H604" s="1">
        <v>0</v>
      </c>
      <c r="I604" s="1">
        <v>46471</v>
      </c>
      <c r="J604">
        <v>46188</v>
      </c>
      <c r="K604" s="1"/>
      <c r="L604" s="7">
        <v>0</v>
      </c>
      <c r="M604" s="7">
        <v>0</v>
      </c>
      <c r="N604" s="7">
        <v>0</v>
      </c>
      <c r="O604" s="7">
        <v>0</v>
      </c>
      <c r="P604" s="7">
        <v>0</v>
      </c>
      <c r="Q604" s="7">
        <v>0</v>
      </c>
      <c r="R604" s="7">
        <v>0</v>
      </c>
      <c r="S604" s="7">
        <v>0</v>
      </c>
      <c r="T604" s="7">
        <v>0</v>
      </c>
      <c r="U604" s="7">
        <v>0</v>
      </c>
      <c r="V604" s="7">
        <v>0</v>
      </c>
      <c r="W604" s="7">
        <v>0</v>
      </c>
      <c r="X604" s="7">
        <v>0</v>
      </c>
      <c r="Y604" s="7">
        <v>0</v>
      </c>
      <c r="Z604" s="7">
        <v>0</v>
      </c>
      <c r="AA604" s="7">
        <v>0</v>
      </c>
      <c r="AB604" s="7">
        <v>0</v>
      </c>
      <c r="AC604" s="7">
        <v>0</v>
      </c>
      <c r="AD604" s="7">
        <v>0</v>
      </c>
      <c r="AE604" s="7">
        <v>0</v>
      </c>
      <c r="AF604" s="7">
        <v>0</v>
      </c>
      <c r="AG604" s="7">
        <v>0</v>
      </c>
      <c r="AH604" s="7">
        <v>0</v>
      </c>
      <c r="AI604" s="7">
        <v>0</v>
      </c>
      <c r="AJ604" s="7">
        <v>0</v>
      </c>
      <c r="AK604" s="7">
        <v>0</v>
      </c>
      <c r="AL604" s="7">
        <v>0</v>
      </c>
      <c r="AM604" s="7">
        <v>0</v>
      </c>
      <c r="AN604" s="7">
        <v>0</v>
      </c>
      <c r="AO604" s="7">
        <v>0</v>
      </c>
      <c r="AP604" s="7">
        <v>0</v>
      </c>
      <c r="AQ604" s="7">
        <v>0</v>
      </c>
      <c r="AR604" s="7">
        <v>0</v>
      </c>
      <c r="AS604" s="7">
        <v>0</v>
      </c>
      <c r="AT604" s="7">
        <v>0</v>
      </c>
      <c r="AU604" s="7">
        <v>0</v>
      </c>
      <c r="AV604" s="7">
        <v>0</v>
      </c>
      <c r="AW604" s="7">
        <v>0</v>
      </c>
      <c r="AX604" s="7">
        <v>0</v>
      </c>
      <c r="AY604" s="7">
        <v>0</v>
      </c>
      <c r="AZ604" s="7">
        <v>0</v>
      </c>
      <c r="BA604" s="7">
        <v>0</v>
      </c>
      <c r="BB604" s="7">
        <v>0</v>
      </c>
      <c r="BC604" s="7">
        <v>0</v>
      </c>
      <c r="BD604">
        <v>0</v>
      </c>
      <c r="BE604">
        <v>31.32</v>
      </c>
      <c r="BF6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4" s="42" t="str">
        <f>+IF(AVANCE[[#This Row],[FECHA INICIO REAL]]="","",AVANCE[[#This Row],[FECHA INICIO REAL]]-AVANCE[[#This Row],[FECHA INICIO TEORICO]])</f>
        <v/>
      </c>
      <c r="BH6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5" spans="1:61" x14ac:dyDescent="0.25">
      <c r="A605" t="s">
        <v>1418</v>
      </c>
      <c r="B605" t="s">
        <v>1446</v>
      </c>
      <c r="C605">
        <v>2282600604</v>
      </c>
      <c r="D605" t="s">
        <v>833</v>
      </c>
      <c r="E605" s="4">
        <v>0</v>
      </c>
      <c r="F605" s="1">
        <v>46441</v>
      </c>
      <c r="G605" s="1"/>
      <c r="H605" s="1">
        <v>0</v>
      </c>
      <c r="I605" s="1">
        <v>46461</v>
      </c>
      <c r="J605">
        <v>46188</v>
      </c>
      <c r="K605" s="1"/>
      <c r="L605" s="7">
        <v>0</v>
      </c>
      <c r="M605" s="7">
        <v>0</v>
      </c>
      <c r="N605" s="7">
        <v>0</v>
      </c>
      <c r="O605" s="7">
        <v>0</v>
      </c>
      <c r="P605" s="7">
        <v>0</v>
      </c>
      <c r="Q605" s="7">
        <v>0</v>
      </c>
      <c r="R605" s="7">
        <v>0</v>
      </c>
      <c r="S605" s="7">
        <v>0</v>
      </c>
      <c r="T605" s="7">
        <v>0</v>
      </c>
      <c r="U605" s="7">
        <v>0</v>
      </c>
      <c r="V605" s="7">
        <v>0</v>
      </c>
      <c r="W605" s="7">
        <v>0</v>
      </c>
      <c r="X605" s="7">
        <v>0</v>
      </c>
      <c r="Y605" s="7">
        <v>0</v>
      </c>
      <c r="Z605" s="7">
        <v>0</v>
      </c>
      <c r="AA605" s="7">
        <v>0</v>
      </c>
      <c r="AB605" s="7">
        <v>0</v>
      </c>
      <c r="AC605" s="7">
        <v>0</v>
      </c>
      <c r="AD605" s="7">
        <v>0</v>
      </c>
      <c r="AE605" s="7">
        <v>0</v>
      </c>
      <c r="AF605" s="7">
        <v>0</v>
      </c>
      <c r="AG605" s="7">
        <v>0</v>
      </c>
      <c r="AH605" s="7">
        <v>0</v>
      </c>
      <c r="AI605" s="7">
        <v>0</v>
      </c>
      <c r="AJ605" s="7">
        <v>0</v>
      </c>
      <c r="AK605" s="7">
        <v>0</v>
      </c>
      <c r="AL605" s="7">
        <v>0</v>
      </c>
      <c r="AM605" s="7">
        <v>0</v>
      </c>
      <c r="AN605" s="7">
        <v>0</v>
      </c>
      <c r="AO605" s="7">
        <v>0</v>
      </c>
      <c r="AP605" s="7">
        <v>0</v>
      </c>
      <c r="AQ605" s="7">
        <v>0</v>
      </c>
      <c r="AR605" s="7">
        <v>0</v>
      </c>
      <c r="AS605" s="7">
        <v>0</v>
      </c>
      <c r="AT605" s="7">
        <v>0</v>
      </c>
      <c r="AU605" s="7">
        <v>0</v>
      </c>
      <c r="AV605" s="7">
        <v>0</v>
      </c>
      <c r="AW605" s="7">
        <v>0</v>
      </c>
      <c r="AX605" s="7">
        <v>0</v>
      </c>
      <c r="AY605" s="7">
        <v>0</v>
      </c>
      <c r="AZ605" s="7">
        <v>0</v>
      </c>
      <c r="BA605" s="7">
        <v>0</v>
      </c>
      <c r="BB605" s="7">
        <v>0</v>
      </c>
      <c r="BC605" s="7">
        <v>0</v>
      </c>
      <c r="BD605">
        <v>0</v>
      </c>
      <c r="BE605">
        <v>28.87</v>
      </c>
      <c r="BF6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5" s="42" t="str">
        <f>+IF(AVANCE[[#This Row],[FECHA INICIO REAL]]="","",AVANCE[[#This Row],[FECHA INICIO REAL]]-AVANCE[[#This Row],[FECHA INICIO TEORICO]])</f>
        <v/>
      </c>
      <c r="BH6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6" spans="1:61" x14ac:dyDescent="0.25">
      <c r="A606" t="s">
        <v>1418</v>
      </c>
      <c r="B606" t="s">
        <v>1447</v>
      </c>
      <c r="C606">
        <v>2282600605</v>
      </c>
      <c r="D606" t="s">
        <v>833</v>
      </c>
      <c r="E606" s="4">
        <v>0</v>
      </c>
      <c r="F606" s="1">
        <v>46442</v>
      </c>
      <c r="G606" s="1"/>
      <c r="H606" s="1">
        <v>0</v>
      </c>
      <c r="I606" s="1">
        <v>46462</v>
      </c>
      <c r="J606">
        <v>46188</v>
      </c>
      <c r="K606" s="1"/>
      <c r="L606" s="7">
        <v>0</v>
      </c>
      <c r="M606" s="7">
        <v>0</v>
      </c>
      <c r="N606" s="7">
        <v>0</v>
      </c>
      <c r="O606" s="7">
        <v>0</v>
      </c>
      <c r="P606" s="7">
        <v>0</v>
      </c>
      <c r="Q606" s="7">
        <v>0</v>
      </c>
      <c r="R606" s="7">
        <v>0</v>
      </c>
      <c r="S606" s="7">
        <v>0</v>
      </c>
      <c r="T606" s="7">
        <v>0</v>
      </c>
      <c r="U606" s="7">
        <v>0</v>
      </c>
      <c r="V606" s="7">
        <v>0</v>
      </c>
      <c r="W606" s="7">
        <v>0</v>
      </c>
      <c r="X606" s="7">
        <v>0</v>
      </c>
      <c r="Y606" s="7">
        <v>0</v>
      </c>
      <c r="Z606" s="7">
        <v>0</v>
      </c>
      <c r="AA606" s="7">
        <v>0</v>
      </c>
      <c r="AB606" s="7">
        <v>0</v>
      </c>
      <c r="AC606" s="7">
        <v>0</v>
      </c>
      <c r="AD606" s="7">
        <v>0</v>
      </c>
      <c r="AE606" s="7">
        <v>0</v>
      </c>
      <c r="AF606" s="7">
        <v>0</v>
      </c>
      <c r="AG606" s="7">
        <v>0</v>
      </c>
      <c r="AH606" s="7">
        <v>0</v>
      </c>
      <c r="AI606" s="7">
        <v>0</v>
      </c>
      <c r="AJ606" s="7">
        <v>0</v>
      </c>
      <c r="AK606" s="7">
        <v>0</v>
      </c>
      <c r="AL606" s="7">
        <v>0</v>
      </c>
      <c r="AM606" s="7">
        <v>0</v>
      </c>
      <c r="AN606" s="7">
        <v>0</v>
      </c>
      <c r="AO606" s="7">
        <v>0</v>
      </c>
      <c r="AP606" s="7">
        <v>0</v>
      </c>
      <c r="AQ606" s="7">
        <v>0</v>
      </c>
      <c r="AR606" s="7">
        <v>0</v>
      </c>
      <c r="AS606" s="7">
        <v>0</v>
      </c>
      <c r="AT606" s="7">
        <v>0</v>
      </c>
      <c r="AU606" s="7">
        <v>0</v>
      </c>
      <c r="AV606" s="7">
        <v>0</v>
      </c>
      <c r="AW606" s="7">
        <v>0</v>
      </c>
      <c r="AX606" s="7">
        <v>0</v>
      </c>
      <c r="AY606" s="7">
        <v>0</v>
      </c>
      <c r="AZ606" s="7">
        <v>0</v>
      </c>
      <c r="BA606" s="7">
        <v>0</v>
      </c>
      <c r="BB606" s="7">
        <v>0</v>
      </c>
      <c r="BC606" s="7">
        <v>0</v>
      </c>
      <c r="BD606">
        <v>0</v>
      </c>
      <c r="BE606">
        <v>28.87</v>
      </c>
      <c r="BF6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6" s="42" t="str">
        <f>+IF(AVANCE[[#This Row],[FECHA INICIO REAL]]="","",AVANCE[[#This Row],[FECHA INICIO REAL]]-AVANCE[[#This Row],[FECHA INICIO TEORICO]])</f>
        <v/>
      </c>
      <c r="BH6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7" spans="1:61" x14ac:dyDescent="0.25">
      <c r="A607" t="s">
        <v>1418</v>
      </c>
      <c r="B607" t="s">
        <v>1448</v>
      </c>
      <c r="C607">
        <v>2302600606</v>
      </c>
      <c r="D607" t="s">
        <v>834</v>
      </c>
      <c r="E607" s="4">
        <v>0</v>
      </c>
      <c r="F607" s="1">
        <v>46442</v>
      </c>
      <c r="G607" s="1"/>
      <c r="H607" s="1">
        <v>0</v>
      </c>
      <c r="I607" s="1">
        <v>46472</v>
      </c>
      <c r="J607">
        <v>46188</v>
      </c>
      <c r="K607" s="1"/>
      <c r="L607" s="7">
        <v>0</v>
      </c>
      <c r="M607" s="7">
        <v>0</v>
      </c>
      <c r="N607" s="7">
        <v>0</v>
      </c>
      <c r="O607" s="7">
        <v>0</v>
      </c>
      <c r="P607" s="7">
        <v>0</v>
      </c>
      <c r="Q607" s="7">
        <v>0</v>
      </c>
      <c r="R607" s="7">
        <v>0</v>
      </c>
      <c r="S607" s="7">
        <v>0</v>
      </c>
      <c r="T607" s="7">
        <v>0</v>
      </c>
      <c r="U607" s="7">
        <v>0</v>
      </c>
      <c r="V607" s="7">
        <v>0</v>
      </c>
      <c r="W607" s="7">
        <v>0</v>
      </c>
      <c r="X607" s="7">
        <v>0</v>
      </c>
      <c r="Y607" s="7">
        <v>0</v>
      </c>
      <c r="Z607" s="7">
        <v>0</v>
      </c>
      <c r="AA607" s="7">
        <v>0</v>
      </c>
      <c r="AB607" s="7">
        <v>0</v>
      </c>
      <c r="AC607" s="7">
        <v>0</v>
      </c>
      <c r="AD607" s="7">
        <v>0</v>
      </c>
      <c r="AE607" s="7">
        <v>0</v>
      </c>
      <c r="AF607" s="7">
        <v>0</v>
      </c>
      <c r="AG607" s="7">
        <v>0</v>
      </c>
      <c r="AH607" s="7">
        <v>0</v>
      </c>
      <c r="AI607" s="7">
        <v>0</v>
      </c>
      <c r="AJ607" s="7">
        <v>0</v>
      </c>
      <c r="AK607" s="7">
        <v>0</v>
      </c>
      <c r="AL607" s="7">
        <v>0</v>
      </c>
      <c r="AM607" s="7">
        <v>0</v>
      </c>
      <c r="AN607" s="7">
        <v>0</v>
      </c>
      <c r="AO607" s="7">
        <v>0</v>
      </c>
      <c r="AP607" s="7">
        <v>0</v>
      </c>
      <c r="AQ607" s="7">
        <v>0</v>
      </c>
      <c r="AR607" s="7">
        <v>0</v>
      </c>
      <c r="AS607" s="7">
        <v>0</v>
      </c>
      <c r="AT607" s="7">
        <v>0</v>
      </c>
      <c r="AU607" s="7">
        <v>0</v>
      </c>
      <c r="AV607" s="7">
        <v>0</v>
      </c>
      <c r="AW607" s="7">
        <v>0</v>
      </c>
      <c r="AX607" s="7">
        <v>0</v>
      </c>
      <c r="AY607" s="7">
        <v>0</v>
      </c>
      <c r="AZ607" s="7">
        <v>0</v>
      </c>
      <c r="BA607" s="7">
        <v>0</v>
      </c>
      <c r="BB607" s="7">
        <v>0</v>
      </c>
      <c r="BC607" s="7">
        <v>0</v>
      </c>
      <c r="BD607">
        <v>0</v>
      </c>
      <c r="BE607">
        <v>31.32</v>
      </c>
      <c r="BF6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7" s="42" t="str">
        <f>+IF(AVANCE[[#This Row],[FECHA INICIO REAL]]="","",AVANCE[[#This Row],[FECHA INICIO REAL]]-AVANCE[[#This Row],[FECHA INICIO TEORICO]])</f>
        <v/>
      </c>
      <c r="BH6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8" spans="1:61" x14ac:dyDescent="0.25">
      <c r="A608" t="s">
        <v>1418</v>
      </c>
      <c r="B608" t="s">
        <v>1449</v>
      </c>
      <c r="C608">
        <v>2302600607</v>
      </c>
      <c r="D608" t="s">
        <v>834</v>
      </c>
      <c r="E608" s="4">
        <v>0</v>
      </c>
      <c r="F608" s="1">
        <v>46442</v>
      </c>
      <c r="G608" s="1"/>
      <c r="H608" s="1">
        <v>0</v>
      </c>
      <c r="I608" s="1">
        <v>46472</v>
      </c>
      <c r="J608">
        <v>46188</v>
      </c>
      <c r="K608" s="1"/>
      <c r="L608" s="7">
        <v>0</v>
      </c>
      <c r="M608" s="7">
        <v>0</v>
      </c>
      <c r="N608" s="7">
        <v>0</v>
      </c>
      <c r="O608" s="7">
        <v>0</v>
      </c>
      <c r="P608" s="7">
        <v>0</v>
      </c>
      <c r="Q608" s="7">
        <v>0</v>
      </c>
      <c r="R608" s="7">
        <v>0</v>
      </c>
      <c r="S608" s="7">
        <v>0</v>
      </c>
      <c r="T608" s="7">
        <v>0</v>
      </c>
      <c r="U608" s="7">
        <v>0</v>
      </c>
      <c r="V608" s="7">
        <v>0</v>
      </c>
      <c r="W608" s="7">
        <v>0</v>
      </c>
      <c r="X608" s="7">
        <v>0</v>
      </c>
      <c r="Y608" s="7">
        <v>0</v>
      </c>
      <c r="Z608" s="7">
        <v>0</v>
      </c>
      <c r="AA608" s="7">
        <v>0</v>
      </c>
      <c r="AB608" s="7">
        <v>0</v>
      </c>
      <c r="AC608" s="7">
        <v>0</v>
      </c>
      <c r="AD608" s="7">
        <v>0</v>
      </c>
      <c r="AE608" s="7">
        <v>0</v>
      </c>
      <c r="AF608" s="7">
        <v>0</v>
      </c>
      <c r="AG608" s="7">
        <v>0</v>
      </c>
      <c r="AH608" s="7">
        <v>0</v>
      </c>
      <c r="AI608" s="7">
        <v>0</v>
      </c>
      <c r="AJ608" s="7">
        <v>0</v>
      </c>
      <c r="AK608" s="7">
        <v>0</v>
      </c>
      <c r="AL608" s="7">
        <v>0</v>
      </c>
      <c r="AM608" s="7">
        <v>0</v>
      </c>
      <c r="AN608" s="7">
        <v>0</v>
      </c>
      <c r="AO608" s="7">
        <v>0</v>
      </c>
      <c r="AP608" s="7">
        <v>0</v>
      </c>
      <c r="AQ608" s="7">
        <v>0</v>
      </c>
      <c r="AR608" s="7">
        <v>0</v>
      </c>
      <c r="AS608" s="7">
        <v>0</v>
      </c>
      <c r="AT608" s="7">
        <v>0</v>
      </c>
      <c r="AU608" s="7">
        <v>0</v>
      </c>
      <c r="AV608" s="7">
        <v>0</v>
      </c>
      <c r="AW608" s="7">
        <v>0</v>
      </c>
      <c r="AX608" s="7">
        <v>0</v>
      </c>
      <c r="AY608" s="7">
        <v>0</v>
      </c>
      <c r="AZ608" s="7">
        <v>0</v>
      </c>
      <c r="BA608" s="7">
        <v>0</v>
      </c>
      <c r="BB608" s="7">
        <v>0</v>
      </c>
      <c r="BC608" s="7">
        <v>0</v>
      </c>
      <c r="BD608">
        <v>0</v>
      </c>
      <c r="BE608">
        <v>31.32</v>
      </c>
      <c r="BF6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8" s="42" t="str">
        <f>+IF(AVANCE[[#This Row],[FECHA INICIO REAL]]="","",AVANCE[[#This Row],[FECHA INICIO REAL]]-AVANCE[[#This Row],[FECHA INICIO TEORICO]])</f>
        <v/>
      </c>
      <c r="BH6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9" spans="1:61" x14ac:dyDescent="0.25">
      <c r="A609" t="s">
        <v>1418</v>
      </c>
      <c r="B609" t="s">
        <v>1450</v>
      </c>
      <c r="C609">
        <v>2282600608</v>
      </c>
      <c r="D609" t="s">
        <v>833</v>
      </c>
      <c r="E609" s="4">
        <v>0</v>
      </c>
      <c r="F609" s="1">
        <v>46443</v>
      </c>
      <c r="G609" s="1"/>
      <c r="H609" s="1">
        <v>0</v>
      </c>
      <c r="I609" s="1">
        <v>46463</v>
      </c>
      <c r="J609">
        <v>46188</v>
      </c>
      <c r="K609" s="1"/>
      <c r="L609" s="7">
        <v>0</v>
      </c>
      <c r="M609" s="7">
        <v>0</v>
      </c>
      <c r="N609" s="7">
        <v>0</v>
      </c>
      <c r="O609" s="7">
        <v>0</v>
      </c>
      <c r="P609" s="7">
        <v>0</v>
      </c>
      <c r="Q609" s="7">
        <v>0</v>
      </c>
      <c r="R609" s="7">
        <v>0</v>
      </c>
      <c r="S609" s="7">
        <v>0</v>
      </c>
      <c r="T609" s="7">
        <v>0</v>
      </c>
      <c r="U609" s="7">
        <v>0</v>
      </c>
      <c r="V609" s="7">
        <v>0</v>
      </c>
      <c r="W609" s="7">
        <v>0</v>
      </c>
      <c r="X609" s="7">
        <v>0</v>
      </c>
      <c r="Y609" s="7">
        <v>0</v>
      </c>
      <c r="Z609" s="7">
        <v>0</v>
      </c>
      <c r="AA609" s="7">
        <v>0</v>
      </c>
      <c r="AB609" s="7">
        <v>0</v>
      </c>
      <c r="AC609" s="7">
        <v>0</v>
      </c>
      <c r="AD609" s="7">
        <v>0</v>
      </c>
      <c r="AE609" s="7">
        <v>0</v>
      </c>
      <c r="AF609" s="7">
        <v>0</v>
      </c>
      <c r="AG609" s="7">
        <v>0</v>
      </c>
      <c r="AH609" s="7">
        <v>0</v>
      </c>
      <c r="AI609" s="7">
        <v>0</v>
      </c>
      <c r="AJ609" s="7">
        <v>0</v>
      </c>
      <c r="AK609" s="7">
        <v>0</v>
      </c>
      <c r="AL609" s="7">
        <v>0</v>
      </c>
      <c r="AM609" s="7">
        <v>0</v>
      </c>
      <c r="AN609" s="7">
        <v>0</v>
      </c>
      <c r="AO609" s="7">
        <v>0</v>
      </c>
      <c r="AP609" s="7">
        <v>0</v>
      </c>
      <c r="AQ609" s="7">
        <v>0</v>
      </c>
      <c r="AR609" s="7">
        <v>0</v>
      </c>
      <c r="AS609" s="7">
        <v>0</v>
      </c>
      <c r="AT609" s="7">
        <v>0</v>
      </c>
      <c r="AU609" s="7">
        <v>0</v>
      </c>
      <c r="AV609" s="7">
        <v>0</v>
      </c>
      <c r="AW609" s="7">
        <v>0</v>
      </c>
      <c r="AX609" s="7">
        <v>0</v>
      </c>
      <c r="AY609" s="7">
        <v>0</v>
      </c>
      <c r="AZ609" s="7">
        <v>0</v>
      </c>
      <c r="BA609" s="7">
        <v>0</v>
      </c>
      <c r="BB609" s="7">
        <v>0</v>
      </c>
      <c r="BC609" s="7">
        <v>0</v>
      </c>
      <c r="BD609">
        <v>0</v>
      </c>
      <c r="BE609">
        <v>28.87</v>
      </c>
      <c r="BF6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9" s="42" t="str">
        <f>+IF(AVANCE[[#This Row],[FECHA INICIO REAL]]="","",AVANCE[[#This Row],[FECHA INICIO REAL]]-AVANCE[[#This Row],[FECHA INICIO TEORICO]])</f>
        <v/>
      </c>
      <c r="BH6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0" spans="1:61" x14ac:dyDescent="0.25">
      <c r="A610" t="s">
        <v>1451</v>
      </c>
      <c r="B610" t="s">
        <v>1452</v>
      </c>
      <c r="C610">
        <v>2282600609</v>
      </c>
      <c r="D610" t="s">
        <v>833</v>
      </c>
      <c r="E610" s="4">
        <v>0</v>
      </c>
      <c r="F610" s="1">
        <v>46443</v>
      </c>
      <c r="G610" s="1"/>
      <c r="H610" s="1">
        <v>0</v>
      </c>
      <c r="I610" s="1">
        <v>46463</v>
      </c>
      <c r="J610">
        <v>46188</v>
      </c>
      <c r="K610" s="1"/>
      <c r="L610" s="7">
        <v>0</v>
      </c>
      <c r="M610" s="7">
        <v>0</v>
      </c>
      <c r="N610" s="7">
        <v>0</v>
      </c>
      <c r="O610" s="7">
        <v>0</v>
      </c>
      <c r="P610" s="7">
        <v>0</v>
      </c>
      <c r="Q610" s="7">
        <v>0</v>
      </c>
      <c r="R610" s="7">
        <v>0</v>
      </c>
      <c r="S610" s="7">
        <v>0</v>
      </c>
      <c r="T610" s="7">
        <v>0</v>
      </c>
      <c r="U610" s="7">
        <v>0</v>
      </c>
      <c r="V610" s="7">
        <v>0</v>
      </c>
      <c r="W610" s="7">
        <v>0</v>
      </c>
      <c r="X610" s="7">
        <v>0</v>
      </c>
      <c r="Y610" s="7">
        <v>0</v>
      </c>
      <c r="Z610" s="7">
        <v>0</v>
      </c>
      <c r="AA610" s="7">
        <v>0</v>
      </c>
      <c r="AB610" s="7">
        <v>0</v>
      </c>
      <c r="AC610" s="7">
        <v>0</v>
      </c>
      <c r="AD610" s="7">
        <v>0</v>
      </c>
      <c r="AE610" s="7">
        <v>0</v>
      </c>
      <c r="AF610" s="7">
        <v>0</v>
      </c>
      <c r="AG610" s="7">
        <v>0</v>
      </c>
      <c r="AH610" s="7">
        <v>0</v>
      </c>
      <c r="AI610" s="7">
        <v>0</v>
      </c>
      <c r="AJ610" s="7">
        <v>0</v>
      </c>
      <c r="AK610" s="7">
        <v>0</v>
      </c>
      <c r="AL610" s="7">
        <v>0</v>
      </c>
      <c r="AM610" s="7">
        <v>0</v>
      </c>
      <c r="AN610" s="7">
        <v>0</v>
      </c>
      <c r="AO610" s="7">
        <v>0</v>
      </c>
      <c r="AP610" s="7">
        <v>0</v>
      </c>
      <c r="AQ610" s="7">
        <v>0</v>
      </c>
      <c r="AR610" s="7">
        <v>0</v>
      </c>
      <c r="AS610" s="7">
        <v>0</v>
      </c>
      <c r="AT610" s="7">
        <v>0</v>
      </c>
      <c r="AU610" s="7">
        <v>0</v>
      </c>
      <c r="AV610" s="7">
        <v>0</v>
      </c>
      <c r="AW610" s="7">
        <v>0</v>
      </c>
      <c r="AX610" s="7">
        <v>0</v>
      </c>
      <c r="AY610" s="7">
        <v>0</v>
      </c>
      <c r="AZ610" s="7">
        <v>0</v>
      </c>
      <c r="BA610" s="7">
        <v>0</v>
      </c>
      <c r="BB610" s="7">
        <v>0</v>
      </c>
      <c r="BC610" s="7">
        <v>0</v>
      </c>
      <c r="BD610">
        <v>0</v>
      </c>
      <c r="BE610">
        <v>28.87</v>
      </c>
      <c r="BF6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0" s="42" t="str">
        <f>+IF(AVANCE[[#This Row],[FECHA INICIO REAL]]="","",AVANCE[[#This Row],[FECHA INICIO REAL]]-AVANCE[[#This Row],[FECHA INICIO TEORICO]])</f>
        <v/>
      </c>
      <c r="BH6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1" spans="1:61" x14ac:dyDescent="0.25">
      <c r="A611" t="s">
        <v>1451</v>
      </c>
      <c r="B611" t="s">
        <v>1453</v>
      </c>
      <c r="C611">
        <v>2302600610</v>
      </c>
      <c r="D611" t="s">
        <v>834</v>
      </c>
      <c r="E611" s="4">
        <v>0</v>
      </c>
      <c r="F611" s="1">
        <v>46443</v>
      </c>
      <c r="G611" s="1"/>
      <c r="H611" s="1">
        <v>0</v>
      </c>
      <c r="I611" s="1">
        <v>46473</v>
      </c>
      <c r="J611">
        <v>46188</v>
      </c>
      <c r="K611" s="1"/>
      <c r="L611" s="7">
        <v>0</v>
      </c>
      <c r="M611" s="7">
        <v>0</v>
      </c>
      <c r="N611" s="7">
        <v>0</v>
      </c>
      <c r="O611" s="7">
        <v>0</v>
      </c>
      <c r="P611" s="7">
        <v>0</v>
      </c>
      <c r="Q611" s="7">
        <v>0</v>
      </c>
      <c r="R611" s="7">
        <v>0</v>
      </c>
      <c r="S611" s="7">
        <v>0</v>
      </c>
      <c r="T611" s="7">
        <v>0</v>
      </c>
      <c r="U611" s="7">
        <v>0</v>
      </c>
      <c r="V611" s="7">
        <v>0</v>
      </c>
      <c r="W611" s="7">
        <v>0</v>
      </c>
      <c r="X611" s="7">
        <v>0</v>
      </c>
      <c r="Y611" s="7">
        <v>0</v>
      </c>
      <c r="Z611" s="7">
        <v>0</v>
      </c>
      <c r="AA611" s="7">
        <v>0</v>
      </c>
      <c r="AB611" s="7">
        <v>0</v>
      </c>
      <c r="AC611" s="7">
        <v>0</v>
      </c>
      <c r="AD611" s="7">
        <v>0</v>
      </c>
      <c r="AE611" s="7">
        <v>0</v>
      </c>
      <c r="AF611" s="7">
        <v>0</v>
      </c>
      <c r="AG611" s="7">
        <v>0</v>
      </c>
      <c r="AH611" s="7">
        <v>0</v>
      </c>
      <c r="AI611" s="7">
        <v>0</v>
      </c>
      <c r="AJ611" s="7">
        <v>0</v>
      </c>
      <c r="AK611" s="7">
        <v>0</v>
      </c>
      <c r="AL611" s="7">
        <v>0</v>
      </c>
      <c r="AM611" s="7">
        <v>0</v>
      </c>
      <c r="AN611" s="7">
        <v>0</v>
      </c>
      <c r="AO611" s="7">
        <v>0</v>
      </c>
      <c r="AP611" s="7">
        <v>0</v>
      </c>
      <c r="AQ611" s="7">
        <v>0</v>
      </c>
      <c r="AR611" s="7">
        <v>0</v>
      </c>
      <c r="AS611" s="7">
        <v>0</v>
      </c>
      <c r="AT611" s="7">
        <v>0</v>
      </c>
      <c r="AU611" s="7">
        <v>0</v>
      </c>
      <c r="AV611" s="7">
        <v>0</v>
      </c>
      <c r="AW611" s="7">
        <v>0</v>
      </c>
      <c r="AX611" s="7">
        <v>0</v>
      </c>
      <c r="AY611" s="7">
        <v>0</v>
      </c>
      <c r="AZ611" s="7">
        <v>0</v>
      </c>
      <c r="BA611" s="7">
        <v>0</v>
      </c>
      <c r="BB611" s="7">
        <v>0</v>
      </c>
      <c r="BC611" s="7">
        <v>0</v>
      </c>
      <c r="BD611">
        <v>0</v>
      </c>
      <c r="BE611">
        <v>31.32</v>
      </c>
      <c r="BF6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1" s="42" t="str">
        <f>+IF(AVANCE[[#This Row],[FECHA INICIO REAL]]="","",AVANCE[[#This Row],[FECHA INICIO REAL]]-AVANCE[[#This Row],[FECHA INICIO TEORICO]])</f>
        <v/>
      </c>
      <c r="BH6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2" spans="1:61" x14ac:dyDescent="0.25">
      <c r="A612" t="s">
        <v>1451</v>
      </c>
      <c r="B612" t="s">
        <v>1454</v>
      </c>
      <c r="C612">
        <v>2302600611</v>
      </c>
      <c r="D612" t="s">
        <v>834</v>
      </c>
      <c r="E612" s="4">
        <v>0</v>
      </c>
      <c r="F612" s="1">
        <v>46444</v>
      </c>
      <c r="G612" s="1"/>
      <c r="H612" s="1">
        <v>0</v>
      </c>
      <c r="I612" s="1">
        <v>46474</v>
      </c>
      <c r="J612">
        <v>46188</v>
      </c>
      <c r="K612" s="1"/>
      <c r="L612" s="7">
        <v>0</v>
      </c>
      <c r="M612" s="7">
        <v>0</v>
      </c>
      <c r="N612" s="7">
        <v>0</v>
      </c>
      <c r="O612" s="7">
        <v>0</v>
      </c>
      <c r="P612" s="7">
        <v>0</v>
      </c>
      <c r="Q612" s="7">
        <v>0</v>
      </c>
      <c r="R612" s="7">
        <v>0</v>
      </c>
      <c r="S612" s="7">
        <v>0</v>
      </c>
      <c r="T612" s="7">
        <v>0</v>
      </c>
      <c r="U612" s="7">
        <v>0</v>
      </c>
      <c r="V612" s="7">
        <v>0</v>
      </c>
      <c r="W612" s="7">
        <v>0</v>
      </c>
      <c r="X612" s="7">
        <v>0</v>
      </c>
      <c r="Y612" s="7">
        <v>0</v>
      </c>
      <c r="Z612" s="7">
        <v>0</v>
      </c>
      <c r="AA612" s="7">
        <v>0</v>
      </c>
      <c r="AB612" s="7">
        <v>0</v>
      </c>
      <c r="AC612" s="7">
        <v>0</v>
      </c>
      <c r="AD612" s="7">
        <v>0</v>
      </c>
      <c r="AE612" s="7">
        <v>0</v>
      </c>
      <c r="AF612" s="7">
        <v>0</v>
      </c>
      <c r="AG612" s="7">
        <v>0</v>
      </c>
      <c r="AH612" s="7">
        <v>0</v>
      </c>
      <c r="AI612" s="7">
        <v>0</v>
      </c>
      <c r="AJ612" s="7">
        <v>0</v>
      </c>
      <c r="AK612" s="7">
        <v>0</v>
      </c>
      <c r="AL612" s="7">
        <v>0</v>
      </c>
      <c r="AM612" s="7">
        <v>0</v>
      </c>
      <c r="AN612" s="7">
        <v>0</v>
      </c>
      <c r="AO612" s="7">
        <v>0</v>
      </c>
      <c r="AP612" s="7">
        <v>0</v>
      </c>
      <c r="AQ612" s="7">
        <v>0</v>
      </c>
      <c r="AR612" s="7">
        <v>0</v>
      </c>
      <c r="AS612" s="7">
        <v>0</v>
      </c>
      <c r="AT612" s="7">
        <v>0</v>
      </c>
      <c r="AU612" s="7">
        <v>0</v>
      </c>
      <c r="AV612" s="7">
        <v>0</v>
      </c>
      <c r="AW612" s="7">
        <v>0</v>
      </c>
      <c r="AX612" s="7">
        <v>0</v>
      </c>
      <c r="AY612" s="7">
        <v>0</v>
      </c>
      <c r="AZ612" s="7">
        <v>0</v>
      </c>
      <c r="BA612" s="7">
        <v>0</v>
      </c>
      <c r="BB612" s="7">
        <v>0</v>
      </c>
      <c r="BC612" s="7">
        <v>0</v>
      </c>
      <c r="BD612">
        <v>0</v>
      </c>
      <c r="BE612">
        <v>31.32</v>
      </c>
      <c r="BF6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2" s="42" t="str">
        <f>+IF(AVANCE[[#This Row],[FECHA INICIO REAL]]="","",AVANCE[[#This Row],[FECHA INICIO REAL]]-AVANCE[[#This Row],[FECHA INICIO TEORICO]])</f>
        <v/>
      </c>
      <c r="BH6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3" spans="1:61" x14ac:dyDescent="0.25">
      <c r="A613" t="s">
        <v>1451</v>
      </c>
      <c r="B613" t="s">
        <v>1455</v>
      </c>
      <c r="C613">
        <v>2282600612</v>
      </c>
      <c r="D613" t="s">
        <v>833</v>
      </c>
      <c r="E613" s="4">
        <v>0</v>
      </c>
      <c r="F613" s="1">
        <v>46444</v>
      </c>
      <c r="G613" s="1"/>
      <c r="H613" s="1">
        <v>0</v>
      </c>
      <c r="I613" s="1">
        <v>46464</v>
      </c>
      <c r="J613">
        <v>46188</v>
      </c>
      <c r="K613" s="1"/>
      <c r="L613" s="7">
        <v>0</v>
      </c>
      <c r="M613" s="7">
        <v>0</v>
      </c>
      <c r="N613" s="7">
        <v>0</v>
      </c>
      <c r="O613" s="7">
        <v>0</v>
      </c>
      <c r="P613" s="7">
        <v>0</v>
      </c>
      <c r="Q613" s="7">
        <v>0</v>
      </c>
      <c r="R613" s="7">
        <v>0</v>
      </c>
      <c r="S613" s="7">
        <v>0</v>
      </c>
      <c r="T613" s="7">
        <v>0</v>
      </c>
      <c r="U613" s="7">
        <v>0</v>
      </c>
      <c r="V613" s="7">
        <v>0</v>
      </c>
      <c r="W613" s="7">
        <v>0</v>
      </c>
      <c r="X613" s="7">
        <v>0</v>
      </c>
      <c r="Y613" s="7">
        <v>0</v>
      </c>
      <c r="Z613" s="7">
        <v>0</v>
      </c>
      <c r="AA613" s="7">
        <v>0</v>
      </c>
      <c r="AB613" s="7">
        <v>0</v>
      </c>
      <c r="AC613" s="7">
        <v>0</v>
      </c>
      <c r="AD613" s="7">
        <v>0</v>
      </c>
      <c r="AE613" s="7">
        <v>0</v>
      </c>
      <c r="AF613" s="7">
        <v>0</v>
      </c>
      <c r="AG613" s="7">
        <v>0</v>
      </c>
      <c r="AH613" s="7">
        <v>0</v>
      </c>
      <c r="AI613" s="7">
        <v>0</v>
      </c>
      <c r="AJ613" s="7">
        <v>0</v>
      </c>
      <c r="AK613" s="7">
        <v>0</v>
      </c>
      <c r="AL613" s="7">
        <v>0</v>
      </c>
      <c r="AM613" s="7">
        <v>0</v>
      </c>
      <c r="AN613" s="7">
        <v>0</v>
      </c>
      <c r="AO613" s="7">
        <v>0</v>
      </c>
      <c r="AP613" s="7">
        <v>0</v>
      </c>
      <c r="AQ613" s="7">
        <v>0</v>
      </c>
      <c r="AR613" s="7">
        <v>0</v>
      </c>
      <c r="AS613" s="7">
        <v>0</v>
      </c>
      <c r="AT613" s="7">
        <v>0</v>
      </c>
      <c r="AU613" s="7">
        <v>0</v>
      </c>
      <c r="AV613" s="7">
        <v>0</v>
      </c>
      <c r="AW613" s="7">
        <v>0</v>
      </c>
      <c r="AX613" s="7">
        <v>0</v>
      </c>
      <c r="AY613" s="7">
        <v>0</v>
      </c>
      <c r="AZ613" s="7">
        <v>0</v>
      </c>
      <c r="BA613" s="7">
        <v>0</v>
      </c>
      <c r="BB613" s="7">
        <v>0</v>
      </c>
      <c r="BC613" s="7">
        <v>0</v>
      </c>
      <c r="BD613">
        <v>0</v>
      </c>
      <c r="BE613">
        <v>28.87</v>
      </c>
      <c r="BF6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3" s="42" t="str">
        <f>+IF(AVANCE[[#This Row],[FECHA INICIO REAL]]="","",AVANCE[[#This Row],[FECHA INICIO REAL]]-AVANCE[[#This Row],[FECHA INICIO TEORICO]])</f>
        <v/>
      </c>
      <c r="BH6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4" spans="1:61" x14ac:dyDescent="0.25">
      <c r="A614" t="s">
        <v>1451</v>
      </c>
      <c r="B614" t="s">
        <v>1456</v>
      </c>
      <c r="C614">
        <v>2282600613</v>
      </c>
      <c r="D614" t="s">
        <v>833</v>
      </c>
      <c r="E614" s="4">
        <v>0</v>
      </c>
      <c r="F614" s="1">
        <v>46444</v>
      </c>
      <c r="G614" s="1"/>
      <c r="H614" s="1">
        <v>0</v>
      </c>
      <c r="I614" s="1">
        <v>46464</v>
      </c>
      <c r="J614">
        <v>46188</v>
      </c>
      <c r="K614" s="1"/>
      <c r="L614" s="7">
        <v>0</v>
      </c>
      <c r="M614" s="7">
        <v>0</v>
      </c>
      <c r="N614" s="7">
        <v>0</v>
      </c>
      <c r="O614" s="7">
        <v>0</v>
      </c>
      <c r="P614" s="7">
        <v>0</v>
      </c>
      <c r="Q614" s="7">
        <v>0</v>
      </c>
      <c r="R614" s="7">
        <v>0</v>
      </c>
      <c r="S614" s="7">
        <v>0</v>
      </c>
      <c r="T614" s="7">
        <v>0</v>
      </c>
      <c r="U614" s="7">
        <v>0</v>
      </c>
      <c r="V614" s="7">
        <v>0</v>
      </c>
      <c r="W614" s="7">
        <v>0</v>
      </c>
      <c r="X614" s="7">
        <v>0</v>
      </c>
      <c r="Y614" s="7">
        <v>0</v>
      </c>
      <c r="Z614" s="7">
        <v>0</v>
      </c>
      <c r="AA614" s="7">
        <v>0</v>
      </c>
      <c r="AB614" s="7">
        <v>0</v>
      </c>
      <c r="AC614" s="7">
        <v>0</v>
      </c>
      <c r="AD614" s="7">
        <v>0</v>
      </c>
      <c r="AE614" s="7">
        <v>0</v>
      </c>
      <c r="AF614" s="7">
        <v>0</v>
      </c>
      <c r="AG614" s="7">
        <v>0</v>
      </c>
      <c r="AH614" s="7">
        <v>0</v>
      </c>
      <c r="AI614" s="7">
        <v>0</v>
      </c>
      <c r="AJ614" s="7">
        <v>0</v>
      </c>
      <c r="AK614" s="7">
        <v>0</v>
      </c>
      <c r="AL614" s="7">
        <v>0</v>
      </c>
      <c r="AM614" s="7">
        <v>0</v>
      </c>
      <c r="AN614" s="7">
        <v>0</v>
      </c>
      <c r="AO614" s="7">
        <v>0</v>
      </c>
      <c r="AP614" s="7">
        <v>0</v>
      </c>
      <c r="AQ614" s="7">
        <v>0</v>
      </c>
      <c r="AR614" s="7">
        <v>0</v>
      </c>
      <c r="AS614" s="7">
        <v>0</v>
      </c>
      <c r="AT614" s="7">
        <v>0</v>
      </c>
      <c r="AU614" s="7">
        <v>0</v>
      </c>
      <c r="AV614" s="7">
        <v>0</v>
      </c>
      <c r="AW614" s="7">
        <v>0</v>
      </c>
      <c r="AX614" s="7">
        <v>0</v>
      </c>
      <c r="AY614" s="7">
        <v>0</v>
      </c>
      <c r="AZ614" s="7">
        <v>0</v>
      </c>
      <c r="BA614" s="7">
        <v>0</v>
      </c>
      <c r="BB614" s="7">
        <v>0</v>
      </c>
      <c r="BC614" s="7">
        <v>0</v>
      </c>
      <c r="BD614">
        <v>0</v>
      </c>
      <c r="BE614">
        <v>28.87</v>
      </c>
      <c r="BF6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4" s="42" t="str">
        <f>+IF(AVANCE[[#This Row],[FECHA INICIO REAL]]="","",AVANCE[[#This Row],[FECHA INICIO REAL]]-AVANCE[[#This Row],[FECHA INICIO TEORICO]])</f>
        <v/>
      </c>
      <c r="BH6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5" spans="1:61" x14ac:dyDescent="0.25">
      <c r="A615" t="s">
        <v>1451</v>
      </c>
      <c r="B615" t="s">
        <v>1457</v>
      </c>
      <c r="C615">
        <v>2302600614</v>
      </c>
      <c r="D615" t="s">
        <v>834</v>
      </c>
      <c r="E615" s="4">
        <v>0</v>
      </c>
      <c r="F615" s="1">
        <v>46447</v>
      </c>
      <c r="G615" s="1"/>
      <c r="H615" s="1">
        <v>0</v>
      </c>
      <c r="I615" s="1">
        <v>46477</v>
      </c>
      <c r="J615">
        <v>46188</v>
      </c>
      <c r="K615" s="1"/>
      <c r="L615" s="7">
        <v>0</v>
      </c>
      <c r="M615" s="7">
        <v>0</v>
      </c>
      <c r="N615" s="7">
        <v>0</v>
      </c>
      <c r="O615" s="7">
        <v>0</v>
      </c>
      <c r="P615" s="7">
        <v>0</v>
      </c>
      <c r="Q615" s="7">
        <v>0</v>
      </c>
      <c r="R615" s="7">
        <v>0</v>
      </c>
      <c r="S615" s="7">
        <v>0</v>
      </c>
      <c r="T615" s="7">
        <v>0</v>
      </c>
      <c r="U615" s="7">
        <v>0</v>
      </c>
      <c r="V615" s="7">
        <v>0</v>
      </c>
      <c r="W615" s="7">
        <v>0</v>
      </c>
      <c r="X615" s="7">
        <v>0</v>
      </c>
      <c r="Y615" s="7">
        <v>0</v>
      </c>
      <c r="Z615" s="7">
        <v>0</v>
      </c>
      <c r="AA615" s="7">
        <v>0</v>
      </c>
      <c r="AB615" s="7">
        <v>0</v>
      </c>
      <c r="AC615" s="7">
        <v>0</v>
      </c>
      <c r="AD615" s="7">
        <v>0</v>
      </c>
      <c r="AE615" s="7">
        <v>0</v>
      </c>
      <c r="AF615" s="7">
        <v>0</v>
      </c>
      <c r="AG615" s="7">
        <v>0</v>
      </c>
      <c r="AH615" s="7">
        <v>0</v>
      </c>
      <c r="AI615" s="7">
        <v>0</v>
      </c>
      <c r="AJ615" s="7">
        <v>0</v>
      </c>
      <c r="AK615" s="7">
        <v>0</v>
      </c>
      <c r="AL615" s="7">
        <v>0</v>
      </c>
      <c r="AM615" s="7">
        <v>0</v>
      </c>
      <c r="AN615" s="7">
        <v>0</v>
      </c>
      <c r="AO615" s="7">
        <v>0</v>
      </c>
      <c r="AP615" s="7">
        <v>0</v>
      </c>
      <c r="AQ615" s="7">
        <v>0</v>
      </c>
      <c r="AR615" s="7">
        <v>0</v>
      </c>
      <c r="AS615" s="7">
        <v>0</v>
      </c>
      <c r="AT615" s="7">
        <v>0</v>
      </c>
      <c r="AU615" s="7">
        <v>0</v>
      </c>
      <c r="AV615" s="7">
        <v>0</v>
      </c>
      <c r="AW615" s="7">
        <v>0</v>
      </c>
      <c r="AX615" s="7">
        <v>0</v>
      </c>
      <c r="AY615" s="7">
        <v>0</v>
      </c>
      <c r="AZ615" s="7">
        <v>0</v>
      </c>
      <c r="BA615" s="7">
        <v>0</v>
      </c>
      <c r="BB615" s="7">
        <v>0</v>
      </c>
      <c r="BC615" s="7">
        <v>0</v>
      </c>
      <c r="BD615">
        <v>0</v>
      </c>
      <c r="BE615">
        <v>31.32</v>
      </c>
      <c r="BF6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5" s="42" t="str">
        <f>+IF(AVANCE[[#This Row],[FECHA INICIO REAL]]="","",AVANCE[[#This Row],[FECHA INICIO REAL]]-AVANCE[[#This Row],[FECHA INICIO TEORICO]])</f>
        <v/>
      </c>
      <c r="BH6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6" spans="1:61" x14ac:dyDescent="0.25">
      <c r="A616" t="s">
        <v>1451</v>
      </c>
      <c r="B616" t="s">
        <v>1458</v>
      </c>
      <c r="C616">
        <v>2302600615</v>
      </c>
      <c r="D616" t="s">
        <v>834</v>
      </c>
      <c r="E616" s="4">
        <v>0</v>
      </c>
      <c r="F616" s="1">
        <v>46447</v>
      </c>
      <c r="G616" s="1"/>
      <c r="H616" s="1">
        <v>0</v>
      </c>
      <c r="I616" s="1">
        <v>46477</v>
      </c>
      <c r="J616">
        <v>46188</v>
      </c>
      <c r="K616" s="1"/>
      <c r="L616" s="7">
        <v>0</v>
      </c>
      <c r="M616" s="7">
        <v>0</v>
      </c>
      <c r="N616" s="7">
        <v>0</v>
      </c>
      <c r="O616" s="7">
        <v>0</v>
      </c>
      <c r="P616" s="7">
        <v>0</v>
      </c>
      <c r="Q616" s="7">
        <v>0</v>
      </c>
      <c r="R616" s="7">
        <v>0</v>
      </c>
      <c r="S616" s="7">
        <v>0</v>
      </c>
      <c r="T616" s="7">
        <v>0</v>
      </c>
      <c r="U616" s="7">
        <v>0</v>
      </c>
      <c r="V616" s="7">
        <v>0</v>
      </c>
      <c r="W616" s="7">
        <v>0</v>
      </c>
      <c r="X616" s="7">
        <v>0</v>
      </c>
      <c r="Y616" s="7">
        <v>0</v>
      </c>
      <c r="Z616" s="7">
        <v>0</v>
      </c>
      <c r="AA616" s="7">
        <v>0</v>
      </c>
      <c r="AB616" s="7">
        <v>0</v>
      </c>
      <c r="AC616" s="7">
        <v>0</v>
      </c>
      <c r="AD616" s="7">
        <v>0</v>
      </c>
      <c r="AE616" s="7">
        <v>0</v>
      </c>
      <c r="AF616" s="7">
        <v>0</v>
      </c>
      <c r="AG616" s="7">
        <v>0</v>
      </c>
      <c r="AH616" s="7">
        <v>0</v>
      </c>
      <c r="AI616" s="7">
        <v>0</v>
      </c>
      <c r="AJ616" s="7">
        <v>0</v>
      </c>
      <c r="AK616" s="7">
        <v>0</v>
      </c>
      <c r="AL616" s="7">
        <v>0</v>
      </c>
      <c r="AM616" s="7">
        <v>0</v>
      </c>
      <c r="AN616" s="7">
        <v>0</v>
      </c>
      <c r="AO616" s="7">
        <v>0</v>
      </c>
      <c r="AP616" s="7">
        <v>0</v>
      </c>
      <c r="AQ616" s="7">
        <v>0</v>
      </c>
      <c r="AR616" s="7">
        <v>0</v>
      </c>
      <c r="AS616" s="7">
        <v>0</v>
      </c>
      <c r="AT616" s="7">
        <v>0</v>
      </c>
      <c r="AU616" s="7">
        <v>0</v>
      </c>
      <c r="AV616" s="7">
        <v>0</v>
      </c>
      <c r="AW616" s="7">
        <v>0</v>
      </c>
      <c r="AX616" s="7">
        <v>0</v>
      </c>
      <c r="AY616" s="7">
        <v>0</v>
      </c>
      <c r="AZ616" s="7">
        <v>0</v>
      </c>
      <c r="BA616" s="7">
        <v>0</v>
      </c>
      <c r="BB616" s="7">
        <v>0</v>
      </c>
      <c r="BC616" s="7">
        <v>0</v>
      </c>
      <c r="BD616">
        <v>0</v>
      </c>
      <c r="BE616">
        <v>31.32</v>
      </c>
      <c r="BF6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6" s="42" t="str">
        <f>+IF(AVANCE[[#This Row],[FECHA INICIO REAL]]="","",AVANCE[[#This Row],[FECHA INICIO REAL]]-AVANCE[[#This Row],[FECHA INICIO TEORICO]])</f>
        <v/>
      </c>
      <c r="BH6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7" spans="1:61" x14ac:dyDescent="0.25">
      <c r="A617" t="s">
        <v>1451</v>
      </c>
      <c r="B617" t="s">
        <v>1459</v>
      </c>
      <c r="C617">
        <v>2282600616</v>
      </c>
      <c r="D617" t="s">
        <v>833</v>
      </c>
      <c r="E617" s="4">
        <v>0</v>
      </c>
      <c r="F617" s="1">
        <v>46447</v>
      </c>
      <c r="G617" s="1"/>
      <c r="H617" s="1">
        <v>0</v>
      </c>
      <c r="I617" s="1">
        <v>46467</v>
      </c>
      <c r="J617">
        <v>46188</v>
      </c>
      <c r="K617" s="1"/>
      <c r="L617" s="7">
        <v>0</v>
      </c>
      <c r="M617" s="7">
        <v>0</v>
      </c>
      <c r="N617" s="7">
        <v>0</v>
      </c>
      <c r="O617" s="7">
        <v>0</v>
      </c>
      <c r="P617" s="7">
        <v>0</v>
      </c>
      <c r="Q617" s="7">
        <v>0</v>
      </c>
      <c r="R617" s="7">
        <v>0</v>
      </c>
      <c r="S617" s="7">
        <v>0</v>
      </c>
      <c r="T617" s="7">
        <v>0</v>
      </c>
      <c r="U617" s="7">
        <v>0</v>
      </c>
      <c r="V617" s="7">
        <v>0</v>
      </c>
      <c r="W617" s="7">
        <v>0</v>
      </c>
      <c r="X617" s="7">
        <v>0</v>
      </c>
      <c r="Y617" s="7">
        <v>0</v>
      </c>
      <c r="Z617" s="7">
        <v>0</v>
      </c>
      <c r="AA617" s="7">
        <v>0</v>
      </c>
      <c r="AB617" s="7">
        <v>0</v>
      </c>
      <c r="AC617" s="7">
        <v>0</v>
      </c>
      <c r="AD617" s="7">
        <v>0</v>
      </c>
      <c r="AE617" s="7">
        <v>0</v>
      </c>
      <c r="AF617" s="7">
        <v>0</v>
      </c>
      <c r="AG617" s="7">
        <v>0</v>
      </c>
      <c r="AH617" s="7">
        <v>0</v>
      </c>
      <c r="AI617" s="7">
        <v>0</v>
      </c>
      <c r="AJ617" s="7">
        <v>0</v>
      </c>
      <c r="AK617" s="7">
        <v>0</v>
      </c>
      <c r="AL617" s="7">
        <v>0</v>
      </c>
      <c r="AM617" s="7">
        <v>0</v>
      </c>
      <c r="AN617" s="7">
        <v>0</v>
      </c>
      <c r="AO617" s="7">
        <v>0</v>
      </c>
      <c r="AP617" s="7">
        <v>0</v>
      </c>
      <c r="AQ617" s="7">
        <v>0</v>
      </c>
      <c r="AR617" s="7">
        <v>0</v>
      </c>
      <c r="AS617" s="7">
        <v>0</v>
      </c>
      <c r="AT617" s="7">
        <v>0</v>
      </c>
      <c r="AU617" s="7">
        <v>0</v>
      </c>
      <c r="AV617" s="7">
        <v>0</v>
      </c>
      <c r="AW617" s="7">
        <v>0</v>
      </c>
      <c r="AX617" s="7">
        <v>0</v>
      </c>
      <c r="AY617" s="7">
        <v>0</v>
      </c>
      <c r="AZ617" s="7">
        <v>0</v>
      </c>
      <c r="BA617" s="7">
        <v>0</v>
      </c>
      <c r="BB617" s="7">
        <v>0</v>
      </c>
      <c r="BC617" s="7">
        <v>0</v>
      </c>
      <c r="BD617">
        <v>0</v>
      </c>
      <c r="BE617">
        <v>28.87</v>
      </c>
      <c r="BF6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7" s="42" t="str">
        <f>+IF(AVANCE[[#This Row],[FECHA INICIO REAL]]="","",AVANCE[[#This Row],[FECHA INICIO REAL]]-AVANCE[[#This Row],[FECHA INICIO TEORICO]])</f>
        <v/>
      </c>
      <c r="BH6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8" spans="1:61" x14ac:dyDescent="0.25">
      <c r="A618" t="s">
        <v>1451</v>
      </c>
      <c r="B618" t="s">
        <v>1460</v>
      </c>
      <c r="C618">
        <v>2282600617</v>
      </c>
      <c r="D618" t="s">
        <v>833</v>
      </c>
      <c r="E618" s="4">
        <v>0</v>
      </c>
      <c r="F618" s="1">
        <v>46448</v>
      </c>
      <c r="G618" s="1"/>
      <c r="H618" s="1">
        <v>0</v>
      </c>
      <c r="I618" s="1">
        <v>46468</v>
      </c>
      <c r="J618">
        <v>46188</v>
      </c>
      <c r="K618" s="1"/>
      <c r="L618" s="7">
        <v>0</v>
      </c>
      <c r="M618" s="7">
        <v>0</v>
      </c>
      <c r="N618" s="7">
        <v>0</v>
      </c>
      <c r="O618" s="7">
        <v>0</v>
      </c>
      <c r="P618" s="7">
        <v>0</v>
      </c>
      <c r="Q618" s="7">
        <v>0</v>
      </c>
      <c r="R618" s="7">
        <v>0</v>
      </c>
      <c r="S618" s="7">
        <v>0</v>
      </c>
      <c r="T618" s="7">
        <v>0</v>
      </c>
      <c r="U618" s="7">
        <v>0</v>
      </c>
      <c r="V618" s="7">
        <v>0</v>
      </c>
      <c r="W618" s="7">
        <v>0</v>
      </c>
      <c r="X618" s="7">
        <v>0</v>
      </c>
      <c r="Y618" s="7">
        <v>0</v>
      </c>
      <c r="Z618" s="7">
        <v>0</v>
      </c>
      <c r="AA618" s="7">
        <v>0</v>
      </c>
      <c r="AB618" s="7">
        <v>0</v>
      </c>
      <c r="AC618" s="7">
        <v>0</v>
      </c>
      <c r="AD618" s="7">
        <v>0</v>
      </c>
      <c r="AE618" s="7">
        <v>0</v>
      </c>
      <c r="AF618" s="7">
        <v>0</v>
      </c>
      <c r="AG618" s="7">
        <v>0</v>
      </c>
      <c r="AH618" s="7">
        <v>0</v>
      </c>
      <c r="AI618" s="7">
        <v>0</v>
      </c>
      <c r="AJ618" s="7">
        <v>0</v>
      </c>
      <c r="AK618" s="7">
        <v>0</v>
      </c>
      <c r="AL618" s="7">
        <v>0</v>
      </c>
      <c r="AM618" s="7">
        <v>0</v>
      </c>
      <c r="AN618" s="7">
        <v>0</v>
      </c>
      <c r="AO618" s="7">
        <v>0</v>
      </c>
      <c r="AP618" s="7">
        <v>0</v>
      </c>
      <c r="AQ618" s="7">
        <v>0</v>
      </c>
      <c r="AR618" s="7">
        <v>0</v>
      </c>
      <c r="AS618" s="7">
        <v>0</v>
      </c>
      <c r="AT618" s="7">
        <v>0</v>
      </c>
      <c r="AU618" s="7">
        <v>0</v>
      </c>
      <c r="AV618" s="7">
        <v>0</v>
      </c>
      <c r="AW618" s="7">
        <v>0</v>
      </c>
      <c r="AX618" s="7">
        <v>0</v>
      </c>
      <c r="AY618" s="7">
        <v>0</v>
      </c>
      <c r="AZ618" s="7">
        <v>0</v>
      </c>
      <c r="BA618" s="7">
        <v>0</v>
      </c>
      <c r="BB618" s="7">
        <v>0</v>
      </c>
      <c r="BC618" s="7">
        <v>0</v>
      </c>
      <c r="BD618">
        <v>0</v>
      </c>
      <c r="BE618">
        <v>28.87</v>
      </c>
      <c r="BF6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8" s="42" t="str">
        <f>+IF(AVANCE[[#This Row],[FECHA INICIO REAL]]="","",AVANCE[[#This Row],[FECHA INICIO REAL]]-AVANCE[[#This Row],[FECHA INICIO TEORICO]])</f>
        <v/>
      </c>
      <c r="BH6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9" spans="1:61" x14ac:dyDescent="0.25">
      <c r="A619" t="s">
        <v>1451</v>
      </c>
      <c r="B619" t="s">
        <v>1461</v>
      </c>
      <c r="C619">
        <v>2302600618</v>
      </c>
      <c r="D619" t="s">
        <v>834</v>
      </c>
      <c r="E619" s="4">
        <v>0</v>
      </c>
      <c r="F619" s="1">
        <v>46448</v>
      </c>
      <c r="G619" s="1"/>
      <c r="H619" s="1">
        <v>0</v>
      </c>
      <c r="I619" s="1">
        <v>46478</v>
      </c>
      <c r="J619">
        <v>46188</v>
      </c>
      <c r="K619" s="1"/>
      <c r="L619" s="7">
        <v>0</v>
      </c>
      <c r="M619" s="7">
        <v>0</v>
      </c>
      <c r="N619" s="7">
        <v>0</v>
      </c>
      <c r="O619" s="7">
        <v>0</v>
      </c>
      <c r="P619" s="7">
        <v>0</v>
      </c>
      <c r="Q619" s="7">
        <v>0</v>
      </c>
      <c r="R619" s="7">
        <v>0</v>
      </c>
      <c r="S619" s="7">
        <v>0</v>
      </c>
      <c r="T619" s="7">
        <v>0</v>
      </c>
      <c r="U619" s="7">
        <v>0</v>
      </c>
      <c r="V619" s="7">
        <v>0</v>
      </c>
      <c r="W619" s="7">
        <v>0</v>
      </c>
      <c r="X619" s="7">
        <v>0</v>
      </c>
      <c r="Y619" s="7">
        <v>0</v>
      </c>
      <c r="Z619" s="7">
        <v>0</v>
      </c>
      <c r="AA619" s="7">
        <v>0</v>
      </c>
      <c r="AB619" s="7">
        <v>0</v>
      </c>
      <c r="AC619" s="7">
        <v>0</v>
      </c>
      <c r="AD619" s="7">
        <v>0</v>
      </c>
      <c r="AE619" s="7">
        <v>0</v>
      </c>
      <c r="AF619" s="7">
        <v>0</v>
      </c>
      <c r="AG619" s="7">
        <v>0</v>
      </c>
      <c r="AH619" s="7">
        <v>0</v>
      </c>
      <c r="AI619" s="7">
        <v>0</v>
      </c>
      <c r="AJ619" s="7">
        <v>0</v>
      </c>
      <c r="AK619" s="7">
        <v>0</v>
      </c>
      <c r="AL619" s="7">
        <v>0</v>
      </c>
      <c r="AM619" s="7">
        <v>0</v>
      </c>
      <c r="AN619" s="7">
        <v>0</v>
      </c>
      <c r="AO619" s="7">
        <v>0</v>
      </c>
      <c r="AP619" s="7">
        <v>0</v>
      </c>
      <c r="AQ619" s="7">
        <v>0</v>
      </c>
      <c r="AR619" s="7">
        <v>0</v>
      </c>
      <c r="AS619" s="7">
        <v>0</v>
      </c>
      <c r="AT619" s="7">
        <v>0</v>
      </c>
      <c r="AU619" s="7">
        <v>0</v>
      </c>
      <c r="AV619" s="7">
        <v>0</v>
      </c>
      <c r="AW619" s="7">
        <v>0</v>
      </c>
      <c r="AX619" s="7">
        <v>0</v>
      </c>
      <c r="AY619" s="7">
        <v>0</v>
      </c>
      <c r="AZ619" s="7">
        <v>0</v>
      </c>
      <c r="BA619" s="7">
        <v>0</v>
      </c>
      <c r="BB619" s="7">
        <v>0</v>
      </c>
      <c r="BC619" s="7">
        <v>0</v>
      </c>
      <c r="BD619">
        <v>0</v>
      </c>
      <c r="BE619">
        <v>31.32</v>
      </c>
      <c r="BF6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9" s="42" t="str">
        <f>+IF(AVANCE[[#This Row],[FECHA INICIO REAL]]="","",AVANCE[[#This Row],[FECHA INICIO REAL]]-AVANCE[[#This Row],[FECHA INICIO TEORICO]])</f>
        <v/>
      </c>
      <c r="BH6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0" spans="1:61" x14ac:dyDescent="0.25">
      <c r="A620" t="s">
        <v>1451</v>
      </c>
      <c r="B620" t="s">
        <v>1462</v>
      </c>
      <c r="C620">
        <v>2302600619</v>
      </c>
      <c r="D620" t="s">
        <v>834</v>
      </c>
      <c r="E620" s="4">
        <v>0</v>
      </c>
      <c r="F620" s="1">
        <v>46448</v>
      </c>
      <c r="G620" s="1"/>
      <c r="H620" s="1">
        <v>0</v>
      </c>
      <c r="I620" s="1">
        <v>46478</v>
      </c>
      <c r="J620">
        <v>46188</v>
      </c>
      <c r="K620" s="1"/>
      <c r="L620" s="7">
        <v>0</v>
      </c>
      <c r="M620" s="7">
        <v>0</v>
      </c>
      <c r="N620" s="7">
        <v>0</v>
      </c>
      <c r="O620" s="7">
        <v>0</v>
      </c>
      <c r="P620" s="7">
        <v>0</v>
      </c>
      <c r="Q620" s="7">
        <v>0</v>
      </c>
      <c r="R620" s="7">
        <v>0</v>
      </c>
      <c r="S620" s="7">
        <v>0</v>
      </c>
      <c r="T620" s="7">
        <v>0</v>
      </c>
      <c r="U620" s="7">
        <v>0</v>
      </c>
      <c r="V620" s="7">
        <v>0</v>
      </c>
      <c r="W620" s="7">
        <v>0</v>
      </c>
      <c r="X620" s="7">
        <v>0</v>
      </c>
      <c r="Y620" s="7">
        <v>0</v>
      </c>
      <c r="Z620" s="7">
        <v>0</v>
      </c>
      <c r="AA620" s="7">
        <v>0</v>
      </c>
      <c r="AB620" s="7">
        <v>0</v>
      </c>
      <c r="AC620" s="7">
        <v>0</v>
      </c>
      <c r="AD620" s="7">
        <v>0</v>
      </c>
      <c r="AE620" s="7">
        <v>0</v>
      </c>
      <c r="AF620" s="7">
        <v>0</v>
      </c>
      <c r="AG620" s="7">
        <v>0</v>
      </c>
      <c r="AH620" s="7">
        <v>0</v>
      </c>
      <c r="AI620" s="7">
        <v>0</v>
      </c>
      <c r="AJ620" s="7">
        <v>0</v>
      </c>
      <c r="AK620" s="7">
        <v>0</v>
      </c>
      <c r="AL620" s="7">
        <v>0</v>
      </c>
      <c r="AM620" s="7">
        <v>0</v>
      </c>
      <c r="AN620" s="7">
        <v>0</v>
      </c>
      <c r="AO620" s="7">
        <v>0</v>
      </c>
      <c r="AP620" s="7">
        <v>0</v>
      </c>
      <c r="AQ620" s="7">
        <v>0</v>
      </c>
      <c r="AR620" s="7">
        <v>0</v>
      </c>
      <c r="AS620" s="7">
        <v>0</v>
      </c>
      <c r="AT620" s="7">
        <v>0</v>
      </c>
      <c r="AU620" s="7">
        <v>0</v>
      </c>
      <c r="AV620" s="7">
        <v>0</v>
      </c>
      <c r="AW620" s="7">
        <v>0</v>
      </c>
      <c r="AX620" s="7">
        <v>0</v>
      </c>
      <c r="AY620" s="7">
        <v>0</v>
      </c>
      <c r="AZ620" s="7">
        <v>0</v>
      </c>
      <c r="BA620" s="7">
        <v>0</v>
      </c>
      <c r="BB620" s="7">
        <v>0</v>
      </c>
      <c r="BC620" s="7">
        <v>0</v>
      </c>
      <c r="BD620">
        <v>0</v>
      </c>
      <c r="BE620">
        <v>31.32</v>
      </c>
      <c r="BF6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0" s="42" t="str">
        <f>+IF(AVANCE[[#This Row],[FECHA INICIO REAL]]="","",AVANCE[[#This Row],[FECHA INICIO REAL]]-AVANCE[[#This Row],[FECHA INICIO TEORICO]])</f>
        <v/>
      </c>
      <c r="BH6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1" spans="1:61" x14ac:dyDescent="0.25">
      <c r="A621" t="s">
        <v>1451</v>
      </c>
      <c r="B621" t="s">
        <v>1463</v>
      </c>
      <c r="C621">
        <v>2282600620</v>
      </c>
      <c r="D621" t="s">
        <v>833</v>
      </c>
      <c r="E621" s="4">
        <v>0</v>
      </c>
      <c r="F621" s="1">
        <v>46449</v>
      </c>
      <c r="G621" s="1"/>
      <c r="H621" s="1">
        <v>0</v>
      </c>
      <c r="I621" s="1">
        <v>46469</v>
      </c>
      <c r="J621">
        <v>46188</v>
      </c>
      <c r="K621" s="1"/>
      <c r="L621" s="7">
        <v>0</v>
      </c>
      <c r="M621" s="7">
        <v>0</v>
      </c>
      <c r="N621" s="7">
        <v>0</v>
      </c>
      <c r="O621" s="7">
        <v>0</v>
      </c>
      <c r="P621" s="7">
        <v>0</v>
      </c>
      <c r="Q621" s="7">
        <v>0</v>
      </c>
      <c r="R621" s="7">
        <v>0</v>
      </c>
      <c r="S621" s="7">
        <v>0</v>
      </c>
      <c r="T621" s="7">
        <v>0</v>
      </c>
      <c r="U621" s="7">
        <v>0</v>
      </c>
      <c r="V621" s="7">
        <v>0</v>
      </c>
      <c r="W621" s="7">
        <v>0</v>
      </c>
      <c r="X621" s="7">
        <v>0</v>
      </c>
      <c r="Y621" s="7">
        <v>0</v>
      </c>
      <c r="Z621" s="7">
        <v>0</v>
      </c>
      <c r="AA621" s="7">
        <v>0</v>
      </c>
      <c r="AB621" s="7">
        <v>0</v>
      </c>
      <c r="AC621" s="7">
        <v>0</v>
      </c>
      <c r="AD621" s="7">
        <v>0</v>
      </c>
      <c r="AE621" s="7">
        <v>0</v>
      </c>
      <c r="AF621" s="7">
        <v>0</v>
      </c>
      <c r="AG621" s="7">
        <v>0</v>
      </c>
      <c r="AH621" s="7">
        <v>0</v>
      </c>
      <c r="AI621" s="7">
        <v>0</v>
      </c>
      <c r="AJ621" s="7">
        <v>0</v>
      </c>
      <c r="AK621" s="7">
        <v>0</v>
      </c>
      <c r="AL621" s="7">
        <v>0</v>
      </c>
      <c r="AM621" s="7">
        <v>0</v>
      </c>
      <c r="AN621" s="7">
        <v>0</v>
      </c>
      <c r="AO621" s="7">
        <v>0</v>
      </c>
      <c r="AP621" s="7">
        <v>0</v>
      </c>
      <c r="AQ621" s="7">
        <v>0</v>
      </c>
      <c r="AR621" s="7">
        <v>0</v>
      </c>
      <c r="AS621" s="7">
        <v>0</v>
      </c>
      <c r="AT621" s="7">
        <v>0</v>
      </c>
      <c r="AU621" s="7">
        <v>0</v>
      </c>
      <c r="AV621" s="7">
        <v>0</v>
      </c>
      <c r="AW621" s="7">
        <v>0</v>
      </c>
      <c r="AX621" s="7">
        <v>0</v>
      </c>
      <c r="AY621" s="7">
        <v>0</v>
      </c>
      <c r="AZ621" s="7">
        <v>0</v>
      </c>
      <c r="BA621" s="7">
        <v>0</v>
      </c>
      <c r="BB621" s="7">
        <v>0</v>
      </c>
      <c r="BC621" s="7">
        <v>0</v>
      </c>
      <c r="BD621">
        <v>0</v>
      </c>
      <c r="BE621">
        <v>28.87</v>
      </c>
      <c r="BF6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1" s="42" t="str">
        <f>+IF(AVANCE[[#This Row],[FECHA INICIO REAL]]="","",AVANCE[[#This Row],[FECHA INICIO REAL]]-AVANCE[[#This Row],[FECHA INICIO TEORICO]])</f>
        <v/>
      </c>
      <c r="BH6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2" spans="1:61" x14ac:dyDescent="0.25">
      <c r="A622" t="s">
        <v>1451</v>
      </c>
      <c r="B622" t="s">
        <v>1464</v>
      </c>
      <c r="C622">
        <v>2282600621</v>
      </c>
      <c r="D622" t="s">
        <v>833</v>
      </c>
      <c r="E622" s="4">
        <v>0</v>
      </c>
      <c r="F622" s="1">
        <v>46449</v>
      </c>
      <c r="G622" s="1"/>
      <c r="H622" s="1">
        <v>0</v>
      </c>
      <c r="I622" s="1">
        <v>46469</v>
      </c>
      <c r="J622">
        <v>46188</v>
      </c>
      <c r="K622" s="1"/>
      <c r="L622" s="7">
        <v>0</v>
      </c>
      <c r="M622" s="7">
        <v>0</v>
      </c>
      <c r="N622" s="7">
        <v>0</v>
      </c>
      <c r="O622" s="7">
        <v>0</v>
      </c>
      <c r="P622" s="7">
        <v>0</v>
      </c>
      <c r="Q622" s="7">
        <v>0</v>
      </c>
      <c r="R622" s="7">
        <v>0</v>
      </c>
      <c r="S622" s="7">
        <v>0</v>
      </c>
      <c r="T622" s="7">
        <v>0</v>
      </c>
      <c r="U622" s="7">
        <v>0</v>
      </c>
      <c r="V622" s="7">
        <v>0</v>
      </c>
      <c r="W622" s="7">
        <v>0</v>
      </c>
      <c r="X622" s="7">
        <v>0</v>
      </c>
      <c r="Y622" s="7">
        <v>0</v>
      </c>
      <c r="Z622" s="7">
        <v>0</v>
      </c>
      <c r="AA622" s="7">
        <v>0</v>
      </c>
      <c r="AB622" s="7">
        <v>0</v>
      </c>
      <c r="AC622" s="7">
        <v>0</v>
      </c>
      <c r="AD622" s="7">
        <v>0</v>
      </c>
      <c r="AE622" s="7">
        <v>0</v>
      </c>
      <c r="AF622" s="7">
        <v>0</v>
      </c>
      <c r="AG622" s="7">
        <v>0</v>
      </c>
      <c r="AH622" s="7">
        <v>0</v>
      </c>
      <c r="AI622" s="7">
        <v>0</v>
      </c>
      <c r="AJ622" s="7">
        <v>0</v>
      </c>
      <c r="AK622" s="7">
        <v>0</v>
      </c>
      <c r="AL622" s="7">
        <v>0</v>
      </c>
      <c r="AM622" s="7">
        <v>0</v>
      </c>
      <c r="AN622" s="7">
        <v>0</v>
      </c>
      <c r="AO622" s="7">
        <v>0</v>
      </c>
      <c r="AP622" s="7">
        <v>0</v>
      </c>
      <c r="AQ622" s="7">
        <v>0</v>
      </c>
      <c r="AR622" s="7">
        <v>0</v>
      </c>
      <c r="AS622" s="7">
        <v>0</v>
      </c>
      <c r="AT622" s="7">
        <v>0</v>
      </c>
      <c r="AU622" s="7">
        <v>0</v>
      </c>
      <c r="AV622" s="7">
        <v>0</v>
      </c>
      <c r="AW622" s="7">
        <v>0</v>
      </c>
      <c r="AX622" s="7">
        <v>0</v>
      </c>
      <c r="AY622" s="7">
        <v>0</v>
      </c>
      <c r="AZ622" s="7">
        <v>0</v>
      </c>
      <c r="BA622" s="7">
        <v>0</v>
      </c>
      <c r="BB622" s="7">
        <v>0</v>
      </c>
      <c r="BC622" s="7">
        <v>0</v>
      </c>
      <c r="BD622">
        <v>0</v>
      </c>
      <c r="BE622">
        <v>28.87</v>
      </c>
      <c r="BF6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2" s="42" t="str">
        <f>+IF(AVANCE[[#This Row],[FECHA INICIO REAL]]="","",AVANCE[[#This Row],[FECHA INICIO REAL]]-AVANCE[[#This Row],[FECHA INICIO TEORICO]])</f>
        <v/>
      </c>
      <c r="BH6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3" spans="1:61" x14ac:dyDescent="0.25">
      <c r="A623" t="s">
        <v>1451</v>
      </c>
      <c r="B623" t="s">
        <v>1465</v>
      </c>
      <c r="C623">
        <v>2302600622</v>
      </c>
      <c r="D623" t="s">
        <v>834</v>
      </c>
      <c r="E623" s="4">
        <v>0</v>
      </c>
      <c r="F623" s="1">
        <v>46449</v>
      </c>
      <c r="G623" s="1"/>
      <c r="H623" s="1">
        <v>0</v>
      </c>
      <c r="I623" s="1">
        <v>46479</v>
      </c>
      <c r="J623">
        <v>46188</v>
      </c>
      <c r="K623" s="1"/>
      <c r="L623" s="7">
        <v>0</v>
      </c>
      <c r="M623" s="7">
        <v>0</v>
      </c>
      <c r="N623" s="7">
        <v>0</v>
      </c>
      <c r="O623" s="7">
        <v>0</v>
      </c>
      <c r="P623" s="7">
        <v>0</v>
      </c>
      <c r="Q623" s="7">
        <v>0</v>
      </c>
      <c r="R623" s="7">
        <v>0</v>
      </c>
      <c r="S623" s="7">
        <v>0</v>
      </c>
      <c r="T623" s="7">
        <v>0</v>
      </c>
      <c r="U623" s="7">
        <v>0</v>
      </c>
      <c r="V623" s="7">
        <v>0</v>
      </c>
      <c r="W623" s="7">
        <v>0</v>
      </c>
      <c r="X623" s="7">
        <v>0</v>
      </c>
      <c r="Y623" s="7">
        <v>0</v>
      </c>
      <c r="Z623" s="7">
        <v>0</v>
      </c>
      <c r="AA623" s="7">
        <v>0</v>
      </c>
      <c r="AB623" s="7">
        <v>0</v>
      </c>
      <c r="AC623" s="7">
        <v>0</v>
      </c>
      <c r="AD623" s="7">
        <v>0</v>
      </c>
      <c r="AE623" s="7">
        <v>0</v>
      </c>
      <c r="AF623" s="7">
        <v>0</v>
      </c>
      <c r="AG623" s="7">
        <v>0</v>
      </c>
      <c r="AH623" s="7">
        <v>0</v>
      </c>
      <c r="AI623" s="7">
        <v>0</v>
      </c>
      <c r="AJ623" s="7">
        <v>0</v>
      </c>
      <c r="AK623" s="7">
        <v>0</v>
      </c>
      <c r="AL623" s="7">
        <v>0</v>
      </c>
      <c r="AM623" s="7">
        <v>0</v>
      </c>
      <c r="AN623" s="7">
        <v>0</v>
      </c>
      <c r="AO623" s="7">
        <v>0</v>
      </c>
      <c r="AP623" s="7">
        <v>0</v>
      </c>
      <c r="AQ623" s="7">
        <v>0</v>
      </c>
      <c r="AR623" s="7">
        <v>0</v>
      </c>
      <c r="AS623" s="7">
        <v>0</v>
      </c>
      <c r="AT623" s="7">
        <v>0</v>
      </c>
      <c r="AU623" s="7">
        <v>0</v>
      </c>
      <c r="AV623" s="7">
        <v>0</v>
      </c>
      <c r="AW623" s="7">
        <v>0</v>
      </c>
      <c r="AX623" s="7">
        <v>0</v>
      </c>
      <c r="AY623" s="7">
        <v>0</v>
      </c>
      <c r="AZ623" s="7">
        <v>0</v>
      </c>
      <c r="BA623" s="7">
        <v>0</v>
      </c>
      <c r="BB623" s="7">
        <v>0</v>
      </c>
      <c r="BC623" s="7">
        <v>0</v>
      </c>
      <c r="BD623">
        <v>0</v>
      </c>
      <c r="BE623">
        <v>31.32</v>
      </c>
      <c r="BF6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3" s="42" t="str">
        <f>+IF(AVANCE[[#This Row],[FECHA INICIO REAL]]="","",AVANCE[[#This Row],[FECHA INICIO REAL]]-AVANCE[[#This Row],[FECHA INICIO TEORICO]])</f>
        <v/>
      </c>
      <c r="BH6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4" spans="1:61" x14ac:dyDescent="0.25">
      <c r="A624" t="s">
        <v>1451</v>
      </c>
      <c r="B624" t="s">
        <v>1466</v>
      </c>
      <c r="C624">
        <v>2302600623</v>
      </c>
      <c r="D624" t="s">
        <v>834</v>
      </c>
      <c r="E624" s="4">
        <v>0</v>
      </c>
      <c r="F624" s="1">
        <v>46450</v>
      </c>
      <c r="G624" s="1"/>
      <c r="H624" s="1">
        <v>0</v>
      </c>
      <c r="I624" s="1">
        <v>46480</v>
      </c>
      <c r="J624">
        <v>46188</v>
      </c>
      <c r="K624" s="1"/>
      <c r="L624" s="7">
        <v>0</v>
      </c>
      <c r="M624" s="7">
        <v>0</v>
      </c>
      <c r="N624" s="7">
        <v>0</v>
      </c>
      <c r="O624" s="7">
        <v>0</v>
      </c>
      <c r="P624" s="7">
        <v>0</v>
      </c>
      <c r="Q624" s="7">
        <v>0</v>
      </c>
      <c r="R624" s="7">
        <v>0</v>
      </c>
      <c r="S624" s="7">
        <v>0</v>
      </c>
      <c r="T624" s="7">
        <v>0</v>
      </c>
      <c r="U624" s="7">
        <v>0</v>
      </c>
      <c r="V624" s="7">
        <v>0</v>
      </c>
      <c r="W624" s="7">
        <v>0</v>
      </c>
      <c r="X624" s="7">
        <v>0</v>
      </c>
      <c r="Y624" s="7">
        <v>0</v>
      </c>
      <c r="Z624" s="7">
        <v>0</v>
      </c>
      <c r="AA624" s="7">
        <v>0</v>
      </c>
      <c r="AB624" s="7">
        <v>0</v>
      </c>
      <c r="AC624" s="7">
        <v>0</v>
      </c>
      <c r="AD624" s="7">
        <v>0</v>
      </c>
      <c r="AE624" s="7">
        <v>0</v>
      </c>
      <c r="AF624" s="7">
        <v>0</v>
      </c>
      <c r="AG624" s="7">
        <v>0</v>
      </c>
      <c r="AH624" s="7">
        <v>0</v>
      </c>
      <c r="AI624" s="7">
        <v>0</v>
      </c>
      <c r="AJ624" s="7">
        <v>0</v>
      </c>
      <c r="AK624" s="7">
        <v>0</v>
      </c>
      <c r="AL624" s="7">
        <v>0</v>
      </c>
      <c r="AM624" s="7">
        <v>0</v>
      </c>
      <c r="AN624" s="7">
        <v>0</v>
      </c>
      <c r="AO624" s="7">
        <v>0</v>
      </c>
      <c r="AP624" s="7">
        <v>0</v>
      </c>
      <c r="AQ624" s="7">
        <v>0</v>
      </c>
      <c r="AR624" s="7">
        <v>0</v>
      </c>
      <c r="AS624" s="7">
        <v>0</v>
      </c>
      <c r="AT624" s="7">
        <v>0</v>
      </c>
      <c r="AU624" s="7">
        <v>0</v>
      </c>
      <c r="AV624" s="7">
        <v>0</v>
      </c>
      <c r="AW624" s="7">
        <v>0</v>
      </c>
      <c r="AX624" s="7">
        <v>0</v>
      </c>
      <c r="AY624" s="7">
        <v>0</v>
      </c>
      <c r="AZ624" s="7">
        <v>0</v>
      </c>
      <c r="BA624" s="7">
        <v>0</v>
      </c>
      <c r="BB624" s="7">
        <v>0</v>
      </c>
      <c r="BC624" s="7">
        <v>0</v>
      </c>
      <c r="BD624">
        <v>0</v>
      </c>
      <c r="BE624">
        <v>31.32</v>
      </c>
      <c r="BF6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4" s="42" t="str">
        <f>+IF(AVANCE[[#This Row],[FECHA INICIO REAL]]="","",AVANCE[[#This Row],[FECHA INICIO REAL]]-AVANCE[[#This Row],[FECHA INICIO TEORICO]])</f>
        <v/>
      </c>
      <c r="BH6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5" spans="1:61" x14ac:dyDescent="0.25">
      <c r="A625" t="s">
        <v>1451</v>
      </c>
      <c r="B625" t="s">
        <v>1467</v>
      </c>
      <c r="C625">
        <v>2282600624</v>
      </c>
      <c r="D625" t="s">
        <v>833</v>
      </c>
      <c r="E625" s="4">
        <v>0</v>
      </c>
      <c r="F625" s="1">
        <v>46450</v>
      </c>
      <c r="G625" s="1"/>
      <c r="H625" s="1">
        <v>0</v>
      </c>
      <c r="I625" s="1">
        <v>46470</v>
      </c>
      <c r="J625">
        <v>46188</v>
      </c>
      <c r="K625" s="1"/>
      <c r="L625" s="7">
        <v>0</v>
      </c>
      <c r="M625" s="7">
        <v>0</v>
      </c>
      <c r="N625" s="7">
        <v>0</v>
      </c>
      <c r="O625" s="7">
        <v>0</v>
      </c>
      <c r="P625" s="7">
        <v>0</v>
      </c>
      <c r="Q625" s="7">
        <v>0</v>
      </c>
      <c r="R625" s="7">
        <v>0</v>
      </c>
      <c r="S625" s="7">
        <v>0</v>
      </c>
      <c r="T625" s="7">
        <v>0</v>
      </c>
      <c r="U625" s="7">
        <v>0</v>
      </c>
      <c r="V625" s="7">
        <v>0</v>
      </c>
      <c r="W625" s="7">
        <v>0</v>
      </c>
      <c r="X625" s="7">
        <v>0</v>
      </c>
      <c r="Y625" s="7">
        <v>0</v>
      </c>
      <c r="Z625" s="7">
        <v>0</v>
      </c>
      <c r="AA625" s="7">
        <v>0</v>
      </c>
      <c r="AB625" s="7">
        <v>0</v>
      </c>
      <c r="AC625" s="7">
        <v>0</v>
      </c>
      <c r="AD625" s="7">
        <v>0</v>
      </c>
      <c r="AE625" s="7">
        <v>0</v>
      </c>
      <c r="AF625" s="7">
        <v>0</v>
      </c>
      <c r="AG625" s="7">
        <v>0</v>
      </c>
      <c r="AH625" s="7">
        <v>0</v>
      </c>
      <c r="AI625" s="7">
        <v>0</v>
      </c>
      <c r="AJ625" s="7">
        <v>0</v>
      </c>
      <c r="AK625" s="7">
        <v>0</v>
      </c>
      <c r="AL625" s="7">
        <v>0</v>
      </c>
      <c r="AM625" s="7">
        <v>0</v>
      </c>
      <c r="AN625" s="7">
        <v>0</v>
      </c>
      <c r="AO625" s="7">
        <v>0</v>
      </c>
      <c r="AP625" s="7">
        <v>0</v>
      </c>
      <c r="AQ625" s="7">
        <v>0</v>
      </c>
      <c r="AR625" s="7">
        <v>0</v>
      </c>
      <c r="AS625" s="7">
        <v>0</v>
      </c>
      <c r="AT625" s="7">
        <v>0</v>
      </c>
      <c r="AU625" s="7">
        <v>0</v>
      </c>
      <c r="AV625" s="7">
        <v>0</v>
      </c>
      <c r="AW625" s="7">
        <v>0</v>
      </c>
      <c r="AX625" s="7">
        <v>0</v>
      </c>
      <c r="AY625" s="7">
        <v>0</v>
      </c>
      <c r="AZ625" s="7">
        <v>0</v>
      </c>
      <c r="BA625" s="7">
        <v>0</v>
      </c>
      <c r="BB625" s="7">
        <v>0</v>
      </c>
      <c r="BC625" s="7">
        <v>0</v>
      </c>
      <c r="BD625">
        <v>0</v>
      </c>
      <c r="BE625">
        <v>28.87</v>
      </c>
      <c r="BF6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5" s="42" t="str">
        <f>+IF(AVANCE[[#This Row],[FECHA INICIO REAL]]="","",AVANCE[[#This Row],[FECHA INICIO REAL]]-AVANCE[[#This Row],[FECHA INICIO TEORICO]])</f>
        <v/>
      </c>
      <c r="BH6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6" spans="1:61" x14ac:dyDescent="0.25">
      <c r="A626" t="s">
        <v>1451</v>
      </c>
      <c r="B626" t="s">
        <v>1468</v>
      </c>
      <c r="C626">
        <v>2282600625</v>
      </c>
      <c r="D626" t="s">
        <v>833</v>
      </c>
      <c r="E626" s="4">
        <v>0</v>
      </c>
      <c r="F626" s="1">
        <v>46450</v>
      </c>
      <c r="G626" s="1"/>
      <c r="H626" s="1">
        <v>0</v>
      </c>
      <c r="I626" s="1">
        <v>46470</v>
      </c>
      <c r="J626">
        <v>46188</v>
      </c>
      <c r="K626" s="1"/>
      <c r="L626" s="7">
        <v>0</v>
      </c>
      <c r="M626" s="7">
        <v>0</v>
      </c>
      <c r="N626" s="7">
        <v>0</v>
      </c>
      <c r="O626" s="7">
        <v>0</v>
      </c>
      <c r="P626" s="7">
        <v>0</v>
      </c>
      <c r="Q626" s="7">
        <v>0</v>
      </c>
      <c r="R626" s="7">
        <v>0</v>
      </c>
      <c r="S626" s="7">
        <v>0</v>
      </c>
      <c r="T626" s="7">
        <v>0</v>
      </c>
      <c r="U626" s="7">
        <v>0</v>
      </c>
      <c r="V626" s="7">
        <v>0</v>
      </c>
      <c r="W626" s="7">
        <v>0</v>
      </c>
      <c r="X626" s="7">
        <v>0</v>
      </c>
      <c r="Y626" s="7">
        <v>0</v>
      </c>
      <c r="Z626" s="7">
        <v>0</v>
      </c>
      <c r="AA626" s="7">
        <v>0</v>
      </c>
      <c r="AB626" s="7">
        <v>0</v>
      </c>
      <c r="AC626" s="7">
        <v>0</v>
      </c>
      <c r="AD626" s="7">
        <v>0</v>
      </c>
      <c r="AE626" s="7">
        <v>0</v>
      </c>
      <c r="AF626" s="7">
        <v>0</v>
      </c>
      <c r="AG626" s="7">
        <v>0</v>
      </c>
      <c r="AH626" s="7">
        <v>0</v>
      </c>
      <c r="AI626" s="7">
        <v>0</v>
      </c>
      <c r="AJ626" s="7">
        <v>0</v>
      </c>
      <c r="AK626" s="7">
        <v>0</v>
      </c>
      <c r="AL626" s="7">
        <v>0</v>
      </c>
      <c r="AM626" s="7">
        <v>0</v>
      </c>
      <c r="AN626" s="7">
        <v>0</v>
      </c>
      <c r="AO626" s="7">
        <v>0</v>
      </c>
      <c r="AP626" s="7">
        <v>0</v>
      </c>
      <c r="AQ626" s="7">
        <v>0</v>
      </c>
      <c r="AR626" s="7">
        <v>0</v>
      </c>
      <c r="AS626" s="7">
        <v>0</v>
      </c>
      <c r="AT626" s="7">
        <v>0</v>
      </c>
      <c r="AU626" s="7">
        <v>0</v>
      </c>
      <c r="AV626" s="7">
        <v>0</v>
      </c>
      <c r="AW626" s="7">
        <v>0</v>
      </c>
      <c r="AX626" s="7">
        <v>0</v>
      </c>
      <c r="AY626" s="7">
        <v>0</v>
      </c>
      <c r="AZ626" s="7">
        <v>0</v>
      </c>
      <c r="BA626" s="7">
        <v>0</v>
      </c>
      <c r="BB626" s="7">
        <v>0</v>
      </c>
      <c r="BC626" s="7">
        <v>0</v>
      </c>
      <c r="BD626">
        <v>0</v>
      </c>
      <c r="BE626">
        <v>28.87</v>
      </c>
      <c r="BF6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6" s="42" t="str">
        <f>+IF(AVANCE[[#This Row],[FECHA INICIO REAL]]="","",AVANCE[[#This Row],[FECHA INICIO REAL]]-AVANCE[[#This Row],[FECHA INICIO TEORICO]])</f>
        <v/>
      </c>
      <c r="BH6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7" spans="1:61" x14ac:dyDescent="0.25">
      <c r="A627" t="s">
        <v>1451</v>
      </c>
      <c r="B627" t="s">
        <v>1469</v>
      </c>
      <c r="C627">
        <v>2302600626</v>
      </c>
      <c r="D627" t="s">
        <v>834</v>
      </c>
      <c r="E627" s="4">
        <v>0</v>
      </c>
      <c r="F627" s="1">
        <v>46451</v>
      </c>
      <c r="G627" s="1"/>
      <c r="H627" s="1">
        <v>0</v>
      </c>
      <c r="I627" s="1">
        <v>46481</v>
      </c>
      <c r="J627">
        <v>46188</v>
      </c>
      <c r="K627" s="1"/>
      <c r="L627" s="7">
        <v>0</v>
      </c>
      <c r="M627" s="7">
        <v>0</v>
      </c>
      <c r="N627" s="7">
        <v>0</v>
      </c>
      <c r="O627" s="7">
        <v>0</v>
      </c>
      <c r="P627" s="7">
        <v>0</v>
      </c>
      <c r="Q627" s="7">
        <v>0</v>
      </c>
      <c r="R627" s="7">
        <v>0</v>
      </c>
      <c r="S627" s="7">
        <v>0</v>
      </c>
      <c r="T627" s="7">
        <v>0</v>
      </c>
      <c r="U627" s="7">
        <v>0</v>
      </c>
      <c r="V627" s="7">
        <v>0</v>
      </c>
      <c r="W627" s="7">
        <v>0</v>
      </c>
      <c r="X627" s="7">
        <v>0</v>
      </c>
      <c r="Y627" s="7">
        <v>0</v>
      </c>
      <c r="Z627" s="7">
        <v>0</v>
      </c>
      <c r="AA627" s="7">
        <v>0</v>
      </c>
      <c r="AB627" s="7">
        <v>0</v>
      </c>
      <c r="AC627" s="7">
        <v>0</v>
      </c>
      <c r="AD627" s="7">
        <v>0</v>
      </c>
      <c r="AE627" s="7">
        <v>0</v>
      </c>
      <c r="AF627" s="7">
        <v>0</v>
      </c>
      <c r="AG627" s="7">
        <v>0</v>
      </c>
      <c r="AH627" s="7">
        <v>0</v>
      </c>
      <c r="AI627" s="7">
        <v>0</v>
      </c>
      <c r="AJ627" s="7">
        <v>0</v>
      </c>
      <c r="AK627" s="7">
        <v>0</v>
      </c>
      <c r="AL627" s="7">
        <v>0</v>
      </c>
      <c r="AM627" s="7">
        <v>0</v>
      </c>
      <c r="AN627" s="7">
        <v>0</v>
      </c>
      <c r="AO627" s="7">
        <v>0</v>
      </c>
      <c r="AP627" s="7">
        <v>0</v>
      </c>
      <c r="AQ627" s="7">
        <v>0</v>
      </c>
      <c r="AR627" s="7">
        <v>0</v>
      </c>
      <c r="AS627" s="7">
        <v>0</v>
      </c>
      <c r="AT627" s="7">
        <v>0</v>
      </c>
      <c r="AU627" s="7">
        <v>0</v>
      </c>
      <c r="AV627" s="7">
        <v>0</v>
      </c>
      <c r="AW627" s="7">
        <v>0</v>
      </c>
      <c r="AX627" s="7">
        <v>0</v>
      </c>
      <c r="AY627" s="7">
        <v>0</v>
      </c>
      <c r="AZ627" s="7">
        <v>0</v>
      </c>
      <c r="BA627" s="7">
        <v>0</v>
      </c>
      <c r="BB627" s="7">
        <v>0</v>
      </c>
      <c r="BC627" s="7">
        <v>0</v>
      </c>
      <c r="BD627">
        <v>0</v>
      </c>
      <c r="BE627">
        <v>31.32</v>
      </c>
      <c r="BF6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7" s="42" t="str">
        <f>+IF(AVANCE[[#This Row],[FECHA INICIO REAL]]="","",AVANCE[[#This Row],[FECHA INICIO REAL]]-AVANCE[[#This Row],[FECHA INICIO TEORICO]])</f>
        <v/>
      </c>
      <c r="BH6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8" spans="1:61" x14ac:dyDescent="0.25">
      <c r="A628" t="s">
        <v>1451</v>
      </c>
      <c r="B628" t="s">
        <v>1470</v>
      </c>
      <c r="C628">
        <v>2302600627</v>
      </c>
      <c r="D628" t="s">
        <v>834</v>
      </c>
      <c r="E628" s="4">
        <v>0</v>
      </c>
      <c r="F628" s="1">
        <v>46451</v>
      </c>
      <c r="G628" s="1"/>
      <c r="H628" s="1">
        <v>0</v>
      </c>
      <c r="I628" s="1">
        <v>46481</v>
      </c>
      <c r="J628">
        <v>46188</v>
      </c>
      <c r="K628" s="1"/>
      <c r="L628" s="7">
        <v>0</v>
      </c>
      <c r="M628" s="7">
        <v>0</v>
      </c>
      <c r="N628" s="7">
        <v>0</v>
      </c>
      <c r="O628" s="7">
        <v>0</v>
      </c>
      <c r="P628" s="7">
        <v>0</v>
      </c>
      <c r="Q628" s="7">
        <v>0</v>
      </c>
      <c r="R628" s="7">
        <v>0</v>
      </c>
      <c r="S628" s="7">
        <v>0</v>
      </c>
      <c r="T628" s="7">
        <v>0</v>
      </c>
      <c r="U628" s="7">
        <v>0</v>
      </c>
      <c r="V628" s="7">
        <v>0</v>
      </c>
      <c r="W628" s="7">
        <v>0</v>
      </c>
      <c r="X628" s="7">
        <v>0</v>
      </c>
      <c r="Y628" s="7">
        <v>0</v>
      </c>
      <c r="Z628" s="7">
        <v>0</v>
      </c>
      <c r="AA628" s="7">
        <v>0</v>
      </c>
      <c r="AB628" s="7">
        <v>0</v>
      </c>
      <c r="AC628" s="7">
        <v>0</v>
      </c>
      <c r="AD628" s="7">
        <v>0</v>
      </c>
      <c r="AE628" s="7">
        <v>0</v>
      </c>
      <c r="AF628" s="7">
        <v>0</v>
      </c>
      <c r="AG628" s="7">
        <v>0</v>
      </c>
      <c r="AH628" s="7">
        <v>0</v>
      </c>
      <c r="AI628" s="7">
        <v>0</v>
      </c>
      <c r="AJ628" s="7">
        <v>0</v>
      </c>
      <c r="AK628" s="7">
        <v>0</v>
      </c>
      <c r="AL628" s="7">
        <v>0</v>
      </c>
      <c r="AM628" s="7">
        <v>0</v>
      </c>
      <c r="AN628" s="7">
        <v>0</v>
      </c>
      <c r="AO628" s="7">
        <v>0</v>
      </c>
      <c r="AP628" s="7">
        <v>0</v>
      </c>
      <c r="AQ628" s="7">
        <v>0</v>
      </c>
      <c r="AR628" s="7">
        <v>0</v>
      </c>
      <c r="AS628" s="7">
        <v>0</v>
      </c>
      <c r="AT628" s="7">
        <v>0</v>
      </c>
      <c r="AU628" s="7">
        <v>0</v>
      </c>
      <c r="AV628" s="7">
        <v>0</v>
      </c>
      <c r="AW628" s="7">
        <v>0</v>
      </c>
      <c r="AX628" s="7">
        <v>0</v>
      </c>
      <c r="AY628" s="7">
        <v>0</v>
      </c>
      <c r="AZ628" s="7">
        <v>0</v>
      </c>
      <c r="BA628" s="7">
        <v>0</v>
      </c>
      <c r="BB628" s="7">
        <v>0</v>
      </c>
      <c r="BC628" s="7">
        <v>0</v>
      </c>
      <c r="BD628">
        <v>0</v>
      </c>
      <c r="BE628">
        <v>31.32</v>
      </c>
      <c r="BF6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8" s="42" t="str">
        <f>+IF(AVANCE[[#This Row],[FECHA INICIO REAL]]="","",AVANCE[[#This Row],[FECHA INICIO REAL]]-AVANCE[[#This Row],[FECHA INICIO TEORICO]])</f>
        <v/>
      </c>
      <c r="BH6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9" spans="1:61" x14ac:dyDescent="0.25">
      <c r="A629" t="s">
        <v>1451</v>
      </c>
      <c r="B629" t="s">
        <v>1471</v>
      </c>
      <c r="C629">
        <v>2282600628</v>
      </c>
      <c r="D629" t="s">
        <v>833</v>
      </c>
      <c r="E629" s="4">
        <v>0</v>
      </c>
      <c r="F629" s="1">
        <v>46451</v>
      </c>
      <c r="G629" s="1"/>
      <c r="H629" s="1">
        <v>0</v>
      </c>
      <c r="I629" s="1">
        <v>46471</v>
      </c>
      <c r="J629">
        <v>46188</v>
      </c>
      <c r="K629" s="1"/>
      <c r="L629" s="7">
        <v>0</v>
      </c>
      <c r="M629" s="7">
        <v>0</v>
      </c>
      <c r="N629" s="7">
        <v>0</v>
      </c>
      <c r="O629" s="7">
        <v>0</v>
      </c>
      <c r="P629" s="7">
        <v>0</v>
      </c>
      <c r="Q629" s="7">
        <v>0</v>
      </c>
      <c r="R629" s="7">
        <v>0</v>
      </c>
      <c r="S629" s="7">
        <v>0</v>
      </c>
      <c r="T629" s="7">
        <v>0</v>
      </c>
      <c r="U629" s="7">
        <v>0</v>
      </c>
      <c r="V629" s="7">
        <v>0</v>
      </c>
      <c r="W629" s="7">
        <v>0</v>
      </c>
      <c r="X629" s="7">
        <v>0</v>
      </c>
      <c r="Y629" s="7">
        <v>0</v>
      </c>
      <c r="Z629" s="7">
        <v>0</v>
      </c>
      <c r="AA629" s="7">
        <v>0</v>
      </c>
      <c r="AB629" s="7">
        <v>0</v>
      </c>
      <c r="AC629" s="7">
        <v>0</v>
      </c>
      <c r="AD629" s="7">
        <v>0</v>
      </c>
      <c r="AE629" s="7">
        <v>0</v>
      </c>
      <c r="AF629" s="7">
        <v>0</v>
      </c>
      <c r="AG629" s="7">
        <v>0</v>
      </c>
      <c r="AH629" s="7">
        <v>0</v>
      </c>
      <c r="AI629" s="7">
        <v>0</v>
      </c>
      <c r="AJ629" s="7">
        <v>0</v>
      </c>
      <c r="AK629" s="7">
        <v>0</v>
      </c>
      <c r="AL629" s="7">
        <v>0</v>
      </c>
      <c r="AM629" s="7">
        <v>0</v>
      </c>
      <c r="AN629" s="7">
        <v>0</v>
      </c>
      <c r="AO629" s="7">
        <v>0</v>
      </c>
      <c r="AP629" s="7">
        <v>0</v>
      </c>
      <c r="AQ629" s="7">
        <v>0</v>
      </c>
      <c r="AR629" s="7">
        <v>0</v>
      </c>
      <c r="AS629" s="7">
        <v>0</v>
      </c>
      <c r="AT629" s="7">
        <v>0</v>
      </c>
      <c r="AU629" s="7">
        <v>0</v>
      </c>
      <c r="AV629" s="7">
        <v>0</v>
      </c>
      <c r="AW629" s="7">
        <v>0</v>
      </c>
      <c r="AX629" s="7">
        <v>0</v>
      </c>
      <c r="AY629" s="7">
        <v>0</v>
      </c>
      <c r="AZ629" s="7">
        <v>0</v>
      </c>
      <c r="BA629" s="7">
        <v>0</v>
      </c>
      <c r="BB629" s="7">
        <v>0</v>
      </c>
      <c r="BC629" s="7">
        <v>0</v>
      </c>
      <c r="BD629">
        <v>0</v>
      </c>
      <c r="BE629">
        <v>28.87</v>
      </c>
      <c r="BF6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9" s="42" t="str">
        <f>+IF(AVANCE[[#This Row],[FECHA INICIO REAL]]="","",AVANCE[[#This Row],[FECHA INICIO REAL]]-AVANCE[[#This Row],[FECHA INICIO TEORICO]])</f>
        <v/>
      </c>
      <c r="BH6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0" spans="1:61" x14ac:dyDescent="0.25">
      <c r="A630" t="s">
        <v>1451</v>
      </c>
      <c r="B630" t="s">
        <v>1472</v>
      </c>
      <c r="C630">
        <v>2282600629</v>
      </c>
      <c r="D630" t="s">
        <v>833</v>
      </c>
      <c r="E630" s="4">
        <v>0</v>
      </c>
      <c r="F630" s="1">
        <v>46454</v>
      </c>
      <c r="G630" s="1"/>
      <c r="H630" s="1">
        <v>0</v>
      </c>
      <c r="I630" s="1">
        <v>46474</v>
      </c>
      <c r="J630">
        <v>46188</v>
      </c>
      <c r="K630" s="1"/>
      <c r="L630" s="7">
        <v>0</v>
      </c>
      <c r="M630" s="7">
        <v>0</v>
      </c>
      <c r="N630" s="7">
        <v>0</v>
      </c>
      <c r="O630" s="7">
        <v>0</v>
      </c>
      <c r="P630" s="7">
        <v>0</v>
      </c>
      <c r="Q630" s="7">
        <v>0</v>
      </c>
      <c r="R630" s="7">
        <v>0</v>
      </c>
      <c r="S630" s="7">
        <v>0</v>
      </c>
      <c r="T630" s="7">
        <v>0</v>
      </c>
      <c r="U630" s="7">
        <v>0</v>
      </c>
      <c r="V630" s="7">
        <v>0</v>
      </c>
      <c r="W630" s="7">
        <v>0</v>
      </c>
      <c r="X630" s="7">
        <v>0</v>
      </c>
      <c r="Y630" s="7">
        <v>0</v>
      </c>
      <c r="Z630" s="7">
        <v>0</v>
      </c>
      <c r="AA630" s="7">
        <v>0</v>
      </c>
      <c r="AB630" s="7">
        <v>0</v>
      </c>
      <c r="AC630" s="7">
        <v>0</v>
      </c>
      <c r="AD630" s="7">
        <v>0</v>
      </c>
      <c r="AE630" s="7">
        <v>0</v>
      </c>
      <c r="AF630" s="7">
        <v>0</v>
      </c>
      <c r="AG630" s="7">
        <v>0</v>
      </c>
      <c r="AH630" s="7">
        <v>0</v>
      </c>
      <c r="AI630" s="7">
        <v>0</v>
      </c>
      <c r="AJ630" s="7">
        <v>0</v>
      </c>
      <c r="AK630" s="7">
        <v>0</v>
      </c>
      <c r="AL630" s="7">
        <v>0</v>
      </c>
      <c r="AM630" s="7">
        <v>0</v>
      </c>
      <c r="AN630" s="7">
        <v>0</v>
      </c>
      <c r="AO630" s="7">
        <v>0</v>
      </c>
      <c r="AP630" s="7">
        <v>0</v>
      </c>
      <c r="AQ630" s="7">
        <v>0</v>
      </c>
      <c r="AR630" s="7">
        <v>0</v>
      </c>
      <c r="AS630" s="7">
        <v>0</v>
      </c>
      <c r="AT630" s="7">
        <v>0</v>
      </c>
      <c r="AU630" s="7">
        <v>0</v>
      </c>
      <c r="AV630" s="7">
        <v>0</v>
      </c>
      <c r="AW630" s="7">
        <v>0</v>
      </c>
      <c r="AX630" s="7">
        <v>0</v>
      </c>
      <c r="AY630" s="7">
        <v>0</v>
      </c>
      <c r="AZ630" s="7">
        <v>0</v>
      </c>
      <c r="BA630" s="7">
        <v>0</v>
      </c>
      <c r="BB630" s="7">
        <v>0</v>
      </c>
      <c r="BC630" s="7">
        <v>0</v>
      </c>
      <c r="BD630">
        <v>0</v>
      </c>
      <c r="BE630">
        <v>28.87</v>
      </c>
      <c r="BF6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0" s="42" t="str">
        <f>+IF(AVANCE[[#This Row],[FECHA INICIO REAL]]="","",AVANCE[[#This Row],[FECHA INICIO REAL]]-AVANCE[[#This Row],[FECHA INICIO TEORICO]])</f>
        <v/>
      </c>
      <c r="BH6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1" spans="1:61" x14ac:dyDescent="0.25">
      <c r="A631" t="s">
        <v>1451</v>
      </c>
      <c r="B631" t="s">
        <v>1473</v>
      </c>
      <c r="C631">
        <v>2302600630</v>
      </c>
      <c r="D631" t="s">
        <v>834</v>
      </c>
      <c r="E631" s="4">
        <v>0</v>
      </c>
      <c r="F631" s="1">
        <v>46454</v>
      </c>
      <c r="G631" s="1"/>
      <c r="H631" s="1">
        <v>0</v>
      </c>
      <c r="I631" s="1">
        <v>46484</v>
      </c>
      <c r="J631">
        <v>46188</v>
      </c>
      <c r="K631" s="1"/>
      <c r="L631" s="7">
        <v>0</v>
      </c>
      <c r="M631" s="7">
        <v>0</v>
      </c>
      <c r="N631" s="7">
        <v>0</v>
      </c>
      <c r="O631" s="7">
        <v>0</v>
      </c>
      <c r="P631" s="7">
        <v>0</v>
      </c>
      <c r="Q631" s="7">
        <v>0</v>
      </c>
      <c r="R631" s="7">
        <v>0</v>
      </c>
      <c r="S631" s="7">
        <v>0</v>
      </c>
      <c r="T631" s="7">
        <v>0</v>
      </c>
      <c r="U631" s="7">
        <v>0</v>
      </c>
      <c r="V631" s="7">
        <v>0</v>
      </c>
      <c r="W631" s="7">
        <v>0</v>
      </c>
      <c r="X631" s="7">
        <v>0</v>
      </c>
      <c r="Y631" s="7">
        <v>0</v>
      </c>
      <c r="Z631" s="7">
        <v>0</v>
      </c>
      <c r="AA631" s="7">
        <v>0</v>
      </c>
      <c r="AB631" s="7">
        <v>0</v>
      </c>
      <c r="AC631" s="7">
        <v>0</v>
      </c>
      <c r="AD631" s="7">
        <v>0</v>
      </c>
      <c r="AE631" s="7">
        <v>0</v>
      </c>
      <c r="AF631" s="7">
        <v>0</v>
      </c>
      <c r="AG631" s="7">
        <v>0</v>
      </c>
      <c r="AH631" s="7">
        <v>0</v>
      </c>
      <c r="AI631" s="7">
        <v>0</v>
      </c>
      <c r="AJ631" s="7">
        <v>0</v>
      </c>
      <c r="AK631" s="7">
        <v>0</v>
      </c>
      <c r="AL631" s="7">
        <v>0</v>
      </c>
      <c r="AM631" s="7">
        <v>0</v>
      </c>
      <c r="AN631" s="7">
        <v>0</v>
      </c>
      <c r="AO631" s="7">
        <v>0</v>
      </c>
      <c r="AP631" s="7">
        <v>0</v>
      </c>
      <c r="AQ631" s="7">
        <v>0</v>
      </c>
      <c r="AR631" s="7">
        <v>0</v>
      </c>
      <c r="AS631" s="7">
        <v>0</v>
      </c>
      <c r="AT631" s="7">
        <v>0</v>
      </c>
      <c r="AU631" s="7">
        <v>0</v>
      </c>
      <c r="AV631" s="7">
        <v>0</v>
      </c>
      <c r="AW631" s="7">
        <v>0</v>
      </c>
      <c r="AX631" s="7">
        <v>0</v>
      </c>
      <c r="AY631" s="7">
        <v>0</v>
      </c>
      <c r="AZ631" s="7">
        <v>0</v>
      </c>
      <c r="BA631" s="7">
        <v>0</v>
      </c>
      <c r="BB631" s="7">
        <v>0</v>
      </c>
      <c r="BC631" s="7">
        <v>0</v>
      </c>
      <c r="BD631">
        <v>0</v>
      </c>
      <c r="BE631">
        <v>31.32</v>
      </c>
      <c r="BF6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1" s="42" t="str">
        <f>+IF(AVANCE[[#This Row],[FECHA INICIO REAL]]="","",AVANCE[[#This Row],[FECHA INICIO REAL]]-AVANCE[[#This Row],[FECHA INICIO TEORICO]])</f>
        <v/>
      </c>
      <c r="BH6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2" spans="1:61" x14ac:dyDescent="0.25">
      <c r="A632" t="s">
        <v>1451</v>
      </c>
      <c r="B632" t="s">
        <v>1474</v>
      </c>
      <c r="C632">
        <v>2302600631</v>
      </c>
      <c r="D632" t="s">
        <v>834</v>
      </c>
      <c r="E632" s="4">
        <v>0</v>
      </c>
      <c r="F632" s="1">
        <v>46454</v>
      </c>
      <c r="G632" s="1"/>
      <c r="H632" s="1">
        <v>0</v>
      </c>
      <c r="I632" s="1">
        <v>46484</v>
      </c>
      <c r="J632">
        <v>46188</v>
      </c>
      <c r="K632" s="1"/>
      <c r="L632" s="7">
        <v>0</v>
      </c>
      <c r="M632" s="7">
        <v>0</v>
      </c>
      <c r="N632" s="7">
        <v>0</v>
      </c>
      <c r="O632" s="7">
        <v>0</v>
      </c>
      <c r="P632" s="7">
        <v>0</v>
      </c>
      <c r="Q632" s="7">
        <v>0</v>
      </c>
      <c r="R632" s="7">
        <v>0</v>
      </c>
      <c r="S632" s="7">
        <v>0</v>
      </c>
      <c r="T632" s="7">
        <v>0</v>
      </c>
      <c r="U632" s="7">
        <v>0</v>
      </c>
      <c r="V632" s="7">
        <v>0</v>
      </c>
      <c r="W632" s="7">
        <v>0</v>
      </c>
      <c r="X632" s="7">
        <v>0</v>
      </c>
      <c r="Y632" s="7">
        <v>0</v>
      </c>
      <c r="Z632" s="7">
        <v>0</v>
      </c>
      <c r="AA632" s="7">
        <v>0</v>
      </c>
      <c r="AB632" s="7">
        <v>0</v>
      </c>
      <c r="AC632" s="7">
        <v>0</v>
      </c>
      <c r="AD632" s="7">
        <v>0</v>
      </c>
      <c r="AE632" s="7">
        <v>0</v>
      </c>
      <c r="AF632" s="7">
        <v>0</v>
      </c>
      <c r="AG632" s="7">
        <v>0</v>
      </c>
      <c r="AH632" s="7">
        <v>0</v>
      </c>
      <c r="AI632" s="7">
        <v>0</v>
      </c>
      <c r="AJ632" s="7">
        <v>0</v>
      </c>
      <c r="AK632" s="7">
        <v>0</v>
      </c>
      <c r="AL632" s="7">
        <v>0</v>
      </c>
      <c r="AM632" s="7">
        <v>0</v>
      </c>
      <c r="AN632" s="7">
        <v>0</v>
      </c>
      <c r="AO632" s="7">
        <v>0</v>
      </c>
      <c r="AP632" s="7">
        <v>0</v>
      </c>
      <c r="AQ632" s="7">
        <v>0</v>
      </c>
      <c r="AR632" s="7">
        <v>0</v>
      </c>
      <c r="AS632" s="7">
        <v>0</v>
      </c>
      <c r="AT632" s="7">
        <v>0</v>
      </c>
      <c r="AU632" s="7">
        <v>0</v>
      </c>
      <c r="AV632" s="7">
        <v>0</v>
      </c>
      <c r="AW632" s="7">
        <v>0</v>
      </c>
      <c r="AX632" s="7">
        <v>0</v>
      </c>
      <c r="AY632" s="7">
        <v>0</v>
      </c>
      <c r="AZ632" s="7">
        <v>0</v>
      </c>
      <c r="BA632" s="7">
        <v>0</v>
      </c>
      <c r="BB632" s="7">
        <v>0</v>
      </c>
      <c r="BC632" s="7">
        <v>0</v>
      </c>
      <c r="BD632">
        <v>0</v>
      </c>
      <c r="BE632">
        <v>31.32</v>
      </c>
      <c r="BF6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2" s="42" t="str">
        <f>+IF(AVANCE[[#This Row],[FECHA INICIO REAL]]="","",AVANCE[[#This Row],[FECHA INICIO REAL]]-AVANCE[[#This Row],[FECHA INICIO TEORICO]])</f>
        <v/>
      </c>
      <c r="BH6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3" spans="1:61" x14ac:dyDescent="0.25">
      <c r="A633" t="s">
        <v>1451</v>
      </c>
      <c r="B633" t="s">
        <v>1475</v>
      </c>
      <c r="C633">
        <v>2282600632</v>
      </c>
      <c r="D633" t="s">
        <v>833</v>
      </c>
      <c r="E633" s="4">
        <v>0</v>
      </c>
      <c r="F633" s="1">
        <v>46455</v>
      </c>
      <c r="G633" s="1"/>
      <c r="H633" s="1">
        <v>0</v>
      </c>
      <c r="I633" s="1">
        <v>46475</v>
      </c>
      <c r="J633">
        <v>46188</v>
      </c>
      <c r="K633" s="1"/>
      <c r="L633" s="7">
        <v>0</v>
      </c>
      <c r="M633" s="7">
        <v>0</v>
      </c>
      <c r="N633" s="7">
        <v>0</v>
      </c>
      <c r="O633" s="7">
        <v>0</v>
      </c>
      <c r="P633" s="7">
        <v>0</v>
      </c>
      <c r="Q633" s="7">
        <v>0</v>
      </c>
      <c r="R633" s="7">
        <v>0</v>
      </c>
      <c r="S633" s="7">
        <v>0</v>
      </c>
      <c r="T633" s="7">
        <v>0</v>
      </c>
      <c r="U633" s="7">
        <v>0</v>
      </c>
      <c r="V633" s="7">
        <v>0</v>
      </c>
      <c r="W633" s="7">
        <v>0</v>
      </c>
      <c r="X633" s="7">
        <v>0</v>
      </c>
      <c r="Y633" s="7">
        <v>0</v>
      </c>
      <c r="Z633" s="7">
        <v>0</v>
      </c>
      <c r="AA633" s="7">
        <v>0</v>
      </c>
      <c r="AB633" s="7">
        <v>0</v>
      </c>
      <c r="AC633" s="7">
        <v>0</v>
      </c>
      <c r="AD633" s="7">
        <v>0</v>
      </c>
      <c r="AE633" s="7">
        <v>0</v>
      </c>
      <c r="AF633" s="7">
        <v>0</v>
      </c>
      <c r="AG633" s="7">
        <v>0</v>
      </c>
      <c r="AH633" s="7">
        <v>0</v>
      </c>
      <c r="AI633" s="7">
        <v>0</v>
      </c>
      <c r="AJ633" s="7">
        <v>0</v>
      </c>
      <c r="AK633" s="7">
        <v>0</v>
      </c>
      <c r="AL633" s="7">
        <v>0</v>
      </c>
      <c r="AM633" s="7">
        <v>0</v>
      </c>
      <c r="AN633" s="7">
        <v>0</v>
      </c>
      <c r="AO633" s="7">
        <v>0</v>
      </c>
      <c r="AP633" s="7">
        <v>0</v>
      </c>
      <c r="AQ633" s="7">
        <v>0</v>
      </c>
      <c r="AR633" s="7">
        <v>0</v>
      </c>
      <c r="AS633" s="7">
        <v>0</v>
      </c>
      <c r="AT633" s="7">
        <v>0</v>
      </c>
      <c r="AU633" s="7">
        <v>0</v>
      </c>
      <c r="AV633" s="7">
        <v>0</v>
      </c>
      <c r="AW633" s="7">
        <v>0</v>
      </c>
      <c r="AX633" s="7">
        <v>0</v>
      </c>
      <c r="AY633" s="7">
        <v>0</v>
      </c>
      <c r="AZ633" s="7">
        <v>0</v>
      </c>
      <c r="BA633" s="7">
        <v>0</v>
      </c>
      <c r="BB633" s="7">
        <v>0</v>
      </c>
      <c r="BC633" s="7">
        <v>0</v>
      </c>
      <c r="BD633">
        <v>0</v>
      </c>
      <c r="BE633">
        <v>28.87</v>
      </c>
      <c r="BF6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3" s="42" t="str">
        <f>+IF(AVANCE[[#This Row],[FECHA INICIO REAL]]="","",AVANCE[[#This Row],[FECHA INICIO REAL]]-AVANCE[[#This Row],[FECHA INICIO TEORICO]])</f>
        <v/>
      </c>
      <c r="BH6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4" spans="1:61" x14ac:dyDescent="0.25">
      <c r="A634" t="s">
        <v>1451</v>
      </c>
      <c r="B634" t="s">
        <v>1476</v>
      </c>
      <c r="C634">
        <v>2282600633</v>
      </c>
      <c r="D634" t="s">
        <v>833</v>
      </c>
      <c r="E634" s="4">
        <v>0</v>
      </c>
      <c r="F634" s="1">
        <v>46455</v>
      </c>
      <c r="G634" s="1"/>
      <c r="H634" s="1">
        <v>0</v>
      </c>
      <c r="I634" s="1">
        <v>46475</v>
      </c>
      <c r="J634">
        <v>46188</v>
      </c>
      <c r="K634" s="1"/>
      <c r="L634" s="7">
        <v>0</v>
      </c>
      <c r="M634" s="7">
        <v>0</v>
      </c>
      <c r="N634" s="7">
        <v>0</v>
      </c>
      <c r="O634" s="7">
        <v>0</v>
      </c>
      <c r="P634" s="7">
        <v>0</v>
      </c>
      <c r="Q634" s="7">
        <v>0</v>
      </c>
      <c r="R634" s="7">
        <v>0</v>
      </c>
      <c r="S634" s="7">
        <v>0</v>
      </c>
      <c r="T634" s="7">
        <v>0</v>
      </c>
      <c r="U634" s="7">
        <v>0</v>
      </c>
      <c r="V634" s="7">
        <v>0</v>
      </c>
      <c r="W634" s="7">
        <v>0</v>
      </c>
      <c r="X634" s="7">
        <v>0</v>
      </c>
      <c r="Y634" s="7">
        <v>0</v>
      </c>
      <c r="Z634" s="7">
        <v>0</v>
      </c>
      <c r="AA634" s="7">
        <v>0</v>
      </c>
      <c r="AB634" s="7">
        <v>0</v>
      </c>
      <c r="AC634" s="7">
        <v>0</v>
      </c>
      <c r="AD634" s="7">
        <v>0</v>
      </c>
      <c r="AE634" s="7">
        <v>0</v>
      </c>
      <c r="AF634" s="7">
        <v>0</v>
      </c>
      <c r="AG634" s="7">
        <v>0</v>
      </c>
      <c r="AH634" s="7">
        <v>0</v>
      </c>
      <c r="AI634" s="7">
        <v>0</v>
      </c>
      <c r="AJ634" s="7">
        <v>0</v>
      </c>
      <c r="AK634" s="7">
        <v>0</v>
      </c>
      <c r="AL634" s="7">
        <v>0</v>
      </c>
      <c r="AM634" s="7">
        <v>0</v>
      </c>
      <c r="AN634" s="7">
        <v>0</v>
      </c>
      <c r="AO634" s="7">
        <v>0</v>
      </c>
      <c r="AP634" s="7">
        <v>0</v>
      </c>
      <c r="AQ634" s="7">
        <v>0</v>
      </c>
      <c r="AR634" s="7">
        <v>0</v>
      </c>
      <c r="AS634" s="7">
        <v>0</v>
      </c>
      <c r="AT634" s="7">
        <v>0</v>
      </c>
      <c r="AU634" s="7">
        <v>0</v>
      </c>
      <c r="AV634" s="7">
        <v>0</v>
      </c>
      <c r="AW634" s="7">
        <v>0</v>
      </c>
      <c r="AX634" s="7">
        <v>0</v>
      </c>
      <c r="AY634" s="7">
        <v>0</v>
      </c>
      <c r="AZ634" s="7">
        <v>0</v>
      </c>
      <c r="BA634" s="7">
        <v>0</v>
      </c>
      <c r="BB634" s="7">
        <v>0</v>
      </c>
      <c r="BC634" s="7">
        <v>0</v>
      </c>
      <c r="BD634">
        <v>0</v>
      </c>
      <c r="BE634">
        <v>28.87</v>
      </c>
      <c r="BF6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4" s="42" t="str">
        <f>+IF(AVANCE[[#This Row],[FECHA INICIO REAL]]="","",AVANCE[[#This Row],[FECHA INICIO REAL]]-AVANCE[[#This Row],[FECHA INICIO TEORICO]])</f>
        <v/>
      </c>
      <c r="BH6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5" spans="1:61" x14ac:dyDescent="0.25">
      <c r="A635" t="s">
        <v>1451</v>
      </c>
      <c r="B635" t="s">
        <v>1477</v>
      </c>
      <c r="C635">
        <v>2302600634</v>
      </c>
      <c r="D635" t="s">
        <v>834</v>
      </c>
      <c r="E635" s="4">
        <v>0</v>
      </c>
      <c r="F635" s="1">
        <v>46455</v>
      </c>
      <c r="G635" s="1"/>
      <c r="H635" s="1">
        <v>0</v>
      </c>
      <c r="I635" s="1">
        <v>46485</v>
      </c>
      <c r="J635">
        <v>46188</v>
      </c>
      <c r="K635" s="1"/>
      <c r="L635" s="7">
        <v>0</v>
      </c>
      <c r="M635" s="7">
        <v>0</v>
      </c>
      <c r="N635" s="7">
        <v>0</v>
      </c>
      <c r="O635" s="7">
        <v>0</v>
      </c>
      <c r="P635" s="7">
        <v>0</v>
      </c>
      <c r="Q635" s="7">
        <v>0</v>
      </c>
      <c r="R635" s="7">
        <v>0</v>
      </c>
      <c r="S635" s="7">
        <v>0</v>
      </c>
      <c r="T635" s="7">
        <v>0</v>
      </c>
      <c r="U635" s="7">
        <v>0</v>
      </c>
      <c r="V635" s="7">
        <v>0</v>
      </c>
      <c r="W635" s="7">
        <v>0</v>
      </c>
      <c r="X635" s="7">
        <v>0</v>
      </c>
      <c r="Y635" s="7">
        <v>0</v>
      </c>
      <c r="Z635" s="7">
        <v>0</v>
      </c>
      <c r="AA635" s="7">
        <v>0</v>
      </c>
      <c r="AB635" s="7">
        <v>0</v>
      </c>
      <c r="AC635" s="7">
        <v>0</v>
      </c>
      <c r="AD635" s="7">
        <v>0</v>
      </c>
      <c r="AE635" s="7">
        <v>0</v>
      </c>
      <c r="AF635" s="7">
        <v>0</v>
      </c>
      <c r="AG635" s="7">
        <v>0</v>
      </c>
      <c r="AH635" s="7">
        <v>0</v>
      </c>
      <c r="AI635" s="7">
        <v>0</v>
      </c>
      <c r="AJ635" s="7">
        <v>0</v>
      </c>
      <c r="AK635" s="7">
        <v>0</v>
      </c>
      <c r="AL635" s="7">
        <v>0</v>
      </c>
      <c r="AM635" s="7">
        <v>0</v>
      </c>
      <c r="AN635" s="7">
        <v>0</v>
      </c>
      <c r="AO635" s="7">
        <v>0</v>
      </c>
      <c r="AP635" s="7">
        <v>0</v>
      </c>
      <c r="AQ635" s="7">
        <v>0</v>
      </c>
      <c r="AR635" s="7">
        <v>0</v>
      </c>
      <c r="AS635" s="7">
        <v>0</v>
      </c>
      <c r="AT635" s="7">
        <v>0</v>
      </c>
      <c r="AU635" s="7">
        <v>0</v>
      </c>
      <c r="AV635" s="7">
        <v>0</v>
      </c>
      <c r="AW635" s="7">
        <v>0</v>
      </c>
      <c r="AX635" s="7">
        <v>0</v>
      </c>
      <c r="AY635" s="7">
        <v>0</v>
      </c>
      <c r="AZ635" s="7">
        <v>0</v>
      </c>
      <c r="BA635" s="7">
        <v>0</v>
      </c>
      <c r="BB635" s="7">
        <v>0</v>
      </c>
      <c r="BC635" s="7">
        <v>0</v>
      </c>
      <c r="BD635">
        <v>0</v>
      </c>
      <c r="BE635">
        <v>31.32</v>
      </c>
      <c r="BF6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5" s="42" t="str">
        <f>+IF(AVANCE[[#This Row],[FECHA INICIO REAL]]="","",AVANCE[[#This Row],[FECHA INICIO REAL]]-AVANCE[[#This Row],[FECHA INICIO TEORICO]])</f>
        <v/>
      </c>
      <c r="BH6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6" spans="1:61" x14ac:dyDescent="0.25">
      <c r="A636" t="s">
        <v>1451</v>
      </c>
      <c r="B636" t="s">
        <v>1478</v>
      </c>
      <c r="C636">
        <v>2302600635</v>
      </c>
      <c r="D636" t="s">
        <v>834</v>
      </c>
      <c r="E636" s="4">
        <v>0</v>
      </c>
      <c r="F636" s="1">
        <v>46456</v>
      </c>
      <c r="G636" s="1"/>
      <c r="H636" s="1">
        <v>0</v>
      </c>
      <c r="I636" s="1">
        <v>46486</v>
      </c>
      <c r="J636">
        <v>46188</v>
      </c>
      <c r="K636" s="1"/>
      <c r="L636" s="7">
        <v>0</v>
      </c>
      <c r="M636" s="7">
        <v>0</v>
      </c>
      <c r="N636" s="7">
        <v>0</v>
      </c>
      <c r="O636" s="7">
        <v>0</v>
      </c>
      <c r="P636" s="7">
        <v>0</v>
      </c>
      <c r="Q636" s="7">
        <v>0</v>
      </c>
      <c r="R636" s="7">
        <v>0</v>
      </c>
      <c r="S636" s="7">
        <v>0</v>
      </c>
      <c r="T636" s="7">
        <v>0</v>
      </c>
      <c r="U636" s="7">
        <v>0</v>
      </c>
      <c r="V636" s="7">
        <v>0</v>
      </c>
      <c r="W636" s="7">
        <v>0</v>
      </c>
      <c r="X636" s="7">
        <v>0</v>
      </c>
      <c r="Y636" s="7">
        <v>0</v>
      </c>
      <c r="Z636" s="7">
        <v>0</v>
      </c>
      <c r="AA636" s="7">
        <v>0</v>
      </c>
      <c r="AB636" s="7">
        <v>0</v>
      </c>
      <c r="AC636" s="7">
        <v>0</v>
      </c>
      <c r="AD636" s="7">
        <v>0</v>
      </c>
      <c r="AE636" s="7">
        <v>0</v>
      </c>
      <c r="AF636" s="7">
        <v>0</v>
      </c>
      <c r="AG636" s="7">
        <v>0</v>
      </c>
      <c r="AH636" s="7">
        <v>0</v>
      </c>
      <c r="AI636" s="7">
        <v>0</v>
      </c>
      <c r="AJ636" s="7">
        <v>0</v>
      </c>
      <c r="AK636" s="7">
        <v>0</v>
      </c>
      <c r="AL636" s="7">
        <v>0</v>
      </c>
      <c r="AM636" s="7">
        <v>0</v>
      </c>
      <c r="AN636" s="7">
        <v>0</v>
      </c>
      <c r="AO636" s="7">
        <v>0</v>
      </c>
      <c r="AP636" s="7">
        <v>0</v>
      </c>
      <c r="AQ636" s="7">
        <v>0</v>
      </c>
      <c r="AR636" s="7">
        <v>0</v>
      </c>
      <c r="AS636" s="7">
        <v>0</v>
      </c>
      <c r="AT636" s="7">
        <v>0</v>
      </c>
      <c r="AU636" s="7">
        <v>0</v>
      </c>
      <c r="AV636" s="7">
        <v>0</v>
      </c>
      <c r="AW636" s="7">
        <v>0</v>
      </c>
      <c r="AX636" s="7">
        <v>0</v>
      </c>
      <c r="AY636" s="7">
        <v>0</v>
      </c>
      <c r="AZ636" s="7">
        <v>0</v>
      </c>
      <c r="BA636" s="7">
        <v>0</v>
      </c>
      <c r="BB636" s="7">
        <v>0</v>
      </c>
      <c r="BC636" s="7">
        <v>0</v>
      </c>
      <c r="BD636">
        <v>0</v>
      </c>
      <c r="BE636">
        <v>31.32</v>
      </c>
      <c r="BF6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6" s="42" t="str">
        <f>+IF(AVANCE[[#This Row],[FECHA INICIO REAL]]="","",AVANCE[[#This Row],[FECHA INICIO REAL]]-AVANCE[[#This Row],[FECHA INICIO TEORICO]])</f>
        <v/>
      </c>
      <c r="BH6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7" spans="1:61" x14ac:dyDescent="0.25">
      <c r="A637" t="s">
        <v>1451</v>
      </c>
      <c r="B637" t="s">
        <v>1479</v>
      </c>
      <c r="C637">
        <v>2282600636</v>
      </c>
      <c r="D637" t="s">
        <v>833</v>
      </c>
      <c r="E637" s="4">
        <v>0</v>
      </c>
      <c r="F637" s="1">
        <v>46456</v>
      </c>
      <c r="G637" s="1"/>
      <c r="H637" s="1">
        <v>0</v>
      </c>
      <c r="I637" s="1">
        <v>46476</v>
      </c>
      <c r="J637">
        <v>46188</v>
      </c>
      <c r="K637" s="1"/>
      <c r="L637" s="7">
        <v>0</v>
      </c>
      <c r="M637" s="7">
        <v>0</v>
      </c>
      <c r="N637" s="7">
        <v>0</v>
      </c>
      <c r="O637" s="7">
        <v>0</v>
      </c>
      <c r="P637" s="7">
        <v>0</v>
      </c>
      <c r="Q637" s="7">
        <v>0</v>
      </c>
      <c r="R637" s="7">
        <v>0</v>
      </c>
      <c r="S637" s="7">
        <v>0</v>
      </c>
      <c r="T637" s="7">
        <v>0</v>
      </c>
      <c r="U637" s="7">
        <v>0</v>
      </c>
      <c r="V637" s="7">
        <v>0</v>
      </c>
      <c r="W637" s="7">
        <v>0</v>
      </c>
      <c r="X637" s="7">
        <v>0</v>
      </c>
      <c r="Y637" s="7">
        <v>0</v>
      </c>
      <c r="Z637" s="7">
        <v>0</v>
      </c>
      <c r="AA637" s="7">
        <v>0</v>
      </c>
      <c r="AB637" s="7">
        <v>0</v>
      </c>
      <c r="AC637" s="7">
        <v>0</v>
      </c>
      <c r="AD637" s="7">
        <v>0</v>
      </c>
      <c r="AE637" s="7">
        <v>0</v>
      </c>
      <c r="AF637" s="7">
        <v>0</v>
      </c>
      <c r="AG637" s="7">
        <v>0</v>
      </c>
      <c r="AH637" s="7">
        <v>0</v>
      </c>
      <c r="AI637" s="7">
        <v>0</v>
      </c>
      <c r="AJ637" s="7">
        <v>0</v>
      </c>
      <c r="AK637" s="7">
        <v>0</v>
      </c>
      <c r="AL637" s="7">
        <v>0</v>
      </c>
      <c r="AM637" s="7">
        <v>0</v>
      </c>
      <c r="AN637" s="7">
        <v>0</v>
      </c>
      <c r="AO637" s="7">
        <v>0</v>
      </c>
      <c r="AP637" s="7">
        <v>0</v>
      </c>
      <c r="AQ637" s="7">
        <v>0</v>
      </c>
      <c r="AR637" s="7">
        <v>0</v>
      </c>
      <c r="AS637" s="7">
        <v>0</v>
      </c>
      <c r="AT637" s="7">
        <v>0</v>
      </c>
      <c r="AU637" s="7">
        <v>0</v>
      </c>
      <c r="AV637" s="7">
        <v>0</v>
      </c>
      <c r="AW637" s="7">
        <v>0</v>
      </c>
      <c r="AX637" s="7">
        <v>0</v>
      </c>
      <c r="AY637" s="7">
        <v>0</v>
      </c>
      <c r="AZ637" s="7">
        <v>0</v>
      </c>
      <c r="BA637" s="7">
        <v>0</v>
      </c>
      <c r="BB637" s="7">
        <v>0</v>
      </c>
      <c r="BC637" s="7">
        <v>0</v>
      </c>
      <c r="BD637">
        <v>0</v>
      </c>
      <c r="BE637">
        <v>28.87</v>
      </c>
      <c r="BF6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7" s="42" t="str">
        <f>+IF(AVANCE[[#This Row],[FECHA INICIO REAL]]="","",AVANCE[[#This Row],[FECHA INICIO REAL]]-AVANCE[[#This Row],[FECHA INICIO TEORICO]])</f>
        <v/>
      </c>
      <c r="BH6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8" spans="1:61" x14ac:dyDescent="0.25">
      <c r="A638" t="s">
        <v>1451</v>
      </c>
      <c r="B638" t="s">
        <v>1480</v>
      </c>
      <c r="C638">
        <v>2282600637</v>
      </c>
      <c r="D638" t="s">
        <v>833</v>
      </c>
      <c r="E638" s="4">
        <v>0</v>
      </c>
      <c r="F638" s="1">
        <v>46456</v>
      </c>
      <c r="G638" s="1"/>
      <c r="H638" s="1">
        <v>0</v>
      </c>
      <c r="I638" s="1">
        <v>46476</v>
      </c>
      <c r="J638">
        <v>46188</v>
      </c>
      <c r="K638" s="1"/>
      <c r="L638" s="7">
        <v>0</v>
      </c>
      <c r="M638" s="7">
        <v>0</v>
      </c>
      <c r="N638" s="7">
        <v>0</v>
      </c>
      <c r="O638" s="7">
        <v>0</v>
      </c>
      <c r="P638" s="7">
        <v>0</v>
      </c>
      <c r="Q638" s="7">
        <v>0</v>
      </c>
      <c r="R638" s="7">
        <v>0</v>
      </c>
      <c r="S638" s="7">
        <v>0</v>
      </c>
      <c r="T638" s="7">
        <v>0</v>
      </c>
      <c r="U638" s="7">
        <v>0</v>
      </c>
      <c r="V638" s="7">
        <v>0</v>
      </c>
      <c r="W638" s="7">
        <v>0</v>
      </c>
      <c r="X638" s="7">
        <v>0</v>
      </c>
      <c r="Y638" s="7">
        <v>0</v>
      </c>
      <c r="Z638" s="7">
        <v>0</v>
      </c>
      <c r="AA638" s="7">
        <v>0</v>
      </c>
      <c r="AB638" s="7">
        <v>0</v>
      </c>
      <c r="AC638" s="7">
        <v>0</v>
      </c>
      <c r="AD638" s="7">
        <v>0</v>
      </c>
      <c r="AE638" s="7">
        <v>0</v>
      </c>
      <c r="AF638" s="7">
        <v>0</v>
      </c>
      <c r="AG638" s="7">
        <v>0</v>
      </c>
      <c r="AH638" s="7">
        <v>0</v>
      </c>
      <c r="AI638" s="7">
        <v>0</v>
      </c>
      <c r="AJ638" s="7">
        <v>0</v>
      </c>
      <c r="AK638" s="7">
        <v>0</v>
      </c>
      <c r="AL638" s="7">
        <v>0</v>
      </c>
      <c r="AM638" s="7">
        <v>0</v>
      </c>
      <c r="AN638" s="7">
        <v>0</v>
      </c>
      <c r="AO638" s="7">
        <v>0</v>
      </c>
      <c r="AP638" s="7">
        <v>0</v>
      </c>
      <c r="AQ638" s="7">
        <v>0</v>
      </c>
      <c r="AR638" s="7">
        <v>0</v>
      </c>
      <c r="AS638" s="7">
        <v>0</v>
      </c>
      <c r="AT638" s="7">
        <v>0</v>
      </c>
      <c r="AU638" s="7">
        <v>0</v>
      </c>
      <c r="AV638" s="7">
        <v>0</v>
      </c>
      <c r="AW638" s="7">
        <v>0</v>
      </c>
      <c r="AX638" s="7">
        <v>0</v>
      </c>
      <c r="AY638" s="7">
        <v>0</v>
      </c>
      <c r="AZ638" s="7">
        <v>0</v>
      </c>
      <c r="BA638" s="7">
        <v>0</v>
      </c>
      <c r="BB638" s="7">
        <v>0</v>
      </c>
      <c r="BC638" s="7">
        <v>0</v>
      </c>
      <c r="BD638">
        <v>0</v>
      </c>
      <c r="BE638">
        <v>28.87</v>
      </c>
      <c r="BF6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8" s="42" t="str">
        <f>+IF(AVANCE[[#This Row],[FECHA INICIO REAL]]="","",AVANCE[[#This Row],[FECHA INICIO REAL]]-AVANCE[[#This Row],[FECHA INICIO TEORICO]])</f>
        <v/>
      </c>
      <c r="BH6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9" spans="1:61" x14ac:dyDescent="0.25">
      <c r="A639" t="s">
        <v>1451</v>
      </c>
      <c r="B639" t="s">
        <v>1481</v>
      </c>
      <c r="C639">
        <v>2302600638</v>
      </c>
      <c r="D639" t="s">
        <v>834</v>
      </c>
      <c r="E639" s="4">
        <v>0</v>
      </c>
      <c r="F639" s="1">
        <v>46457</v>
      </c>
      <c r="G639" s="1"/>
      <c r="H639" s="1">
        <v>0</v>
      </c>
      <c r="I639" s="1">
        <v>46487</v>
      </c>
      <c r="J639">
        <v>46188</v>
      </c>
      <c r="K639" s="1"/>
      <c r="L639" s="7">
        <v>0</v>
      </c>
      <c r="M639" s="7">
        <v>0</v>
      </c>
      <c r="N639" s="7">
        <v>0</v>
      </c>
      <c r="O639" s="7">
        <v>0</v>
      </c>
      <c r="P639" s="7">
        <v>0</v>
      </c>
      <c r="Q639" s="7">
        <v>0</v>
      </c>
      <c r="R639" s="7">
        <v>0</v>
      </c>
      <c r="S639" s="7">
        <v>0</v>
      </c>
      <c r="T639" s="7">
        <v>0</v>
      </c>
      <c r="U639" s="7">
        <v>0</v>
      </c>
      <c r="V639" s="7">
        <v>0</v>
      </c>
      <c r="W639" s="7">
        <v>0</v>
      </c>
      <c r="X639" s="7">
        <v>0</v>
      </c>
      <c r="Y639" s="7">
        <v>0</v>
      </c>
      <c r="Z639" s="7">
        <v>0</v>
      </c>
      <c r="AA639" s="7">
        <v>0</v>
      </c>
      <c r="AB639" s="7">
        <v>0</v>
      </c>
      <c r="AC639" s="7">
        <v>0</v>
      </c>
      <c r="AD639" s="7">
        <v>0</v>
      </c>
      <c r="AE639" s="7">
        <v>0</v>
      </c>
      <c r="AF639" s="7">
        <v>0</v>
      </c>
      <c r="AG639" s="7">
        <v>0</v>
      </c>
      <c r="AH639" s="7">
        <v>0</v>
      </c>
      <c r="AI639" s="7">
        <v>0</v>
      </c>
      <c r="AJ639" s="7">
        <v>0</v>
      </c>
      <c r="AK639" s="7">
        <v>0</v>
      </c>
      <c r="AL639" s="7">
        <v>0</v>
      </c>
      <c r="AM639" s="7">
        <v>0</v>
      </c>
      <c r="AN639" s="7">
        <v>0</v>
      </c>
      <c r="AO639" s="7">
        <v>0</v>
      </c>
      <c r="AP639" s="7">
        <v>0</v>
      </c>
      <c r="AQ639" s="7">
        <v>0</v>
      </c>
      <c r="AR639" s="7">
        <v>0</v>
      </c>
      <c r="AS639" s="7">
        <v>0</v>
      </c>
      <c r="AT639" s="7">
        <v>0</v>
      </c>
      <c r="AU639" s="7">
        <v>0</v>
      </c>
      <c r="AV639" s="7">
        <v>0</v>
      </c>
      <c r="AW639" s="7">
        <v>0</v>
      </c>
      <c r="AX639" s="7">
        <v>0</v>
      </c>
      <c r="AY639" s="7">
        <v>0</v>
      </c>
      <c r="AZ639" s="7">
        <v>0</v>
      </c>
      <c r="BA639" s="7">
        <v>0</v>
      </c>
      <c r="BB639" s="7">
        <v>0</v>
      </c>
      <c r="BC639" s="7">
        <v>0</v>
      </c>
      <c r="BD639">
        <v>0</v>
      </c>
      <c r="BE639">
        <v>31.32</v>
      </c>
      <c r="BF6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9" s="42" t="str">
        <f>+IF(AVANCE[[#This Row],[FECHA INICIO REAL]]="","",AVANCE[[#This Row],[FECHA INICIO REAL]]-AVANCE[[#This Row],[FECHA INICIO TEORICO]])</f>
        <v/>
      </c>
      <c r="BH6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0" spans="1:61" x14ac:dyDescent="0.25">
      <c r="A640" t="s">
        <v>1451</v>
      </c>
      <c r="B640" t="s">
        <v>1482</v>
      </c>
      <c r="C640">
        <v>2302600639</v>
      </c>
      <c r="D640" t="s">
        <v>834</v>
      </c>
      <c r="E640" s="4">
        <v>0</v>
      </c>
      <c r="F640" s="1">
        <v>46457</v>
      </c>
      <c r="G640" s="1"/>
      <c r="H640" s="1">
        <v>0</v>
      </c>
      <c r="I640" s="1">
        <v>46487</v>
      </c>
      <c r="J640">
        <v>46188</v>
      </c>
      <c r="K640" s="1"/>
      <c r="L640" s="7">
        <v>0</v>
      </c>
      <c r="M640" s="7">
        <v>0</v>
      </c>
      <c r="N640" s="7">
        <v>0</v>
      </c>
      <c r="O640" s="7">
        <v>0</v>
      </c>
      <c r="P640" s="7">
        <v>0</v>
      </c>
      <c r="Q640" s="7">
        <v>0</v>
      </c>
      <c r="R640" s="7">
        <v>0</v>
      </c>
      <c r="S640" s="7">
        <v>0</v>
      </c>
      <c r="T640" s="7">
        <v>0</v>
      </c>
      <c r="U640" s="7">
        <v>0</v>
      </c>
      <c r="V640" s="7">
        <v>0</v>
      </c>
      <c r="W640" s="7">
        <v>0</v>
      </c>
      <c r="X640" s="7">
        <v>0</v>
      </c>
      <c r="Y640" s="7">
        <v>0</v>
      </c>
      <c r="Z640" s="7">
        <v>0</v>
      </c>
      <c r="AA640" s="7">
        <v>0</v>
      </c>
      <c r="AB640" s="7">
        <v>0</v>
      </c>
      <c r="AC640" s="7">
        <v>0</v>
      </c>
      <c r="AD640" s="7">
        <v>0</v>
      </c>
      <c r="AE640" s="7">
        <v>0</v>
      </c>
      <c r="AF640" s="7">
        <v>0</v>
      </c>
      <c r="AG640" s="7">
        <v>0</v>
      </c>
      <c r="AH640" s="7">
        <v>0</v>
      </c>
      <c r="AI640" s="7">
        <v>0</v>
      </c>
      <c r="AJ640" s="7">
        <v>0</v>
      </c>
      <c r="AK640" s="7">
        <v>0</v>
      </c>
      <c r="AL640" s="7">
        <v>0</v>
      </c>
      <c r="AM640" s="7">
        <v>0</v>
      </c>
      <c r="AN640" s="7">
        <v>0</v>
      </c>
      <c r="AO640" s="7">
        <v>0</v>
      </c>
      <c r="AP640" s="7">
        <v>0</v>
      </c>
      <c r="AQ640" s="7">
        <v>0</v>
      </c>
      <c r="AR640" s="7">
        <v>0</v>
      </c>
      <c r="AS640" s="7">
        <v>0</v>
      </c>
      <c r="AT640" s="7">
        <v>0</v>
      </c>
      <c r="AU640" s="7">
        <v>0</v>
      </c>
      <c r="AV640" s="7">
        <v>0</v>
      </c>
      <c r="AW640" s="7">
        <v>0</v>
      </c>
      <c r="AX640" s="7">
        <v>0</v>
      </c>
      <c r="AY640" s="7">
        <v>0</v>
      </c>
      <c r="AZ640" s="7">
        <v>0</v>
      </c>
      <c r="BA640" s="7">
        <v>0</v>
      </c>
      <c r="BB640" s="7">
        <v>0</v>
      </c>
      <c r="BC640" s="7">
        <v>0</v>
      </c>
      <c r="BD640">
        <v>0</v>
      </c>
      <c r="BE640">
        <v>31.32</v>
      </c>
      <c r="BF6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0" s="42" t="str">
        <f>+IF(AVANCE[[#This Row],[FECHA INICIO REAL]]="","",AVANCE[[#This Row],[FECHA INICIO REAL]]-AVANCE[[#This Row],[FECHA INICIO TEORICO]])</f>
        <v/>
      </c>
      <c r="BH6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1" spans="1:61" x14ac:dyDescent="0.25">
      <c r="A641" t="s">
        <v>1451</v>
      </c>
      <c r="B641" t="s">
        <v>1483</v>
      </c>
      <c r="C641">
        <v>2282600640</v>
      </c>
      <c r="D641" t="s">
        <v>833</v>
      </c>
      <c r="E641" s="4">
        <v>0</v>
      </c>
      <c r="F641" s="1">
        <v>46457</v>
      </c>
      <c r="G641" s="1"/>
      <c r="H641" s="1">
        <v>0</v>
      </c>
      <c r="I641" s="1">
        <v>46477</v>
      </c>
      <c r="J641">
        <v>46188</v>
      </c>
      <c r="K641" s="1"/>
      <c r="L641" s="7">
        <v>0</v>
      </c>
      <c r="M641" s="7">
        <v>0</v>
      </c>
      <c r="N641" s="7">
        <v>0</v>
      </c>
      <c r="O641" s="7">
        <v>0</v>
      </c>
      <c r="P641" s="7">
        <v>0</v>
      </c>
      <c r="Q641" s="7">
        <v>0</v>
      </c>
      <c r="R641" s="7">
        <v>0</v>
      </c>
      <c r="S641" s="7">
        <v>0</v>
      </c>
      <c r="T641" s="7">
        <v>0</v>
      </c>
      <c r="U641" s="7">
        <v>0</v>
      </c>
      <c r="V641" s="7">
        <v>0</v>
      </c>
      <c r="W641" s="7">
        <v>0</v>
      </c>
      <c r="X641" s="7">
        <v>0</v>
      </c>
      <c r="Y641" s="7">
        <v>0</v>
      </c>
      <c r="Z641" s="7">
        <v>0</v>
      </c>
      <c r="AA641" s="7">
        <v>0</v>
      </c>
      <c r="AB641" s="7">
        <v>0</v>
      </c>
      <c r="AC641" s="7">
        <v>0</v>
      </c>
      <c r="AD641" s="7">
        <v>0</v>
      </c>
      <c r="AE641" s="7">
        <v>0</v>
      </c>
      <c r="AF641" s="7">
        <v>0</v>
      </c>
      <c r="AG641" s="7">
        <v>0</v>
      </c>
      <c r="AH641" s="7">
        <v>0</v>
      </c>
      <c r="AI641" s="7">
        <v>0</v>
      </c>
      <c r="AJ641" s="7">
        <v>0</v>
      </c>
      <c r="AK641" s="7">
        <v>0</v>
      </c>
      <c r="AL641" s="7">
        <v>0</v>
      </c>
      <c r="AM641" s="7">
        <v>0</v>
      </c>
      <c r="AN641" s="7">
        <v>0</v>
      </c>
      <c r="AO641" s="7">
        <v>0</v>
      </c>
      <c r="AP641" s="7">
        <v>0</v>
      </c>
      <c r="AQ641" s="7">
        <v>0</v>
      </c>
      <c r="AR641" s="7">
        <v>0</v>
      </c>
      <c r="AS641" s="7">
        <v>0</v>
      </c>
      <c r="AT641" s="7">
        <v>0</v>
      </c>
      <c r="AU641" s="7">
        <v>0</v>
      </c>
      <c r="AV641" s="7">
        <v>0</v>
      </c>
      <c r="AW641" s="7">
        <v>0</v>
      </c>
      <c r="AX641" s="7">
        <v>0</v>
      </c>
      <c r="AY641" s="7">
        <v>0</v>
      </c>
      <c r="AZ641" s="7">
        <v>0</v>
      </c>
      <c r="BA641" s="7">
        <v>0</v>
      </c>
      <c r="BB641" s="7">
        <v>0</v>
      </c>
      <c r="BC641" s="7">
        <v>0</v>
      </c>
      <c r="BD641">
        <v>0</v>
      </c>
      <c r="BE641">
        <v>28.87</v>
      </c>
      <c r="BF6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1" s="42" t="str">
        <f>+IF(AVANCE[[#This Row],[FECHA INICIO REAL]]="","",AVANCE[[#This Row],[FECHA INICIO REAL]]-AVANCE[[#This Row],[FECHA INICIO TEORICO]])</f>
        <v/>
      </c>
      <c r="BH6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2" spans="1:61" x14ac:dyDescent="0.25">
      <c r="A642" t="s">
        <v>1484</v>
      </c>
      <c r="B642" t="s">
        <v>1485</v>
      </c>
      <c r="C642">
        <v>2282600641</v>
      </c>
      <c r="D642" t="s">
        <v>833</v>
      </c>
      <c r="E642" s="4">
        <v>0</v>
      </c>
      <c r="F642" s="1">
        <v>46458</v>
      </c>
      <c r="G642" s="1"/>
      <c r="H642" s="1">
        <v>0</v>
      </c>
      <c r="I642" s="1">
        <v>46478</v>
      </c>
      <c r="J642">
        <v>46188</v>
      </c>
      <c r="K642" s="1"/>
      <c r="L642" s="7">
        <v>0</v>
      </c>
      <c r="M642" s="7">
        <v>0</v>
      </c>
      <c r="N642" s="7">
        <v>0</v>
      </c>
      <c r="O642" s="7">
        <v>0</v>
      </c>
      <c r="P642" s="7">
        <v>0</v>
      </c>
      <c r="Q642" s="7">
        <v>0</v>
      </c>
      <c r="R642" s="7">
        <v>0</v>
      </c>
      <c r="S642" s="7">
        <v>0</v>
      </c>
      <c r="T642" s="7">
        <v>0</v>
      </c>
      <c r="U642" s="7">
        <v>0</v>
      </c>
      <c r="V642" s="7">
        <v>0</v>
      </c>
      <c r="W642" s="7">
        <v>0</v>
      </c>
      <c r="X642" s="7">
        <v>0</v>
      </c>
      <c r="Y642" s="7">
        <v>0</v>
      </c>
      <c r="Z642" s="7">
        <v>0</v>
      </c>
      <c r="AA642" s="7">
        <v>0</v>
      </c>
      <c r="AB642" s="7">
        <v>0</v>
      </c>
      <c r="AC642" s="7">
        <v>0</v>
      </c>
      <c r="AD642" s="7">
        <v>0</v>
      </c>
      <c r="AE642" s="7">
        <v>0</v>
      </c>
      <c r="AF642" s="7">
        <v>0</v>
      </c>
      <c r="AG642" s="7">
        <v>0</v>
      </c>
      <c r="AH642" s="7">
        <v>0</v>
      </c>
      <c r="AI642" s="7">
        <v>0</v>
      </c>
      <c r="AJ642" s="7">
        <v>0</v>
      </c>
      <c r="AK642" s="7">
        <v>0</v>
      </c>
      <c r="AL642" s="7">
        <v>0</v>
      </c>
      <c r="AM642" s="7">
        <v>0</v>
      </c>
      <c r="AN642" s="7">
        <v>0</v>
      </c>
      <c r="AO642" s="7">
        <v>0</v>
      </c>
      <c r="AP642" s="7">
        <v>0</v>
      </c>
      <c r="AQ642" s="7">
        <v>0</v>
      </c>
      <c r="AR642" s="7">
        <v>0</v>
      </c>
      <c r="AS642" s="7">
        <v>0</v>
      </c>
      <c r="AT642" s="7">
        <v>0</v>
      </c>
      <c r="AU642" s="7">
        <v>0</v>
      </c>
      <c r="AV642" s="7">
        <v>0</v>
      </c>
      <c r="AW642" s="7">
        <v>0</v>
      </c>
      <c r="AX642" s="7">
        <v>0</v>
      </c>
      <c r="AY642" s="7">
        <v>0</v>
      </c>
      <c r="AZ642" s="7">
        <v>0</v>
      </c>
      <c r="BA642" s="7">
        <v>0</v>
      </c>
      <c r="BB642" s="7">
        <v>0</v>
      </c>
      <c r="BC642" s="7">
        <v>0</v>
      </c>
      <c r="BD642">
        <v>0</v>
      </c>
      <c r="BE642">
        <v>28.87</v>
      </c>
      <c r="BF6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2" s="42" t="str">
        <f>+IF(AVANCE[[#This Row],[FECHA INICIO REAL]]="","",AVANCE[[#This Row],[FECHA INICIO REAL]]-AVANCE[[#This Row],[FECHA INICIO TEORICO]])</f>
        <v/>
      </c>
      <c r="BH6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3" spans="1:61" x14ac:dyDescent="0.25">
      <c r="A643" t="s">
        <v>1484</v>
      </c>
      <c r="B643" t="s">
        <v>1486</v>
      </c>
      <c r="C643">
        <v>2302600642</v>
      </c>
      <c r="D643" t="s">
        <v>834</v>
      </c>
      <c r="E643" s="4">
        <v>0</v>
      </c>
      <c r="F643" s="1">
        <v>46458</v>
      </c>
      <c r="G643" s="1"/>
      <c r="H643" s="1">
        <v>0</v>
      </c>
      <c r="I643" s="1">
        <v>46488</v>
      </c>
      <c r="J643">
        <v>46188</v>
      </c>
      <c r="K643" s="1"/>
      <c r="L643" s="7">
        <v>0</v>
      </c>
      <c r="M643" s="7">
        <v>0</v>
      </c>
      <c r="N643" s="7">
        <v>0</v>
      </c>
      <c r="O643" s="7">
        <v>0</v>
      </c>
      <c r="P643" s="7">
        <v>0</v>
      </c>
      <c r="Q643" s="7">
        <v>0</v>
      </c>
      <c r="R643" s="7">
        <v>0</v>
      </c>
      <c r="S643" s="7">
        <v>0</v>
      </c>
      <c r="T643" s="7">
        <v>0</v>
      </c>
      <c r="U643" s="7">
        <v>0</v>
      </c>
      <c r="V643" s="7">
        <v>0</v>
      </c>
      <c r="W643" s="7">
        <v>0</v>
      </c>
      <c r="X643" s="7">
        <v>0</v>
      </c>
      <c r="Y643" s="7">
        <v>0</v>
      </c>
      <c r="Z643" s="7">
        <v>0</v>
      </c>
      <c r="AA643" s="7">
        <v>0</v>
      </c>
      <c r="AB643" s="7">
        <v>0</v>
      </c>
      <c r="AC643" s="7">
        <v>0</v>
      </c>
      <c r="AD643" s="7">
        <v>0</v>
      </c>
      <c r="AE643" s="7">
        <v>0</v>
      </c>
      <c r="AF643" s="7">
        <v>0</v>
      </c>
      <c r="AG643" s="7">
        <v>0</v>
      </c>
      <c r="AH643" s="7">
        <v>0</v>
      </c>
      <c r="AI643" s="7">
        <v>0</v>
      </c>
      <c r="AJ643" s="7">
        <v>0</v>
      </c>
      <c r="AK643" s="7">
        <v>0</v>
      </c>
      <c r="AL643" s="7">
        <v>0</v>
      </c>
      <c r="AM643" s="7">
        <v>0</v>
      </c>
      <c r="AN643" s="7">
        <v>0</v>
      </c>
      <c r="AO643" s="7">
        <v>0</v>
      </c>
      <c r="AP643" s="7">
        <v>0</v>
      </c>
      <c r="AQ643" s="7">
        <v>0</v>
      </c>
      <c r="AR643" s="7">
        <v>0</v>
      </c>
      <c r="AS643" s="7">
        <v>0</v>
      </c>
      <c r="AT643" s="7">
        <v>0</v>
      </c>
      <c r="AU643" s="7">
        <v>0</v>
      </c>
      <c r="AV643" s="7">
        <v>0</v>
      </c>
      <c r="AW643" s="7">
        <v>0</v>
      </c>
      <c r="AX643" s="7">
        <v>0</v>
      </c>
      <c r="AY643" s="7">
        <v>0</v>
      </c>
      <c r="AZ643" s="7">
        <v>0</v>
      </c>
      <c r="BA643" s="7">
        <v>0</v>
      </c>
      <c r="BB643" s="7">
        <v>0</v>
      </c>
      <c r="BC643" s="7">
        <v>0</v>
      </c>
      <c r="BD643">
        <v>0</v>
      </c>
      <c r="BE643">
        <v>31.32</v>
      </c>
      <c r="BF6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3" s="42" t="str">
        <f>+IF(AVANCE[[#This Row],[FECHA INICIO REAL]]="","",AVANCE[[#This Row],[FECHA INICIO REAL]]-AVANCE[[#This Row],[FECHA INICIO TEORICO]])</f>
        <v/>
      </c>
      <c r="BH6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4" spans="1:61" x14ac:dyDescent="0.25">
      <c r="A644" t="s">
        <v>1484</v>
      </c>
      <c r="B644" t="s">
        <v>1487</v>
      </c>
      <c r="C644">
        <v>2302600643</v>
      </c>
      <c r="D644" t="s">
        <v>834</v>
      </c>
      <c r="E644" s="4">
        <v>0</v>
      </c>
      <c r="F644" s="1">
        <v>46458</v>
      </c>
      <c r="G644" s="1"/>
      <c r="H644" s="1">
        <v>0</v>
      </c>
      <c r="I644" s="1">
        <v>46488</v>
      </c>
      <c r="J644">
        <v>46188</v>
      </c>
      <c r="K644" s="1"/>
      <c r="L644" s="7">
        <v>0</v>
      </c>
      <c r="M644" s="7">
        <v>0</v>
      </c>
      <c r="N644" s="7">
        <v>0</v>
      </c>
      <c r="O644" s="7">
        <v>0</v>
      </c>
      <c r="P644" s="7">
        <v>0</v>
      </c>
      <c r="Q644" s="7">
        <v>0</v>
      </c>
      <c r="R644" s="7">
        <v>0</v>
      </c>
      <c r="S644" s="7">
        <v>0</v>
      </c>
      <c r="T644" s="7">
        <v>0</v>
      </c>
      <c r="U644" s="7">
        <v>0</v>
      </c>
      <c r="V644" s="7">
        <v>0</v>
      </c>
      <c r="W644" s="7">
        <v>0</v>
      </c>
      <c r="X644" s="7">
        <v>0</v>
      </c>
      <c r="Y644" s="7">
        <v>0</v>
      </c>
      <c r="Z644" s="7">
        <v>0</v>
      </c>
      <c r="AA644" s="7">
        <v>0</v>
      </c>
      <c r="AB644" s="7">
        <v>0</v>
      </c>
      <c r="AC644" s="7">
        <v>0</v>
      </c>
      <c r="AD644" s="7">
        <v>0</v>
      </c>
      <c r="AE644" s="7">
        <v>0</v>
      </c>
      <c r="AF644" s="7">
        <v>0</v>
      </c>
      <c r="AG644" s="7">
        <v>0</v>
      </c>
      <c r="AH644" s="7">
        <v>0</v>
      </c>
      <c r="AI644" s="7">
        <v>0</v>
      </c>
      <c r="AJ644" s="7">
        <v>0</v>
      </c>
      <c r="AK644" s="7">
        <v>0</v>
      </c>
      <c r="AL644" s="7">
        <v>0</v>
      </c>
      <c r="AM644" s="7">
        <v>0</v>
      </c>
      <c r="AN644" s="7">
        <v>0</v>
      </c>
      <c r="AO644" s="7">
        <v>0</v>
      </c>
      <c r="AP644" s="7">
        <v>0</v>
      </c>
      <c r="AQ644" s="7">
        <v>0</v>
      </c>
      <c r="AR644" s="7">
        <v>0</v>
      </c>
      <c r="AS644" s="7">
        <v>0</v>
      </c>
      <c r="AT644" s="7">
        <v>0</v>
      </c>
      <c r="AU644" s="7">
        <v>0</v>
      </c>
      <c r="AV644" s="7">
        <v>0</v>
      </c>
      <c r="AW644" s="7">
        <v>0</v>
      </c>
      <c r="AX644" s="7">
        <v>0</v>
      </c>
      <c r="AY644" s="7">
        <v>0</v>
      </c>
      <c r="AZ644" s="7">
        <v>0</v>
      </c>
      <c r="BA644" s="7">
        <v>0</v>
      </c>
      <c r="BB644" s="7">
        <v>0</v>
      </c>
      <c r="BC644" s="7">
        <v>0</v>
      </c>
      <c r="BD644">
        <v>0</v>
      </c>
      <c r="BE644">
        <v>31.32</v>
      </c>
      <c r="BF6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4" s="42" t="str">
        <f>+IF(AVANCE[[#This Row],[FECHA INICIO REAL]]="","",AVANCE[[#This Row],[FECHA INICIO REAL]]-AVANCE[[#This Row],[FECHA INICIO TEORICO]])</f>
        <v/>
      </c>
      <c r="BH6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5" spans="1:61" x14ac:dyDescent="0.25">
      <c r="A645" t="s">
        <v>1484</v>
      </c>
      <c r="B645" t="s">
        <v>1488</v>
      </c>
      <c r="C645">
        <v>2282600644</v>
      </c>
      <c r="D645" t="s">
        <v>833</v>
      </c>
      <c r="E645" s="4">
        <v>0</v>
      </c>
      <c r="F645" s="1">
        <v>46461</v>
      </c>
      <c r="G645" s="1"/>
      <c r="H645" s="1">
        <v>0</v>
      </c>
      <c r="I645" s="1">
        <v>46481</v>
      </c>
      <c r="J645">
        <v>46188</v>
      </c>
      <c r="K645" s="1"/>
      <c r="L645" s="7">
        <v>0</v>
      </c>
      <c r="M645" s="7">
        <v>0</v>
      </c>
      <c r="N645" s="7">
        <v>0</v>
      </c>
      <c r="O645" s="7">
        <v>0</v>
      </c>
      <c r="P645" s="7">
        <v>0</v>
      </c>
      <c r="Q645" s="7">
        <v>0</v>
      </c>
      <c r="R645" s="7">
        <v>0</v>
      </c>
      <c r="S645" s="7">
        <v>0</v>
      </c>
      <c r="T645" s="7">
        <v>0</v>
      </c>
      <c r="U645" s="7">
        <v>0</v>
      </c>
      <c r="V645" s="7">
        <v>0</v>
      </c>
      <c r="W645" s="7">
        <v>0</v>
      </c>
      <c r="X645" s="7">
        <v>0</v>
      </c>
      <c r="Y645" s="7">
        <v>0</v>
      </c>
      <c r="Z645" s="7">
        <v>0</v>
      </c>
      <c r="AA645" s="7">
        <v>0</v>
      </c>
      <c r="AB645" s="7">
        <v>0</v>
      </c>
      <c r="AC645" s="7">
        <v>0</v>
      </c>
      <c r="AD645" s="7">
        <v>0</v>
      </c>
      <c r="AE645" s="7">
        <v>0</v>
      </c>
      <c r="AF645" s="7">
        <v>0</v>
      </c>
      <c r="AG645" s="7">
        <v>0</v>
      </c>
      <c r="AH645" s="7">
        <v>0</v>
      </c>
      <c r="AI645" s="7">
        <v>0</v>
      </c>
      <c r="AJ645" s="7">
        <v>0</v>
      </c>
      <c r="AK645" s="7">
        <v>0</v>
      </c>
      <c r="AL645" s="7">
        <v>0</v>
      </c>
      <c r="AM645" s="7">
        <v>0</v>
      </c>
      <c r="AN645" s="7">
        <v>0</v>
      </c>
      <c r="AO645" s="7">
        <v>0</v>
      </c>
      <c r="AP645" s="7">
        <v>0</v>
      </c>
      <c r="AQ645" s="7">
        <v>0</v>
      </c>
      <c r="AR645" s="7">
        <v>0</v>
      </c>
      <c r="AS645" s="7">
        <v>0</v>
      </c>
      <c r="AT645" s="7">
        <v>0</v>
      </c>
      <c r="AU645" s="7">
        <v>0</v>
      </c>
      <c r="AV645" s="7">
        <v>0</v>
      </c>
      <c r="AW645" s="7">
        <v>0</v>
      </c>
      <c r="AX645" s="7">
        <v>0</v>
      </c>
      <c r="AY645" s="7">
        <v>0</v>
      </c>
      <c r="AZ645" s="7">
        <v>0</v>
      </c>
      <c r="BA645" s="7">
        <v>0</v>
      </c>
      <c r="BB645" s="7">
        <v>0</v>
      </c>
      <c r="BC645" s="7">
        <v>0</v>
      </c>
      <c r="BD645">
        <v>0</v>
      </c>
      <c r="BE645">
        <v>28.87</v>
      </c>
      <c r="BF6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5" s="42" t="str">
        <f>+IF(AVANCE[[#This Row],[FECHA INICIO REAL]]="","",AVANCE[[#This Row],[FECHA INICIO REAL]]-AVANCE[[#This Row],[FECHA INICIO TEORICO]])</f>
        <v/>
      </c>
      <c r="BH6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6" spans="1:61" x14ac:dyDescent="0.25">
      <c r="A646" t="s">
        <v>1484</v>
      </c>
      <c r="B646" t="s">
        <v>1489</v>
      </c>
      <c r="C646">
        <v>2282600645</v>
      </c>
      <c r="D646" t="s">
        <v>833</v>
      </c>
      <c r="E646" s="4">
        <v>0</v>
      </c>
      <c r="F646" s="1">
        <v>46461</v>
      </c>
      <c r="G646" s="1"/>
      <c r="H646" s="1">
        <v>0</v>
      </c>
      <c r="I646" s="1">
        <v>46481</v>
      </c>
      <c r="J646">
        <v>46188</v>
      </c>
      <c r="K646" s="1"/>
      <c r="L646" s="7">
        <v>0</v>
      </c>
      <c r="M646" s="7">
        <v>0</v>
      </c>
      <c r="N646" s="7">
        <v>0</v>
      </c>
      <c r="O646" s="7">
        <v>0</v>
      </c>
      <c r="P646" s="7">
        <v>0</v>
      </c>
      <c r="Q646" s="7">
        <v>0</v>
      </c>
      <c r="R646" s="7">
        <v>0</v>
      </c>
      <c r="S646" s="7">
        <v>0</v>
      </c>
      <c r="T646" s="7">
        <v>0</v>
      </c>
      <c r="U646" s="7">
        <v>0</v>
      </c>
      <c r="V646" s="7">
        <v>0</v>
      </c>
      <c r="W646" s="7">
        <v>0</v>
      </c>
      <c r="X646" s="7">
        <v>0</v>
      </c>
      <c r="Y646" s="7">
        <v>0</v>
      </c>
      <c r="Z646" s="7">
        <v>0</v>
      </c>
      <c r="AA646" s="7">
        <v>0</v>
      </c>
      <c r="AB646" s="7">
        <v>0</v>
      </c>
      <c r="AC646" s="7">
        <v>0</v>
      </c>
      <c r="AD646" s="7">
        <v>0</v>
      </c>
      <c r="AE646" s="7">
        <v>0</v>
      </c>
      <c r="AF646" s="7">
        <v>0</v>
      </c>
      <c r="AG646" s="7">
        <v>0</v>
      </c>
      <c r="AH646" s="7">
        <v>0</v>
      </c>
      <c r="AI646" s="7">
        <v>0</v>
      </c>
      <c r="AJ646" s="7">
        <v>0</v>
      </c>
      <c r="AK646" s="7">
        <v>0</v>
      </c>
      <c r="AL646" s="7">
        <v>0</v>
      </c>
      <c r="AM646" s="7">
        <v>0</v>
      </c>
      <c r="AN646" s="7">
        <v>0</v>
      </c>
      <c r="AO646" s="7">
        <v>0</v>
      </c>
      <c r="AP646" s="7">
        <v>0</v>
      </c>
      <c r="AQ646" s="7">
        <v>0</v>
      </c>
      <c r="AR646" s="7">
        <v>0</v>
      </c>
      <c r="AS646" s="7">
        <v>0</v>
      </c>
      <c r="AT646" s="7">
        <v>0</v>
      </c>
      <c r="AU646" s="7">
        <v>0</v>
      </c>
      <c r="AV646" s="7">
        <v>0</v>
      </c>
      <c r="AW646" s="7">
        <v>0</v>
      </c>
      <c r="AX646" s="7">
        <v>0</v>
      </c>
      <c r="AY646" s="7">
        <v>0</v>
      </c>
      <c r="AZ646" s="7">
        <v>0</v>
      </c>
      <c r="BA646" s="7">
        <v>0</v>
      </c>
      <c r="BB646" s="7">
        <v>0</v>
      </c>
      <c r="BC646" s="7">
        <v>0</v>
      </c>
      <c r="BD646">
        <v>0</v>
      </c>
      <c r="BE646">
        <v>28.87</v>
      </c>
      <c r="BF6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6" s="42" t="str">
        <f>+IF(AVANCE[[#This Row],[FECHA INICIO REAL]]="","",AVANCE[[#This Row],[FECHA INICIO REAL]]-AVANCE[[#This Row],[FECHA INICIO TEORICO]])</f>
        <v/>
      </c>
      <c r="BH6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7" spans="1:61" x14ac:dyDescent="0.25">
      <c r="A647" t="s">
        <v>1484</v>
      </c>
      <c r="B647" t="s">
        <v>1490</v>
      </c>
      <c r="C647">
        <v>2302600646</v>
      </c>
      <c r="D647" t="s">
        <v>834</v>
      </c>
      <c r="E647" s="4">
        <v>0</v>
      </c>
      <c r="F647" s="1">
        <v>46461</v>
      </c>
      <c r="G647" s="1"/>
      <c r="H647" s="1">
        <v>0</v>
      </c>
      <c r="I647" s="1">
        <v>46491</v>
      </c>
      <c r="J647">
        <v>46188</v>
      </c>
      <c r="K647" s="1"/>
      <c r="L647" s="7">
        <v>0</v>
      </c>
      <c r="M647" s="7">
        <v>0</v>
      </c>
      <c r="N647" s="7">
        <v>0</v>
      </c>
      <c r="O647" s="7">
        <v>0</v>
      </c>
      <c r="P647" s="7">
        <v>0</v>
      </c>
      <c r="Q647" s="7">
        <v>0</v>
      </c>
      <c r="R647" s="7">
        <v>0</v>
      </c>
      <c r="S647" s="7">
        <v>0</v>
      </c>
      <c r="T647" s="7">
        <v>0</v>
      </c>
      <c r="U647" s="7">
        <v>0</v>
      </c>
      <c r="V647" s="7">
        <v>0</v>
      </c>
      <c r="W647" s="7">
        <v>0</v>
      </c>
      <c r="X647" s="7">
        <v>0</v>
      </c>
      <c r="Y647" s="7">
        <v>0</v>
      </c>
      <c r="Z647" s="7">
        <v>0</v>
      </c>
      <c r="AA647" s="7">
        <v>0</v>
      </c>
      <c r="AB647" s="7">
        <v>0</v>
      </c>
      <c r="AC647" s="7">
        <v>0</v>
      </c>
      <c r="AD647" s="7">
        <v>0</v>
      </c>
      <c r="AE647" s="7">
        <v>0</v>
      </c>
      <c r="AF647" s="7">
        <v>0</v>
      </c>
      <c r="AG647" s="7">
        <v>0</v>
      </c>
      <c r="AH647" s="7">
        <v>0</v>
      </c>
      <c r="AI647" s="7">
        <v>0</v>
      </c>
      <c r="AJ647" s="7">
        <v>0</v>
      </c>
      <c r="AK647" s="7">
        <v>0</v>
      </c>
      <c r="AL647" s="7">
        <v>0</v>
      </c>
      <c r="AM647" s="7">
        <v>0</v>
      </c>
      <c r="AN647" s="7">
        <v>0</v>
      </c>
      <c r="AO647" s="7">
        <v>0</v>
      </c>
      <c r="AP647" s="7">
        <v>0</v>
      </c>
      <c r="AQ647" s="7">
        <v>0</v>
      </c>
      <c r="AR647" s="7">
        <v>0</v>
      </c>
      <c r="AS647" s="7">
        <v>0</v>
      </c>
      <c r="AT647" s="7">
        <v>0</v>
      </c>
      <c r="AU647" s="7">
        <v>0</v>
      </c>
      <c r="AV647" s="7">
        <v>0</v>
      </c>
      <c r="AW647" s="7">
        <v>0</v>
      </c>
      <c r="AX647" s="7">
        <v>0</v>
      </c>
      <c r="AY647" s="7">
        <v>0</v>
      </c>
      <c r="AZ647" s="7">
        <v>0</v>
      </c>
      <c r="BA647" s="7">
        <v>0</v>
      </c>
      <c r="BB647" s="7">
        <v>0</v>
      </c>
      <c r="BC647" s="7">
        <v>0</v>
      </c>
      <c r="BD647">
        <v>0</v>
      </c>
      <c r="BE647">
        <v>31.32</v>
      </c>
      <c r="BF6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7" s="42" t="str">
        <f>+IF(AVANCE[[#This Row],[FECHA INICIO REAL]]="","",AVANCE[[#This Row],[FECHA INICIO REAL]]-AVANCE[[#This Row],[FECHA INICIO TEORICO]])</f>
        <v/>
      </c>
      <c r="BH6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8" spans="1:61" x14ac:dyDescent="0.25">
      <c r="A648" t="s">
        <v>1484</v>
      </c>
      <c r="B648" t="s">
        <v>1491</v>
      </c>
      <c r="C648">
        <v>2302600647</v>
      </c>
      <c r="D648" t="s">
        <v>834</v>
      </c>
      <c r="E648" s="4">
        <v>0</v>
      </c>
      <c r="F648" s="1">
        <v>46462</v>
      </c>
      <c r="G648" s="1"/>
      <c r="H648" s="1">
        <v>0</v>
      </c>
      <c r="I648" s="1">
        <v>46492</v>
      </c>
      <c r="J648">
        <v>46188</v>
      </c>
      <c r="K648" s="1"/>
      <c r="L648" s="7">
        <v>0</v>
      </c>
      <c r="M648" s="7">
        <v>0</v>
      </c>
      <c r="N648" s="7">
        <v>0</v>
      </c>
      <c r="O648" s="7">
        <v>0</v>
      </c>
      <c r="P648" s="7">
        <v>0</v>
      </c>
      <c r="Q648" s="7">
        <v>0</v>
      </c>
      <c r="R648" s="7">
        <v>0</v>
      </c>
      <c r="S648" s="7">
        <v>0</v>
      </c>
      <c r="T648" s="7">
        <v>0</v>
      </c>
      <c r="U648" s="7">
        <v>0</v>
      </c>
      <c r="V648" s="7">
        <v>0</v>
      </c>
      <c r="W648" s="7">
        <v>0</v>
      </c>
      <c r="X648" s="7">
        <v>0</v>
      </c>
      <c r="Y648" s="7">
        <v>0</v>
      </c>
      <c r="Z648" s="7">
        <v>0</v>
      </c>
      <c r="AA648" s="7">
        <v>0</v>
      </c>
      <c r="AB648" s="7">
        <v>0</v>
      </c>
      <c r="AC648" s="7">
        <v>0</v>
      </c>
      <c r="AD648" s="7">
        <v>0</v>
      </c>
      <c r="AE648" s="7">
        <v>0</v>
      </c>
      <c r="AF648" s="7">
        <v>0</v>
      </c>
      <c r="AG648" s="7">
        <v>0</v>
      </c>
      <c r="AH648" s="7">
        <v>0</v>
      </c>
      <c r="AI648" s="7">
        <v>0</v>
      </c>
      <c r="AJ648" s="7">
        <v>0</v>
      </c>
      <c r="AK648" s="7">
        <v>0</v>
      </c>
      <c r="AL648" s="7">
        <v>0</v>
      </c>
      <c r="AM648" s="7">
        <v>0</v>
      </c>
      <c r="AN648" s="7">
        <v>0</v>
      </c>
      <c r="AO648" s="7">
        <v>0</v>
      </c>
      <c r="AP648" s="7">
        <v>0</v>
      </c>
      <c r="AQ648" s="7">
        <v>0</v>
      </c>
      <c r="AR648" s="7">
        <v>0</v>
      </c>
      <c r="AS648" s="7">
        <v>0</v>
      </c>
      <c r="AT648" s="7">
        <v>0</v>
      </c>
      <c r="AU648" s="7">
        <v>0</v>
      </c>
      <c r="AV648" s="7">
        <v>0</v>
      </c>
      <c r="AW648" s="7">
        <v>0</v>
      </c>
      <c r="AX648" s="7">
        <v>0</v>
      </c>
      <c r="AY648" s="7">
        <v>0</v>
      </c>
      <c r="AZ648" s="7">
        <v>0</v>
      </c>
      <c r="BA648" s="7">
        <v>0</v>
      </c>
      <c r="BB648" s="7">
        <v>0</v>
      </c>
      <c r="BC648" s="7">
        <v>0</v>
      </c>
      <c r="BD648">
        <v>0</v>
      </c>
      <c r="BE648">
        <v>31.32</v>
      </c>
      <c r="BF6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8" s="42" t="str">
        <f>+IF(AVANCE[[#This Row],[FECHA INICIO REAL]]="","",AVANCE[[#This Row],[FECHA INICIO REAL]]-AVANCE[[#This Row],[FECHA INICIO TEORICO]])</f>
        <v/>
      </c>
      <c r="BH6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9" spans="1:61" x14ac:dyDescent="0.25">
      <c r="A649" t="s">
        <v>1484</v>
      </c>
      <c r="B649" t="s">
        <v>1492</v>
      </c>
      <c r="C649">
        <v>2282600648</v>
      </c>
      <c r="D649" t="s">
        <v>833</v>
      </c>
      <c r="E649" s="4">
        <v>0</v>
      </c>
      <c r="F649" s="1">
        <v>46462</v>
      </c>
      <c r="G649" s="1"/>
      <c r="H649" s="1">
        <v>0</v>
      </c>
      <c r="I649" s="1">
        <v>46482</v>
      </c>
      <c r="J649">
        <v>46188</v>
      </c>
      <c r="K649" s="1"/>
      <c r="L649" s="7">
        <v>0</v>
      </c>
      <c r="M649" s="7">
        <v>0</v>
      </c>
      <c r="N649" s="7">
        <v>0</v>
      </c>
      <c r="O649" s="7">
        <v>0</v>
      </c>
      <c r="P649" s="7">
        <v>0</v>
      </c>
      <c r="Q649" s="7">
        <v>0</v>
      </c>
      <c r="R649" s="7">
        <v>0</v>
      </c>
      <c r="S649" s="7">
        <v>0</v>
      </c>
      <c r="T649" s="7">
        <v>0</v>
      </c>
      <c r="U649" s="7">
        <v>0</v>
      </c>
      <c r="V649" s="7">
        <v>0</v>
      </c>
      <c r="W649" s="7">
        <v>0</v>
      </c>
      <c r="X649" s="7">
        <v>0</v>
      </c>
      <c r="Y649" s="7">
        <v>0</v>
      </c>
      <c r="Z649" s="7">
        <v>0</v>
      </c>
      <c r="AA649" s="7">
        <v>0</v>
      </c>
      <c r="AB649" s="7">
        <v>0</v>
      </c>
      <c r="AC649" s="7">
        <v>0</v>
      </c>
      <c r="AD649" s="7">
        <v>0</v>
      </c>
      <c r="AE649" s="7">
        <v>0</v>
      </c>
      <c r="AF649" s="7">
        <v>0</v>
      </c>
      <c r="AG649" s="7">
        <v>0</v>
      </c>
      <c r="AH649" s="7">
        <v>0</v>
      </c>
      <c r="AI649" s="7">
        <v>0</v>
      </c>
      <c r="AJ649" s="7">
        <v>0</v>
      </c>
      <c r="AK649" s="7">
        <v>0</v>
      </c>
      <c r="AL649" s="7">
        <v>0</v>
      </c>
      <c r="AM649" s="7">
        <v>0</v>
      </c>
      <c r="AN649" s="7">
        <v>0</v>
      </c>
      <c r="AO649" s="7">
        <v>0</v>
      </c>
      <c r="AP649" s="7">
        <v>0</v>
      </c>
      <c r="AQ649" s="7">
        <v>0</v>
      </c>
      <c r="AR649" s="7">
        <v>0</v>
      </c>
      <c r="AS649" s="7">
        <v>0</v>
      </c>
      <c r="AT649" s="7">
        <v>0</v>
      </c>
      <c r="AU649" s="7">
        <v>0</v>
      </c>
      <c r="AV649" s="7">
        <v>0</v>
      </c>
      <c r="AW649" s="7">
        <v>0</v>
      </c>
      <c r="AX649" s="7">
        <v>0</v>
      </c>
      <c r="AY649" s="7">
        <v>0</v>
      </c>
      <c r="AZ649" s="7">
        <v>0</v>
      </c>
      <c r="BA649" s="7">
        <v>0</v>
      </c>
      <c r="BB649" s="7">
        <v>0</v>
      </c>
      <c r="BC649" s="7">
        <v>0</v>
      </c>
      <c r="BD649">
        <v>0</v>
      </c>
      <c r="BE649">
        <v>28.87</v>
      </c>
      <c r="BF6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9" s="42" t="str">
        <f>+IF(AVANCE[[#This Row],[FECHA INICIO REAL]]="","",AVANCE[[#This Row],[FECHA INICIO REAL]]-AVANCE[[#This Row],[FECHA INICIO TEORICO]])</f>
        <v/>
      </c>
      <c r="BH6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0" spans="1:61" x14ac:dyDescent="0.25">
      <c r="A650" t="s">
        <v>1484</v>
      </c>
      <c r="B650" t="s">
        <v>1493</v>
      </c>
      <c r="C650">
        <v>2282600649</v>
      </c>
      <c r="D650" t="s">
        <v>833</v>
      </c>
      <c r="E650" s="4">
        <v>0</v>
      </c>
      <c r="F650" s="1">
        <v>46462</v>
      </c>
      <c r="G650" s="1"/>
      <c r="H650" s="1">
        <v>0</v>
      </c>
      <c r="I650" s="1">
        <v>46482</v>
      </c>
      <c r="J650">
        <v>46188</v>
      </c>
      <c r="K650" s="1"/>
      <c r="L650" s="7">
        <v>0</v>
      </c>
      <c r="M650" s="7">
        <v>0</v>
      </c>
      <c r="N650" s="7">
        <v>0</v>
      </c>
      <c r="O650" s="7">
        <v>0</v>
      </c>
      <c r="P650" s="7">
        <v>0</v>
      </c>
      <c r="Q650" s="7">
        <v>0</v>
      </c>
      <c r="R650" s="7">
        <v>0</v>
      </c>
      <c r="S650" s="7">
        <v>0</v>
      </c>
      <c r="T650" s="7">
        <v>0</v>
      </c>
      <c r="U650" s="7">
        <v>0</v>
      </c>
      <c r="V650" s="7">
        <v>0</v>
      </c>
      <c r="W650" s="7">
        <v>0</v>
      </c>
      <c r="X650" s="7">
        <v>0</v>
      </c>
      <c r="Y650" s="7">
        <v>0</v>
      </c>
      <c r="Z650" s="7">
        <v>0</v>
      </c>
      <c r="AA650" s="7">
        <v>0</v>
      </c>
      <c r="AB650" s="7">
        <v>0</v>
      </c>
      <c r="AC650" s="7">
        <v>0</v>
      </c>
      <c r="AD650" s="7">
        <v>0</v>
      </c>
      <c r="AE650" s="7">
        <v>0</v>
      </c>
      <c r="AF650" s="7">
        <v>0</v>
      </c>
      <c r="AG650" s="7">
        <v>0</v>
      </c>
      <c r="AH650" s="7">
        <v>0</v>
      </c>
      <c r="AI650" s="7">
        <v>0</v>
      </c>
      <c r="AJ650" s="7">
        <v>0</v>
      </c>
      <c r="AK650" s="7">
        <v>0</v>
      </c>
      <c r="AL650" s="7">
        <v>0</v>
      </c>
      <c r="AM650" s="7">
        <v>0</v>
      </c>
      <c r="AN650" s="7">
        <v>0</v>
      </c>
      <c r="AO650" s="7">
        <v>0</v>
      </c>
      <c r="AP650" s="7">
        <v>0</v>
      </c>
      <c r="AQ650" s="7">
        <v>0</v>
      </c>
      <c r="AR650" s="7">
        <v>0</v>
      </c>
      <c r="AS650" s="7">
        <v>0</v>
      </c>
      <c r="AT650" s="7">
        <v>0</v>
      </c>
      <c r="AU650" s="7">
        <v>0</v>
      </c>
      <c r="AV650" s="7">
        <v>0</v>
      </c>
      <c r="AW650" s="7">
        <v>0</v>
      </c>
      <c r="AX650" s="7">
        <v>0</v>
      </c>
      <c r="AY650" s="7">
        <v>0</v>
      </c>
      <c r="AZ650" s="7">
        <v>0</v>
      </c>
      <c r="BA650" s="7">
        <v>0</v>
      </c>
      <c r="BB650" s="7">
        <v>0</v>
      </c>
      <c r="BC650" s="7">
        <v>0</v>
      </c>
      <c r="BD650">
        <v>0</v>
      </c>
      <c r="BE650">
        <v>28.87</v>
      </c>
      <c r="BF6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0" s="42" t="str">
        <f>+IF(AVANCE[[#This Row],[FECHA INICIO REAL]]="","",AVANCE[[#This Row],[FECHA INICIO REAL]]-AVANCE[[#This Row],[FECHA INICIO TEORICO]])</f>
        <v/>
      </c>
      <c r="BH6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1" spans="1:61" x14ac:dyDescent="0.25">
      <c r="A651" t="s">
        <v>1484</v>
      </c>
      <c r="B651" t="s">
        <v>1494</v>
      </c>
      <c r="C651">
        <v>2302600650</v>
      </c>
      <c r="D651" t="s">
        <v>834</v>
      </c>
      <c r="E651" s="4">
        <v>0</v>
      </c>
      <c r="F651" s="1">
        <v>46463</v>
      </c>
      <c r="G651" s="1"/>
      <c r="H651" s="1">
        <v>0</v>
      </c>
      <c r="I651" s="1">
        <v>46493</v>
      </c>
      <c r="J651">
        <v>46188</v>
      </c>
      <c r="K651" s="1"/>
      <c r="L651" s="7">
        <v>0</v>
      </c>
      <c r="M651" s="7">
        <v>0</v>
      </c>
      <c r="N651" s="7">
        <v>0</v>
      </c>
      <c r="O651" s="7">
        <v>0</v>
      </c>
      <c r="P651" s="7">
        <v>0</v>
      </c>
      <c r="Q651" s="7">
        <v>0</v>
      </c>
      <c r="R651" s="7">
        <v>0</v>
      </c>
      <c r="S651" s="7">
        <v>0</v>
      </c>
      <c r="T651" s="7">
        <v>0</v>
      </c>
      <c r="U651" s="7">
        <v>0</v>
      </c>
      <c r="V651" s="7">
        <v>0</v>
      </c>
      <c r="W651" s="7">
        <v>0</v>
      </c>
      <c r="X651" s="7">
        <v>0</v>
      </c>
      <c r="Y651" s="7">
        <v>0</v>
      </c>
      <c r="Z651" s="7">
        <v>0</v>
      </c>
      <c r="AA651" s="7">
        <v>0</v>
      </c>
      <c r="AB651" s="7">
        <v>0</v>
      </c>
      <c r="AC651" s="7">
        <v>0</v>
      </c>
      <c r="AD651" s="7">
        <v>0</v>
      </c>
      <c r="AE651" s="7">
        <v>0</v>
      </c>
      <c r="AF651" s="7">
        <v>0</v>
      </c>
      <c r="AG651" s="7">
        <v>0</v>
      </c>
      <c r="AH651" s="7">
        <v>0</v>
      </c>
      <c r="AI651" s="7">
        <v>0</v>
      </c>
      <c r="AJ651" s="7">
        <v>0</v>
      </c>
      <c r="AK651" s="7">
        <v>0</v>
      </c>
      <c r="AL651" s="7">
        <v>0</v>
      </c>
      <c r="AM651" s="7">
        <v>0</v>
      </c>
      <c r="AN651" s="7">
        <v>0</v>
      </c>
      <c r="AO651" s="7">
        <v>0</v>
      </c>
      <c r="AP651" s="7">
        <v>0</v>
      </c>
      <c r="AQ651" s="7">
        <v>0</v>
      </c>
      <c r="AR651" s="7">
        <v>0</v>
      </c>
      <c r="AS651" s="7">
        <v>0</v>
      </c>
      <c r="AT651" s="7">
        <v>0</v>
      </c>
      <c r="AU651" s="7">
        <v>0</v>
      </c>
      <c r="AV651" s="7">
        <v>0</v>
      </c>
      <c r="AW651" s="7">
        <v>0</v>
      </c>
      <c r="AX651" s="7">
        <v>0</v>
      </c>
      <c r="AY651" s="7">
        <v>0</v>
      </c>
      <c r="AZ651" s="7">
        <v>0</v>
      </c>
      <c r="BA651" s="7">
        <v>0</v>
      </c>
      <c r="BB651" s="7">
        <v>0</v>
      </c>
      <c r="BC651" s="7">
        <v>0</v>
      </c>
      <c r="BD651">
        <v>0</v>
      </c>
      <c r="BE651">
        <v>31.32</v>
      </c>
      <c r="BF6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1" s="42" t="str">
        <f>+IF(AVANCE[[#This Row],[FECHA INICIO REAL]]="","",AVANCE[[#This Row],[FECHA INICIO REAL]]-AVANCE[[#This Row],[FECHA INICIO TEORICO]])</f>
        <v/>
      </c>
      <c r="BH6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2" spans="1:61" x14ac:dyDescent="0.25">
      <c r="A652" t="s">
        <v>1484</v>
      </c>
      <c r="B652" t="s">
        <v>1495</v>
      </c>
      <c r="C652">
        <v>2302600651</v>
      </c>
      <c r="D652" t="s">
        <v>834</v>
      </c>
      <c r="E652" s="4">
        <v>0</v>
      </c>
      <c r="F652" s="1">
        <v>46463</v>
      </c>
      <c r="G652" s="1"/>
      <c r="H652" s="1">
        <v>0</v>
      </c>
      <c r="I652" s="1">
        <v>46493</v>
      </c>
      <c r="J652">
        <v>46188</v>
      </c>
      <c r="K652" s="1"/>
      <c r="L652" s="7">
        <v>0</v>
      </c>
      <c r="M652" s="7">
        <v>0</v>
      </c>
      <c r="N652" s="7">
        <v>0</v>
      </c>
      <c r="O652" s="7">
        <v>0</v>
      </c>
      <c r="P652" s="7">
        <v>0</v>
      </c>
      <c r="Q652" s="7">
        <v>0</v>
      </c>
      <c r="R652" s="7">
        <v>0</v>
      </c>
      <c r="S652" s="7">
        <v>0</v>
      </c>
      <c r="T652" s="7">
        <v>0</v>
      </c>
      <c r="U652" s="7">
        <v>0</v>
      </c>
      <c r="V652" s="7">
        <v>0</v>
      </c>
      <c r="W652" s="7">
        <v>0</v>
      </c>
      <c r="X652" s="7">
        <v>0</v>
      </c>
      <c r="Y652" s="7">
        <v>0</v>
      </c>
      <c r="Z652" s="7">
        <v>0</v>
      </c>
      <c r="AA652" s="7">
        <v>0</v>
      </c>
      <c r="AB652" s="7">
        <v>0</v>
      </c>
      <c r="AC652" s="7">
        <v>0</v>
      </c>
      <c r="AD652" s="7">
        <v>0</v>
      </c>
      <c r="AE652" s="7">
        <v>0</v>
      </c>
      <c r="AF652" s="7">
        <v>0</v>
      </c>
      <c r="AG652" s="7">
        <v>0</v>
      </c>
      <c r="AH652" s="7">
        <v>0</v>
      </c>
      <c r="AI652" s="7">
        <v>0</v>
      </c>
      <c r="AJ652" s="7">
        <v>0</v>
      </c>
      <c r="AK652" s="7">
        <v>0</v>
      </c>
      <c r="AL652" s="7">
        <v>0</v>
      </c>
      <c r="AM652" s="7">
        <v>0</v>
      </c>
      <c r="AN652" s="7">
        <v>0</v>
      </c>
      <c r="AO652" s="7">
        <v>0</v>
      </c>
      <c r="AP652" s="7">
        <v>0</v>
      </c>
      <c r="AQ652" s="7">
        <v>0</v>
      </c>
      <c r="AR652" s="7">
        <v>0</v>
      </c>
      <c r="AS652" s="7">
        <v>0</v>
      </c>
      <c r="AT652" s="7">
        <v>0</v>
      </c>
      <c r="AU652" s="7">
        <v>0</v>
      </c>
      <c r="AV652" s="7">
        <v>0</v>
      </c>
      <c r="AW652" s="7">
        <v>0</v>
      </c>
      <c r="AX652" s="7">
        <v>0</v>
      </c>
      <c r="AY652" s="7">
        <v>0</v>
      </c>
      <c r="AZ652" s="7">
        <v>0</v>
      </c>
      <c r="BA652" s="7">
        <v>0</v>
      </c>
      <c r="BB652" s="7">
        <v>0</v>
      </c>
      <c r="BC652" s="7">
        <v>0</v>
      </c>
      <c r="BD652">
        <v>0</v>
      </c>
      <c r="BE652">
        <v>31.32</v>
      </c>
      <c r="BF6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2" s="42" t="str">
        <f>+IF(AVANCE[[#This Row],[FECHA INICIO REAL]]="","",AVANCE[[#This Row],[FECHA INICIO REAL]]-AVANCE[[#This Row],[FECHA INICIO TEORICO]])</f>
        <v/>
      </c>
      <c r="BH6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3" spans="1:61" x14ac:dyDescent="0.25">
      <c r="A653" t="s">
        <v>1484</v>
      </c>
      <c r="B653" t="s">
        <v>1496</v>
      </c>
      <c r="C653">
        <v>2282600652</v>
      </c>
      <c r="D653" t="s">
        <v>833</v>
      </c>
      <c r="E653" s="4">
        <v>0</v>
      </c>
      <c r="F653" s="1">
        <v>46463</v>
      </c>
      <c r="G653" s="1"/>
      <c r="H653" s="1">
        <v>0</v>
      </c>
      <c r="I653" s="1">
        <v>46483</v>
      </c>
      <c r="J653">
        <v>46188</v>
      </c>
      <c r="K653" s="1"/>
      <c r="L653" s="7">
        <v>0</v>
      </c>
      <c r="M653" s="7">
        <v>0</v>
      </c>
      <c r="N653" s="7">
        <v>0</v>
      </c>
      <c r="O653" s="7">
        <v>0</v>
      </c>
      <c r="P653" s="7">
        <v>0</v>
      </c>
      <c r="Q653" s="7">
        <v>0</v>
      </c>
      <c r="R653" s="7">
        <v>0</v>
      </c>
      <c r="S653" s="7">
        <v>0</v>
      </c>
      <c r="T653" s="7">
        <v>0</v>
      </c>
      <c r="U653" s="7">
        <v>0</v>
      </c>
      <c r="V653" s="7">
        <v>0</v>
      </c>
      <c r="W653" s="7">
        <v>0</v>
      </c>
      <c r="X653" s="7">
        <v>0</v>
      </c>
      <c r="Y653" s="7">
        <v>0</v>
      </c>
      <c r="Z653" s="7">
        <v>0</v>
      </c>
      <c r="AA653" s="7">
        <v>0</v>
      </c>
      <c r="AB653" s="7">
        <v>0</v>
      </c>
      <c r="AC653" s="7">
        <v>0</v>
      </c>
      <c r="AD653" s="7">
        <v>0</v>
      </c>
      <c r="AE653" s="7">
        <v>0</v>
      </c>
      <c r="AF653" s="7">
        <v>0</v>
      </c>
      <c r="AG653" s="7">
        <v>0</v>
      </c>
      <c r="AH653" s="7">
        <v>0</v>
      </c>
      <c r="AI653" s="7">
        <v>0</v>
      </c>
      <c r="AJ653" s="7">
        <v>0</v>
      </c>
      <c r="AK653" s="7">
        <v>0</v>
      </c>
      <c r="AL653" s="7">
        <v>0</v>
      </c>
      <c r="AM653" s="7">
        <v>0</v>
      </c>
      <c r="AN653" s="7">
        <v>0</v>
      </c>
      <c r="AO653" s="7">
        <v>0</v>
      </c>
      <c r="AP653" s="7">
        <v>0</v>
      </c>
      <c r="AQ653" s="7">
        <v>0</v>
      </c>
      <c r="AR653" s="7">
        <v>0</v>
      </c>
      <c r="AS653" s="7">
        <v>0</v>
      </c>
      <c r="AT653" s="7">
        <v>0</v>
      </c>
      <c r="AU653" s="7">
        <v>0</v>
      </c>
      <c r="AV653" s="7">
        <v>0</v>
      </c>
      <c r="AW653" s="7">
        <v>0</v>
      </c>
      <c r="AX653" s="7">
        <v>0</v>
      </c>
      <c r="AY653" s="7">
        <v>0</v>
      </c>
      <c r="AZ653" s="7">
        <v>0</v>
      </c>
      <c r="BA653" s="7">
        <v>0</v>
      </c>
      <c r="BB653" s="7">
        <v>0</v>
      </c>
      <c r="BC653" s="7">
        <v>0</v>
      </c>
      <c r="BD653">
        <v>0</v>
      </c>
      <c r="BE653">
        <v>28.87</v>
      </c>
      <c r="BF6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3" s="42" t="str">
        <f>+IF(AVANCE[[#This Row],[FECHA INICIO REAL]]="","",AVANCE[[#This Row],[FECHA INICIO REAL]]-AVANCE[[#This Row],[FECHA INICIO TEORICO]])</f>
        <v/>
      </c>
      <c r="BH6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4" spans="1:61" x14ac:dyDescent="0.25">
      <c r="A654" t="s">
        <v>1484</v>
      </c>
      <c r="B654" t="s">
        <v>1497</v>
      </c>
      <c r="C654">
        <v>2282600653</v>
      </c>
      <c r="D654" t="s">
        <v>833</v>
      </c>
      <c r="E654" s="4">
        <v>0</v>
      </c>
      <c r="F654" s="1">
        <v>46464</v>
      </c>
      <c r="G654" s="1"/>
      <c r="H654" s="1">
        <v>0</v>
      </c>
      <c r="I654" s="1">
        <v>46484</v>
      </c>
      <c r="J654">
        <v>46188</v>
      </c>
      <c r="K654" s="1"/>
      <c r="L654" s="7">
        <v>0</v>
      </c>
      <c r="M654" s="7">
        <v>0</v>
      </c>
      <c r="N654" s="7">
        <v>0</v>
      </c>
      <c r="O654" s="7">
        <v>0</v>
      </c>
      <c r="P654" s="7">
        <v>0</v>
      </c>
      <c r="Q654" s="7">
        <v>0</v>
      </c>
      <c r="R654" s="7">
        <v>0</v>
      </c>
      <c r="S654" s="7">
        <v>0</v>
      </c>
      <c r="T654" s="7">
        <v>0</v>
      </c>
      <c r="U654" s="7">
        <v>0</v>
      </c>
      <c r="V654" s="7">
        <v>0</v>
      </c>
      <c r="W654" s="7">
        <v>0</v>
      </c>
      <c r="X654" s="7">
        <v>0</v>
      </c>
      <c r="Y654" s="7">
        <v>0</v>
      </c>
      <c r="Z654" s="7">
        <v>0</v>
      </c>
      <c r="AA654" s="7">
        <v>0</v>
      </c>
      <c r="AB654" s="7">
        <v>0</v>
      </c>
      <c r="AC654" s="7">
        <v>0</v>
      </c>
      <c r="AD654" s="7">
        <v>0</v>
      </c>
      <c r="AE654" s="7">
        <v>0</v>
      </c>
      <c r="AF654" s="7">
        <v>0</v>
      </c>
      <c r="AG654" s="7">
        <v>0</v>
      </c>
      <c r="AH654" s="7">
        <v>0</v>
      </c>
      <c r="AI654" s="7">
        <v>0</v>
      </c>
      <c r="AJ654" s="7">
        <v>0</v>
      </c>
      <c r="AK654" s="7">
        <v>0</v>
      </c>
      <c r="AL654" s="7">
        <v>0</v>
      </c>
      <c r="AM654" s="7">
        <v>0</v>
      </c>
      <c r="AN654" s="7">
        <v>0</v>
      </c>
      <c r="AO654" s="7">
        <v>0</v>
      </c>
      <c r="AP654" s="7">
        <v>0</v>
      </c>
      <c r="AQ654" s="7">
        <v>0</v>
      </c>
      <c r="AR654" s="7">
        <v>0</v>
      </c>
      <c r="AS654" s="7">
        <v>0</v>
      </c>
      <c r="AT654" s="7">
        <v>0</v>
      </c>
      <c r="AU654" s="7">
        <v>0</v>
      </c>
      <c r="AV654" s="7">
        <v>0</v>
      </c>
      <c r="AW654" s="7">
        <v>0</v>
      </c>
      <c r="AX654" s="7">
        <v>0</v>
      </c>
      <c r="AY654" s="7">
        <v>0</v>
      </c>
      <c r="AZ654" s="7">
        <v>0</v>
      </c>
      <c r="BA654" s="7">
        <v>0</v>
      </c>
      <c r="BB654" s="7">
        <v>0</v>
      </c>
      <c r="BC654" s="7">
        <v>0</v>
      </c>
      <c r="BD654">
        <v>0</v>
      </c>
      <c r="BE654">
        <v>28.87</v>
      </c>
      <c r="BF6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4" s="42" t="str">
        <f>+IF(AVANCE[[#This Row],[FECHA INICIO REAL]]="","",AVANCE[[#This Row],[FECHA INICIO REAL]]-AVANCE[[#This Row],[FECHA INICIO TEORICO]])</f>
        <v/>
      </c>
      <c r="BH6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5" spans="1:61" x14ac:dyDescent="0.25">
      <c r="A655" t="s">
        <v>1484</v>
      </c>
      <c r="B655" t="s">
        <v>1498</v>
      </c>
      <c r="C655">
        <v>2302600654</v>
      </c>
      <c r="D655" t="s">
        <v>834</v>
      </c>
      <c r="E655" s="4">
        <v>0</v>
      </c>
      <c r="F655" s="1">
        <v>46464</v>
      </c>
      <c r="G655" s="1"/>
      <c r="H655" s="1">
        <v>0</v>
      </c>
      <c r="I655" s="1">
        <v>46494</v>
      </c>
      <c r="J655">
        <v>46188</v>
      </c>
      <c r="K655" s="1"/>
      <c r="L655" s="7">
        <v>0</v>
      </c>
      <c r="M655" s="7">
        <v>0</v>
      </c>
      <c r="N655" s="7">
        <v>0</v>
      </c>
      <c r="O655" s="7">
        <v>0</v>
      </c>
      <c r="P655" s="7">
        <v>0</v>
      </c>
      <c r="Q655" s="7">
        <v>0</v>
      </c>
      <c r="R655" s="7">
        <v>0</v>
      </c>
      <c r="S655" s="7">
        <v>0</v>
      </c>
      <c r="T655" s="7">
        <v>0</v>
      </c>
      <c r="U655" s="7">
        <v>0</v>
      </c>
      <c r="V655" s="7">
        <v>0</v>
      </c>
      <c r="W655" s="7">
        <v>0</v>
      </c>
      <c r="X655" s="7">
        <v>0</v>
      </c>
      <c r="Y655" s="7">
        <v>0</v>
      </c>
      <c r="Z655" s="7">
        <v>0</v>
      </c>
      <c r="AA655" s="7">
        <v>0</v>
      </c>
      <c r="AB655" s="7">
        <v>0</v>
      </c>
      <c r="AC655" s="7">
        <v>0</v>
      </c>
      <c r="AD655" s="7">
        <v>0</v>
      </c>
      <c r="AE655" s="7">
        <v>0</v>
      </c>
      <c r="AF655" s="7">
        <v>0</v>
      </c>
      <c r="AG655" s="7">
        <v>0</v>
      </c>
      <c r="AH655" s="7">
        <v>0</v>
      </c>
      <c r="AI655" s="7">
        <v>0</v>
      </c>
      <c r="AJ655" s="7">
        <v>0</v>
      </c>
      <c r="AK655" s="7">
        <v>0</v>
      </c>
      <c r="AL655" s="7">
        <v>0</v>
      </c>
      <c r="AM655" s="7">
        <v>0</v>
      </c>
      <c r="AN655" s="7">
        <v>0</v>
      </c>
      <c r="AO655" s="7">
        <v>0</v>
      </c>
      <c r="AP655" s="7">
        <v>0</v>
      </c>
      <c r="AQ655" s="7">
        <v>0</v>
      </c>
      <c r="AR655" s="7">
        <v>0</v>
      </c>
      <c r="AS655" s="7">
        <v>0</v>
      </c>
      <c r="AT655" s="7">
        <v>0</v>
      </c>
      <c r="AU655" s="7">
        <v>0</v>
      </c>
      <c r="AV655" s="7">
        <v>0</v>
      </c>
      <c r="AW655" s="7">
        <v>0</v>
      </c>
      <c r="AX655" s="7">
        <v>0</v>
      </c>
      <c r="AY655" s="7">
        <v>0</v>
      </c>
      <c r="AZ655" s="7">
        <v>0</v>
      </c>
      <c r="BA655" s="7">
        <v>0</v>
      </c>
      <c r="BB655" s="7">
        <v>0</v>
      </c>
      <c r="BC655" s="7">
        <v>0</v>
      </c>
      <c r="BD655">
        <v>0</v>
      </c>
      <c r="BE655">
        <v>31.32</v>
      </c>
      <c r="BF6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5" s="42" t="str">
        <f>+IF(AVANCE[[#This Row],[FECHA INICIO REAL]]="","",AVANCE[[#This Row],[FECHA INICIO REAL]]-AVANCE[[#This Row],[FECHA INICIO TEORICO]])</f>
        <v/>
      </c>
      <c r="BH6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6" spans="1:61" x14ac:dyDescent="0.25">
      <c r="A656" t="s">
        <v>1484</v>
      </c>
      <c r="B656" t="s">
        <v>1499</v>
      </c>
      <c r="C656">
        <v>2302600655</v>
      </c>
      <c r="D656" t="s">
        <v>834</v>
      </c>
      <c r="E656" s="4">
        <v>0</v>
      </c>
      <c r="F656" s="1">
        <v>46464</v>
      </c>
      <c r="G656" s="1"/>
      <c r="H656" s="1">
        <v>0</v>
      </c>
      <c r="I656" s="1">
        <v>46494</v>
      </c>
      <c r="J656">
        <v>46188</v>
      </c>
      <c r="K656" s="1"/>
      <c r="L656" s="7">
        <v>0</v>
      </c>
      <c r="M656" s="7">
        <v>0</v>
      </c>
      <c r="N656" s="7">
        <v>0</v>
      </c>
      <c r="O656" s="7">
        <v>0</v>
      </c>
      <c r="P656" s="7">
        <v>0</v>
      </c>
      <c r="Q656" s="7">
        <v>0</v>
      </c>
      <c r="R656" s="7">
        <v>0</v>
      </c>
      <c r="S656" s="7">
        <v>0</v>
      </c>
      <c r="T656" s="7">
        <v>0</v>
      </c>
      <c r="U656" s="7">
        <v>0</v>
      </c>
      <c r="V656" s="7">
        <v>0</v>
      </c>
      <c r="W656" s="7">
        <v>0</v>
      </c>
      <c r="X656" s="7">
        <v>0</v>
      </c>
      <c r="Y656" s="7">
        <v>0</v>
      </c>
      <c r="Z656" s="7">
        <v>0</v>
      </c>
      <c r="AA656" s="7">
        <v>0</v>
      </c>
      <c r="AB656" s="7">
        <v>0</v>
      </c>
      <c r="AC656" s="7">
        <v>0</v>
      </c>
      <c r="AD656" s="7">
        <v>0</v>
      </c>
      <c r="AE656" s="7">
        <v>0</v>
      </c>
      <c r="AF656" s="7">
        <v>0</v>
      </c>
      <c r="AG656" s="7">
        <v>0</v>
      </c>
      <c r="AH656" s="7">
        <v>0</v>
      </c>
      <c r="AI656" s="7">
        <v>0</v>
      </c>
      <c r="AJ656" s="7">
        <v>0</v>
      </c>
      <c r="AK656" s="7">
        <v>0</v>
      </c>
      <c r="AL656" s="7">
        <v>0</v>
      </c>
      <c r="AM656" s="7">
        <v>0</v>
      </c>
      <c r="AN656" s="7">
        <v>0</v>
      </c>
      <c r="AO656" s="7">
        <v>0</v>
      </c>
      <c r="AP656" s="7">
        <v>0</v>
      </c>
      <c r="AQ656" s="7">
        <v>0</v>
      </c>
      <c r="AR656" s="7">
        <v>0</v>
      </c>
      <c r="AS656" s="7">
        <v>0</v>
      </c>
      <c r="AT656" s="7">
        <v>0</v>
      </c>
      <c r="AU656" s="7">
        <v>0</v>
      </c>
      <c r="AV656" s="7">
        <v>0</v>
      </c>
      <c r="AW656" s="7">
        <v>0</v>
      </c>
      <c r="AX656" s="7">
        <v>0</v>
      </c>
      <c r="AY656" s="7">
        <v>0</v>
      </c>
      <c r="AZ656" s="7">
        <v>0</v>
      </c>
      <c r="BA656" s="7">
        <v>0</v>
      </c>
      <c r="BB656" s="7">
        <v>0</v>
      </c>
      <c r="BC656" s="7">
        <v>0</v>
      </c>
      <c r="BD656">
        <v>0</v>
      </c>
      <c r="BE656">
        <v>31.32</v>
      </c>
      <c r="BF6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6" s="42" t="str">
        <f>+IF(AVANCE[[#This Row],[FECHA INICIO REAL]]="","",AVANCE[[#This Row],[FECHA INICIO REAL]]-AVANCE[[#This Row],[FECHA INICIO TEORICO]])</f>
        <v/>
      </c>
      <c r="BH6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7" spans="1:61" x14ac:dyDescent="0.25">
      <c r="A657" t="s">
        <v>1484</v>
      </c>
      <c r="B657" t="s">
        <v>1500</v>
      </c>
      <c r="C657">
        <v>2282600656</v>
      </c>
      <c r="D657" t="s">
        <v>833</v>
      </c>
      <c r="E657" s="4">
        <v>0</v>
      </c>
      <c r="F657" s="1">
        <v>46465</v>
      </c>
      <c r="G657" s="1"/>
      <c r="H657" s="1">
        <v>0</v>
      </c>
      <c r="I657" s="1">
        <v>46485</v>
      </c>
      <c r="J657">
        <v>46188</v>
      </c>
      <c r="K657" s="1"/>
      <c r="L657" s="7">
        <v>0</v>
      </c>
      <c r="M657" s="7">
        <v>0</v>
      </c>
      <c r="N657" s="7">
        <v>0</v>
      </c>
      <c r="O657" s="7">
        <v>0</v>
      </c>
      <c r="P657" s="7">
        <v>0</v>
      </c>
      <c r="Q657" s="7">
        <v>0</v>
      </c>
      <c r="R657" s="7">
        <v>0</v>
      </c>
      <c r="S657" s="7">
        <v>0</v>
      </c>
      <c r="T657" s="7">
        <v>0</v>
      </c>
      <c r="U657" s="7">
        <v>0</v>
      </c>
      <c r="V657" s="7">
        <v>0</v>
      </c>
      <c r="W657" s="7">
        <v>0</v>
      </c>
      <c r="X657" s="7">
        <v>0</v>
      </c>
      <c r="Y657" s="7">
        <v>0</v>
      </c>
      <c r="Z657" s="7">
        <v>0</v>
      </c>
      <c r="AA657" s="7">
        <v>0</v>
      </c>
      <c r="AB657" s="7">
        <v>0</v>
      </c>
      <c r="AC657" s="7">
        <v>0</v>
      </c>
      <c r="AD657" s="7">
        <v>0</v>
      </c>
      <c r="AE657" s="7">
        <v>0</v>
      </c>
      <c r="AF657" s="7">
        <v>0</v>
      </c>
      <c r="AG657" s="7">
        <v>0</v>
      </c>
      <c r="AH657" s="7">
        <v>0</v>
      </c>
      <c r="AI657" s="7">
        <v>0</v>
      </c>
      <c r="AJ657" s="7">
        <v>0</v>
      </c>
      <c r="AK657" s="7">
        <v>0</v>
      </c>
      <c r="AL657" s="7">
        <v>0</v>
      </c>
      <c r="AM657" s="7">
        <v>0</v>
      </c>
      <c r="AN657" s="7">
        <v>0</v>
      </c>
      <c r="AO657" s="7">
        <v>0</v>
      </c>
      <c r="AP657" s="7">
        <v>0</v>
      </c>
      <c r="AQ657" s="7">
        <v>0</v>
      </c>
      <c r="AR657" s="7">
        <v>0</v>
      </c>
      <c r="AS657" s="7">
        <v>0</v>
      </c>
      <c r="AT657" s="7">
        <v>0</v>
      </c>
      <c r="AU657" s="7">
        <v>0</v>
      </c>
      <c r="AV657" s="7">
        <v>0</v>
      </c>
      <c r="AW657" s="7">
        <v>0</v>
      </c>
      <c r="AX657" s="7">
        <v>0</v>
      </c>
      <c r="AY657" s="7">
        <v>0</v>
      </c>
      <c r="AZ657" s="7">
        <v>0</v>
      </c>
      <c r="BA657" s="7">
        <v>0</v>
      </c>
      <c r="BB657" s="7">
        <v>0</v>
      </c>
      <c r="BC657" s="7">
        <v>0</v>
      </c>
      <c r="BD657">
        <v>0</v>
      </c>
      <c r="BE657">
        <v>28.87</v>
      </c>
      <c r="BF6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7" s="42" t="str">
        <f>+IF(AVANCE[[#This Row],[FECHA INICIO REAL]]="","",AVANCE[[#This Row],[FECHA INICIO REAL]]-AVANCE[[#This Row],[FECHA INICIO TEORICO]])</f>
        <v/>
      </c>
      <c r="BH6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8" spans="1:61" x14ac:dyDescent="0.25">
      <c r="A658" t="s">
        <v>1484</v>
      </c>
      <c r="B658" t="s">
        <v>1501</v>
      </c>
      <c r="C658">
        <v>2282600657</v>
      </c>
      <c r="D658" t="s">
        <v>833</v>
      </c>
      <c r="E658" s="4">
        <v>0</v>
      </c>
      <c r="F658" s="1">
        <v>46465</v>
      </c>
      <c r="G658" s="1"/>
      <c r="H658" s="1">
        <v>0</v>
      </c>
      <c r="I658" s="1">
        <v>46485</v>
      </c>
      <c r="J658">
        <v>46188</v>
      </c>
      <c r="K658" s="1"/>
      <c r="L658" s="7">
        <v>0</v>
      </c>
      <c r="M658" s="7">
        <v>0</v>
      </c>
      <c r="N658" s="7">
        <v>0</v>
      </c>
      <c r="O658" s="7">
        <v>0</v>
      </c>
      <c r="P658" s="7">
        <v>0</v>
      </c>
      <c r="Q658" s="7">
        <v>0</v>
      </c>
      <c r="R658" s="7">
        <v>0</v>
      </c>
      <c r="S658" s="7">
        <v>0</v>
      </c>
      <c r="T658" s="7">
        <v>0</v>
      </c>
      <c r="U658" s="7">
        <v>0</v>
      </c>
      <c r="V658" s="7">
        <v>0</v>
      </c>
      <c r="W658" s="7">
        <v>0</v>
      </c>
      <c r="X658" s="7">
        <v>0</v>
      </c>
      <c r="Y658" s="7">
        <v>0</v>
      </c>
      <c r="Z658" s="7">
        <v>0</v>
      </c>
      <c r="AA658" s="7">
        <v>0</v>
      </c>
      <c r="AB658" s="7">
        <v>0</v>
      </c>
      <c r="AC658" s="7">
        <v>0</v>
      </c>
      <c r="AD658" s="7">
        <v>0</v>
      </c>
      <c r="AE658" s="7">
        <v>0</v>
      </c>
      <c r="AF658" s="7">
        <v>0</v>
      </c>
      <c r="AG658" s="7">
        <v>0</v>
      </c>
      <c r="AH658" s="7">
        <v>0</v>
      </c>
      <c r="AI658" s="7">
        <v>0</v>
      </c>
      <c r="AJ658" s="7">
        <v>0</v>
      </c>
      <c r="AK658" s="7">
        <v>0</v>
      </c>
      <c r="AL658" s="7">
        <v>0</v>
      </c>
      <c r="AM658" s="7">
        <v>0</v>
      </c>
      <c r="AN658" s="7">
        <v>0</v>
      </c>
      <c r="AO658" s="7">
        <v>0</v>
      </c>
      <c r="AP658" s="7">
        <v>0</v>
      </c>
      <c r="AQ658" s="7">
        <v>0</v>
      </c>
      <c r="AR658" s="7">
        <v>0</v>
      </c>
      <c r="AS658" s="7">
        <v>0</v>
      </c>
      <c r="AT658" s="7">
        <v>0</v>
      </c>
      <c r="AU658" s="7">
        <v>0</v>
      </c>
      <c r="AV658" s="7">
        <v>0</v>
      </c>
      <c r="AW658" s="7">
        <v>0</v>
      </c>
      <c r="AX658" s="7">
        <v>0</v>
      </c>
      <c r="AY658" s="7">
        <v>0</v>
      </c>
      <c r="AZ658" s="7">
        <v>0</v>
      </c>
      <c r="BA658" s="7">
        <v>0</v>
      </c>
      <c r="BB658" s="7">
        <v>0</v>
      </c>
      <c r="BC658" s="7">
        <v>0</v>
      </c>
      <c r="BD658">
        <v>0</v>
      </c>
      <c r="BE658">
        <v>28.87</v>
      </c>
      <c r="BF6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8" s="42" t="str">
        <f>+IF(AVANCE[[#This Row],[FECHA INICIO REAL]]="","",AVANCE[[#This Row],[FECHA INICIO REAL]]-AVANCE[[#This Row],[FECHA INICIO TEORICO]])</f>
        <v/>
      </c>
      <c r="BH6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9" spans="1:61" x14ac:dyDescent="0.25">
      <c r="A659" t="s">
        <v>1484</v>
      </c>
      <c r="B659" t="s">
        <v>1502</v>
      </c>
      <c r="C659">
        <v>2302600658</v>
      </c>
      <c r="D659" t="s">
        <v>834</v>
      </c>
      <c r="E659" s="4">
        <v>0</v>
      </c>
      <c r="F659" s="1">
        <v>46465</v>
      </c>
      <c r="G659" s="1"/>
      <c r="H659" s="1">
        <v>0</v>
      </c>
      <c r="I659" s="1">
        <v>46495</v>
      </c>
      <c r="J659">
        <v>46188</v>
      </c>
      <c r="K659" s="1"/>
      <c r="L659" s="7">
        <v>0</v>
      </c>
      <c r="M659" s="7">
        <v>0</v>
      </c>
      <c r="N659" s="7">
        <v>0</v>
      </c>
      <c r="O659" s="7">
        <v>0</v>
      </c>
      <c r="P659" s="7">
        <v>0</v>
      </c>
      <c r="Q659" s="7">
        <v>0</v>
      </c>
      <c r="R659" s="7">
        <v>0</v>
      </c>
      <c r="S659" s="7">
        <v>0</v>
      </c>
      <c r="T659" s="7">
        <v>0</v>
      </c>
      <c r="U659" s="7">
        <v>0</v>
      </c>
      <c r="V659" s="7">
        <v>0</v>
      </c>
      <c r="W659" s="7">
        <v>0</v>
      </c>
      <c r="X659" s="7">
        <v>0</v>
      </c>
      <c r="Y659" s="7">
        <v>0</v>
      </c>
      <c r="Z659" s="7">
        <v>0</v>
      </c>
      <c r="AA659" s="7">
        <v>0</v>
      </c>
      <c r="AB659" s="7">
        <v>0</v>
      </c>
      <c r="AC659" s="7">
        <v>0</v>
      </c>
      <c r="AD659" s="7">
        <v>0</v>
      </c>
      <c r="AE659" s="7">
        <v>0</v>
      </c>
      <c r="AF659" s="7">
        <v>0</v>
      </c>
      <c r="AG659" s="7">
        <v>0</v>
      </c>
      <c r="AH659" s="7">
        <v>0</v>
      </c>
      <c r="AI659" s="7">
        <v>0</v>
      </c>
      <c r="AJ659" s="7">
        <v>0</v>
      </c>
      <c r="AK659" s="7">
        <v>0</v>
      </c>
      <c r="AL659" s="7">
        <v>0</v>
      </c>
      <c r="AM659" s="7">
        <v>0</v>
      </c>
      <c r="AN659" s="7">
        <v>0</v>
      </c>
      <c r="AO659" s="7">
        <v>0</v>
      </c>
      <c r="AP659" s="7">
        <v>0</v>
      </c>
      <c r="AQ659" s="7">
        <v>0</v>
      </c>
      <c r="AR659" s="7">
        <v>0</v>
      </c>
      <c r="AS659" s="7">
        <v>0</v>
      </c>
      <c r="AT659" s="7">
        <v>0</v>
      </c>
      <c r="AU659" s="7">
        <v>0</v>
      </c>
      <c r="AV659" s="7">
        <v>0</v>
      </c>
      <c r="AW659" s="7">
        <v>0</v>
      </c>
      <c r="AX659" s="7">
        <v>0</v>
      </c>
      <c r="AY659" s="7">
        <v>0</v>
      </c>
      <c r="AZ659" s="7">
        <v>0</v>
      </c>
      <c r="BA659" s="7">
        <v>0</v>
      </c>
      <c r="BB659" s="7">
        <v>0</v>
      </c>
      <c r="BC659" s="7">
        <v>0</v>
      </c>
      <c r="BD659">
        <v>0</v>
      </c>
      <c r="BE659">
        <v>31.32</v>
      </c>
      <c r="BF6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9" s="42" t="str">
        <f>+IF(AVANCE[[#This Row],[FECHA INICIO REAL]]="","",AVANCE[[#This Row],[FECHA INICIO REAL]]-AVANCE[[#This Row],[FECHA INICIO TEORICO]])</f>
        <v/>
      </c>
      <c r="BH6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0" spans="1:61" x14ac:dyDescent="0.25">
      <c r="A660" t="s">
        <v>1484</v>
      </c>
      <c r="B660" t="s">
        <v>1503</v>
      </c>
      <c r="C660">
        <v>2302600659</v>
      </c>
      <c r="D660" t="s">
        <v>834</v>
      </c>
      <c r="E660" s="4">
        <v>0</v>
      </c>
      <c r="F660" s="1">
        <v>46468</v>
      </c>
      <c r="G660" s="1"/>
      <c r="H660" s="1">
        <v>0</v>
      </c>
      <c r="I660" s="1">
        <v>46498</v>
      </c>
      <c r="J660">
        <v>46188</v>
      </c>
      <c r="K660" s="1"/>
      <c r="L660" s="7">
        <v>0</v>
      </c>
      <c r="M660" s="7">
        <v>0</v>
      </c>
      <c r="N660" s="7">
        <v>0</v>
      </c>
      <c r="O660" s="7">
        <v>0</v>
      </c>
      <c r="P660" s="7">
        <v>0</v>
      </c>
      <c r="Q660" s="7">
        <v>0</v>
      </c>
      <c r="R660" s="7">
        <v>0</v>
      </c>
      <c r="S660" s="7">
        <v>0</v>
      </c>
      <c r="T660" s="7">
        <v>0</v>
      </c>
      <c r="U660" s="7">
        <v>0</v>
      </c>
      <c r="V660" s="7">
        <v>0</v>
      </c>
      <c r="W660" s="7">
        <v>0</v>
      </c>
      <c r="X660" s="7">
        <v>0</v>
      </c>
      <c r="Y660" s="7">
        <v>0</v>
      </c>
      <c r="Z660" s="7">
        <v>0</v>
      </c>
      <c r="AA660" s="7">
        <v>0</v>
      </c>
      <c r="AB660" s="7">
        <v>0</v>
      </c>
      <c r="AC660" s="7">
        <v>0</v>
      </c>
      <c r="AD660" s="7">
        <v>0</v>
      </c>
      <c r="AE660" s="7">
        <v>0</v>
      </c>
      <c r="AF660" s="7">
        <v>0</v>
      </c>
      <c r="AG660" s="7">
        <v>0</v>
      </c>
      <c r="AH660" s="7">
        <v>0</v>
      </c>
      <c r="AI660" s="7">
        <v>0</v>
      </c>
      <c r="AJ660" s="7">
        <v>0</v>
      </c>
      <c r="AK660" s="7">
        <v>0</v>
      </c>
      <c r="AL660" s="7">
        <v>0</v>
      </c>
      <c r="AM660" s="7">
        <v>0</v>
      </c>
      <c r="AN660" s="7">
        <v>0</v>
      </c>
      <c r="AO660" s="7">
        <v>0</v>
      </c>
      <c r="AP660" s="7">
        <v>0</v>
      </c>
      <c r="AQ660" s="7">
        <v>0</v>
      </c>
      <c r="AR660" s="7">
        <v>0</v>
      </c>
      <c r="AS660" s="7">
        <v>0</v>
      </c>
      <c r="AT660" s="7">
        <v>0</v>
      </c>
      <c r="AU660" s="7">
        <v>0</v>
      </c>
      <c r="AV660" s="7">
        <v>0</v>
      </c>
      <c r="AW660" s="7">
        <v>0</v>
      </c>
      <c r="AX660" s="7">
        <v>0</v>
      </c>
      <c r="AY660" s="7">
        <v>0</v>
      </c>
      <c r="AZ660" s="7">
        <v>0</v>
      </c>
      <c r="BA660" s="7">
        <v>0</v>
      </c>
      <c r="BB660" s="7">
        <v>0</v>
      </c>
      <c r="BC660" s="7">
        <v>0</v>
      </c>
      <c r="BD660">
        <v>0</v>
      </c>
      <c r="BE660">
        <v>31.32</v>
      </c>
      <c r="BF6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0" s="42" t="str">
        <f>+IF(AVANCE[[#This Row],[FECHA INICIO REAL]]="","",AVANCE[[#This Row],[FECHA INICIO REAL]]-AVANCE[[#This Row],[FECHA INICIO TEORICO]])</f>
        <v/>
      </c>
      <c r="BH6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1" spans="1:61" x14ac:dyDescent="0.25">
      <c r="A661" t="s">
        <v>1484</v>
      </c>
      <c r="B661" t="s">
        <v>1504</v>
      </c>
      <c r="C661">
        <v>2282600660</v>
      </c>
      <c r="D661" t="s">
        <v>833</v>
      </c>
      <c r="E661" s="4">
        <v>0</v>
      </c>
      <c r="F661" s="1">
        <v>46468</v>
      </c>
      <c r="G661" s="1"/>
      <c r="H661" s="1">
        <v>0</v>
      </c>
      <c r="I661" s="1">
        <v>46488</v>
      </c>
      <c r="J661">
        <v>46188</v>
      </c>
      <c r="K661" s="1"/>
      <c r="L661" s="7">
        <v>0</v>
      </c>
      <c r="M661" s="7">
        <v>0</v>
      </c>
      <c r="N661" s="7">
        <v>0</v>
      </c>
      <c r="O661" s="7">
        <v>0</v>
      </c>
      <c r="P661" s="7">
        <v>0</v>
      </c>
      <c r="Q661" s="7">
        <v>0</v>
      </c>
      <c r="R661" s="7">
        <v>0</v>
      </c>
      <c r="S661" s="7">
        <v>0</v>
      </c>
      <c r="T661" s="7">
        <v>0</v>
      </c>
      <c r="U661" s="7">
        <v>0</v>
      </c>
      <c r="V661" s="7">
        <v>0</v>
      </c>
      <c r="W661" s="7">
        <v>0</v>
      </c>
      <c r="X661" s="7">
        <v>0</v>
      </c>
      <c r="Y661" s="7">
        <v>0</v>
      </c>
      <c r="Z661" s="7">
        <v>0</v>
      </c>
      <c r="AA661" s="7">
        <v>0</v>
      </c>
      <c r="AB661" s="7">
        <v>0</v>
      </c>
      <c r="AC661" s="7">
        <v>0</v>
      </c>
      <c r="AD661" s="7">
        <v>0</v>
      </c>
      <c r="AE661" s="7">
        <v>0</v>
      </c>
      <c r="AF661" s="7">
        <v>0</v>
      </c>
      <c r="AG661" s="7">
        <v>0</v>
      </c>
      <c r="AH661" s="7">
        <v>0</v>
      </c>
      <c r="AI661" s="7">
        <v>0</v>
      </c>
      <c r="AJ661" s="7">
        <v>0</v>
      </c>
      <c r="AK661" s="7">
        <v>0</v>
      </c>
      <c r="AL661" s="7">
        <v>0</v>
      </c>
      <c r="AM661" s="7">
        <v>0</v>
      </c>
      <c r="AN661" s="7">
        <v>0</v>
      </c>
      <c r="AO661" s="7">
        <v>0</v>
      </c>
      <c r="AP661" s="7">
        <v>0</v>
      </c>
      <c r="AQ661" s="7">
        <v>0</v>
      </c>
      <c r="AR661" s="7">
        <v>0</v>
      </c>
      <c r="AS661" s="7">
        <v>0</v>
      </c>
      <c r="AT661" s="7">
        <v>0</v>
      </c>
      <c r="AU661" s="7">
        <v>0</v>
      </c>
      <c r="AV661" s="7">
        <v>0</v>
      </c>
      <c r="AW661" s="7">
        <v>0</v>
      </c>
      <c r="AX661" s="7">
        <v>0</v>
      </c>
      <c r="AY661" s="7">
        <v>0</v>
      </c>
      <c r="AZ661" s="7">
        <v>0</v>
      </c>
      <c r="BA661" s="7">
        <v>0</v>
      </c>
      <c r="BB661" s="7">
        <v>0</v>
      </c>
      <c r="BC661" s="7">
        <v>0</v>
      </c>
      <c r="BD661">
        <v>0</v>
      </c>
      <c r="BE661">
        <v>28.87</v>
      </c>
      <c r="BF6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1" s="42" t="str">
        <f>+IF(AVANCE[[#This Row],[FECHA INICIO REAL]]="","",AVANCE[[#This Row],[FECHA INICIO REAL]]-AVANCE[[#This Row],[FECHA INICIO TEORICO]])</f>
        <v/>
      </c>
      <c r="BH6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2" spans="1:61" x14ac:dyDescent="0.25">
      <c r="A662" t="s">
        <v>1484</v>
      </c>
      <c r="B662" t="s">
        <v>1505</v>
      </c>
      <c r="C662">
        <v>2282600661</v>
      </c>
      <c r="D662" t="s">
        <v>833</v>
      </c>
      <c r="E662" s="4">
        <v>0</v>
      </c>
      <c r="F662" s="1">
        <v>46468</v>
      </c>
      <c r="G662" s="1"/>
      <c r="H662" s="1">
        <v>0</v>
      </c>
      <c r="I662" s="1">
        <v>46488</v>
      </c>
      <c r="J662">
        <v>46188</v>
      </c>
      <c r="K662" s="1"/>
      <c r="L662" s="7">
        <v>0</v>
      </c>
      <c r="M662" s="7">
        <v>0</v>
      </c>
      <c r="N662" s="7">
        <v>0</v>
      </c>
      <c r="O662" s="7">
        <v>0</v>
      </c>
      <c r="P662" s="7">
        <v>0</v>
      </c>
      <c r="Q662" s="7">
        <v>0</v>
      </c>
      <c r="R662" s="7">
        <v>0</v>
      </c>
      <c r="S662" s="7">
        <v>0</v>
      </c>
      <c r="T662" s="7">
        <v>0</v>
      </c>
      <c r="U662" s="7">
        <v>0</v>
      </c>
      <c r="V662" s="7">
        <v>0</v>
      </c>
      <c r="W662" s="7">
        <v>0</v>
      </c>
      <c r="X662" s="7">
        <v>0</v>
      </c>
      <c r="Y662" s="7">
        <v>0</v>
      </c>
      <c r="Z662" s="7">
        <v>0</v>
      </c>
      <c r="AA662" s="7">
        <v>0</v>
      </c>
      <c r="AB662" s="7">
        <v>0</v>
      </c>
      <c r="AC662" s="7">
        <v>0</v>
      </c>
      <c r="AD662" s="7">
        <v>0</v>
      </c>
      <c r="AE662" s="7">
        <v>0</v>
      </c>
      <c r="AF662" s="7">
        <v>0</v>
      </c>
      <c r="AG662" s="7">
        <v>0</v>
      </c>
      <c r="AH662" s="7">
        <v>0</v>
      </c>
      <c r="AI662" s="7">
        <v>0</v>
      </c>
      <c r="AJ662" s="7">
        <v>0</v>
      </c>
      <c r="AK662" s="7">
        <v>0</v>
      </c>
      <c r="AL662" s="7">
        <v>0</v>
      </c>
      <c r="AM662" s="7">
        <v>0</v>
      </c>
      <c r="AN662" s="7">
        <v>0</v>
      </c>
      <c r="AO662" s="7">
        <v>0</v>
      </c>
      <c r="AP662" s="7">
        <v>0</v>
      </c>
      <c r="AQ662" s="7">
        <v>0</v>
      </c>
      <c r="AR662" s="7">
        <v>0</v>
      </c>
      <c r="AS662" s="7">
        <v>0</v>
      </c>
      <c r="AT662" s="7">
        <v>0</v>
      </c>
      <c r="AU662" s="7">
        <v>0</v>
      </c>
      <c r="AV662" s="7">
        <v>0</v>
      </c>
      <c r="AW662" s="7">
        <v>0</v>
      </c>
      <c r="AX662" s="7">
        <v>0</v>
      </c>
      <c r="AY662" s="7">
        <v>0</v>
      </c>
      <c r="AZ662" s="7">
        <v>0</v>
      </c>
      <c r="BA662" s="7">
        <v>0</v>
      </c>
      <c r="BB662" s="7">
        <v>0</v>
      </c>
      <c r="BC662" s="7">
        <v>0</v>
      </c>
      <c r="BD662">
        <v>0</v>
      </c>
      <c r="BE662">
        <v>28.87</v>
      </c>
      <c r="BF6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2" s="42" t="str">
        <f>+IF(AVANCE[[#This Row],[FECHA INICIO REAL]]="","",AVANCE[[#This Row],[FECHA INICIO REAL]]-AVANCE[[#This Row],[FECHA INICIO TEORICO]])</f>
        <v/>
      </c>
      <c r="BH6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3" spans="1:61" x14ac:dyDescent="0.25">
      <c r="A663" t="s">
        <v>1484</v>
      </c>
      <c r="B663" t="s">
        <v>1506</v>
      </c>
      <c r="C663">
        <v>2302600662</v>
      </c>
      <c r="D663" t="s">
        <v>834</v>
      </c>
      <c r="E663" s="4">
        <v>0</v>
      </c>
      <c r="F663" s="1">
        <v>46469</v>
      </c>
      <c r="G663" s="1"/>
      <c r="H663" s="1">
        <v>0</v>
      </c>
      <c r="I663" s="1">
        <v>46499</v>
      </c>
      <c r="J663">
        <v>46188</v>
      </c>
      <c r="K663" s="1"/>
      <c r="L663" s="7">
        <v>0</v>
      </c>
      <c r="M663" s="7">
        <v>0</v>
      </c>
      <c r="N663" s="7">
        <v>0</v>
      </c>
      <c r="O663" s="7">
        <v>0</v>
      </c>
      <c r="P663" s="7">
        <v>0</v>
      </c>
      <c r="Q663" s="7">
        <v>0</v>
      </c>
      <c r="R663" s="7">
        <v>0</v>
      </c>
      <c r="S663" s="7">
        <v>0</v>
      </c>
      <c r="T663" s="7">
        <v>0</v>
      </c>
      <c r="U663" s="7">
        <v>0</v>
      </c>
      <c r="V663" s="7">
        <v>0</v>
      </c>
      <c r="W663" s="7">
        <v>0</v>
      </c>
      <c r="X663" s="7">
        <v>0</v>
      </c>
      <c r="Y663" s="7">
        <v>0</v>
      </c>
      <c r="Z663" s="7">
        <v>0</v>
      </c>
      <c r="AA663" s="7">
        <v>0</v>
      </c>
      <c r="AB663" s="7">
        <v>0</v>
      </c>
      <c r="AC663" s="7">
        <v>0</v>
      </c>
      <c r="AD663" s="7">
        <v>0</v>
      </c>
      <c r="AE663" s="7">
        <v>0</v>
      </c>
      <c r="AF663" s="7">
        <v>0</v>
      </c>
      <c r="AG663" s="7">
        <v>0</v>
      </c>
      <c r="AH663" s="7">
        <v>0</v>
      </c>
      <c r="AI663" s="7">
        <v>0</v>
      </c>
      <c r="AJ663" s="7">
        <v>0</v>
      </c>
      <c r="AK663" s="7">
        <v>0</v>
      </c>
      <c r="AL663" s="7">
        <v>0</v>
      </c>
      <c r="AM663" s="7">
        <v>0</v>
      </c>
      <c r="AN663" s="7">
        <v>0</v>
      </c>
      <c r="AO663" s="7">
        <v>0</v>
      </c>
      <c r="AP663" s="7">
        <v>0</v>
      </c>
      <c r="AQ663" s="7">
        <v>0</v>
      </c>
      <c r="AR663" s="7">
        <v>0</v>
      </c>
      <c r="AS663" s="7">
        <v>0</v>
      </c>
      <c r="AT663" s="7">
        <v>0</v>
      </c>
      <c r="AU663" s="7">
        <v>0</v>
      </c>
      <c r="AV663" s="7">
        <v>0</v>
      </c>
      <c r="AW663" s="7">
        <v>0</v>
      </c>
      <c r="AX663" s="7">
        <v>0</v>
      </c>
      <c r="AY663" s="7">
        <v>0</v>
      </c>
      <c r="AZ663" s="7">
        <v>0</v>
      </c>
      <c r="BA663" s="7">
        <v>0</v>
      </c>
      <c r="BB663" s="7">
        <v>0</v>
      </c>
      <c r="BC663" s="7">
        <v>0</v>
      </c>
      <c r="BD663">
        <v>0</v>
      </c>
      <c r="BE663">
        <v>31.32</v>
      </c>
      <c r="BF6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3" s="42" t="str">
        <f>+IF(AVANCE[[#This Row],[FECHA INICIO REAL]]="","",AVANCE[[#This Row],[FECHA INICIO REAL]]-AVANCE[[#This Row],[FECHA INICIO TEORICO]])</f>
        <v/>
      </c>
      <c r="BH6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4" spans="1:61" x14ac:dyDescent="0.25">
      <c r="A664" t="s">
        <v>1484</v>
      </c>
      <c r="B664" t="s">
        <v>1507</v>
      </c>
      <c r="C664">
        <v>2302600663</v>
      </c>
      <c r="D664" t="s">
        <v>834</v>
      </c>
      <c r="E664" s="4">
        <v>0</v>
      </c>
      <c r="F664" s="1">
        <v>46469</v>
      </c>
      <c r="G664" s="1"/>
      <c r="H664" s="1">
        <v>0</v>
      </c>
      <c r="I664" s="1">
        <v>46499</v>
      </c>
      <c r="J664">
        <v>46188</v>
      </c>
      <c r="K664" s="1"/>
      <c r="L664" s="7">
        <v>0</v>
      </c>
      <c r="M664" s="7">
        <v>0</v>
      </c>
      <c r="N664" s="7">
        <v>0</v>
      </c>
      <c r="O664" s="7">
        <v>0</v>
      </c>
      <c r="P664" s="7">
        <v>0</v>
      </c>
      <c r="Q664" s="7">
        <v>0</v>
      </c>
      <c r="R664" s="7">
        <v>0</v>
      </c>
      <c r="S664" s="7">
        <v>0</v>
      </c>
      <c r="T664" s="7">
        <v>0</v>
      </c>
      <c r="U664" s="7">
        <v>0</v>
      </c>
      <c r="V664" s="7">
        <v>0</v>
      </c>
      <c r="W664" s="7">
        <v>0</v>
      </c>
      <c r="X664" s="7">
        <v>0</v>
      </c>
      <c r="Y664" s="7">
        <v>0</v>
      </c>
      <c r="Z664" s="7">
        <v>0</v>
      </c>
      <c r="AA664" s="7">
        <v>0</v>
      </c>
      <c r="AB664" s="7">
        <v>0</v>
      </c>
      <c r="AC664" s="7">
        <v>0</v>
      </c>
      <c r="AD664" s="7">
        <v>0</v>
      </c>
      <c r="AE664" s="7">
        <v>0</v>
      </c>
      <c r="AF664" s="7">
        <v>0</v>
      </c>
      <c r="AG664" s="7">
        <v>0</v>
      </c>
      <c r="AH664" s="7">
        <v>0</v>
      </c>
      <c r="AI664" s="7">
        <v>0</v>
      </c>
      <c r="AJ664" s="7">
        <v>0</v>
      </c>
      <c r="AK664" s="7">
        <v>0</v>
      </c>
      <c r="AL664" s="7">
        <v>0</v>
      </c>
      <c r="AM664" s="7">
        <v>0</v>
      </c>
      <c r="AN664" s="7">
        <v>0</v>
      </c>
      <c r="AO664" s="7">
        <v>0</v>
      </c>
      <c r="AP664" s="7">
        <v>0</v>
      </c>
      <c r="AQ664" s="7">
        <v>0</v>
      </c>
      <c r="AR664" s="7">
        <v>0</v>
      </c>
      <c r="AS664" s="7">
        <v>0</v>
      </c>
      <c r="AT664" s="7">
        <v>0</v>
      </c>
      <c r="AU664" s="7">
        <v>0</v>
      </c>
      <c r="AV664" s="7">
        <v>0</v>
      </c>
      <c r="AW664" s="7">
        <v>0</v>
      </c>
      <c r="AX664" s="7">
        <v>0</v>
      </c>
      <c r="AY664" s="7">
        <v>0</v>
      </c>
      <c r="AZ664" s="7">
        <v>0</v>
      </c>
      <c r="BA664" s="7">
        <v>0</v>
      </c>
      <c r="BB664" s="7">
        <v>0</v>
      </c>
      <c r="BC664" s="7">
        <v>0</v>
      </c>
      <c r="BD664">
        <v>0</v>
      </c>
      <c r="BE664">
        <v>31.32</v>
      </c>
      <c r="BF6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4" s="42" t="str">
        <f>+IF(AVANCE[[#This Row],[FECHA INICIO REAL]]="","",AVANCE[[#This Row],[FECHA INICIO REAL]]-AVANCE[[#This Row],[FECHA INICIO TEORICO]])</f>
        <v/>
      </c>
      <c r="BH6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5" spans="1:61" x14ac:dyDescent="0.25">
      <c r="A665" t="s">
        <v>1484</v>
      </c>
      <c r="B665" t="s">
        <v>1508</v>
      </c>
      <c r="C665">
        <v>2282600664</v>
      </c>
      <c r="D665" t="s">
        <v>833</v>
      </c>
      <c r="E665" s="4">
        <v>0</v>
      </c>
      <c r="F665" s="1">
        <v>46469</v>
      </c>
      <c r="G665" s="1"/>
      <c r="H665" s="1">
        <v>0</v>
      </c>
      <c r="I665" s="1">
        <v>46489</v>
      </c>
      <c r="J665">
        <v>46188</v>
      </c>
      <c r="K665" s="1"/>
      <c r="L665" s="7">
        <v>0</v>
      </c>
      <c r="M665" s="7">
        <v>0</v>
      </c>
      <c r="N665" s="7">
        <v>0</v>
      </c>
      <c r="O665" s="7">
        <v>0</v>
      </c>
      <c r="P665" s="7">
        <v>0</v>
      </c>
      <c r="Q665" s="7">
        <v>0</v>
      </c>
      <c r="R665" s="7">
        <v>0</v>
      </c>
      <c r="S665" s="7">
        <v>0</v>
      </c>
      <c r="T665" s="7">
        <v>0</v>
      </c>
      <c r="U665" s="7">
        <v>0</v>
      </c>
      <c r="V665" s="7">
        <v>0</v>
      </c>
      <c r="W665" s="7">
        <v>0</v>
      </c>
      <c r="X665" s="7">
        <v>0</v>
      </c>
      <c r="Y665" s="7">
        <v>0</v>
      </c>
      <c r="Z665" s="7">
        <v>0</v>
      </c>
      <c r="AA665" s="7">
        <v>0</v>
      </c>
      <c r="AB665" s="7">
        <v>0</v>
      </c>
      <c r="AC665" s="7">
        <v>0</v>
      </c>
      <c r="AD665" s="7">
        <v>0</v>
      </c>
      <c r="AE665" s="7">
        <v>0</v>
      </c>
      <c r="AF665" s="7">
        <v>0</v>
      </c>
      <c r="AG665" s="7">
        <v>0</v>
      </c>
      <c r="AH665" s="7">
        <v>0</v>
      </c>
      <c r="AI665" s="7">
        <v>0</v>
      </c>
      <c r="AJ665" s="7">
        <v>0</v>
      </c>
      <c r="AK665" s="7">
        <v>0</v>
      </c>
      <c r="AL665" s="7">
        <v>0</v>
      </c>
      <c r="AM665" s="7">
        <v>0</v>
      </c>
      <c r="AN665" s="7">
        <v>0</v>
      </c>
      <c r="AO665" s="7">
        <v>0</v>
      </c>
      <c r="AP665" s="7">
        <v>0</v>
      </c>
      <c r="AQ665" s="7">
        <v>0</v>
      </c>
      <c r="AR665" s="7">
        <v>0</v>
      </c>
      <c r="AS665" s="7">
        <v>0</v>
      </c>
      <c r="AT665" s="7">
        <v>0</v>
      </c>
      <c r="AU665" s="7">
        <v>0</v>
      </c>
      <c r="AV665" s="7">
        <v>0</v>
      </c>
      <c r="AW665" s="7">
        <v>0</v>
      </c>
      <c r="AX665" s="7">
        <v>0</v>
      </c>
      <c r="AY665" s="7">
        <v>0</v>
      </c>
      <c r="AZ665" s="7">
        <v>0</v>
      </c>
      <c r="BA665" s="7">
        <v>0</v>
      </c>
      <c r="BB665" s="7">
        <v>0</v>
      </c>
      <c r="BC665" s="7">
        <v>0</v>
      </c>
      <c r="BD665">
        <v>0</v>
      </c>
      <c r="BE665">
        <v>28.87</v>
      </c>
      <c r="BF6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5" s="42" t="str">
        <f>+IF(AVANCE[[#This Row],[FECHA INICIO REAL]]="","",AVANCE[[#This Row],[FECHA INICIO REAL]]-AVANCE[[#This Row],[FECHA INICIO TEORICO]])</f>
        <v/>
      </c>
      <c r="BH6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6" spans="1:61" x14ac:dyDescent="0.25">
      <c r="A666" t="s">
        <v>1484</v>
      </c>
      <c r="B666" t="s">
        <v>1509</v>
      </c>
      <c r="C666">
        <v>2282600665</v>
      </c>
      <c r="D666" t="s">
        <v>833</v>
      </c>
      <c r="E666" s="4">
        <v>0</v>
      </c>
      <c r="F666" s="1">
        <v>46470</v>
      </c>
      <c r="G666" s="1"/>
      <c r="H666" s="1">
        <v>0</v>
      </c>
      <c r="I666" s="1">
        <v>46490</v>
      </c>
      <c r="J666">
        <v>46188</v>
      </c>
      <c r="K666" s="1"/>
      <c r="L666" s="7">
        <v>0</v>
      </c>
      <c r="M666" s="7">
        <v>0</v>
      </c>
      <c r="N666" s="7">
        <v>0</v>
      </c>
      <c r="O666" s="7">
        <v>0</v>
      </c>
      <c r="P666" s="7">
        <v>0</v>
      </c>
      <c r="Q666" s="7">
        <v>0</v>
      </c>
      <c r="R666" s="7">
        <v>0</v>
      </c>
      <c r="S666" s="7">
        <v>0</v>
      </c>
      <c r="T666" s="7">
        <v>0</v>
      </c>
      <c r="U666" s="7">
        <v>0</v>
      </c>
      <c r="V666" s="7">
        <v>0</v>
      </c>
      <c r="W666" s="7">
        <v>0</v>
      </c>
      <c r="X666" s="7">
        <v>0</v>
      </c>
      <c r="Y666" s="7">
        <v>0</v>
      </c>
      <c r="Z666" s="7">
        <v>0</v>
      </c>
      <c r="AA666" s="7">
        <v>0</v>
      </c>
      <c r="AB666" s="7">
        <v>0</v>
      </c>
      <c r="AC666" s="7">
        <v>0</v>
      </c>
      <c r="AD666" s="7">
        <v>0</v>
      </c>
      <c r="AE666" s="7">
        <v>0</v>
      </c>
      <c r="AF666" s="7">
        <v>0</v>
      </c>
      <c r="AG666" s="7">
        <v>0</v>
      </c>
      <c r="AH666" s="7">
        <v>0</v>
      </c>
      <c r="AI666" s="7">
        <v>0</v>
      </c>
      <c r="AJ666" s="7">
        <v>0</v>
      </c>
      <c r="AK666" s="7">
        <v>0</v>
      </c>
      <c r="AL666" s="7">
        <v>0</v>
      </c>
      <c r="AM666" s="7">
        <v>0</v>
      </c>
      <c r="AN666" s="7">
        <v>0</v>
      </c>
      <c r="AO666" s="7">
        <v>0</v>
      </c>
      <c r="AP666" s="7">
        <v>0</v>
      </c>
      <c r="AQ666" s="7">
        <v>0</v>
      </c>
      <c r="AR666" s="7">
        <v>0</v>
      </c>
      <c r="AS666" s="7">
        <v>0</v>
      </c>
      <c r="AT666" s="7">
        <v>0</v>
      </c>
      <c r="AU666" s="7">
        <v>0</v>
      </c>
      <c r="AV666" s="7">
        <v>0</v>
      </c>
      <c r="AW666" s="7">
        <v>0</v>
      </c>
      <c r="AX666" s="7">
        <v>0</v>
      </c>
      <c r="AY666" s="7">
        <v>0</v>
      </c>
      <c r="AZ666" s="7">
        <v>0</v>
      </c>
      <c r="BA666" s="7">
        <v>0</v>
      </c>
      <c r="BB666" s="7">
        <v>0</v>
      </c>
      <c r="BC666" s="7">
        <v>0</v>
      </c>
      <c r="BD666">
        <v>0</v>
      </c>
      <c r="BE666">
        <v>28.87</v>
      </c>
      <c r="BF6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6" s="42" t="str">
        <f>+IF(AVANCE[[#This Row],[FECHA INICIO REAL]]="","",AVANCE[[#This Row],[FECHA INICIO REAL]]-AVANCE[[#This Row],[FECHA INICIO TEORICO]])</f>
        <v/>
      </c>
      <c r="BH6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7" spans="1:61" x14ac:dyDescent="0.25">
      <c r="A667" t="s">
        <v>1484</v>
      </c>
      <c r="B667" t="s">
        <v>1510</v>
      </c>
      <c r="C667">
        <v>2302600666</v>
      </c>
      <c r="D667" t="s">
        <v>834</v>
      </c>
      <c r="E667" s="4">
        <v>0</v>
      </c>
      <c r="F667" s="1">
        <v>46470</v>
      </c>
      <c r="G667" s="1"/>
      <c r="H667" s="1">
        <v>0</v>
      </c>
      <c r="I667" s="1">
        <v>46500</v>
      </c>
      <c r="J667">
        <v>46188</v>
      </c>
      <c r="K667" s="1"/>
      <c r="L667" s="7">
        <v>0</v>
      </c>
      <c r="M667" s="7">
        <v>0</v>
      </c>
      <c r="N667" s="7">
        <v>0</v>
      </c>
      <c r="O667" s="7">
        <v>0</v>
      </c>
      <c r="P667" s="7">
        <v>0</v>
      </c>
      <c r="Q667" s="7">
        <v>0</v>
      </c>
      <c r="R667" s="7">
        <v>0</v>
      </c>
      <c r="S667" s="7">
        <v>0</v>
      </c>
      <c r="T667" s="7">
        <v>0</v>
      </c>
      <c r="U667" s="7">
        <v>0</v>
      </c>
      <c r="V667" s="7">
        <v>0</v>
      </c>
      <c r="W667" s="7">
        <v>0</v>
      </c>
      <c r="X667" s="7">
        <v>0</v>
      </c>
      <c r="Y667" s="7">
        <v>0</v>
      </c>
      <c r="Z667" s="7">
        <v>0</v>
      </c>
      <c r="AA667" s="7">
        <v>0</v>
      </c>
      <c r="AB667" s="7">
        <v>0</v>
      </c>
      <c r="AC667" s="7">
        <v>0</v>
      </c>
      <c r="AD667" s="7">
        <v>0</v>
      </c>
      <c r="AE667" s="7">
        <v>0</v>
      </c>
      <c r="AF667" s="7">
        <v>0</v>
      </c>
      <c r="AG667" s="7">
        <v>0</v>
      </c>
      <c r="AH667" s="7">
        <v>0</v>
      </c>
      <c r="AI667" s="7">
        <v>0</v>
      </c>
      <c r="AJ667" s="7">
        <v>0</v>
      </c>
      <c r="AK667" s="7">
        <v>0</v>
      </c>
      <c r="AL667" s="7">
        <v>0</v>
      </c>
      <c r="AM667" s="7">
        <v>0</v>
      </c>
      <c r="AN667" s="7">
        <v>0</v>
      </c>
      <c r="AO667" s="7">
        <v>0</v>
      </c>
      <c r="AP667" s="7">
        <v>0</v>
      </c>
      <c r="AQ667" s="7">
        <v>0</v>
      </c>
      <c r="AR667" s="7">
        <v>0</v>
      </c>
      <c r="AS667" s="7">
        <v>0</v>
      </c>
      <c r="AT667" s="7">
        <v>0</v>
      </c>
      <c r="AU667" s="7">
        <v>0</v>
      </c>
      <c r="AV667" s="7">
        <v>0</v>
      </c>
      <c r="AW667" s="7">
        <v>0</v>
      </c>
      <c r="AX667" s="7">
        <v>0</v>
      </c>
      <c r="AY667" s="7">
        <v>0</v>
      </c>
      <c r="AZ667" s="7">
        <v>0</v>
      </c>
      <c r="BA667" s="7">
        <v>0</v>
      </c>
      <c r="BB667" s="7">
        <v>0</v>
      </c>
      <c r="BC667" s="7">
        <v>0</v>
      </c>
      <c r="BD667">
        <v>0</v>
      </c>
      <c r="BE667">
        <v>31.32</v>
      </c>
      <c r="BF6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7" s="42" t="str">
        <f>+IF(AVANCE[[#This Row],[FECHA INICIO REAL]]="","",AVANCE[[#This Row],[FECHA INICIO REAL]]-AVANCE[[#This Row],[FECHA INICIO TEORICO]])</f>
        <v/>
      </c>
      <c r="BH6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8" spans="1:61" x14ac:dyDescent="0.25">
      <c r="A668" t="s">
        <v>1484</v>
      </c>
      <c r="B668" t="s">
        <v>1511</v>
      </c>
      <c r="C668">
        <v>2302600667</v>
      </c>
      <c r="D668" t="s">
        <v>834</v>
      </c>
      <c r="E668" s="4">
        <v>0</v>
      </c>
      <c r="F668" s="1">
        <v>46470</v>
      </c>
      <c r="G668" s="1"/>
      <c r="H668" s="1">
        <v>0</v>
      </c>
      <c r="I668" s="1">
        <v>46500</v>
      </c>
      <c r="J668">
        <v>46188</v>
      </c>
      <c r="K668" s="1"/>
      <c r="L668" s="7">
        <v>0</v>
      </c>
      <c r="M668" s="7">
        <v>0</v>
      </c>
      <c r="N668" s="7">
        <v>0</v>
      </c>
      <c r="O668" s="7">
        <v>0</v>
      </c>
      <c r="P668" s="7">
        <v>0</v>
      </c>
      <c r="Q668" s="7">
        <v>0</v>
      </c>
      <c r="R668" s="7">
        <v>0</v>
      </c>
      <c r="S668" s="7">
        <v>0</v>
      </c>
      <c r="T668" s="7">
        <v>0</v>
      </c>
      <c r="U668" s="7">
        <v>0</v>
      </c>
      <c r="V668" s="7">
        <v>0</v>
      </c>
      <c r="W668" s="7">
        <v>0</v>
      </c>
      <c r="X668" s="7">
        <v>0</v>
      </c>
      <c r="Y668" s="7">
        <v>0</v>
      </c>
      <c r="Z668" s="7">
        <v>0</v>
      </c>
      <c r="AA668" s="7">
        <v>0</v>
      </c>
      <c r="AB668" s="7">
        <v>0</v>
      </c>
      <c r="AC668" s="7">
        <v>0</v>
      </c>
      <c r="AD668" s="7">
        <v>0</v>
      </c>
      <c r="AE668" s="7">
        <v>0</v>
      </c>
      <c r="AF668" s="7">
        <v>0</v>
      </c>
      <c r="AG668" s="7">
        <v>0</v>
      </c>
      <c r="AH668" s="7">
        <v>0</v>
      </c>
      <c r="AI668" s="7">
        <v>0</v>
      </c>
      <c r="AJ668" s="7">
        <v>0</v>
      </c>
      <c r="AK668" s="7">
        <v>0</v>
      </c>
      <c r="AL668" s="7">
        <v>0</v>
      </c>
      <c r="AM668" s="7">
        <v>0</v>
      </c>
      <c r="AN668" s="7">
        <v>0</v>
      </c>
      <c r="AO668" s="7">
        <v>0</v>
      </c>
      <c r="AP668" s="7">
        <v>0</v>
      </c>
      <c r="AQ668" s="7">
        <v>0</v>
      </c>
      <c r="AR668" s="7">
        <v>0</v>
      </c>
      <c r="AS668" s="7">
        <v>0</v>
      </c>
      <c r="AT668" s="7">
        <v>0</v>
      </c>
      <c r="AU668" s="7">
        <v>0</v>
      </c>
      <c r="AV668" s="7">
        <v>0</v>
      </c>
      <c r="AW668" s="7">
        <v>0</v>
      </c>
      <c r="AX668" s="7">
        <v>0</v>
      </c>
      <c r="AY668" s="7">
        <v>0</v>
      </c>
      <c r="AZ668" s="7">
        <v>0</v>
      </c>
      <c r="BA668" s="7">
        <v>0</v>
      </c>
      <c r="BB668" s="7">
        <v>0</v>
      </c>
      <c r="BC668" s="7">
        <v>0</v>
      </c>
      <c r="BD668">
        <v>0</v>
      </c>
      <c r="BE668">
        <v>31.32</v>
      </c>
      <c r="BF6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8" s="42" t="str">
        <f>+IF(AVANCE[[#This Row],[FECHA INICIO REAL]]="","",AVANCE[[#This Row],[FECHA INICIO REAL]]-AVANCE[[#This Row],[FECHA INICIO TEORICO]])</f>
        <v/>
      </c>
      <c r="BH6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9" spans="1:61" x14ac:dyDescent="0.25">
      <c r="A669" t="s">
        <v>1484</v>
      </c>
      <c r="B669" t="s">
        <v>1512</v>
      </c>
      <c r="C669">
        <v>2282600668</v>
      </c>
      <c r="D669" t="s">
        <v>833</v>
      </c>
      <c r="E669" s="4">
        <v>0</v>
      </c>
      <c r="F669" s="1">
        <v>46471</v>
      </c>
      <c r="G669" s="1"/>
      <c r="H669" s="1">
        <v>0</v>
      </c>
      <c r="I669" s="1">
        <v>46491</v>
      </c>
      <c r="J669">
        <v>46188</v>
      </c>
      <c r="K669" s="1"/>
      <c r="L669" s="7">
        <v>0</v>
      </c>
      <c r="M669" s="7">
        <v>0</v>
      </c>
      <c r="N669" s="7">
        <v>0</v>
      </c>
      <c r="O669" s="7">
        <v>0</v>
      </c>
      <c r="P669" s="7">
        <v>0</v>
      </c>
      <c r="Q669" s="7">
        <v>0</v>
      </c>
      <c r="R669" s="7">
        <v>0</v>
      </c>
      <c r="S669" s="7">
        <v>0</v>
      </c>
      <c r="T669" s="7">
        <v>0</v>
      </c>
      <c r="U669" s="7">
        <v>0</v>
      </c>
      <c r="V669" s="7">
        <v>0</v>
      </c>
      <c r="W669" s="7">
        <v>0</v>
      </c>
      <c r="X669" s="7">
        <v>0</v>
      </c>
      <c r="Y669" s="7">
        <v>0</v>
      </c>
      <c r="Z669" s="7">
        <v>0</v>
      </c>
      <c r="AA669" s="7">
        <v>0</v>
      </c>
      <c r="AB669" s="7">
        <v>0</v>
      </c>
      <c r="AC669" s="7">
        <v>0</v>
      </c>
      <c r="AD669" s="7">
        <v>0</v>
      </c>
      <c r="AE669" s="7">
        <v>0</v>
      </c>
      <c r="AF669" s="7">
        <v>0</v>
      </c>
      <c r="AG669" s="7">
        <v>0</v>
      </c>
      <c r="AH669" s="7">
        <v>0</v>
      </c>
      <c r="AI669" s="7">
        <v>0</v>
      </c>
      <c r="AJ669" s="7">
        <v>0</v>
      </c>
      <c r="AK669" s="7">
        <v>0</v>
      </c>
      <c r="AL669" s="7">
        <v>0</v>
      </c>
      <c r="AM669" s="7">
        <v>0</v>
      </c>
      <c r="AN669" s="7">
        <v>0</v>
      </c>
      <c r="AO669" s="7">
        <v>0</v>
      </c>
      <c r="AP669" s="7">
        <v>0</v>
      </c>
      <c r="AQ669" s="7">
        <v>0</v>
      </c>
      <c r="AR669" s="7">
        <v>0</v>
      </c>
      <c r="AS669" s="7">
        <v>0</v>
      </c>
      <c r="AT669" s="7">
        <v>0</v>
      </c>
      <c r="AU669" s="7">
        <v>0</v>
      </c>
      <c r="AV669" s="7">
        <v>0</v>
      </c>
      <c r="AW669" s="7">
        <v>0</v>
      </c>
      <c r="AX669" s="7">
        <v>0</v>
      </c>
      <c r="AY669" s="7">
        <v>0</v>
      </c>
      <c r="AZ669" s="7">
        <v>0</v>
      </c>
      <c r="BA669" s="7">
        <v>0</v>
      </c>
      <c r="BB669" s="7">
        <v>0</v>
      </c>
      <c r="BC669" s="7">
        <v>0</v>
      </c>
      <c r="BD669">
        <v>0</v>
      </c>
      <c r="BE669">
        <v>28.87</v>
      </c>
      <c r="BF6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9" s="42" t="str">
        <f>+IF(AVANCE[[#This Row],[FECHA INICIO REAL]]="","",AVANCE[[#This Row],[FECHA INICIO REAL]]-AVANCE[[#This Row],[FECHA INICIO TEORICO]])</f>
        <v/>
      </c>
      <c r="BH6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0" spans="1:61" x14ac:dyDescent="0.25">
      <c r="A670" t="s">
        <v>1484</v>
      </c>
      <c r="B670" t="s">
        <v>1513</v>
      </c>
      <c r="C670">
        <v>2282600669</v>
      </c>
      <c r="D670" t="s">
        <v>833</v>
      </c>
      <c r="E670" s="4">
        <v>0</v>
      </c>
      <c r="F670" s="1">
        <v>46471</v>
      </c>
      <c r="G670" s="1"/>
      <c r="H670" s="1">
        <v>0</v>
      </c>
      <c r="I670" s="1">
        <v>46491</v>
      </c>
      <c r="J670">
        <v>46188</v>
      </c>
      <c r="K670" s="1"/>
      <c r="L670" s="7">
        <v>0</v>
      </c>
      <c r="M670" s="7">
        <v>0</v>
      </c>
      <c r="N670" s="7">
        <v>0</v>
      </c>
      <c r="O670" s="7">
        <v>0</v>
      </c>
      <c r="P670" s="7">
        <v>0</v>
      </c>
      <c r="Q670" s="7">
        <v>0</v>
      </c>
      <c r="R670" s="7">
        <v>0</v>
      </c>
      <c r="S670" s="7">
        <v>0</v>
      </c>
      <c r="T670" s="7">
        <v>0</v>
      </c>
      <c r="U670" s="7">
        <v>0</v>
      </c>
      <c r="V670" s="7">
        <v>0</v>
      </c>
      <c r="W670" s="7">
        <v>0</v>
      </c>
      <c r="X670" s="7">
        <v>0</v>
      </c>
      <c r="Y670" s="7">
        <v>0</v>
      </c>
      <c r="Z670" s="7">
        <v>0</v>
      </c>
      <c r="AA670" s="7">
        <v>0</v>
      </c>
      <c r="AB670" s="7">
        <v>0</v>
      </c>
      <c r="AC670" s="7">
        <v>0</v>
      </c>
      <c r="AD670" s="7">
        <v>0</v>
      </c>
      <c r="AE670" s="7">
        <v>0</v>
      </c>
      <c r="AF670" s="7">
        <v>0</v>
      </c>
      <c r="AG670" s="7">
        <v>0</v>
      </c>
      <c r="AH670" s="7">
        <v>0</v>
      </c>
      <c r="AI670" s="7">
        <v>0</v>
      </c>
      <c r="AJ670" s="7">
        <v>0</v>
      </c>
      <c r="AK670" s="7">
        <v>0</v>
      </c>
      <c r="AL670" s="7">
        <v>0</v>
      </c>
      <c r="AM670" s="7">
        <v>0</v>
      </c>
      <c r="AN670" s="7">
        <v>0</v>
      </c>
      <c r="AO670" s="7">
        <v>0</v>
      </c>
      <c r="AP670" s="7">
        <v>0</v>
      </c>
      <c r="AQ670" s="7">
        <v>0</v>
      </c>
      <c r="AR670" s="7">
        <v>0</v>
      </c>
      <c r="AS670" s="7">
        <v>0</v>
      </c>
      <c r="AT670" s="7">
        <v>0</v>
      </c>
      <c r="AU670" s="7">
        <v>0</v>
      </c>
      <c r="AV670" s="7">
        <v>0</v>
      </c>
      <c r="AW670" s="7">
        <v>0</v>
      </c>
      <c r="AX670" s="7">
        <v>0</v>
      </c>
      <c r="AY670" s="7">
        <v>0</v>
      </c>
      <c r="AZ670" s="7">
        <v>0</v>
      </c>
      <c r="BA670" s="7">
        <v>0</v>
      </c>
      <c r="BB670" s="7">
        <v>0</v>
      </c>
      <c r="BC670" s="7">
        <v>0</v>
      </c>
      <c r="BD670">
        <v>0</v>
      </c>
      <c r="BE670">
        <v>28.87</v>
      </c>
      <c r="BF6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0" s="42" t="str">
        <f>+IF(AVANCE[[#This Row],[FECHA INICIO REAL]]="","",AVANCE[[#This Row],[FECHA INICIO REAL]]-AVANCE[[#This Row],[FECHA INICIO TEORICO]])</f>
        <v/>
      </c>
      <c r="BH6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1" spans="1:61" x14ac:dyDescent="0.25">
      <c r="A671" t="s">
        <v>1484</v>
      </c>
      <c r="B671" t="s">
        <v>1514</v>
      </c>
      <c r="C671">
        <v>2302600670</v>
      </c>
      <c r="D671" t="s">
        <v>834</v>
      </c>
      <c r="E671" s="4">
        <v>0</v>
      </c>
      <c r="F671" s="1">
        <v>46471</v>
      </c>
      <c r="G671" s="1"/>
      <c r="H671" s="1">
        <v>0</v>
      </c>
      <c r="I671" s="1">
        <v>46501</v>
      </c>
      <c r="J671">
        <v>46188</v>
      </c>
      <c r="K671" s="1"/>
      <c r="L671" s="7">
        <v>0</v>
      </c>
      <c r="M671" s="7">
        <v>0</v>
      </c>
      <c r="N671" s="7">
        <v>0</v>
      </c>
      <c r="O671" s="7">
        <v>0</v>
      </c>
      <c r="P671" s="7">
        <v>0</v>
      </c>
      <c r="Q671" s="7">
        <v>0</v>
      </c>
      <c r="R671" s="7">
        <v>0</v>
      </c>
      <c r="S671" s="7">
        <v>0</v>
      </c>
      <c r="T671" s="7">
        <v>0</v>
      </c>
      <c r="U671" s="7">
        <v>0</v>
      </c>
      <c r="V671" s="7">
        <v>0</v>
      </c>
      <c r="W671" s="7">
        <v>0</v>
      </c>
      <c r="X671" s="7">
        <v>0</v>
      </c>
      <c r="Y671" s="7">
        <v>0</v>
      </c>
      <c r="Z671" s="7">
        <v>0</v>
      </c>
      <c r="AA671" s="7">
        <v>0</v>
      </c>
      <c r="AB671" s="7">
        <v>0</v>
      </c>
      <c r="AC671" s="7">
        <v>0</v>
      </c>
      <c r="AD671" s="7">
        <v>0</v>
      </c>
      <c r="AE671" s="7">
        <v>0</v>
      </c>
      <c r="AF671" s="7">
        <v>0</v>
      </c>
      <c r="AG671" s="7">
        <v>0</v>
      </c>
      <c r="AH671" s="7">
        <v>0</v>
      </c>
      <c r="AI671" s="7">
        <v>0</v>
      </c>
      <c r="AJ671" s="7">
        <v>0</v>
      </c>
      <c r="AK671" s="7">
        <v>0</v>
      </c>
      <c r="AL671" s="7">
        <v>0</v>
      </c>
      <c r="AM671" s="7">
        <v>0</v>
      </c>
      <c r="AN671" s="7">
        <v>0</v>
      </c>
      <c r="AO671" s="7">
        <v>0</v>
      </c>
      <c r="AP671" s="7">
        <v>0</v>
      </c>
      <c r="AQ671" s="7">
        <v>0</v>
      </c>
      <c r="AR671" s="7">
        <v>0</v>
      </c>
      <c r="AS671" s="7">
        <v>0</v>
      </c>
      <c r="AT671" s="7">
        <v>0</v>
      </c>
      <c r="AU671" s="7">
        <v>0</v>
      </c>
      <c r="AV671" s="7">
        <v>0</v>
      </c>
      <c r="AW671" s="7">
        <v>0</v>
      </c>
      <c r="AX671" s="7">
        <v>0</v>
      </c>
      <c r="AY671" s="7">
        <v>0</v>
      </c>
      <c r="AZ671" s="7">
        <v>0</v>
      </c>
      <c r="BA671" s="7">
        <v>0</v>
      </c>
      <c r="BB671" s="7">
        <v>0</v>
      </c>
      <c r="BC671" s="7">
        <v>0</v>
      </c>
      <c r="BD671">
        <v>0</v>
      </c>
      <c r="BE671">
        <v>31.32</v>
      </c>
      <c r="BF6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1" s="42" t="str">
        <f>+IF(AVANCE[[#This Row],[FECHA INICIO REAL]]="","",AVANCE[[#This Row],[FECHA INICIO REAL]]-AVANCE[[#This Row],[FECHA INICIO TEORICO]])</f>
        <v/>
      </c>
      <c r="BH6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2" spans="1:61" x14ac:dyDescent="0.25">
      <c r="A672" t="s">
        <v>1484</v>
      </c>
      <c r="B672" t="s">
        <v>1515</v>
      </c>
      <c r="C672">
        <v>2302600671</v>
      </c>
      <c r="D672" t="s">
        <v>834</v>
      </c>
      <c r="E672" s="4">
        <v>0</v>
      </c>
      <c r="F672" s="1">
        <v>46472</v>
      </c>
      <c r="G672" s="1"/>
      <c r="H672" s="1">
        <v>0</v>
      </c>
      <c r="I672" s="1">
        <v>46502</v>
      </c>
      <c r="J672">
        <v>46188</v>
      </c>
      <c r="K672" s="1"/>
      <c r="L672" s="7">
        <v>0</v>
      </c>
      <c r="M672" s="7">
        <v>0</v>
      </c>
      <c r="N672" s="7">
        <v>0</v>
      </c>
      <c r="O672" s="7">
        <v>0</v>
      </c>
      <c r="P672" s="7">
        <v>0</v>
      </c>
      <c r="Q672" s="7">
        <v>0</v>
      </c>
      <c r="R672" s="7">
        <v>0</v>
      </c>
      <c r="S672" s="7">
        <v>0</v>
      </c>
      <c r="T672" s="7">
        <v>0</v>
      </c>
      <c r="U672" s="7">
        <v>0</v>
      </c>
      <c r="V672" s="7">
        <v>0</v>
      </c>
      <c r="W672" s="7">
        <v>0</v>
      </c>
      <c r="X672" s="7">
        <v>0</v>
      </c>
      <c r="Y672" s="7">
        <v>0</v>
      </c>
      <c r="Z672" s="7">
        <v>0</v>
      </c>
      <c r="AA672" s="7">
        <v>0</v>
      </c>
      <c r="AB672" s="7">
        <v>0</v>
      </c>
      <c r="AC672" s="7">
        <v>0</v>
      </c>
      <c r="AD672" s="7">
        <v>0</v>
      </c>
      <c r="AE672" s="7">
        <v>0</v>
      </c>
      <c r="AF672" s="7">
        <v>0</v>
      </c>
      <c r="AG672" s="7">
        <v>0</v>
      </c>
      <c r="AH672" s="7">
        <v>0</v>
      </c>
      <c r="AI672" s="7">
        <v>0</v>
      </c>
      <c r="AJ672" s="7">
        <v>0</v>
      </c>
      <c r="AK672" s="7">
        <v>0</v>
      </c>
      <c r="AL672" s="7">
        <v>0</v>
      </c>
      <c r="AM672" s="7">
        <v>0</v>
      </c>
      <c r="AN672" s="7">
        <v>0</v>
      </c>
      <c r="AO672" s="7">
        <v>0</v>
      </c>
      <c r="AP672" s="7">
        <v>0</v>
      </c>
      <c r="AQ672" s="7">
        <v>0</v>
      </c>
      <c r="AR672" s="7">
        <v>0</v>
      </c>
      <c r="AS672" s="7">
        <v>0</v>
      </c>
      <c r="AT672" s="7">
        <v>0</v>
      </c>
      <c r="AU672" s="7">
        <v>0</v>
      </c>
      <c r="AV672" s="7">
        <v>0</v>
      </c>
      <c r="AW672" s="7">
        <v>0</v>
      </c>
      <c r="AX672" s="7">
        <v>0</v>
      </c>
      <c r="AY672" s="7">
        <v>0</v>
      </c>
      <c r="AZ672" s="7">
        <v>0</v>
      </c>
      <c r="BA672" s="7">
        <v>0</v>
      </c>
      <c r="BB672" s="7">
        <v>0</v>
      </c>
      <c r="BC672" s="7">
        <v>0</v>
      </c>
      <c r="BD672">
        <v>0</v>
      </c>
      <c r="BE672">
        <v>31.32</v>
      </c>
      <c r="BF6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2" s="42" t="str">
        <f>+IF(AVANCE[[#This Row],[FECHA INICIO REAL]]="","",AVANCE[[#This Row],[FECHA INICIO REAL]]-AVANCE[[#This Row],[FECHA INICIO TEORICO]])</f>
        <v/>
      </c>
      <c r="BH6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3" spans="1:61" x14ac:dyDescent="0.25">
      <c r="A673" t="s">
        <v>1484</v>
      </c>
      <c r="B673" t="s">
        <v>1516</v>
      </c>
      <c r="C673">
        <v>2282600672</v>
      </c>
      <c r="D673" t="s">
        <v>833</v>
      </c>
      <c r="E673" s="4">
        <v>0</v>
      </c>
      <c r="F673" s="1">
        <v>46472</v>
      </c>
      <c r="G673" s="1"/>
      <c r="H673" s="1">
        <v>0</v>
      </c>
      <c r="I673" s="1">
        <v>46492</v>
      </c>
      <c r="J673">
        <v>46188</v>
      </c>
      <c r="K673" s="1"/>
      <c r="L673" s="7">
        <v>0</v>
      </c>
      <c r="M673" s="7">
        <v>0</v>
      </c>
      <c r="N673" s="7">
        <v>0</v>
      </c>
      <c r="O673" s="7">
        <v>0</v>
      </c>
      <c r="P673" s="7">
        <v>0</v>
      </c>
      <c r="Q673" s="7">
        <v>0</v>
      </c>
      <c r="R673" s="7">
        <v>0</v>
      </c>
      <c r="S673" s="7">
        <v>0</v>
      </c>
      <c r="T673" s="7">
        <v>0</v>
      </c>
      <c r="U673" s="7">
        <v>0</v>
      </c>
      <c r="V673" s="7">
        <v>0</v>
      </c>
      <c r="W673" s="7">
        <v>0</v>
      </c>
      <c r="X673" s="7">
        <v>0</v>
      </c>
      <c r="Y673" s="7">
        <v>0</v>
      </c>
      <c r="Z673" s="7">
        <v>0</v>
      </c>
      <c r="AA673" s="7">
        <v>0</v>
      </c>
      <c r="AB673" s="7">
        <v>0</v>
      </c>
      <c r="AC673" s="7">
        <v>0</v>
      </c>
      <c r="AD673" s="7">
        <v>0</v>
      </c>
      <c r="AE673" s="7">
        <v>0</v>
      </c>
      <c r="AF673" s="7">
        <v>0</v>
      </c>
      <c r="AG673" s="7">
        <v>0</v>
      </c>
      <c r="AH673" s="7">
        <v>0</v>
      </c>
      <c r="AI673" s="7">
        <v>0</v>
      </c>
      <c r="AJ673" s="7">
        <v>0</v>
      </c>
      <c r="AK673" s="7">
        <v>0</v>
      </c>
      <c r="AL673" s="7">
        <v>0</v>
      </c>
      <c r="AM673" s="7">
        <v>0</v>
      </c>
      <c r="AN673" s="7">
        <v>0</v>
      </c>
      <c r="AO673" s="7">
        <v>0</v>
      </c>
      <c r="AP673" s="7">
        <v>0</v>
      </c>
      <c r="AQ673" s="7">
        <v>0</v>
      </c>
      <c r="AR673" s="7">
        <v>0</v>
      </c>
      <c r="AS673" s="7">
        <v>0</v>
      </c>
      <c r="AT673" s="7">
        <v>0</v>
      </c>
      <c r="AU673" s="7">
        <v>0</v>
      </c>
      <c r="AV673" s="7">
        <v>0</v>
      </c>
      <c r="AW673" s="7">
        <v>0</v>
      </c>
      <c r="AX673" s="7">
        <v>0</v>
      </c>
      <c r="AY673" s="7">
        <v>0</v>
      </c>
      <c r="AZ673" s="7">
        <v>0</v>
      </c>
      <c r="BA673" s="7">
        <v>0</v>
      </c>
      <c r="BB673" s="7">
        <v>0</v>
      </c>
      <c r="BC673" s="7">
        <v>0</v>
      </c>
      <c r="BD673">
        <v>0</v>
      </c>
      <c r="BE673">
        <v>28.87</v>
      </c>
      <c r="BF6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3" s="42" t="str">
        <f>+IF(AVANCE[[#This Row],[FECHA INICIO REAL]]="","",AVANCE[[#This Row],[FECHA INICIO REAL]]-AVANCE[[#This Row],[FECHA INICIO TEORICO]])</f>
        <v/>
      </c>
      <c r="BH6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4" spans="1:61" x14ac:dyDescent="0.25">
      <c r="A674" t="s">
        <v>1517</v>
      </c>
      <c r="B674" t="s">
        <v>1518</v>
      </c>
      <c r="C674">
        <v>2282600673</v>
      </c>
      <c r="D674" t="s">
        <v>833</v>
      </c>
      <c r="E674" s="4">
        <v>0</v>
      </c>
      <c r="F674" s="1">
        <v>46472</v>
      </c>
      <c r="G674" s="1"/>
      <c r="H674" s="1">
        <v>0</v>
      </c>
      <c r="I674" s="1">
        <v>46492</v>
      </c>
      <c r="J674">
        <v>46188</v>
      </c>
      <c r="K674" s="1"/>
      <c r="L674" s="7">
        <v>0</v>
      </c>
      <c r="M674" s="7">
        <v>0</v>
      </c>
      <c r="N674" s="7">
        <v>0</v>
      </c>
      <c r="O674" s="7">
        <v>0</v>
      </c>
      <c r="P674" s="7">
        <v>0</v>
      </c>
      <c r="Q674" s="7">
        <v>0</v>
      </c>
      <c r="R674" s="7">
        <v>0</v>
      </c>
      <c r="S674" s="7">
        <v>0</v>
      </c>
      <c r="T674" s="7">
        <v>0</v>
      </c>
      <c r="U674" s="7">
        <v>0</v>
      </c>
      <c r="V674" s="7">
        <v>0</v>
      </c>
      <c r="W674" s="7">
        <v>0</v>
      </c>
      <c r="X674" s="7">
        <v>0</v>
      </c>
      <c r="Y674" s="7">
        <v>0</v>
      </c>
      <c r="Z674" s="7">
        <v>0</v>
      </c>
      <c r="AA674" s="7">
        <v>0</v>
      </c>
      <c r="AB674" s="7">
        <v>0</v>
      </c>
      <c r="AC674" s="7">
        <v>0</v>
      </c>
      <c r="AD674" s="7">
        <v>0</v>
      </c>
      <c r="AE674" s="7">
        <v>0</v>
      </c>
      <c r="AF674" s="7">
        <v>0</v>
      </c>
      <c r="AG674" s="7">
        <v>0</v>
      </c>
      <c r="AH674" s="7">
        <v>0</v>
      </c>
      <c r="AI674" s="7">
        <v>0</v>
      </c>
      <c r="AJ674" s="7">
        <v>0</v>
      </c>
      <c r="AK674" s="7">
        <v>0</v>
      </c>
      <c r="AL674" s="7">
        <v>0</v>
      </c>
      <c r="AM674" s="7">
        <v>0</v>
      </c>
      <c r="AN674" s="7">
        <v>0</v>
      </c>
      <c r="AO674" s="7">
        <v>0</v>
      </c>
      <c r="AP674" s="7">
        <v>0</v>
      </c>
      <c r="AQ674" s="7">
        <v>0</v>
      </c>
      <c r="AR674" s="7">
        <v>0</v>
      </c>
      <c r="AS674" s="7">
        <v>0</v>
      </c>
      <c r="AT674" s="7">
        <v>0</v>
      </c>
      <c r="AU674" s="7">
        <v>0</v>
      </c>
      <c r="AV674" s="7">
        <v>0</v>
      </c>
      <c r="AW674" s="7">
        <v>0</v>
      </c>
      <c r="AX674" s="7">
        <v>0</v>
      </c>
      <c r="AY674" s="7">
        <v>0</v>
      </c>
      <c r="AZ674" s="7">
        <v>0</v>
      </c>
      <c r="BA674" s="7">
        <v>0</v>
      </c>
      <c r="BB674" s="7">
        <v>0</v>
      </c>
      <c r="BC674" s="7">
        <v>0</v>
      </c>
      <c r="BD674">
        <v>0</v>
      </c>
      <c r="BE674">
        <v>28.87</v>
      </c>
      <c r="BF6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4" s="42" t="str">
        <f>+IF(AVANCE[[#This Row],[FECHA INICIO REAL]]="","",AVANCE[[#This Row],[FECHA INICIO REAL]]-AVANCE[[#This Row],[FECHA INICIO TEORICO]])</f>
        <v/>
      </c>
      <c r="BH6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5" spans="1:61" x14ac:dyDescent="0.25">
      <c r="A675" t="s">
        <v>1517</v>
      </c>
      <c r="B675" t="s">
        <v>1519</v>
      </c>
      <c r="C675">
        <v>2302600674</v>
      </c>
      <c r="D675" t="s">
        <v>834</v>
      </c>
      <c r="E675" s="4">
        <v>0</v>
      </c>
      <c r="F675" s="1">
        <v>46475</v>
      </c>
      <c r="G675" s="1"/>
      <c r="H675" s="1">
        <v>0</v>
      </c>
      <c r="I675" s="1">
        <v>46505</v>
      </c>
      <c r="J675">
        <v>46188</v>
      </c>
      <c r="K675" s="1"/>
      <c r="L675" s="7">
        <v>0</v>
      </c>
      <c r="M675" s="7">
        <v>0</v>
      </c>
      <c r="N675" s="7">
        <v>0</v>
      </c>
      <c r="O675" s="7">
        <v>0</v>
      </c>
      <c r="P675" s="7">
        <v>0</v>
      </c>
      <c r="Q675" s="7">
        <v>0</v>
      </c>
      <c r="R675" s="7">
        <v>0</v>
      </c>
      <c r="S675" s="7">
        <v>0</v>
      </c>
      <c r="T675" s="7">
        <v>0</v>
      </c>
      <c r="U675" s="7">
        <v>0</v>
      </c>
      <c r="V675" s="7">
        <v>0</v>
      </c>
      <c r="W675" s="7">
        <v>0</v>
      </c>
      <c r="X675" s="7">
        <v>0</v>
      </c>
      <c r="Y675" s="7">
        <v>0</v>
      </c>
      <c r="Z675" s="7">
        <v>0</v>
      </c>
      <c r="AA675" s="7">
        <v>0</v>
      </c>
      <c r="AB675" s="7">
        <v>0</v>
      </c>
      <c r="AC675" s="7">
        <v>0</v>
      </c>
      <c r="AD675" s="7">
        <v>0</v>
      </c>
      <c r="AE675" s="7">
        <v>0</v>
      </c>
      <c r="AF675" s="7">
        <v>0</v>
      </c>
      <c r="AG675" s="7">
        <v>0</v>
      </c>
      <c r="AH675" s="7">
        <v>0</v>
      </c>
      <c r="AI675" s="7">
        <v>0</v>
      </c>
      <c r="AJ675" s="7">
        <v>0</v>
      </c>
      <c r="AK675" s="7">
        <v>0</v>
      </c>
      <c r="AL675" s="7">
        <v>0</v>
      </c>
      <c r="AM675" s="7">
        <v>0</v>
      </c>
      <c r="AN675" s="7">
        <v>0</v>
      </c>
      <c r="AO675" s="7">
        <v>0</v>
      </c>
      <c r="AP675" s="7">
        <v>0</v>
      </c>
      <c r="AQ675" s="7">
        <v>0</v>
      </c>
      <c r="AR675" s="7">
        <v>0</v>
      </c>
      <c r="AS675" s="7">
        <v>0</v>
      </c>
      <c r="AT675" s="7">
        <v>0</v>
      </c>
      <c r="AU675" s="7">
        <v>0</v>
      </c>
      <c r="AV675" s="7">
        <v>0</v>
      </c>
      <c r="AW675" s="7">
        <v>0</v>
      </c>
      <c r="AX675" s="7">
        <v>0</v>
      </c>
      <c r="AY675" s="7">
        <v>0</v>
      </c>
      <c r="AZ675" s="7">
        <v>0</v>
      </c>
      <c r="BA675" s="7">
        <v>0</v>
      </c>
      <c r="BB675" s="7">
        <v>0</v>
      </c>
      <c r="BC675" s="7">
        <v>0</v>
      </c>
      <c r="BD675">
        <v>0</v>
      </c>
      <c r="BE675">
        <v>31.32</v>
      </c>
      <c r="BF6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5" s="42" t="str">
        <f>+IF(AVANCE[[#This Row],[FECHA INICIO REAL]]="","",AVANCE[[#This Row],[FECHA INICIO REAL]]-AVANCE[[#This Row],[FECHA INICIO TEORICO]])</f>
        <v/>
      </c>
      <c r="BH6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6" spans="1:61" x14ac:dyDescent="0.25">
      <c r="A676" t="s">
        <v>1517</v>
      </c>
      <c r="B676" t="s">
        <v>1520</v>
      </c>
      <c r="C676">
        <v>2302600675</v>
      </c>
      <c r="D676" t="s">
        <v>834</v>
      </c>
      <c r="E676" s="4">
        <v>0</v>
      </c>
      <c r="F676" s="1">
        <v>46475</v>
      </c>
      <c r="G676" s="1"/>
      <c r="H676" s="1">
        <v>0</v>
      </c>
      <c r="I676" s="1">
        <v>46505</v>
      </c>
      <c r="J676">
        <v>46188</v>
      </c>
      <c r="K676" s="1"/>
      <c r="L676" s="7">
        <v>0</v>
      </c>
      <c r="M676" s="7">
        <v>0</v>
      </c>
      <c r="N676" s="7">
        <v>0</v>
      </c>
      <c r="O676" s="7">
        <v>0</v>
      </c>
      <c r="P676" s="7">
        <v>0</v>
      </c>
      <c r="Q676" s="7">
        <v>0</v>
      </c>
      <c r="R676" s="7">
        <v>0</v>
      </c>
      <c r="S676" s="7">
        <v>0</v>
      </c>
      <c r="T676" s="7">
        <v>0</v>
      </c>
      <c r="U676" s="7">
        <v>0</v>
      </c>
      <c r="V676" s="7">
        <v>0</v>
      </c>
      <c r="W676" s="7">
        <v>0</v>
      </c>
      <c r="X676" s="7">
        <v>0</v>
      </c>
      <c r="Y676" s="7">
        <v>0</v>
      </c>
      <c r="Z676" s="7">
        <v>0</v>
      </c>
      <c r="AA676" s="7">
        <v>0</v>
      </c>
      <c r="AB676" s="7">
        <v>0</v>
      </c>
      <c r="AC676" s="7">
        <v>0</v>
      </c>
      <c r="AD676" s="7">
        <v>0</v>
      </c>
      <c r="AE676" s="7">
        <v>0</v>
      </c>
      <c r="AF676" s="7">
        <v>0</v>
      </c>
      <c r="AG676" s="7">
        <v>0</v>
      </c>
      <c r="AH676" s="7">
        <v>0</v>
      </c>
      <c r="AI676" s="7">
        <v>0</v>
      </c>
      <c r="AJ676" s="7">
        <v>0</v>
      </c>
      <c r="AK676" s="7">
        <v>0</v>
      </c>
      <c r="AL676" s="7">
        <v>0</v>
      </c>
      <c r="AM676" s="7">
        <v>0</v>
      </c>
      <c r="AN676" s="7">
        <v>0</v>
      </c>
      <c r="AO676" s="7">
        <v>0</v>
      </c>
      <c r="AP676" s="7">
        <v>0</v>
      </c>
      <c r="AQ676" s="7">
        <v>0</v>
      </c>
      <c r="AR676" s="7">
        <v>0</v>
      </c>
      <c r="AS676" s="7">
        <v>0</v>
      </c>
      <c r="AT676" s="7">
        <v>0</v>
      </c>
      <c r="AU676" s="7">
        <v>0</v>
      </c>
      <c r="AV676" s="7">
        <v>0</v>
      </c>
      <c r="AW676" s="7">
        <v>0</v>
      </c>
      <c r="AX676" s="7">
        <v>0</v>
      </c>
      <c r="AY676" s="7">
        <v>0</v>
      </c>
      <c r="AZ676" s="7">
        <v>0</v>
      </c>
      <c r="BA676" s="7">
        <v>0</v>
      </c>
      <c r="BB676" s="7">
        <v>0</v>
      </c>
      <c r="BC676" s="7">
        <v>0</v>
      </c>
      <c r="BD676">
        <v>0</v>
      </c>
      <c r="BE676">
        <v>31.32</v>
      </c>
      <c r="BF6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6" s="42" t="str">
        <f>+IF(AVANCE[[#This Row],[FECHA INICIO REAL]]="","",AVANCE[[#This Row],[FECHA INICIO REAL]]-AVANCE[[#This Row],[FECHA INICIO TEORICO]])</f>
        <v/>
      </c>
      <c r="BH6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7" spans="1:61" x14ac:dyDescent="0.25">
      <c r="A677" t="s">
        <v>1517</v>
      </c>
      <c r="B677" t="s">
        <v>1521</v>
      </c>
      <c r="C677">
        <v>2282600676</v>
      </c>
      <c r="D677" t="s">
        <v>833</v>
      </c>
      <c r="E677" s="4">
        <v>0</v>
      </c>
      <c r="F677" s="1">
        <v>46475</v>
      </c>
      <c r="G677" s="1"/>
      <c r="H677" s="1">
        <v>0</v>
      </c>
      <c r="I677" s="1">
        <v>46495</v>
      </c>
      <c r="J677">
        <v>46188</v>
      </c>
      <c r="K677" s="1"/>
      <c r="L677" s="7">
        <v>0</v>
      </c>
      <c r="M677" s="7">
        <v>0</v>
      </c>
      <c r="N677" s="7">
        <v>0</v>
      </c>
      <c r="O677" s="7">
        <v>0</v>
      </c>
      <c r="P677" s="7">
        <v>0</v>
      </c>
      <c r="Q677" s="7">
        <v>0</v>
      </c>
      <c r="R677" s="7">
        <v>0</v>
      </c>
      <c r="S677" s="7">
        <v>0</v>
      </c>
      <c r="T677" s="7">
        <v>0</v>
      </c>
      <c r="U677" s="7">
        <v>0</v>
      </c>
      <c r="V677" s="7">
        <v>0</v>
      </c>
      <c r="W677" s="7">
        <v>0</v>
      </c>
      <c r="X677" s="7">
        <v>0</v>
      </c>
      <c r="Y677" s="7">
        <v>0</v>
      </c>
      <c r="Z677" s="7">
        <v>0</v>
      </c>
      <c r="AA677" s="7">
        <v>0</v>
      </c>
      <c r="AB677" s="7">
        <v>0</v>
      </c>
      <c r="AC677" s="7">
        <v>0</v>
      </c>
      <c r="AD677" s="7">
        <v>0</v>
      </c>
      <c r="AE677" s="7">
        <v>0</v>
      </c>
      <c r="AF677" s="7">
        <v>0</v>
      </c>
      <c r="AG677" s="7">
        <v>0</v>
      </c>
      <c r="AH677" s="7">
        <v>0</v>
      </c>
      <c r="AI677" s="7">
        <v>0</v>
      </c>
      <c r="AJ677" s="7">
        <v>0</v>
      </c>
      <c r="AK677" s="7">
        <v>0</v>
      </c>
      <c r="AL677" s="7">
        <v>0</v>
      </c>
      <c r="AM677" s="7">
        <v>0</v>
      </c>
      <c r="AN677" s="7">
        <v>0</v>
      </c>
      <c r="AO677" s="7">
        <v>0</v>
      </c>
      <c r="AP677" s="7">
        <v>0</v>
      </c>
      <c r="AQ677" s="7">
        <v>0</v>
      </c>
      <c r="AR677" s="7">
        <v>0</v>
      </c>
      <c r="AS677" s="7">
        <v>0</v>
      </c>
      <c r="AT677" s="7">
        <v>0</v>
      </c>
      <c r="AU677" s="7">
        <v>0</v>
      </c>
      <c r="AV677" s="7">
        <v>0</v>
      </c>
      <c r="AW677" s="7">
        <v>0</v>
      </c>
      <c r="AX677" s="7">
        <v>0</v>
      </c>
      <c r="AY677" s="7">
        <v>0</v>
      </c>
      <c r="AZ677" s="7">
        <v>0</v>
      </c>
      <c r="BA677" s="7">
        <v>0</v>
      </c>
      <c r="BB677" s="7">
        <v>0</v>
      </c>
      <c r="BC677" s="7">
        <v>0</v>
      </c>
      <c r="BD677">
        <v>0</v>
      </c>
      <c r="BE677">
        <v>28.87</v>
      </c>
      <c r="BF6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7" s="42" t="str">
        <f>+IF(AVANCE[[#This Row],[FECHA INICIO REAL]]="","",AVANCE[[#This Row],[FECHA INICIO REAL]]-AVANCE[[#This Row],[FECHA INICIO TEORICO]])</f>
        <v/>
      </c>
      <c r="BH6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8" spans="1:61" x14ac:dyDescent="0.25">
      <c r="A678" t="s">
        <v>1517</v>
      </c>
      <c r="B678" t="s">
        <v>1522</v>
      </c>
      <c r="C678">
        <v>2282600677</v>
      </c>
      <c r="D678" t="s">
        <v>833</v>
      </c>
      <c r="E678" s="4">
        <v>0</v>
      </c>
      <c r="F678" s="1">
        <v>46476</v>
      </c>
      <c r="G678" s="1"/>
      <c r="H678" s="1">
        <v>0</v>
      </c>
      <c r="I678" s="1">
        <v>46496</v>
      </c>
      <c r="J678">
        <v>46188</v>
      </c>
      <c r="K678" s="1"/>
      <c r="L678" s="7">
        <v>0</v>
      </c>
      <c r="M678" s="7">
        <v>0</v>
      </c>
      <c r="N678" s="7">
        <v>0</v>
      </c>
      <c r="O678" s="7">
        <v>0</v>
      </c>
      <c r="P678" s="7">
        <v>0</v>
      </c>
      <c r="Q678" s="7">
        <v>0</v>
      </c>
      <c r="R678" s="7">
        <v>0</v>
      </c>
      <c r="S678" s="7">
        <v>0</v>
      </c>
      <c r="T678" s="7">
        <v>0</v>
      </c>
      <c r="U678" s="7">
        <v>0</v>
      </c>
      <c r="V678" s="7">
        <v>0</v>
      </c>
      <c r="W678" s="7">
        <v>0</v>
      </c>
      <c r="X678" s="7">
        <v>0</v>
      </c>
      <c r="Y678" s="7">
        <v>0</v>
      </c>
      <c r="Z678" s="7">
        <v>0</v>
      </c>
      <c r="AA678" s="7">
        <v>0</v>
      </c>
      <c r="AB678" s="7">
        <v>0</v>
      </c>
      <c r="AC678" s="7">
        <v>0</v>
      </c>
      <c r="AD678" s="7">
        <v>0</v>
      </c>
      <c r="AE678" s="7">
        <v>0</v>
      </c>
      <c r="AF678" s="7">
        <v>0</v>
      </c>
      <c r="AG678" s="7">
        <v>0</v>
      </c>
      <c r="AH678" s="7">
        <v>0</v>
      </c>
      <c r="AI678" s="7">
        <v>0</v>
      </c>
      <c r="AJ678" s="7">
        <v>0</v>
      </c>
      <c r="AK678" s="7">
        <v>0</v>
      </c>
      <c r="AL678" s="7">
        <v>0</v>
      </c>
      <c r="AM678" s="7">
        <v>0</v>
      </c>
      <c r="AN678" s="7">
        <v>0</v>
      </c>
      <c r="AO678" s="7">
        <v>0</v>
      </c>
      <c r="AP678" s="7">
        <v>0</v>
      </c>
      <c r="AQ678" s="7">
        <v>0</v>
      </c>
      <c r="AR678" s="7">
        <v>0</v>
      </c>
      <c r="AS678" s="7">
        <v>0</v>
      </c>
      <c r="AT678" s="7">
        <v>0</v>
      </c>
      <c r="AU678" s="7">
        <v>0</v>
      </c>
      <c r="AV678" s="7">
        <v>0</v>
      </c>
      <c r="AW678" s="7">
        <v>0</v>
      </c>
      <c r="AX678" s="7">
        <v>0</v>
      </c>
      <c r="AY678" s="7">
        <v>0</v>
      </c>
      <c r="AZ678" s="7">
        <v>0</v>
      </c>
      <c r="BA678" s="7">
        <v>0</v>
      </c>
      <c r="BB678" s="7">
        <v>0</v>
      </c>
      <c r="BC678" s="7">
        <v>0</v>
      </c>
      <c r="BD678">
        <v>0</v>
      </c>
      <c r="BE678">
        <v>28.87</v>
      </c>
      <c r="BF6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8" s="42" t="str">
        <f>+IF(AVANCE[[#This Row],[FECHA INICIO REAL]]="","",AVANCE[[#This Row],[FECHA INICIO REAL]]-AVANCE[[#This Row],[FECHA INICIO TEORICO]])</f>
        <v/>
      </c>
      <c r="BH6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9" spans="1:61" x14ac:dyDescent="0.25">
      <c r="A679" t="s">
        <v>1517</v>
      </c>
      <c r="B679" t="s">
        <v>1523</v>
      </c>
      <c r="C679">
        <v>2302600678</v>
      </c>
      <c r="D679" t="s">
        <v>834</v>
      </c>
      <c r="E679" s="4">
        <v>0</v>
      </c>
      <c r="F679" s="1">
        <v>46476</v>
      </c>
      <c r="G679" s="1"/>
      <c r="H679" s="1">
        <v>0</v>
      </c>
      <c r="I679" s="1">
        <v>46506</v>
      </c>
      <c r="J679">
        <v>46188</v>
      </c>
      <c r="K679" s="1"/>
      <c r="L679" s="7">
        <v>0</v>
      </c>
      <c r="M679" s="7">
        <v>0</v>
      </c>
      <c r="N679" s="7">
        <v>0</v>
      </c>
      <c r="O679" s="7">
        <v>0</v>
      </c>
      <c r="P679" s="7">
        <v>0</v>
      </c>
      <c r="Q679" s="7">
        <v>0</v>
      </c>
      <c r="R679" s="7">
        <v>0</v>
      </c>
      <c r="S679" s="7">
        <v>0</v>
      </c>
      <c r="T679" s="7">
        <v>0</v>
      </c>
      <c r="U679" s="7">
        <v>0</v>
      </c>
      <c r="V679" s="7">
        <v>0</v>
      </c>
      <c r="W679" s="7">
        <v>0</v>
      </c>
      <c r="X679" s="7">
        <v>0</v>
      </c>
      <c r="Y679" s="7">
        <v>0</v>
      </c>
      <c r="Z679" s="7">
        <v>0</v>
      </c>
      <c r="AA679" s="7">
        <v>0</v>
      </c>
      <c r="AB679" s="7">
        <v>0</v>
      </c>
      <c r="AC679" s="7">
        <v>0</v>
      </c>
      <c r="AD679" s="7">
        <v>0</v>
      </c>
      <c r="AE679" s="7">
        <v>0</v>
      </c>
      <c r="AF679" s="7">
        <v>0</v>
      </c>
      <c r="AG679" s="7">
        <v>0</v>
      </c>
      <c r="AH679" s="7">
        <v>0</v>
      </c>
      <c r="AI679" s="7">
        <v>0</v>
      </c>
      <c r="AJ679" s="7">
        <v>0</v>
      </c>
      <c r="AK679" s="7">
        <v>0</v>
      </c>
      <c r="AL679" s="7">
        <v>0</v>
      </c>
      <c r="AM679" s="7">
        <v>0</v>
      </c>
      <c r="AN679" s="7">
        <v>0</v>
      </c>
      <c r="AO679" s="7">
        <v>0</v>
      </c>
      <c r="AP679" s="7">
        <v>0</v>
      </c>
      <c r="AQ679" s="7">
        <v>0</v>
      </c>
      <c r="AR679" s="7">
        <v>0</v>
      </c>
      <c r="AS679" s="7">
        <v>0</v>
      </c>
      <c r="AT679" s="7">
        <v>0</v>
      </c>
      <c r="AU679" s="7">
        <v>0</v>
      </c>
      <c r="AV679" s="7">
        <v>0</v>
      </c>
      <c r="AW679" s="7">
        <v>0</v>
      </c>
      <c r="AX679" s="7">
        <v>0</v>
      </c>
      <c r="AY679" s="7">
        <v>0</v>
      </c>
      <c r="AZ679" s="7">
        <v>0</v>
      </c>
      <c r="BA679" s="7">
        <v>0</v>
      </c>
      <c r="BB679" s="7">
        <v>0</v>
      </c>
      <c r="BC679" s="7">
        <v>0</v>
      </c>
      <c r="BD679">
        <v>0</v>
      </c>
      <c r="BE679">
        <v>31.32</v>
      </c>
      <c r="BF6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9" s="42" t="str">
        <f>+IF(AVANCE[[#This Row],[FECHA INICIO REAL]]="","",AVANCE[[#This Row],[FECHA INICIO REAL]]-AVANCE[[#This Row],[FECHA INICIO TEORICO]])</f>
        <v/>
      </c>
      <c r="BH6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0" spans="1:61" x14ac:dyDescent="0.25">
      <c r="A680" t="s">
        <v>1517</v>
      </c>
      <c r="B680" t="s">
        <v>1524</v>
      </c>
      <c r="C680">
        <v>2302600679</v>
      </c>
      <c r="D680" t="s">
        <v>834</v>
      </c>
      <c r="E680" s="4">
        <v>0</v>
      </c>
      <c r="F680" s="1">
        <v>46476</v>
      </c>
      <c r="G680" s="1"/>
      <c r="H680" s="1">
        <v>0</v>
      </c>
      <c r="I680" s="1">
        <v>46506</v>
      </c>
      <c r="J680">
        <v>46188</v>
      </c>
      <c r="K680" s="1"/>
      <c r="L680" s="7">
        <v>0</v>
      </c>
      <c r="M680" s="7">
        <v>0</v>
      </c>
      <c r="N680" s="7">
        <v>0</v>
      </c>
      <c r="O680" s="7">
        <v>0</v>
      </c>
      <c r="P680" s="7">
        <v>0</v>
      </c>
      <c r="Q680" s="7">
        <v>0</v>
      </c>
      <c r="R680" s="7">
        <v>0</v>
      </c>
      <c r="S680" s="7">
        <v>0</v>
      </c>
      <c r="T680" s="7">
        <v>0</v>
      </c>
      <c r="U680" s="7">
        <v>0</v>
      </c>
      <c r="V680" s="7">
        <v>0</v>
      </c>
      <c r="W680" s="7">
        <v>0</v>
      </c>
      <c r="X680" s="7">
        <v>0</v>
      </c>
      <c r="Y680" s="7">
        <v>0</v>
      </c>
      <c r="Z680" s="7">
        <v>0</v>
      </c>
      <c r="AA680" s="7">
        <v>0</v>
      </c>
      <c r="AB680" s="7">
        <v>0</v>
      </c>
      <c r="AC680" s="7">
        <v>0</v>
      </c>
      <c r="AD680" s="7">
        <v>0</v>
      </c>
      <c r="AE680" s="7">
        <v>0</v>
      </c>
      <c r="AF680" s="7">
        <v>0</v>
      </c>
      <c r="AG680" s="7">
        <v>0</v>
      </c>
      <c r="AH680" s="7">
        <v>0</v>
      </c>
      <c r="AI680" s="7">
        <v>0</v>
      </c>
      <c r="AJ680" s="7">
        <v>0</v>
      </c>
      <c r="AK680" s="7">
        <v>0</v>
      </c>
      <c r="AL680" s="7">
        <v>0</v>
      </c>
      <c r="AM680" s="7">
        <v>0</v>
      </c>
      <c r="AN680" s="7">
        <v>0</v>
      </c>
      <c r="AO680" s="7">
        <v>0</v>
      </c>
      <c r="AP680" s="7">
        <v>0</v>
      </c>
      <c r="AQ680" s="7">
        <v>0</v>
      </c>
      <c r="AR680" s="7">
        <v>0</v>
      </c>
      <c r="AS680" s="7">
        <v>0</v>
      </c>
      <c r="AT680" s="7">
        <v>0</v>
      </c>
      <c r="AU680" s="7">
        <v>0</v>
      </c>
      <c r="AV680" s="7">
        <v>0</v>
      </c>
      <c r="AW680" s="7">
        <v>0</v>
      </c>
      <c r="AX680" s="7">
        <v>0</v>
      </c>
      <c r="AY680" s="7">
        <v>0</v>
      </c>
      <c r="AZ680" s="7">
        <v>0</v>
      </c>
      <c r="BA680" s="7">
        <v>0</v>
      </c>
      <c r="BB680" s="7">
        <v>0</v>
      </c>
      <c r="BC680" s="7">
        <v>0</v>
      </c>
      <c r="BD680">
        <v>0</v>
      </c>
      <c r="BE680">
        <v>31.32</v>
      </c>
      <c r="BF6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0" s="42" t="str">
        <f>+IF(AVANCE[[#This Row],[FECHA INICIO REAL]]="","",AVANCE[[#This Row],[FECHA INICIO REAL]]-AVANCE[[#This Row],[FECHA INICIO TEORICO]])</f>
        <v/>
      </c>
      <c r="BH6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1" spans="1:61" x14ac:dyDescent="0.25">
      <c r="A681" t="s">
        <v>1517</v>
      </c>
      <c r="B681" t="s">
        <v>1525</v>
      </c>
      <c r="C681">
        <v>2282600680</v>
      </c>
      <c r="D681" t="s">
        <v>833</v>
      </c>
      <c r="E681" s="4">
        <v>0</v>
      </c>
      <c r="F681" s="1">
        <v>46477</v>
      </c>
      <c r="G681" s="1"/>
      <c r="H681" s="1">
        <v>0</v>
      </c>
      <c r="I681" s="1">
        <v>46497</v>
      </c>
      <c r="J681">
        <v>46188</v>
      </c>
      <c r="K681" s="1"/>
      <c r="L681" s="7">
        <v>0</v>
      </c>
      <c r="M681" s="7">
        <v>0</v>
      </c>
      <c r="N681" s="7">
        <v>0</v>
      </c>
      <c r="O681" s="7">
        <v>0</v>
      </c>
      <c r="P681" s="7">
        <v>0</v>
      </c>
      <c r="Q681" s="7">
        <v>0</v>
      </c>
      <c r="R681" s="7">
        <v>0</v>
      </c>
      <c r="S681" s="7">
        <v>0</v>
      </c>
      <c r="T681" s="7">
        <v>0</v>
      </c>
      <c r="U681" s="7">
        <v>0</v>
      </c>
      <c r="V681" s="7">
        <v>0</v>
      </c>
      <c r="W681" s="7">
        <v>0</v>
      </c>
      <c r="X681" s="7">
        <v>0</v>
      </c>
      <c r="Y681" s="7">
        <v>0</v>
      </c>
      <c r="Z681" s="7">
        <v>0</v>
      </c>
      <c r="AA681" s="7">
        <v>0</v>
      </c>
      <c r="AB681" s="7">
        <v>0</v>
      </c>
      <c r="AC681" s="7">
        <v>0</v>
      </c>
      <c r="AD681" s="7">
        <v>0</v>
      </c>
      <c r="AE681" s="7">
        <v>0</v>
      </c>
      <c r="AF681" s="7">
        <v>0</v>
      </c>
      <c r="AG681" s="7">
        <v>0</v>
      </c>
      <c r="AH681" s="7">
        <v>0</v>
      </c>
      <c r="AI681" s="7">
        <v>0</v>
      </c>
      <c r="AJ681" s="7">
        <v>0</v>
      </c>
      <c r="AK681" s="7">
        <v>0</v>
      </c>
      <c r="AL681" s="7">
        <v>0</v>
      </c>
      <c r="AM681" s="7">
        <v>0</v>
      </c>
      <c r="AN681" s="7">
        <v>0</v>
      </c>
      <c r="AO681" s="7">
        <v>0</v>
      </c>
      <c r="AP681" s="7">
        <v>0</v>
      </c>
      <c r="AQ681" s="7">
        <v>0</v>
      </c>
      <c r="AR681" s="7">
        <v>0</v>
      </c>
      <c r="AS681" s="7">
        <v>0</v>
      </c>
      <c r="AT681" s="7">
        <v>0</v>
      </c>
      <c r="AU681" s="7">
        <v>0</v>
      </c>
      <c r="AV681" s="7">
        <v>0</v>
      </c>
      <c r="AW681" s="7">
        <v>0</v>
      </c>
      <c r="AX681" s="7">
        <v>0</v>
      </c>
      <c r="AY681" s="7">
        <v>0</v>
      </c>
      <c r="AZ681" s="7">
        <v>0</v>
      </c>
      <c r="BA681" s="7">
        <v>0</v>
      </c>
      <c r="BB681" s="7">
        <v>0</v>
      </c>
      <c r="BC681" s="7">
        <v>0</v>
      </c>
      <c r="BD681">
        <v>0</v>
      </c>
      <c r="BE681">
        <v>28.87</v>
      </c>
      <c r="BF6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1" s="42" t="str">
        <f>+IF(AVANCE[[#This Row],[FECHA INICIO REAL]]="","",AVANCE[[#This Row],[FECHA INICIO REAL]]-AVANCE[[#This Row],[FECHA INICIO TEORICO]])</f>
        <v/>
      </c>
      <c r="BH6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2" spans="1:61" x14ac:dyDescent="0.25">
      <c r="A682" t="s">
        <v>1517</v>
      </c>
      <c r="B682" t="s">
        <v>1526</v>
      </c>
      <c r="C682">
        <v>2282600681</v>
      </c>
      <c r="D682" t="s">
        <v>833</v>
      </c>
      <c r="E682" s="4">
        <v>0</v>
      </c>
      <c r="F682" s="1">
        <v>46477</v>
      </c>
      <c r="G682" s="1"/>
      <c r="H682" s="1">
        <v>0</v>
      </c>
      <c r="I682" s="1">
        <v>46497</v>
      </c>
      <c r="J682">
        <v>46188</v>
      </c>
      <c r="K682" s="1"/>
      <c r="L682" s="7">
        <v>0</v>
      </c>
      <c r="M682" s="7">
        <v>0</v>
      </c>
      <c r="N682" s="7">
        <v>0</v>
      </c>
      <c r="O682" s="7">
        <v>0</v>
      </c>
      <c r="P682" s="7">
        <v>0</v>
      </c>
      <c r="Q682" s="7">
        <v>0</v>
      </c>
      <c r="R682" s="7">
        <v>0</v>
      </c>
      <c r="S682" s="7">
        <v>0</v>
      </c>
      <c r="T682" s="7">
        <v>0</v>
      </c>
      <c r="U682" s="7">
        <v>0</v>
      </c>
      <c r="V682" s="7">
        <v>0</v>
      </c>
      <c r="W682" s="7">
        <v>0</v>
      </c>
      <c r="X682" s="7">
        <v>0</v>
      </c>
      <c r="Y682" s="7">
        <v>0</v>
      </c>
      <c r="Z682" s="7">
        <v>0</v>
      </c>
      <c r="AA682" s="7">
        <v>0</v>
      </c>
      <c r="AB682" s="7">
        <v>0</v>
      </c>
      <c r="AC682" s="7">
        <v>0</v>
      </c>
      <c r="AD682" s="7">
        <v>0</v>
      </c>
      <c r="AE682" s="7">
        <v>0</v>
      </c>
      <c r="AF682" s="7">
        <v>0</v>
      </c>
      <c r="AG682" s="7">
        <v>0</v>
      </c>
      <c r="AH682" s="7">
        <v>0</v>
      </c>
      <c r="AI682" s="7">
        <v>0</v>
      </c>
      <c r="AJ682" s="7">
        <v>0</v>
      </c>
      <c r="AK682" s="7">
        <v>0</v>
      </c>
      <c r="AL682" s="7">
        <v>0</v>
      </c>
      <c r="AM682" s="7">
        <v>0</v>
      </c>
      <c r="AN682" s="7">
        <v>0</v>
      </c>
      <c r="AO682" s="7">
        <v>0</v>
      </c>
      <c r="AP682" s="7">
        <v>0</v>
      </c>
      <c r="AQ682" s="7">
        <v>0</v>
      </c>
      <c r="AR682" s="7">
        <v>0</v>
      </c>
      <c r="AS682" s="7">
        <v>0</v>
      </c>
      <c r="AT682" s="7">
        <v>0</v>
      </c>
      <c r="AU682" s="7">
        <v>0</v>
      </c>
      <c r="AV682" s="7">
        <v>0</v>
      </c>
      <c r="AW682" s="7">
        <v>0</v>
      </c>
      <c r="AX682" s="7">
        <v>0</v>
      </c>
      <c r="AY682" s="7">
        <v>0</v>
      </c>
      <c r="AZ682" s="7">
        <v>0</v>
      </c>
      <c r="BA682" s="7">
        <v>0</v>
      </c>
      <c r="BB682" s="7">
        <v>0</v>
      </c>
      <c r="BC682" s="7">
        <v>0</v>
      </c>
      <c r="BD682">
        <v>0</v>
      </c>
      <c r="BE682">
        <v>28.87</v>
      </c>
      <c r="BF6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2" s="42" t="str">
        <f>+IF(AVANCE[[#This Row],[FECHA INICIO REAL]]="","",AVANCE[[#This Row],[FECHA INICIO REAL]]-AVANCE[[#This Row],[FECHA INICIO TEORICO]])</f>
        <v/>
      </c>
      <c r="BH6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3" spans="1:61" x14ac:dyDescent="0.25">
      <c r="A683" t="s">
        <v>1517</v>
      </c>
      <c r="B683" t="s">
        <v>1527</v>
      </c>
      <c r="C683">
        <v>2302600682</v>
      </c>
      <c r="D683" t="s">
        <v>834</v>
      </c>
      <c r="E683" s="4">
        <v>0</v>
      </c>
      <c r="F683" s="1">
        <v>46477</v>
      </c>
      <c r="G683" s="1"/>
      <c r="H683" s="1">
        <v>0</v>
      </c>
      <c r="I683" s="1">
        <v>46507</v>
      </c>
      <c r="J683">
        <v>46188</v>
      </c>
      <c r="K683" s="1"/>
      <c r="L683" s="7">
        <v>0</v>
      </c>
      <c r="M683" s="7">
        <v>0</v>
      </c>
      <c r="N683" s="7">
        <v>0</v>
      </c>
      <c r="O683" s="7">
        <v>0</v>
      </c>
      <c r="P683" s="7">
        <v>0</v>
      </c>
      <c r="Q683" s="7">
        <v>0</v>
      </c>
      <c r="R683" s="7">
        <v>0</v>
      </c>
      <c r="S683" s="7">
        <v>0</v>
      </c>
      <c r="T683" s="7">
        <v>0</v>
      </c>
      <c r="U683" s="7">
        <v>0</v>
      </c>
      <c r="V683" s="7">
        <v>0</v>
      </c>
      <c r="W683" s="7">
        <v>0</v>
      </c>
      <c r="X683" s="7">
        <v>0</v>
      </c>
      <c r="Y683" s="7">
        <v>0</v>
      </c>
      <c r="Z683" s="7">
        <v>0</v>
      </c>
      <c r="AA683" s="7">
        <v>0</v>
      </c>
      <c r="AB683" s="7">
        <v>0</v>
      </c>
      <c r="AC683" s="7">
        <v>0</v>
      </c>
      <c r="AD683" s="7">
        <v>0</v>
      </c>
      <c r="AE683" s="7">
        <v>0</v>
      </c>
      <c r="AF683" s="7">
        <v>0</v>
      </c>
      <c r="AG683" s="7">
        <v>0</v>
      </c>
      <c r="AH683" s="7">
        <v>0</v>
      </c>
      <c r="AI683" s="7">
        <v>0</v>
      </c>
      <c r="AJ683" s="7">
        <v>0</v>
      </c>
      <c r="AK683" s="7">
        <v>0</v>
      </c>
      <c r="AL683" s="7">
        <v>0</v>
      </c>
      <c r="AM683" s="7">
        <v>0</v>
      </c>
      <c r="AN683" s="7">
        <v>0</v>
      </c>
      <c r="AO683" s="7">
        <v>0</v>
      </c>
      <c r="AP683" s="7">
        <v>0</v>
      </c>
      <c r="AQ683" s="7">
        <v>0</v>
      </c>
      <c r="AR683" s="7">
        <v>0</v>
      </c>
      <c r="AS683" s="7">
        <v>0</v>
      </c>
      <c r="AT683" s="7">
        <v>0</v>
      </c>
      <c r="AU683" s="7">
        <v>0</v>
      </c>
      <c r="AV683" s="7">
        <v>0</v>
      </c>
      <c r="AW683" s="7">
        <v>0</v>
      </c>
      <c r="AX683" s="7">
        <v>0</v>
      </c>
      <c r="AY683" s="7">
        <v>0</v>
      </c>
      <c r="AZ683" s="7">
        <v>0</v>
      </c>
      <c r="BA683" s="7">
        <v>0</v>
      </c>
      <c r="BB683" s="7">
        <v>0</v>
      </c>
      <c r="BC683" s="7">
        <v>0</v>
      </c>
      <c r="BD683">
        <v>0</v>
      </c>
      <c r="BE683">
        <v>31.32</v>
      </c>
      <c r="BF6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3" s="42" t="str">
        <f>+IF(AVANCE[[#This Row],[FECHA INICIO REAL]]="","",AVANCE[[#This Row],[FECHA INICIO REAL]]-AVANCE[[#This Row],[FECHA INICIO TEORICO]])</f>
        <v/>
      </c>
      <c r="BH6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4" spans="1:61" x14ac:dyDescent="0.25">
      <c r="A684" t="s">
        <v>1517</v>
      </c>
      <c r="B684" t="s">
        <v>1528</v>
      </c>
      <c r="C684">
        <v>2302600683</v>
      </c>
      <c r="D684" t="s">
        <v>834</v>
      </c>
      <c r="E684" s="4">
        <v>0</v>
      </c>
      <c r="F684" s="1">
        <v>46478</v>
      </c>
      <c r="G684" s="1"/>
      <c r="H684" s="1">
        <v>0</v>
      </c>
      <c r="I684" s="1">
        <v>46508</v>
      </c>
      <c r="J684">
        <v>46188</v>
      </c>
      <c r="K684" s="1"/>
      <c r="L684" s="7">
        <v>0</v>
      </c>
      <c r="M684" s="7">
        <v>0</v>
      </c>
      <c r="N684" s="7">
        <v>0</v>
      </c>
      <c r="O684" s="7">
        <v>0</v>
      </c>
      <c r="P684" s="7">
        <v>0</v>
      </c>
      <c r="Q684" s="7">
        <v>0</v>
      </c>
      <c r="R684" s="7">
        <v>0</v>
      </c>
      <c r="S684" s="7">
        <v>0</v>
      </c>
      <c r="T684" s="7">
        <v>0</v>
      </c>
      <c r="U684" s="7">
        <v>0</v>
      </c>
      <c r="V684" s="7">
        <v>0</v>
      </c>
      <c r="W684" s="7">
        <v>0</v>
      </c>
      <c r="X684" s="7">
        <v>0</v>
      </c>
      <c r="Y684" s="7">
        <v>0</v>
      </c>
      <c r="Z684" s="7">
        <v>0</v>
      </c>
      <c r="AA684" s="7">
        <v>0</v>
      </c>
      <c r="AB684" s="7">
        <v>0</v>
      </c>
      <c r="AC684" s="7">
        <v>0</v>
      </c>
      <c r="AD684" s="7">
        <v>0</v>
      </c>
      <c r="AE684" s="7">
        <v>0</v>
      </c>
      <c r="AF684" s="7">
        <v>0</v>
      </c>
      <c r="AG684" s="7">
        <v>0</v>
      </c>
      <c r="AH684" s="7">
        <v>0</v>
      </c>
      <c r="AI684" s="7">
        <v>0</v>
      </c>
      <c r="AJ684" s="7">
        <v>0</v>
      </c>
      <c r="AK684" s="7">
        <v>0</v>
      </c>
      <c r="AL684" s="7">
        <v>0</v>
      </c>
      <c r="AM684" s="7">
        <v>0</v>
      </c>
      <c r="AN684" s="7">
        <v>0</v>
      </c>
      <c r="AO684" s="7">
        <v>0</v>
      </c>
      <c r="AP684" s="7">
        <v>0</v>
      </c>
      <c r="AQ684" s="7">
        <v>0</v>
      </c>
      <c r="AR684" s="7">
        <v>0</v>
      </c>
      <c r="AS684" s="7">
        <v>0</v>
      </c>
      <c r="AT684" s="7">
        <v>0</v>
      </c>
      <c r="AU684" s="7">
        <v>0</v>
      </c>
      <c r="AV684" s="7">
        <v>0</v>
      </c>
      <c r="AW684" s="7">
        <v>0</v>
      </c>
      <c r="AX684" s="7">
        <v>0</v>
      </c>
      <c r="AY684" s="7">
        <v>0</v>
      </c>
      <c r="AZ684" s="7">
        <v>0</v>
      </c>
      <c r="BA684" s="7">
        <v>0</v>
      </c>
      <c r="BB684" s="7">
        <v>0</v>
      </c>
      <c r="BC684" s="7">
        <v>0</v>
      </c>
      <c r="BD684">
        <v>0</v>
      </c>
      <c r="BE684">
        <v>31.32</v>
      </c>
      <c r="BF6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4" s="42" t="str">
        <f>+IF(AVANCE[[#This Row],[FECHA INICIO REAL]]="","",AVANCE[[#This Row],[FECHA INICIO REAL]]-AVANCE[[#This Row],[FECHA INICIO TEORICO]])</f>
        <v/>
      </c>
      <c r="BH6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5" spans="1:61" x14ac:dyDescent="0.25">
      <c r="A685" t="s">
        <v>1517</v>
      </c>
      <c r="B685" t="s">
        <v>1529</v>
      </c>
      <c r="C685">
        <v>2282600684</v>
      </c>
      <c r="D685" t="s">
        <v>833</v>
      </c>
      <c r="E685" s="4">
        <v>0</v>
      </c>
      <c r="F685" s="1">
        <v>46478</v>
      </c>
      <c r="G685" s="1"/>
      <c r="H685" s="1">
        <v>0</v>
      </c>
      <c r="I685" s="1">
        <v>46498</v>
      </c>
      <c r="J685">
        <v>46188</v>
      </c>
      <c r="K685" s="1"/>
      <c r="L685" s="7">
        <v>0</v>
      </c>
      <c r="M685" s="7">
        <v>0</v>
      </c>
      <c r="N685" s="7">
        <v>0</v>
      </c>
      <c r="O685" s="7">
        <v>0</v>
      </c>
      <c r="P685" s="7">
        <v>0</v>
      </c>
      <c r="Q685" s="7">
        <v>0</v>
      </c>
      <c r="R685" s="7">
        <v>0</v>
      </c>
      <c r="S685" s="7">
        <v>0</v>
      </c>
      <c r="T685" s="7">
        <v>0</v>
      </c>
      <c r="U685" s="7">
        <v>0</v>
      </c>
      <c r="V685" s="7">
        <v>0</v>
      </c>
      <c r="W685" s="7">
        <v>0</v>
      </c>
      <c r="X685" s="7">
        <v>0</v>
      </c>
      <c r="Y685" s="7">
        <v>0</v>
      </c>
      <c r="Z685" s="7">
        <v>0</v>
      </c>
      <c r="AA685" s="7">
        <v>0</v>
      </c>
      <c r="AB685" s="7">
        <v>0</v>
      </c>
      <c r="AC685" s="7">
        <v>0</v>
      </c>
      <c r="AD685" s="7">
        <v>0</v>
      </c>
      <c r="AE685" s="7">
        <v>0</v>
      </c>
      <c r="AF685" s="7">
        <v>0</v>
      </c>
      <c r="AG685" s="7">
        <v>0</v>
      </c>
      <c r="AH685" s="7">
        <v>0</v>
      </c>
      <c r="AI685" s="7">
        <v>0</v>
      </c>
      <c r="AJ685" s="7">
        <v>0</v>
      </c>
      <c r="AK685" s="7">
        <v>0</v>
      </c>
      <c r="AL685" s="7">
        <v>0</v>
      </c>
      <c r="AM685" s="7">
        <v>0</v>
      </c>
      <c r="AN685" s="7">
        <v>0</v>
      </c>
      <c r="AO685" s="7">
        <v>0</v>
      </c>
      <c r="AP685" s="7">
        <v>0</v>
      </c>
      <c r="AQ685" s="7">
        <v>0</v>
      </c>
      <c r="AR685" s="7">
        <v>0</v>
      </c>
      <c r="AS685" s="7">
        <v>0</v>
      </c>
      <c r="AT685" s="7">
        <v>0</v>
      </c>
      <c r="AU685" s="7">
        <v>0</v>
      </c>
      <c r="AV685" s="7">
        <v>0</v>
      </c>
      <c r="AW685" s="7">
        <v>0</v>
      </c>
      <c r="AX685" s="7">
        <v>0</v>
      </c>
      <c r="AY685" s="7">
        <v>0</v>
      </c>
      <c r="AZ685" s="7">
        <v>0</v>
      </c>
      <c r="BA685" s="7">
        <v>0</v>
      </c>
      <c r="BB685" s="7">
        <v>0</v>
      </c>
      <c r="BC685" s="7">
        <v>0</v>
      </c>
      <c r="BD685">
        <v>0</v>
      </c>
      <c r="BE685">
        <v>28.87</v>
      </c>
      <c r="BF6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5" s="42" t="str">
        <f>+IF(AVANCE[[#This Row],[FECHA INICIO REAL]]="","",AVANCE[[#This Row],[FECHA INICIO REAL]]-AVANCE[[#This Row],[FECHA INICIO TEORICO]])</f>
        <v/>
      </c>
      <c r="BH6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6" spans="1:61" x14ac:dyDescent="0.25">
      <c r="A686" t="s">
        <v>1517</v>
      </c>
      <c r="B686" t="s">
        <v>1530</v>
      </c>
      <c r="C686">
        <v>2282600685</v>
      </c>
      <c r="D686" t="s">
        <v>833</v>
      </c>
      <c r="E686" s="4">
        <v>0</v>
      </c>
      <c r="F686" s="1">
        <v>46478</v>
      </c>
      <c r="G686" s="1"/>
      <c r="H686" s="1">
        <v>0</v>
      </c>
      <c r="I686" s="1">
        <v>46498</v>
      </c>
      <c r="J686">
        <v>46188</v>
      </c>
      <c r="K686" s="1"/>
      <c r="L686" s="7">
        <v>0</v>
      </c>
      <c r="M686" s="7">
        <v>0</v>
      </c>
      <c r="N686" s="7">
        <v>0</v>
      </c>
      <c r="O686" s="7">
        <v>0</v>
      </c>
      <c r="P686" s="7">
        <v>0</v>
      </c>
      <c r="Q686" s="7">
        <v>0</v>
      </c>
      <c r="R686" s="7">
        <v>0</v>
      </c>
      <c r="S686" s="7">
        <v>0</v>
      </c>
      <c r="T686" s="7">
        <v>0</v>
      </c>
      <c r="U686" s="7">
        <v>0</v>
      </c>
      <c r="V686" s="7">
        <v>0</v>
      </c>
      <c r="W686" s="7">
        <v>0</v>
      </c>
      <c r="X686" s="7">
        <v>0</v>
      </c>
      <c r="Y686" s="7">
        <v>0</v>
      </c>
      <c r="Z686" s="7">
        <v>0</v>
      </c>
      <c r="AA686" s="7">
        <v>0</v>
      </c>
      <c r="AB686" s="7">
        <v>0</v>
      </c>
      <c r="AC686" s="7">
        <v>0</v>
      </c>
      <c r="AD686" s="7">
        <v>0</v>
      </c>
      <c r="AE686" s="7">
        <v>0</v>
      </c>
      <c r="AF686" s="7">
        <v>0</v>
      </c>
      <c r="AG686" s="7">
        <v>0</v>
      </c>
      <c r="AH686" s="7">
        <v>0</v>
      </c>
      <c r="AI686" s="7">
        <v>0</v>
      </c>
      <c r="AJ686" s="7">
        <v>0</v>
      </c>
      <c r="AK686" s="7">
        <v>0</v>
      </c>
      <c r="AL686" s="7">
        <v>0</v>
      </c>
      <c r="AM686" s="7">
        <v>0</v>
      </c>
      <c r="AN686" s="7">
        <v>0</v>
      </c>
      <c r="AO686" s="7">
        <v>0</v>
      </c>
      <c r="AP686" s="7">
        <v>0</v>
      </c>
      <c r="AQ686" s="7">
        <v>0</v>
      </c>
      <c r="AR686" s="7">
        <v>0</v>
      </c>
      <c r="AS686" s="7">
        <v>0</v>
      </c>
      <c r="AT686" s="7">
        <v>0</v>
      </c>
      <c r="AU686" s="7">
        <v>0</v>
      </c>
      <c r="AV686" s="7">
        <v>0</v>
      </c>
      <c r="AW686" s="7">
        <v>0</v>
      </c>
      <c r="AX686" s="7">
        <v>0</v>
      </c>
      <c r="AY686" s="7">
        <v>0</v>
      </c>
      <c r="AZ686" s="7">
        <v>0</v>
      </c>
      <c r="BA686" s="7">
        <v>0</v>
      </c>
      <c r="BB686" s="7">
        <v>0</v>
      </c>
      <c r="BC686" s="7">
        <v>0</v>
      </c>
      <c r="BD686">
        <v>0</v>
      </c>
      <c r="BE686">
        <v>28.87</v>
      </c>
      <c r="BF6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6" s="42" t="str">
        <f>+IF(AVANCE[[#This Row],[FECHA INICIO REAL]]="","",AVANCE[[#This Row],[FECHA INICIO REAL]]-AVANCE[[#This Row],[FECHA INICIO TEORICO]])</f>
        <v/>
      </c>
      <c r="BH6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7" spans="1:61" x14ac:dyDescent="0.25">
      <c r="A687" t="s">
        <v>1517</v>
      </c>
      <c r="B687" t="s">
        <v>1531</v>
      </c>
      <c r="C687">
        <v>2302600686</v>
      </c>
      <c r="D687" t="s">
        <v>834</v>
      </c>
      <c r="E687" s="4">
        <v>0</v>
      </c>
      <c r="F687" s="1">
        <v>46479</v>
      </c>
      <c r="G687" s="1"/>
      <c r="H687" s="1">
        <v>0</v>
      </c>
      <c r="I687" s="1">
        <v>46509</v>
      </c>
      <c r="J687">
        <v>46188</v>
      </c>
      <c r="K687" s="1"/>
      <c r="L687" s="7">
        <v>0</v>
      </c>
      <c r="M687" s="7">
        <v>0</v>
      </c>
      <c r="N687" s="7">
        <v>0</v>
      </c>
      <c r="O687" s="7">
        <v>0</v>
      </c>
      <c r="P687" s="7">
        <v>0</v>
      </c>
      <c r="Q687" s="7">
        <v>0</v>
      </c>
      <c r="R687" s="7">
        <v>0</v>
      </c>
      <c r="S687" s="7">
        <v>0</v>
      </c>
      <c r="T687" s="7">
        <v>0</v>
      </c>
      <c r="U687" s="7">
        <v>0</v>
      </c>
      <c r="V687" s="7">
        <v>0</v>
      </c>
      <c r="W687" s="7">
        <v>0</v>
      </c>
      <c r="X687" s="7">
        <v>0</v>
      </c>
      <c r="Y687" s="7">
        <v>0</v>
      </c>
      <c r="Z687" s="7">
        <v>0</v>
      </c>
      <c r="AA687" s="7">
        <v>0</v>
      </c>
      <c r="AB687" s="7">
        <v>0</v>
      </c>
      <c r="AC687" s="7">
        <v>0</v>
      </c>
      <c r="AD687" s="7">
        <v>0</v>
      </c>
      <c r="AE687" s="7">
        <v>0</v>
      </c>
      <c r="AF687" s="7">
        <v>0</v>
      </c>
      <c r="AG687" s="7">
        <v>0</v>
      </c>
      <c r="AH687" s="7">
        <v>0</v>
      </c>
      <c r="AI687" s="7">
        <v>0</v>
      </c>
      <c r="AJ687" s="7">
        <v>0</v>
      </c>
      <c r="AK687" s="7">
        <v>0</v>
      </c>
      <c r="AL687" s="7">
        <v>0</v>
      </c>
      <c r="AM687" s="7">
        <v>0</v>
      </c>
      <c r="AN687" s="7">
        <v>0</v>
      </c>
      <c r="AO687" s="7">
        <v>0</v>
      </c>
      <c r="AP687" s="7">
        <v>0</v>
      </c>
      <c r="AQ687" s="7">
        <v>0</v>
      </c>
      <c r="AR687" s="7">
        <v>0</v>
      </c>
      <c r="AS687" s="7">
        <v>0</v>
      </c>
      <c r="AT687" s="7">
        <v>0</v>
      </c>
      <c r="AU687" s="7">
        <v>0</v>
      </c>
      <c r="AV687" s="7">
        <v>0</v>
      </c>
      <c r="AW687" s="7">
        <v>0</v>
      </c>
      <c r="AX687" s="7">
        <v>0</v>
      </c>
      <c r="AY687" s="7">
        <v>0</v>
      </c>
      <c r="AZ687" s="7">
        <v>0</v>
      </c>
      <c r="BA687" s="7">
        <v>0</v>
      </c>
      <c r="BB687" s="7">
        <v>0</v>
      </c>
      <c r="BC687" s="7">
        <v>0</v>
      </c>
      <c r="BD687">
        <v>0</v>
      </c>
      <c r="BE687">
        <v>31.32</v>
      </c>
      <c r="BF6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7" s="42" t="str">
        <f>+IF(AVANCE[[#This Row],[FECHA INICIO REAL]]="","",AVANCE[[#This Row],[FECHA INICIO REAL]]-AVANCE[[#This Row],[FECHA INICIO TEORICO]])</f>
        <v/>
      </c>
      <c r="BH6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8" spans="1:61" x14ac:dyDescent="0.25">
      <c r="A688" t="s">
        <v>1517</v>
      </c>
      <c r="B688" t="s">
        <v>1532</v>
      </c>
      <c r="C688">
        <v>2302600687</v>
      </c>
      <c r="D688" t="s">
        <v>834</v>
      </c>
      <c r="E688" s="4">
        <v>0</v>
      </c>
      <c r="F688" s="1">
        <v>46479</v>
      </c>
      <c r="G688" s="1"/>
      <c r="H688" s="1">
        <v>0</v>
      </c>
      <c r="I688" s="1">
        <v>46509</v>
      </c>
      <c r="J688">
        <v>46188</v>
      </c>
      <c r="K688" s="1"/>
      <c r="L688" s="7">
        <v>0</v>
      </c>
      <c r="M688" s="7">
        <v>0</v>
      </c>
      <c r="N688" s="7">
        <v>0</v>
      </c>
      <c r="O688" s="7">
        <v>0</v>
      </c>
      <c r="P688" s="7">
        <v>0</v>
      </c>
      <c r="Q688" s="7">
        <v>0</v>
      </c>
      <c r="R688" s="7">
        <v>0</v>
      </c>
      <c r="S688" s="7">
        <v>0</v>
      </c>
      <c r="T688" s="7">
        <v>0</v>
      </c>
      <c r="U688" s="7">
        <v>0</v>
      </c>
      <c r="V688" s="7">
        <v>0</v>
      </c>
      <c r="W688" s="7">
        <v>0</v>
      </c>
      <c r="X688" s="7">
        <v>0</v>
      </c>
      <c r="Y688" s="7">
        <v>0</v>
      </c>
      <c r="Z688" s="7">
        <v>0</v>
      </c>
      <c r="AA688" s="7">
        <v>0</v>
      </c>
      <c r="AB688" s="7">
        <v>0</v>
      </c>
      <c r="AC688" s="7">
        <v>0</v>
      </c>
      <c r="AD688" s="7">
        <v>0</v>
      </c>
      <c r="AE688" s="7">
        <v>0</v>
      </c>
      <c r="AF688" s="7">
        <v>0</v>
      </c>
      <c r="AG688" s="7">
        <v>0</v>
      </c>
      <c r="AH688" s="7">
        <v>0</v>
      </c>
      <c r="AI688" s="7">
        <v>0</v>
      </c>
      <c r="AJ688" s="7">
        <v>0</v>
      </c>
      <c r="AK688" s="7">
        <v>0</v>
      </c>
      <c r="AL688" s="7">
        <v>0</v>
      </c>
      <c r="AM688" s="7">
        <v>0</v>
      </c>
      <c r="AN688" s="7">
        <v>0</v>
      </c>
      <c r="AO688" s="7">
        <v>0</v>
      </c>
      <c r="AP688" s="7">
        <v>0</v>
      </c>
      <c r="AQ688" s="7">
        <v>0</v>
      </c>
      <c r="AR688" s="7">
        <v>0</v>
      </c>
      <c r="AS688" s="7">
        <v>0</v>
      </c>
      <c r="AT688" s="7">
        <v>0</v>
      </c>
      <c r="AU688" s="7">
        <v>0</v>
      </c>
      <c r="AV688" s="7">
        <v>0</v>
      </c>
      <c r="AW688" s="7">
        <v>0</v>
      </c>
      <c r="AX688" s="7">
        <v>0</v>
      </c>
      <c r="AY688" s="7">
        <v>0</v>
      </c>
      <c r="AZ688" s="7">
        <v>0</v>
      </c>
      <c r="BA688" s="7">
        <v>0</v>
      </c>
      <c r="BB688" s="7">
        <v>0</v>
      </c>
      <c r="BC688" s="7">
        <v>0</v>
      </c>
      <c r="BD688">
        <v>0</v>
      </c>
      <c r="BE688">
        <v>31.32</v>
      </c>
      <c r="BF6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8" s="42" t="str">
        <f>+IF(AVANCE[[#This Row],[FECHA INICIO REAL]]="","",AVANCE[[#This Row],[FECHA INICIO REAL]]-AVANCE[[#This Row],[FECHA INICIO TEORICO]])</f>
        <v/>
      </c>
      <c r="BH6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9" spans="1:61" x14ac:dyDescent="0.25">
      <c r="A689" t="s">
        <v>1517</v>
      </c>
      <c r="B689" t="s">
        <v>1533</v>
      </c>
      <c r="C689">
        <v>2282600688</v>
      </c>
      <c r="D689" t="s">
        <v>833</v>
      </c>
      <c r="E689" s="4">
        <v>0</v>
      </c>
      <c r="F689" s="1">
        <v>46479</v>
      </c>
      <c r="G689" s="1"/>
      <c r="H689" s="1">
        <v>0</v>
      </c>
      <c r="I689" s="1">
        <v>46499</v>
      </c>
      <c r="J689">
        <v>46188</v>
      </c>
      <c r="K689" s="1"/>
      <c r="L689" s="7">
        <v>0</v>
      </c>
      <c r="M689" s="7">
        <v>0</v>
      </c>
      <c r="N689" s="7">
        <v>0</v>
      </c>
      <c r="O689" s="7">
        <v>0</v>
      </c>
      <c r="P689" s="7">
        <v>0</v>
      </c>
      <c r="Q689" s="7">
        <v>0</v>
      </c>
      <c r="R689" s="7">
        <v>0</v>
      </c>
      <c r="S689" s="7">
        <v>0</v>
      </c>
      <c r="T689" s="7">
        <v>0</v>
      </c>
      <c r="U689" s="7">
        <v>0</v>
      </c>
      <c r="V689" s="7">
        <v>0</v>
      </c>
      <c r="W689" s="7">
        <v>0</v>
      </c>
      <c r="X689" s="7">
        <v>0</v>
      </c>
      <c r="Y689" s="7">
        <v>0</v>
      </c>
      <c r="Z689" s="7">
        <v>0</v>
      </c>
      <c r="AA689" s="7">
        <v>0</v>
      </c>
      <c r="AB689" s="7">
        <v>0</v>
      </c>
      <c r="AC689" s="7">
        <v>0</v>
      </c>
      <c r="AD689" s="7">
        <v>0</v>
      </c>
      <c r="AE689" s="7">
        <v>0</v>
      </c>
      <c r="AF689" s="7">
        <v>0</v>
      </c>
      <c r="AG689" s="7">
        <v>0</v>
      </c>
      <c r="AH689" s="7">
        <v>0</v>
      </c>
      <c r="AI689" s="7">
        <v>0</v>
      </c>
      <c r="AJ689" s="7">
        <v>0</v>
      </c>
      <c r="AK689" s="7">
        <v>0</v>
      </c>
      <c r="AL689" s="7">
        <v>0</v>
      </c>
      <c r="AM689" s="7">
        <v>0</v>
      </c>
      <c r="AN689" s="7">
        <v>0</v>
      </c>
      <c r="AO689" s="7">
        <v>0</v>
      </c>
      <c r="AP689" s="7">
        <v>0</v>
      </c>
      <c r="AQ689" s="7">
        <v>0</v>
      </c>
      <c r="AR689" s="7">
        <v>0</v>
      </c>
      <c r="AS689" s="7">
        <v>0</v>
      </c>
      <c r="AT689" s="7">
        <v>0</v>
      </c>
      <c r="AU689" s="7">
        <v>0</v>
      </c>
      <c r="AV689" s="7">
        <v>0</v>
      </c>
      <c r="AW689" s="7">
        <v>0</v>
      </c>
      <c r="AX689" s="7">
        <v>0</v>
      </c>
      <c r="AY689" s="7">
        <v>0</v>
      </c>
      <c r="AZ689" s="7">
        <v>0</v>
      </c>
      <c r="BA689" s="7">
        <v>0</v>
      </c>
      <c r="BB689" s="7">
        <v>0</v>
      </c>
      <c r="BC689" s="7">
        <v>0</v>
      </c>
      <c r="BD689">
        <v>0</v>
      </c>
      <c r="BE689">
        <v>28.87</v>
      </c>
      <c r="BF6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9" s="42" t="str">
        <f>+IF(AVANCE[[#This Row],[FECHA INICIO REAL]]="","",AVANCE[[#This Row],[FECHA INICIO REAL]]-AVANCE[[#This Row],[FECHA INICIO TEORICO]])</f>
        <v/>
      </c>
      <c r="BH6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0" spans="1:61" x14ac:dyDescent="0.25">
      <c r="A690" t="s">
        <v>1517</v>
      </c>
      <c r="B690" t="s">
        <v>1534</v>
      </c>
      <c r="C690">
        <v>2282600689</v>
      </c>
      <c r="D690" t="s">
        <v>833</v>
      </c>
      <c r="E690" s="4">
        <v>0</v>
      </c>
      <c r="F690" s="1">
        <v>46482</v>
      </c>
      <c r="G690" s="1"/>
      <c r="H690" s="1">
        <v>0</v>
      </c>
      <c r="I690" s="1">
        <v>46502</v>
      </c>
      <c r="J690">
        <v>46188</v>
      </c>
      <c r="K690" s="1"/>
      <c r="L690" s="7">
        <v>0</v>
      </c>
      <c r="M690" s="7">
        <v>0</v>
      </c>
      <c r="N690" s="7">
        <v>0</v>
      </c>
      <c r="O690" s="7">
        <v>0</v>
      </c>
      <c r="P690" s="7">
        <v>0</v>
      </c>
      <c r="Q690" s="7">
        <v>0</v>
      </c>
      <c r="R690" s="7">
        <v>0</v>
      </c>
      <c r="S690" s="7">
        <v>0</v>
      </c>
      <c r="T690" s="7">
        <v>0</v>
      </c>
      <c r="U690" s="7">
        <v>0</v>
      </c>
      <c r="V690" s="7">
        <v>0</v>
      </c>
      <c r="W690" s="7">
        <v>0</v>
      </c>
      <c r="X690" s="7">
        <v>0</v>
      </c>
      <c r="Y690" s="7">
        <v>0</v>
      </c>
      <c r="Z690" s="7">
        <v>0</v>
      </c>
      <c r="AA690" s="7">
        <v>0</v>
      </c>
      <c r="AB690" s="7">
        <v>0</v>
      </c>
      <c r="AC690" s="7">
        <v>0</v>
      </c>
      <c r="AD690" s="7">
        <v>0</v>
      </c>
      <c r="AE690" s="7">
        <v>0</v>
      </c>
      <c r="AF690" s="7">
        <v>0</v>
      </c>
      <c r="AG690" s="7">
        <v>0</v>
      </c>
      <c r="AH690" s="7">
        <v>0</v>
      </c>
      <c r="AI690" s="7">
        <v>0</v>
      </c>
      <c r="AJ690" s="7">
        <v>0</v>
      </c>
      <c r="AK690" s="7">
        <v>0</v>
      </c>
      <c r="AL690" s="7">
        <v>0</v>
      </c>
      <c r="AM690" s="7">
        <v>0</v>
      </c>
      <c r="AN690" s="7">
        <v>0</v>
      </c>
      <c r="AO690" s="7">
        <v>0</v>
      </c>
      <c r="AP690" s="7">
        <v>0</v>
      </c>
      <c r="AQ690" s="7">
        <v>0</v>
      </c>
      <c r="AR690" s="7">
        <v>0</v>
      </c>
      <c r="AS690" s="7">
        <v>0</v>
      </c>
      <c r="AT690" s="7">
        <v>0</v>
      </c>
      <c r="AU690" s="7">
        <v>0</v>
      </c>
      <c r="AV690" s="7">
        <v>0</v>
      </c>
      <c r="AW690" s="7">
        <v>0</v>
      </c>
      <c r="AX690" s="7">
        <v>0</v>
      </c>
      <c r="AY690" s="7">
        <v>0</v>
      </c>
      <c r="AZ690" s="7">
        <v>0</v>
      </c>
      <c r="BA690" s="7">
        <v>0</v>
      </c>
      <c r="BB690" s="7">
        <v>0</v>
      </c>
      <c r="BC690" s="7">
        <v>0</v>
      </c>
      <c r="BD690">
        <v>0</v>
      </c>
      <c r="BE690">
        <v>28.87</v>
      </c>
      <c r="BF6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0" s="42" t="str">
        <f>+IF(AVANCE[[#This Row],[FECHA INICIO REAL]]="","",AVANCE[[#This Row],[FECHA INICIO REAL]]-AVANCE[[#This Row],[FECHA INICIO TEORICO]])</f>
        <v/>
      </c>
      <c r="BH6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1" spans="1:61" x14ac:dyDescent="0.25">
      <c r="A691" t="s">
        <v>1517</v>
      </c>
      <c r="B691" t="s">
        <v>1535</v>
      </c>
      <c r="C691">
        <v>2302600690</v>
      </c>
      <c r="D691" t="s">
        <v>834</v>
      </c>
      <c r="E691" s="4">
        <v>0</v>
      </c>
      <c r="F691" s="1">
        <v>46482</v>
      </c>
      <c r="G691" s="1"/>
      <c r="H691" s="1">
        <v>0</v>
      </c>
      <c r="I691" s="1">
        <v>46512</v>
      </c>
      <c r="J691">
        <v>46188</v>
      </c>
      <c r="K691" s="1"/>
      <c r="L691" s="7">
        <v>0</v>
      </c>
      <c r="M691" s="7">
        <v>0</v>
      </c>
      <c r="N691" s="7">
        <v>0</v>
      </c>
      <c r="O691" s="7">
        <v>0</v>
      </c>
      <c r="P691" s="7">
        <v>0</v>
      </c>
      <c r="Q691" s="7">
        <v>0</v>
      </c>
      <c r="R691" s="7">
        <v>0</v>
      </c>
      <c r="S691" s="7">
        <v>0</v>
      </c>
      <c r="T691" s="7">
        <v>0</v>
      </c>
      <c r="U691" s="7">
        <v>0</v>
      </c>
      <c r="V691" s="7">
        <v>0</v>
      </c>
      <c r="W691" s="7">
        <v>0</v>
      </c>
      <c r="X691" s="7">
        <v>0</v>
      </c>
      <c r="Y691" s="7">
        <v>0</v>
      </c>
      <c r="Z691" s="7">
        <v>0</v>
      </c>
      <c r="AA691" s="7">
        <v>0</v>
      </c>
      <c r="AB691" s="7">
        <v>0</v>
      </c>
      <c r="AC691" s="7">
        <v>0</v>
      </c>
      <c r="AD691" s="7">
        <v>0</v>
      </c>
      <c r="AE691" s="7">
        <v>0</v>
      </c>
      <c r="AF691" s="7">
        <v>0</v>
      </c>
      <c r="AG691" s="7">
        <v>0</v>
      </c>
      <c r="AH691" s="7">
        <v>0</v>
      </c>
      <c r="AI691" s="7">
        <v>0</v>
      </c>
      <c r="AJ691" s="7">
        <v>0</v>
      </c>
      <c r="AK691" s="7">
        <v>0</v>
      </c>
      <c r="AL691" s="7">
        <v>0</v>
      </c>
      <c r="AM691" s="7">
        <v>0</v>
      </c>
      <c r="AN691" s="7">
        <v>0</v>
      </c>
      <c r="AO691" s="7">
        <v>0</v>
      </c>
      <c r="AP691" s="7">
        <v>0</v>
      </c>
      <c r="AQ691" s="7">
        <v>0</v>
      </c>
      <c r="AR691" s="7">
        <v>0</v>
      </c>
      <c r="AS691" s="7">
        <v>0</v>
      </c>
      <c r="AT691" s="7">
        <v>0</v>
      </c>
      <c r="AU691" s="7">
        <v>0</v>
      </c>
      <c r="AV691" s="7">
        <v>0</v>
      </c>
      <c r="AW691" s="7">
        <v>0</v>
      </c>
      <c r="AX691" s="7">
        <v>0</v>
      </c>
      <c r="AY691" s="7">
        <v>0</v>
      </c>
      <c r="AZ691" s="7">
        <v>0</v>
      </c>
      <c r="BA691" s="7">
        <v>0</v>
      </c>
      <c r="BB691" s="7">
        <v>0</v>
      </c>
      <c r="BC691" s="7">
        <v>0</v>
      </c>
      <c r="BD691">
        <v>0</v>
      </c>
      <c r="BE691">
        <v>31.32</v>
      </c>
      <c r="BF6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1" s="42" t="str">
        <f>+IF(AVANCE[[#This Row],[FECHA INICIO REAL]]="","",AVANCE[[#This Row],[FECHA INICIO REAL]]-AVANCE[[#This Row],[FECHA INICIO TEORICO]])</f>
        <v/>
      </c>
      <c r="BH6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2" spans="1:61" x14ac:dyDescent="0.25">
      <c r="A692" t="s">
        <v>1517</v>
      </c>
      <c r="B692" t="s">
        <v>1536</v>
      </c>
      <c r="C692">
        <v>2302600691</v>
      </c>
      <c r="D692" t="s">
        <v>834</v>
      </c>
      <c r="E692" s="4">
        <v>0</v>
      </c>
      <c r="F692" s="1">
        <v>46482</v>
      </c>
      <c r="G692" s="1"/>
      <c r="H692" s="1">
        <v>0</v>
      </c>
      <c r="I692" s="1">
        <v>46512</v>
      </c>
      <c r="J692">
        <v>46188</v>
      </c>
      <c r="K692" s="1"/>
      <c r="L692" s="7">
        <v>0</v>
      </c>
      <c r="M692" s="7">
        <v>0</v>
      </c>
      <c r="N692" s="7">
        <v>0</v>
      </c>
      <c r="O692" s="7">
        <v>0</v>
      </c>
      <c r="P692" s="7">
        <v>0</v>
      </c>
      <c r="Q692" s="7">
        <v>0</v>
      </c>
      <c r="R692" s="7">
        <v>0</v>
      </c>
      <c r="S692" s="7">
        <v>0</v>
      </c>
      <c r="T692" s="7">
        <v>0</v>
      </c>
      <c r="U692" s="7">
        <v>0</v>
      </c>
      <c r="V692" s="7">
        <v>0</v>
      </c>
      <c r="W692" s="7">
        <v>0</v>
      </c>
      <c r="X692" s="7">
        <v>0</v>
      </c>
      <c r="Y692" s="7">
        <v>0</v>
      </c>
      <c r="Z692" s="7">
        <v>0</v>
      </c>
      <c r="AA692" s="7">
        <v>0</v>
      </c>
      <c r="AB692" s="7">
        <v>0</v>
      </c>
      <c r="AC692" s="7">
        <v>0</v>
      </c>
      <c r="AD692" s="7">
        <v>0</v>
      </c>
      <c r="AE692" s="7">
        <v>0</v>
      </c>
      <c r="AF692" s="7">
        <v>0</v>
      </c>
      <c r="AG692" s="7">
        <v>0</v>
      </c>
      <c r="AH692" s="7">
        <v>0</v>
      </c>
      <c r="AI692" s="7">
        <v>0</v>
      </c>
      <c r="AJ692" s="7">
        <v>0</v>
      </c>
      <c r="AK692" s="7">
        <v>0</v>
      </c>
      <c r="AL692" s="7">
        <v>0</v>
      </c>
      <c r="AM692" s="7">
        <v>0</v>
      </c>
      <c r="AN692" s="7">
        <v>0</v>
      </c>
      <c r="AO692" s="7">
        <v>0</v>
      </c>
      <c r="AP692" s="7">
        <v>0</v>
      </c>
      <c r="AQ692" s="7">
        <v>0</v>
      </c>
      <c r="AR692" s="7">
        <v>0</v>
      </c>
      <c r="AS692" s="7">
        <v>0</v>
      </c>
      <c r="AT692" s="7">
        <v>0</v>
      </c>
      <c r="AU692" s="7">
        <v>0</v>
      </c>
      <c r="AV692" s="7">
        <v>0</v>
      </c>
      <c r="AW692" s="7">
        <v>0</v>
      </c>
      <c r="AX692" s="7">
        <v>0</v>
      </c>
      <c r="AY692" s="7">
        <v>0</v>
      </c>
      <c r="AZ692" s="7">
        <v>0</v>
      </c>
      <c r="BA692" s="7">
        <v>0</v>
      </c>
      <c r="BB692" s="7">
        <v>0</v>
      </c>
      <c r="BC692" s="7">
        <v>0</v>
      </c>
      <c r="BD692">
        <v>0</v>
      </c>
      <c r="BE692">
        <v>31.32</v>
      </c>
      <c r="BF6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2" s="42" t="str">
        <f>+IF(AVANCE[[#This Row],[FECHA INICIO REAL]]="","",AVANCE[[#This Row],[FECHA INICIO REAL]]-AVANCE[[#This Row],[FECHA INICIO TEORICO]])</f>
        <v/>
      </c>
      <c r="BH6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3" spans="1:61" x14ac:dyDescent="0.25">
      <c r="A693" t="s">
        <v>1517</v>
      </c>
      <c r="B693" t="s">
        <v>1537</v>
      </c>
      <c r="C693">
        <v>2282600692</v>
      </c>
      <c r="D693" t="s">
        <v>833</v>
      </c>
      <c r="E693" s="4">
        <v>0</v>
      </c>
      <c r="F693" s="1">
        <v>46483</v>
      </c>
      <c r="G693" s="1"/>
      <c r="H693" s="1">
        <v>0</v>
      </c>
      <c r="I693" s="1">
        <v>46503</v>
      </c>
      <c r="J693">
        <v>46188</v>
      </c>
      <c r="K693" s="1"/>
      <c r="L693" s="7">
        <v>0</v>
      </c>
      <c r="M693" s="7">
        <v>0</v>
      </c>
      <c r="N693" s="7">
        <v>0</v>
      </c>
      <c r="O693" s="7">
        <v>0</v>
      </c>
      <c r="P693" s="7">
        <v>0</v>
      </c>
      <c r="Q693" s="7">
        <v>0</v>
      </c>
      <c r="R693" s="7">
        <v>0</v>
      </c>
      <c r="S693" s="7">
        <v>0</v>
      </c>
      <c r="T693" s="7">
        <v>0</v>
      </c>
      <c r="U693" s="7">
        <v>0</v>
      </c>
      <c r="V693" s="7">
        <v>0</v>
      </c>
      <c r="W693" s="7">
        <v>0</v>
      </c>
      <c r="X693" s="7">
        <v>0</v>
      </c>
      <c r="Y693" s="7">
        <v>0</v>
      </c>
      <c r="Z693" s="7">
        <v>0</v>
      </c>
      <c r="AA693" s="7">
        <v>0</v>
      </c>
      <c r="AB693" s="7">
        <v>0</v>
      </c>
      <c r="AC693" s="7">
        <v>0</v>
      </c>
      <c r="AD693" s="7">
        <v>0</v>
      </c>
      <c r="AE693" s="7">
        <v>0</v>
      </c>
      <c r="AF693" s="7">
        <v>0</v>
      </c>
      <c r="AG693" s="7">
        <v>0</v>
      </c>
      <c r="AH693" s="7">
        <v>0</v>
      </c>
      <c r="AI693" s="7">
        <v>0</v>
      </c>
      <c r="AJ693" s="7">
        <v>0</v>
      </c>
      <c r="AK693" s="7">
        <v>0</v>
      </c>
      <c r="AL693" s="7">
        <v>0</v>
      </c>
      <c r="AM693" s="7">
        <v>0</v>
      </c>
      <c r="AN693" s="7">
        <v>0</v>
      </c>
      <c r="AO693" s="7">
        <v>0</v>
      </c>
      <c r="AP693" s="7">
        <v>0</v>
      </c>
      <c r="AQ693" s="7">
        <v>0</v>
      </c>
      <c r="AR693" s="7">
        <v>0</v>
      </c>
      <c r="AS693" s="7">
        <v>0</v>
      </c>
      <c r="AT693" s="7">
        <v>0</v>
      </c>
      <c r="AU693" s="7">
        <v>0</v>
      </c>
      <c r="AV693" s="7">
        <v>0</v>
      </c>
      <c r="AW693" s="7">
        <v>0</v>
      </c>
      <c r="AX693" s="7">
        <v>0</v>
      </c>
      <c r="AY693" s="7">
        <v>0</v>
      </c>
      <c r="AZ693" s="7">
        <v>0</v>
      </c>
      <c r="BA693" s="7">
        <v>0</v>
      </c>
      <c r="BB693" s="7">
        <v>0</v>
      </c>
      <c r="BC693" s="7">
        <v>0</v>
      </c>
      <c r="BD693">
        <v>0</v>
      </c>
      <c r="BE693">
        <v>28.87</v>
      </c>
      <c r="BF6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3" s="42" t="str">
        <f>+IF(AVANCE[[#This Row],[FECHA INICIO REAL]]="","",AVANCE[[#This Row],[FECHA INICIO REAL]]-AVANCE[[#This Row],[FECHA INICIO TEORICO]])</f>
        <v/>
      </c>
      <c r="BH6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4" spans="1:61" x14ac:dyDescent="0.25">
      <c r="A694" t="s">
        <v>1517</v>
      </c>
      <c r="B694" t="s">
        <v>1538</v>
      </c>
      <c r="C694">
        <v>2282600693</v>
      </c>
      <c r="D694" t="s">
        <v>833</v>
      </c>
      <c r="E694" s="4">
        <v>0</v>
      </c>
      <c r="F694" s="1">
        <v>46483</v>
      </c>
      <c r="G694" s="1"/>
      <c r="H694" s="1">
        <v>0</v>
      </c>
      <c r="I694" s="1">
        <v>46503</v>
      </c>
      <c r="J694">
        <v>46188</v>
      </c>
      <c r="K694" s="1"/>
      <c r="L694" s="7">
        <v>0</v>
      </c>
      <c r="M694" s="7">
        <v>0</v>
      </c>
      <c r="N694" s="7">
        <v>0</v>
      </c>
      <c r="O694" s="7">
        <v>0</v>
      </c>
      <c r="P694" s="7">
        <v>0</v>
      </c>
      <c r="Q694" s="7">
        <v>0</v>
      </c>
      <c r="R694" s="7">
        <v>0</v>
      </c>
      <c r="S694" s="7">
        <v>0</v>
      </c>
      <c r="T694" s="7">
        <v>0</v>
      </c>
      <c r="U694" s="7">
        <v>0</v>
      </c>
      <c r="V694" s="7">
        <v>0</v>
      </c>
      <c r="W694" s="7">
        <v>0</v>
      </c>
      <c r="X694" s="7">
        <v>0</v>
      </c>
      <c r="Y694" s="7">
        <v>0</v>
      </c>
      <c r="Z694" s="7">
        <v>0</v>
      </c>
      <c r="AA694" s="7">
        <v>0</v>
      </c>
      <c r="AB694" s="7">
        <v>0</v>
      </c>
      <c r="AC694" s="7">
        <v>0</v>
      </c>
      <c r="AD694" s="7">
        <v>0</v>
      </c>
      <c r="AE694" s="7">
        <v>0</v>
      </c>
      <c r="AF694" s="7">
        <v>0</v>
      </c>
      <c r="AG694" s="7">
        <v>0</v>
      </c>
      <c r="AH694" s="7">
        <v>0</v>
      </c>
      <c r="AI694" s="7">
        <v>0</v>
      </c>
      <c r="AJ694" s="7">
        <v>0</v>
      </c>
      <c r="AK694" s="7">
        <v>0</v>
      </c>
      <c r="AL694" s="7">
        <v>0</v>
      </c>
      <c r="AM694" s="7">
        <v>0</v>
      </c>
      <c r="AN694" s="7">
        <v>0</v>
      </c>
      <c r="AO694" s="7">
        <v>0</v>
      </c>
      <c r="AP694" s="7">
        <v>0</v>
      </c>
      <c r="AQ694" s="7">
        <v>0</v>
      </c>
      <c r="AR694" s="7">
        <v>0</v>
      </c>
      <c r="AS694" s="7">
        <v>0</v>
      </c>
      <c r="AT694" s="7">
        <v>0</v>
      </c>
      <c r="AU694" s="7">
        <v>0</v>
      </c>
      <c r="AV694" s="7">
        <v>0</v>
      </c>
      <c r="AW694" s="7">
        <v>0</v>
      </c>
      <c r="AX694" s="7">
        <v>0</v>
      </c>
      <c r="AY694" s="7">
        <v>0</v>
      </c>
      <c r="AZ694" s="7">
        <v>0</v>
      </c>
      <c r="BA694" s="7">
        <v>0</v>
      </c>
      <c r="BB694" s="7">
        <v>0</v>
      </c>
      <c r="BC694" s="7">
        <v>0</v>
      </c>
      <c r="BD694">
        <v>0</v>
      </c>
      <c r="BE694">
        <v>28.87</v>
      </c>
      <c r="BF6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4" s="42" t="str">
        <f>+IF(AVANCE[[#This Row],[FECHA INICIO REAL]]="","",AVANCE[[#This Row],[FECHA INICIO REAL]]-AVANCE[[#This Row],[FECHA INICIO TEORICO]])</f>
        <v/>
      </c>
      <c r="BH6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5" spans="1:61" x14ac:dyDescent="0.25">
      <c r="A695" t="s">
        <v>1517</v>
      </c>
      <c r="B695" t="s">
        <v>1539</v>
      </c>
      <c r="C695">
        <v>2302600694</v>
      </c>
      <c r="D695" t="s">
        <v>834</v>
      </c>
      <c r="E695" s="4">
        <v>0</v>
      </c>
      <c r="F695" s="1">
        <v>46483</v>
      </c>
      <c r="G695" s="1"/>
      <c r="H695" s="1">
        <v>0</v>
      </c>
      <c r="I695" s="1">
        <v>46513</v>
      </c>
      <c r="J695">
        <v>46188</v>
      </c>
      <c r="K695" s="1"/>
      <c r="L695" s="7">
        <v>0</v>
      </c>
      <c r="M695" s="7">
        <v>0</v>
      </c>
      <c r="N695" s="7">
        <v>0</v>
      </c>
      <c r="O695" s="7">
        <v>0</v>
      </c>
      <c r="P695" s="7">
        <v>0</v>
      </c>
      <c r="Q695" s="7">
        <v>0</v>
      </c>
      <c r="R695" s="7">
        <v>0</v>
      </c>
      <c r="S695" s="7">
        <v>0</v>
      </c>
      <c r="T695" s="7">
        <v>0</v>
      </c>
      <c r="U695" s="7">
        <v>0</v>
      </c>
      <c r="V695" s="7">
        <v>0</v>
      </c>
      <c r="W695" s="7">
        <v>0</v>
      </c>
      <c r="X695" s="7">
        <v>0</v>
      </c>
      <c r="Y695" s="7">
        <v>0</v>
      </c>
      <c r="Z695" s="7">
        <v>0</v>
      </c>
      <c r="AA695" s="7">
        <v>0</v>
      </c>
      <c r="AB695" s="7">
        <v>0</v>
      </c>
      <c r="AC695" s="7">
        <v>0</v>
      </c>
      <c r="AD695" s="7">
        <v>0</v>
      </c>
      <c r="AE695" s="7">
        <v>0</v>
      </c>
      <c r="AF695" s="7">
        <v>0</v>
      </c>
      <c r="AG695" s="7">
        <v>0</v>
      </c>
      <c r="AH695" s="7">
        <v>0</v>
      </c>
      <c r="AI695" s="7">
        <v>0</v>
      </c>
      <c r="AJ695" s="7">
        <v>0</v>
      </c>
      <c r="AK695" s="7">
        <v>0</v>
      </c>
      <c r="AL695" s="7">
        <v>0</v>
      </c>
      <c r="AM695" s="7">
        <v>0</v>
      </c>
      <c r="AN695" s="7">
        <v>0</v>
      </c>
      <c r="AO695" s="7">
        <v>0</v>
      </c>
      <c r="AP695" s="7">
        <v>0</v>
      </c>
      <c r="AQ695" s="7">
        <v>0</v>
      </c>
      <c r="AR695" s="7">
        <v>0</v>
      </c>
      <c r="AS695" s="7">
        <v>0</v>
      </c>
      <c r="AT695" s="7">
        <v>0</v>
      </c>
      <c r="AU695" s="7">
        <v>0</v>
      </c>
      <c r="AV695" s="7">
        <v>0</v>
      </c>
      <c r="AW695" s="7">
        <v>0</v>
      </c>
      <c r="AX695" s="7">
        <v>0</v>
      </c>
      <c r="AY695" s="7">
        <v>0</v>
      </c>
      <c r="AZ695" s="7">
        <v>0</v>
      </c>
      <c r="BA695" s="7">
        <v>0</v>
      </c>
      <c r="BB695" s="7">
        <v>0</v>
      </c>
      <c r="BC695" s="7">
        <v>0</v>
      </c>
      <c r="BD695">
        <v>0</v>
      </c>
      <c r="BE695">
        <v>31.32</v>
      </c>
      <c r="BF6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5" s="42" t="str">
        <f>+IF(AVANCE[[#This Row],[FECHA INICIO REAL]]="","",AVANCE[[#This Row],[FECHA INICIO REAL]]-AVANCE[[#This Row],[FECHA INICIO TEORICO]])</f>
        <v/>
      </c>
      <c r="BH6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6" spans="1:61" x14ac:dyDescent="0.25">
      <c r="A696" t="s">
        <v>1517</v>
      </c>
      <c r="B696" t="s">
        <v>1540</v>
      </c>
      <c r="C696">
        <v>2302600695</v>
      </c>
      <c r="D696" t="s">
        <v>834</v>
      </c>
      <c r="E696" s="4">
        <v>0</v>
      </c>
      <c r="F696" s="1">
        <v>46484</v>
      </c>
      <c r="G696" s="1"/>
      <c r="H696" s="1">
        <v>0</v>
      </c>
      <c r="I696" s="1">
        <v>46514</v>
      </c>
      <c r="J696">
        <v>46188</v>
      </c>
      <c r="K696" s="1"/>
      <c r="L696" s="7">
        <v>0</v>
      </c>
      <c r="M696" s="7">
        <v>0</v>
      </c>
      <c r="N696" s="7">
        <v>0</v>
      </c>
      <c r="O696" s="7">
        <v>0</v>
      </c>
      <c r="P696" s="7">
        <v>0</v>
      </c>
      <c r="Q696" s="7">
        <v>0</v>
      </c>
      <c r="R696" s="7">
        <v>0</v>
      </c>
      <c r="S696" s="7">
        <v>0</v>
      </c>
      <c r="T696" s="7">
        <v>0</v>
      </c>
      <c r="U696" s="7">
        <v>0</v>
      </c>
      <c r="V696" s="7">
        <v>0</v>
      </c>
      <c r="W696" s="7">
        <v>0</v>
      </c>
      <c r="X696" s="7">
        <v>0</v>
      </c>
      <c r="Y696" s="7">
        <v>0</v>
      </c>
      <c r="Z696" s="7">
        <v>0</v>
      </c>
      <c r="AA696" s="7">
        <v>0</v>
      </c>
      <c r="AB696" s="7">
        <v>0</v>
      </c>
      <c r="AC696" s="7">
        <v>0</v>
      </c>
      <c r="AD696" s="7">
        <v>0</v>
      </c>
      <c r="AE696" s="7">
        <v>0</v>
      </c>
      <c r="AF696" s="7">
        <v>0</v>
      </c>
      <c r="AG696" s="7">
        <v>0</v>
      </c>
      <c r="AH696" s="7">
        <v>0</v>
      </c>
      <c r="AI696" s="7">
        <v>0</v>
      </c>
      <c r="AJ696" s="7">
        <v>0</v>
      </c>
      <c r="AK696" s="7">
        <v>0</v>
      </c>
      <c r="AL696" s="7">
        <v>0</v>
      </c>
      <c r="AM696" s="7">
        <v>0</v>
      </c>
      <c r="AN696" s="7">
        <v>0</v>
      </c>
      <c r="AO696" s="7">
        <v>0</v>
      </c>
      <c r="AP696" s="7">
        <v>0</v>
      </c>
      <c r="AQ696" s="7">
        <v>0</v>
      </c>
      <c r="AR696" s="7">
        <v>0</v>
      </c>
      <c r="AS696" s="7">
        <v>0</v>
      </c>
      <c r="AT696" s="7">
        <v>0</v>
      </c>
      <c r="AU696" s="7">
        <v>0</v>
      </c>
      <c r="AV696" s="7">
        <v>0</v>
      </c>
      <c r="AW696" s="7">
        <v>0</v>
      </c>
      <c r="AX696" s="7">
        <v>0</v>
      </c>
      <c r="AY696" s="7">
        <v>0</v>
      </c>
      <c r="AZ696" s="7">
        <v>0</v>
      </c>
      <c r="BA696" s="7">
        <v>0</v>
      </c>
      <c r="BB696" s="7">
        <v>0</v>
      </c>
      <c r="BC696" s="7">
        <v>0</v>
      </c>
      <c r="BD696">
        <v>0</v>
      </c>
      <c r="BE696">
        <v>31.32</v>
      </c>
      <c r="BF6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6" s="42" t="str">
        <f>+IF(AVANCE[[#This Row],[FECHA INICIO REAL]]="","",AVANCE[[#This Row],[FECHA INICIO REAL]]-AVANCE[[#This Row],[FECHA INICIO TEORICO]])</f>
        <v/>
      </c>
      <c r="BH6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7" spans="1:61" x14ac:dyDescent="0.25">
      <c r="A697" t="s">
        <v>1517</v>
      </c>
      <c r="B697" t="s">
        <v>1541</v>
      </c>
      <c r="C697">
        <v>2282600696</v>
      </c>
      <c r="D697" t="s">
        <v>833</v>
      </c>
      <c r="E697" s="4">
        <v>0</v>
      </c>
      <c r="F697" s="1">
        <v>46484</v>
      </c>
      <c r="G697" s="1"/>
      <c r="H697" s="1">
        <v>0</v>
      </c>
      <c r="I697" s="1">
        <v>46504</v>
      </c>
      <c r="J697">
        <v>46188</v>
      </c>
      <c r="K697" s="1"/>
      <c r="L697" s="7">
        <v>0</v>
      </c>
      <c r="M697" s="7">
        <v>0</v>
      </c>
      <c r="N697" s="7">
        <v>0</v>
      </c>
      <c r="O697" s="7">
        <v>0</v>
      </c>
      <c r="P697" s="7">
        <v>0</v>
      </c>
      <c r="Q697" s="7">
        <v>0</v>
      </c>
      <c r="R697" s="7">
        <v>0</v>
      </c>
      <c r="S697" s="7">
        <v>0</v>
      </c>
      <c r="T697" s="7">
        <v>0</v>
      </c>
      <c r="U697" s="7">
        <v>0</v>
      </c>
      <c r="V697" s="7">
        <v>0</v>
      </c>
      <c r="W697" s="7">
        <v>0</v>
      </c>
      <c r="X697" s="7">
        <v>0</v>
      </c>
      <c r="Y697" s="7">
        <v>0</v>
      </c>
      <c r="Z697" s="7">
        <v>0</v>
      </c>
      <c r="AA697" s="7">
        <v>0</v>
      </c>
      <c r="AB697" s="7">
        <v>0</v>
      </c>
      <c r="AC697" s="7">
        <v>0</v>
      </c>
      <c r="AD697" s="7">
        <v>0</v>
      </c>
      <c r="AE697" s="7">
        <v>0</v>
      </c>
      <c r="AF697" s="7">
        <v>0</v>
      </c>
      <c r="AG697" s="7">
        <v>0</v>
      </c>
      <c r="AH697" s="7">
        <v>0</v>
      </c>
      <c r="AI697" s="7">
        <v>0</v>
      </c>
      <c r="AJ697" s="7">
        <v>0</v>
      </c>
      <c r="AK697" s="7">
        <v>0</v>
      </c>
      <c r="AL697" s="7">
        <v>0</v>
      </c>
      <c r="AM697" s="7">
        <v>0</v>
      </c>
      <c r="AN697" s="7">
        <v>0</v>
      </c>
      <c r="AO697" s="7">
        <v>0</v>
      </c>
      <c r="AP697" s="7">
        <v>0</v>
      </c>
      <c r="AQ697" s="7">
        <v>0</v>
      </c>
      <c r="AR697" s="7">
        <v>0</v>
      </c>
      <c r="AS697" s="7">
        <v>0</v>
      </c>
      <c r="AT697" s="7">
        <v>0</v>
      </c>
      <c r="AU697" s="7">
        <v>0</v>
      </c>
      <c r="AV697" s="7">
        <v>0</v>
      </c>
      <c r="AW697" s="7">
        <v>0</v>
      </c>
      <c r="AX697" s="7">
        <v>0</v>
      </c>
      <c r="AY697" s="7">
        <v>0</v>
      </c>
      <c r="AZ697" s="7">
        <v>0</v>
      </c>
      <c r="BA697" s="7">
        <v>0</v>
      </c>
      <c r="BB697" s="7">
        <v>0</v>
      </c>
      <c r="BC697" s="7">
        <v>0</v>
      </c>
      <c r="BD697">
        <v>0</v>
      </c>
      <c r="BE697">
        <v>28.87</v>
      </c>
      <c r="BF6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7" s="42" t="str">
        <f>+IF(AVANCE[[#This Row],[FECHA INICIO REAL]]="","",AVANCE[[#This Row],[FECHA INICIO REAL]]-AVANCE[[#This Row],[FECHA INICIO TEORICO]])</f>
        <v/>
      </c>
      <c r="BH6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8" spans="1:61" x14ac:dyDescent="0.25">
      <c r="A698" t="s">
        <v>1517</v>
      </c>
      <c r="B698" t="s">
        <v>1542</v>
      </c>
      <c r="C698">
        <v>2282600697</v>
      </c>
      <c r="D698" t="s">
        <v>833</v>
      </c>
      <c r="E698" s="4">
        <v>0</v>
      </c>
      <c r="F698" s="1">
        <v>46484</v>
      </c>
      <c r="G698" s="1"/>
      <c r="H698" s="1">
        <v>0</v>
      </c>
      <c r="I698" s="1">
        <v>46504</v>
      </c>
      <c r="J698">
        <v>46188</v>
      </c>
      <c r="K698" s="1"/>
      <c r="L698" s="7">
        <v>0</v>
      </c>
      <c r="M698" s="7">
        <v>0</v>
      </c>
      <c r="N698" s="7">
        <v>0</v>
      </c>
      <c r="O698" s="7">
        <v>0</v>
      </c>
      <c r="P698" s="7">
        <v>0</v>
      </c>
      <c r="Q698" s="7">
        <v>0</v>
      </c>
      <c r="R698" s="7">
        <v>0</v>
      </c>
      <c r="S698" s="7">
        <v>0</v>
      </c>
      <c r="T698" s="7">
        <v>0</v>
      </c>
      <c r="U698" s="7">
        <v>0</v>
      </c>
      <c r="V698" s="7">
        <v>0</v>
      </c>
      <c r="W698" s="7">
        <v>0</v>
      </c>
      <c r="X698" s="7">
        <v>0</v>
      </c>
      <c r="Y698" s="7">
        <v>0</v>
      </c>
      <c r="Z698" s="7">
        <v>0</v>
      </c>
      <c r="AA698" s="7">
        <v>0</v>
      </c>
      <c r="AB698" s="7">
        <v>0</v>
      </c>
      <c r="AC698" s="7">
        <v>0</v>
      </c>
      <c r="AD698" s="7">
        <v>0</v>
      </c>
      <c r="AE698" s="7">
        <v>0</v>
      </c>
      <c r="AF698" s="7">
        <v>0</v>
      </c>
      <c r="AG698" s="7">
        <v>0</v>
      </c>
      <c r="AH698" s="7">
        <v>0</v>
      </c>
      <c r="AI698" s="7">
        <v>0</v>
      </c>
      <c r="AJ698" s="7">
        <v>0</v>
      </c>
      <c r="AK698" s="7">
        <v>0</v>
      </c>
      <c r="AL698" s="7">
        <v>0</v>
      </c>
      <c r="AM698" s="7">
        <v>0</v>
      </c>
      <c r="AN698" s="7">
        <v>0</v>
      </c>
      <c r="AO698" s="7">
        <v>0</v>
      </c>
      <c r="AP698" s="7">
        <v>0</v>
      </c>
      <c r="AQ698" s="7">
        <v>0</v>
      </c>
      <c r="AR698" s="7">
        <v>0</v>
      </c>
      <c r="AS698" s="7">
        <v>0</v>
      </c>
      <c r="AT698" s="7">
        <v>0</v>
      </c>
      <c r="AU698" s="7">
        <v>0</v>
      </c>
      <c r="AV698" s="7">
        <v>0</v>
      </c>
      <c r="AW698" s="7">
        <v>0</v>
      </c>
      <c r="AX698" s="7">
        <v>0</v>
      </c>
      <c r="AY698" s="7">
        <v>0</v>
      </c>
      <c r="AZ698" s="7">
        <v>0</v>
      </c>
      <c r="BA698" s="7">
        <v>0</v>
      </c>
      <c r="BB698" s="7">
        <v>0</v>
      </c>
      <c r="BC698" s="7">
        <v>0</v>
      </c>
      <c r="BD698">
        <v>0</v>
      </c>
      <c r="BE698">
        <v>28.87</v>
      </c>
      <c r="BF6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8" s="42" t="str">
        <f>+IF(AVANCE[[#This Row],[FECHA INICIO REAL]]="","",AVANCE[[#This Row],[FECHA INICIO REAL]]-AVANCE[[#This Row],[FECHA INICIO TEORICO]])</f>
        <v/>
      </c>
      <c r="BH6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9" spans="1:61" x14ac:dyDescent="0.25">
      <c r="A699" t="s">
        <v>1517</v>
      </c>
      <c r="B699" t="s">
        <v>1543</v>
      </c>
      <c r="C699">
        <v>2302600698</v>
      </c>
      <c r="D699" t="s">
        <v>834</v>
      </c>
      <c r="E699" s="4">
        <v>0</v>
      </c>
      <c r="F699" s="1">
        <v>46485</v>
      </c>
      <c r="G699" s="1"/>
      <c r="H699" s="1">
        <v>0</v>
      </c>
      <c r="I699" s="1">
        <v>46515</v>
      </c>
      <c r="J699">
        <v>46188</v>
      </c>
      <c r="K699" s="1"/>
      <c r="L699" s="7">
        <v>0</v>
      </c>
      <c r="M699" s="7">
        <v>0</v>
      </c>
      <c r="N699" s="7">
        <v>0</v>
      </c>
      <c r="O699" s="7">
        <v>0</v>
      </c>
      <c r="P699" s="7">
        <v>0</v>
      </c>
      <c r="Q699" s="7">
        <v>0</v>
      </c>
      <c r="R699" s="7">
        <v>0</v>
      </c>
      <c r="S699" s="7">
        <v>0</v>
      </c>
      <c r="T699" s="7">
        <v>0</v>
      </c>
      <c r="U699" s="7">
        <v>0</v>
      </c>
      <c r="V699" s="7">
        <v>0</v>
      </c>
      <c r="W699" s="7">
        <v>0</v>
      </c>
      <c r="X699" s="7">
        <v>0</v>
      </c>
      <c r="Y699" s="7">
        <v>0</v>
      </c>
      <c r="Z699" s="7">
        <v>0</v>
      </c>
      <c r="AA699" s="7">
        <v>0</v>
      </c>
      <c r="AB699" s="7">
        <v>0</v>
      </c>
      <c r="AC699" s="7">
        <v>0</v>
      </c>
      <c r="AD699" s="7">
        <v>0</v>
      </c>
      <c r="AE699" s="7">
        <v>0</v>
      </c>
      <c r="AF699" s="7">
        <v>0</v>
      </c>
      <c r="AG699" s="7">
        <v>0</v>
      </c>
      <c r="AH699" s="7">
        <v>0</v>
      </c>
      <c r="AI699" s="7">
        <v>0</v>
      </c>
      <c r="AJ699" s="7">
        <v>0</v>
      </c>
      <c r="AK699" s="7">
        <v>0</v>
      </c>
      <c r="AL699" s="7">
        <v>0</v>
      </c>
      <c r="AM699" s="7">
        <v>0</v>
      </c>
      <c r="AN699" s="7">
        <v>0</v>
      </c>
      <c r="AO699" s="7">
        <v>0</v>
      </c>
      <c r="AP699" s="7">
        <v>0</v>
      </c>
      <c r="AQ699" s="7">
        <v>0</v>
      </c>
      <c r="AR699" s="7">
        <v>0</v>
      </c>
      <c r="AS699" s="7">
        <v>0</v>
      </c>
      <c r="AT699" s="7">
        <v>0</v>
      </c>
      <c r="AU699" s="7">
        <v>0</v>
      </c>
      <c r="AV699" s="7">
        <v>0</v>
      </c>
      <c r="AW699" s="7">
        <v>0</v>
      </c>
      <c r="AX699" s="7">
        <v>0</v>
      </c>
      <c r="AY699" s="7">
        <v>0</v>
      </c>
      <c r="AZ699" s="7">
        <v>0</v>
      </c>
      <c r="BA699" s="7">
        <v>0</v>
      </c>
      <c r="BB699" s="7">
        <v>0</v>
      </c>
      <c r="BC699" s="7">
        <v>0</v>
      </c>
      <c r="BD699">
        <v>0</v>
      </c>
      <c r="BE699">
        <v>31.32</v>
      </c>
      <c r="BF6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9" s="42" t="str">
        <f>+IF(AVANCE[[#This Row],[FECHA INICIO REAL]]="","",AVANCE[[#This Row],[FECHA INICIO REAL]]-AVANCE[[#This Row],[FECHA INICIO TEORICO]])</f>
        <v/>
      </c>
      <c r="BH6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0" spans="1:61" x14ac:dyDescent="0.25">
      <c r="A700" t="s">
        <v>1517</v>
      </c>
      <c r="B700" t="s">
        <v>1544</v>
      </c>
      <c r="C700">
        <v>2302600699</v>
      </c>
      <c r="D700" t="s">
        <v>834</v>
      </c>
      <c r="E700" s="4">
        <v>0</v>
      </c>
      <c r="F700" s="1">
        <v>46485</v>
      </c>
      <c r="G700" s="1"/>
      <c r="H700" s="1">
        <v>0</v>
      </c>
      <c r="I700" s="1">
        <v>46515</v>
      </c>
      <c r="J700">
        <v>46188</v>
      </c>
      <c r="K700" s="1"/>
      <c r="L700" s="7">
        <v>0</v>
      </c>
      <c r="M700" s="7">
        <v>0</v>
      </c>
      <c r="N700" s="7">
        <v>0</v>
      </c>
      <c r="O700" s="7">
        <v>0</v>
      </c>
      <c r="P700" s="7">
        <v>0</v>
      </c>
      <c r="Q700" s="7">
        <v>0</v>
      </c>
      <c r="R700" s="7">
        <v>0</v>
      </c>
      <c r="S700" s="7">
        <v>0</v>
      </c>
      <c r="T700" s="7">
        <v>0</v>
      </c>
      <c r="U700" s="7">
        <v>0</v>
      </c>
      <c r="V700" s="7">
        <v>0</v>
      </c>
      <c r="W700" s="7">
        <v>0</v>
      </c>
      <c r="X700" s="7">
        <v>0</v>
      </c>
      <c r="Y700" s="7">
        <v>0</v>
      </c>
      <c r="Z700" s="7">
        <v>0</v>
      </c>
      <c r="AA700" s="7">
        <v>0</v>
      </c>
      <c r="AB700" s="7">
        <v>0</v>
      </c>
      <c r="AC700" s="7">
        <v>0</v>
      </c>
      <c r="AD700" s="7">
        <v>0</v>
      </c>
      <c r="AE700" s="7">
        <v>0</v>
      </c>
      <c r="AF700" s="7">
        <v>0</v>
      </c>
      <c r="AG700" s="7">
        <v>0</v>
      </c>
      <c r="AH700" s="7">
        <v>0</v>
      </c>
      <c r="AI700" s="7">
        <v>0</v>
      </c>
      <c r="AJ700" s="7">
        <v>0</v>
      </c>
      <c r="AK700" s="7">
        <v>0</v>
      </c>
      <c r="AL700" s="7">
        <v>0</v>
      </c>
      <c r="AM700" s="7">
        <v>0</v>
      </c>
      <c r="AN700" s="7">
        <v>0</v>
      </c>
      <c r="AO700" s="7">
        <v>0</v>
      </c>
      <c r="AP700" s="7">
        <v>0</v>
      </c>
      <c r="AQ700" s="7">
        <v>0</v>
      </c>
      <c r="AR700" s="7">
        <v>0</v>
      </c>
      <c r="AS700" s="7">
        <v>0</v>
      </c>
      <c r="AT700" s="7">
        <v>0</v>
      </c>
      <c r="AU700" s="7">
        <v>0</v>
      </c>
      <c r="AV700" s="7">
        <v>0</v>
      </c>
      <c r="AW700" s="7">
        <v>0</v>
      </c>
      <c r="AX700" s="7">
        <v>0</v>
      </c>
      <c r="AY700" s="7">
        <v>0</v>
      </c>
      <c r="AZ700" s="7">
        <v>0</v>
      </c>
      <c r="BA700" s="7">
        <v>0</v>
      </c>
      <c r="BB700" s="7">
        <v>0</v>
      </c>
      <c r="BC700" s="7">
        <v>0</v>
      </c>
      <c r="BD700">
        <v>0</v>
      </c>
      <c r="BE700">
        <v>31.32</v>
      </c>
      <c r="BF7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0" s="42" t="str">
        <f>+IF(AVANCE[[#This Row],[FECHA INICIO REAL]]="","",AVANCE[[#This Row],[FECHA INICIO REAL]]-AVANCE[[#This Row],[FECHA INICIO TEORICO]])</f>
        <v/>
      </c>
      <c r="BH7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1" spans="1:61" x14ac:dyDescent="0.25">
      <c r="A701" t="s">
        <v>1517</v>
      </c>
      <c r="B701" t="s">
        <v>1545</v>
      </c>
      <c r="C701">
        <v>2282600700</v>
      </c>
      <c r="D701" t="s">
        <v>833</v>
      </c>
      <c r="E701" s="4">
        <v>0</v>
      </c>
      <c r="F701" s="1">
        <v>46485</v>
      </c>
      <c r="G701" s="1"/>
      <c r="H701" s="1">
        <v>0</v>
      </c>
      <c r="I701" s="1">
        <v>46505</v>
      </c>
      <c r="J701">
        <v>46188</v>
      </c>
      <c r="K701" s="1"/>
      <c r="L701" s="7">
        <v>0</v>
      </c>
      <c r="M701" s="7">
        <v>0</v>
      </c>
      <c r="N701" s="7">
        <v>0</v>
      </c>
      <c r="O701" s="7">
        <v>0</v>
      </c>
      <c r="P701" s="7">
        <v>0</v>
      </c>
      <c r="Q701" s="7">
        <v>0</v>
      </c>
      <c r="R701" s="7">
        <v>0</v>
      </c>
      <c r="S701" s="7">
        <v>0</v>
      </c>
      <c r="T701" s="7">
        <v>0</v>
      </c>
      <c r="U701" s="7">
        <v>0</v>
      </c>
      <c r="V701" s="7">
        <v>0</v>
      </c>
      <c r="W701" s="7">
        <v>0</v>
      </c>
      <c r="X701" s="7">
        <v>0</v>
      </c>
      <c r="Y701" s="7">
        <v>0</v>
      </c>
      <c r="Z701" s="7">
        <v>0</v>
      </c>
      <c r="AA701" s="7">
        <v>0</v>
      </c>
      <c r="AB701" s="7">
        <v>0</v>
      </c>
      <c r="AC701" s="7">
        <v>0</v>
      </c>
      <c r="AD701" s="7">
        <v>0</v>
      </c>
      <c r="AE701" s="7">
        <v>0</v>
      </c>
      <c r="AF701" s="7">
        <v>0</v>
      </c>
      <c r="AG701" s="7">
        <v>0</v>
      </c>
      <c r="AH701" s="7">
        <v>0</v>
      </c>
      <c r="AI701" s="7">
        <v>0</v>
      </c>
      <c r="AJ701" s="7">
        <v>0</v>
      </c>
      <c r="AK701" s="7">
        <v>0</v>
      </c>
      <c r="AL701" s="7">
        <v>0</v>
      </c>
      <c r="AM701" s="7">
        <v>0</v>
      </c>
      <c r="AN701" s="7">
        <v>0</v>
      </c>
      <c r="AO701" s="7">
        <v>0</v>
      </c>
      <c r="AP701" s="7">
        <v>0</v>
      </c>
      <c r="AQ701" s="7">
        <v>0</v>
      </c>
      <c r="AR701" s="7">
        <v>0</v>
      </c>
      <c r="AS701" s="7">
        <v>0</v>
      </c>
      <c r="AT701" s="7">
        <v>0</v>
      </c>
      <c r="AU701" s="7">
        <v>0</v>
      </c>
      <c r="AV701" s="7">
        <v>0</v>
      </c>
      <c r="AW701" s="7">
        <v>0</v>
      </c>
      <c r="AX701" s="7">
        <v>0</v>
      </c>
      <c r="AY701" s="7">
        <v>0</v>
      </c>
      <c r="AZ701" s="7">
        <v>0</v>
      </c>
      <c r="BA701" s="7">
        <v>0</v>
      </c>
      <c r="BB701" s="7">
        <v>0</v>
      </c>
      <c r="BC701" s="7">
        <v>0</v>
      </c>
      <c r="BD701">
        <v>0</v>
      </c>
      <c r="BE701">
        <v>28.87</v>
      </c>
      <c r="BF7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1" s="42" t="str">
        <f>+IF(AVANCE[[#This Row],[FECHA INICIO REAL]]="","",AVANCE[[#This Row],[FECHA INICIO REAL]]-AVANCE[[#This Row],[FECHA INICIO TEORICO]])</f>
        <v/>
      </c>
      <c r="BH7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2" spans="1:61" x14ac:dyDescent="0.25">
      <c r="A702" t="s">
        <v>1517</v>
      </c>
      <c r="B702" t="s">
        <v>1546</v>
      </c>
      <c r="C702">
        <v>2282600701</v>
      </c>
      <c r="D702" t="s">
        <v>833</v>
      </c>
      <c r="E702" s="4">
        <v>0</v>
      </c>
      <c r="F702" s="1">
        <v>46486</v>
      </c>
      <c r="G702" s="1"/>
      <c r="H702" s="1">
        <v>0</v>
      </c>
      <c r="I702" s="1">
        <v>46506</v>
      </c>
      <c r="J702">
        <v>46188</v>
      </c>
      <c r="K702" s="1"/>
      <c r="L702" s="7">
        <v>0</v>
      </c>
      <c r="M702" s="7">
        <v>0</v>
      </c>
      <c r="N702" s="7">
        <v>0</v>
      </c>
      <c r="O702" s="7">
        <v>0</v>
      </c>
      <c r="P702" s="7">
        <v>0</v>
      </c>
      <c r="Q702" s="7">
        <v>0</v>
      </c>
      <c r="R702" s="7">
        <v>0</v>
      </c>
      <c r="S702" s="7">
        <v>0</v>
      </c>
      <c r="T702" s="7">
        <v>0</v>
      </c>
      <c r="U702" s="7">
        <v>0</v>
      </c>
      <c r="V702" s="7">
        <v>0</v>
      </c>
      <c r="W702" s="7">
        <v>0</v>
      </c>
      <c r="X702" s="7">
        <v>0</v>
      </c>
      <c r="Y702" s="7">
        <v>0</v>
      </c>
      <c r="Z702" s="7">
        <v>0</v>
      </c>
      <c r="AA702" s="7">
        <v>0</v>
      </c>
      <c r="AB702" s="7">
        <v>0</v>
      </c>
      <c r="AC702" s="7">
        <v>0</v>
      </c>
      <c r="AD702" s="7">
        <v>0</v>
      </c>
      <c r="AE702" s="7">
        <v>0</v>
      </c>
      <c r="AF702" s="7">
        <v>0</v>
      </c>
      <c r="AG702" s="7">
        <v>0</v>
      </c>
      <c r="AH702" s="7">
        <v>0</v>
      </c>
      <c r="AI702" s="7">
        <v>0</v>
      </c>
      <c r="AJ702" s="7">
        <v>0</v>
      </c>
      <c r="AK702" s="7">
        <v>0</v>
      </c>
      <c r="AL702" s="7">
        <v>0</v>
      </c>
      <c r="AM702" s="7">
        <v>0</v>
      </c>
      <c r="AN702" s="7">
        <v>0</v>
      </c>
      <c r="AO702" s="7">
        <v>0</v>
      </c>
      <c r="AP702" s="7">
        <v>0</v>
      </c>
      <c r="AQ702" s="7">
        <v>0</v>
      </c>
      <c r="AR702" s="7">
        <v>0</v>
      </c>
      <c r="AS702" s="7">
        <v>0</v>
      </c>
      <c r="AT702" s="7">
        <v>0</v>
      </c>
      <c r="AU702" s="7">
        <v>0</v>
      </c>
      <c r="AV702" s="7">
        <v>0</v>
      </c>
      <c r="AW702" s="7">
        <v>0</v>
      </c>
      <c r="AX702" s="7">
        <v>0</v>
      </c>
      <c r="AY702" s="7">
        <v>0</v>
      </c>
      <c r="AZ702" s="7">
        <v>0</v>
      </c>
      <c r="BA702" s="7">
        <v>0</v>
      </c>
      <c r="BB702" s="7">
        <v>0</v>
      </c>
      <c r="BC702" s="7">
        <v>0</v>
      </c>
      <c r="BD702">
        <v>0</v>
      </c>
      <c r="BE702">
        <v>28.87</v>
      </c>
      <c r="BF7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2" s="42" t="str">
        <f>+IF(AVANCE[[#This Row],[FECHA INICIO REAL]]="","",AVANCE[[#This Row],[FECHA INICIO REAL]]-AVANCE[[#This Row],[FECHA INICIO TEORICO]])</f>
        <v/>
      </c>
      <c r="BH7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3" spans="1:61" x14ac:dyDescent="0.25">
      <c r="A703" t="s">
        <v>1517</v>
      </c>
      <c r="B703" t="s">
        <v>1547</v>
      </c>
      <c r="C703">
        <v>2302600702</v>
      </c>
      <c r="D703" t="s">
        <v>834</v>
      </c>
      <c r="E703" s="4">
        <v>0</v>
      </c>
      <c r="F703" s="1">
        <v>46486</v>
      </c>
      <c r="G703" s="1"/>
      <c r="H703" s="1">
        <v>0</v>
      </c>
      <c r="I703" s="1">
        <v>46516</v>
      </c>
      <c r="J703">
        <v>46188</v>
      </c>
      <c r="K703" s="1"/>
      <c r="L703" s="7">
        <v>0</v>
      </c>
      <c r="M703" s="7">
        <v>0</v>
      </c>
      <c r="N703" s="7">
        <v>0</v>
      </c>
      <c r="O703" s="7">
        <v>0</v>
      </c>
      <c r="P703" s="7">
        <v>0</v>
      </c>
      <c r="Q703" s="7">
        <v>0</v>
      </c>
      <c r="R703" s="7">
        <v>0</v>
      </c>
      <c r="S703" s="7">
        <v>0</v>
      </c>
      <c r="T703" s="7">
        <v>0</v>
      </c>
      <c r="U703" s="7">
        <v>0</v>
      </c>
      <c r="V703" s="7">
        <v>0</v>
      </c>
      <c r="W703" s="7">
        <v>0</v>
      </c>
      <c r="X703" s="7">
        <v>0</v>
      </c>
      <c r="Y703" s="7">
        <v>0</v>
      </c>
      <c r="Z703" s="7">
        <v>0</v>
      </c>
      <c r="AA703" s="7">
        <v>0</v>
      </c>
      <c r="AB703" s="7">
        <v>0</v>
      </c>
      <c r="AC703" s="7">
        <v>0</v>
      </c>
      <c r="AD703" s="7">
        <v>0</v>
      </c>
      <c r="AE703" s="7">
        <v>0</v>
      </c>
      <c r="AF703" s="7">
        <v>0</v>
      </c>
      <c r="AG703" s="7">
        <v>0</v>
      </c>
      <c r="AH703" s="7">
        <v>0</v>
      </c>
      <c r="AI703" s="7">
        <v>0</v>
      </c>
      <c r="AJ703" s="7">
        <v>0</v>
      </c>
      <c r="AK703" s="7">
        <v>0</v>
      </c>
      <c r="AL703" s="7">
        <v>0</v>
      </c>
      <c r="AM703" s="7">
        <v>0</v>
      </c>
      <c r="AN703" s="7">
        <v>0</v>
      </c>
      <c r="AO703" s="7">
        <v>0</v>
      </c>
      <c r="AP703" s="7">
        <v>0</v>
      </c>
      <c r="AQ703" s="7">
        <v>0</v>
      </c>
      <c r="AR703" s="7">
        <v>0</v>
      </c>
      <c r="AS703" s="7">
        <v>0</v>
      </c>
      <c r="AT703" s="7">
        <v>0</v>
      </c>
      <c r="AU703" s="7">
        <v>0</v>
      </c>
      <c r="AV703" s="7">
        <v>0</v>
      </c>
      <c r="AW703" s="7">
        <v>0</v>
      </c>
      <c r="AX703" s="7">
        <v>0</v>
      </c>
      <c r="AY703" s="7">
        <v>0</v>
      </c>
      <c r="AZ703" s="7">
        <v>0</v>
      </c>
      <c r="BA703" s="7">
        <v>0</v>
      </c>
      <c r="BB703" s="7">
        <v>0</v>
      </c>
      <c r="BC703" s="7">
        <v>0</v>
      </c>
      <c r="BD703">
        <v>0</v>
      </c>
      <c r="BE703">
        <v>31.32</v>
      </c>
      <c r="BF7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3" s="42" t="str">
        <f>+IF(AVANCE[[#This Row],[FECHA INICIO REAL]]="","",AVANCE[[#This Row],[FECHA INICIO REAL]]-AVANCE[[#This Row],[FECHA INICIO TEORICO]])</f>
        <v/>
      </c>
      <c r="BH7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4" spans="1:61" x14ac:dyDescent="0.25">
      <c r="A704" t="s">
        <v>1517</v>
      </c>
      <c r="B704" t="s">
        <v>1548</v>
      </c>
      <c r="C704">
        <v>2302600703</v>
      </c>
      <c r="D704" t="s">
        <v>834</v>
      </c>
      <c r="E704" s="4">
        <v>0</v>
      </c>
      <c r="F704" s="1">
        <v>46486</v>
      </c>
      <c r="G704" s="1"/>
      <c r="H704" s="1">
        <v>0</v>
      </c>
      <c r="I704" s="1">
        <v>46516</v>
      </c>
      <c r="J704">
        <v>46188</v>
      </c>
      <c r="K704" s="1"/>
      <c r="L704" s="7">
        <v>0</v>
      </c>
      <c r="M704" s="7">
        <v>0</v>
      </c>
      <c r="N704" s="7">
        <v>0</v>
      </c>
      <c r="O704" s="7">
        <v>0</v>
      </c>
      <c r="P704" s="7">
        <v>0</v>
      </c>
      <c r="Q704" s="7">
        <v>0</v>
      </c>
      <c r="R704" s="7">
        <v>0</v>
      </c>
      <c r="S704" s="7">
        <v>0</v>
      </c>
      <c r="T704" s="7">
        <v>0</v>
      </c>
      <c r="U704" s="7">
        <v>0</v>
      </c>
      <c r="V704" s="7">
        <v>0</v>
      </c>
      <c r="W704" s="7">
        <v>0</v>
      </c>
      <c r="X704" s="7">
        <v>0</v>
      </c>
      <c r="Y704" s="7">
        <v>0</v>
      </c>
      <c r="Z704" s="7">
        <v>0</v>
      </c>
      <c r="AA704" s="7">
        <v>0</v>
      </c>
      <c r="AB704" s="7">
        <v>0</v>
      </c>
      <c r="AC704" s="7">
        <v>0</v>
      </c>
      <c r="AD704" s="7">
        <v>0</v>
      </c>
      <c r="AE704" s="7">
        <v>0</v>
      </c>
      <c r="AF704" s="7">
        <v>0</v>
      </c>
      <c r="AG704" s="7">
        <v>0</v>
      </c>
      <c r="AH704" s="7">
        <v>0</v>
      </c>
      <c r="AI704" s="7">
        <v>0</v>
      </c>
      <c r="AJ704" s="7">
        <v>0</v>
      </c>
      <c r="AK704" s="7">
        <v>0</v>
      </c>
      <c r="AL704" s="7">
        <v>0</v>
      </c>
      <c r="AM704" s="7">
        <v>0</v>
      </c>
      <c r="AN704" s="7">
        <v>0</v>
      </c>
      <c r="AO704" s="7">
        <v>0</v>
      </c>
      <c r="AP704" s="7">
        <v>0</v>
      </c>
      <c r="AQ704" s="7">
        <v>0</v>
      </c>
      <c r="AR704" s="7">
        <v>0</v>
      </c>
      <c r="AS704" s="7">
        <v>0</v>
      </c>
      <c r="AT704" s="7">
        <v>0</v>
      </c>
      <c r="AU704" s="7">
        <v>0</v>
      </c>
      <c r="AV704" s="7">
        <v>0</v>
      </c>
      <c r="AW704" s="7">
        <v>0</v>
      </c>
      <c r="AX704" s="7">
        <v>0</v>
      </c>
      <c r="AY704" s="7">
        <v>0</v>
      </c>
      <c r="AZ704" s="7">
        <v>0</v>
      </c>
      <c r="BA704" s="7">
        <v>0</v>
      </c>
      <c r="BB704" s="7">
        <v>0</v>
      </c>
      <c r="BC704" s="7">
        <v>0</v>
      </c>
      <c r="BD704">
        <v>0</v>
      </c>
      <c r="BE704">
        <v>31.32</v>
      </c>
      <c r="BF7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4" s="42" t="str">
        <f>+IF(AVANCE[[#This Row],[FECHA INICIO REAL]]="","",AVANCE[[#This Row],[FECHA INICIO REAL]]-AVANCE[[#This Row],[FECHA INICIO TEORICO]])</f>
        <v/>
      </c>
      <c r="BH7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5" spans="1:61" x14ac:dyDescent="0.25">
      <c r="A705" t="s">
        <v>1517</v>
      </c>
      <c r="B705" t="s">
        <v>1549</v>
      </c>
      <c r="C705">
        <v>2282600704</v>
      </c>
      <c r="D705" t="s">
        <v>833</v>
      </c>
      <c r="E705" s="4">
        <v>0</v>
      </c>
      <c r="F705" s="1">
        <v>46489</v>
      </c>
      <c r="G705" s="1"/>
      <c r="H705" s="1">
        <v>0</v>
      </c>
      <c r="I705" s="1">
        <v>46509</v>
      </c>
      <c r="J705">
        <v>46188</v>
      </c>
      <c r="K705" s="1"/>
      <c r="L705" s="7">
        <v>0</v>
      </c>
      <c r="M705" s="7">
        <v>0</v>
      </c>
      <c r="N705" s="7">
        <v>0</v>
      </c>
      <c r="O705" s="7">
        <v>0</v>
      </c>
      <c r="P705" s="7">
        <v>0</v>
      </c>
      <c r="Q705" s="7">
        <v>0</v>
      </c>
      <c r="R705" s="7">
        <v>0</v>
      </c>
      <c r="S705" s="7">
        <v>0</v>
      </c>
      <c r="T705" s="7">
        <v>0</v>
      </c>
      <c r="U705" s="7">
        <v>0</v>
      </c>
      <c r="V705" s="7">
        <v>0</v>
      </c>
      <c r="W705" s="7">
        <v>0</v>
      </c>
      <c r="X705" s="7">
        <v>0</v>
      </c>
      <c r="Y705" s="7">
        <v>0</v>
      </c>
      <c r="Z705" s="7">
        <v>0</v>
      </c>
      <c r="AA705" s="7">
        <v>0</v>
      </c>
      <c r="AB705" s="7">
        <v>0</v>
      </c>
      <c r="AC705" s="7">
        <v>0</v>
      </c>
      <c r="AD705" s="7">
        <v>0</v>
      </c>
      <c r="AE705" s="7">
        <v>0</v>
      </c>
      <c r="AF705" s="7">
        <v>0</v>
      </c>
      <c r="AG705" s="7">
        <v>0</v>
      </c>
      <c r="AH705" s="7">
        <v>0</v>
      </c>
      <c r="AI705" s="7">
        <v>0</v>
      </c>
      <c r="AJ705" s="7">
        <v>0</v>
      </c>
      <c r="AK705" s="7">
        <v>0</v>
      </c>
      <c r="AL705" s="7">
        <v>0</v>
      </c>
      <c r="AM705" s="7">
        <v>0</v>
      </c>
      <c r="AN705" s="7">
        <v>0</v>
      </c>
      <c r="AO705" s="7">
        <v>0</v>
      </c>
      <c r="AP705" s="7">
        <v>0</v>
      </c>
      <c r="AQ705" s="7">
        <v>0</v>
      </c>
      <c r="AR705" s="7">
        <v>0</v>
      </c>
      <c r="AS705" s="7">
        <v>0</v>
      </c>
      <c r="AT705" s="7">
        <v>0</v>
      </c>
      <c r="AU705" s="7">
        <v>0</v>
      </c>
      <c r="AV705" s="7">
        <v>0</v>
      </c>
      <c r="AW705" s="7">
        <v>0</v>
      </c>
      <c r="AX705" s="7">
        <v>0</v>
      </c>
      <c r="AY705" s="7">
        <v>0</v>
      </c>
      <c r="AZ705" s="7">
        <v>0</v>
      </c>
      <c r="BA705" s="7">
        <v>0</v>
      </c>
      <c r="BB705" s="7">
        <v>0</v>
      </c>
      <c r="BC705" s="7">
        <v>0</v>
      </c>
      <c r="BD705">
        <v>0</v>
      </c>
      <c r="BE705">
        <v>28.87</v>
      </c>
      <c r="BF7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5" s="42" t="str">
        <f>+IF(AVANCE[[#This Row],[FECHA INICIO REAL]]="","",AVANCE[[#This Row],[FECHA INICIO REAL]]-AVANCE[[#This Row],[FECHA INICIO TEORICO]])</f>
        <v/>
      </c>
      <c r="BH7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27" spans="5:7" x14ac:dyDescent="0.25">
      <c r="E727" s="7"/>
      <c r="F727" s="13"/>
      <c r="G727" s="12"/>
    </row>
  </sheetData>
  <phoneticPr fontId="2" type="noConversion"/>
  <conditionalFormatting sqref="E2:E70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{8F0E3779-E3FE-4A93-BA5B-05966BCCD40A}</x14:id>
        </ext>
      </extLst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F0E3779-E3FE-4A93-BA5B-05966BCCD40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E2:E705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D9F2B-BB0B-4E5C-9FC4-2496A4AEADC7}">
  <dimension ref="A1:N448"/>
  <sheetViews>
    <sheetView topLeftCell="D88" workbookViewId="0">
      <selection activeCell="I121" sqref="I121"/>
    </sheetView>
  </sheetViews>
  <sheetFormatPr baseColWidth="10" defaultRowHeight="15" x14ac:dyDescent="0.25"/>
  <cols>
    <col min="1" max="1" width="10.42578125" bestFit="1" customWidth="1"/>
    <col min="2" max="2" width="29.7109375" style="7" bestFit="1" customWidth="1"/>
    <col min="3" max="3" width="17.5703125" style="7" bestFit="1" customWidth="1"/>
    <col min="4" max="4" width="18" bestFit="1" customWidth="1"/>
    <col min="5" max="5" width="25" style="66" bestFit="1" customWidth="1"/>
    <col min="6" max="6" width="19.5703125" style="66" bestFit="1" customWidth="1"/>
    <col min="7" max="7" width="22.85546875" bestFit="1" customWidth="1"/>
    <col min="8" max="8" width="25.42578125" bestFit="1" customWidth="1"/>
    <col min="9" max="9" width="17.7109375" bestFit="1" customWidth="1"/>
    <col min="10" max="10" width="6.42578125" bestFit="1" customWidth="1"/>
    <col min="11" max="11" width="10.85546875" bestFit="1" customWidth="1"/>
    <col min="12" max="12" width="7.28515625" bestFit="1" customWidth="1"/>
    <col min="13" max="13" width="28.85546875" bestFit="1" customWidth="1"/>
    <col min="14" max="14" width="24.140625" bestFit="1" customWidth="1"/>
  </cols>
  <sheetData>
    <row r="1" spans="1:14" x14ac:dyDescent="0.25">
      <c r="A1" t="s">
        <v>1698</v>
      </c>
      <c r="B1" s="7" t="s">
        <v>1699</v>
      </c>
      <c r="C1" s="7" t="s">
        <v>1700</v>
      </c>
      <c r="D1" t="s">
        <v>1701</v>
      </c>
      <c r="E1" s="66" t="s">
        <v>1723</v>
      </c>
      <c r="F1" s="66" t="s">
        <v>1728</v>
      </c>
      <c r="G1" t="s">
        <v>1702</v>
      </c>
      <c r="H1" t="s">
        <v>1703</v>
      </c>
      <c r="I1" t="s">
        <v>1704</v>
      </c>
      <c r="J1" t="s">
        <v>1707</v>
      </c>
      <c r="K1" t="s">
        <v>779</v>
      </c>
      <c r="L1" t="s">
        <v>1708</v>
      </c>
      <c r="M1" s="67" t="s">
        <v>1724</v>
      </c>
      <c r="N1" s="74" t="s">
        <v>1727</v>
      </c>
    </row>
    <row r="2" spans="1:14" x14ac:dyDescent="0.25">
      <c r="A2" s="1">
        <v>46070</v>
      </c>
      <c r="B2" s="7">
        <v>0</v>
      </c>
      <c r="C2" s="7">
        <v>0</v>
      </c>
      <c r="D2">
        <v>2</v>
      </c>
      <c r="E2" s="66">
        <v>0</v>
      </c>
      <c r="F2" s="66">
        <v>0</v>
      </c>
      <c r="G2">
        <f>+_xlfn.XLOOKUP(CURVA[[#This Row],[Fecha]],AV_PLAN[Días],AV_PLAN[INICIO REAL],"",0)</f>
        <v>2</v>
      </c>
      <c r="H2">
        <f>+_xlfn.XLOOKUP(CURVA[[#This Row],[Fecha]],AV_PLAN[Días],AV_PLAN[FECHA TERMINO REAL],"",0)</f>
        <v>0</v>
      </c>
      <c r="I2" s="13">
        <v>0</v>
      </c>
      <c r="J2">
        <f>+DAY(CURVA[[#This Row],[Fecha]])</f>
        <v>17</v>
      </c>
      <c r="K2" t="str">
        <f>+TEXT(CURVA[[#This Row],[Fecha]],"MMMM")</f>
        <v>febrero</v>
      </c>
      <c r="L2">
        <f>+YEAR(CURVA[[#This Row],[Fecha]])</f>
        <v>2026</v>
      </c>
      <c r="M2" s="68">
        <f>CURVA[[#This Row],[% AVANCE REAL]]*MAX(CURVA[M2 Avance Programado])</f>
        <v>0</v>
      </c>
      <c r="N2" s="70" t="e">
        <f>IF(CURVA[[#This Row],[% AVANCE REAL]]="",0,M2-M1)</f>
        <v>#VALUE!</v>
      </c>
    </row>
    <row r="3" spans="1:14" x14ac:dyDescent="0.25">
      <c r="A3" s="1">
        <v>46071</v>
      </c>
      <c r="B3" s="7">
        <v>4.4389204545454547E-5</v>
      </c>
      <c r="C3" s="7">
        <v>4.4389204545454547E-5</v>
      </c>
      <c r="D3">
        <v>2</v>
      </c>
      <c r="E3" s="66">
        <v>0.94119648173766179</v>
      </c>
      <c r="F3" s="66">
        <v>0.94119648173766179</v>
      </c>
      <c r="G3">
        <f>+_xlfn.XLOOKUP(CURVA[[#This Row],[Fecha]],AV_PLAN[Días],AV_PLAN[INICIO REAL],"",0)</f>
        <v>0</v>
      </c>
      <c r="H3">
        <f>+_xlfn.XLOOKUP(CURVA[[#This Row],[Fecha]],AV_PLAN[Días],AV_PLAN[FECHA TERMINO REAL],"",0)</f>
        <v>0</v>
      </c>
      <c r="I3" s="13">
        <v>2.705627705627706E-5</v>
      </c>
      <c r="J3">
        <f>+DAY(CURVA[[#This Row],[Fecha]])</f>
        <v>18</v>
      </c>
      <c r="K3" t="str">
        <f>+TEXT(CURVA[[#This Row],[Fecha]],"MMMM")</f>
        <v>febrero</v>
      </c>
      <c r="L3">
        <f>+YEAR(CURVA[[#This Row],[Fecha]])</f>
        <v>2026</v>
      </c>
      <c r="M3" s="69">
        <f>CURVA[[#This Row],[% AVANCE REAL]]*MAX(CURVA[M2 Avance Programado])</f>
        <v>0.57368166505914608</v>
      </c>
      <c r="N3" s="69">
        <f>IF(CURVA[[#This Row],[% AVANCE REAL]]="",0,M3-M2)</f>
        <v>0.57368166505914608</v>
      </c>
    </row>
    <row r="4" spans="1:14" x14ac:dyDescent="0.25">
      <c r="A4" s="1">
        <v>46072</v>
      </c>
      <c r="B4" s="7">
        <v>8.8778409090909093E-5</v>
      </c>
      <c r="C4" s="7">
        <v>4.4389204545454547E-5</v>
      </c>
      <c r="D4">
        <v>3</v>
      </c>
      <c r="E4" s="66">
        <v>1.8823929634753231</v>
      </c>
      <c r="F4" s="66">
        <v>0.94119648173766179</v>
      </c>
      <c r="G4">
        <f>+_xlfn.XLOOKUP(CURVA[[#This Row],[Fecha]],AV_PLAN[Días],AV_PLAN[INICIO REAL],"",0)</f>
        <v>1</v>
      </c>
      <c r="H4">
        <f>+_xlfn.XLOOKUP(CURVA[[#This Row],[Fecha]],AV_PLAN[Días],AV_PLAN[FECHA TERMINO REAL],"",0)</f>
        <v>0</v>
      </c>
      <c r="I4" s="13">
        <v>5.4112554112554119E-5</v>
      </c>
      <c r="J4">
        <f>+DAY(CURVA[[#This Row],[Fecha]])</f>
        <v>19</v>
      </c>
      <c r="K4" t="str">
        <f>+TEXT(CURVA[[#This Row],[Fecha]],"MMMM")</f>
        <v>febrero</v>
      </c>
      <c r="L4">
        <f>+YEAR(CURVA[[#This Row],[Fecha]])</f>
        <v>2026</v>
      </c>
      <c r="M4" s="70">
        <f>CURVA[[#This Row],[% AVANCE REAL]]*MAX(CURVA[M2 Avance Programado])</f>
        <v>1.1473633301182922</v>
      </c>
      <c r="N4" s="69">
        <f>IF(CURVA[[#This Row],[% AVANCE REAL]]="",0,M4-M3)</f>
        <v>0.57368166505914608</v>
      </c>
    </row>
    <row r="5" spans="1:14" x14ac:dyDescent="0.25">
      <c r="A5" s="1">
        <v>46073</v>
      </c>
      <c r="B5" s="7">
        <v>1.5808786881977671E-4</v>
      </c>
      <c r="C5" s="7">
        <v>6.9309459728867615E-5</v>
      </c>
      <c r="D5">
        <v>5</v>
      </c>
      <c r="E5" s="66">
        <v>3.3519804525043035</v>
      </c>
      <c r="F5" s="66">
        <v>1.4695874890289804</v>
      </c>
      <c r="G5">
        <f>+_xlfn.XLOOKUP(CURVA[[#This Row],[Fecha]],AV_PLAN[Días],AV_PLAN[INICIO REAL],"",0)</f>
        <v>2</v>
      </c>
      <c r="H5">
        <f>+_xlfn.XLOOKUP(CURVA[[#This Row],[Fecha]],AV_PLAN[Días],AV_PLAN[FECHA TERMINO REAL],"",0)</f>
        <v>0</v>
      </c>
      <c r="I5" s="13">
        <v>9.4959651998486949E-5</v>
      </c>
      <c r="J5">
        <f>+DAY(CURVA[[#This Row],[Fecha]])</f>
        <v>20</v>
      </c>
      <c r="K5" t="str">
        <f>+TEXT(CURVA[[#This Row],[Fecha]],"MMMM")</f>
        <v>febrero</v>
      </c>
      <c r="L5">
        <f>+YEAR(CURVA[[#This Row],[Fecha]])</f>
        <v>2026</v>
      </c>
      <c r="M5" s="69">
        <f>CURVA[[#This Row],[% AVANCE REAL]]*MAX(CURVA[M2 Avance Programado])</f>
        <v>2.0134555526104982</v>
      </c>
      <c r="N5" s="69">
        <f>IF(CURVA[[#This Row],[% AVANCE REAL]]="",0,M5-M4)</f>
        <v>0.86609222249220608</v>
      </c>
    </row>
    <row r="6" spans="1:14" x14ac:dyDescent="0.25">
      <c r="A6" s="1">
        <v>46074</v>
      </c>
      <c r="B6" s="7">
        <v>2.7361846851978432E-4</v>
      </c>
      <c r="C6" s="7">
        <v>1.1553059970000762E-4</v>
      </c>
      <c r="D6">
        <v>5</v>
      </c>
      <c r="E6" s="66">
        <v>5.8016074526759924</v>
      </c>
      <c r="F6" s="66">
        <v>2.4496270001716889</v>
      </c>
      <c r="G6">
        <f>+_xlfn.XLOOKUP(CURVA[[#This Row],[Fecha]],AV_PLAN[Días],AV_PLAN[INICIO REAL],"",0)</f>
        <v>0</v>
      </c>
      <c r="H6">
        <f>+_xlfn.XLOOKUP(CURVA[[#This Row],[Fecha]],AV_PLAN[Días],AV_PLAN[FECHA TERMINO REAL],"",0)</f>
        <v>0</v>
      </c>
      <c r="I6" s="13">
        <v>1.6365879979529321E-4</v>
      </c>
      <c r="J6">
        <f>+DAY(CURVA[[#This Row],[Fecha]])</f>
        <v>21</v>
      </c>
      <c r="K6" t="str">
        <f>+TEXT(CURVA[[#This Row],[Fecha]],"MMMM")</f>
        <v>febrero</v>
      </c>
      <c r="L6">
        <f>+YEAR(CURVA[[#This Row],[Fecha]])</f>
        <v>2026</v>
      </c>
      <c r="M6" s="70">
        <f>CURVA[[#This Row],[% AVANCE REAL]]*MAX(CURVA[M2 Avance Programado])</f>
        <v>3.4701024303106482</v>
      </c>
      <c r="N6" s="69">
        <f>IF(CURVA[[#This Row],[% AVANCE REAL]]="",0,M6-M5)</f>
        <v>1.45664687770015</v>
      </c>
    </row>
    <row r="7" spans="1:14" x14ac:dyDescent="0.25">
      <c r="A7" s="1">
        <v>46075</v>
      </c>
      <c r="B7" s="7">
        <v>3.8914906821979189E-4</v>
      </c>
      <c r="C7" s="7">
        <v>1.1553059970000756E-4</v>
      </c>
      <c r="D7">
        <v>5</v>
      </c>
      <c r="E7" s="66">
        <v>8.2512344528476813</v>
      </c>
      <c r="F7" s="66">
        <v>2.449627000171688</v>
      </c>
      <c r="G7">
        <f>+_xlfn.XLOOKUP(CURVA[[#This Row],[Fecha]],AV_PLAN[Días],AV_PLAN[INICIO REAL],"",0)</f>
        <v>0</v>
      </c>
      <c r="H7">
        <f>+_xlfn.XLOOKUP(CURVA[[#This Row],[Fecha]],AV_PLAN[Días],AV_PLAN[FECHA TERMINO REAL],"",0)</f>
        <v>0</v>
      </c>
      <c r="I7" s="13">
        <v>2.3235794759209953E-4</v>
      </c>
      <c r="J7">
        <f>+DAY(CURVA[[#This Row],[Fecha]])</f>
        <v>22</v>
      </c>
      <c r="K7" t="str">
        <f>+TEXT(CURVA[[#This Row],[Fecha]],"MMMM")</f>
        <v>febrero</v>
      </c>
      <c r="L7">
        <f>+YEAR(CURVA[[#This Row],[Fecha]])</f>
        <v>2026</v>
      </c>
      <c r="M7" s="69">
        <f>CURVA[[#This Row],[% AVANCE REAL]]*MAX(CURVA[M2 Avance Programado])</f>
        <v>4.9267493080107991</v>
      </c>
      <c r="N7" s="69">
        <f>IF(CURVA[[#This Row],[% AVANCE REAL]]="",0,M7-M6)</f>
        <v>1.4566468777001509</v>
      </c>
    </row>
    <row r="8" spans="1:14" x14ac:dyDescent="0.25">
      <c r="A8" s="1">
        <v>46076</v>
      </c>
      <c r="B8" s="7">
        <v>5.046796679197995E-4</v>
      </c>
      <c r="C8" s="7">
        <v>1.1553059970000762E-4</v>
      </c>
      <c r="D8">
        <v>6</v>
      </c>
      <c r="E8" s="66">
        <v>10.700861453019368</v>
      </c>
      <c r="F8" s="66">
        <v>2.4496270001716889</v>
      </c>
      <c r="G8">
        <f>+_xlfn.XLOOKUP(CURVA[[#This Row],[Fecha]],AV_PLAN[Días],AV_PLAN[INICIO REAL],"",0)</f>
        <v>1</v>
      </c>
      <c r="H8">
        <f>+_xlfn.XLOOKUP(CURVA[[#This Row],[Fecha]],AV_PLAN[Días],AV_PLAN[FECHA TERMINO REAL],"",0)</f>
        <v>0</v>
      </c>
      <c r="I8" s="13">
        <v>3.0105709538890573E-4</v>
      </c>
      <c r="J8">
        <f>+DAY(CURVA[[#This Row],[Fecha]])</f>
        <v>23</v>
      </c>
      <c r="K8" t="str">
        <f>+TEXT(CURVA[[#This Row],[Fecha]],"MMMM")</f>
        <v>febrero</v>
      </c>
      <c r="L8">
        <f>+YEAR(CURVA[[#This Row],[Fecha]])</f>
        <v>2026</v>
      </c>
      <c r="M8" s="70">
        <f>CURVA[[#This Row],[% AVANCE REAL]]*MAX(CURVA[M2 Avance Programado])</f>
        <v>6.3833961857109482</v>
      </c>
      <c r="N8" s="69">
        <f>IF(CURVA[[#This Row],[% AVANCE REAL]]="",0,M8-M7)</f>
        <v>1.4566468777001491</v>
      </c>
    </row>
    <row r="9" spans="1:14" x14ac:dyDescent="0.25">
      <c r="A9" s="1">
        <v>46077</v>
      </c>
      <c r="B9" s="7">
        <v>6.4050247541201481E-4</v>
      </c>
      <c r="C9" s="7">
        <v>1.3582280749221531E-4</v>
      </c>
      <c r="D9">
        <v>6</v>
      </c>
      <c r="E9" s="66">
        <v>13.580749701985416</v>
      </c>
      <c r="F9" s="66">
        <v>2.8798882489660462</v>
      </c>
      <c r="G9">
        <f>+_xlfn.XLOOKUP(CURVA[[#This Row],[Fecha]],AV_PLAN[Días],AV_PLAN[INICIO REAL],"",0)</f>
        <v>0</v>
      </c>
      <c r="H9">
        <f>+_xlfn.XLOOKUP(CURVA[[#This Row],[Fecha]],AV_PLAN[Días],AV_PLAN[FECHA TERMINO REAL],"",0)</f>
        <v>0</v>
      </c>
      <c r="I9" s="13">
        <v>3.8367382812602431E-4</v>
      </c>
      <c r="J9">
        <f>+DAY(CURVA[[#This Row],[Fecha]])</f>
        <v>24</v>
      </c>
      <c r="K9" t="str">
        <f>+TEXT(CURVA[[#This Row],[Fecha]],"MMMM")</f>
        <v>febrero</v>
      </c>
      <c r="L9">
        <f>+YEAR(CURVA[[#This Row],[Fecha]])</f>
        <v>2026</v>
      </c>
      <c r="M9" s="69">
        <f>CURVA[[#This Row],[% AVANCE REAL]]*MAX(CURVA[M2 Avance Programado])</f>
        <v>8.1351414350589497</v>
      </c>
      <c r="N9" s="69">
        <f>IF(CURVA[[#This Row],[% AVANCE REAL]]="",0,M9-M8)</f>
        <v>1.7517452493480015</v>
      </c>
    </row>
    <row r="10" spans="1:14" x14ac:dyDescent="0.25">
      <c r="A10" s="1">
        <v>46078</v>
      </c>
      <c r="B10" s="7">
        <v>7.7632528290423023E-4</v>
      </c>
      <c r="C10" s="7">
        <v>1.3582280749221542E-4</v>
      </c>
      <c r="D10">
        <v>8</v>
      </c>
      <c r="E10" s="66">
        <v>16.460637950951465</v>
      </c>
      <c r="F10" s="66">
        <v>2.8798882489660489</v>
      </c>
      <c r="G10">
        <f>+_xlfn.XLOOKUP(CURVA[[#This Row],[Fecha]],AV_PLAN[Días],AV_PLAN[INICIO REAL],"",0)</f>
        <v>2</v>
      </c>
      <c r="H10">
        <f>+_xlfn.XLOOKUP(CURVA[[#This Row],[Fecha]],AV_PLAN[Días],AV_PLAN[FECHA TERMINO REAL],"",0)</f>
        <v>0</v>
      </c>
      <c r="I10" s="13">
        <v>4.6629056086314272E-4</v>
      </c>
      <c r="J10">
        <f>+DAY(CURVA[[#This Row],[Fecha]])</f>
        <v>25</v>
      </c>
      <c r="K10" t="str">
        <f>+TEXT(CURVA[[#This Row],[Fecha]],"MMMM")</f>
        <v>febrero</v>
      </c>
      <c r="L10">
        <f>+YEAR(CURVA[[#This Row],[Fecha]])</f>
        <v>2026</v>
      </c>
      <c r="M10" s="70">
        <f>CURVA[[#This Row],[% AVANCE REAL]]*MAX(CURVA[M2 Avance Programado])</f>
        <v>9.8868866844069458</v>
      </c>
      <c r="N10" s="69">
        <f>IF(CURVA[[#This Row],[% AVANCE REAL]]="",0,M10-M9)</f>
        <v>1.7517452493479961</v>
      </c>
    </row>
    <row r="11" spans="1:14" x14ac:dyDescent="0.25">
      <c r="A11" s="1">
        <v>46079</v>
      </c>
      <c r="B11" s="7">
        <v>9.5714299558871912E-4</v>
      </c>
      <c r="C11" s="7">
        <v>1.808177126844889E-4</v>
      </c>
      <c r="D11">
        <v>9</v>
      </c>
      <c r="E11" s="66">
        <v>20.294565518637949</v>
      </c>
      <c r="F11" s="66">
        <v>3.8339275676864832</v>
      </c>
      <c r="G11">
        <f>+_xlfn.XLOOKUP(CURVA[[#This Row],[Fecha]],AV_PLAN[Días],AV_PLAN[INICIO REAL],"",0)</f>
        <v>1</v>
      </c>
      <c r="H11">
        <f>+_xlfn.XLOOKUP(CURVA[[#This Row],[Fecha]],AV_PLAN[Días],AV_PLAN[FECHA TERMINO REAL],"",0)</f>
        <v>0</v>
      </c>
      <c r="I11" s="13">
        <v>5.7819501618695292E-4</v>
      </c>
      <c r="J11">
        <f>+DAY(CURVA[[#This Row],[Fecha]])</f>
        <v>26</v>
      </c>
      <c r="K11" t="str">
        <f>+TEXT(CURVA[[#This Row],[Fecha]],"MMMM")</f>
        <v>febrero</v>
      </c>
      <c r="L11">
        <f>+YEAR(CURVA[[#This Row],[Fecha]])</f>
        <v>2026</v>
      </c>
      <c r="M11" s="69">
        <f>CURVA[[#This Row],[% AVANCE REAL]]*MAX(CURVA[M2 Avance Programado])</f>
        <v>12.259627550571548</v>
      </c>
      <c r="N11" s="69">
        <f>IF(CURVA[[#This Row],[% AVANCE REAL]]="",0,M11-M10)</f>
        <v>2.3727408661646017</v>
      </c>
    </row>
    <row r="12" spans="1:14" x14ac:dyDescent="0.25">
      <c r="A12" s="1">
        <v>46080</v>
      </c>
      <c r="B12" s="7">
        <v>1.164761737432728E-3</v>
      </c>
      <c r="C12" s="7">
        <v>2.0761874184400887E-4</v>
      </c>
      <c r="D12">
        <v>10</v>
      </c>
      <c r="E12" s="66">
        <v>24.696762660203778</v>
      </c>
      <c r="F12" s="66">
        <v>4.4021971415658312</v>
      </c>
      <c r="G12">
        <f>+_xlfn.XLOOKUP(CURVA[[#This Row],[Fecha]],AV_PLAN[Días],AV_PLAN[INICIO REAL],"",0)</f>
        <v>1</v>
      </c>
      <c r="H12">
        <f>+_xlfn.XLOOKUP(CURVA[[#This Row],[Fecha]],AV_PLAN[Días],AV_PLAN[FECHA TERMINO REAL],"",0)</f>
        <v>0</v>
      </c>
      <c r="I12" s="13">
        <v>7.0489587302591445E-4</v>
      </c>
      <c r="J12">
        <f>+DAY(CURVA[[#This Row],[Fecha]])</f>
        <v>27</v>
      </c>
      <c r="K12" t="str">
        <f>+TEXT(CURVA[[#This Row],[Fecha]],"MMMM")</f>
        <v>febrero</v>
      </c>
      <c r="L12">
        <f>+YEAR(CURVA[[#This Row],[Fecha]])</f>
        <v>2026</v>
      </c>
      <c r="M12" s="70">
        <f>CURVA[[#This Row],[% AVANCE REAL]]*MAX(CURVA[M2 Avance Programado])</f>
        <v>14.946100577315367</v>
      </c>
      <c r="N12" s="69">
        <f>IF(CURVA[[#This Row],[% AVANCE REAL]]="",0,M12-M11)</f>
        <v>2.686473026743819</v>
      </c>
    </row>
    <row r="13" spans="1:14" x14ac:dyDescent="0.25">
      <c r="A13" s="1">
        <v>46081</v>
      </c>
      <c r="B13" s="7">
        <v>1.3964559800471526E-3</v>
      </c>
      <c r="C13" s="7">
        <v>2.316942426144246E-4</v>
      </c>
      <c r="D13">
        <v>10</v>
      </c>
      <c r="E13" s="66">
        <v>29.609439249491725</v>
      </c>
      <c r="F13" s="66">
        <v>4.9126765892879458</v>
      </c>
      <c r="G13">
        <f>+_xlfn.XLOOKUP(CURVA[[#This Row],[Fecha]],AV_PLAN[Días],AV_PLAN[INICIO REAL],"",0)</f>
        <v>0</v>
      </c>
      <c r="H13">
        <f>+_xlfn.XLOOKUP(CURVA[[#This Row],[Fecha]],AV_PLAN[Días],AV_PLAN[FECHA TERMINO REAL],"",0)</f>
        <v>0</v>
      </c>
      <c r="I13" s="13">
        <v>8.4654888297492422E-4</v>
      </c>
      <c r="J13">
        <f>+DAY(CURVA[[#This Row],[Fecha]])</f>
        <v>28</v>
      </c>
      <c r="K13" t="str">
        <f>+TEXT(CURVA[[#This Row],[Fecha]],"MMMM")</f>
        <v>febrero</v>
      </c>
      <c r="L13">
        <f>+YEAR(CURVA[[#This Row],[Fecha]])</f>
        <v>2026</v>
      </c>
      <c r="M13" s="69">
        <f>CURVA[[#This Row],[% AVANCE REAL]]*MAX(CURVA[M2 Avance Programado])</f>
        <v>17.949608208433983</v>
      </c>
      <c r="N13" s="69">
        <f>IF(CURVA[[#This Row],[% AVANCE REAL]]="",0,M13-M12)</f>
        <v>3.003507631118616</v>
      </c>
    </row>
    <row r="14" spans="1:14" x14ac:dyDescent="0.25">
      <c r="A14" s="1">
        <v>46082</v>
      </c>
      <c r="B14" s="7">
        <v>1.6281502226615772E-3</v>
      </c>
      <c r="C14" s="7">
        <v>2.316942426144246E-4</v>
      </c>
      <c r="D14">
        <v>10</v>
      </c>
      <c r="E14" s="66">
        <v>34.522115838779669</v>
      </c>
      <c r="F14" s="66">
        <v>4.9126765892879458</v>
      </c>
      <c r="G14">
        <f>+_xlfn.XLOOKUP(CURVA[[#This Row],[Fecha]],AV_PLAN[Días],AV_PLAN[INICIO REAL],"",0)</f>
        <v>0</v>
      </c>
      <c r="H14">
        <f>+_xlfn.XLOOKUP(CURVA[[#This Row],[Fecha]],AV_PLAN[Días],AV_PLAN[FECHA TERMINO REAL],"",0)</f>
        <v>0</v>
      </c>
      <c r="I14" s="13">
        <v>9.8820189292393354E-4</v>
      </c>
      <c r="J14">
        <f>+DAY(CURVA[[#This Row],[Fecha]])</f>
        <v>1</v>
      </c>
      <c r="K14" t="str">
        <f>+TEXT(CURVA[[#This Row],[Fecha]],"MMMM")</f>
        <v>marzo</v>
      </c>
      <c r="L14">
        <f>+YEAR(CURVA[[#This Row],[Fecha]])</f>
        <v>2026</v>
      </c>
      <c r="M14" s="70">
        <f>CURVA[[#This Row],[% AVANCE REAL]]*MAX(CURVA[M2 Avance Programado])</f>
        <v>20.953115839552591</v>
      </c>
      <c r="N14" s="69">
        <f>IF(CURVA[[#This Row],[% AVANCE REAL]]="",0,M14-M13)</f>
        <v>3.0035076311186089</v>
      </c>
    </row>
    <row r="15" spans="1:14" x14ac:dyDescent="0.25">
      <c r="A15" s="1">
        <v>46083</v>
      </c>
      <c r="B15" s="7">
        <v>1.8598444652760024E-3</v>
      </c>
      <c r="C15" s="7">
        <v>2.3169424261442525E-4</v>
      </c>
      <c r="D15">
        <v>10</v>
      </c>
      <c r="E15" s="66">
        <v>39.434792428067631</v>
      </c>
      <c r="F15" s="66">
        <v>4.91267658928796</v>
      </c>
      <c r="G15">
        <f>+_xlfn.XLOOKUP(CURVA[[#This Row],[Fecha]],AV_PLAN[Días],AV_PLAN[INICIO REAL],"",0)</f>
        <v>0</v>
      </c>
      <c r="H15">
        <f>+_xlfn.XLOOKUP(CURVA[[#This Row],[Fecha]],AV_PLAN[Días],AV_PLAN[FECHA TERMINO REAL],"",0)</f>
        <v>0</v>
      </c>
      <c r="I15" s="13">
        <v>1.1298549028729429E-3</v>
      </c>
      <c r="J15">
        <f>+DAY(CURVA[[#This Row],[Fecha]])</f>
        <v>2</v>
      </c>
      <c r="K15" t="str">
        <f>+TEXT(CURVA[[#This Row],[Fecha]],"MMMM")</f>
        <v>marzo</v>
      </c>
      <c r="L15">
        <f>+YEAR(CURVA[[#This Row],[Fecha]])</f>
        <v>2026</v>
      </c>
      <c r="M15" s="69">
        <f>CURVA[[#This Row],[% AVANCE REAL]]*MAX(CURVA[M2 Avance Programado])</f>
        <v>23.9566234706712</v>
      </c>
      <c r="N15" s="69">
        <f>IF(CURVA[[#This Row],[% AVANCE REAL]]="",0,M15-M14)</f>
        <v>3.0035076311186089</v>
      </c>
    </row>
    <row r="16" spans="1:14" x14ac:dyDescent="0.25">
      <c r="A16" s="1">
        <v>46084</v>
      </c>
      <c r="B16" s="7">
        <v>2.0915387078904273E-3</v>
      </c>
      <c r="C16" s="7">
        <v>2.3169424261442481E-4</v>
      </c>
      <c r="D16">
        <v>10</v>
      </c>
      <c r="E16" s="66">
        <v>44.347469017355579</v>
      </c>
      <c r="F16" s="66">
        <v>4.9126765892879511</v>
      </c>
      <c r="G16">
        <f>+_xlfn.XLOOKUP(CURVA[[#This Row],[Fecha]],AV_PLAN[Días],AV_PLAN[INICIO REAL],"",0)</f>
        <v>0</v>
      </c>
      <c r="H16">
        <f>+_xlfn.XLOOKUP(CURVA[[#This Row],[Fecha]],AV_PLAN[Días],AV_PLAN[FECHA TERMINO REAL],"",0)</f>
        <v>0</v>
      </c>
      <c r="I16" s="13">
        <v>1.2715079128219529E-3</v>
      </c>
      <c r="J16">
        <f>+DAY(CURVA[[#This Row],[Fecha]])</f>
        <v>3</v>
      </c>
      <c r="K16" t="str">
        <f>+TEXT(CURVA[[#This Row],[Fecha]],"MMMM")</f>
        <v>marzo</v>
      </c>
      <c r="L16">
        <f>+YEAR(CURVA[[#This Row],[Fecha]])</f>
        <v>2026</v>
      </c>
      <c r="M16" s="70">
        <f>CURVA[[#This Row],[% AVANCE REAL]]*MAX(CURVA[M2 Avance Programado])</f>
        <v>26.960131101789823</v>
      </c>
      <c r="N16" s="69">
        <f>IF(CURVA[[#This Row],[% AVANCE REAL]]="",0,M16-M15)</f>
        <v>3.0035076311186231</v>
      </c>
    </row>
    <row r="17" spans="1:14" x14ac:dyDescent="0.25">
      <c r="A17" s="1">
        <v>46085</v>
      </c>
      <c r="B17" s="7">
        <v>2.3232329505048516E-3</v>
      </c>
      <c r="C17" s="7">
        <v>2.3169424261442438E-4</v>
      </c>
      <c r="D17">
        <v>11</v>
      </c>
      <c r="E17" s="66">
        <v>49.260145606643526</v>
      </c>
      <c r="F17" s="66">
        <v>4.9126765892879414</v>
      </c>
      <c r="G17">
        <f>+_xlfn.XLOOKUP(CURVA[[#This Row],[Fecha]],AV_PLAN[Días],AV_PLAN[INICIO REAL],"",0)</f>
        <v>1</v>
      </c>
      <c r="H17">
        <f>+_xlfn.XLOOKUP(CURVA[[#This Row],[Fecha]],AV_PLAN[Días],AV_PLAN[FECHA TERMINO REAL],"",0)</f>
        <v>0</v>
      </c>
      <c r="I17" s="13">
        <v>1.413160922770962E-3</v>
      </c>
      <c r="J17">
        <f>+DAY(CURVA[[#This Row],[Fecha]])</f>
        <v>4</v>
      </c>
      <c r="K17" t="str">
        <f>+TEXT(CURVA[[#This Row],[Fecha]],"MMMM")</f>
        <v>marzo</v>
      </c>
      <c r="L17">
        <f>+YEAR(CURVA[[#This Row],[Fecha]])</f>
        <v>2026</v>
      </c>
      <c r="M17" s="69">
        <f>CURVA[[#This Row],[% AVANCE REAL]]*MAX(CURVA[M2 Avance Programado])</f>
        <v>29.963638732908425</v>
      </c>
      <c r="N17" s="69">
        <f>IF(CURVA[[#This Row],[% AVANCE REAL]]="",0,M17-M16)</f>
        <v>3.0035076311186018</v>
      </c>
    </row>
    <row r="18" spans="1:14" x14ac:dyDescent="0.25">
      <c r="A18" s="1">
        <v>46086</v>
      </c>
      <c r="B18" s="7">
        <v>2.584519996149579E-3</v>
      </c>
      <c r="C18" s="7">
        <v>2.6128704564472739E-4</v>
      </c>
      <c r="D18">
        <v>12</v>
      </c>
      <c r="E18" s="66">
        <v>54.800286517089901</v>
      </c>
      <c r="F18" s="66">
        <v>5.5401409104463823</v>
      </c>
      <c r="G18">
        <f>+_xlfn.XLOOKUP(CURVA[[#This Row],[Fecha]],AV_PLAN[Días],AV_PLAN[INICIO REAL],"",0)</f>
        <v>1</v>
      </c>
      <c r="H18">
        <f>+_xlfn.XLOOKUP(CURVA[[#This Row],[Fecha]],AV_PLAN[Días],AV_PLAN[FECHA TERMINO REAL],"",0)</f>
        <v>0</v>
      </c>
      <c r="I18" s="13">
        <v>1.5705967610027997E-3</v>
      </c>
      <c r="J18">
        <f>+DAY(CURVA[[#This Row],[Fecha]])</f>
        <v>5</v>
      </c>
      <c r="K18" t="str">
        <f>+TEXT(CURVA[[#This Row],[Fecha]],"MMMM")</f>
        <v>marzo</v>
      </c>
      <c r="L18">
        <f>+YEAR(CURVA[[#This Row],[Fecha]])</f>
        <v>2026</v>
      </c>
      <c r="M18" s="70">
        <f>CURVA[[#This Row],[% AVANCE REAL]]*MAX(CURVA[M2 Avance Programado])</f>
        <v>33.301794001978202</v>
      </c>
      <c r="N18" s="69">
        <f>IF(CURVA[[#This Row],[% AVANCE REAL]]="",0,M18-M17)</f>
        <v>3.3381552690697767</v>
      </c>
    </row>
    <row r="19" spans="1:14" x14ac:dyDescent="0.25">
      <c r="A19" s="1">
        <v>46087</v>
      </c>
      <c r="B19" s="7">
        <v>2.868717598979058E-3</v>
      </c>
      <c r="C19" s="7">
        <v>2.8419760282947897E-4</v>
      </c>
      <c r="D19">
        <v>13</v>
      </c>
      <c r="E19" s="66">
        <v>60.826206256820257</v>
      </c>
      <c r="F19" s="66">
        <v>6.0259197397303543</v>
      </c>
      <c r="G19">
        <f>+_xlfn.XLOOKUP(CURVA[[#This Row],[Fecha]],AV_PLAN[Días],AV_PLAN[INICIO REAL],"",0)</f>
        <v>1</v>
      </c>
      <c r="H19">
        <f>+_xlfn.XLOOKUP(CURVA[[#This Row],[Fecha]],AV_PLAN[Días],AV_PLAN[FECHA TERMINO REAL],"",0)</f>
        <v>0</v>
      </c>
      <c r="I19" s="13">
        <v>1.7434341569465884E-3</v>
      </c>
      <c r="J19">
        <f>+DAY(CURVA[[#This Row],[Fecha]])</f>
        <v>6</v>
      </c>
      <c r="K19" t="str">
        <f>+TEXT(CURVA[[#This Row],[Fecha]],"MMMM")</f>
        <v>marzo</v>
      </c>
      <c r="L19">
        <f>+YEAR(CURVA[[#This Row],[Fecha]])</f>
        <v>2026</v>
      </c>
      <c r="M19" s="69">
        <f>CURVA[[#This Row],[% AVANCE REAL]]*MAX(CURVA[M2 Avance Programado])</f>
        <v>36.966512724486847</v>
      </c>
      <c r="N19" s="69">
        <f>IF(CURVA[[#This Row],[% AVANCE REAL]]="",0,M19-M18)</f>
        <v>3.6647187225086455</v>
      </c>
    </row>
    <row r="20" spans="1:14" x14ac:dyDescent="0.25">
      <c r="A20" s="1">
        <v>46088</v>
      </c>
      <c r="B20" s="7">
        <v>3.1787416480895283E-3</v>
      </c>
      <c r="C20" s="7">
        <v>3.1002404911047035E-4</v>
      </c>
      <c r="D20">
        <v>13</v>
      </c>
      <c r="E20" s="66">
        <v>67.399731222288878</v>
      </c>
      <c r="F20" s="66">
        <v>6.5735249654686232</v>
      </c>
      <c r="G20">
        <f>+_xlfn.XLOOKUP(CURVA[[#This Row],[Fecha]],AV_PLAN[Días],AV_PLAN[INICIO REAL],"",0)</f>
        <v>0</v>
      </c>
      <c r="H20">
        <f>+_xlfn.XLOOKUP(CURVA[[#This Row],[Fecha]],AV_PLAN[Días],AV_PLAN[FECHA TERMINO REAL],"",0)</f>
        <v>0</v>
      </c>
      <c r="I20" s="13">
        <v>1.9324130818159978E-3</v>
      </c>
      <c r="J20">
        <f>+DAY(CURVA[[#This Row],[Fecha]])</f>
        <v>7</v>
      </c>
      <c r="K20" t="str">
        <f>+TEXT(CURVA[[#This Row],[Fecha]],"MMMM")</f>
        <v>marzo</v>
      </c>
      <c r="L20">
        <f>+YEAR(CURVA[[#This Row],[Fecha]])</f>
        <v>2026</v>
      </c>
      <c r="M20" s="70">
        <f>CURVA[[#This Row],[% AVANCE REAL]]*MAX(CURVA[M2 Avance Programado])</f>
        <v>40.973484713081938</v>
      </c>
      <c r="N20" s="69">
        <f>IF(CURVA[[#This Row],[% AVANCE REAL]]="",0,M20-M19)</f>
        <v>4.0069719885950903</v>
      </c>
    </row>
    <row r="21" spans="1:14" x14ac:dyDescent="0.25">
      <c r="A21" s="1">
        <v>46089</v>
      </c>
      <c r="B21" s="7">
        <v>3.4887656971999987E-3</v>
      </c>
      <c r="C21" s="7">
        <v>3.1002404911047035E-4</v>
      </c>
      <c r="D21">
        <v>13</v>
      </c>
      <c r="E21" s="66">
        <v>73.973256187757499</v>
      </c>
      <c r="F21" s="66">
        <v>6.5735249654686232</v>
      </c>
      <c r="G21">
        <f>+_xlfn.XLOOKUP(CURVA[[#This Row],[Fecha]],AV_PLAN[Días],AV_PLAN[INICIO REAL],"",0)</f>
        <v>0</v>
      </c>
      <c r="H21">
        <f>+_xlfn.XLOOKUP(CURVA[[#This Row],[Fecha]],AV_PLAN[Días],AV_PLAN[FECHA TERMINO REAL],"",0)</f>
        <v>0</v>
      </c>
      <c r="I21" s="13">
        <v>2.1213920066854063E-3</v>
      </c>
      <c r="J21">
        <f>+DAY(CURVA[[#This Row],[Fecha]])</f>
        <v>8</v>
      </c>
      <c r="K21" t="str">
        <f>+TEXT(CURVA[[#This Row],[Fecha]],"MMMM")</f>
        <v>marzo</v>
      </c>
      <c r="L21">
        <f>+YEAR(CURVA[[#This Row],[Fecha]])</f>
        <v>2026</v>
      </c>
      <c r="M21" s="69">
        <f>CURVA[[#This Row],[% AVANCE REAL]]*MAX(CURVA[M2 Avance Programado])</f>
        <v>44.980456701676999</v>
      </c>
      <c r="N21" s="69">
        <f>IF(CURVA[[#This Row],[% AVANCE REAL]]="",0,M21-M20)</f>
        <v>4.0069719885950619</v>
      </c>
    </row>
    <row r="22" spans="1:14" x14ac:dyDescent="0.25">
      <c r="A22" s="1">
        <v>46090</v>
      </c>
      <c r="B22" s="7">
        <v>3.7987897463104691E-3</v>
      </c>
      <c r="C22" s="7">
        <v>3.1002404911047035E-4</v>
      </c>
      <c r="D22">
        <v>14</v>
      </c>
      <c r="E22" s="66">
        <v>80.546781153226135</v>
      </c>
      <c r="F22" s="66">
        <v>6.5735249654686232</v>
      </c>
      <c r="G22">
        <f>+_xlfn.XLOOKUP(CURVA[[#This Row],[Fecha]],AV_PLAN[Días],AV_PLAN[INICIO REAL],"",0)</f>
        <v>1</v>
      </c>
      <c r="H22">
        <f>+_xlfn.XLOOKUP(CURVA[[#This Row],[Fecha]],AV_PLAN[Días],AV_PLAN[FECHA TERMINO REAL],"",0)</f>
        <v>0</v>
      </c>
      <c r="I22" s="13">
        <v>2.3103709315548146E-3</v>
      </c>
      <c r="J22">
        <f>+DAY(CURVA[[#This Row],[Fecha]])</f>
        <v>9</v>
      </c>
      <c r="K22" t="str">
        <f>+TEXT(CURVA[[#This Row],[Fecha]],"MMMM")</f>
        <v>marzo</v>
      </c>
      <c r="L22">
        <f>+YEAR(CURVA[[#This Row],[Fecha]])</f>
        <v>2026</v>
      </c>
      <c r="M22" s="70">
        <f>CURVA[[#This Row],[% AVANCE REAL]]*MAX(CURVA[M2 Avance Programado])</f>
        <v>48.987428690272061</v>
      </c>
      <c r="N22" s="69">
        <f>IF(CURVA[[#This Row],[% AVANCE REAL]]="",0,M22-M21)</f>
        <v>4.0069719885950619</v>
      </c>
    </row>
    <row r="23" spans="1:14" x14ac:dyDescent="0.25">
      <c r="A23" s="1">
        <v>46091</v>
      </c>
      <c r="B23" s="7">
        <v>4.1328892961913551E-3</v>
      </c>
      <c r="C23" s="7">
        <v>3.3409954988088608E-4</v>
      </c>
      <c r="D23">
        <v>15</v>
      </c>
      <c r="E23" s="66">
        <v>87.630785566416861</v>
      </c>
      <c r="F23" s="66">
        <v>7.0840044131907378</v>
      </c>
      <c r="G23">
        <f>+_xlfn.XLOOKUP(CURVA[[#This Row],[Fecha]],AV_PLAN[Días],AV_PLAN[INICIO REAL],"",0)</f>
        <v>1</v>
      </c>
      <c r="H23">
        <f>+_xlfn.XLOOKUP(CURVA[[#This Row],[Fecha]],AV_PLAN[Días],AV_PLAN[FECHA TERMINO REAL],"",0)</f>
        <v>0</v>
      </c>
      <c r="I23" s="13">
        <v>2.5160610863707469E-3</v>
      </c>
      <c r="J23">
        <f>+DAY(CURVA[[#This Row],[Fecha]])</f>
        <v>10</v>
      </c>
      <c r="K23" t="str">
        <f>+TEXT(CURVA[[#This Row],[Fecha]],"MMMM")</f>
        <v>marzo</v>
      </c>
      <c r="L23">
        <f>+YEAR(CURVA[[#This Row],[Fecha]])</f>
        <v>2026</v>
      </c>
      <c r="M23" s="69">
        <f>CURVA[[#This Row],[% AVANCE REAL]]*MAX(CURVA[M2 Avance Programado])</f>
        <v>53.348733471991892</v>
      </c>
      <c r="N23" s="69">
        <f>IF(CURVA[[#This Row],[% AVANCE REAL]]="",0,M23-M22)</f>
        <v>4.3613047817198307</v>
      </c>
    </row>
    <row r="24" spans="1:14" x14ac:dyDescent="0.25">
      <c r="A24" s="1">
        <v>46092</v>
      </c>
      <c r="B24" s="7">
        <v>4.4910643468426574E-3</v>
      </c>
      <c r="C24" s="7">
        <v>3.5817505065130224E-4</v>
      </c>
      <c r="D24">
        <v>15</v>
      </c>
      <c r="E24" s="66">
        <v>95.225269427329735</v>
      </c>
      <c r="F24" s="66">
        <v>7.5944838609128622</v>
      </c>
      <c r="G24">
        <f>+_xlfn.XLOOKUP(CURVA[[#This Row],[Fecha]],AV_PLAN[Días],AV_PLAN[INICIO REAL],"",0)</f>
        <v>0</v>
      </c>
      <c r="H24">
        <f>+_xlfn.XLOOKUP(CURVA[[#This Row],[Fecha]],AV_PLAN[Días],AV_PLAN[FECHA TERMINO REAL],"",0)</f>
        <v>0</v>
      </c>
      <c r="I24" s="13">
        <v>2.73840776174945E-3</v>
      </c>
      <c r="J24">
        <f>+DAY(CURVA[[#This Row],[Fecha]])</f>
        <v>11</v>
      </c>
      <c r="K24" t="str">
        <f>+TEXT(CURVA[[#This Row],[Fecha]],"MMMM")</f>
        <v>marzo</v>
      </c>
      <c r="L24">
        <f>+YEAR(CURVA[[#This Row],[Fecha]])</f>
        <v>2026</v>
      </c>
      <c r="M24" s="70">
        <f>CURVA[[#This Row],[% AVANCE REAL]]*MAX(CURVA[M2 Avance Programado])</f>
        <v>58.06321102876376</v>
      </c>
      <c r="N24" s="69">
        <f>IF(CURVA[[#This Row],[% AVANCE REAL]]="",0,M24-M23)</f>
        <v>4.7144775567718682</v>
      </c>
    </row>
    <row r="25" spans="1:14" x14ac:dyDescent="0.25">
      <c r="A25" s="1">
        <v>46093</v>
      </c>
      <c r="B25" s="7">
        <v>4.8492393974939587E-3</v>
      </c>
      <c r="C25" s="7">
        <v>3.5817505065130137E-4</v>
      </c>
      <c r="D25">
        <v>17</v>
      </c>
      <c r="E25" s="66">
        <v>102.81975328824257</v>
      </c>
      <c r="F25" s="66">
        <v>7.5944838609128444</v>
      </c>
      <c r="G25">
        <f>+_xlfn.XLOOKUP(CURVA[[#This Row],[Fecha]],AV_PLAN[Días],AV_PLAN[INICIO REAL],"",0)</f>
        <v>2</v>
      </c>
      <c r="H25">
        <f>+_xlfn.XLOOKUP(CURVA[[#This Row],[Fecha]],AV_PLAN[Días],AV_PLAN[FECHA TERMINO REAL],"",0)</f>
        <v>0</v>
      </c>
      <c r="I25" s="13">
        <v>2.960754437128153E-3</v>
      </c>
      <c r="J25">
        <f>+DAY(CURVA[[#This Row],[Fecha]])</f>
        <v>12</v>
      </c>
      <c r="K25" t="str">
        <f>+TEXT(CURVA[[#This Row],[Fecha]],"MMMM")</f>
        <v>marzo</v>
      </c>
      <c r="L25">
        <f>+YEAR(CURVA[[#This Row],[Fecha]])</f>
        <v>2026</v>
      </c>
      <c r="M25" s="69">
        <f>CURVA[[#This Row],[% AVANCE REAL]]*MAX(CURVA[M2 Avance Programado])</f>
        <v>62.777688585535628</v>
      </c>
      <c r="N25" s="69">
        <f>IF(CURVA[[#This Row],[% AVANCE REAL]]="",0,M25-M24)</f>
        <v>4.7144775567718682</v>
      </c>
    </row>
    <row r="26" spans="1:14" x14ac:dyDescent="0.25">
      <c r="A26" s="1">
        <v>46094</v>
      </c>
      <c r="B26" s="7">
        <v>5.2596894565092624E-3</v>
      </c>
      <c r="C26" s="7">
        <v>4.1045005901530363E-4</v>
      </c>
      <c r="D26">
        <v>17</v>
      </c>
      <c r="E26" s="66">
        <v>111.52263849265378</v>
      </c>
      <c r="F26" s="66">
        <v>8.7028852044112135</v>
      </c>
      <c r="G26">
        <f>+_xlfn.XLOOKUP(CURVA[[#This Row],[Fecha]],AV_PLAN[Días],AV_PLAN[INICIO REAL],"",0)</f>
        <v>0</v>
      </c>
      <c r="H26">
        <f>+_xlfn.XLOOKUP(CURVA[[#This Row],[Fecha]],AV_PLAN[Días],AV_PLAN[FECHA TERMINO REAL],"",0)</f>
        <v>0</v>
      </c>
      <c r="I26" s="13">
        <v>3.2171400537485419E-3</v>
      </c>
      <c r="J26">
        <f>+DAY(CURVA[[#This Row],[Fecha]])</f>
        <v>13</v>
      </c>
      <c r="K26" t="str">
        <f>+TEXT(CURVA[[#This Row],[Fecha]],"MMMM")</f>
        <v>marzo</v>
      </c>
      <c r="L26">
        <f>+YEAR(CURVA[[#This Row],[Fecha]])</f>
        <v>2026</v>
      </c>
      <c r="M26" s="70">
        <f>CURVA[[#This Row],[% AVANCE REAL]]*MAX(CURVA[M2 Avance Programado])</f>
        <v>68.213903151718043</v>
      </c>
      <c r="N26" s="69">
        <f>IF(CURVA[[#This Row],[% AVANCE REAL]]="",0,M26-M25)</f>
        <v>5.4362145661824144</v>
      </c>
    </row>
    <row r="27" spans="1:14" x14ac:dyDescent="0.25">
      <c r="A27" s="1">
        <v>46095</v>
      </c>
      <c r="B27" s="7">
        <v>5.670139515524566E-3</v>
      </c>
      <c r="C27" s="7">
        <v>4.1045005901530363E-4</v>
      </c>
      <c r="D27">
        <v>17</v>
      </c>
      <c r="E27" s="66">
        <v>120.225523697065</v>
      </c>
      <c r="F27" s="66">
        <v>8.7028852044112135</v>
      </c>
      <c r="G27">
        <f>+_xlfn.XLOOKUP(CURVA[[#This Row],[Fecha]],AV_PLAN[Días],AV_PLAN[INICIO REAL],"",0)</f>
        <v>0</v>
      </c>
      <c r="H27">
        <f>+_xlfn.XLOOKUP(CURVA[[#This Row],[Fecha]],AV_PLAN[Días],AV_PLAN[FECHA TERMINO REAL],"",0)</f>
        <v>0</v>
      </c>
      <c r="I27" s="13">
        <v>3.4735256703689304E-3</v>
      </c>
      <c r="J27">
        <f>+DAY(CURVA[[#This Row],[Fecha]])</f>
        <v>14</v>
      </c>
      <c r="K27" t="str">
        <f>+TEXT(CURVA[[#This Row],[Fecha]],"MMMM")</f>
        <v>marzo</v>
      </c>
      <c r="L27">
        <f>+YEAR(CURVA[[#This Row],[Fecha]])</f>
        <v>2026</v>
      </c>
      <c r="M27" s="69">
        <f>CURVA[[#This Row],[% AVANCE REAL]]*MAX(CURVA[M2 Avance Programado])</f>
        <v>73.650117717900457</v>
      </c>
      <c r="N27" s="69">
        <f>IF(CURVA[[#This Row],[% AVANCE REAL]]="",0,M27-M26)</f>
        <v>5.4362145661824144</v>
      </c>
    </row>
    <row r="28" spans="1:14" x14ac:dyDescent="0.25">
      <c r="A28" s="1">
        <v>46096</v>
      </c>
      <c r="B28" s="7">
        <v>6.0805895745398714E-3</v>
      </c>
      <c r="C28" s="7">
        <v>4.1045005901530537E-4</v>
      </c>
      <c r="D28">
        <v>17</v>
      </c>
      <c r="E28" s="66">
        <v>128.92840890147625</v>
      </c>
      <c r="F28" s="66">
        <v>8.7028852044112508</v>
      </c>
      <c r="G28">
        <f>+_xlfn.XLOOKUP(CURVA[[#This Row],[Fecha]],AV_PLAN[Días],AV_PLAN[INICIO REAL],"",0)</f>
        <v>0</v>
      </c>
      <c r="H28">
        <f>+_xlfn.XLOOKUP(CURVA[[#This Row],[Fecha]],AV_PLAN[Días],AV_PLAN[FECHA TERMINO REAL],"",0)</f>
        <v>0</v>
      </c>
      <c r="I28" s="13">
        <v>3.7299112869893184E-3</v>
      </c>
      <c r="J28">
        <f>+DAY(CURVA[[#This Row],[Fecha]])</f>
        <v>15</v>
      </c>
      <c r="K28" t="str">
        <f>+TEXT(CURVA[[#This Row],[Fecha]],"MMMM")</f>
        <v>marzo</v>
      </c>
      <c r="L28">
        <f>+YEAR(CURVA[[#This Row],[Fecha]])</f>
        <v>2026</v>
      </c>
      <c r="M28" s="70">
        <f>CURVA[[#This Row],[% AVANCE REAL]]*MAX(CURVA[M2 Avance Programado])</f>
        <v>79.086332284082857</v>
      </c>
      <c r="N28" s="69">
        <f>IF(CURVA[[#This Row],[% AVANCE REAL]]="",0,M28-M27)</f>
        <v>5.4362145661824002</v>
      </c>
    </row>
    <row r="29" spans="1:14" x14ac:dyDescent="0.25">
      <c r="A29" s="1">
        <v>46097</v>
      </c>
      <c r="B29" s="7">
        <v>6.4910396335551741E-3</v>
      </c>
      <c r="C29" s="7">
        <v>4.1045005901530277E-4</v>
      </c>
      <c r="D29">
        <v>18</v>
      </c>
      <c r="E29" s="66">
        <v>137.63129410588743</v>
      </c>
      <c r="F29" s="66">
        <v>8.7028852044111957</v>
      </c>
      <c r="G29">
        <f>+_xlfn.XLOOKUP(CURVA[[#This Row],[Fecha]],AV_PLAN[Días],AV_PLAN[INICIO REAL],"",0)</f>
        <v>1</v>
      </c>
      <c r="H29">
        <f>+_xlfn.XLOOKUP(CURVA[[#This Row],[Fecha]],AV_PLAN[Días],AV_PLAN[FECHA TERMINO REAL],"",0)</f>
        <v>0</v>
      </c>
      <c r="I29" s="13">
        <v>3.9862969036097073E-3</v>
      </c>
      <c r="J29">
        <f>+DAY(CURVA[[#This Row],[Fecha]])</f>
        <v>16</v>
      </c>
      <c r="K29" t="str">
        <f>+TEXT(CURVA[[#This Row],[Fecha]],"MMMM")</f>
        <v>marzo</v>
      </c>
      <c r="L29">
        <f>+YEAR(CURVA[[#This Row],[Fecha]])</f>
        <v>2026</v>
      </c>
      <c r="M29" s="69">
        <f>CURVA[[#This Row],[% AVANCE REAL]]*MAX(CURVA[M2 Avance Programado])</f>
        <v>84.522546850265286</v>
      </c>
      <c r="N29" s="69">
        <f>IF(CURVA[[#This Row],[% AVANCE REAL]]="",0,M29-M28)</f>
        <v>5.4362145661824286</v>
      </c>
    </row>
    <row r="30" spans="1:14" x14ac:dyDescent="0.25">
      <c r="A30" s="1">
        <v>46098</v>
      </c>
      <c r="B30" s="7">
        <v>6.9345235192089542E-3</v>
      </c>
      <c r="C30" s="7">
        <v>4.4348388565378007E-4</v>
      </c>
      <c r="D30">
        <v>18</v>
      </c>
      <c r="E30" s="66">
        <v>147.03460459903363</v>
      </c>
      <c r="F30" s="66">
        <v>9.4033104931461899</v>
      </c>
      <c r="G30">
        <f>+_xlfn.XLOOKUP(CURVA[[#This Row],[Fecha]],AV_PLAN[Días],AV_PLAN[INICIO REAL],"",0)</f>
        <v>0</v>
      </c>
      <c r="H30">
        <f>+_xlfn.XLOOKUP(CURVA[[#This Row],[Fecha]],AV_PLAN[Días],AV_PLAN[FECHA TERMINO REAL],"",0)</f>
        <v>0</v>
      </c>
      <c r="I30" s="13">
        <v>4.2608934759410513E-3</v>
      </c>
      <c r="J30">
        <f>+DAY(CURVA[[#This Row],[Fecha]])</f>
        <v>17</v>
      </c>
      <c r="K30" t="str">
        <f>+TEXT(CURVA[[#This Row],[Fecha]],"MMMM")</f>
        <v>marzo</v>
      </c>
      <c r="L30">
        <f>+YEAR(CURVA[[#This Row],[Fecha]])</f>
        <v>2026</v>
      </c>
      <c r="M30" s="70">
        <f>CURVA[[#This Row],[% AVANCE REAL]]*MAX(CURVA[M2 Avance Programado])</f>
        <v>90.344893306391342</v>
      </c>
      <c r="N30" s="69">
        <f>IF(CURVA[[#This Row],[% AVANCE REAL]]="",0,M30-M29)</f>
        <v>5.8223464561260556</v>
      </c>
    </row>
    <row r="31" spans="1:14" x14ac:dyDescent="0.25">
      <c r="A31" s="1">
        <v>46099</v>
      </c>
      <c r="B31" s="7">
        <v>7.378007404862736E-3</v>
      </c>
      <c r="C31" s="7">
        <v>4.4348388565378181E-4</v>
      </c>
      <c r="D31">
        <v>19</v>
      </c>
      <c r="E31" s="66">
        <v>156.43791509217985</v>
      </c>
      <c r="F31" s="66">
        <v>9.4033104931462255</v>
      </c>
      <c r="G31">
        <f>+_xlfn.XLOOKUP(CURVA[[#This Row],[Fecha]],AV_PLAN[Días],AV_PLAN[INICIO REAL],"",0)</f>
        <v>1</v>
      </c>
      <c r="H31">
        <f>+_xlfn.XLOOKUP(CURVA[[#This Row],[Fecha]],AV_PLAN[Días],AV_PLAN[FECHA TERMINO REAL],"",0)</f>
        <v>0</v>
      </c>
      <c r="I31" s="13">
        <v>4.5354900482723962E-3</v>
      </c>
      <c r="J31">
        <f>+DAY(CURVA[[#This Row],[Fecha]])</f>
        <v>18</v>
      </c>
      <c r="K31" t="str">
        <f>+TEXT(CURVA[[#This Row],[Fecha]],"MMMM")</f>
        <v>marzo</v>
      </c>
      <c r="L31">
        <f>+YEAR(CURVA[[#This Row],[Fecha]])</f>
        <v>2026</v>
      </c>
      <c r="M31" s="69">
        <f>CURVA[[#This Row],[% AVANCE REAL]]*MAX(CURVA[M2 Avance Programado])</f>
        <v>96.167239762517426</v>
      </c>
      <c r="N31" s="69">
        <f>IF(CURVA[[#This Row],[% AVANCE REAL]]="",0,M31-M30)</f>
        <v>5.822346456126084</v>
      </c>
    </row>
    <row r="32" spans="1:14" x14ac:dyDescent="0.25">
      <c r="A32" s="1">
        <v>46100</v>
      </c>
      <c r="B32" s="7">
        <v>7.8510840935468208E-3</v>
      </c>
      <c r="C32" s="7">
        <v>4.7307668868408481E-4</v>
      </c>
      <c r="D32">
        <v>20</v>
      </c>
      <c r="E32" s="66">
        <v>166.46868990648454</v>
      </c>
      <c r="F32" s="66">
        <v>10.030774814304667</v>
      </c>
      <c r="G32">
        <f>+_xlfn.XLOOKUP(CURVA[[#This Row],[Fecha]],AV_PLAN[Días],AV_PLAN[INICIO REAL],"",0)</f>
        <v>1</v>
      </c>
      <c r="H32">
        <f>+_xlfn.XLOOKUP(CURVA[[#This Row],[Fecha]],AV_PLAN[Días],AV_PLAN[FECHA TERMINO REAL],"",0)</f>
        <v>0</v>
      </c>
      <c r="I32" s="13">
        <v>4.8287768119912996E-3</v>
      </c>
      <c r="J32">
        <f>+DAY(CURVA[[#This Row],[Fecha]])</f>
        <v>19</v>
      </c>
      <c r="K32" t="str">
        <f>+TEXT(CURVA[[#This Row],[Fecha]],"MMMM")</f>
        <v>marzo</v>
      </c>
      <c r="L32">
        <f>+YEAR(CURVA[[#This Row],[Fecha]])</f>
        <v>2026</v>
      </c>
      <c r="M32" s="70">
        <f>CURVA[[#This Row],[% AVANCE REAL]]*MAX(CURVA[M2 Avance Programado])</f>
        <v>102.38587947411197</v>
      </c>
      <c r="N32" s="69">
        <f>IF(CURVA[[#This Row],[% AVANCE REAL]]="",0,M32-M31)</f>
        <v>6.2186397115945482</v>
      </c>
    </row>
    <row r="33" spans="1:14" x14ac:dyDescent="0.25">
      <c r="A33" s="1">
        <v>46101</v>
      </c>
      <c r="B33" s="7">
        <v>8.3596721458672699E-3</v>
      </c>
      <c r="C33" s="7">
        <v>5.0858805232044911E-4</v>
      </c>
      <c r="D33">
        <v>20</v>
      </c>
      <c r="E33" s="66">
        <v>177.25242190617934</v>
      </c>
      <c r="F33" s="66">
        <v>10.78373199969481</v>
      </c>
      <c r="G33">
        <f>+_xlfn.XLOOKUP(CURVA[[#This Row],[Fecha]],AV_PLAN[Días],AV_PLAN[INICIO REAL],"",0)</f>
        <v>0</v>
      </c>
      <c r="H33">
        <f>+_xlfn.XLOOKUP(CURVA[[#This Row],[Fecha]],AV_PLAN[Días],AV_PLAN[FECHA TERMINO REAL],"",0)</f>
        <v>0</v>
      </c>
      <c r="I33" s="13">
        <v>5.1410029696495963E-3</v>
      </c>
      <c r="J33">
        <f>+DAY(CURVA[[#This Row],[Fecha]])</f>
        <v>20</v>
      </c>
      <c r="K33" t="str">
        <f>+TEXT(CURVA[[#This Row],[Fecha]],"MMMM")</f>
        <v>marzo</v>
      </c>
      <c r="L33">
        <f>+YEAR(CURVA[[#This Row],[Fecha]])</f>
        <v>2026</v>
      </c>
      <c r="M33" s="69">
        <f>CURVA[[#This Row],[% AVANCE REAL]]*MAX(CURVA[M2 Avance Programado])</f>
        <v>109.0060963512479</v>
      </c>
      <c r="N33" s="69">
        <f>IF(CURVA[[#This Row],[% AVANCE REAL]]="",0,M33-M32)</f>
        <v>6.6202168771359311</v>
      </c>
    </row>
    <row r="34" spans="1:14" x14ac:dyDescent="0.25">
      <c r="A34" s="1">
        <v>46102</v>
      </c>
      <c r="B34" s="7">
        <v>8.8682601981877173E-3</v>
      </c>
      <c r="C34" s="7">
        <v>5.0858805232044738E-4</v>
      </c>
      <c r="D34">
        <v>20</v>
      </c>
      <c r="E34" s="66">
        <v>188.0361539058741</v>
      </c>
      <c r="F34" s="66">
        <v>10.783731999694773</v>
      </c>
      <c r="G34">
        <f>+_xlfn.XLOOKUP(CURVA[[#This Row],[Fecha]],AV_PLAN[Días],AV_PLAN[INICIO REAL],"",0)</f>
        <v>0</v>
      </c>
      <c r="H34">
        <f>+_xlfn.XLOOKUP(CURVA[[#This Row],[Fecha]],AV_PLAN[Días],AV_PLAN[FECHA TERMINO REAL],"",0)</f>
        <v>0</v>
      </c>
      <c r="I34" s="13">
        <v>5.4532291273078938E-3</v>
      </c>
      <c r="J34">
        <f>+DAY(CURVA[[#This Row],[Fecha]])</f>
        <v>21</v>
      </c>
      <c r="K34" t="str">
        <f>+TEXT(CURVA[[#This Row],[Fecha]],"MMMM")</f>
        <v>marzo</v>
      </c>
      <c r="L34">
        <f>+YEAR(CURVA[[#This Row],[Fecha]])</f>
        <v>2026</v>
      </c>
      <c r="M34" s="70">
        <f>CURVA[[#This Row],[% AVANCE REAL]]*MAX(CURVA[M2 Avance Programado])</f>
        <v>115.62631322838386</v>
      </c>
      <c r="N34" s="69">
        <f>IF(CURVA[[#This Row],[% AVANCE REAL]]="",0,M34-M33)</f>
        <v>6.6202168771359595</v>
      </c>
    </row>
    <row r="35" spans="1:14" x14ac:dyDescent="0.25">
      <c r="A35" s="1">
        <v>46103</v>
      </c>
      <c r="B35" s="7">
        <v>9.3768482505081664E-3</v>
      </c>
      <c r="C35" s="7">
        <v>5.0858805232044911E-4</v>
      </c>
      <c r="D35">
        <v>20</v>
      </c>
      <c r="E35" s="66">
        <v>198.81988590556892</v>
      </c>
      <c r="F35" s="66">
        <v>10.78373199969481</v>
      </c>
      <c r="G35">
        <f>+_xlfn.XLOOKUP(CURVA[[#This Row],[Fecha]],AV_PLAN[Días],AV_PLAN[INICIO REAL],"",0)</f>
        <v>0</v>
      </c>
      <c r="H35">
        <f>+_xlfn.XLOOKUP(CURVA[[#This Row],[Fecha]],AV_PLAN[Días],AV_PLAN[FECHA TERMINO REAL],"",0)</f>
        <v>0</v>
      </c>
      <c r="I35" s="13">
        <v>5.7654552849661922E-3</v>
      </c>
      <c r="J35">
        <f>+DAY(CURVA[[#This Row],[Fecha]])</f>
        <v>22</v>
      </c>
      <c r="K35" t="str">
        <f>+TEXT(CURVA[[#This Row],[Fecha]],"MMMM")</f>
        <v>marzo</v>
      </c>
      <c r="L35">
        <f>+YEAR(CURVA[[#This Row],[Fecha]])</f>
        <v>2026</v>
      </c>
      <c r="M35" s="69">
        <f>CURVA[[#This Row],[% AVANCE REAL]]*MAX(CURVA[M2 Avance Programado])</f>
        <v>122.24653010551982</v>
      </c>
      <c r="N35" s="69">
        <f>IF(CURVA[[#This Row],[% AVANCE REAL]]="",0,M35-M34)</f>
        <v>6.6202168771359595</v>
      </c>
    </row>
    <row r="36" spans="1:14" x14ac:dyDescent="0.25">
      <c r="A36" s="1">
        <v>46104</v>
      </c>
      <c r="B36" s="7">
        <v>9.8854363028286138E-3</v>
      </c>
      <c r="C36" s="7">
        <v>5.0858805232044738E-4</v>
      </c>
      <c r="D36">
        <v>21</v>
      </c>
      <c r="E36" s="66">
        <v>209.60361790526369</v>
      </c>
      <c r="F36" s="66">
        <v>10.783731999694773</v>
      </c>
      <c r="G36">
        <f>+_xlfn.XLOOKUP(CURVA[[#This Row],[Fecha]],AV_PLAN[Días],AV_PLAN[INICIO REAL],"",0)</f>
        <v>1</v>
      </c>
      <c r="H36">
        <f>+_xlfn.XLOOKUP(CURVA[[#This Row],[Fecha]],AV_PLAN[Días],AV_PLAN[FECHA TERMINO REAL],"",0)</f>
        <v>0</v>
      </c>
      <c r="I36" s="13">
        <v>6.0776814426244889E-3</v>
      </c>
      <c r="J36">
        <f>+DAY(CURVA[[#This Row],[Fecha]])</f>
        <v>23</v>
      </c>
      <c r="K36" t="str">
        <f>+TEXT(CURVA[[#This Row],[Fecha]],"MMMM")</f>
        <v>marzo</v>
      </c>
      <c r="L36">
        <f>+YEAR(CURVA[[#This Row],[Fecha]])</f>
        <v>2026</v>
      </c>
      <c r="M36" s="70">
        <f>CURVA[[#This Row],[% AVANCE REAL]]*MAX(CURVA[M2 Avance Programado])</f>
        <v>128.86674698265577</v>
      </c>
      <c r="N36" s="69">
        <f>IF(CURVA[[#This Row],[% AVANCE REAL]]="",0,M36-M35)</f>
        <v>6.6202168771359453</v>
      </c>
    </row>
    <row r="37" spans="1:14" x14ac:dyDescent="0.25">
      <c r="A37" s="1">
        <v>46105</v>
      </c>
      <c r="B37" s="7">
        <v>1.0427058181787541E-2</v>
      </c>
      <c r="C37" s="7">
        <v>5.4162187895892729E-4</v>
      </c>
      <c r="D37">
        <v>23</v>
      </c>
      <c r="E37" s="66">
        <v>221.08777519369352</v>
      </c>
      <c r="F37" s="66">
        <v>11.484157288429822</v>
      </c>
      <c r="G37">
        <f>+_xlfn.XLOOKUP(CURVA[[#This Row],[Fecha]],AV_PLAN[Días],AV_PLAN[INICIO REAL],"",0)</f>
        <v>2</v>
      </c>
      <c r="H37">
        <f>+_xlfn.XLOOKUP(CURVA[[#This Row],[Fecha]],AV_PLAN[Días],AV_PLAN[FECHA TERMINO REAL],"",0)</f>
        <v>0</v>
      </c>
      <c r="I37" s="13">
        <v>6.4099140023314441E-3</v>
      </c>
      <c r="J37">
        <f>+DAY(CURVA[[#This Row],[Fecha]])</f>
        <v>24</v>
      </c>
      <c r="K37" t="str">
        <f>+TEXT(CURVA[[#This Row],[Fecha]],"MMMM")</f>
        <v>marzo</v>
      </c>
      <c r="L37">
        <f>+YEAR(CURVA[[#This Row],[Fecha]])</f>
        <v>2026</v>
      </c>
      <c r="M37" s="69">
        <f>CURVA[[#This Row],[% AVANCE REAL]]*MAX(CURVA[M2 Avance Programado])</f>
        <v>135.91116509099746</v>
      </c>
      <c r="N37" s="69">
        <f>IF(CURVA[[#This Row],[% AVANCE REAL]]="",0,M37-M36)</f>
        <v>7.0444181083416879</v>
      </c>
    </row>
    <row r="38" spans="1:14" x14ac:dyDescent="0.25">
      <c r="A38" s="1">
        <v>46106</v>
      </c>
      <c r="B38" s="7">
        <v>1.102668195468586E-2</v>
      </c>
      <c r="C38" s="7">
        <v>5.9962377289831878E-4</v>
      </c>
      <c r="D38">
        <v>24</v>
      </c>
      <c r="E38" s="66">
        <v>233.80176255159384</v>
      </c>
      <c r="F38" s="66">
        <v>12.713987357900317</v>
      </c>
      <c r="G38">
        <f>+_xlfn.XLOOKUP(CURVA[[#This Row],[Fecha]],AV_PLAN[Días],AV_PLAN[INICIO REAL],"",0)</f>
        <v>1</v>
      </c>
      <c r="H38">
        <f>+_xlfn.XLOOKUP(CURVA[[#This Row],[Fecha]],AV_PLAN[Días],AV_PLAN[FECHA TERMINO REAL],"",0)</f>
        <v>0</v>
      </c>
      <c r="I38" s="13">
        <v>6.7814119841163199E-3</v>
      </c>
      <c r="J38">
        <f>+DAY(CURVA[[#This Row],[Fecha]])</f>
        <v>25</v>
      </c>
      <c r="K38" t="str">
        <f>+TEXT(CURVA[[#This Row],[Fecha]],"MMMM")</f>
        <v>marzo</v>
      </c>
      <c r="L38">
        <f>+YEAR(CURVA[[#This Row],[Fecha]])</f>
        <v>2026</v>
      </c>
      <c r="M38" s="70">
        <f>CURVA[[#This Row],[% AVANCE REAL]]*MAX(CURVA[M2 Avance Programado])</f>
        <v>143.78813871575622</v>
      </c>
      <c r="N38" s="69">
        <f>IF(CURVA[[#This Row],[% AVANCE REAL]]="",0,M38-M37)</f>
        <v>7.8769736247587616</v>
      </c>
    </row>
    <row r="39" spans="1:14" x14ac:dyDescent="0.25">
      <c r="A39" s="1">
        <v>46107</v>
      </c>
      <c r="B39" s="7">
        <v>1.1660126073904525E-2</v>
      </c>
      <c r="C39" s="7">
        <v>6.3344411921866482E-4</v>
      </c>
      <c r="D39">
        <v>24</v>
      </c>
      <c r="E39" s="66">
        <v>247.23285199081809</v>
      </c>
      <c r="F39" s="66">
        <v>13.431089439224239</v>
      </c>
      <c r="G39">
        <f>+_xlfn.XLOOKUP(CURVA[[#This Row],[Fecha]],AV_PLAN[Días],AV_PLAN[INICIO REAL],"",0)</f>
        <v>0</v>
      </c>
      <c r="H39">
        <f>+_xlfn.XLOOKUP(CURVA[[#This Row],[Fecha]],AV_PLAN[Días],AV_PLAN[FECHA TERMINO REAL],"",0)</f>
        <v>0</v>
      </c>
      <c r="I39" s="13">
        <v>7.1726728117509986E-3</v>
      </c>
      <c r="J39">
        <f>+DAY(CURVA[[#This Row],[Fecha]])</f>
        <v>26</v>
      </c>
      <c r="K39" t="str">
        <f>+TEXT(CURVA[[#This Row],[Fecha]],"MMMM")</f>
        <v>marzo</v>
      </c>
      <c r="L39">
        <f>+YEAR(CURVA[[#This Row],[Fecha]])</f>
        <v>2026</v>
      </c>
      <c r="M39" s="69">
        <f>CURVA[[#This Row],[% AVANCE REAL]]*MAX(CURVA[M2 Avance Programado])</f>
        <v>152.08414938281905</v>
      </c>
      <c r="N39" s="69">
        <f>IF(CURVA[[#This Row],[% AVANCE REAL]]="",0,M39-M38)</f>
        <v>8.2960106670628306</v>
      </c>
    </row>
    <row r="40" spans="1:14" x14ac:dyDescent="0.25">
      <c r="A40" s="1">
        <v>46108</v>
      </c>
      <c r="B40" s="7">
        <v>1.2293570193123193E-2</v>
      </c>
      <c r="C40" s="7">
        <v>6.3344411921866829E-4</v>
      </c>
      <c r="D40">
        <v>26</v>
      </c>
      <c r="E40" s="66">
        <v>260.66394143004237</v>
      </c>
      <c r="F40" s="66">
        <v>13.431089439224316</v>
      </c>
      <c r="G40">
        <f>+_xlfn.XLOOKUP(CURVA[[#This Row],[Fecha]],AV_PLAN[Días],AV_PLAN[INICIO REAL],"",0)</f>
        <v>2</v>
      </c>
      <c r="H40">
        <f>+_xlfn.XLOOKUP(CURVA[[#This Row],[Fecha]],AV_PLAN[Días],AV_PLAN[FECHA TERMINO REAL],"",0)</f>
        <v>0</v>
      </c>
      <c r="I40" s="13">
        <v>7.5639336393856747E-3</v>
      </c>
      <c r="J40">
        <f>+DAY(CURVA[[#This Row],[Fecha]])</f>
        <v>27</v>
      </c>
      <c r="K40" t="str">
        <f>+TEXT(CURVA[[#This Row],[Fecha]],"MMMM")</f>
        <v>marzo</v>
      </c>
      <c r="L40">
        <f>+YEAR(CURVA[[#This Row],[Fecha]])</f>
        <v>2026</v>
      </c>
      <c r="M40" s="70">
        <f>CURVA[[#This Row],[% AVANCE REAL]]*MAX(CURVA[M2 Avance Programado])</f>
        <v>160.38016004988185</v>
      </c>
      <c r="N40" s="69">
        <f>IF(CURVA[[#This Row],[% AVANCE REAL]]="",0,M40-M39)</f>
        <v>8.2960106670628022</v>
      </c>
    </row>
    <row r="41" spans="1:14" x14ac:dyDescent="0.25">
      <c r="A41" s="1">
        <v>46109</v>
      </c>
      <c r="B41" s="7">
        <v>1.3008783899662431E-2</v>
      </c>
      <c r="C41" s="7">
        <v>7.1521370653923784E-4</v>
      </c>
      <c r="D41">
        <v>26</v>
      </c>
      <c r="E41" s="66">
        <v>275.82881386194123</v>
      </c>
      <c r="F41" s="66">
        <v>15.164872431898855</v>
      </c>
      <c r="G41">
        <f>+_xlfn.XLOOKUP(CURVA[[#This Row],[Fecha]],AV_PLAN[Días],AV_PLAN[INICIO REAL],"",0)</f>
        <v>0</v>
      </c>
      <c r="H41">
        <f>+_xlfn.XLOOKUP(CURVA[[#This Row],[Fecha]],AV_PLAN[Días],AV_PLAN[FECHA TERMINO REAL],"",0)</f>
        <v>0</v>
      </c>
      <c r="I41" s="13">
        <v>7.997596095242877E-3</v>
      </c>
      <c r="J41">
        <f>+DAY(CURVA[[#This Row],[Fecha]])</f>
        <v>28</v>
      </c>
      <c r="K41" t="str">
        <f>+TEXT(CURVA[[#This Row],[Fecha]],"MMMM")</f>
        <v>marzo</v>
      </c>
      <c r="L41">
        <f>+YEAR(CURVA[[#This Row],[Fecha]])</f>
        <v>2026</v>
      </c>
      <c r="M41" s="69">
        <f>CURVA[[#This Row],[% AVANCE REAL]]*MAX(CURVA[M2 Avance Programado])</f>
        <v>169.5752240726344</v>
      </c>
      <c r="N41" s="69">
        <f>IF(CURVA[[#This Row],[% AVANCE REAL]]="",0,M41-M40)</f>
        <v>9.1950640227525469</v>
      </c>
    </row>
    <row r="42" spans="1:14" x14ac:dyDescent="0.25">
      <c r="A42" s="1">
        <v>46110</v>
      </c>
      <c r="B42" s="7">
        <v>1.3723997606201672E-2</v>
      </c>
      <c r="C42" s="7">
        <v>7.1521370653924131E-4</v>
      </c>
      <c r="D42">
        <v>26</v>
      </c>
      <c r="E42" s="66">
        <v>290.9936862938402</v>
      </c>
      <c r="F42" s="66">
        <v>15.16487243189893</v>
      </c>
      <c r="G42">
        <f>+_xlfn.XLOOKUP(CURVA[[#This Row],[Fecha]],AV_PLAN[Días],AV_PLAN[INICIO REAL],"",0)</f>
        <v>0</v>
      </c>
      <c r="H42">
        <f>+_xlfn.XLOOKUP(CURVA[[#This Row],[Fecha]],AV_PLAN[Días],AV_PLAN[FECHA TERMINO REAL],"",0)</f>
        <v>0</v>
      </c>
      <c r="I42" s="13">
        <v>8.4312585511000775E-3</v>
      </c>
      <c r="J42">
        <f>+DAY(CURVA[[#This Row],[Fecha]])</f>
        <v>29</v>
      </c>
      <c r="K42" t="str">
        <f>+TEXT(CURVA[[#This Row],[Fecha]],"MMMM")</f>
        <v>marzo</v>
      </c>
      <c r="L42">
        <f>+YEAR(CURVA[[#This Row],[Fecha]])</f>
        <v>2026</v>
      </c>
      <c r="M42" s="70">
        <f>CURVA[[#This Row],[% AVANCE REAL]]*MAX(CURVA[M2 Avance Programado])</f>
        <v>178.77028809538689</v>
      </c>
      <c r="N42" s="69">
        <f>IF(CURVA[[#This Row],[% AVANCE REAL]]="",0,M42-M41)</f>
        <v>9.19506402275249</v>
      </c>
    </row>
    <row r="43" spans="1:14" x14ac:dyDescent="0.25">
      <c r="A43" s="1">
        <v>46111</v>
      </c>
      <c r="B43" s="7">
        <v>1.4439211312740913E-2</v>
      </c>
      <c r="C43" s="7">
        <v>7.1521370653924131E-4</v>
      </c>
      <c r="D43">
        <v>29</v>
      </c>
      <c r="E43" s="66">
        <v>306.15855872573911</v>
      </c>
      <c r="F43" s="66">
        <v>15.16487243189893</v>
      </c>
      <c r="G43">
        <f>+_xlfn.XLOOKUP(CURVA[[#This Row],[Fecha]],AV_PLAN[Días],AV_PLAN[INICIO REAL],"",0)</f>
        <v>3</v>
      </c>
      <c r="H43">
        <f>+_xlfn.XLOOKUP(CURVA[[#This Row],[Fecha]],AV_PLAN[Días],AV_PLAN[FECHA TERMINO REAL],"",0)</f>
        <v>0</v>
      </c>
      <c r="I43" s="13">
        <v>8.8649210069572781E-3</v>
      </c>
      <c r="J43">
        <f>+DAY(CURVA[[#This Row],[Fecha]])</f>
        <v>30</v>
      </c>
      <c r="K43" t="str">
        <f>+TEXT(CURVA[[#This Row],[Fecha]],"MMMM")</f>
        <v>marzo</v>
      </c>
      <c r="L43">
        <f>+YEAR(CURVA[[#This Row],[Fecha]])</f>
        <v>2026</v>
      </c>
      <c r="M43" s="69">
        <f>CURVA[[#This Row],[% AVANCE REAL]]*MAX(CURVA[M2 Avance Programado])</f>
        <v>187.96535211813941</v>
      </c>
      <c r="N43" s="69">
        <f>IF(CURVA[[#This Row],[% AVANCE REAL]]="",0,M43-M42)</f>
        <v>9.1950640227525184</v>
      </c>
    </row>
    <row r="44" spans="1:14" x14ac:dyDescent="0.25">
      <c r="A44" s="1">
        <v>46112</v>
      </c>
      <c r="B44" s="7">
        <v>1.52686946647998E-2</v>
      </c>
      <c r="C44" s="7">
        <v>8.2948335205888617E-4</v>
      </c>
      <c r="D44">
        <v>30</v>
      </c>
      <c r="E44" s="66">
        <v>323.74632180039259</v>
      </c>
      <c r="F44" s="66">
        <v>17.587763074653481</v>
      </c>
      <c r="G44">
        <f>+_xlfn.XLOOKUP(CURVA[[#This Row],[Fecha]],AV_PLAN[Días],AV_PLAN[INICIO REAL],"",0)</f>
        <v>1</v>
      </c>
      <c r="H44">
        <f>+_xlfn.XLOOKUP(CURVA[[#This Row],[Fecha]],AV_PLAN[Días],AV_PLAN[FECHA TERMINO REAL],"",0)</f>
        <v>0</v>
      </c>
      <c r="I44" s="13">
        <v>9.3647233775872099E-3</v>
      </c>
      <c r="J44">
        <f>+DAY(CURVA[[#This Row],[Fecha]])</f>
        <v>31</v>
      </c>
      <c r="K44" t="str">
        <f>+TEXT(CURVA[[#This Row],[Fecha]],"MMMM")</f>
        <v>marzo</v>
      </c>
      <c r="L44">
        <f>+YEAR(CURVA[[#This Row],[Fecha]])</f>
        <v>2026</v>
      </c>
      <c r="M44" s="70">
        <f>CURVA[[#This Row],[% AVANCE REAL]]*MAX(CURVA[M2 Avance Programado])</f>
        <v>198.56279889868111</v>
      </c>
      <c r="N44" s="69">
        <f>IF(CURVA[[#This Row],[% AVANCE REAL]]="",0,M44-M43)</f>
        <v>10.597446780541702</v>
      </c>
    </row>
    <row r="45" spans="1:14" x14ac:dyDescent="0.25">
      <c r="A45" s="1">
        <v>46113</v>
      </c>
      <c r="B45" s="7">
        <v>1.6132823249674647E-2</v>
      </c>
      <c r="C45" s="7">
        <v>8.6412858487484694E-4</v>
      </c>
      <c r="D45">
        <v>31</v>
      </c>
      <c r="E45" s="66">
        <v>342.06867725103638</v>
      </c>
      <c r="F45" s="66">
        <v>18.322355450643769</v>
      </c>
      <c r="G45">
        <f>+_xlfn.XLOOKUP(CURVA[[#This Row],[Fecha]],AV_PLAN[Días],AV_PLAN[INICIO REAL],"",0)</f>
        <v>1</v>
      </c>
      <c r="H45">
        <f>+_xlfn.XLOOKUP(CURVA[[#This Row],[Fecha]],AV_PLAN[Días],AV_PLAN[FECHA TERMINO REAL],"",0)</f>
        <v>0</v>
      </c>
      <c r="I45" s="13">
        <v>9.8856070974234853E-3</v>
      </c>
      <c r="J45">
        <f>+DAY(CURVA[[#This Row],[Fecha]])</f>
        <v>1</v>
      </c>
      <c r="K45" t="str">
        <f>+TEXT(CURVA[[#This Row],[Fecha]],"MMMM")</f>
        <v>abril</v>
      </c>
      <c r="L45">
        <f>+YEAR(CURVA[[#This Row],[Fecha]])</f>
        <v>2026</v>
      </c>
      <c r="M45" s="69">
        <f>CURVA[[#This Row],[% AVANCE REAL]]*MAX(CURVA[M2 Avance Programado])</f>
        <v>209.6072393099146</v>
      </c>
      <c r="N45" s="69">
        <f>IF(CURVA[[#This Row],[% AVANCE REAL]]="",0,M45-M44)</f>
        <v>11.044440411233495</v>
      </c>
    </row>
    <row r="46" spans="1:14" x14ac:dyDescent="0.25">
      <c r="A46" s="1">
        <v>46114</v>
      </c>
      <c r="B46" s="7">
        <v>1.7036408905256571E-2</v>
      </c>
      <c r="C46" s="7">
        <v>9.0358565558192397E-4</v>
      </c>
      <c r="D46">
        <v>32</v>
      </c>
      <c r="E46" s="66">
        <v>361.22765179655818</v>
      </c>
      <c r="F46" s="66">
        <v>19.158974545521826</v>
      </c>
      <c r="G46">
        <f>+_xlfn.XLOOKUP(CURVA[[#This Row],[Fecha]],AV_PLAN[Días],AV_PLAN[INICIO REAL],"",0)</f>
        <v>1</v>
      </c>
      <c r="H46">
        <f>+_xlfn.XLOOKUP(CURVA[[#This Row],[Fecha]],AV_PLAN[Días],AV_PLAN[FECHA TERMINO REAL],"",0)</f>
        <v>0</v>
      </c>
      <c r="I46" s="13">
        <v>1.0429401374444515E-2</v>
      </c>
      <c r="J46">
        <f>+DAY(CURVA[[#This Row],[Fecha]])</f>
        <v>2</v>
      </c>
      <c r="K46" t="str">
        <f>+TEXT(CURVA[[#This Row],[Fecha]],"MMMM")</f>
        <v>abril</v>
      </c>
      <c r="L46">
        <f>+YEAR(CURVA[[#This Row],[Fecha]])</f>
        <v>2026</v>
      </c>
      <c r="M46" s="70">
        <f>CURVA[[#This Row],[% AVANCE REAL]]*MAX(CURVA[M2 Avance Programado])</f>
        <v>221.13745855043214</v>
      </c>
      <c r="N46" s="69">
        <f>IF(CURVA[[#This Row],[% AVANCE REAL]]="",0,M46-M45)</f>
        <v>11.530219240517539</v>
      </c>
    </row>
    <row r="47" spans="1:14" x14ac:dyDescent="0.25">
      <c r="A47" s="1">
        <v>46115</v>
      </c>
      <c r="B47" s="7">
        <v>1.7974639793654455E-2</v>
      </c>
      <c r="C47" s="7">
        <v>9.3823088839788474E-4</v>
      </c>
      <c r="D47">
        <v>32</v>
      </c>
      <c r="E47" s="66">
        <v>381.12121871807022</v>
      </c>
      <c r="F47" s="66">
        <v>19.893566921512111</v>
      </c>
      <c r="G47">
        <f>+_xlfn.XLOOKUP(CURVA[[#This Row],[Fecha]],AV_PLAN[Días],AV_PLAN[INICIO REAL],"",0)</f>
        <v>0</v>
      </c>
      <c r="H47">
        <f>+_xlfn.XLOOKUP(CURVA[[#This Row],[Fecha]],AV_PLAN[Días],AV_PLAN[FECHA TERMINO REAL],"",0)</f>
        <v>0</v>
      </c>
      <c r="I47" s="13">
        <v>1.0994735331048255E-2</v>
      </c>
      <c r="J47">
        <f>+DAY(CURVA[[#This Row],[Fecha]])</f>
        <v>3</v>
      </c>
      <c r="K47" t="str">
        <f>+TEXT(CURVA[[#This Row],[Fecha]],"MMMM")</f>
        <v>abril</v>
      </c>
      <c r="L47">
        <f>+YEAR(CURVA[[#This Row],[Fecha]])</f>
        <v>2026</v>
      </c>
      <c r="M47" s="69">
        <f>CURVA[[#This Row],[% AVANCE REAL]]*MAX(CURVA[M2 Avance Programado])</f>
        <v>233.1243895263502</v>
      </c>
      <c r="N47" s="69">
        <f>IF(CURVA[[#This Row],[% AVANCE REAL]]="",0,M47-M46)</f>
        <v>11.986930975918057</v>
      </c>
    </row>
    <row r="48" spans="1:14" x14ac:dyDescent="0.25">
      <c r="A48" s="1">
        <v>46116</v>
      </c>
      <c r="B48" s="7">
        <v>1.8912870682052347E-2</v>
      </c>
      <c r="C48" s="7">
        <v>9.3823088839789168E-4</v>
      </c>
      <c r="D48">
        <v>32</v>
      </c>
      <c r="E48" s="66">
        <v>401.01478563958256</v>
      </c>
      <c r="F48" s="66">
        <v>19.893566921512264</v>
      </c>
      <c r="G48">
        <f>+_xlfn.XLOOKUP(CURVA[[#This Row],[Fecha]],AV_PLAN[Días],AV_PLAN[INICIO REAL],"",0)</f>
        <v>0</v>
      </c>
      <c r="H48">
        <f>+_xlfn.XLOOKUP(CURVA[[#This Row],[Fecha]],AV_PLAN[Días],AV_PLAN[FECHA TERMINO REAL],"",0)</f>
        <v>0</v>
      </c>
      <c r="I48" s="13">
        <v>1.1560069287651997E-2</v>
      </c>
      <c r="J48">
        <f>+DAY(CURVA[[#This Row],[Fecha]])</f>
        <v>4</v>
      </c>
      <c r="K48" t="str">
        <f>+TEXT(CURVA[[#This Row],[Fecha]],"MMMM")</f>
        <v>abril</v>
      </c>
      <c r="L48">
        <f>+YEAR(CURVA[[#This Row],[Fecha]])</f>
        <v>2026</v>
      </c>
      <c r="M48" s="70">
        <f>CURVA[[#This Row],[% AVANCE REAL]]*MAX(CURVA[M2 Avance Programado])</f>
        <v>245.11132050226831</v>
      </c>
      <c r="N48" s="69">
        <f>IF(CURVA[[#This Row],[% AVANCE REAL]]="",0,M48-M47)</f>
        <v>11.986930975918114</v>
      </c>
    </row>
    <row r="49" spans="1:14" x14ac:dyDescent="0.25">
      <c r="A49" s="1">
        <v>46117</v>
      </c>
      <c r="B49" s="7">
        <v>1.9851101570450221E-2</v>
      </c>
      <c r="C49" s="7">
        <v>9.3823088839787433E-4</v>
      </c>
      <c r="D49">
        <v>32</v>
      </c>
      <c r="E49" s="66">
        <v>420.90835256109438</v>
      </c>
      <c r="F49" s="66">
        <v>19.893566921511898</v>
      </c>
      <c r="G49">
        <f>+_xlfn.XLOOKUP(CURVA[[#This Row],[Fecha]],AV_PLAN[Días],AV_PLAN[INICIO REAL],"",0)</f>
        <v>0</v>
      </c>
      <c r="H49">
        <f>+_xlfn.XLOOKUP(CURVA[[#This Row],[Fecha]],AV_PLAN[Días],AV_PLAN[FECHA TERMINO REAL],"",0)</f>
        <v>0</v>
      </c>
      <c r="I49" s="13">
        <v>1.2125403244255739E-2</v>
      </c>
      <c r="J49">
        <f>+DAY(CURVA[[#This Row],[Fecha]])</f>
        <v>5</v>
      </c>
      <c r="K49" t="str">
        <f>+TEXT(CURVA[[#This Row],[Fecha]],"MMMM")</f>
        <v>abril</v>
      </c>
      <c r="L49">
        <f>+YEAR(CURVA[[#This Row],[Fecha]])</f>
        <v>2026</v>
      </c>
      <c r="M49" s="69">
        <f>CURVA[[#This Row],[% AVANCE REAL]]*MAX(CURVA[M2 Avance Programado])</f>
        <v>257.0982514781864</v>
      </c>
      <c r="N49" s="69">
        <f>IF(CURVA[[#This Row],[% AVANCE REAL]]="",0,M49-M48)</f>
        <v>11.986930975918085</v>
      </c>
    </row>
    <row r="50" spans="1:14" x14ac:dyDescent="0.25">
      <c r="A50" s="1">
        <v>46118</v>
      </c>
      <c r="B50" s="7">
        <v>2.0789332458848116E-2</v>
      </c>
      <c r="C50" s="7">
        <v>9.3823088839789515E-4</v>
      </c>
      <c r="D50">
        <v>33</v>
      </c>
      <c r="E50" s="66">
        <v>440.80191948260682</v>
      </c>
      <c r="F50" s="66">
        <v>19.893566921512335</v>
      </c>
      <c r="G50">
        <f>+_xlfn.XLOOKUP(CURVA[[#This Row],[Fecha]],AV_PLAN[Días],AV_PLAN[INICIO REAL],"",0)</f>
        <v>1</v>
      </c>
      <c r="H50">
        <f>+_xlfn.XLOOKUP(CURVA[[#This Row],[Fecha]],AV_PLAN[Días],AV_PLAN[FECHA TERMINO REAL],"",0)</f>
        <v>0</v>
      </c>
      <c r="I50" s="13">
        <v>1.2690737200859477E-2</v>
      </c>
      <c r="J50">
        <f>+DAY(CURVA[[#This Row],[Fecha]])</f>
        <v>6</v>
      </c>
      <c r="K50" t="str">
        <f>+TEXT(CURVA[[#This Row],[Fecha]],"MMMM")</f>
        <v>abril</v>
      </c>
      <c r="L50">
        <f>+YEAR(CURVA[[#This Row],[Fecha]])</f>
        <v>2026</v>
      </c>
      <c r="M50" s="70">
        <f>CURVA[[#This Row],[% AVANCE REAL]]*MAX(CURVA[M2 Avance Programado])</f>
        <v>269.08518245410443</v>
      </c>
      <c r="N50" s="69">
        <f>IF(CURVA[[#This Row],[% AVANCE REAL]]="",0,M50-M49)</f>
        <v>11.986930975918028</v>
      </c>
    </row>
    <row r="51" spans="1:14" x14ac:dyDescent="0.25">
      <c r="A51" s="1">
        <v>46119</v>
      </c>
      <c r="B51" s="7">
        <v>2.1764943730021115E-2</v>
      </c>
      <c r="C51" s="7">
        <v>9.7561127117299848E-4</v>
      </c>
      <c r="D51">
        <v>36</v>
      </c>
      <c r="E51" s="66">
        <v>461.48807291505574</v>
      </c>
      <c r="F51" s="66">
        <v>20.686153432448968</v>
      </c>
      <c r="G51">
        <f>+_xlfn.XLOOKUP(CURVA[[#This Row],[Fecha]],AV_PLAN[Días],AV_PLAN[INICIO REAL],"",0)</f>
        <v>3</v>
      </c>
      <c r="H51">
        <f>+_xlfn.XLOOKUP(CURVA[[#This Row],[Fecha]],AV_PLAN[Días],AV_PLAN[FECHA TERMINO REAL],"",0)</f>
        <v>0</v>
      </c>
      <c r="I51" s="13">
        <v>1.3279745399887466E-2</v>
      </c>
      <c r="J51">
        <f>+DAY(CURVA[[#This Row],[Fecha]])</f>
        <v>7</v>
      </c>
      <c r="K51" t="str">
        <f>+TEXT(CURVA[[#This Row],[Fecha]],"MMMM")</f>
        <v>abril</v>
      </c>
      <c r="L51">
        <f>+YEAR(CURVA[[#This Row],[Fecha]])</f>
        <v>2026</v>
      </c>
      <c r="M51" s="69">
        <f>CURVA[[#This Row],[% AVANCE REAL]]*MAX(CURVA[M2 Avance Programado])</f>
        <v>281.57408488694938</v>
      </c>
      <c r="N51" s="69">
        <f>IF(CURVA[[#This Row],[% AVANCE REAL]]="",0,M51-M50)</f>
        <v>12.488902432844952</v>
      </c>
    </row>
    <row r="52" spans="1:14" x14ac:dyDescent="0.25">
      <c r="A52" s="1">
        <v>46120</v>
      </c>
      <c r="B52" s="7">
        <v>2.2846586357225484E-2</v>
      </c>
      <c r="C52" s="7">
        <v>1.081642627204369E-3</v>
      </c>
      <c r="D52">
        <v>36</v>
      </c>
      <c r="E52" s="66">
        <v>484.42243827814224</v>
      </c>
      <c r="F52" s="66">
        <v>22.934365363086471</v>
      </c>
      <c r="G52">
        <f>+_xlfn.XLOOKUP(CURVA[[#This Row],[Fecha]],AV_PLAN[Días],AV_PLAN[INICIO REAL],"",0)</f>
        <v>0</v>
      </c>
      <c r="H52">
        <f>+_xlfn.XLOOKUP(CURVA[[#This Row],[Fecha]],AV_PLAN[Días],AV_PLAN[FECHA TERMINO REAL],"",0)</f>
        <v>0</v>
      </c>
      <c r="I52" s="13">
        <v>1.39324204008635E-2</v>
      </c>
      <c r="J52">
        <f>+DAY(CURVA[[#This Row],[Fecha]])</f>
        <v>8</v>
      </c>
      <c r="K52" t="str">
        <f>+TEXT(CURVA[[#This Row],[Fecha]],"MMMM")</f>
        <v>abril</v>
      </c>
      <c r="L52">
        <f>+YEAR(CURVA[[#This Row],[Fecha]])</f>
        <v>2026</v>
      </c>
      <c r="M52" s="70">
        <f>CURVA[[#This Row],[% AVANCE REAL]]*MAX(CURVA[M2 Avance Programado])</f>
        <v>295.41293198788651</v>
      </c>
      <c r="N52" s="69">
        <f>IF(CURVA[[#This Row],[% AVANCE REAL]]="",0,M52-M51)</f>
        <v>13.83884710093713</v>
      </c>
    </row>
    <row r="53" spans="1:14" x14ac:dyDescent="0.25">
      <c r="A53" s="1">
        <v>46121</v>
      </c>
      <c r="B53" s="7">
        <v>2.3928228984429843E-2</v>
      </c>
      <c r="C53" s="7">
        <v>1.0816426272043586E-3</v>
      </c>
      <c r="D53">
        <v>36</v>
      </c>
      <c r="E53" s="66">
        <v>507.35680364122845</v>
      </c>
      <c r="F53" s="66">
        <v>22.934365363086251</v>
      </c>
      <c r="G53">
        <f>+_xlfn.XLOOKUP(CURVA[[#This Row],[Fecha]],AV_PLAN[Días],AV_PLAN[INICIO REAL],"",0)</f>
        <v>0</v>
      </c>
      <c r="H53">
        <f>+_xlfn.XLOOKUP(CURVA[[#This Row],[Fecha]],AV_PLAN[Días],AV_PLAN[FECHA TERMINO REAL],"",0)</f>
        <v>0</v>
      </c>
      <c r="I53" s="13">
        <v>1.4585095401839537E-2</v>
      </c>
      <c r="J53">
        <f>+DAY(CURVA[[#This Row],[Fecha]])</f>
        <v>9</v>
      </c>
      <c r="K53" t="str">
        <f>+TEXT(CURVA[[#This Row],[Fecha]],"MMMM")</f>
        <v>abril</v>
      </c>
      <c r="L53">
        <f>+YEAR(CURVA[[#This Row],[Fecha]])</f>
        <v>2026</v>
      </c>
      <c r="M53" s="69">
        <f>CURVA[[#This Row],[% AVANCE REAL]]*MAX(CURVA[M2 Avance Programado])</f>
        <v>309.25177908882364</v>
      </c>
      <c r="N53" s="69">
        <f>IF(CURVA[[#This Row],[% AVANCE REAL]]="",0,M53-M52)</f>
        <v>13.83884710093713</v>
      </c>
    </row>
    <row r="54" spans="1:14" x14ac:dyDescent="0.25">
      <c r="A54" s="1">
        <v>46122</v>
      </c>
      <c r="B54" s="7">
        <v>2.5009871611634205E-2</v>
      </c>
      <c r="C54" s="7">
        <v>1.0816426272043621E-3</v>
      </c>
      <c r="D54">
        <v>38</v>
      </c>
      <c r="E54" s="66">
        <v>530.29116900431484</v>
      </c>
      <c r="F54" s="66">
        <v>22.934365363086325</v>
      </c>
      <c r="G54">
        <f>+_xlfn.XLOOKUP(CURVA[[#This Row],[Fecha]],AV_PLAN[Días],AV_PLAN[INICIO REAL],"",0)</f>
        <v>2</v>
      </c>
      <c r="H54">
        <f>+_xlfn.XLOOKUP(CURVA[[#This Row],[Fecha]],AV_PLAN[Días],AV_PLAN[FECHA TERMINO REAL],"",0)</f>
        <v>0</v>
      </c>
      <c r="I54" s="13">
        <v>1.523777040281557E-2</v>
      </c>
      <c r="J54">
        <f>+DAY(CURVA[[#This Row],[Fecha]])</f>
        <v>10</v>
      </c>
      <c r="K54" t="str">
        <f>+TEXT(CURVA[[#This Row],[Fecha]],"MMMM")</f>
        <v>abril</v>
      </c>
      <c r="L54">
        <f>+YEAR(CURVA[[#This Row],[Fecha]])</f>
        <v>2026</v>
      </c>
      <c r="M54" s="70">
        <f>CURVA[[#This Row],[% AVANCE REAL]]*MAX(CURVA[M2 Avance Programado])</f>
        <v>323.09062618976077</v>
      </c>
      <c r="N54" s="69">
        <f>IF(CURVA[[#This Row],[% AVANCE REAL]]="",0,M54-M53)</f>
        <v>13.83884710093713</v>
      </c>
    </row>
    <row r="55" spans="1:14" x14ac:dyDescent="0.25">
      <c r="A55" s="1">
        <v>46123</v>
      </c>
      <c r="B55" s="7">
        <v>2.6172683070007387E-2</v>
      </c>
      <c r="C55" s="7">
        <v>1.1628114583731829E-3</v>
      </c>
      <c r="D55">
        <v>40</v>
      </c>
      <c r="E55" s="66">
        <v>554.9465793625784</v>
      </c>
      <c r="F55" s="66">
        <v>24.655410358263541</v>
      </c>
      <c r="G55">
        <f>+_xlfn.XLOOKUP(CURVA[[#This Row],[Fecha]],AV_PLAN[Días],AV_PLAN[INICIO REAL],"",0)</f>
        <v>2</v>
      </c>
      <c r="H55">
        <f>+_xlfn.XLOOKUP(CURVA[[#This Row],[Fecha]],AV_PLAN[Días],AV_PLAN[FECHA TERMINO REAL],"",0)</f>
        <v>0</v>
      </c>
      <c r="I55" s="13">
        <v>1.5936275163654388E-2</v>
      </c>
      <c r="J55">
        <f>+DAY(CURVA[[#This Row],[Fecha]])</f>
        <v>11</v>
      </c>
      <c r="K55" t="str">
        <f>+TEXT(CURVA[[#This Row],[Fecha]],"MMMM")</f>
        <v>abril</v>
      </c>
      <c r="L55">
        <f>+YEAR(CURVA[[#This Row],[Fecha]])</f>
        <v>2026</v>
      </c>
      <c r="M55" s="69">
        <f>CURVA[[#This Row],[% AVANCE REAL]]*MAX(CURVA[M2 Avance Programado])</f>
        <v>337.90121426203166</v>
      </c>
      <c r="N55" s="69">
        <f>IF(CURVA[[#This Row],[% AVANCE REAL]]="",0,M55-M54)</f>
        <v>14.810588072270889</v>
      </c>
    </row>
    <row r="56" spans="1:14" x14ac:dyDescent="0.25">
      <c r="A56" s="1">
        <v>46124</v>
      </c>
      <c r="B56" s="7">
        <v>2.7412275855161917E-2</v>
      </c>
      <c r="C56" s="7">
        <v>1.2395927851545294E-3</v>
      </c>
      <c r="D56">
        <v>41</v>
      </c>
      <c r="E56" s="66">
        <v>581.23000525682096</v>
      </c>
      <c r="F56" s="66">
        <v>26.283425894242619</v>
      </c>
      <c r="G56">
        <f>+_xlfn.XLOOKUP(CURVA[[#This Row],[Fecha]],AV_PLAN[Días],AV_PLAN[INICIO REAL],"",0)</f>
        <v>1</v>
      </c>
      <c r="H56">
        <f>+_xlfn.XLOOKUP(CURVA[[#This Row],[Fecha]],AV_PLAN[Días],AV_PLAN[FECHA TERMINO REAL],"",0)</f>
        <v>0</v>
      </c>
      <c r="I56" s="13">
        <v>1.6683130011905786E-2</v>
      </c>
      <c r="J56">
        <f>+DAY(CURVA[[#This Row],[Fecha]])</f>
        <v>12</v>
      </c>
      <c r="K56" t="str">
        <f>+TEXT(CURVA[[#This Row],[Fecha]],"MMMM")</f>
        <v>abril</v>
      </c>
      <c r="L56">
        <f>+YEAR(CURVA[[#This Row],[Fecha]])</f>
        <v>2026</v>
      </c>
      <c r="M56" s="70">
        <f>CURVA[[#This Row],[% AVANCE REAL]]*MAX(CURVA[M2 Avance Programado])</f>
        <v>353.73698250210282</v>
      </c>
      <c r="N56" s="69">
        <f>IF(CURVA[[#This Row],[% AVANCE REAL]]="",0,M56-M55)</f>
        <v>15.835768240071161</v>
      </c>
    </row>
    <row r="57" spans="1:14" x14ac:dyDescent="0.25">
      <c r="A57" s="1">
        <v>46125</v>
      </c>
      <c r="B57" s="7">
        <v>2.8689249023091546E-2</v>
      </c>
      <c r="C57" s="7">
        <v>1.2769731679296292E-3</v>
      </c>
      <c r="D57">
        <v>41</v>
      </c>
      <c r="E57" s="66">
        <v>608.30601766200016</v>
      </c>
      <c r="F57" s="66">
        <v>27.076012405179178</v>
      </c>
      <c r="G57">
        <f>+_xlfn.XLOOKUP(CURVA[[#This Row],[Fecha]],AV_PLAN[Días],AV_PLAN[INICIO REAL],"",0)</f>
        <v>0</v>
      </c>
      <c r="H57">
        <f>+_xlfn.XLOOKUP(CURVA[[#This Row],[Fecha]],AV_PLAN[Días],AV_PLAN[FECHA TERMINO REAL],"",0)</f>
        <v>0</v>
      </c>
      <c r="I57" s="13">
        <v>1.7457140608820289E-2</v>
      </c>
      <c r="J57">
        <f>+DAY(CURVA[[#This Row],[Fecha]])</f>
        <v>13</v>
      </c>
      <c r="K57" t="str">
        <f>+TEXT(CURVA[[#This Row],[Fecha]],"MMMM")</f>
        <v>abril</v>
      </c>
      <c r="L57">
        <f>+YEAR(CURVA[[#This Row],[Fecha]])</f>
        <v>2026</v>
      </c>
      <c r="M57" s="69">
        <f>CURVA[[#This Row],[% AVANCE REAL]]*MAX(CURVA[M2 Avance Programado])</f>
        <v>370.14854153100174</v>
      </c>
      <c r="N57" s="69">
        <f>IF(CURVA[[#This Row],[% AVANCE REAL]]="",0,M57-M56)</f>
        <v>16.411559028898921</v>
      </c>
    </row>
    <row r="58" spans="1:14" x14ac:dyDescent="0.25">
      <c r="A58" s="1">
        <v>46126</v>
      </c>
      <c r="B58" s="7">
        <v>2.9966222191021186E-2</v>
      </c>
      <c r="C58" s="7">
        <v>1.2769731679296396E-3</v>
      </c>
      <c r="D58">
        <v>43</v>
      </c>
      <c r="E58" s="66">
        <v>635.38203006717958</v>
      </c>
      <c r="F58" s="66">
        <v>27.076012405179402</v>
      </c>
      <c r="G58">
        <f>+_xlfn.XLOOKUP(CURVA[[#This Row],[Fecha]],AV_PLAN[Días],AV_PLAN[INICIO REAL],"",0)</f>
        <v>2</v>
      </c>
      <c r="H58">
        <f>+_xlfn.XLOOKUP(CURVA[[#This Row],[Fecha]],AV_PLAN[Días],AV_PLAN[FECHA TERMINO REAL],"",0)</f>
        <v>0</v>
      </c>
      <c r="I58" s="13">
        <v>1.8231151205734795E-2</v>
      </c>
      <c r="J58">
        <f>+DAY(CURVA[[#This Row],[Fecha]])</f>
        <v>14</v>
      </c>
      <c r="K58" t="str">
        <f>+TEXT(CURVA[[#This Row],[Fecha]],"MMMM")</f>
        <v>abril</v>
      </c>
      <c r="L58">
        <f>+YEAR(CURVA[[#This Row],[Fecha]])</f>
        <v>2026</v>
      </c>
      <c r="M58" s="70">
        <f>CURVA[[#This Row],[% AVANCE REAL]]*MAX(CURVA[M2 Avance Programado])</f>
        <v>386.56010055990077</v>
      </c>
      <c r="N58" s="69">
        <f>IF(CURVA[[#This Row],[% AVANCE REAL]]="",0,M58-M57)</f>
        <v>16.411559028899035</v>
      </c>
    </row>
    <row r="59" spans="1:14" x14ac:dyDescent="0.25">
      <c r="A59" s="1">
        <v>46127</v>
      </c>
      <c r="B59" s="7">
        <v>3.1311660938087134E-2</v>
      </c>
      <c r="C59" s="7">
        <v>1.3454387470659482E-3</v>
      </c>
      <c r="D59">
        <v>46</v>
      </c>
      <c r="E59" s="66">
        <v>663.90973692967316</v>
      </c>
      <c r="F59" s="66">
        <v>28.527706862493652</v>
      </c>
      <c r="G59">
        <f>+_xlfn.XLOOKUP(CURVA[[#This Row],[Fecha]],AV_PLAN[Días],AV_PLAN[INICIO REAL],"",0)</f>
        <v>3</v>
      </c>
      <c r="H59">
        <f>+_xlfn.XLOOKUP(CURVA[[#This Row],[Fecha]],AV_PLAN[Días],AV_PLAN[FECHA TERMINO REAL],"",0)</f>
        <v>0</v>
      </c>
      <c r="I59" s="13">
        <v>1.9057051876860801E-2</v>
      </c>
      <c r="J59">
        <f>+DAY(CURVA[[#This Row],[Fecha]])</f>
        <v>15</v>
      </c>
      <c r="K59" t="str">
        <f>+TEXT(CURVA[[#This Row],[Fecha]],"MMMM")</f>
        <v>abril</v>
      </c>
      <c r="L59">
        <f>+YEAR(CURVA[[#This Row],[Fecha]])</f>
        <v>2026</v>
      </c>
      <c r="M59" s="69">
        <f>CURVA[[#This Row],[% AVANCE REAL]]*MAX(CURVA[M2 Avance Programado])</f>
        <v>404.07189906785965</v>
      </c>
      <c r="N59" s="69">
        <f>IF(CURVA[[#This Row],[% AVANCE REAL]]="",0,M59-M58)</f>
        <v>17.511798507958872</v>
      </c>
    </row>
    <row r="60" spans="1:14" x14ac:dyDescent="0.25">
      <c r="A60" s="1">
        <v>46128</v>
      </c>
      <c r="B60" s="7">
        <v>3.2768526244750379E-2</v>
      </c>
      <c r="C60" s="7">
        <v>1.456865306663245E-3</v>
      </c>
      <c r="D60">
        <v>46</v>
      </c>
      <c r="E60" s="66">
        <v>694.80005170413597</v>
      </c>
      <c r="F60" s="66">
        <v>30.890314774462801</v>
      </c>
      <c r="G60">
        <f>+_xlfn.XLOOKUP(CURVA[[#This Row],[Fecha]],AV_PLAN[Días],AV_PLAN[INICIO REAL],"",0)</f>
        <v>0</v>
      </c>
      <c r="H60">
        <f>+_xlfn.XLOOKUP(CURVA[[#This Row],[Fecha]],AV_PLAN[Días],AV_PLAN[FECHA TERMINO REAL],"",0)</f>
        <v>0</v>
      </c>
      <c r="I60" s="13">
        <v>1.995367934722923E-2</v>
      </c>
      <c r="J60">
        <f>+DAY(CURVA[[#This Row],[Fecha]])</f>
        <v>16</v>
      </c>
      <c r="K60" t="str">
        <f>+TEXT(CURVA[[#This Row],[Fecha]],"MMMM")</f>
        <v>abril</v>
      </c>
      <c r="L60">
        <f>+YEAR(CURVA[[#This Row],[Fecha]])</f>
        <v>2026</v>
      </c>
      <c r="M60" s="70">
        <f>CURVA[[#This Row],[% AVANCE REAL]]*MAX(CURVA[M2 Avance Programado])</f>
        <v>423.08333730338711</v>
      </c>
      <c r="N60" s="69">
        <f>IF(CURVA[[#This Row],[% AVANCE REAL]]="",0,M60-M59)</f>
        <v>19.011438235527464</v>
      </c>
    </row>
    <row r="61" spans="1:14" x14ac:dyDescent="0.25">
      <c r="A61" s="1">
        <v>46129</v>
      </c>
      <c r="B61" s="7">
        <v>3.4225391551413624E-2</v>
      </c>
      <c r="C61" s="7">
        <v>1.456865306663245E-3</v>
      </c>
      <c r="D61">
        <v>47</v>
      </c>
      <c r="E61" s="66">
        <v>725.69036647859878</v>
      </c>
      <c r="F61" s="66">
        <v>30.890314774462801</v>
      </c>
      <c r="G61">
        <f>+_xlfn.XLOOKUP(CURVA[[#This Row],[Fecha]],AV_PLAN[Días],AV_PLAN[INICIO REAL],"",0)</f>
        <v>1</v>
      </c>
      <c r="H61">
        <f>+_xlfn.XLOOKUP(CURVA[[#This Row],[Fecha]],AV_PLAN[Días],AV_PLAN[FECHA TERMINO REAL],"",0)</f>
        <v>0</v>
      </c>
      <c r="I61" s="13">
        <v>2.0850306817597655E-2</v>
      </c>
      <c r="J61">
        <f>+DAY(CURVA[[#This Row],[Fecha]])</f>
        <v>17</v>
      </c>
      <c r="K61" t="str">
        <f>+TEXT(CURVA[[#This Row],[Fecha]],"MMMM")</f>
        <v>abril</v>
      </c>
      <c r="L61">
        <f>+YEAR(CURVA[[#This Row],[Fecha]])</f>
        <v>2026</v>
      </c>
      <c r="M61" s="69">
        <f>CURVA[[#This Row],[% AVANCE REAL]]*MAX(CURVA[M2 Avance Programado])</f>
        <v>442.09477553891452</v>
      </c>
      <c r="N61" s="69">
        <f>IF(CURVA[[#This Row],[% AVANCE REAL]]="",0,M61-M60)</f>
        <v>19.011438235527407</v>
      </c>
    </row>
    <row r="62" spans="1:14" x14ac:dyDescent="0.25">
      <c r="A62" s="1">
        <v>46130</v>
      </c>
      <c r="B62" s="7">
        <v>3.5700380680028433E-2</v>
      </c>
      <c r="C62" s="7">
        <v>1.4749891286148092E-3</v>
      </c>
      <c r="D62">
        <v>46</v>
      </c>
      <c r="E62" s="66">
        <v>756.96496562200059</v>
      </c>
      <c r="F62" s="66">
        <v>31.274599143401751</v>
      </c>
      <c r="G62">
        <f>+_xlfn.XLOOKUP(CURVA[[#This Row],[Fecha]],AV_PLAN[Días],AV_PLAN[INICIO REAL],"",0)</f>
        <v>0</v>
      </c>
      <c r="H62">
        <f>+_xlfn.XLOOKUP(CURVA[[#This Row],[Fecha]],AV_PLAN[Días],AV_PLAN[FECHA TERMINO REAL],"",0)</f>
        <v>0</v>
      </c>
      <c r="I62" s="13">
        <v>2.1767005928282301E-2</v>
      </c>
      <c r="J62">
        <f>+DAY(CURVA[[#This Row],[Fecha]])</f>
        <v>18</v>
      </c>
      <c r="K62" t="str">
        <f>+TEXT(CURVA[[#This Row],[Fecha]],"MMMM")</f>
        <v>abril</v>
      </c>
      <c r="L62">
        <f>+YEAR(CURVA[[#This Row],[Fecha]])</f>
        <v>2026</v>
      </c>
      <c r="M62" s="70">
        <f>CURVA[[#This Row],[% AVANCE REAL]]*MAX(CURVA[M2 Avance Programado])</f>
        <v>461.53179827053231</v>
      </c>
      <c r="N62" s="69">
        <f>IF(CURVA[[#This Row],[% AVANCE REAL]]="",0,M62-M61)</f>
        <v>19.437022731617787</v>
      </c>
    </row>
    <row r="63" spans="1:14" x14ac:dyDescent="0.25">
      <c r="A63" s="1">
        <v>46131</v>
      </c>
      <c r="B63" s="7">
        <v>3.7175369808643263E-2</v>
      </c>
      <c r="C63" s="7">
        <v>1.4749891286148301E-3</v>
      </c>
      <c r="D63">
        <v>46</v>
      </c>
      <c r="E63" s="66">
        <v>788.23956476540275</v>
      </c>
      <c r="F63" s="66">
        <v>31.274599143402192</v>
      </c>
      <c r="G63">
        <f>+_xlfn.XLOOKUP(CURVA[[#This Row],[Fecha]],AV_PLAN[Días],AV_PLAN[INICIO REAL],"",0)</f>
        <v>0</v>
      </c>
      <c r="H63">
        <f>+_xlfn.XLOOKUP(CURVA[[#This Row],[Fecha]],AV_PLAN[Días],AV_PLAN[FECHA TERMINO REAL],"",0)</f>
        <v>0</v>
      </c>
      <c r="I63" s="13">
        <v>2.2683705038966936E-2</v>
      </c>
      <c r="J63">
        <f>+DAY(CURVA[[#This Row],[Fecha]])</f>
        <v>19</v>
      </c>
      <c r="K63" t="str">
        <f>+TEXT(CURVA[[#This Row],[Fecha]],"MMMM")</f>
        <v>abril</v>
      </c>
      <c r="L63">
        <f>+YEAR(CURVA[[#This Row],[Fecha]])</f>
        <v>2026</v>
      </c>
      <c r="M63" s="69">
        <f>CURVA[[#This Row],[% AVANCE REAL]]*MAX(CURVA[M2 Avance Programado])</f>
        <v>480.96882100214987</v>
      </c>
      <c r="N63" s="69">
        <f>IF(CURVA[[#This Row],[% AVANCE REAL]]="",0,M63-M62)</f>
        <v>19.43702273161756</v>
      </c>
    </row>
    <row r="64" spans="1:14" x14ac:dyDescent="0.25">
      <c r="A64" s="1">
        <v>46132</v>
      </c>
      <c r="B64" s="7">
        <v>3.8650358937258066E-2</v>
      </c>
      <c r="C64" s="7">
        <v>1.4749891286148023E-3</v>
      </c>
      <c r="D64">
        <v>47</v>
      </c>
      <c r="E64" s="66">
        <v>819.51416390880433</v>
      </c>
      <c r="F64" s="66">
        <v>31.274599143401598</v>
      </c>
      <c r="G64">
        <f>+_xlfn.XLOOKUP(CURVA[[#This Row],[Fecha]],AV_PLAN[Días],AV_PLAN[INICIO REAL],"",0)</f>
        <v>1</v>
      </c>
      <c r="H64">
        <f>+_xlfn.XLOOKUP(CURVA[[#This Row],[Fecha]],AV_PLAN[Días],AV_PLAN[FECHA TERMINO REAL],"",0)</f>
        <v>0</v>
      </c>
      <c r="I64" s="13">
        <v>2.3600404149651567E-2</v>
      </c>
      <c r="J64">
        <f>+DAY(CURVA[[#This Row],[Fecha]])</f>
        <v>20</v>
      </c>
      <c r="K64" t="str">
        <f>+TEXT(CURVA[[#This Row],[Fecha]],"MMMM")</f>
        <v>abril</v>
      </c>
      <c r="L64">
        <f>+YEAR(CURVA[[#This Row],[Fecha]])</f>
        <v>2026</v>
      </c>
      <c r="M64" s="70">
        <f>CURVA[[#This Row],[% AVANCE REAL]]*MAX(CURVA[M2 Avance Programado])</f>
        <v>500.40584373376731</v>
      </c>
      <c r="N64" s="69">
        <f>IF(CURVA[[#This Row],[% AVANCE REAL]]="",0,M64-M63)</f>
        <v>19.437022731617446</v>
      </c>
    </row>
    <row r="65" spans="1:14" x14ac:dyDescent="0.25">
      <c r="A65" s="1">
        <v>46133</v>
      </c>
      <c r="B65" s="7">
        <v>4.0112826738493056E-2</v>
      </c>
      <c r="C65" s="7">
        <v>1.4624678012349901E-3</v>
      </c>
      <c r="D65">
        <v>45</v>
      </c>
      <c r="E65" s="66">
        <v>850.52326991266352</v>
      </c>
      <c r="F65" s="66">
        <v>31.009106003859152</v>
      </c>
      <c r="G65">
        <f>+_xlfn.XLOOKUP(CURVA[[#This Row],[Fecha]],AV_PLAN[Días],AV_PLAN[INICIO REAL],"",0)</f>
        <v>0</v>
      </c>
      <c r="H65">
        <f>+_xlfn.XLOOKUP(CURVA[[#This Row],[Fecha]],AV_PLAN[Días],AV_PLAN[FECHA TERMINO REAL],"",0)</f>
        <v>0</v>
      </c>
      <c r="I65" s="13">
        <v>2.4548320226509556E-2</v>
      </c>
      <c r="J65">
        <f>+DAY(CURVA[[#This Row],[Fecha]])</f>
        <v>21</v>
      </c>
      <c r="K65" t="str">
        <f>+TEXT(CURVA[[#This Row],[Fecha]],"MMMM")</f>
        <v>abril</v>
      </c>
      <c r="L65">
        <f>+YEAR(CURVA[[#This Row],[Fecha]])</f>
        <v>2026</v>
      </c>
      <c r="M65" s="69">
        <f>CURVA[[#This Row],[% AVANCE REAL]]*MAX(CURVA[M2 Avance Programado])</f>
        <v>520.50476836323935</v>
      </c>
      <c r="N65" s="69">
        <f>IF(CURVA[[#This Row],[% AVANCE REAL]]="",0,M65-M64)</f>
        <v>20.098924629472037</v>
      </c>
    </row>
    <row r="66" spans="1:14" x14ac:dyDescent="0.25">
      <c r="A66" s="1">
        <v>46134</v>
      </c>
      <c r="B66" s="7">
        <v>4.1522027494273521E-2</v>
      </c>
      <c r="C66" s="7">
        <v>1.4092007557804653E-3</v>
      </c>
      <c r="D66">
        <v>46</v>
      </c>
      <c r="E66" s="66">
        <v>880.40294013843788</v>
      </c>
      <c r="F66" s="66">
        <v>29.879670225774397</v>
      </c>
      <c r="G66">
        <f>+_xlfn.XLOOKUP(CURVA[[#This Row],[Fecha]],AV_PLAN[Días],AV_PLAN[INICIO REAL],"",0)</f>
        <v>3</v>
      </c>
      <c r="H66">
        <f>+_xlfn.XLOOKUP(CURVA[[#This Row],[Fecha]],AV_PLAN[Días],AV_PLAN[FECHA TERMINO REAL],"",0)</f>
        <v>0</v>
      </c>
      <c r="I66" s="13">
        <v>2.5496236303367559E-2</v>
      </c>
      <c r="J66">
        <f>+DAY(CURVA[[#This Row],[Fecha]])</f>
        <v>22</v>
      </c>
      <c r="K66" t="str">
        <f>+TEXT(CURVA[[#This Row],[Fecha]],"MMMM")</f>
        <v>abril</v>
      </c>
      <c r="L66">
        <f>+YEAR(CURVA[[#This Row],[Fecha]])</f>
        <v>2026</v>
      </c>
      <c r="M66" s="70">
        <f>CURVA[[#This Row],[% AVANCE REAL]]*MAX(CURVA[M2 Avance Programado])</f>
        <v>540.60369299271156</v>
      </c>
      <c r="N66" s="69">
        <f>IF(CURVA[[#This Row],[% AVANCE REAL]]="",0,M66-M65)</f>
        <v>20.098924629472208</v>
      </c>
    </row>
    <row r="67" spans="1:14" x14ac:dyDescent="0.25">
      <c r="A67" s="1">
        <v>46135</v>
      </c>
      <c r="B67" s="7">
        <v>4.3002391895436351E-2</v>
      </c>
      <c r="C67" s="7">
        <v>1.48036440116283E-3</v>
      </c>
      <c r="D67">
        <v>44</v>
      </c>
      <c r="E67" s="66">
        <v>911.7915126603308</v>
      </c>
      <c r="F67" s="66">
        <v>31.388572521892858</v>
      </c>
      <c r="G67">
        <f>+_xlfn.XLOOKUP(CURVA[[#This Row],[Fecha]],AV_PLAN[Días],AV_PLAN[INICIO REAL],"",0)</f>
        <v>0</v>
      </c>
      <c r="H67">
        <f>+_xlfn.XLOOKUP(CURVA[[#This Row],[Fecha]],AV_PLAN[Días],AV_PLAN[FECHA TERMINO REAL],"",0)</f>
        <v>0</v>
      </c>
      <c r="I67" s="13">
        <v>2.6541678710602482E-2</v>
      </c>
      <c r="J67">
        <f>+DAY(CURVA[[#This Row],[Fecha]])</f>
        <v>23</v>
      </c>
      <c r="K67" t="str">
        <f>+TEXT(CURVA[[#This Row],[Fecha]],"MMMM")</f>
        <v>abril</v>
      </c>
      <c r="L67">
        <f>+YEAR(CURVA[[#This Row],[Fecha]])</f>
        <v>2026</v>
      </c>
      <c r="M67" s="69">
        <f>CURVA[[#This Row],[% AVANCE REAL]]*MAX(CURVA[M2 Avance Programado])</f>
        <v>562.77049516059628</v>
      </c>
      <c r="N67" s="69">
        <f>IF(CURVA[[#This Row],[% AVANCE REAL]]="",0,M67-M66)</f>
        <v>22.166802167884725</v>
      </c>
    </row>
    <row r="68" spans="1:14" x14ac:dyDescent="0.25">
      <c r="A68" s="1">
        <v>46136</v>
      </c>
      <c r="B68" s="7">
        <v>4.4482756296599188E-2</v>
      </c>
      <c r="C68" s="7">
        <v>1.480364401162837E-3</v>
      </c>
      <c r="D68">
        <v>46</v>
      </c>
      <c r="E68" s="66">
        <v>943.18008518222371</v>
      </c>
      <c r="F68" s="66">
        <v>31.388572521893003</v>
      </c>
      <c r="G68">
        <f>+_xlfn.XLOOKUP(CURVA[[#This Row],[Fecha]],AV_PLAN[Días],AV_PLAN[INICIO REAL],"",0)</f>
        <v>2</v>
      </c>
      <c r="H68">
        <f>+_xlfn.XLOOKUP(CURVA[[#This Row],[Fecha]],AV_PLAN[Días],AV_PLAN[FECHA TERMINO REAL],"",0)</f>
        <v>0</v>
      </c>
      <c r="I68" s="13">
        <v>2.758712111783744E-2</v>
      </c>
      <c r="J68">
        <f>+DAY(CURVA[[#This Row],[Fecha]])</f>
        <v>24</v>
      </c>
      <c r="K68" t="str">
        <f>+TEXT(CURVA[[#This Row],[Fecha]],"MMMM")</f>
        <v>abril</v>
      </c>
      <c r="L68">
        <f>+YEAR(CURVA[[#This Row],[Fecha]])</f>
        <v>2026</v>
      </c>
      <c r="M68" s="70">
        <f>CURVA[[#This Row],[% AVANCE REAL]]*MAX(CURVA[M2 Avance Programado])</f>
        <v>584.9372973284818</v>
      </c>
      <c r="N68" s="69">
        <f>IF(CURVA[[#This Row],[% AVANCE REAL]]="",0,M68-M67)</f>
        <v>22.166802167885521</v>
      </c>
    </row>
    <row r="69" spans="1:14" x14ac:dyDescent="0.25">
      <c r="A69" s="1">
        <v>46137</v>
      </c>
      <c r="B69" s="7">
        <v>4.6020998260125269E-2</v>
      </c>
      <c r="C69" s="7">
        <v>1.5382419635260811E-3</v>
      </c>
      <c r="D69">
        <v>45</v>
      </c>
      <c r="E69" s="66">
        <v>975.79585153706898</v>
      </c>
      <c r="F69" s="66">
        <v>32.615766354845242</v>
      </c>
      <c r="G69">
        <f>+_xlfn.XLOOKUP(CURVA[[#This Row],[Fecha]],AV_PLAN[Días],AV_PLAN[INICIO REAL],"",0)</f>
        <v>0</v>
      </c>
      <c r="H69">
        <f>+_xlfn.XLOOKUP(CURVA[[#This Row],[Fecha]],AV_PLAN[Días],AV_PLAN[FECHA TERMINO REAL],"",0)</f>
        <v>0</v>
      </c>
      <c r="I69" s="13">
        <v>2.8687742720876565E-2</v>
      </c>
      <c r="J69">
        <f>+DAY(CURVA[[#This Row],[Fecha]])</f>
        <v>25</v>
      </c>
      <c r="K69" t="str">
        <f>+TEXT(CURVA[[#This Row],[Fecha]],"MMMM")</f>
        <v>abril</v>
      </c>
      <c r="L69">
        <f>+YEAR(CURVA[[#This Row],[Fecha]])</f>
        <v>2026</v>
      </c>
      <c r="M69" s="69">
        <f>CURVA[[#This Row],[% AVANCE REAL]]*MAX(CURVA[M2 Avance Programado])</f>
        <v>608.27407912289596</v>
      </c>
      <c r="N69" s="69">
        <f>IF(CURVA[[#This Row],[% AVANCE REAL]]="",0,M69-M68)</f>
        <v>23.336781794414151</v>
      </c>
    </row>
    <row r="70" spans="1:14" x14ac:dyDescent="0.25">
      <c r="A70" s="1">
        <v>46138</v>
      </c>
      <c r="B70" s="7">
        <v>4.7559240223651315E-2</v>
      </c>
      <c r="C70" s="7">
        <v>1.5382419635260464E-3</v>
      </c>
      <c r="D70">
        <v>45</v>
      </c>
      <c r="E70" s="66">
        <v>1008.4116178919136</v>
      </c>
      <c r="F70" s="66">
        <v>32.61576635484451</v>
      </c>
      <c r="G70">
        <f>+_xlfn.XLOOKUP(CURVA[[#This Row],[Fecha]],AV_PLAN[Días],AV_PLAN[INICIO REAL],"",0)</f>
        <v>0</v>
      </c>
      <c r="H70">
        <f>+_xlfn.XLOOKUP(CURVA[[#This Row],[Fecha]],AV_PLAN[Días],AV_PLAN[FECHA TERMINO REAL],"",0)</f>
        <v>0</v>
      </c>
      <c r="I70" s="13">
        <v>2.9788364323915715E-2</v>
      </c>
      <c r="J70">
        <f>+DAY(CURVA[[#This Row],[Fecha]])</f>
        <v>26</v>
      </c>
      <c r="K70" t="str">
        <f>+TEXT(CURVA[[#This Row],[Fecha]],"MMMM")</f>
        <v>abril</v>
      </c>
      <c r="L70">
        <f>+YEAR(CURVA[[#This Row],[Fecha]])</f>
        <v>2026</v>
      </c>
      <c r="M70" s="70">
        <f>CURVA[[#This Row],[% AVANCE REAL]]*MAX(CURVA[M2 Avance Programado])</f>
        <v>631.61086091731067</v>
      </c>
      <c r="N70" s="69">
        <f>IF(CURVA[[#This Row],[% AVANCE REAL]]="",0,M70-M69)</f>
        <v>23.336781794414719</v>
      </c>
    </row>
    <row r="71" spans="1:14" x14ac:dyDescent="0.25">
      <c r="A71" s="1">
        <v>46139</v>
      </c>
      <c r="B71" s="7">
        <v>4.9097482187177362E-2</v>
      </c>
      <c r="C71" s="7">
        <v>1.5382419635260464E-3</v>
      </c>
      <c r="D71">
        <v>46</v>
      </c>
      <c r="E71" s="66">
        <v>1041.0273842467579</v>
      </c>
      <c r="F71" s="66">
        <v>32.61576635484451</v>
      </c>
      <c r="G71">
        <f>+_xlfn.XLOOKUP(CURVA[[#This Row],[Fecha]],AV_PLAN[Días],AV_PLAN[INICIO REAL],"",0)</f>
        <v>1</v>
      </c>
      <c r="H71">
        <f>+_xlfn.XLOOKUP(CURVA[[#This Row],[Fecha]],AV_PLAN[Días],AV_PLAN[FECHA TERMINO REAL],"",0)</f>
        <v>0</v>
      </c>
      <c r="I71" s="13">
        <v>3.088898592695483E-2</v>
      </c>
      <c r="J71">
        <f>+DAY(CURVA[[#This Row],[Fecha]])</f>
        <v>27</v>
      </c>
      <c r="K71" t="str">
        <f>+TEXT(CURVA[[#This Row],[Fecha]],"MMMM")</f>
        <v>abril</v>
      </c>
      <c r="L71">
        <f>+YEAR(CURVA[[#This Row],[Fecha]])</f>
        <v>2026</v>
      </c>
      <c r="M71" s="69">
        <f>CURVA[[#This Row],[% AVANCE REAL]]*MAX(CURVA[M2 Avance Programado])</f>
        <v>654.9476427117246</v>
      </c>
      <c r="N71" s="69">
        <f>IF(CURVA[[#This Row],[% AVANCE REAL]]="",0,M71-M70)</f>
        <v>23.336781794413923</v>
      </c>
    </row>
    <row r="72" spans="1:14" x14ac:dyDescent="0.25">
      <c r="A72" s="1">
        <v>46140</v>
      </c>
      <c r="B72" s="7">
        <v>5.0656037854478475E-2</v>
      </c>
      <c r="C72" s="7">
        <v>1.5585556673011133E-3</v>
      </c>
      <c r="D72">
        <v>46</v>
      </c>
      <c r="E72" s="66">
        <v>1074.0738676356186</v>
      </c>
      <c r="F72" s="66">
        <v>33.046483388860651</v>
      </c>
      <c r="G72">
        <f>+_xlfn.XLOOKUP(CURVA[[#This Row],[Fecha]],AV_PLAN[Días],AV_PLAN[INICIO REAL],"",0)</f>
        <v>1</v>
      </c>
      <c r="H72">
        <f>+_xlfn.XLOOKUP(CURVA[[#This Row],[Fecha]],AV_PLAN[Días],AV_PLAN[FECHA TERMINO REAL],"",0)</f>
        <v>0</v>
      </c>
      <c r="I72" s="13">
        <v>3.2027091747165684E-2</v>
      </c>
      <c r="J72">
        <f>+DAY(CURVA[[#This Row],[Fecha]])</f>
        <v>28</v>
      </c>
      <c r="K72" t="str">
        <f>+TEXT(CURVA[[#This Row],[Fecha]],"MMMM")</f>
        <v>abril</v>
      </c>
      <c r="L72">
        <f>+YEAR(CURVA[[#This Row],[Fecha]])</f>
        <v>2026</v>
      </c>
      <c r="M72" s="70">
        <f>CURVA[[#This Row],[% AVANCE REAL]]*MAX(CURVA[M2 Avance Programado])</f>
        <v>679.07921264627305</v>
      </c>
      <c r="N72" s="69">
        <f>IF(CURVA[[#This Row],[% AVANCE REAL]]="",0,M72-M71)</f>
        <v>24.131569934548452</v>
      </c>
    </row>
    <row r="73" spans="1:14" x14ac:dyDescent="0.25">
      <c r="A73" s="1">
        <v>46141</v>
      </c>
      <c r="B73" s="7">
        <v>5.2149007611807741E-2</v>
      </c>
      <c r="C73" s="7">
        <v>1.4929697573292655E-3</v>
      </c>
      <c r="D73">
        <v>44</v>
      </c>
      <c r="E73" s="66">
        <v>1105.7297149824692</v>
      </c>
      <c r="F73" s="66">
        <v>31.655847346850585</v>
      </c>
      <c r="G73">
        <f>+_xlfn.XLOOKUP(CURVA[[#This Row],[Fecha]],AV_PLAN[Días],AV_PLAN[INICIO REAL],"",0)</f>
        <v>1</v>
      </c>
      <c r="H73">
        <f>+_xlfn.XLOOKUP(CURVA[[#This Row],[Fecha]],AV_PLAN[Días],AV_PLAN[FECHA TERMINO REAL],"",0)</f>
        <v>0</v>
      </c>
      <c r="I73" s="13">
        <v>3.3198070943999916E-2</v>
      </c>
      <c r="J73">
        <f>+DAY(CURVA[[#This Row],[Fecha]])</f>
        <v>29</v>
      </c>
      <c r="K73" t="str">
        <f>+TEXT(CURVA[[#This Row],[Fecha]],"MMMM")</f>
        <v>abril</v>
      </c>
      <c r="L73">
        <f>+YEAR(CURVA[[#This Row],[Fecha]])</f>
        <v>2026</v>
      </c>
      <c r="M73" s="69">
        <f>CURVA[[#This Row],[% AVANCE REAL]]*MAX(CURVA[M2 Avance Programado])</f>
        <v>703.90780580386831</v>
      </c>
      <c r="N73" s="69">
        <f>IF(CURVA[[#This Row],[% AVANCE REAL]]="",0,M73-M72)</f>
        <v>24.828593157595265</v>
      </c>
    </row>
    <row r="74" spans="1:14" x14ac:dyDescent="0.25">
      <c r="A74" s="1">
        <v>46142</v>
      </c>
      <c r="B74" s="7">
        <v>5.368932585398551E-2</v>
      </c>
      <c r="C74" s="7">
        <v>1.5403182421777697E-3</v>
      </c>
      <c r="D74">
        <v>44</v>
      </c>
      <c r="E74" s="66">
        <v>1138.3895052431735</v>
      </c>
      <c r="F74" s="66">
        <v>32.659790260704504</v>
      </c>
      <c r="G74">
        <f>+_xlfn.XLOOKUP(CURVA[[#This Row],[Fecha]],AV_PLAN[Días],AV_PLAN[INICIO REAL],"",0)</f>
        <v>0</v>
      </c>
      <c r="H74">
        <f>+_xlfn.XLOOKUP(CURVA[[#This Row],[Fecha]],AV_PLAN[Días],AV_PLAN[FECHA TERMINO REAL],"",0)</f>
        <v>0</v>
      </c>
      <c r="I74" s="13">
        <v>3.4398712573989215E-2</v>
      </c>
      <c r="J74">
        <f>+DAY(CURVA[[#This Row],[Fecha]])</f>
        <v>30</v>
      </c>
      <c r="K74" t="str">
        <f>+TEXT(CURVA[[#This Row],[Fecha]],"MMMM")</f>
        <v>abril</v>
      </c>
      <c r="L74">
        <f>+YEAR(CURVA[[#This Row],[Fecha]])</f>
        <v>2026</v>
      </c>
      <c r="M74" s="70">
        <f>CURVA[[#This Row],[% AVANCE REAL]]*MAX(CURVA[M2 Avance Programado])</f>
        <v>729.36533966925981</v>
      </c>
      <c r="N74" s="69">
        <f>IF(CURVA[[#This Row],[% AVANCE REAL]]="",0,M74-M73)</f>
        <v>25.457533865391497</v>
      </c>
    </row>
    <row r="75" spans="1:14" x14ac:dyDescent="0.25">
      <c r="A75" s="1">
        <v>46143</v>
      </c>
      <c r="B75" s="7">
        <v>5.5174828781607725E-2</v>
      </c>
      <c r="C75" s="7">
        <v>1.4855029276222148E-3</v>
      </c>
      <c r="D75">
        <v>42</v>
      </c>
      <c r="E75" s="66">
        <v>1169.8870313512914</v>
      </c>
      <c r="F75" s="66">
        <v>31.497526108117551</v>
      </c>
      <c r="G75">
        <f>+_xlfn.XLOOKUP(CURVA[[#This Row],[Fecha]],AV_PLAN[Días],AV_PLAN[INICIO REAL],"",0)</f>
        <v>0</v>
      </c>
      <c r="H75">
        <f>+_xlfn.XLOOKUP(CURVA[[#This Row],[Fecha]],AV_PLAN[Días],AV_PLAN[FECHA TERMINO REAL],"",0)</f>
        <v>0</v>
      </c>
      <c r="I75" s="13">
        <v>3.5599354203978535E-2</v>
      </c>
      <c r="J75">
        <f>+DAY(CURVA[[#This Row],[Fecha]])</f>
        <v>1</v>
      </c>
      <c r="K75" t="str">
        <f>+TEXT(CURVA[[#This Row],[Fecha]],"MMMM")</f>
        <v>mayo</v>
      </c>
      <c r="L75">
        <f>+YEAR(CURVA[[#This Row],[Fecha]])</f>
        <v>2026</v>
      </c>
      <c r="M75" s="69">
        <f>CURVA[[#This Row],[% AVANCE REAL]]*MAX(CURVA[M2 Avance Programado])</f>
        <v>754.82287353465176</v>
      </c>
      <c r="N75" s="69">
        <f>IF(CURVA[[#This Row],[% AVANCE REAL]]="",0,M75-M74)</f>
        <v>25.457533865391952</v>
      </c>
    </row>
    <row r="76" spans="1:14" x14ac:dyDescent="0.25">
      <c r="A76" s="1">
        <v>46144</v>
      </c>
      <c r="B76" s="7">
        <v>5.6660331709229877E-2</v>
      </c>
      <c r="C76" s="7">
        <v>1.4855029276221524E-3</v>
      </c>
      <c r="D76">
        <v>42</v>
      </c>
      <c r="E76" s="66">
        <v>1201.3845574594077</v>
      </c>
      <c r="F76" s="66">
        <v>31.497526108116222</v>
      </c>
      <c r="G76">
        <f>+_xlfn.XLOOKUP(CURVA[[#This Row],[Fecha]],AV_PLAN[Días],AV_PLAN[INICIO REAL],"",0)</f>
        <v>0</v>
      </c>
      <c r="H76">
        <f>+_xlfn.XLOOKUP(CURVA[[#This Row],[Fecha]],AV_PLAN[Días],AV_PLAN[FECHA TERMINO REAL],"",0)</f>
        <v>0</v>
      </c>
      <c r="I76" s="13">
        <v>3.6799995833967834E-2</v>
      </c>
      <c r="J76">
        <f>+DAY(CURVA[[#This Row],[Fecha]])</f>
        <v>2</v>
      </c>
      <c r="K76" t="str">
        <f>+TEXT(CURVA[[#This Row],[Fecha]],"MMMM")</f>
        <v>mayo</v>
      </c>
      <c r="L76">
        <f>+YEAR(CURVA[[#This Row],[Fecha]])</f>
        <v>2026</v>
      </c>
      <c r="M76" s="70">
        <f>CURVA[[#This Row],[% AVANCE REAL]]*MAX(CURVA[M2 Avance Programado])</f>
        <v>780.28040740004326</v>
      </c>
      <c r="N76" s="69">
        <f>IF(CURVA[[#This Row],[% AVANCE REAL]]="",0,M76-M75)</f>
        <v>25.457533865391497</v>
      </c>
    </row>
    <row r="77" spans="1:14" x14ac:dyDescent="0.25">
      <c r="A77" s="1">
        <v>46145</v>
      </c>
      <c r="B77" s="7">
        <v>5.8145834636852078E-2</v>
      </c>
      <c r="C77" s="7">
        <v>1.4855029276222009E-3</v>
      </c>
      <c r="D77">
        <v>42</v>
      </c>
      <c r="E77" s="66">
        <v>1232.8820835675249</v>
      </c>
      <c r="F77" s="66">
        <v>31.497526108117256</v>
      </c>
      <c r="G77">
        <f>+_xlfn.XLOOKUP(CURVA[[#This Row],[Fecha]],AV_PLAN[Días],AV_PLAN[INICIO REAL],"",0)</f>
        <v>0</v>
      </c>
      <c r="H77">
        <f>+_xlfn.XLOOKUP(CURVA[[#This Row],[Fecha]],AV_PLAN[Días],AV_PLAN[FECHA TERMINO REAL],"",0)</f>
        <v>0</v>
      </c>
      <c r="I77" s="13">
        <v>3.8000637463957147E-2</v>
      </c>
      <c r="J77">
        <f>+DAY(CURVA[[#This Row],[Fecha]])</f>
        <v>3</v>
      </c>
      <c r="K77" t="str">
        <f>+TEXT(CURVA[[#This Row],[Fecha]],"MMMM")</f>
        <v>mayo</v>
      </c>
      <c r="L77">
        <f>+YEAR(CURVA[[#This Row],[Fecha]])</f>
        <v>2026</v>
      </c>
      <c r="M77" s="69">
        <f>CURVA[[#This Row],[% AVANCE REAL]]*MAX(CURVA[M2 Avance Programado])</f>
        <v>805.7379412654351</v>
      </c>
      <c r="N77" s="69">
        <f>IF(CURVA[[#This Row],[% AVANCE REAL]]="",0,M77-M76)</f>
        <v>25.457533865391838</v>
      </c>
    </row>
    <row r="78" spans="1:14" x14ac:dyDescent="0.25">
      <c r="A78" s="1">
        <v>46146</v>
      </c>
      <c r="B78" s="7">
        <v>5.9631337564474279E-2</v>
      </c>
      <c r="C78" s="7">
        <v>1.4855029276222009E-3</v>
      </c>
      <c r="D78">
        <v>44</v>
      </c>
      <c r="E78" s="66">
        <v>1264.3796096756421</v>
      </c>
      <c r="F78" s="66">
        <v>31.497526108117256</v>
      </c>
      <c r="G78">
        <f>+_xlfn.XLOOKUP(CURVA[[#This Row],[Fecha]],AV_PLAN[Días],AV_PLAN[INICIO REAL],"",0)</f>
        <v>1</v>
      </c>
      <c r="H78">
        <f>+_xlfn.XLOOKUP(CURVA[[#This Row],[Fecha]],AV_PLAN[Días],AV_PLAN[FECHA TERMINO REAL],"",0)</f>
        <v>0</v>
      </c>
      <c r="I78" s="13">
        <v>3.9201279093946446E-2</v>
      </c>
      <c r="J78">
        <f>+DAY(CURVA[[#This Row],[Fecha]])</f>
        <v>4</v>
      </c>
      <c r="K78" t="str">
        <f>+TEXT(CURVA[[#This Row],[Fecha]],"MMMM")</f>
        <v>mayo</v>
      </c>
      <c r="L78">
        <f>+YEAR(CURVA[[#This Row],[Fecha]])</f>
        <v>2026</v>
      </c>
      <c r="M78" s="70">
        <f>CURVA[[#This Row],[% AVANCE REAL]]*MAX(CURVA[M2 Avance Programado])</f>
        <v>831.19547513082659</v>
      </c>
      <c r="N78" s="69">
        <f>IF(CURVA[[#This Row],[% AVANCE REAL]]="",0,M78-M77)</f>
        <v>25.457533865391497</v>
      </c>
    </row>
    <row r="79" spans="1:14" x14ac:dyDescent="0.25">
      <c r="A79" s="1">
        <v>46147</v>
      </c>
      <c r="B79" s="7">
        <v>6.1135949228310477E-2</v>
      </c>
      <c r="C79" s="7">
        <v>1.5046116638361973E-3</v>
      </c>
      <c r="D79">
        <v>44</v>
      </c>
      <c r="E79" s="66">
        <v>1296.2823035600063</v>
      </c>
      <c r="F79" s="66">
        <v>31.902693884364513</v>
      </c>
      <c r="G79">
        <f>+_xlfn.XLOOKUP(CURVA[[#This Row],[Fecha]],AV_PLAN[Días],AV_PLAN[INICIO REAL],"",0)</f>
        <v>2</v>
      </c>
      <c r="H79">
        <f>+_xlfn.XLOOKUP(CURVA[[#This Row],[Fecha]],AV_PLAN[Días],AV_PLAN[FECHA TERMINO REAL],"",0)</f>
        <v>0</v>
      </c>
      <c r="I79" s="13">
        <v>4.0437187181616013E-2</v>
      </c>
      <c r="J79">
        <f>+DAY(CURVA[[#This Row],[Fecha]])</f>
        <v>5</v>
      </c>
      <c r="K79" t="str">
        <f>+TEXT(CURVA[[#This Row],[Fecha]],"MMMM")</f>
        <v>mayo</v>
      </c>
      <c r="L79">
        <f>+YEAR(CURVA[[#This Row],[Fecha]])</f>
        <v>2026</v>
      </c>
      <c r="M79" s="69">
        <f>CURVA[[#This Row],[% AVANCE REAL]]*MAX(CURVA[M2 Avance Programado])</f>
        <v>857.40077337343348</v>
      </c>
      <c r="N79" s="69">
        <f>IF(CURVA[[#This Row],[% AVANCE REAL]]="",0,M79-M78)</f>
        <v>26.205298242606887</v>
      </c>
    </row>
    <row r="80" spans="1:14" x14ac:dyDescent="0.25">
      <c r="A80" s="1">
        <v>46148</v>
      </c>
      <c r="B80" s="7">
        <v>6.2615258518552125E-2</v>
      </c>
      <c r="C80" s="7">
        <v>1.4793092902416483E-3</v>
      </c>
      <c r="D80">
        <v>43</v>
      </c>
      <c r="E80" s="66">
        <v>1327.6485042755778</v>
      </c>
      <c r="F80" s="66">
        <v>31.366200715571289</v>
      </c>
      <c r="G80">
        <f>+_xlfn.XLOOKUP(CURVA[[#This Row],[Fecha]],AV_PLAN[Días],AV_PLAN[INICIO REAL],"",0)</f>
        <v>1</v>
      </c>
      <c r="H80">
        <f>+_xlfn.XLOOKUP(CURVA[[#This Row],[Fecha]],AV_PLAN[Días],AV_PLAN[FECHA TERMINO REAL],"",0)</f>
        <v>0</v>
      </c>
      <c r="I80" s="13">
        <v>4.1739805902402456E-2</v>
      </c>
      <c r="J80">
        <f>+DAY(CURVA[[#This Row],[Fecha]])</f>
        <v>6</v>
      </c>
      <c r="K80" t="str">
        <f>+TEXT(CURVA[[#This Row],[Fecha]],"MMMM")</f>
        <v>mayo</v>
      </c>
      <c r="L80">
        <f>+YEAR(CURVA[[#This Row],[Fecha]])</f>
        <v>2026</v>
      </c>
      <c r="M80" s="70">
        <f>CURVA[[#This Row],[% AVANCE REAL]]*MAX(CURVA[M2 Avance Programado])</f>
        <v>885.02055547145164</v>
      </c>
      <c r="N80" s="69">
        <f>IF(CURVA[[#This Row],[% AVANCE REAL]]="",0,M80-M79)</f>
        <v>27.619782098018163</v>
      </c>
    </row>
    <row r="81" spans="1:14" x14ac:dyDescent="0.25">
      <c r="A81" s="1">
        <v>46149</v>
      </c>
      <c r="B81" s="7">
        <v>6.4076227568679381E-2</v>
      </c>
      <c r="C81" s="7">
        <v>1.460969050127256E-3</v>
      </c>
      <c r="D81">
        <v>42</v>
      </c>
      <c r="E81" s="66">
        <v>1358.6258318485316</v>
      </c>
      <c r="F81" s="66">
        <v>30.977327572953609</v>
      </c>
      <c r="G81">
        <f>+_xlfn.XLOOKUP(CURVA[[#This Row],[Fecha]],AV_PLAN[Días],AV_PLAN[INICIO REAL],"",0)</f>
        <v>3</v>
      </c>
      <c r="H81">
        <f>+_xlfn.XLOOKUP(CURVA[[#This Row],[Fecha]],AV_PLAN[Días],AV_PLAN[FECHA TERMINO REAL],"",0)</f>
        <v>0</v>
      </c>
      <c r="I81" s="13">
        <v>4.3091877485141747E-2</v>
      </c>
      <c r="J81">
        <f>+DAY(CURVA[[#This Row],[Fecha]])</f>
        <v>7</v>
      </c>
      <c r="K81" t="str">
        <f>+TEXT(CURVA[[#This Row],[Fecha]],"MMMM")</f>
        <v>mayo</v>
      </c>
      <c r="L81">
        <f>+YEAR(CURVA[[#This Row],[Fecha]])</f>
        <v>2026</v>
      </c>
      <c r="M81" s="69">
        <f>CURVA[[#This Row],[% AVANCE REAL]]*MAX(CURVA[M2 Avance Programado])</f>
        <v>913.68890016838327</v>
      </c>
      <c r="N81" s="69">
        <f>IF(CURVA[[#This Row],[% AVANCE REAL]]="",0,M81-M80)</f>
        <v>28.668344696931626</v>
      </c>
    </row>
    <row r="82" spans="1:14" x14ac:dyDescent="0.25">
      <c r="A82" s="1">
        <v>46150</v>
      </c>
      <c r="B82" s="7">
        <v>6.5550445374110408E-2</v>
      </c>
      <c r="C82" s="7">
        <v>1.4742178054310273E-3</v>
      </c>
      <c r="D82">
        <v>42</v>
      </c>
      <c r="E82" s="66">
        <v>1389.8840764148622</v>
      </c>
      <c r="F82" s="66">
        <v>31.258244566330767</v>
      </c>
      <c r="G82">
        <f>+_xlfn.XLOOKUP(CURVA[[#This Row],[Fecha]],AV_PLAN[Días],AV_PLAN[INICIO REAL],"",0)</f>
        <v>1</v>
      </c>
      <c r="H82">
        <f>+_xlfn.XLOOKUP(CURVA[[#This Row],[Fecha]],AV_PLAN[Días],AV_PLAN[FECHA TERMINO REAL],"",0)</f>
        <v>1</v>
      </c>
      <c r="I82" s="13">
        <v>4.5074954835880657E-2</v>
      </c>
      <c r="J82">
        <f>+DAY(CURVA[[#This Row],[Fecha]])</f>
        <v>8</v>
      </c>
      <c r="K82" t="str">
        <f>+TEXT(CURVA[[#This Row],[Fecha]],"MMMM")</f>
        <v>mayo</v>
      </c>
      <c r="L82">
        <f>+YEAR(CURVA[[#This Row],[Fecha]])</f>
        <v>2026</v>
      </c>
      <c r="M82" s="70">
        <f>CURVA[[#This Row],[% AVANCE REAL]]*MAX(CURVA[M2 Avance Programado])</f>
        <v>955.73663327470285</v>
      </c>
      <c r="N82" s="69">
        <f>IF(CURVA[[#This Row],[% AVANCE REAL]]="",0,M82-M81)</f>
        <v>42.047733106319583</v>
      </c>
    </row>
    <row r="83" spans="1:14" x14ac:dyDescent="0.25">
      <c r="A83" s="1">
        <v>46151</v>
      </c>
      <c r="B83" s="7">
        <v>6.7058255705189113E-2</v>
      </c>
      <c r="C83" s="7">
        <v>1.5078103310787044E-3</v>
      </c>
      <c r="D83">
        <v>40</v>
      </c>
      <c r="E83" s="66">
        <v>1421.8545925182941</v>
      </c>
      <c r="F83" s="66">
        <v>31.970516103431638</v>
      </c>
      <c r="G83">
        <f>+_xlfn.XLOOKUP(CURVA[[#This Row],[Fecha]],AV_PLAN[Días],AV_PLAN[INICIO REAL],"",0)</f>
        <v>0</v>
      </c>
      <c r="H83">
        <f>+_xlfn.XLOOKUP(CURVA[[#This Row],[Fecha]],AV_PLAN[Días],AV_PLAN[FECHA TERMINO REAL],"",0)</f>
        <v>0</v>
      </c>
      <c r="I83" s="13">
        <v>4.6588718006081796E-2</v>
      </c>
      <c r="J83">
        <f>+DAY(CURVA[[#This Row],[Fecha]])</f>
        <v>9</v>
      </c>
      <c r="K83" t="str">
        <f>+TEXT(CURVA[[#This Row],[Fecha]],"MMMM")</f>
        <v>mayo</v>
      </c>
      <c r="L83">
        <f>+YEAR(CURVA[[#This Row],[Fecha]])</f>
        <v>2026</v>
      </c>
      <c r="M83" s="69">
        <f>CURVA[[#This Row],[% AVANCE REAL]]*MAX(CURVA[M2 Avance Programado])</f>
        <v>987.83336905915291</v>
      </c>
      <c r="N83" s="69">
        <f>IF(CURVA[[#This Row],[% AVANCE REAL]]="",0,M83-M82)</f>
        <v>32.096735784450061</v>
      </c>
    </row>
    <row r="84" spans="1:14" x14ac:dyDescent="0.25">
      <c r="A84" s="1">
        <v>46152</v>
      </c>
      <c r="B84" s="7">
        <v>6.8566066036267789E-2</v>
      </c>
      <c r="C84" s="7">
        <v>1.5078103310786767E-3</v>
      </c>
      <c r="D84">
        <v>40</v>
      </c>
      <c r="E84" s="66">
        <v>1453.8251086217249</v>
      </c>
      <c r="F84" s="66">
        <v>31.970516103431049</v>
      </c>
      <c r="G84">
        <f>+_xlfn.XLOOKUP(CURVA[[#This Row],[Fecha]],AV_PLAN[Días],AV_PLAN[INICIO REAL],"",0)</f>
        <v>0</v>
      </c>
      <c r="H84">
        <f>+_xlfn.XLOOKUP(CURVA[[#This Row],[Fecha]],AV_PLAN[Días],AV_PLAN[FECHA TERMINO REAL],"",0)</f>
        <v>0</v>
      </c>
      <c r="I84" s="13">
        <v>4.8102481176282949E-2</v>
      </c>
      <c r="J84">
        <f>+DAY(CURVA[[#This Row],[Fecha]])</f>
        <v>10</v>
      </c>
      <c r="K84" t="str">
        <f>+TEXT(CURVA[[#This Row],[Fecha]],"MMMM")</f>
        <v>mayo</v>
      </c>
      <c r="L84">
        <f>+YEAR(CURVA[[#This Row],[Fecha]])</f>
        <v>2026</v>
      </c>
      <c r="M84" s="70">
        <f>CURVA[[#This Row],[% AVANCE REAL]]*MAX(CURVA[M2 Avance Programado])</f>
        <v>1019.9301048436032</v>
      </c>
      <c r="N84" s="69">
        <f>IF(CURVA[[#This Row],[% AVANCE REAL]]="",0,M84-M83)</f>
        <v>32.096735784450289</v>
      </c>
    </row>
    <row r="85" spans="1:14" x14ac:dyDescent="0.25">
      <c r="A85" s="1">
        <v>46153</v>
      </c>
      <c r="B85" s="7">
        <v>7.007387636734648E-2</v>
      </c>
      <c r="C85" s="7">
        <v>1.5078103310786906E-3</v>
      </c>
      <c r="D85">
        <v>42</v>
      </c>
      <c r="E85" s="66">
        <v>1485.7956247251564</v>
      </c>
      <c r="F85" s="66">
        <v>31.970516103431343</v>
      </c>
      <c r="G85">
        <f>+_xlfn.XLOOKUP(CURVA[[#This Row],[Fecha]],AV_PLAN[Días],AV_PLAN[INICIO REAL],"",0)</f>
        <v>1</v>
      </c>
      <c r="H85">
        <f>+_xlfn.XLOOKUP(CURVA[[#This Row],[Fecha]],AV_PLAN[Días],AV_PLAN[FECHA TERMINO REAL],"",0)</f>
        <v>1</v>
      </c>
      <c r="I85" s="13">
        <v>5.0016885372125092E-2</v>
      </c>
      <c r="J85">
        <f>+DAY(CURVA[[#This Row],[Fecha]])</f>
        <v>11</v>
      </c>
      <c r="K85" t="str">
        <f>+TEXT(CURVA[[#This Row],[Fecha]],"MMMM")</f>
        <v>mayo</v>
      </c>
      <c r="L85">
        <f>+YEAR(CURVA[[#This Row],[Fecha]])</f>
        <v>2026</v>
      </c>
      <c r="M85" s="69">
        <f>CURVA[[#This Row],[% AVANCE REAL]]*MAX(CURVA[M2 Avance Programado])</f>
        <v>1060.5217422068131</v>
      </c>
      <c r="N85" s="69">
        <f>IF(CURVA[[#This Row],[% AVANCE REAL]]="",0,M85-M84)</f>
        <v>40.591637363209884</v>
      </c>
    </row>
    <row r="86" spans="1:14" x14ac:dyDescent="0.25">
      <c r="A86" s="1">
        <v>46154</v>
      </c>
      <c r="B86" s="7">
        <v>7.1611538600418828E-2</v>
      </c>
      <c r="C86" s="7">
        <v>1.5376622330723483E-3</v>
      </c>
      <c r="D86">
        <v>42</v>
      </c>
      <c r="E86" s="66">
        <v>1518.3990988961475</v>
      </c>
      <c r="F86" s="66">
        <v>32.603474170991156</v>
      </c>
      <c r="G86">
        <f>+_xlfn.XLOOKUP(CURVA[[#This Row],[Fecha]],AV_PLAN[Días],AV_PLAN[INICIO REAL],"",0)</f>
        <v>2</v>
      </c>
      <c r="H86">
        <f>+_xlfn.XLOOKUP(CURVA[[#This Row],[Fecha]],AV_PLAN[Días],AV_PLAN[FECHA TERMINO REAL],"",0)</f>
        <v>0</v>
      </c>
      <c r="I86" s="13">
        <v>5.1568287276697954E-2</v>
      </c>
      <c r="J86">
        <f>+DAY(CURVA[[#This Row],[Fecha]])</f>
        <v>12</v>
      </c>
      <c r="K86" t="str">
        <f>+TEXT(CURVA[[#This Row],[Fecha]],"MMMM")</f>
        <v>mayo</v>
      </c>
      <c r="L86">
        <f>+YEAR(CURVA[[#This Row],[Fecha]])</f>
        <v>2026</v>
      </c>
      <c r="M86" s="70">
        <f>CURVA[[#This Row],[% AVANCE REAL]]*MAX(CURVA[M2 Avance Programado])</f>
        <v>1093.4165424019791</v>
      </c>
      <c r="N86" s="69">
        <f>IF(CURVA[[#This Row],[% AVANCE REAL]]="",0,M86-M85)</f>
        <v>32.894800195165999</v>
      </c>
    </row>
    <row r="87" spans="1:14" x14ac:dyDescent="0.25">
      <c r="A87" s="1">
        <v>46155</v>
      </c>
      <c r="B87" s="7">
        <v>7.320131443985417E-2</v>
      </c>
      <c r="C87" s="7">
        <v>1.5897758394353423E-3</v>
      </c>
      <c r="D87">
        <v>42</v>
      </c>
      <c r="E87" s="66">
        <v>1552.1075521597304</v>
      </c>
      <c r="F87" s="66">
        <v>33.708453263583031</v>
      </c>
      <c r="G87">
        <f>+_xlfn.XLOOKUP(CURVA[[#This Row],[Fecha]],AV_PLAN[Días],AV_PLAN[INICIO REAL],"",0)</f>
        <v>0</v>
      </c>
      <c r="H87">
        <f>+_xlfn.XLOOKUP(CURVA[[#This Row],[Fecha]],AV_PLAN[Días],AV_PLAN[FECHA TERMINO REAL],"",0)</f>
        <v>0</v>
      </c>
      <c r="I87" s="13">
        <v>5.3218106389062964E-2</v>
      </c>
      <c r="J87">
        <f>+DAY(CURVA[[#This Row],[Fecha]])</f>
        <v>13</v>
      </c>
      <c r="K87" t="str">
        <f>+TEXT(CURVA[[#This Row],[Fecha]],"MMMM")</f>
        <v>mayo</v>
      </c>
      <c r="L87">
        <f>+YEAR(CURVA[[#This Row],[Fecha]])</f>
        <v>2026</v>
      </c>
      <c r="M87" s="69">
        <f>CURVA[[#This Row],[% AVANCE REAL]]*MAX(CURVA[M2 Avance Programado])</f>
        <v>1128.3981096537966</v>
      </c>
      <c r="N87" s="69">
        <f>IF(CURVA[[#This Row],[% AVANCE REAL]]="",0,M87-M86)</f>
        <v>34.981567251817523</v>
      </c>
    </row>
    <row r="88" spans="1:14" x14ac:dyDescent="0.25">
      <c r="A88" s="1">
        <v>46156</v>
      </c>
      <c r="B88" s="7">
        <v>7.4822125893404368E-2</v>
      </c>
      <c r="C88" s="7">
        <v>1.6208114535501972E-3</v>
      </c>
      <c r="D88">
        <v>42</v>
      </c>
      <c r="E88" s="66">
        <v>1586.4740620637192</v>
      </c>
      <c r="F88" s="66">
        <v>34.366509903988863</v>
      </c>
      <c r="G88">
        <f>+_xlfn.XLOOKUP(CURVA[[#This Row],[Fecha]],AV_PLAN[Días],AV_PLAN[INICIO REAL],"",0)</f>
        <v>3</v>
      </c>
      <c r="H88">
        <f>+_xlfn.XLOOKUP(CURVA[[#This Row],[Fecha]],AV_PLAN[Días],AV_PLAN[FECHA TERMINO REAL],"",0)</f>
        <v>8</v>
      </c>
      <c r="I88" s="13">
        <v>5.7303605442243451E-2</v>
      </c>
      <c r="J88">
        <f>+DAY(CURVA[[#This Row],[Fecha]])</f>
        <v>14</v>
      </c>
      <c r="K88" t="str">
        <f>+TEXT(CURVA[[#This Row],[Fecha]],"MMMM")</f>
        <v>mayo</v>
      </c>
      <c r="L88">
        <f>+YEAR(CURVA[[#This Row],[Fecha]])</f>
        <v>2026</v>
      </c>
      <c r="M88" s="70">
        <f>CURVA[[#This Row],[% AVANCE REAL]]*MAX(CURVA[M2 Avance Programado])</f>
        <v>1215.0240668965871</v>
      </c>
      <c r="N88" s="69">
        <f>IF(CURVA[[#This Row],[% AVANCE REAL]]="",0,M88-M87)</f>
        <v>86.625957242790491</v>
      </c>
    </row>
    <row r="89" spans="1:14" x14ac:dyDescent="0.25">
      <c r="A89" s="1">
        <v>46157</v>
      </c>
      <c r="B89" s="7">
        <v>7.6461256238628761E-2</v>
      </c>
      <c r="C89" s="7">
        <v>1.6391303452243933E-3</v>
      </c>
      <c r="D89">
        <v>42</v>
      </c>
      <c r="E89" s="66">
        <v>1621.2289924534916</v>
      </c>
      <c r="F89" s="66">
        <v>34.754930389772319</v>
      </c>
      <c r="G89">
        <f>+_xlfn.XLOOKUP(CURVA[[#This Row],[Fecha]],AV_PLAN[Días],AV_PLAN[INICIO REAL],"",0)</f>
        <v>0</v>
      </c>
      <c r="H89">
        <f>+_xlfn.XLOOKUP(CURVA[[#This Row],[Fecha]],AV_PLAN[Días],AV_PLAN[FECHA TERMINO REAL],"",0)</f>
        <v>2</v>
      </c>
      <c r="I89" s="13">
        <v>5.9529234460973961E-2</v>
      </c>
      <c r="J89">
        <f>+DAY(CURVA[[#This Row],[Fecha]])</f>
        <v>15</v>
      </c>
      <c r="K89" t="str">
        <f>+TEXT(CURVA[[#This Row],[Fecha]],"MMMM")</f>
        <v>mayo</v>
      </c>
      <c r="L89">
        <f>+YEAR(CURVA[[#This Row],[Fecha]])</f>
        <v>2026</v>
      </c>
      <c r="M89" s="69">
        <f>CURVA[[#This Row],[% AVANCE REAL]]*MAX(CURVA[M2 Avance Programado])</f>
        <v>1262.2146895610992</v>
      </c>
      <c r="N89" s="69">
        <f>IF(CURVA[[#This Row],[% AVANCE REAL]]="",0,M89-M88)</f>
        <v>47.190622664512148</v>
      </c>
    </row>
    <row r="90" spans="1:14" x14ac:dyDescent="0.25">
      <c r="A90" s="1">
        <v>46158</v>
      </c>
      <c r="B90" s="7">
        <v>7.8113307690524172E-2</v>
      </c>
      <c r="C90" s="7">
        <v>1.6520514518954116E-3</v>
      </c>
      <c r="D90">
        <v>40</v>
      </c>
      <c r="E90" s="66">
        <v>1656.2578926127935</v>
      </c>
      <c r="F90" s="66">
        <v>35.028900159301898</v>
      </c>
      <c r="G90">
        <f>+_xlfn.XLOOKUP(CURVA[[#This Row],[Fecha]],AV_PLAN[Días],AV_PLAN[INICIO REAL],"",0)</f>
        <v>3</v>
      </c>
      <c r="H90">
        <f>+_xlfn.XLOOKUP(CURVA[[#This Row],[Fecha]],AV_PLAN[Días],AV_PLAN[FECHA TERMINO REAL],"",0)</f>
        <v>0</v>
      </c>
      <c r="I90" s="13">
        <v>6.1186148834354186E-2</v>
      </c>
      <c r="J90">
        <f>+DAY(CURVA[[#This Row],[Fecha]])</f>
        <v>16</v>
      </c>
      <c r="K90" t="str">
        <f>+TEXT(CURVA[[#This Row],[Fecha]],"MMMM")</f>
        <v>mayo</v>
      </c>
      <c r="L90">
        <f>+YEAR(CURVA[[#This Row],[Fecha]])</f>
        <v>2026</v>
      </c>
      <c r="M90" s="70">
        <f>CURVA[[#This Row],[% AVANCE REAL]]*MAX(CURVA[M2 Avance Programado])</f>
        <v>1297.3466995787405</v>
      </c>
      <c r="N90" s="69">
        <f>IF(CURVA[[#This Row],[% AVANCE REAL]]="",0,M90-M89)</f>
        <v>35.132010017641278</v>
      </c>
    </row>
    <row r="91" spans="1:14" x14ac:dyDescent="0.25">
      <c r="A91" s="1">
        <v>46159</v>
      </c>
      <c r="B91" s="7">
        <v>7.976535914241964E-2</v>
      </c>
      <c r="C91" s="7">
        <v>1.6520514518954671E-3</v>
      </c>
      <c r="D91">
        <v>40</v>
      </c>
      <c r="E91" s="66">
        <v>1691.2867927720963</v>
      </c>
      <c r="F91" s="66">
        <v>35.02890015930307</v>
      </c>
      <c r="G91">
        <f>+_xlfn.XLOOKUP(CURVA[[#This Row],[Fecha]],AV_PLAN[Días],AV_PLAN[INICIO REAL],"",0)</f>
        <v>0</v>
      </c>
      <c r="H91">
        <f>+_xlfn.XLOOKUP(CURVA[[#This Row],[Fecha]],AV_PLAN[Días],AV_PLAN[FECHA TERMINO REAL],"",0)</f>
        <v>0</v>
      </c>
      <c r="I91" s="13">
        <v>6.2975917485809302E-2</v>
      </c>
      <c r="J91">
        <f>+DAY(CURVA[[#This Row],[Fecha]])</f>
        <v>17</v>
      </c>
      <c r="K91" t="str">
        <f>+TEXT(CURVA[[#This Row],[Fecha]],"MMMM")</f>
        <v>mayo</v>
      </c>
      <c r="L91">
        <f>+YEAR(CURVA[[#This Row],[Fecha]])</f>
        <v>2026</v>
      </c>
      <c r="M91" s="69">
        <f>CURVA[[#This Row],[% AVANCE REAL]]*MAX(CURVA[M2 Avance Programado])</f>
        <v>1335.2956553017241</v>
      </c>
      <c r="N91" s="69">
        <f>IF(CURVA[[#This Row],[% AVANCE REAL]]="",0,M91-M90)</f>
        <v>37.948955722983555</v>
      </c>
    </row>
    <row r="92" spans="1:14" x14ac:dyDescent="0.25">
      <c r="A92" s="1">
        <v>46160</v>
      </c>
      <c r="B92" s="7">
        <v>8.1417410594315065E-2</v>
      </c>
      <c r="C92" s="7">
        <v>1.6520514518954255E-3</v>
      </c>
      <c r="D92">
        <v>42</v>
      </c>
      <c r="E92" s="66">
        <v>1726.3156929313989</v>
      </c>
      <c r="F92" s="66">
        <v>35.028900159302189</v>
      </c>
      <c r="G92">
        <f>+_xlfn.XLOOKUP(CURVA[[#This Row],[Fecha]],AV_PLAN[Días],AV_PLAN[INICIO REAL],"",0)</f>
        <v>1</v>
      </c>
      <c r="H92">
        <f>+_xlfn.XLOOKUP(CURVA[[#This Row],[Fecha]],AV_PLAN[Días],AV_PLAN[FECHA TERMINO REAL],"",0)</f>
        <v>2</v>
      </c>
      <c r="I92" s="13">
        <v>6.5254929382409316E-2</v>
      </c>
      <c r="J92">
        <f>+DAY(CURVA[[#This Row],[Fecha]])</f>
        <v>18</v>
      </c>
      <c r="K92" t="str">
        <f>+TEXT(CURVA[[#This Row],[Fecha]],"MMMM")</f>
        <v>mayo</v>
      </c>
      <c r="L92">
        <f>+YEAR(CURVA[[#This Row],[Fecha]])</f>
        <v>2026</v>
      </c>
      <c r="M92" s="70">
        <f>CURVA[[#This Row],[% AVANCE REAL]]*MAX(CURVA[M2 Avance Programado])</f>
        <v>1383.6181697707934</v>
      </c>
      <c r="N92" s="69">
        <f>IF(CURVA[[#This Row],[% AVANCE REAL]]="",0,M92-M91)</f>
        <v>48.322514469069347</v>
      </c>
    </row>
    <row r="93" spans="1:14" x14ac:dyDescent="0.25">
      <c r="A93" s="1">
        <v>46161</v>
      </c>
      <c r="B93" s="7">
        <v>8.3086770657269132E-2</v>
      </c>
      <c r="C93" s="7">
        <v>1.6693600629540672E-3</v>
      </c>
      <c r="D93">
        <v>42</v>
      </c>
      <c r="E93" s="66">
        <v>1761.7115923194319</v>
      </c>
      <c r="F93" s="66">
        <v>35.395899388033072</v>
      </c>
      <c r="G93">
        <f>+_xlfn.XLOOKUP(CURVA[[#This Row],[Fecha]],AV_PLAN[Días],AV_PLAN[INICIO REAL],"",0)</f>
        <v>1</v>
      </c>
      <c r="H93">
        <f>+_xlfn.XLOOKUP(CURVA[[#This Row],[Fecha]],AV_PLAN[Días],AV_PLAN[FECHA TERMINO REAL],"",0)</f>
        <v>1</v>
      </c>
      <c r="I93" s="13">
        <v>6.7271867171056779E-2</v>
      </c>
      <c r="J93">
        <f>+DAY(CURVA[[#This Row],[Fecha]])</f>
        <v>19</v>
      </c>
      <c r="K93" t="str">
        <f>+TEXT(CURVA[[#This Row],[Fecha]],"MMMM")</f>
        <v>mayo</v>
      </c>
      <c r="L93">
        <f>+YEAR(CURVA[[#This Row],[Fecha]])</f>
        <v>2026</v>
      </c>
      <c r="M93" s="69">
        <f>CURVA[[#This Row],[% AVANCE REAL]]*MAX(CURVA[M2 Avance Programado])</f>
        <v>1426.3838550313806</v>
      </c>
      <c r="N93" s="69">
        <f>IF(CURVA[[#This Row],[% AVANCE REAL]]="",0,M93-M92)</f>
        <v>42.765685260587134</v>
      </c>
    </row>
    <row r="94" spans="1:14" x14ac:dyDescent="0.25">
      <c r="A94" s="1">
        <v>46162</v>
      </c>
      <c r="B94" s="7">
        <v>8.4782579965422461E-2</v>
      </c>
      <c r="C94" s="7">
        <v>1.6958093081533288E-3</v>
      </c>
      <c r="D94">
        <v>42</v>
      </c>
      <c r="E94" s="66">
        <v>1797.6683023095263</v>
      </c>
      <c r="F94" s="66">
        <v>35.956709990094446</v>
      </c>
      <c r="G94">
        <f>+_xlfn.XLOOKUP(CURVA[[#This Row],[Fecha]],AV_PLAN[Días],AV_PLAN[INICIO REAL],"",0)</f>
        <v>1</v>
      </c>
      <c r="H94">
        <f>+_xlfn.XLOOKUP(CURVA[[#This Row],[Fecha]],AV_PLAN[Días],AV_PLAN[FECHA TERMINO REAL],"",0)</f>
        <v>2</v>
      </c>
      <c r="I94" s="13">
        <v>6.95818690016511E-2</v>
      </c>
      <c r="J94">
        <f>+DAY(CURVA[[#This Row],[Fecha]])</f>
        <v>20</v>
      </c>
      <c r="K94" t="str">
        <f>+TEXT(CURVA[[#This Row],[Fecha]],"MMMM")</f>
        <v>mayo</v>
      </c>
      <c r="L94">
        <f>+YEAR(CURVA[[#This Row],[Fecha]])</f>
        <v>2026</v>
      </c>
      <c r="M94" s="70">
        <f>CURVA[[#This Row],[% AVANCE REAL]]*MAX(CURVA[M2 Avance Programado])</f>
        <v>1475.3634575727278</v>
      </c>
      <c r="N94" s="69">
        <f>IF(CURVA[[#This Row],[% AVANCE REAL]]="",0,M94-M93)</f>
        <v>48.979602541347276</v>
      </c>
    </row>
    <row r="95" spans="1:14" x14ac:dyDescent="0.25">
      <c r="A95" s="1">
        <v>46163</v>
      </c>
      <c r="B95" s="7">
        <v>8.6492054751505634E-2</v>
      </c>
      <c r="C95" s="7">
        <v>1.7094747860831733E-3</v>
      </c>
      <c r="D95">
        <v>40</v>
      </c>
      <c r="E95" s="66">
        <v>1833.9147651771625</v>
      </c>
      <c r="F95" s="66">
        <v>36.246462867636161</v>
      </c>
      <c r="G95">
        <f>+_xlfn.XLOOKUP(CURVA[[#This Row],[Fecha]],AV_PLAN[Días],AV_PLAN[INICIO REAL],"",0)</f>
        <v>0</v>
      </c>
      <c r="H95">
        <f>+_xlfn.XLOOKUP(CURVA[[#This Row],[Fecha]],AV_PLAN[Días],AV_PLAN[FECHA TERMINO REAL],"",0)</f>
        <v>0</v>
      </c>
      <c r="I95" s="13">
        <v>7.1414185896628971E-2</v>
      </c>
      <c r="J95">
        <f>+DAY(CURVA[[#This Row],[Fecha]])</f>
        <v>21</v>
      </c>
      <c r="K95" t="str">
        <f>+TEXT(CURVA[[#This Row],[Fecha]],"MMMM")</f>
        <v>mayo</v>
      </c>
      <c r="L95">
        <f>+YEAR(CURVA[[#This Row],[Fecha]])</f>
        <v>2026</v>
      </c>
      <c r="M95" s="69">
        <f>CURVA[[#This Row],[% AVANCE REAL]]*MAX(CURVA[M2 Avance Programado])</f>
        <v>1514.2145753758343</v>
      </c>
      <c r="N95" s="69">
        <f>IF(CURVA[[#This Row],[% AVANCE REAL]]="",0,M95-M94)</f>
        <v>38.85111780310649</v>
      </c>
    </row>
    <row r="96" spans="1:14" x14ac:dyDescent="0.25">
      <c r="A96" s="1">
        <v>46164</v>
      </c>
      <c r="B96" s="7">
        <v>8.8201529537588752E-2</v>
      </c>
      <c r="C96" s="7">
        <v>1.7094747860831178E-3</v>
      </c>
      <c r="D96">
        <v>42</v>
      </c>
      <c r="E96" s="66">
        <v>1870.1612280447976</v>
      </c>
      <c r="F96" s="66">
        <v>36.246462867634982</v>
      </c>
      <c r="G96">
        <f>+_xlfn.XLOOKUP(CURVA[[#This Row],[Fecha]],AV_PLAN[Días],AV_PLAN[INICIO REAL],"",0)</f>
        <v>0</v>
      </c>
      <c r="H96">
        <f>+_xlfn.XLOOKUP(CURVA[[#This Row],[Fecha]],AV_PLAN[Días],AV_PLAN[FECHA TERMINO REAL],"",0)</f>
        <v>0</v>
      </c>
      <c r="I96" s="13">
        <v>7.3246502791606868E-2</v>
      </c>
      <c r="J96">
        <f>+DAY(CURVA[[#This Row],[Fecha]])</f>
        <v>22</v>
      </c>
      <c r="K96" t="str">
        <f>+TEXT(CURVA[[#This Row],[Fecha]],"MMMM")</f>
        <v>mayo</v>
      </c>
      <c r="L96">
        <f>+YEAR(CURVA[[#This Row],[Fecha]])</f>
        <v>2026</v>
      </c>
      <c r="M96" s="70">
        <f>CURVA[[#This Row],[% AVANCE REAL]]*MAX(CURVA[M2 Avance Programado])</f>
        <v>1553.0656931789415</v>
      </c>
      <c r="N96" s="69">
        <f>IF(CURVA[[#This Row],[% AVANCE REAL]]="",0,M96-M95)</f>
        <v>38.851117803107172</v>
      </c>
    </row>
    <row r="97" spans="1:14" x14ac:dyDescent="0.25">
      <c r="A97" s="1">
        <v>46165</v>
      </c>
      <c r="B97" s="7">
        <v>8.9928312934730525E-2</v>
      </c>
      <c r="C97" s="7">
        <v>1.7267833971417734E-3</v>
      </c>
      <c r="D97">
        <v>40</v>
      </c>
      <c r="E97" s="66">
        <v>1906.7746901411635</v>
      </c>
      <c r="F97" s="66">
        <v>36.613462096366163</v>
      </c>
      <c r="G97">
        <f>+_xlfn.XLOOKUP(CURVA[[#This Row],[Fecha]],AV_PLAN[Días],AV_PLAN[INICIO REAL],"",0)</f>
        <v>0</v>
      </c>
      <c r="H97">
        <f>+_xlfn.XLOOKUP(CURVA[[#This Row],[Fecha]],AV_PLAN[Días],AV_PLAN[FECHA TERMINO REAL],"",0)</f>
        <v>0</v>
      </c>
      <c r="I97" s="13">
        <v>7.5078819686584752E-2</v>
      </c>
      <c r="J97">
        <f>+DAY(CURVA[[#This Row],[Fecha]])</f>
        <v>23</v>
      </c>
      <c r="K97" t="str">
        <f>+TEXT(CURVA[[#This Row],[Fecha]],"MMMM")</f>
        <v>mayo</v>
      </c>
      <c r="L97">
        <f>+YEAR(CURVA[[#This Row],[Fecha]])</f>
        <v>2026</v>
      </c>
      <c r="M97" s="69">
        <f>CURVA[[#This Row],[% AVANCE REAL]]*MAX(CURVA[M2 Avance Programado])</f>
        <v>1591.9168109820484</v>
      </c>
      <c r="N97" s="69">
        <f>IF(CURVA[[#This Row],[% AVANCE REAL]]="",0,M97-M96)</f>
        <v>38.851117803106945</v>
      </c>
    </row>
    <row r="98" spans="1:14" x14ac:dyDescent="0.25">
      <c r="A98" s="1">
        <v>46166</v>
      </c>
      <c r="B98" s="7">
        <v>9.1655096331872257E-2</v>
      </c>
      <c r="C98" s="7">
        <v>1.7267833971417318E-3</v>
      </c>
      <c r="D98">
        <v>40</v>
      </c>
      <c r="E98" s="66">
        <v>1943.3881522375289</v>
      </c>
      <c r="F98" s="66">
        <v>36.613462096365275</v>
      </c>
      <c r="G98">
        <f>+_xlfn.XLOOKUP(CURVA[[#This Row],[Fecha]],AV_PLAN[Días],AV_PLAN[INICIO REAL],"",0)</f>
        <v>0</v>
      </c>
      <c r="H98">
        <f>+_xlfn.XLOOKUP(CURVA[[#This Row],[Fecha]],AV_PLAN[Días],AV_PLAN[FECHA TERMINO REAL],"",0)</f>
        <v>0</v>
      </c>
      <c r="I98" s="13">
        <v>7.6911136581562636E-2</v>
      </c>
      <c r="J98">
        <f>+DAY(CURVA[[#This Row],[Fecha]])</f>
        <v>24</v>
      </c>
      <c r="K98" t="str">
        <f>+TEXT(CURVA[[#This Row],[Fecha]],"MMMM")</f>
        <v>mayo</v>
      </c>
      <c r="L98">
        <f>+YEAR(CURVA[[#This Row],[Fecha]])</f>
        <v>2026</v>
      </c>
      <c r="M98" s="70">
        <f>CURVA[[#This Row],[% AVANCE REAL]]*MAX(CURVA[M2 Avance Programado])</f>
        <v>1630.7679287851552</v>
      </c>
      <c r="N98" s="69">
        <f>IF(CURVA[[#This Row],[% AVANCE REAL]]="",0,M98-M97)</f>
        <v>38.851117803106717</v>
      </c>
    </row>
    <row r="99" spans="1:14" x14ac:dyDescent="0.25">
      <c r="A99" s="1">
        <v>46167</v>
      </c>
      <c r="B99" s="7">
        <v>9.3381879729014003E-2</v>
      </c>
      <c r="C99" s="7">
        <v>1.7267833971417457E-3</v>
      </c>
      <c r="D99">
        <v>42</v>
      </c>
      <c r="E99" s="66">
        <v>1980.0016143338944</v>
      </c>
      <c r="F99" s="66">
        <v>36.613462096365573</v>
      </c>
      <c r="G99">
        <f>+_xlfn.XLOOKUP(CURVA[[#This Row],[Fecha]],AV_PLAN[Días],AV_PLAN[INICIO REAL],"",0)</f>
        <v>1</v>
      </c>
      <c r="H99">
        <f>+_xlfn.XLOOKUP(CURVA[[#This Row],[Fecha]],AV_PLAN[Días],AV_PLAN[FECHA TERMINO REAL],"",0)</f>
        <v>0</v>
      </c>
      <c r="I99" s="13">
        <v>7.874345347654052E-2</v>
      </c>
      <c r="J99">
        <f>+DAY(CURVA[[#This Row],[Fecha]])</f>
        <v>25</v>
      </c>
      <c r="K99" t="str">
        <f>+TEXT(CURVA[[#This Row],[Fecha]],"MMMM")</f>
        <v>mayo</v>
      </c>
      <c r="L99">
        <f>+YEAR(CURVA[[#This Row],[Fecha]])</f>
        <v>2026</v>
      </c>
      <c r="M99" s="69">
        <f>CURVA[[#This Row],[% AVANCE REAL]]*MAX(CURVA[M2 Avance Programado])</f>
        <v>1669.6190465882621</v>
      </c>
      <c r="N99" s="69">
        <f>IF(CURVA[[#This Row],[% AVANCE REAL]]="",0,M99-M98)</f>
        <v>38.851117803106945</v>
      </c>
    </row>
    <row r="100" spans="1:14" x14ac:dyDescent="0.25">
      <c r="A100" s="1">
        <v>46168</v>
      </c>
      <c r="B100" s="7">
        <v>9.5127523415595328E-2</v>
      </c>
      <c r="C100" s="7">
        <v>1.7456436865813246E-3</v>
      </c>
      <c r="D100">
        <v>42</v>
      </c>
      <c r="E100" s="66">
        <v>2017.0149763213903</v>
      </c>
      <c r="F100" s="66">
        <v>37.01336198749582</v>
      </c>
      <c r="G100">
        <f>+_xlfn.XLOOKUP(CURVA[[#This Row],[Fecha]],AV_PLAN[Días],AV_PLAN[INICIO REAL],"",0)</f>
        <v>2</v>
      </c>
      <c r="H100">
        <f>+_xlfn.XLOOKUP(CURVA[[#This Row],[Fecha]],AV_PLAN[Días],AV_PLAN[FECHA TERMINO REAL],"",0)</f>
        <v>0</v>
      </c>
      <c r="I100" s="13">
        <v>8.0645017530609306E-2</v>
      </c>
      <c r="J100">
        <f>+DAY(CURVA[[#This Row],[Fecha]])</f>
        <v>26</v>
      </c>
      <c r="K100" t="str">
        <f>+TEXT(CURVA[[#This Row],[Fecha]],"MMMM")</f>
        <v>mayo</v>
      </c>
      <c r="L100">
        <f>+YEAR(CURVA[[#This Row],[Fecha]])</f>
        <v>2026</v>
      </c>
      <c r="M100" s="70">
        <f>CURVA[[#This Row],[% AVANCE REAL]]*MAX(CURVA[M2 Avance Programado])</f>
        <v>1709.9384309028794</v>
      </c>
      <c r="N100" s="69">
        <f>IF(CURVA[[#This Row],[% AVANCE REAL]]="",0,M100-M99)</f>
        <v>40.319384314617309</v>
      </c>
    </row>
    <row r="101" spans="1:14" x14ac:dyDescent="0.25">
      <c r="A101" s="1">
        <v>46169</v>
      </c>
      <c r="B101" s="7">
        <v>9.6898791460880263E-2</v>
      </c>
      <c r="C101" s="7">
        <v>1.771268045284935E-3</v>
      </c>
      <c r="D101">
        <v>42</v>
      </c>
      <c r="E101" s="66">
        <v>2054.5716586162803</v>
      </c>
      <c r="F101" s="66">
        <v>37.556682294890059</v>
      </c>
      <c r="G101">
        <f>+_xlfn.XLOOKUP(CURVA[[#This Row],[Fecha]],AV_PLAN[Días],AV_PLAN[INICIO REAL],"",0)</f>
        <v>1</v>
      </c>
      <c r="H101">
        <f>+_xlfn.XLOOKUP(CURVA[[#This Row],[Fecha]],AV_PLAN[Días],AV_PLAN[FECHA TERMINO REAL],"",0)</f>
        <v>4</v>
      </c>
      <c r="I101" s="13">
        <v>8.3187253930193689E-2</v>
      </c>
      <c r="J101">
        <f>+DAY(CURVA[[#This Row],[Fecha]])</f>
        <v>27</v>
      </c>
      <c r="K101" t="str">
        <f>+TEXT(CURVA[[#This Row],[Fecha]],"MMMM")</f>
        <v>mayo</v>
      </c>
      <c r="L101">
        <f>+YEAR(CURVA[[#This Row],[Fecha]])</f>
        <v>2026</v>
      </c>
      <c r="M101" s="69">
        <f>CURVA[[#This Row],[% AVANCE REAL]]*MAX(CURVA[M2 Avance Programado])</f>
        <v>1763.8421667218909</v>
      </c>
      <c r="N101" s="69">
        <f>IF(CURVA[[#This Row],[% AVANCE REAL]]="",0,M101-M100)</f>
        <v>53.903735819011445</v>
      </c>
    </row>
    <row r="102" spans="1:14" x14ac:dyDescent="0.25">
      <c r="A102" s="1">
        <v>46170</v>
      </c>
      <c r="B102" s="7">
        <v>9.8680520951285711E-2</v>
      </c>
      <c r="C102" s="7">
        <v>1.7817294904054481E-3</v>
      </c>
      <c r="D102">
        <v>42</v>
      </c>
      <c r="E102" s="66">
        <v>2092.3501578020596</v>
      </c>
      <c r="F102" s="66">
        <v>37.778499185779282</v>
      </c>
      <c r="G102">
        <f>+_xlfn.XLOOKUP(CURVA[[#This Row],[Fecha]],AV_PLAN[Días],AV_PLAN[INICIO REAL],"",0)</f>
        <v>0</v>
      </c>
      <c r="H102">
        <f>+_xlfn.XLOOKUP(CURVA[[#This Row],[Fecha]],AV_PLAN[Días],AV_PLAN[FECHA TERMINO REAL],"",0)</f>
        <v>0</v>
      </c>
      <c r="I102" s="13">
        <v>8.5259027896373504E-2</v>
      </c>
      <c r="J102">
        <f>+DAY(CURVA[[#This Row],[Fecha]])</f>
        <v>28</v>
      </c>
      <c r="K102" t="str">
        <f>+TEXT(CURVA[[#This Row],[Fecha]],"MMMM")</f>
        <v>mayo</v>
      </c>
      <c r="L102">
        <f>+YEAR(CURVA[[#This Row],[Fecha]])</f>
        <v>2026</v>
      </c>
      <c r="M102" s="70">
        <f>CURVA[[#This Row],[% AVANCE REAL]]*MAX(CURVA[M2 Avance Programado])</f>
        <v>1807.7705584984856</v>
      </c>
      <c r="N102" s="69">
        <f>IF(CURVA[[#This Row],[% AVANCE REAL]]="",0,M102-M101)</f>
        <v>43.928391776594708</v>
      </c>
    </row>
    <row r="103" spans="1:14" x14ac:dyDescent="0.25">
      <c r="A103" s="1">
        <v>46171</v>
      </c>
      <c r="B103" s="7">
        <v>0.1004695348239756</v>
      </c>
      <c r="C103" s="7">
        <v>1.7890138726898847E-3</v>
      </c>
      <c r="D103">
        <v>42</v>
      </c>
      <c r="E103" s="66">
        <v>2130.2831097438175</v>
      </c>
      <c r="F103" s="66">
        <v>37.932951941757885</v>
      </c>
      <c r="G103">
        <f>+_xlfn.XLOOKUP(CURVA[[#This Row],[Fecha]],AV_PLAN[Días],AV_PLAN[INICIO REAL],"",0)</f>
        <v>6</v>
      </c>
      <c r="H103">
        <f>+_xlfn.XLOOKUP(CURVA[[#This Row],[Fecha]],AV_PLAN[Días],AV_PLAN[FECHA TERMINO REAL],"",0)</f>
        <v>0</v>
      </c>
      <c r="I103" s="13">
        <v>8.7330801862553362E-2</v>
      </c>
      <c r="J103">
        <f>+DAY(CURVA[[#This Row],[Fecha]])</f>
        <v>29</v>
      </c>
      <c r="K103" t="str">
        <f>+TEXT(CURVA[[#This Row],[Fecha]],"MMMM")</f>
        <v>mayo</v>
      </c>
      <c r="L103">
        <f>+YEAR(CURVA[[#This Row],[Fecha]])</f>
        <v>2026</v>
      </c>
      <c r="M103" s="69">
        <f>CURVA[[#This Row],[% AVANCE REAL]]*MAX(CURVA[M2 Avance Programado])</f>
        <v>1851.6989502750812</v>
      </c>
      <c r="N103" s="69">
        <f>IF(CURVA[[#This Row],[% AVANCE REAL]]="",0,M103-M102)</f>
        <v>43.928391776595618</v>
      </c>
    </row>
    <row r="104" spans="1:14" x14ac:dyDescent="0.25">
      <c r="A104" s="1">
        <v>46172</v>
      </c>
      <c r="B104" s="7">
        <v>0.10226090094511148</v>
      </c>
      <c r="C104" s="7">
        <v>1.7913661211358817E-3</v>
      </c>
      <c r="D104">
        <v>40</v>
      </c>
      <c r="E104" s="66">
        <v>2168.265937054693</v>
      </c>
      <c r="F104" s="66">
        <v>37.982827310875585</v>
      </c>
      <c r="G104">
        <f>+_xlfn.XLOOKUP(CURVA[[#This Row],[Fecha]],AV_PLAN[Días],AV_PLAN[INICIO REAL],"",0)</f>
        <v>0</v>
      </c>
      <c r="H104">
        <f>+_xlfn.XLOOKUP(CURVA[[#This Row],[Fecha]],AV_PLAN[Días],AV_PLAN[FECHA TERMINO REAL],"",0)</f>
        <v>0</v>
      </c>
      <c r="I104" s="13">
        <v>9.0041780374187724E-2</v>
      </c>
      <c r="J104">
        <f>+DAY(CURVA[[#This Row],[Fecha]])</f>
        <v>30</v>
      </c>
      <c r="K104" t="str">
        <f>+TEXT(CURVA[[#This Row],[Fecha]],"MMMM")</f>
        <v>mayo</v>
      </c>
      <c r="L104">
        <f>+YEAR(CURVA[[#This Row],[Fecha]])</f>
        <v>2026</v>
      </c>
      <c r="M104" s="70">
        <f>CURVA[[#This Row],[% AVANCE REAL]]*MAX(CURVA[M2 Avance Programado])</f>
        <v>1909.1805713886981</v>
      </c>
      <c r="N104" s="69">
        <f>IF(CURVA[[#This Row],[% AVANCE REAL]]="",0,M104-M103)</f>
        <v>57.481621113616939</v>
      </c>
    </row>
    <row r="105" spans="1:14" x14ac:dyDescent="0.25">
      <c r="A105" s="1">
        <v>46173</v>
      </c>
      <c r="B105" s="7">
        <v>0.10405226706624732</v>
      </c>
      <c r="C105" s="7">
        <v>1.79136612113584E-3</v>
      </c>
      <c r="D105">
        <v>40</v>
      </c>
      <c r="E105" s="66">
        <v>2206.2487643655677</v>
      </c>
      <c r="F105" s="66">
        <v>37.982827310874704</v>
      </c>
      <c r="G105">
        <f>+_xlfn.XLOOKUP(CURVA[[#This Row],[Fecha]],AV_PLAN[Días],AV_PLAN[INICIO REAL],"",0)</f>
        <v>0</v>
      </c>
      <c r="H105">
        <f>+_xlfn.XLOOKUP(CURVA[[#This Row],[Fecha]],AV_PLAN[Días],AV_PLAN[FECHA TERMINO REAL],"",0)</f>
        <v>0</v>
      </c>
      <c r="I105" s="13">
        <v>9.2752758885822087E-2</v>
      </c>
      <c r="J105">
        <f>+DAY(CURVA[[#This Row],[Fecha]])</f>
        <v>31</v>
      </c>
      <c r="K105" t="str">
        <f>+TEXT(CURVA[[#This Row],[Fecha]],"MMMM")</f>
        <v>mayo</v>
      </c>
      <c r="L105">
        <f>+YEAR(CURVA[[#This Row],[Fecha]])</f>
        <v>2026</v>
      </c>
      <c r="M105" s="69">
        <f>CURVA[[#This Row],[% AVANCE REAL]]*MAX(CURVA[M2 Avance Programado])</f>
        <v>1966.6621925023151</v>
      </c>
      <c r="N105" s="69">
        <f>IF(CURVA[[#This Row],[% AVANCE REAL]]="",0,M105-M104)</f>
        <v>57.481621113616939</v>
      </c>
    </row>
    <row r="106" spans="1:14" x14ac:dyDescent="0.25">
      <c r="A106" s="1">
        <v>46174</v>
      </c>
      <c r="B106" s="7">
        <v>0.10584363318738318</v>
      </c>
      <c r="C106" s="7">
        <v>1.7913661211358678E-3</v>
      </c>
      <c r="D106">
        <v>42</v>
      </c>
      <c r="E106" s="66">
        <v>2244.2315916764433</v>
      </c>
      <c r="F106" s="66">
        <v>37.982827310875294</v>
      </c>
      <c r="G106">
        <f>+_xlfn.XLOOKUP(CURVA[[#This Row],[Fecha]],AV_PLAN[Días],AV_PLAN[INICIO REAL],"",0)</f>
        <v>1</v>
      </c>
      <c r="H106">
        <f>+_xlfn.XLOOKUP(CURVA[[#This Row],[Fecha]],AV_PLAN[Días],AV_PLAN[FECHA TERMINO REAL],"",0)</f>
        <v>2</v>
      </c>
      <c r="I106" s="13">
        <v>9.5500575861022605E-2</v>
      </c>
      <c r="J106">
        <f>+DAY(CURVA[[#This Row],[Fecha]])</f>
        <v>1</v>
      </c>
      <c r="K106" t="str">
        <f>+TEXT(CURVA[[#This Row],[Fecha]],"MMMM")</f>
        <v>junio</v>
      </c>
      <c r="L106">
        <f>+YEAR(CURVA[[#This Row],[Fecha]])</f>
        <v>2026</v>
      </c>
      <c r="M106" s="70">
        <f>CURVA[[#This Row],[% AVANCE REAL]]*MAX(CURVA[M2 Avance Programado])</f>
        <v>2024.9249096652111</v>
      </c>
      <c r="N106" s="69">
        <f>IF(CURVA[[#This Row],[% AVANCE REAL]]="",0,M106-M105)</f>
        <v>58.262717162896024</v>
      </c>
    </row>
    <row r="107" spans="1:14" x14ac:dyDescent="0.25">
      <c r="A107" s="1">
        <v>46175</v>
      </c>
      <c r="B107" s="7">
        <v>0.10765619749994747</v>
      </c>
      <c r="C107" s="7">
        <v>1.8125643125642826E-3</v>
      </c>
      <c r="D107">
        <v>42</v>
      </c>
      <c r="E107" s="66">
        <v>2282.6638900556995</v>
      </c>
      <c r="F107" s="66">
        <v>38.432298379256231</v>
      </c>
      <c r="G107">
        <f>+_xlfn.XLOOKUP(CURVA[[#This Row],[Fecha]],AV_PLAN[Días],AV_PLAN[INICIO REAL],"",0)</f>
        <v>0</v>
      </c>
      <c r="H107">
        <f>+_xlfn.XLOOKUP(CURVA[[#This Row],[Fecha]],AV_PLAN[Días],AV_PLAN[FECHA TERMINO REAL],"",0)</f>
        <v>0</v>
      </c>
      <c r="I107" s="13">
        <v>9.834517045454548E-2</v>
      </c>
      <c r="J107">
        <f>+DAY(CURVA[[#This Row],[Fecha]])</f>
        <v>2</v>
      </c>
      <c r="K107" t="str">
        <f>+TEXT(CURVA[[#This Row],[Fecha]],"MMMM")</f>
        <v>junio</v>
      </c>
      <c r="L107">
        <f>+YEAR(CURVA[[#This Row],[Fecha]])</f>
        <v>2026</v>
      </c>
      <c r="M107" s="69">
        <f>CURVA[[#This Row],[% AVANCE REAL]]*MAX(CURVA[M2 Avance Programado])</f>
        <v>2085.2396292194244</v>
      </c>
      <c r="N107" s="69">
        <f>IF(CURVA[[#This Row],[% AVANCE REAL]]="",0,M107-M106)</f>
        <v>60.314719554213298</v>
      </c>
    </row>
    <row r="108" spans="1:14" x14ac:dyDescent="0.25">
      <c r="A108" s="1">
        <v>46176</v>
      </c>
      <c r="B108" s="7">
        <v>0.10956972549343873</v>
      </c>
      <c r="C108" s="7">
        <v>1.9135279934912597E-3</v>
      </c>
      <c r="D108">
        <v>44</v>
      </c>
      <c r="E108" s="66">
        <v>2323.2369490600859</v>
      </c>
      <c r="F108" s="66">
        <v>40.573059004386323</v>
      </c>
      <c r="G108">
        <f>+_xlfn.XLOOKUP(CURVA[[#This Row],[Fecha]],AV_PLAN[Días],AV_PLAN[INICIO REAL],"",0)</f>
        <v>2</v>
      </c>
      <c r="H108">
        <f>+_xlfn.XLOOKUP(CURVA[[#This Row],[Fecha]],AV_PLAN[Días],AV_PLAN[FECHA TERMINO REAL],"",0)</f>
        <v>0</v>
      </c>
      <c r="I108" s="13">
        <v>0.10100000000000001</v>
      </c>
      <c r="J108">
        <f>+DAY(CURVA[[#This Row],[Fecha]])</f>
        <v>3</v>
      </c>
      <c r="K108" t="str">
        <f>+TEXT(CURVA[[#This Row],[Fecha]],"MMMM")</f>
        <v>junio</v>
      </c>
      <c r="L108">
        <f>+YEAR(CURVA[[#This Row],[Fecha]])</f>
        <v>2026</v>
      </c>
      <c r="M108" s="70">
        <f>CURVA[[#This Row],[% AVANCE REAL]]*MAX(CURVA[M2 Avance Programado])</f>
        <v>2141.5307083991902</v>
      </c>
      <c r="N108" s="69">
        <f>IF(CURVA[[#This Row],[% AVANCE REAL]]="",0,M108-M107)</f>
        <v>56.291079179765802</v>
      </c>
    </row>
    <row r="109" spans="1:14" x14ac:dyDescent="0.25">
      <c r="A109" s="1">
        <v>46177</v>
      </c>
      <c r="B109" s="7">
        <v>0.11152958430072403</v>
      </c>
      <c r="C109" s="7">
        <v>1.9598588072853029E-3</v>
      </c>
      <c r="D109">
        <v>45</v>
      </c>
      <c r="E109" s="66">
        <v>2364.7923730197699</v>
      </c>
      <c r="F109" s="66">
        <v>41.555423959684035</v>
      </c>
      <c r="G109">
        <f>+_xlfn.XLOOKUP(CURVA[[#This Row],[Fecha]],AV_PLAN[Días],AV_PLAN[INICIO REAL],"",0)</f>
        <v>2</v>
      </c>
      <c r="H109">
        <f>+_xlfn.XLOOKUP(CURVA[[#This Row],[Fecha]],AV_PLAN[Días],AV_PLAN[FECHA TERMINO REAL],"",0)</f>
        <v>1</v>
      </c>
      <c r="I109" s="13">
        <v>0.1038</v>
      </c>
      <c r="J109">
        <f>+DAY(CURVA[[#This Row],[Fecha]])</f>
        <v>4</v>
      </c>
      <c r="K109" t="str">
        <f>+TEXT(CURVA[[#This Row],[Fecha]],"MMMM")</f>
        <v>junio</v>
      </c>
      <c r="L109">
        <f>+YEAR(CURVA[[#This Row],[Fecha]])</f>
        <v>2026</v>
      </c>
      <c r="M109" s="69">
        <f>CURVA[[#This Row],[% AVANCE REAL]]*MAX(CURVA[M2 Avance Programado])</f>
        <v>2200.8998765528308</v>
      </c>
      <c r="N109" s="69">
        <f>IF(CURVA[[#This Row],[% AVANCE REAL]]="",0,M109-M108)</f>
        <v>59.369168153640658</v>
      </c>
    </row>
    <row r="110" spans="1:14" x14ac:dyDescent="0.25">
      <c r="A110" s="1">
        <v>46178</v>
      </c>
      <c r="B110" s="7">
        <v>0.11359040678893621</v>
      </c>
      <c r="C110" s="7">
        <v>2.0608224882121828E-3</v>
      </c>
      <c r="D110">
        <v>47</v>
      </c>
      <c r="E110" s="66">
        <v>2408.4885576045817</v>
      </c>
      <c r="F110" s="66">
        <v>43.696184584812059</v>
      </c>
      <c r="G110">
        <f>+_xlfn.XLOOKUP(CURVA[[#This Row],[Fecha]],AV_PLAN[Días],AV_PLAN[INICIO REAL],"",0)</f>
        <v>1</v>
      </c>
      <c r="H110">
        <f>+_xlfn.XLOOKUP(CURVA[[#This Row],[Fecha]],AV_PLAN[Días],AV_PLAN[FECHA TERMINO REAL],"",0)</f>
        <v>2</v>
      </c>
      <c r="I110" s="13">
        <v>0.10580000000000001</v>
      </c>
      <c r="J110">
        <f>+DAY(CURVA[[#This Row],[Fecha]])</f>
        <v>5</v>
      </c>
      <c r="K110" t="str">
        <f>+TEXT(CURVA[[#This Row],[Fecha]],"MMMM")</f>
        <v>junio</v>
      </c>
      <c r="L110">
        <f>+YEAR(CURVA[[#This Row],[Fecha]])</f>
        <v>2026</v>
      </c>
      <c r="M110" s="70">
        <f>CURVA[[#This Row],[% AVANCE REAL]]*MAX(CURVA[M2 Avance Programado])</f>
        <v>2243.3064252340027</v>
      </c>
      <c r="N110" s="69">
        <f>IF(CURVA[[#This Row],[% AVANCE REAL]]="",0,M110-M109)</f>
        <v>42.406548681171898</v>
      </c>
    </row>
    <row r="111" spans="1:14" x14ac:dyDescent="0.25">
      <c r="A111" s="1">
        <v>46179</v>
      </c>
      <c r="B111" s="7">
        <v>0.11575219295807537</v>
      </c>
      <c r="C111" s="7">
        <v>2.1617861691391599E-3</v>
      </c>
      <c r="D111">
        <v>47</v>
      </c>
      <c r="E111" s="66">
        <v>2454.325502814524</v>
      </c>
      <c r="F111" s="66">
        <v>45.836945209942144</v>
      </c>
      <c r="G111">
        <f>+_xlfn.XLOOKUP(CURVA[[#This Row],[Fecha]],AV_PLAN[Días],AV_PLAN[INICIO REAL],"",0)</f>
        <v>0</v>
      </c>
      <c r="H111">
        <f>+_xlfn.XLOOKUP(CURVA[[#This Row],[Fecha]],AV_PLAN[Días],AV_PLAN[FECHA TERMINO REAL],"",0)</f>
        <v>0</v>
      </c>
      <c r="I111" s="13">
        <v>0.10580000000000001</v>
      </c>
      <c r="J111">
        <f>+DAY(CURVA[[#This Row],[Fecha]])</f>
        <v>6</v>
      </c>
      <c r="K111" t="str">
        <f>+TEXT(CURVA[[#This Row],[Fecha]],"MMMM")</f>
        <v>junio</v>
      </c>
      <c r="L111">
        <f>+YEAR(CURVA[[#This Row],[Fecha]])</f>
        <v>2026</v>
      </c>
      <c r="M111" s="69">
        <f>CURVA[[#This Row],[% AVANCE REAL]]*MAX(CURVA[M2 Avance Programado])</f>
        <v>2243.3064252340027</v>
      </c>
      <c r="N111" s="69">
        <f>IF(CURVA[[#This Row],[% AVANCE REAL]]="",0,M111-M110)</f>
        <v>0</v>
      </c>
    </row>
    <row r="112" spans="1:14" x14ac:dyDescent="0.25">
      <c r="A112" s="1">
        <v>46180</v>
      </c>
      <c r="B112" s="7">
        <v>0.11785934626008156</v>
      </c>
      <c r="C112" s="7">
        <v>2.1071533020061844E-3</v>
      </c>
      <c r="D112">
        <v>46</v>
      </c>
      <c r="E112" s="66">
        <v>2499.0040523546327</v>
      </c>
      <c r="F112" s="66">
        <v>44.678549540108882</v>
      </c>
      <c r="G112">
        <f>+_xlfn.XLOOKUP(CURVA[[#This Row],[Fecha]],AV_PLAN[Días],AV_PLAN[INICIO REAL],"",0)</f>
        <v>0</v>
      </c>
      <c r="H112">
        <f>+_xlfn.XLOOKUP(CURVA[[#This Row],[Fecha]],AV_PLAN[Días],AV_PLAN[FECHA TERMINO REAL],"",0)</f>
        <v>0</v>
      </c>
      <c r="I112" s="13">
        <v>0.10580000000000001</v>
      </c>
      <c r="J112">
        <f>+DAY(CURVA[[#This Row],[Fecha]])</f>
        <v>7</v>
      </c>
      <c r="K112" t="str">
        <f>+TEXT(CURVA[[#This Row],[Fecha]],"MMMM")</f>
        <v>junio</v>
      </c>
      <c r="L112">
        <f>+YEAR(CURVA[[#This Row],[Fecha]])</f>
        <v>2026</v>
      </c>
      <c r="M112" s="70">
        <f>CURVA[[#This Row],[% AVANCE REAL]]*MAX(CURVA[M2 Avance Programado])</f>
        <v>2243.3064252340027</v>
      </c>
      <c r="N112" s="69">
        <f>IF(CURVA[[#This Row],[% AVANCE REAL]]="",0,M112-M111)</f>
        <v>0</v>
      </c>
    </row>
    <row r="113" spans="1:14" x14ac:dyDescent="0.25">
      <c r="A113" s="1">
        <v>46181</v>
      </c>
      <c r="B113" s="7">
        <v>0.11991186669495493</v>
      </c>
      <c r="C113" s="7">
        <v>2.0525204348733755E-3</v>
      </c>
      <c r="D113">
        <v>47</v>
      </c>
      <c r="E113" s="66">
        <v>2542.5242062249117</v>
      </c>
      <c r="F113" s="66">
        <v>43.520153870279145</v>
      </c>
      <c r="G113">
        <f>+_xlfn.XLOOKUP(CURVA[[#This Row],[Fecha]],AV_PLAN[Días],AV_PLAN[INICIO REAL],"",0)</f>
        <v>2</v>
      </c>
      <c r="H113">
        <f>+_xlfn.XLOOKUP(CURVA[[#This Row],[Fecha]],AV_PLAN[Días],AV_PLAN[FECHA TERMINO REAL],"",0)</f>
        <v>4</v>
      </c>
      <c r="I113" s="13">
        <v>0.1074</v>
      </c>
      <c r="J113">
        <f>+DAY(CURVA[[#This Row],[Fecha]])</f>
        <v>8</v>
      </c>
      <c r="K113" t="str">
        <f>+TEXT(CURVA[[#This Row],[Fecha]],"MMMM")</f>
        <v>junio</v>
      </c>
      <c r="L113">
        <f>+YEAR(CURVA[[#This Row],[Fecha]])</f>
        <v>2026</v>
      </c>
      <c r="M113" s="69">
        <f>CURVA[[#This Row],[% AVANCE REAL]]*MAX(CURVA[M2 Avance Programado])</f>
        <v>2277.2316641789403</v>
      </c>
      <c r="N113" s="69">
        <f>IF(CURVA[[#This Row],[% AVANCE REAL]]="",0,M113-M112)</f>
        <v>33.925238944937519</v>
      </c>
    </row>
    <row r="114" spans="1:14" x14ac:dyDescent="0.25">
      <c r="A114" s="1">
        <v>46182</v>
      </c>
      <c r="B114" s="7">
        <v>0.12201071794362238</v>
      </c>
      <c r="C114" s="7">
        <v>2.0988512486674465E-3</v>
      </c>
      <c r="D114">
        <v>48</v>
      </c>
      <c r="E114" s="66">
        <v>2587.0267250504894</v>
      </c>
      <c r="F114" s="66">
        <v>44.502518825577447</v>
      </c>
      <c r="G114">
        <f>+_xlfn.XLOOKUP(CURVA[[#This Row],[Fecha]],AV_PLAN[Días],AV_PLAN[INICIO REAL],"",0)</f>
        <v>0</v>
      </c>
      <c r="H114">
        <f>+_xlfn.XLOOKUP(CURVA[[#This Row],[Fecha]],AV_PLAN[Días],AV_PLAN[FECHA TERMINO REAL],"",0)</f>
        <v>2</v>
      </c>
      <c r="I114" s="13">
        <v>0.1091</v>
      </c>
      <c r="J114">
        <f>+DAY(CURVA[[#This Row],[Fecha]])</f>
        <v>9</v>
      </c>
      <c r="K114" t="str">
        <f>+TEXT(CURVA[[#This Row],[Fecha]],"MMMM")</f>
        <v>junio</v>
      </c>
      <c r="L114">
        <f>+YEAR(CURVA[[#This Row],[Fecha]])</f>
        <v>2026</v>
      </c>
      <c r="M114" s="70">
        <f>CURVA[[#This Row],[% AVANCE REAL]]*MAX(CURVA[M2 Avance Programado])</f>
        <v>2313.2772305579369</v>
      </c>
      <c r="N114" s="69">
        <f>IF(CURVA[[#This Row],[% AVANCE REAL]]="",0,M114-M113)</f>
        <v>36.045566378996682</v>
      </c>
    </row>
    <row r="115" spans="1:14" x14ac:dyDescent="0.25">
      <c r="A115" s="1">
        <v>46183</v>
      </c>
      <c r="B115" s="7">
        <v>0.12415590000608377</v>
      </c>
      <c r="C115" s="7">
        <v>2.1451820624613926E-3</v>
      </c>
      <c r="D115">
        <v>49</v>
      </c>
      <c r="E115" s="66">
        <v>2632.5116088313625</v>
      </c>
      <c r="F115" s="66">
        <v>45.484883780873091</v>
      </c>
      <c r="G115">
        <f>+_xlfn.XLOOKUP(CURVA[[#This Row],[Fecha]],AV_PLAN[Días],AV_PLAN[INICIO REAL],"",0)</f>
        <v>0</v>
      </c>
      <c r="H115">
        <f>+_xlfn.XLOOKUP(CURVA[[#This Row],[Fecha]],AV_PLAN[Días],AV_PLAN[FECHA TERMINO REAL],"",0)</f>
        <v>0</v>
      </c>
      <c r="I115" s="13">
        <v>0.1119</v>
      </c>
      <c r="J115">
        <f>+DAY(CURVA[[#This Row],[Fecha]])</f>
        <v>10</v>
      </c>
      <c r="K115" t="str">
        <f>+TEXT(CURVA[[#This Row],[Fecha]],"MMMM")</f>
        <v>junio</v>
      </c>
      <c r="L115">
        <f>+YEAR(CURVA[[#This Row],[Fecha]])</f>
        <v>2026</v>
      </c>
      <c r="M115" s="69">
        <f>CURVA[[#This Row],[% AVANCE REAL]]*MAX(CURVA[M2 Avance Programado])</f>
        <v>2372.6463987115776</v>
      </c>
      <c r="N115" s="69">
        <f>IF(CURVA[[#This Row],[% AVANCE REAL]]="",0,M115-M114)</f>
        <v>59.369168153640658</v>
      </c>
    </row>
    <row r="116" spans="1:14" x14ac:dyDescent="0.25">
      <c r="A116" s="1">
        <v>46184</v>
      </c>
      <c r="B116" s="7">
        <v>0.12627063155555804</v>
      </c>
      <c r="C116" s="7">
        <v>2.1147315494742663E-3</v>
      </c>
      <c r="D116">
        <v>48</v>
      </c>
      <c r="E116" s="66">
        <v>2677.3508420315579</v>
      </c>
      <c r="F116" s="66">
        <v>44.839233200195473</v>
      </c>
      <c r="G116">
        <f>+_xlfn.XLOOKUP(CURVA[[#This Row],[Fecha]],AV_PLAN[Días],AV_PLAN[INICIO REAL],"",0)</f>
        <v>6</v>
      </c>
      <c r="H116">
        <f>+_xlfn.XLOOKUP(CURVA[[#This Row],[Fecha]],AV_PLAN[Días],AV_PLAN[FECHA TERMINO REAL],"",0)</f>
        <v>1</v>
      </c>
      <c r="I116" s="13">
        <v>0.11459999999999999</v>
      </c>
      <c r="J116">
        <f>+DAY(CURVA[[#This Row],[Fecha]])</f>
        <v>11</v>
      </c>
      <c r="K116" t="str">
        <f>+TEXT(CURVA[[#This Row],[Fecha]],"MMMM")</f>
        <v>junio</v>
      </c>
      <c r="L116">
        <f>+YEAR(CURVA[[#This Row],[Fecha]])</f>
        <v>2026</v>
      </c>
      <c r="M116" s="70">
        <f>CURVA[[#This Row],[% AVANCE REAL]]*MAX(CURVA[M2 Avance Programado])</f>
        <v>2429.89523943116</v>
      </c>
      <c r="N116" s="69">
        <f>IF(CURVA[[#This Row],[% AVANCE REAL]]="",0,M116-M115)</f>
        <v>57.248840719582404</v>
      </c>
    </row>
    <row r="117" spans="1:14" x14ac:dyDescent="0.25">
      <c r="A117" s="1">
        <v>46185</v>
      </c>
      <c r="B117" s="7">
        <v>0.12840954545917785</v>
      </c>
      <c r="C117" s="7">
        <v>2.1389139036198102E-3</v>
      </c>
      <c r="D117">
        <v>48</v>
      </c>
      <c r="E117" s="66">
        <v>2722.7028203209024</v>
      </c>
      <c r="F117" s="66">
        <v>45.35197828934465</v>
      </c>
      <c r="G117">
        <f>+_xlfn.XLOOKUP(CURVA[[#This Row],[Fecha]],AV_PLAN[Días],AV_PLAN[INICIO REAL],"",0)</f>
        <v>0</v>
      </c>
      <c r="H117">
        <f>+_xlfn.XLOOKUP(CURVA[[#This Row],[Fecha]],AV_PLAN[Días],AV_PLAN[FECHA TERMINO REAL],"",0)</f>
        <v>5</v>
      </c>
      <c r="I117" s="13">
        <v>0.11550000000000001</v>
      </c>
      <c r="J117">
        <f>+DAY(CURVA[[#This Row],[Fecha]])</f>
        <v>12</v>
      </c>
      <c r="K117" t="str">
        <f>+TEXT(CURVA[[#This Row],[Fecha]],"MMMM")</f>
        <v>junio</v>
      </c>
      <c r="L117">
        <f>+YEAR(CURVA[[#This Row],[Fecha]])</f>
        <v>2026</v>
      </c>
      <c r="M117" s="69">
        <f>CURVA[[#This Row],[% AVANCE REAL]]*MAX(CURVA[M2 Avance Programado])</f>
        <v>2448.9781863376875</v>
      </c>
      <c r="N117" s="69">
        <f>IF(CURVA[[#This Row],[% AVANCE REAL]]="",0,M117-M116)</f>
        <v>19.082946906527468</v>
      </c>
    </row>
    <row r="118" spans="1:14" x14ac:dyDescent="0.25">
      <c r="A118" s="1">
        <v>46186</v>
      </c>
      <c r="B118" s="7">
        <v>0.13057264171694324</v>
      </c>
      <c r="C118" s="7">
        <v>2.1630962577653956E-3</v>
      </c>
      <c r="D118">
        <v>46</v>
      </c>
      <c r="E118" s="66">
        <v>2768.5675436993974</v>
      </c>
      <c r="F118" s="66">
        <v>45.864723378494702</v>
      </c>
      <c r="G118">
        <f>+_xlfn.XLOOKUP(CURVA[[#This Row],[Fecha]],AV_PLAN[Días],AV_PLAN[INICIO REAL],"",0)</f>
        <v>0</v>
      </c>
      <c r="H118">
        <f>+_xlfn.XLOOKUP(CURVA[[#This Row],[Fecha]],AV_PLAN[Días],AV_PLAN[FECHA TERMINO REAL],"",0)</f>
        <v>0</v>
      </c>
      <c r="I118" s="13">
        <v>0.11550000000000001</v>
      </c>
      <c r="J118">
        <f>+DAY(CURVA[[#This Row],[Fecha]])</f>
        <v>13</v>
      </c>
      <c r="K118" t="str">
        <f>+TEXT(CURVA[[#This Row],[Fecha]],"MMMM")</f>
        <v>junio</v>
      </c>
      <c r="L118">
        <f>+YEAR(CURVA[[#This Row],[Fecha]])</f>
        <v>2026</v>
      </c>
      <c r="M118" s="70">
        <f>CURVA[[#This Row],[% AVANCE REAL]]*MAX(CURVA[M2 Avance Programado])</f>
        <v>2448.9781863376875</v>
      </c>
      <c r="N118" s="69">
        <f>IF(CURVA[[#This Row],[% AVANCE REAL]]="",0,M118-M117)</f>
        <v>0</v>
      </c>
    </row>
    <row r="119" spans="1:14" x14ac:dyDescent="0.25">
      <c r="A119" s="1">
        <v>46187</v>
      </c>
      <c r="B119" s="7">
        <v>0.13256486671008735</v>
      </c>
      <c r="C119" s="7">
        <v>1.9922249931441094E-3</v>
      </c>
      <c r="D119">
        <v>42</v>
      </c>
      <c r="E119" s="66">
        <v>2810.8092367772042</v>
      </c>
      <c r="F119" s="66">
        <v>42.241693077806701</v>
      </c>
      <c r="G119">
        <f>+_xlfn.XLOOKUP(CURVA[[#This Row],[Fecha]],AV_PLAN[Días],AV_PLAN[INICIO REAL],"",0)</f>
        <v>0</v>
      </c>
      <c r="H119">
        <f>+_xlfn.XLOOKUP(CURVA[[#This Row],[Fecha]],AV_PLAN[Días],AV_PLAN[FECHA TERMINO REAL],"",0)</f>
        <v>0</v>
      </c>
      <c r="I119" s="13">
        <v>0.11550000000000001</v>
      </c>
      <c r="J119">
        <f>+DAY(CURVA[[#This Row],[Fecha]])</f>
        <v>14</v>
      </c>
      <c r="K119" t="str">
        <f>+TEXT(CURVA[[#This Row],[Fecha]],"MMMM")</f>
        <v>junio</v>
      </c>
      <c r="L119">
        <f>+YEAR(CURVA[[#This Row],[Fecha]])</f>
        <v>2026</v>
      </c>
      <c r="M119" s="69">
        <f>CURVA[[#This Row],[% AVANCE REAL]]*MAX(CURVA[M2 Avance Programado])</f>
        <v>2448.9781863376875</v>
      </c>
      <c r="N119" s="69">
        <f>IF(CURVA[[#This Row],[% AVANCE REAL]]="",0,M119-M118)</f>
        <v>0</v>
      </c>
    </row>
    <row r="120" spans="1:14" x14ac:dyDescent="0.25">
      <c r="A120" s="1">
        <v>46188</v>
      </c>
      <c r="B120" s="7">
        <v>0.13450245883609857</v>
      </c>
      <c r="C120" s="7">
        <v>1.9375921260112172E-3</v>
      </c>
      <c r="D120">
        <v>43</v>
      </c>
      <c r="E120" s="66">
        <v>2851.8925341851791</v>
      </c>
      <c r="F120" s="66">
        <v>41.083297407975202</v>
      </c>
      <c r="G120">
        <f>+_xlfn.XLOOKUP(CURVA[[#This Row],[Fecha]],AV_PLAN[Días],AV_PLAN[INICIO REAL],"",0)</f>
        <v>1</v>
      </c>
      <c r="H120">
        <f>+_xlfn.XLOOKUP(CURVA[[#This Row],[Fecha]],AV_PLAN[Días],AV_PLAN[FECHA TERMINO REAL],"",0)</f>
        <v>0</v>
      </c>
      <c r="I120" s="13">
        <v>0.1181</v>
      </c>
      <c r="J120">
        <f>+DAY(CURVA[[#This Row],[Fecha]])</f>
        <v>15</v>
      </c>
      <c r="K120" t="str">
        <f>+TEXT(CURVA[[#This Row],[Fecha]],"MMMM")</f>
        <v>junio</v>
      </c>
      <c r="L120">
        <f>+YEAR(CURVA[[#This Row],[Fecha]])</f>
        <v>2026</v>
      </c>
      <c r="M120" s="70">
        <f>CURVA[[#This Row],[% AVANCE REAL]]*MAX(CURVA[M2 Avance Programado])</f>
        <v>2504.1066996232112</v>
      </c>
      <c r="N120" s="69">
        <f>IF(CURVA[[#This Row],[% AVANCE REAL]]="",0,M120-M119)</f>
        <v>55.128513285523695</v>
      </c>
    </row>
    <row r="121" spans="1:14" x14ac:dyDescent="0.25">
      <c r="A121" s="1">
        <v>46189</v>
      </c>
      <c r="B121" s="7">
        <v>0.13648638177590383</v>
      </c>
      <c r="C121" s="7">
        <v>1.9839229398052605E-3</v>
      </c>
      <c r="D121">
        <v>44</v>
      </c>
      <c r="E121" s="66">
        <v>2893.9581965484522</v>
      </c>
      <c r="F121" s="66">
        <v>42.065662363272907</v>
      </c>
      <c r="G121">
        <f>+_xlfn.XLOOKUP(CURVA[[#This Row],[Fecha]],AV_PLAN[Días],AV_PLAN[INICIO REAL],"",0)</f>
        <v>0</v>
      </c>
      <c r="H121">
        <f>+_xlfn.XLOOKUP(CURVA[[#This Row],[Fecha]],AV_PLAN[Días],AV_PLAN[FECHA TERMINO REAL],"",0)</f>
        <v>0</v>
      </c>
      <c r="I121" s="13"/>
      <c r="J121">
        <f>+DAY(CURVA[[#This Row],[Fecha]])</f>
        <v>16</v>
      </c>
      <c r="K121" t="str">
        <f>+TEXT(CURVA[[#This Row],[Fecha]],"MMMM")</f>
        <v>junio</v>
      </c>
      <c r="L121">
        <f>+YEAR(CURVA[[#This Row],[Fecha]])</f>
        <v>2026</v>
      </c>
      <c r="M121" s="69">
        <f>CURVA[[#This Row],[% AVANCE REAL]]*MAX(CURVA[M2 Avance Programado])</f>
        <v>0</v>
      </c>
      <c r="N121" s="69">
        <f>IF(CURVA[[#This Row],[% AVANCE REAL]]="",0,M121-M120)</f>
        <v>0</v>
      </c>
    </row>
    <row r="122" spans="1:14" x14ac:dyDescent="0.25">
      <c r="A122" s="1">
        <v>46190</v>
      </c>
      <c r="B122" s="7">
        <v>0.13853181132592893</v>
      </c>
      <c r="C122" s="7">
        <v>2.0454295500250963E-3</v>
      </c>
      <c r="D122">
        <v>45</v>
      </c>
      <c r="E122" s="66">
        <v>2937.3280004419757</v>
      </c>
      <c r="F122" s="66">
        <v>43.369803893523581</v>
      </c>
      <c r="G122">
        <f>+_xlfn.XLOOKUP(CURVA[[#This Row],[Fecha]],AV_PLAN[Días],AV_PLAN[INICIO REAL],"",0)</f>
        <v>0</v>
      </c>
      <c r="H122">
        <f>+_xlfn.XLOOKUP(CURVA[[#This Row],[Fecha]],AV_PLAN[Días],AV_PLAN[FECHA TERMINO REAL],"",0)</f>
        <v>0</v>
      </c>
      <c r="I122" s="13"/>
      <c r="J122">
        <f>+DAY(CURVA[[#This Row],[Fecha]])</f>
        <v>17</v>
      </c>
      <c r="K122" t="str">
        <f>+TEXT(CURVA[[#This Row],[Fecha]],"MMMM")</f>
        <v>junio</v>
      </c>
      <c r="L122">
        <f>+YEAR(CURVA[[#This Row],[Fecha]])</f>
        <v>2026</v>
      </c>
      <c r="M122" s="70">
        <f>CURVA[[#This Row],[% AVANCE REAL]]*MAX(CURVA[M2 Avance Programado])</f>
        <v>0</v>
      </c>
      <c r="N122" s="69">
        <f>IF(CURVA[[#This Row],[% AVANCE REAL]]="",0,M122-M121)</f>
        <v>0</v>
      </c>
    </row>
    <row r="123" spans="1:14" x14ac:dyDescent="0.25">
      <c r="A123" s="1">
        <v>46191</v>
      </c>
      <c r="B123" s="7">
        <v>0.14058411461904111</v>
      </c>
      <c r="C123" s="7">
        <v>2.0523032931121787E-3</v>
      </c>
      <c r="D123">
        <v>45</v>
      </c>
      <c r="E123" s="66">
        <v>2980.8435501959211</v>
      </c>
      <c r="F123" s="66">
        <v>43.515549753945699</v>
      </c>
      <c r="G123">
        <f>+_xlfn.XLOOKUP(CURVA[[#This Row],[Fecha]],AV_PLAN[Días],AV_PLAN[INICIO REAL],"",0)</f>
        <v>0</v>
      </c>
      <c r="H123">
        <f>+_xlfn.XLOOKUP(CURVA[[#This Row],[Fecha]],AV_PLAN[Días],AV_PLAN[FECHA TERMINO REAL],"",0)</f>
        <v>0</v>
      </c>
      <c r="I123" s="13"/>
      <c r="J123">
        <f>+DAY(CURVA[[#This Row],[Fecha]])</f>
        <v>18</v>
      </c>
      <c r="K123" t="str">
        <f>+TEXT(CURVA[[#This Row],[Fecha]],"MMMM")</f>
        <v>junio</v>
      </c>
      <c r="L123">
        <f>+YEAR(CURVA[[#This Row],[Fecha]])</f>
        <v>2026</v>
      </c>
      <c r="M123" s="69">
        <f>CURVA[[#This Row],[% AVANCE REAL]]*MAX(CURVA[M2 Avance Programado])</f>
        <v>0</v>
      </c>
      <c r="N123" s="69">
        <f>IF(CURVA[[#This Row],[% AVANCE REAL]]="",0,M123-M122)</f>
        <v>0</v>
      </c>
    </row>
    <row r="124" spans="1:14" x14ac:dyDescent="0.25">
      <c r="A124" s="1">
        <v>46192</v>
      </c>
      <c r="B124" s="7">
        <v>0.14269792452237307</v>
      </c>
      <c r="C124" s="7">
        <v>2.1138099033319591E-3</v>
      </c>
      <c r="D124">
        <v>46</v>
      </c>
      <c r="E124" s="66">
        <v>3025.6632414801165</v>
      </c>
      <c r="F124" s="66">
        <v>44.819691284195187</v>
      </c>
      <c r="G124">
        <f>+_xlfn.XLOOKUP(CURVA[[#This Row],[Fecha]],AV_PLAN[Días],AV_PLAN[INICIO REAL],"",0)</f>
        <v>0</v>
      </c>
      <c r="H124">
        <f>+_xlfn.XLOOKUP(CURVA[[#This Row],[Fecha]],AV_PLAN[Días],AV_PLAN[FECHA TERMINO REAL],"",0)</f>
        <v>0</v>
      </c>
      <c r="I124" s="13"/>
      <c r="J124">
        <f>+DAY(CURVA[[#This Row],[Fecha]])</f>
        <v>19</v>
      </c>
      <c r="K124" t="str">
        <f>+TEXT(CURVA[[#This Row],[Fecha]],"MMMM")</f>
        <v>junio</v>
      </c>
      <c r="L124">
        <f>+YEAR(CURVA[[#This Row],[Fecha]])</f>
        <v>2026</v>
      </c>
      <c r="M124" s="70">
        <f>CURVA[[#This Row],[% AVANCE REAL]]*MAX(CURVA[M2 Avance Programado])</f>
        <v>0</v>
      </c>
      <c r="N124" s="69">
        <f>IF(CURVA[[#This Row],[% AVANCE REAL]]="",0,M124-M123)</f>
        <v>0</v>
      </c>
    </row>
    <row r="125" spans="1:14" x14ac:dyDescent="0.25">
      <c r="A125" s="1">
        <v>46193</v>
      </c>
      <c r="B125" s="7">
        <v>0.14487324103592489</v>
      </c>
      <c r="C125" s="7">
        <v>2.1753165135518227E-3</v>
      </c>
      <c r="D125">
        <v>45</v>
      </c>
      <c r="E125" s="66">
        <v>3071.7870742945629</v>
      </c>
      <c r="F125" s="66">
        <v>46.123832814446445</v>
      </c>
      <c r="G125">
        <f>+_xlfn.XLOOKUP(CURVA[[#This Row],[Fecha]],AV_PLAN[Días],AV_PLAN[INICIO REAL],"",0)</f>
        <v>0</v>
      </c>
      <c r="H125">
        <f>+_xlfn.XLOOKUP(CURVA[[#This Row],[Fecha]],AV_PLAN[Días],AV_PLAN[FECHA TERMINO REAL],"",0)</f>
        <v>0</v>
      </c>
      <c r="I125" s="13"/>
      <c r="J125">
        <f>+DAY(CURVA[[#This Row],[Fecha]])</f>
        <v>20</v>
      </c>
      <c r="K125" t="str">
        <f>+TEXT(CURVA[[#This Row],[Fecha]],"MMMM")</f>
        <v>junio</v>
      </c>
      <c r="L125">
        <f>+YEAR(CURVA[[#This Row],[Fecha]])</f>
        <v>2026</v>
      </c>
      <c r="M125" s="69">
        <f>CURVA[[#This Row],[% AVANCE REAL]]*MAX(CURVA[M2 Avance Programado])</f>
        <v>0</v>
      </c>
      <c r="N125" s="69">
        <f>IF(CURVA[[#This Row],[% AVANCE REAL]]="",0,M125-M124)</f>
        <v>0</v>
      </c>
    </row>
    <row r="126" spans="1:14" x14ac:dyDescent="0.25">
      <c r="A126" s="1">
        <v>46194</v>
      </c>
      <c r="B126" s="7">
        <v>0.14695446761163677</v>
      </c>
      <c r="C126" s="7">
        <v>2.0812265757118864E-3</v>
      </c>
      <c r="D126">
        <v>43</v>
      </c>
      <c r="E126" s="66">
        <v>3115.9158923443006</v>
      </c>
      <c r="F126" s="66">
        <v>44.128818049737603</v>
      </c>
      <c r="G126">
        <f>+_xlfn.XLOOKUP(CURVA[[#This Row],[Fecha]],AV_PLAN[Días],AV_PLAN[INICIO REAL],"",0)</f>
        <v>0</v>
      </c>
      <c r="H126">
        <f>+_xlfn.XLOOKUP(CURVA[[#This Row],[Fecha]],AV_PLAN[Días],AV_PLAN[FECHA TERMINO REAL],"",0)</f>
        <v>0</v>
      </c>
      <c r="I126" s="13"/>
      <c r="J126">
        <f>+DAY(CURVA[[#This Row],[Fecha]])</f>
        <v>21</v>
      </c>
      <c r="K126" t="str">
        <f>+TEXT(CURVA[[#This Row],[Fecha]],"MMMM")</f>
        <v>junio</v>
      </c>
      <c r="L126">
        <f>+YEAR(CURVA[[#This Row],[Fecha]])</f>
        <v>2026</v>
      </c>
      <c r="M126" s="70">
        <f>CURVA[[#This Row],[% AVANCE REAL]]*MAX(CURVA[M2 Avance Programado])</f>
        <v>0</v>
      </c>
      <c r="N126" s="69">
        <f>IF(CURVA[[#This Row],[% AVANCE REAL]]="",0,M126-M125)</f>
        <v>0</v>
      </c>
    </row>
    <row r="127" spans="1:14" x14ac:dyDescent="0.25">
      <c r="A127" s="1">
        <v>46195</v>
      </c>
      <c r="B127" s="7">
        <v>0.14898106132021577</v>
      </c>
      <c r="C127" s="7">
        <v>2.0265937085789942E-3</v>
      </c>
      <c r="D127">
        <v>44</v>
      </c>
      <c r="E127" s="66">
        <v>3158.8863147242068</v>
      </c>
      <c r="F127" s="66">
        <v>42.970422379906097</v>
      </c>
      <c r="G127">
        <f>+_xlfn.XLOOKUP(CURVA[[#This Row],[Fecha]],AV_PLAN[Días],AV_PLAN[INICIO REAL],"",0)</f>
        <v>0</v>
      </c>
      <c r="H127">
        <f>+_xlfn.XLOOKUP(CURVA[[#This Row],[Fecha]],AV_PLAN[Días],AV_PLAN[FECHA TERMINO REAL],"",0)</f>
        <v>0</v>
      </c>
      <c r="I127" s="13"/>
      <c r="J127">
        <f>+DAY(CURVA[[#This Row],[Fecha]])</f>
        <v>22</v>
      </c>
      <c r="K127" t="str">
        <f>+TEXT(CURVA[[#This Row],[Fecha]],"MMMM")</f>
        <v>junio</v>
      </c>
      <c r="L127">
        <f>+YEAR(CURVA[[#This Row],[Fecha]])</f>
        <v>2026</v>
      </c>
      <c r="M127" s="69">
        <f>CURVA[[#This Row],[% AVANCE REAL]]*MAX(CURVA[M2 Avance Programado])</f>
        <v>0</v>
      </c>
      <c r="N127" s="69">
        <f>IF(CURVA[[#This Row],[% AVANCE REAL]]="",0,M127-M126)</f>
        <v>0</v>
      </c>
    </row>
    <row r="128" spans="1:14" x14ac:dyDescent="0.25">
      <c r="A128" s="1">
        <v>46196</v>
      </c>
      <c r="B128" s="7">
        <v>0.15105398584258881</v>
      </c>
      <c r="C128" s="7">
        <v>2.0729245223730375E-3</v>
      </c>
      <c r="D128">
        <v>45</v>
      </c>
      <c r="E128" s="66">
        <v>3202.8391020594104</v>
      </c>
      <c r="F128" s="66">
        <v>43.952787335203801</v>
      </c>
      <c r="G128">
        <f>+_xlfn.XLOOKUP(CURVA[[#This Row],[Fecha]],AV_PLAN[Días],AV_PLAN[INICIO REAL],"",0)</f>
        <v>0</v>
      </c>
      <c r="H128">
        <f>+_xlfn.XLOOKUP(CURVA[[#This Row],[Fecha]],AV_PLAN[Días],AV_PLAN[FECHA TERMINO REAL],"",0)</f>
        <v>0</v>
      </c>
      <c r="I128" s="13"/>
      <c r="J128">
        <f>+DAY(CURVA[[#This Row],[Fecha]])</f>
        <v>23</v>
      </c>
      <c r="K128" t="str">
        <f>+TEXT(CURVA[[#This Row],[Fecha]],"MMMM")</f>
        <v>junio</v>
      </c>
      <c r="L128">
        <f>+YEAR(CURVA[[#This Row],[Fecha]])</f>
        <v>2026</v>
      </c>
      <c r="M128" s="70">
        <f>CURVA[[#This Row],[% AVANCE REAL]]*MAX(CURVA[M2 Avance Programado])</f>
        <v>0</v>
      </c>
      <c r="N128" s="69">
        <f>IF(CURVA[[#This Row],[% AVANCE REAL]]="",0,M128-M127)</f>
        <v>0</v>
      </c>
    </row>
    <row r="129" spans="1:14" x14ac:dyDescent="0.25">
      <c r="A129" s="1">
        <v>46197</v>
      </c>
      <c r="B129" s="7">
        <v>0.15313378410804881</v>
      </c>
      <c r="C129" s="7">
        <v>2.0797982654600089E-3</v>
      </c>
      <c r="D129">
        <v>45</v>
      </c>
      <c r="E129" s="66">
        <v>3246.9376352550339</v>
      </c>
      <c r="F129" s="66">
        <v>44.098533195623567</v>
      </c>
      <c r="G129">
        <f>+_xlfn.XLOOKUP(CURVA[[#This Row],[Fecha]],AV_PLAN[Días],AV_PLAN[INICIO REAL],"",0)</f>
        <v>0</v>
      </c>
      <c r="H129">
        <f>+_xlfn.XLOOKUP(CURVA[[#This Row],[Fecha]],AV_PLAN[Días],AV_PLAN[FECHA TERMINO REAL],"",0)</f>
        <v>0</v>
      </c>
      <c r="I129" s="13"/>
      <c r="J129">
        <f>+DAY(CURVA[[#This Row],[Fecha]])</f>
        <v>24</v>
      </c>
      <c r="K129" t="str">
        <f>+TEXT(CURVA[[#This Row],[Fecha]],"MMMM")</f>
        <v>junio</v>
      </c>
      <c r="L129">
        <f>+YEAR(CURVA[[#This Row],[Fecha]])</f>
        <v>2026</v>
      </c>
      <c r="M129" s="69">
        <f>CURVA[[#This Row],[% AVANCE REAL]]*MAX(CURVA[M2 Avance Programado])</f>
        <v>0</v>
      </c>
      <c r="N129" s="69">
        <f>IF(CURVA[[#This Row],[% AVANCE REAL]]="",0,M129-M128)</f>
        <v>0</v>
      </c>
    </row>
    <row r="130" spans="1:14" x14ac:dyDescent="0.25">
      <c r="A130" s="1">
        <v>46198</v>
      </c>
      <c r="B130" s="7">
        <v>0.15522844775591682</v>
      </c>
      <c r="C130" s="7">
        <v>2.0946636478680059E-3</v>
      </c>
      <c r="D130">
        <v>46</v>
      </c>
      <c r="E130" s="66">
        <v>3291.3513632320319</v>
      </c>
      <c r="F130" s="66">
        <v>44.413727976998047</v>
      </c>
      <c r="G130">
        <f>+_xlfn.XLOOKUP(CURVA[[#This Row],[Fecha]],AV_PLAN[Días],AV_PLAN[INICIO REAL],"",0)</f>
        <v>0</v>
      </c>
      <c r="H130">
        <f>+_xlfn.XLOOKUP(CURVA[[#This Row],[Fecha]],AV_PLAN[Días],AV_PLAN[FECHA TERMINO REAL],"",0)</f>
        <v>0</v>
      </c>
      <c r="I130" s="13"/>
      <c r="J130">
        <f>+DAY(CURVA[[#This Row],[Fecha]])</f>
        <v>25</v>
      </c>
      <c r="K130" t="str">
        <f>+TEXT(CURVA[[#This Row],[Fecha]],"MMMM")</f>
        <v>junio</v>
      </c>
      <c r="L130">
        <f>+YEAR(CURVA[[#This Row],[Fecha]])</f>
        <v>2026</v>
      </c>
      <c r="M130" s="70">
        <f>CURVA[[#This Row],[% AVANCE REAL]]*MAX(CURVA[M2 Avance Programado])</f>
        <v>0</v>
      </c>
      <c r="N130" s="69">
        <f>IF(CURVA[[#This Row],[% AVANCE REAL]]="",0,M130-M129)</f>
        <v>0</v>
      </c>
    </row>
    <row r="131" spans="1:14" x14ac:dyDescent="0.25">
      <c r="A131" s="1">
        <v>46199</v>
      </c>
      <c r="B131" s="7">
        <v>0.15745717576902821</v>
      </c>
      <c r="C131" s="7">
        <v>2.2287280131113862E-3</v>
      </c>
      <c r="D131">
        <v>47</v>
      </c>
      <c r="E131" s="66">
        <v>3338.607694724582</v>
      </c>
      <c r="F131" s="66">
        <v>47.256331492549968</v>
      </c>
      <c r="G131">
        <f>+_xlfn.XLOOKUP(CURVA[[#This Row],[Fecha]],AV_PLAN[Días],AV_PLAN[INICIO REAL],"",0)</f>
        <v>0</v>
      </c>
      <c r="H131">
        <f>+_xlfn.XLOOKUP(CURVA[[#This Row],[Fecha]],AV_PLAN[Días],AV_PLAN[FECHA TERMINO REAL],"",0)</f>
        <v>0</v>
      </c>
      <c r="I131" s="13"/>
      <c r="J131">
        <f>+DAY(CURVA[[#This Row],[Fecha]])</f>
        <v>26</v>
      </c>
      <c r="K131" t="str">
        <f>+TEXT(CURVA[[#This Row],[Fecha]],"MMMM")</f>
        <v>junio</v>
      </c>
      <c r="L131">
        <f>+YEAR(CURVA[[#This Row],[Fecha]])</f>
        <v>2026</v>
      </c>
      <c r="M131" s="69">
        <f>CURVA[[#This Row],[% AVANCE REAL]]*MAX(CURVA[M2 Avance Programado])</f>
        <v>0</v>
      </c>
      <c r="N131" s="69">
        <f>IF(CURVA[[#This Row],[% AVANCE REAL]]="",0,M131-M130)</f>
        <v>0</v>
      </c>
    </row>
    <row r="132" spans="1:14" x14ac:dyDescent="0.25">
      <c r="A132" s="1">
        <v>46200</v>
      </c>
      <c r="B132" s="7">
        <v>0.1597154965851699</v>
      </c>
      <c r="C132" s="7">
        <v>2.2583208161416901E-3</v>
      </c>
      <c r="D132">
        <v>46</v>
      </c>
      <c r="E132" s="66">
        <v>3386.4914905382907</v>
      </c>
      <c r="F132" s="66">
        <v>47.883795813708424</v>
      </c>
      <c r="G132">
        <f>+_xlfn.XLOOKUP(CURVA[[#This Row],[Fecha]],AV_PLAN[Días],AV_PLAN[INICIO REAL],"",0)</f>
        <v>0</v>
      </c>
      <c r="H132">
        <f>+_xlfn.XLOOKUP(CURVA[[#This Row],[Fecha]],AV_PLAN[Días],AV_PLAN[FECHA TERMINO REAL],"",0)</f>
        <v>0</v>
      </c>
      <c r="I132" s="13"/>
      <c r="J132">
        <f>+DAY(CURVA[[#This Row],[Fecha]])</f>
        <v>27</v>
      </c>
      <c r="K132" t="str">
        <f>+TEXT(CURVA[[#This Row],[Fecha]],"MMMM")</f>
        <v>junio</v>
      </c>
      <c r="L132">
        <f>+YEAR(CURVA[[#This Row],[Fecha]])</f>
        <v>2026</v>
      </c>
      <c r="M132" s="70">
        <f>CURVA[[#This Row],[% AVANCE REAL]]*MAX(CURVA[M2 Avance Programado])</f>
        <v>0</v>
      </c>
      <c r="N132" s="69">
        <f>IF(CURVA[[#This Row],[% AVANCE REAL]]="",0,M132-M131)</f>
        <v>0</v>
      </c>
    </row>
    <row r="133" spans="1:14" x14ac:dyDescent="0.25">
      <c r="A133" s="1">
        <v>46201</v>
      </c>
      <c r="B133" s="7">
        <v>0.16182054185741102</v>
      </c>
      <c r="C133" s="7">
        <v>2.1050452722411184E-3</v>
      </c>
      <c r="D133">
        <v>43</v>
      </c>
      <c r="E133" s="66">
        <v>3431.1253429449725</v>
      </c>
      <c r="F133" s="66">
        <v>44.633852406682067</v>
      </c>
      <c r="G133">
        <f>+_xlfn.XLOOKUP(CURVA[[#This Row],[Fecha]],AV_PLAN[Días],AV_PLAN[INICIO REAL],"",0)</f>
        <v>0</v>
      </c>
      <c r="H133">
        <f>+_xlfn.XLOOKUP(CURVA[[#This Row],[Fecha]],AV_PLAN[Días],AV_PLAN[FECHA TERMINO REAL],"",0)</f>
        <v>0</v>
      </c>
      <c r="I133" s="13"/>
      <c r="J133">
        <f>+DAY(CURVA[[#This Row],[Fecha]])</f>
        <v>28</v>
      </c>
      <c r="K133" t="str">
        <f>+TEXT(CURVA[[#This Row],[Fecha]],"MMMM")</f>
        <v>junio</v>
      </c>
      <c r="L133">
        <f>+YEAR(CURVA[[#This Row],[Fecha]])</f>
        <v>2026</v>
      </c>
      <c r="M133" s="69">
        <f>CURVA[[#This Row],[% AVANCE REAL]]*MAX(CURVA[M2 Avance Programado])</f>
        <v>0</v>
      </c>
      <c r="N133" s="69">
        <f>IF(CURVA[[#This Row],[% AVANCE REAL]]="",0,M133-M132)</f>
        <v>0</v>
      </c>
    </row>
    <row r="134" spans="1:14" x14ac:dyDescent="0.25">
      <c r="A134" s="1">
        <v>46202</v>
      </c>
      <c r="B134" s="7">
        <v>0.16386640152359158</v>
      </c>
      <c r="C134" s="7">
        <v>2.0458596661805661E-3</v>
      </c>
      <c r="D134">
        <v>45</v>
      </c>
      <c r="E134" s="66">
        <v>3474.5042667093389</v>
      </c>
      <c r="F134" s="66">
        <v>43.37892376436632</v>
      </c>
      <c r="G134">
        <f>+_xlfn.XLOOKUP(CURVA[[#This Row],[Fecha]],AV_PLAN[Días],AV_PLAN[INICIO REAL],"",0)</f>
        <v>0</v>
      </c>
      <c r="H134">
        <f>+_xlfn.XLOOKUP(CURVA[[#This Row],[Fecha]],AV_PLAN[Días],AV_PLAN[FECHA TERMINO REAL],"",0)</f>
        <v>0</v>
      </c>
      <c r="I134" s="13"/>
      <c r="J134">
        <f>+DAY(CURVA[[#This Row],[Fecha]])</f>
        <v>29</v>
      </c>
      <c r="K134" t="str">
        <f>+TEXT(CURVA[[#This Row],[Fecha]],"MMMM")</f>
        <v>junio</v>
      </c>
      <c r="L134">
        <f>+YEAR(CURVA[[#This Row],[Fecha]])</f>
        <v>2026</v>
      </c>
      <c r="M134" s="70">
        <f>CURVA[[#This Row],[% AVANCE REAL]]*MAX(CURVA[M2 Avance Programado])</f>
        <v>0</v>
      </c>
      <c r="N134" s="69">
        <f>IF(CURVA[[#This Row],[% AVANCE REAL]]="",0,M134-M133)</f>
        <v>0</v>
      </c>
    </row>
    <row r="135" spans="1:14" x14ac:dyDescent="0.25">
      <c r="A135" s="1">
        <v>46203</v>
      </c>
      <c r="B135" s="7">
        <v>0.16602659701966191</v>
      </c>
      <c r="C135" s="7">
        <v>2.1601954960703273E-3</v>
      </c>
      <c r="D135">
        <v>46</v>
      </c>
      <c r="E135" s="66">
        <v>3520.3074844418165</v>
      </c>
      <c r="F135" s="66">
        <v>45.803217732477506</v>
      </c>
      <c r="G135">
        <f>+_xlfn.XLOOKUP(CURVA[[#This Row],[Fecha]],AV_PLAN[Días],AV_PLAN[INICIO REAL],"",0)</f>
        <v>0</v>
      </c>
      <c r="H135">
        <f>+_xlfn.XLOOKUP(CURVA[[#This Row],[Fecha]],AV_PLAN[Días],AV_PLAN[FECHA TERMINO REAL],"",0)</f>
        <v>0</v>
      </c>
      <c r="I135" s="13"/>
      <c r="J135">
        <f>+DAY(CURVA[[#This Row],[Fecha]])</f>
        <v>30</v>
      </c>
      <c r="K135" t="str">
        <f>+TEXT(CURVA[[#This Row],[Fecha]],"MMMM")</f>
        <v>junio</v>
      </c>
      <c r="L135">
        <f>+YEAR(CURVA[[#This Row],[Fecha]])</f>
        <v>2026</v>
      </c>
      <c r="M135" s="69">
        <f>CURVA[[#This Row],[% AVANCE REAL]]*MAX(CURVA[M2 Avance Programado])</f>
        <v>0</v>
      </c>
      <c r="N135" s="69">
        <f>IF(CURVA[[#This Row],[% AVANCE REAL]]="",0,M135-M134)</f>
        <v>0</v>
      </c>
    </row>
    <row r="136" spans="1:14" x14ac:dyDescent="0.25">
      <c r="A136" s="1">
        <v>46204</v>
      </c>
      <c r="B136" s="7">
        <v>0.16825629076527304</v>
      </c>
      <c r="C136" s="7">
        <v>2.2296937456111332E-3</v>
      </c>
      <c r="D136">
        <v>48</v>
      </c>
      <c r="E136" s="66">
        <v>3567.5842926254986</v>
      </c>
      <c r="F136" s="66">
        <v>47.276808183681723</v>
      </c>
      <c r="G136">
        <f>+_xlfn.XLOOKUP(CURVA[[#This Row],[Fecha]],AV_PLAN[Días],AV_PLAN[INICIO REAL],"",0)</f>
        <v>0</v>
      </c>
      <c r="H136">
        <f>+_xlfn.XLOOKUP(CURVA[[#This Row],[Fecha]],AV_PLAN[Días],AV_PLAN[FECHA TERMINO REAL],"",0)</f>
        <v>0</v>
      </c>
      <c r="I136" s="13"/>
      <c r="J136">
        <f>+DAY(CURVA[[#This Row],[Fecha]])</f>
        <v>1</v>
      </c>
      <c r="K136" t="str">
        <f>+TEXT(CURVA[[#This Row],[Fecha]],"MMMM")</f>
        <v>julio</v>
      </c>
      <c r="L136">
        <f>+YEAR(CURVA[[#This Row],[Fecha]])</f>
        <v>2026</v>
      </c>
      <c r="M136" s="70">
        <f>CURVA[[#This Row],[% AVANCE REAL]]*MAX(CURVA[M2 Avance Programado])</f>
        <v>0</v>
      </c>
      <c r="N136" s="69">
        <f>IF(CURVA[[#This Row],[% AVANCE REAL]]="",0,M136-M135)</f>
        <v>0</v>
      </c>
    </row>
    <row r="137" spans="1:14" x14ac:dyDescent="0.25">
      <c r="A137" s="1">
        <v>46205</v>
      </c>
      <c r="B137" s="7">
        <v>0.17059987196497056</v>
      </c>
      <c r="C137" s="7">
        <v>2.3435811996975198E-3</v>
      </c>
      <c r="D137">
        <v>49</v>
      </c>
      <c r="E137" s="66">
        <v>3617.2758877421238</v>
      </c>
      <c r="F137" s="66">
        <v>49.691595116626274</v>
      </c>
      <c r="G137">
        <f>+_xlfn.XLOOKUP(CURVA[[#This Row],[Fecha]],AV_PLAN[Días],AV_PLAN[INICIO REAL],"",0)</f>
        <v>0</v>
      </c>
      <c r="H137">
        <f>+_xlfn.XLOOKUP(CURVA[[#This Row],[Fecha]],AV_PLAN[Días],AV_PLAN[FECHA TERMINO REAL],"",0)</f>
        <v>0</v>
      </c>
      <c r="I137" s="13"/>
      <c r="J137">
        <f>+DAY(CURVA[[#This Row],[Fecha]])</f>
        <v>2</v>
      </c>
      <c r="K137" t="str">
        <f>+TEXT(CURVA[[#This Row],[Fecha]],"MMMM")</f>
        <v>julio</v>
      </c>
      <c r="L137">
        <f>+YEAR(CURVA[[#This Row],[Fecha]])</f>
        <v>2026</v>
      </c>
      <c r="M137" s="69">
        <f>CURVA[[#This Row],[% AVANCE REAL]]*MAX(CURVA[M2 Avance Programado])</f>
        <v>0</v>
      </c>
      <c r="N137" s="69">
        <f>IF(CURVA[[#This Row],[% AVANCE REAL]]="",0,M137-M136)</f>
        <v>0</v>
      </c>
    </row>
    <row r="138" spans="1:14" x14ac:dyDescent="0.25">
      <c r="A138" s="1">
        <v>46206</v>
      </c>
      <c r="B138" s="7">
        <v>0.17297394271930536</v>
      </c>
      <c r="C138" s="7">
        <v>2.374070754334795E-3</v>
      </c>
      <c r="D138">
        <v>50</v>
      </c>
      <c r="E138" s="66">
        <v>3667.613961250247</v>
      </c>
      <c r="F138" s="66">
        <v>50.338073508122704</v>
      </c>
      <c r="G138">
        <f>+_xlfn.XLOOKUP(CURVA[[#This Row],[Fecha]],AV_PLAN[Días],AV_PLAN[INICIO REAL],"",0)</f>
        <v>0</v>
      </c>
      <c r="H138">
        <f>+_xlfn.XLOOKUP(CURVA[[#This Row],[Fecha]],AV_PLAN[Días],AV_PLAN[FECHA TERMINO REAL],"",0)</f>
        <v>0</v>
      </c>
      <c r="I138" s="13"/>
      <c r="J138">
        <f>+DAY(CURVA[[#This Row],[Fecha]])</f>
        <v>3</v>
      </c>
      <c r="K138" t="str">
        <f>+TEXT(CURVA[[#This Row],[Fecha]],"MMMM")</f>
        <v>julio</v>
      </c>
      <c r="L138">
        <f>+YEAR(CURVA[[#This Row],[Fecha]])</f>
        <v>2026</v>
      </c>
      <c r="M138" s="70">
        <f>CURVA[[#This Row],[% AVANCE REAL]]*MAX(CURVA[M2 Avance Programado])</f>
        <v>0</v>
      </c>
      <c r="N138" s="69">
        <f>IF(CURVA[[#This Row],[% AVANCE REAL]]="",0,M138-M137)</f>
        <v>0</v>
      </c>
    </row>
    <row r="139" spans="1:14" x14ac:dyDescent="0.25">
      <c r="A139" s="1">
        <v>46207</v>
      </c>
      <c r="B139" s="7">
        <v>0.17540271532166588</v>
      </c>
      <c r="C139" s="7">
        <v>2.4287726023605183E-3</v>
      </c>
      <c r="D139">
        <v>48</v>
      </c>
      <c r="E139" s="66">
        <v>3719.1118930489961</v>
      </c>
      <c r="F139" s="66">
        <v>51.497931798749171</v>
      </c>
      <c r="G139">
        <f>+_xlfn.XLOOKUP(CURVA[[#This Row],[Fecha]],AV_PLAN[Días],AV_PLAN[INICIO REAL],"",0)</f>
        <v>0</v>
      </c>
      <c r="H139">
        <f>+_xlfn.XLOOKUP(CURVA[[#This Row],[Fecha]],AV_PLAN[Días],AV_PLAN[FECHA TERMINO REAL],"",0)</f>
        <v>0</v>
      </c>
      <c r="I139" s="13"/>
      <c r="J139">
        <f>+DAY(CURVA[[#This Row],[Fecha]])</f>
        <v>4</v>
      </c>
      <c r="K139" t="str">
        <f>+TEXT(CURVA[[#This Row],[Fecha]],"MMMM")</f>
        <v>julio</v>
      </c>
      <c r="L139">
        <f>+YEAR(CURVA[[#This Row],[Fecha]])</f>
        <v>2026</v>
      </c>
      <c r="M139" s="69">
        <f>CURVA[[#This Row],[% AVANCE REAL]]*MAX(CURVA[M2 Avance Programado])</f>
        <v>0</v>
      </c>
      <c r="N139" s="69">
        <f>IF(CURVA[[#This Row],[% AVANCE REAL]]="",0,M139-M138)</f>
        <v>0</v>
      </c>
    </row>
    <row r="140" spans="1:14" x14ac:dyDescent="0.25">
      <c r="A140" s="1">
        <v>46208</v>
      </c>
      <c r="B140" s="7">
        <v>0.17773284524725866</v>
      </c>
      <c r="C140" s="7">
        <v>2.3301299255927832E-3</v>
      </c>
      <c r="D140">
        <v>46</v>
      </c>
      <c r="E140" s="66">
        <v>3768.5182771105488</v>
      </c>
      <c r="F140" s="66">
        <v>49.406384061553126</v>
      </c>
      <c r="G140">
        <f>+_xlfn.XLOOKUP(CURVA[[#This Row],[Fecha]],AV_PLAN[Días],AV_PLAN[INICIO REAL],"",0)</f>
        <v>0</v>
      </c>
      <c r="H140">
        <f>+_xlfn.XLOOKUP(CURVA[[#This Row],[Fecha]],AV_PLAN[Días],AV_PLAN[FECHA TERMINO REAL],"",0)</f>
        <v>0</v>
      </c>
      <c r="I140" s="13"/>
      <c r="J140">
        <f>+DAY(CURVA[[#This Row],[Fecha]])</f>
        <v>5</v>
      </c>
      <c r="K140" t="str">
        <f>+TEXT(CURVA[[#This Row],[Fecha]],"MMMM")</f>
        <v>julio</v>
      </c>
      <c r="L140">
        <f>+YEAR(CURVA[[#This Row],[Fecha]])</f>
        <v>2026</v>
      </c>
      <c r="M140" s="70">
        <f>CURVA[[#This Row],[% AVANCE REAL]]*MAX(CURVA[M2 Avance Programado])</f>
        <v>0</v>
      </c>
      <c r="N140" s="69">
        <f>IF(CURVA[[#This Row],[% AVANCE REAL]]="",0,M140-M139)</f>
        <v>0</v>
      </c>
    </row>
    <row r="141" spans="1:14" x14ac:dyDescent="0.25">
      <c r="A141" s="1">
        <v>46209</v>
      </c>
      <c r="B141" s="7">
        <v>0.18000378956679092</v>
      </c>
      <c r="C141" s="7">
        <v>2.2709443195322587E-3</v>
      </c>
      <c r="D141">
        <v>47</v>
      </c>
      <c r="E141" s="66">
        <v>3816.6697325297873</v>
      </c>
      <c r="F141" s="66">
        <v>48.151455419237969</v>
      </c>
      <c r="G141">
        <f>+_xlfn.XLOOKUP(CURVA[[#This Row],[Fecha]],AV_PLAN[Días],AV_PLAN[INICIO REAL],"",0)</f>
        <v>0</v>
      </c>
      <c r="H141">
        <f>+_xlfn.XLOOKUP(CURVA[[#This Row],[Fecha]],AV_PLAN[Días],AV_PLAN[FECHA TERMINO REAL],"",0)</f>
        <v>0</v>
      </c>
      <c r="I141" s="13"/>
      <c r="J141">
        <f>+DAY(CURVA[[#This Row],[Fecha]])</f>
        <v>6</v>
      </c>
      <c r="K141" t="str">
        <f>+TEXT(CURVA[[#This Row],[Fecha]],"MMMM")</f>
        <v>julio</v>
      </c>
      <c r="L141">
        <f>+YEAR(CURVA[[#This Row],[Fecha]])</f>
        <v>2026</v>
      </c>
      <c r="M141" s="69">
        <f>CURVA[[#This Row],[% AVANCE REAL]]*MAX(CURVA[M2 Avance Programado])</f>
        <v>0</v>
      </c>
      <c r="N141" s="69">
        <f>IF(CURVA[[#This Row],[% AVANCE REAL]]="",0,M141-M140)</f>
        <v>0</v>
      </c>
    </row>
    <row r="142" spans="1:14" x14ac:dyDescent="0.25">
      <c r="A142" s="1">
        <v>46210</v>
      </c>
      <c r="B142" s="7">
        <v>0.18228272552564412</v>
      </c>
      <c r="C142" s="7">
        <v>2.278935958853201E-3</v>
      </c>
      <c r="D142">
        <v>48</v>
      </c>
      <c r="E142" s="66">
        <v>3864.9906368699785</v>
      </c>
      <c r="F142" s="66">
        <v>48.320904340190921</v>
      </c>
      <c r="G142">
        <f>+_xlfn.XLOOKUP(CURVA[[#This Row],[Fecha]],AV_PLAN[Días],AV_PLAN[INICIO REAL],"",0)</f>
        <v>0</v>
      </c>
      <c r="H142">
        <f>+_xlfn.XLOOKUP(CURVA[[#This Row],[Fecha]],AV_PLAN[Días],AV_PLAN[FECHA TERMINO REAL],"",0)</f>
        <v>0</v>
      </c>
      <c r="I142" s="13"/>
      <c r="J142">
        <f>+DAY(CURVA[[#This Row],[Fecha]])</f>
        <v>7</v>
      </c>
      <c r="K142" t="str">
        <f>+TEXT(CURVA[[#This Row],[Fecha]],"MMMM")</f>
        <v>julio</v>
      </c>
      <c r="L142">
        <f>+YEAR(CURVA[[#This Row],[Fecha]])</f>
        <v>2026</v>
      </c>
      <c r="M142" s="70">
        <f>CURVA[[#This Row],[% AVANCE REAL]]*MAX(CURVA[M2 Avance Programado])</f>
        <v>0</v>
      </c>
      <c r="N142" s="69">
        <f>IF(CURVA[[#This Row],[% AVANCE REAL]]="",0,M142-M141)</f>
        <v>0</v>
      </c>
    </row>
    <row r="143" spans="1:14" x14ac:dyDescent="0.25">
      <c r="A143" s="1">
        <v>46211</v>
      </c>
      <c r="B143" s="7">
        <v>0.18465394777487443</v>
      </c>
      <c r="C143" s="7">
        <v>2.3712222492303092E-3</v>
      </c>
      <c r="D143">
        <v>48</v>
      </c>
      <c r="E143" s="66">
        <v>3915.26831274291</v>
      </c>
      <c r="F143" s="66">
        <v>50.277675872931738</v>
      </c>
      <c r="G143">
        <f>+_xlfn.XLOOKUP(CURVA[[#This Row],[Fecha]],AV_PLAN[Días],AV_PLAN[INICIO REAL],"",0)</f>
        <v>0</v>
      </c>
      <c r="H143">
        <f>+_xlfn.XLOOKUP(CURVA[[#This Row],[Fecha]],AV_PLAN[Días],AV_PLAN[FECHA TERMINO REAL],"",0)</f>
        <v>0</v>
      </c>
      <c r="I143" s="13"/>
      <c r="J143">
        <f>+DAY(CURVA[[#This Row],[Fecha]])</f>
        <v>8</v>
      </c>
      <c r="K143" t="str">
        <f>+TEXT(CURVA[[#This Row],[Fecha]],"MMMM")</f>
        <v>julio</v>
      </c>
      <c r="L143">
        <f>+YEAR(CURVA[[#This Row],[Fecha]])</f>
        <v>2026</v>
      </c>
      <c r="M143" s="69">
        <f>CURVA[[#This Row],[% AVANCE REAL]]*MAX(CURVA[M2 Avance Programado])</f>
        <v>0</v>
      </c>
      <c r="N143" s="69">
        <f>IF(CURVA[[#This Row],[% AVANCE REAL]]="",0,M143-M142)</f>
        <v>0</v>
      </c>
    </row>
    <row r="144" spans="1:14" x14ac:dyDescent="0.25">
      <c r="A144" s="1">
        <v>46212</v>
      </c>
      <c r="B144" s="7">
        <v>0.18707217035832932</v>
      </c>
      <c r="C144" s="7">
        <v>2.4182225834548932E-3</v>
      </c>
      <c r="D144">
        <v>50</v>
      </c>
      <c r="E144" s="66">
        <v>3966.5425495965046</v>
      </c>
      <c r="F144" s="66">
        <v>51.274236853594822</v>
      </c>
      <c r="G144">
        <f>+_xlfn.XLOOKUP(CURVA[[#This Row],[Fecha]],AV_PLAN[Días],AV_PLAN[INICIO REAL],"",0)</f>
        <v>0</v>
      </c>
      <c r="H144">
        <f>+_xlfn.XLOOKUP(CURVA[[#This Row],[Fecha]],AV_PLAN[Días],AV_PLAN[FECHA TERMINO REAL],"",0)</f>
        <v>0</v>
      </c>
      <c r="I144" s="13"/>
      <c r="J144">
        <f>+DAY(CURVA[[#This Row],[Fecha]])</f>
        <v>9</v>
      </c>
      <c r="K144" t="str">
        <f>+TEXT(CURVA[[#This Row],[Fecha]],"MMMM")</f>
        <v>julio</v>
      </c>
      <c r="L144">
        <f>+YEAR(CURVA[[#This Row],[Fecha]])</f>
        <v>2026</v>
      </c>
      <c r="M144" s="70">
        <f>CURVA[[#This Row],[% AVANCE REAL]]*MAX(CURVA[M2 Avance Programado])</f>
        <v>0</v>
      </c>
      <c r="N144" s="69">
        <f>IF(CURVA[[#This Row],[% AVANCE REAL]]="",0,M144-M143)</f>
        <v>0</v>
      </c>
    </row>
    <row r="145" spans="1:14" x14ac:dyDescent="0.25">
      <c r="A145" s="1">
        <v>46213</v>
      </c>
      <c r="B145" s="7">
        <v>0.18956295069680762</v>
      </c>
      <c r="C145" s="7">
        <v>2.4907803384782989E-3</v>
      </c>
      <c r="D145">
        <v>50</v>
      </c>
      <c r="E145" s="66">
        <v>4019.3552484353986</v>
      </c>
      <c r="F145" s="66">
        <v>52.812698838893134</v>
      </c>
      <c r="G145">
        <f>+_xlfn.XLOOKUP(CURVA[[#This Row],[Fecha]],AV_PLAN[Días],AV_PLAN[INICIO REAL],"",0)</f>
        <v>0</v>
      </c>
      <c r="H145">
        <f>+_xlfn.XLOOKUP(CURVA[[#This Row],[Fecha]],AV_PLAN[Días],AV_PLAN[FECHA TERMINO REAL],"",0)</f>
        <v>0</v>
      </c>
      <c r="I145" s="13"/>
      <c r="J145">
        <f>+DAY(CURVA[[#This Row],[Fecha]])</f>
        <v>10</v>
      </c>
      <c r="K145" t="str">
        <f>+TEXT(CURVA[[#This Row],[Fecha]],"MMMM")</f>
        <v>julio</v>
      </c>
      <c r="L145">
        <f>+YEAR(CURVA[[#This Row],[Fecha]])</f>
        <v>2026</v>
      </c>
      <c r="M145" s="69">
        <f>CURVA[[#This Row],[% AVANCE REAL]]*MAX(CURVA[M2 Avance Programado])</f>
        <v>0</v>
      </c>
      <c r="N145" s="69">
        <f>IF(CURVA[[#This Row],[% AVANCE REAL]]="",0,M145-M144)</f>
        <v>0</v>
      </c>
    </row>
    <row r="146" spans="1:14" x14ac:dyDescent="0.25">
      <c r="A146" s="1">
        <v>46214</v>
      </c>
      <c r="B146" s="7">
        <v>0.19210350074947333</v>
      </c>
      <c r="C146" s="7">
        <v>2.5405500526657077E-3</v>
      </c>
      <c r="D146">
        <v>49</v>
      </c>
      <c r="E146" s="66">
        <v>4073.2232281780593</v>
      </c>
      <c r="F146" s="66">
        <v>53.867979742661319</v>
      </c>
      <c r="G146">
        <f>+_xlfn.XLOOKUP(CURVA[[#This Row],[Fecha]],AV_PLAN[Días],AV_PLAN[INICIO REAL],"",0)</f>
        <v>0</v>
      </c>
      <c r="H146">
        <f>+_xlfn.XLOOKUP(CURVA[[#This Row],[Fecha]],AV_PLAN[Días],AV_PLAN[FECHA TERMINO REAL],"",0)</f>
        <v>0</v>
      </c>
      <c r="I146" s="13"/>
      <c r="J146">
        <f>+DAY(CURVA[[#This Row],[Fecha]])</f>
        <v>11</v>
      </c>
      <c r="K146" t="str">
        <f>+TEXT(CURVA[[#This Row],[Fecha]],"MMMM")</f>
        <v>julio</v>
      </c>
      <c r="L146">
        <f>+YEAR(CURVA[[#This Row],[Fecha]])</f>
        <v>2026</v>
      </c>
      <c r="M146" s="70">
        <f>CURVA[[#This Row],[% AVANCE REAL]]*MAX(CURVA[M2 Avance Programado])</f>
        <v>0</v>
      </c>
      <c r="N146" s="69">
        <f>IF(CURVA[[#This Row],[% AVANCE REAL]]="",0,M146-M145)</f>
        <v>0</v>
      </c>
    </row>
    <row r="147" spans="1:14" x14ac:dyDescent="0.25">
      <c r="A147" s="1">
        <v>46215</v>
      </c>
      <c r="B147" s="7">
        <v>0.19458486519607837</v>
      </c>
      <c r="C147" s="7">
        <v>2.4813644466050444E-3</v>
      </c>
      <c r="D147">
        <v>48</v>
      </c>
      <c r="E147" s="66">
        <v>4125.8362792784028</v>
      </c>
      <c r="F147" s="66">
        <v>52.61305110034322</v>
      </c>
      <c r="G147">
        <f>+_xlfn.XLOOKUP(CURVA[[#This Row],[Fecha]],AV_PLAN[Días],AV_PLAN[INICIO REAL],"",0)</f>
        <v>0</v>
      </c>
      <c r="H147">
        <f>+_xlfn.XLOOKUP(CURVA[[#This Row],[Fecha]],AV_PLAN[Días],AV_PLAN[FECHA TERMINO REAL],"",0)</f>
        <v>0</v>
      </c>
      <c r="I147" s="13"/>
      <c r="J147">
        <f>+DAY(CURVA[[#This Row],[Fecha]])</f>
        <v>12</v>
      </c>
      <c r="K147" t="str">
        <f>+TEXT(CURVA[[#This Row],[Fecha]],"MMMM")</f>
        <v>julio</v>
      </c>
      <c r="L147">
        <f>+YEAR(CURVA[[#This Row],[Fecha]])</f>
        <v>2026</v>
      </c>
      <c r="M147" s="69">
        <f>CURVA[[#This Row],[% AVANCE REAL]]*MAX(CURVA[M2 Avance Programado])</f>
        <v>0</v>
      </c>
      <c r="N147" s="69">
        <f>IF(CURVA[[#This Row],[% AVANCE REAL]]="",0,M147-M146)</f>
        <v>0</v>
      </c>
    </row>
    <row r="148" spans="1:14" x14ac:dyDescent="0.25">
      <c r="A148" s="1">
        <v>46216</v>
      </c>
      <c r="B148" s="7">
        <v>0.19696526596175659</v>
      </c>
      <c r="C148" s="7">
        <v>2.38040076567822E-3</v>
      </c>
      <c r="D148">
        <v>49</v>
      </c>
      <c r="E148" s="66">
        <v>4176.3085697536189</v>
      </c>
      <c r="F148" s="66">
        <v>50.472290475216369</v>
      </c>
      <c r="G148">
        <f>+_xlfn.XLOOKUP(CURVA[[#This Row],[Fecha]],AV_PLAN[Días],AV_PLAN[INICIO REAL],"",0)</f>
        <v>0</v>
      </c>
      <c r="H148">
        <f>+_xlfn.XLOOKUP(CURVA[[#This Row],[Fecha]],AV_PLAN[Días],AV_PLAN[FECHA TERMINO REAL],"",0)</f>
        <v>0</v>
      </c>
      <c r="I148" s="13"/>
      <c r="J148">
        <f>+DAY(CURVA[[#This Row],[Fecha]])</f>
        <v>13</v>
      </c>
      <c r="K148" t="str">
        <f>+TEXT(CURVA[[#This Row],[Fecha]],"MMMM")</f>
        <v>julio</v>
      </c>
      <c r="L148">
        <f>+YEAR(CURVA[[#This Row],[Fecha]])</f>
        <v>2026</v>
      </c>
      <c r="M148" s="70">
        <f>CURVA[[#This Row],[% AVANCE REAL]]*MAX(CURVA[M2 Avance Programado])</f>
        <v>0</v>
      </c>
      <c r="N148" s="69">
        <f>IF(CURVA[[#This Row],[% AVANCE REAL]]="",0,M148-M147)</f>
        <v>0</v>
      </c>
    </row>
    <row r="149" spans="1:14" x14ac:dyDescent="0.25">
      <c r="A149" s="1">
        <v>46217</v>
      </c>
      <c r="B149" s="7">
        <v>0.19941042274347759</v>
      </c>
      <c r="C149" s="7">
        <v>2.4451567817209974E-3</v>
      </c>
      <c r="D149">
        <v>49</v>
      </c>
      <c r="E149" s="66">
        <v>4228.1538998021933</v>
      </c>
      <c r="F149" s="66">
        <v>51.845330048574766</v>
      </c>
      <c r="G149">
        <f>+_xlfn.XLOOKUP(CURVA[[#This Row],[Fecha]],AV_PLAN[Días],AV_PLAN[INICIO REAL],"",0)</f>
        <v>0</v>
      </c>
      <c r="H149">
        <f>+_xlfn.XLOOKUP(CURVA[[#This Row],[Fecha]],AV_PLAN[Días],AV_PLAN[FECHA TERMINO REAL],"",0)</f>
        <v>0</v>
      </c>
      <c r="I149" s="13"/>
      <c r="J149">
        <f>+DAY(CURVA[[#This Row],[Fecha]])</f>
        <v>14</v>
      </c>
      <c r="K149" t="str">
        <f>+TEXT(CURVA[[#This Row],[Fecha]],"MMMM")</f>
        <v>julio</v>
      </c>
      <c r="L149">
        <f>+YEAR(CURVA[[#This Row],[Fecha]])</f>
        <v>2026</v>
      </c>
      <c r="M149" s="69">
        <f>CURVA[[#This Row],[% AVANCE REAL]]*MAX(CURVA[M2 Avance Programado])</f>
        <v>0</v>
      </c>
      <c r="N149" s="69">
        <f>IF(CURVA[[#This Row],[% AVANCE REAL]]="",0,M149-M148)</f>
        <v>0</v>
      </c>
    </row>
    <row r="150" spans="1:14" x14ac:dyDescent="0.25">
      <c r="A150" s="1">
        <v>46218</v>
      </c>
      <c r="B150" s="7">
        <v>0.20195584690487767</v>
      </c>
      <c r="C150" s="7">
        <v>2.5454241614000783E-3</v>
      </c>
      <c r="D150">
        <v>51</v>
      </c>
      <c r="E150" s="66">
        <v>4282.1252266095153</v>
      </c>
      <c r="F150" s="66">
        <v>53.971326807322022</v>
      </c>
      <c r="G150">
        <f>+_xlfn.XLOOKUP(CURVA[[#This Row],[Fecha]],AV_PLAN[Días],AV_PLAN[INICIO REAL],"",0)</f>
        <v>0</v>
      </c>
      <c r="H150">
        <f>+_xlfn.XLOOKUP(CURVA[[#This Row],[Fecha]],AV_PLAN[Días],AV_PLAN[FECHA TERMINO REAL],"",0)</f>
        <v>0</v>
      </c>
      <c r="I150" s="13"/>
      <c r="J150">
        <f>+DAY(CURVA[[#This Row],[Fecha]])</f>
        <v>15</v>
      </c>
      <c r="K150" t="str">
        <f>+TEXT(CURVA[[#This Row],[Fecha]],"MMMM")</f>
        <v>julio</v>
      </c>
      <c r="L150">
        <f>+YEAR(CURVA[[#This Row],[Fecha]])</f>
        <v>2026</v>
      </c>
      <c r="M150" s="70">
        <f>CURVA[[#This Row],[% AVANCE REAL]]*MAX(CURVA[M2 Avance Programado])</f>
        <v>0</v>
      </c>
      <c r="N150" s="69">
        <f>IF(CURVA[[#This Row],[% AVANCE REAL]]="",0,M150-M149)</f>
        <v>0</v>
      </c>
    </row>
    <row r="151" spans="1:14" x14ac:dyDescent="0.25">
      <c r="A151" s="1">
        <v>46219</v>
      </c>
      <c r="B151" s="7">
        <v>0.20462521268838116</v>
      </c>
      <c r="C151" s="7">
        <v>2.6693657835034912E-3</v>
      </c>
      <c r="D151">
        <v>52</v>
      </c>
      <c r="E151" s="66">
        <v>4338.7245216325136</v>
      </c>
      <c r="F151" s="66">
        <v>56.599295022997929</v>
      </c>
      <c r="G151">
        <f>+_xlfn.XLOOKUP(CURVA[[#This Row],[Fecha]],AV_PLAN[Días],AV_PLAN[INICIO REAL],"",0)</f>
        <v>0</v>
      </c>
      <c r="H151">
        <f>+_xlfn.XLOOKUP(CURVA[[#This Row],[Fecha]],AV_PLAN[Días],AV_PLAN[FECHA TERMINO REAL],"",0)</f>
        <v>0</v>
      </c>
      <c r="I151" s="13"/>
      <c r="J151">
        <f>+DAY(CURVA[[#This Row],[Fecha]])</f>
        <v>16</v>
      </c>
      <c r="K151" t="str">
        <f>+TEXT(CURVA[[#This Row],[Fecha]],"MMMM")</f>
        <v>julio</v>
      </c>
      <c r="L151">
        <f>+YEAR(CURVA[[#This Row],[Fecha]])</f>
        <v>2026</v>
      </c>
      <c r="M151" s="69">
        <f>CURVA[[#This Row],[% AVANCE REAL]]*MAX(CURVA[M2 Avance Programado])</f>
        <v>0</v>
      </c>
      <c r="N151" s="69">
        <f>IF(CURVA[[#This Row],[% AVANCE REAL]]="",0,M151-M150)</f>
        <v>0</v>
      </c>
    </row>
    <row r="152" spans="1:14" x14ac:dyDescent="0.25">
      <c r="A152" s="1">
        <v>46220</v>
      </c>
      <c r="B152" s="7">
        <v>0.20724741988737644</v>
      </c>
      <c r="C152" s="7">
        <v>2.62220719899528E-3</v>
      </c>
      <c r="D152">
        <v>52</v>
      </c>
      <c r="E152" s="66">
        <v>4394.3239002506698</v>
      </c>
      <c r="F152" s="66">
        <v>55.599378618156621</v>
      </c>
      <c r="G152">
        <f>+_xlfn.XLOOKUP(CURVA[[#This Row],[Fecha]],AV_PLAN[Días],AV_PLAN[INICIO REAL],"",0)</f>
        <v>0</v>
      </c>
      <c r="H152">
        <f>+_xlfn.XLOOKUP(CURVA[[#This Row],[Fecha]],AV_PLAN[Días],AV_PLAN[FECHA TERMINO REAL],"",0)</f>
        <v>0</v>
      </c>
      <c r="I152" s="13"/>
      <c r="J152">
        <f>+DAY(CURVA[[#This Row],[Fecha]])</f>
        <v>17</v>
      </c>
      <c r="K152" t="str">
        <f>+TEXT(CURVA[[#This Row],[Fecha]],"MMMM")</f>
        <v>julio</v>
      </c>
      <c r="L152">
        <f>+YEAR(CURVA[[#This Row],[Fecha]])</f>
        <v>2026</v>
      </c>
      <c r="M152" s="70">
        <f>CURVA[[#This Row],[% AVANCE REAL]]*MAX(CURVA[M2 Avance Programado])</f>
        <v>0</v>
      </c>
      <c r="N152" s="69">
        <f>IF(CURVA[[#This Row],[% AVANCE REAL]]="",0,M152-M151)</f>
        <v>0</v>
      </c>
    </row>
    <row r="153" spans="1:14" x14ac:dyDescent="0.25">
      <c r="A153" s="1">
        <v>46221</v>
      </c>
      <c r="B153" s="7">
        <v>0.20987070318830006</v>
      </c>
      <c r="C153" s="7">
        <v>2.6232833009236234E-3</v>
      </c>
      <c r="D153">
        <v>49</v>
      </c>
      <c r="E153" s="66">
        <v>4449.9460957532319</v>
      </c>
      <c r="F153" s="66">
        <v>55.622195502561709</v>
      </c>
      <c r="G153">
        <f>+_xlfn.XLOOKUP(CURVA[[#This Row],[Fecha]],AV_PLAN[Días],AV_PLAN[INICIO REAL],"",0)</f>
        <v>0</v>
      </c>
      <c r="H153">
        <f>+_xlfn.XLOOKUP(CURVA[[#This Row],[Fecha]],AV_PLAN[Días],AV_PLAN[FECHA TERMINO REAL],"",0)</f>
        <v>0</v>
      </c>
      <c r="I153" s="13"/>
      <c r="J153">
        <f>+DAY(CURVA[[#This Row],[Fecha]])</f>
        <v>18</v>
      </c>
      <c r="K153" t="str">
        <f>+TEXT(CURVA[[#This Row],[Fecha]],"MMMM")</f>
        <v>julio</v>
      </c>
      <c r="L153">
        <f>+YEAR(CURVA[[#This Row],[Fecha]])</f>
        <v>2026</v>
      </c>
      <c r="M153" s="69">
        <f>CURVA[[#This Row],[% AVANCE REAL]]*MAX(CURVA[M2 Avance Programado])</f>
        <v>0</v>
      </c>
      <c r="N153" s="69">
        <f>IF(CURVA[[#This Row],[% AVANCE REAL]]="",0,M153-M152)</f>
        <v>0</v>
      </c>
    </row>
    <row r="154" spans="1:14" x14ac:dyDescent="0.25">
      <c r="A154" s="1">
        <v>46222</v>
      </c>
      <c r="B154" s="7">
        <v>0.21249398648922371</v>
      </c>
      <c r="C154" s="7">
        <v>2.6232833009236511E-3</v>
      </c>
      <c r="D154">
        <v>49</v>
      </c>
      <c r="E154" s="66">
        <v>4505.5682912557941</v>
      </c>
      <c r="F154" s="66">
        <v>55.622195502562306</v>
      </c>
      <c r="G154">
        <f>+_xlfn.XLOOKUP(CURVA[[#This Row],[Fecha]],AV_PLAN[Días],AV_PLAN[INICIO REAL],"",0)</f>
        <v>0</v>
      </c>
      <c r="H154">
        <f>+_xlfn.XLOOKUP(CURVA[[#This Row],[Fecha]],AV_PLAN[Días],AV_PLAN[FECHA TERMINO REAL],"",0)</f>
        <v>0</v>
      </c>
      <c r="I154" s="13"/>
      <c r="J154">
        <f>+DAY(CURVA[[#This Row],[Fecha]])</f>
        <v>19</v>
      </c>
      <c r="K154" t="str">
        <f>+TEXT(CURVA[[#This Row],[Fecha]],"MMMM")</f>
        <v>julio</v>
      </c>
      <c r="L154">
        <f>+YEAR(CURVA[[#This Row],[Fecha]])</f>
        <v>2026</v>
      </c>
      <c r="M154" s="70">
        <f>CURVA[[#This Row],[% AVANCE REAL]]*MAX(CURVA[M2 Avance Programado])</f>
        <v>0</v>
      </c>
      <c r="N154" s="69">
        <f>IF(CURVA[[#This Row],[% AVANCE REAL]]="",0,M154-M153)</f>
        <v>0</v>
      </c>
    </row>
    <row r="155" spans="1:14" x14ac:dyDescent="0.25">
      <c r="A155" s="1">
        <v>46223</v>
      </c>
      <c r="B155" s="7">
        <v>0.21507549171528115</v>
      </c>
      <c r="C155" s="7">
        <v>2.5815052260574345E-3</v>
      </c>
      <c r="D155">
        <v>50</v>
      </c>
      <c r="E155" s="66">
        <v>4560.3046547755466</v>
      </c>
      <c r="F155" s="66">
        <v>54.736363519752373</v>
      </c>
      <c r="G155">
        <f>+_xlfn.XLOOKUP(CURVA[[#This Row],[Fecha]],AV_PLAN[Días],AV_PLAN[INICIO REAL],"",0)</f>
        <v>0</v>
      </c>
      <c r="H155">
        <f>+_xlfn.XLOOKUP(CURVA[[#This Row],[Fecha]],AV_PLAN[Días],AV_PLAN[FECHA TERMINO REAL],"",0)</f>
        <v>0</v>
      </c>
      <c r="I155" s="13"/>
      <c r="J155">
        <f>+DAY(CURVA[[#This Row],[Fecha]])</f>
        <v>20</v>
      </c>
      <c r="K155" t="str">
        <f>+TEXT(CURVA[[#This Row],[Fecha]],"MMMM")</f>
        <v>julio</v>
      </c>
      <c r="L155">
        <f>+YEAR(CURVA[[#This Row],[Fecha]])</f>
        <v>2026</v>
      </c>
      <c r="M155" s="69">
        <f>CURVA[[#This Row],[% AVANCE REAL]]*MAX(CURVA[M2 Avance Programado])</f>
        <v>0</v>
      </c>
      <c r="N155" s="69">
        <f>IF(CURVA[[#This Row],[% AVANCE REAL]]="",0,M155-M154)</f>
        <v>0</v>
      </c>
    </row>
    <row r="156" spans="1:14" x14ac:dyDescent="0.25">
      <c r="A156" s="1">
        <v>46224</v>
      </c>
      <c r="B156" s="7">
        <v>0.21770991583616911</v>
      </c>
      <c r="C156" s="7">
        <v>2.6344241208879626E-3</v>
      </c>
      <c r="D156">
        <v>52</v>
      </c>
      <c r="E156" s="66">
        <v>4616.1630721401916</v>
      </c>
      <c r="F156" s="66">
        <v>55.85841736464468</v>
      </c>
      <c r="G156">
        <f>+_xlfn.XLOOKUP(CURVA[[#This Row],[Fecha]],AV_PLAN[Días],AV_PLAN[INICIO REAL],"",0)</f>
        <v>0</v>
      </c>
      <c r="H156">
        <f>+_xlfn.XLOOKUP(CURVA[[#This Row],[Fecha]],AV_PLAN[Días],AV_PLAN[FECHA TERMINO REAL],"",0)</f>
        <v>0</v>
      </c>
      <c r="I156" s="13"/>
      <c r="J156">
        <f>+DAY(CURVA[[#This Row],[Fecha]])</f>
        <v>21</v>
      </c>
      <c r="K156" t="str">
        <f>+TEXT(CURVA[[#This Row],[Fecha]],"MMMM")</f>
        <v>julio</v>
      </c>
      <c r="L156">
        <f>+YEAR(CURVA[[#This Row],[Fecha]])</f>
        <v>2026</v>
      </c>
      <c r="M156" s="70">
        <f>CURVA[[#This Row],[% AVANCE REAL]]*MAX(CURVA[M2 Avance Programado])</f>
        <v>0</v>
      </c>
      <c r="N156" s="69">
        <f>IF(CURVA[[#This Row],[% AVANCE REAL]]="",0,M156-M155)</f>
        <v>0</v>
      </c>
    </row>
    <row r="157" spans="1:14" x14ac:dyDescent="0.25">
      <c r="A157" s="1">
        <v>46225</v>
      </c>
      <c r="B157" s="7">
        <v>0.22036282359017986</v>
      </c>
      <c r="C157" s="7">
        <v>2.6529077540107526E-3</v>
      </c>
      <c r="D157">
        <v>51</v>
      </c>
      <c r="E157" s="66">
        <v>4672.4134030487494</v>
      </c>
      <c r="F157" s="66">
        <v>56.250330908557942</v>
      </c>
      <c r="G157">
        <f>+_xlfn.XLOOKUP(CURVA[[#This Row],[Fecha]],AV_PLAN[Días],AV_PLAN[INICIO REAL],"",0)</f>
        <v>0</v>
      </c>
      <c r="H157">
        <f>+_xlfn.XLOOKUP(CURVA[[#This Row],[Fecha]],AV_PLAN[Días],AV_PLAN[FECHA TERMINO REAL],"",0)</f>
        <v>0</v>
      </c>
      <c r="I157" s="13"/>
      <c r="J157">
        <f>+DAY(CURVA[[#This Row],[Fecha]])</f>
        <v>22</v>
      </c>
      <c r="K157" t="str">
        <f>+TEXT(CURVA[[#This Row],[Fecha]],"MMMM")</f>
        <v>julio</v>
      </c>
      <c r="L157">
        <f>+YEAR(CURVA[[#This Row],[Fecha]])</f>
        <v>2026</v>
      </c>
      <c r="M157" s="69">
        <f>CURVA[[#This Row],[% AVANCE REAL]]*MAX(CURVA[M2 Avance Programado])</f>
        <v>0</v>
      </c>
      <c r="N157" s="69">
        <f>IF(CURVA[[#This Row],[% AVANCE REAL]]="",0,M157-M156)</f>
        <v>0</v>
      </c>
    </row>
    <row r="158" spans="1:14" x14ac:dyDescent="0.25">
      <c r="A158" s="1">
        <v>46226</v>
      </c>
      <c r="B158" s="7">
        <v>0.22302775836574298</v>
      </c>
      <c r="C158" s="7">
        <v>2.6649347755631214E-3</v>
      </c>
      <c r="D158">
        <v>52</v>
      </c>
      <c r="E158" s="66">
        <v>4728.9187461947822</v>
      </c>
      <c r="F158" s="66">
        <v>56.505343146032963</v>
      </c>
      <c r="G158">
        <f>+_xlfn.XLOOKUP(CURVA[[#This Row],[Fecha]],AV_PLAN[Días],AV_PLAN[INICIO REAL],"",0)</f>
        <v>0</v>
      </c>
      <c r="H158">
        <f>+_xlfn.XLOOKUP(CURVA[[#This Row],[Fecha]],AV_PLAN[Días],AV_PLAN[FECHA TERMINO REAL],"",0)</f>
        <v>0</v>
      </c>
      <c r="I158" s="13"/>
      <c r="J158">
        <f>+DAY(CURVA[[#This Row],[Fecha]])</f>
        <v>23</v>
      </c>
      <c r="K158" t="str">
        <f>+TEXT(CURVA[[#This Row],[Fecha]],"MMMM")</f>
        <v>julio</v>
      </c>
      <c r="L158">
        <f>+YEAR(CURVA[[#This Row],[Fecha]])</f>
        <v>2026</v>
      </c>
      <c r="M158" s="70">
        <f>CURVA[[#This Row],[% AVANCE REAL]]*MAX(CURVA[M2 Avance Programado])</f>
        <v>0</v>
      </c>
      <c r="N158" s="69">
        <f>IF(CURVA[[#This Row],[% AVANCE REAL]]="",0,M158-M157)</f>
        <v>0</v>
      </c>
    </row>
    <row r="159" spans="1:14" x14ac:dyDescent="0.25">
      <c r="A159" s="1">
        <v>46227</v>
      </c>
      <c r="B159" s="7">
        <v>0.22575206864770705</v>
      </c>
      <c r="C159" s="7">
        <v>2.7243102819640708E-3</v>
      </c>
      <c r="D159">
        <v>52</v>
      </c>
      <c r="E159" s="66">
        <v>4786.6830444921461</v>
      </c>
      <c r="F159" s="66">
        <v>57.76429829736351</v>
      </c>
      <c r="G159">
        <f>+_xlfn.XLOOKUP(CURVA[[#This Row],[Fecha]],AV_PLAN[Días],AV_PLAN[INICIO REAL],"",0)</f>
        <v>0</v>
      </c>
      <c r="H159">
        <f>+_xlfn.XLOOKUP(CURVA[[#This Row],[Fecha]],AV_PLAN[Días],AV_PLAN[FECHA TERMINO REAL],"",0)</f>
        <v>0</v>
      </c>
      <c r="I159" s="13"/>
      <c r="J159">
        <f>+DAY(CURVA[[#This Row],[Fecha]])</f>
        <v>24</v>
      </c>
      <c r="K159" t="str">
        <f>+TEXT(CURVA[[#This Row],[Fecha]],"MMMM")</f>
        <v>julio</v>
      </c>
      <c r="L159">
        <f>+YEAR(CURVA[[#This Row],[Fecha]])</f>
        <v>2026</v>
      </c>
      <c r="M159" s="69">
        <f>CURVA[[#This Row],[% AVANCE REAL]]*MAX(CURVA[M2 Avance Programado])</f>
        <v>0</v>
      </c>
      <c r="N159" s="69">
        <f>IF(CURVA[[#This Row],[% AVANCE REAL]]="",0,M159-M158)</f>
        <v>0</v>
      </c>
    </row>
    <row r="160" spans="1:14" x14ac:dyDescent="0.25">
      <c r="A160" s="1">
        <v>46228</v>
      </c>
      <c r="B160" s="7">
        <v>0.22848929215281155</v>
      </c>
      <c r="C160" s="7">
        <v>2.7372235051044969E-3</v>
      </c>
      <c r="D160">
        <v>50</v>
      </c>
      <c r="E160" s="66">
        <v>4844.7211454023773</v>
      </c>
      <c r="F160" s="66">
        <v>58.038100910231165</v>
      </c>
      <c r="G160">
        <f>+_xlfn.XLOOKUP(CURVA[[#This Row],[Fecha]],AV_PLAN[Días],AV_PLAN[INICIO REAL],"",0)</f>
        <v>0</v>
      </c>
      <c r="H160">
        <f>+_xlfn.XLOOKUP(CURVA[[#This Row],[Fecha]],AV_PLAN[Días],AV_PLAN[FECHA TERMINO REAL],"",0)</f>
        <v>0</v>
      </c>
      <c r="I160" s="13"/>
      <c r="J160">
        <f>+DAY(CURVA[[#This Row],[Fecha]])</f>
        <v>25</v>
      </c>
      <c r="K160" t="str">
        <f>+TEXT(CURVA[[#This Row],[Fecha]],"MMMM")</f>
        <v>julio</v>
      </c>
      <c r="L160">
        <f>+YEAR(CURVA[[#This Row],[Fecha]])</f>
        <v>2026</v>
      </c>
      <c r="M160" s="70">
        <f>CURVA[[#This Row],[% AVANCE REAL]]*MAX(CURVA[M2 Avance Programado])</f>
        <v>0</v>
      </c>
      <c r="N160" s="69">
        <f>IF(CURVA[[#This Row],[% AVANCE REAL]]="",0,M160-M159)</f>
        <v>0</v>
      </c>
    </row>
    <row r="161" spans="1:14" x14ac:dyDescent="0.25">
      <c r="A161" s="1">
        <v>46229</v>
      </c>
      <c r="B161" s="7">
        <v>0.23116194954221356</v>
      </c>
      <c r="C161" s="7">
        <v>2.6726573894020056E-3</v>
      </c>
      <c r="D161">
        <v>49</v>
      </c>
      <c r="E161" s="66">
        <v>4901.3902332482621</v>
      </c>
      <c r="F161" s="66">
        <v>56.669087845885223</v>
      </c>
      <c r="G161">
        <f>+_xlfn.XLOOKUP(CURVA[[#This Row],[Fecha]],AV_PLAN[Días],AV_PLAN[INICIO REAL],"",0)</f>
        <v>0</v>
      </c>
      <c r="H161">
        <f>+_xlfn.XLOOKUP(CURVA[[#This Row],[Fecha]],AV_PLAN[Días],AV_PLAN[FECHA TERMINO REAL],"",0)</f>
        <v>0</v>
      </c>
      <c r="I161" s="13"/>
      <c r="J161">
        <f>+DAY(CURVA[[#This Row],[Fecha]])</f>
        <v>26</v>
      </c>
      <c r="K161" t="str">
        <f>+TEXT(CURVA[[#This Row],[Fecha]],"MMMM")</f>
        <v>julio</v>
      </c>
      <c r="L161">
        <f>+YEAR(CURVA[[#This Row],[Fecha]])</f>
        <v>2026</v>
      </c>
      <c r="M161" s="69">
        <f>CURVA[[#This Row],[% AVANCE REAL]]*MAX(CURVA[M2 Avance Programado])</f>
        <v>0</v>
      </c>
      <c r="N161" s="69">
        <f>IF(CURVA[[#This Row],[% AVANCE REAL]]="",0,M161-M160)</f>
        <v>0</v>
      </c>
    </row>
    <row r="162" spans="1:14" x14ac:dyDescent="0.25">
      <c r="A162" s="1">
        <v>46230</v>
      </c>
      <c r="B162" s="7">
        <v>0.23374843965220385</v>
      </c>
      <c r="C162" s="7">
        <v>2.5864901099902915E-3</v>
      </c>
      <c r="D162">
        <v>50</v>
      </c>
      <c r="E162" s="66">
        <v>4956.2322926295992</v>
      </c>
      <c r="F162" s="66">
        <v>54.842059381336718</v>
      </c>
      <c r="G162">
        <f>+_xlfn.XLOOKUP(CURVA[[#This Row],[Fecha]],AV_PLAN[Días],AV_PLAN[INICIO REAL],"",0)</f>
        <v>0</v>
      </c>
      <c r="H162">
        <f>+_xlfn.XLOOKUP(CURVA[[#This Row],[Fecha]],AV_PLAN[Días],AV_PLAN[FECHA TERMINO REAL],"",0)</f>
        <v>0</v>
      </c>
      <c r="I162" s="13"/>
      <c r="J162">
        <f>+DAY(CURVA[[#This Row],[Fecha]])</f>
        <v>27</v>
      </c>
      <c r="K162" t="str">
        <f>+TEXT(CURVA[[#This Row],[Fecha]],"MMMM")</f>
        <v>julio</v>
      </c>
      <c r="L162">
        <f>+YEAR(CURVA[[#This Row],[Fecha]])</f>
        <v>2026</v>
      </c>
      <c r="M162" s="70">
        <f>CURVA[[#This Row],[% AVANCE REAL]]*MAX(CURVA[M2 Avance Programado])</f>
        <v>0</v>
      </c>
      <c r="N162" s="69">
        <f>IF(CURVA[[#This Row],[% AVANCE REAL]]="",0,M162-M161)</f>
        <v>0</v>
      </c>
    </row>
    <row r="163" spans="1:14" x14ac:dyDescent="0.25">
      <c r="A163" s="1">
        <v>46231</v>
      </c>
      <c r="B163" s="7">
        <v>0.23641448217975211</v>
      </c>
      <c r="C163" s="7">
        <v>2.6660425275482624E-3</v>
      </c>
      <c r="D163">
        <v>50</v>
      </c>
      <c r="E163" s="66">
        <v>5012.7611237448737</v>
      </c>
      <c r="F163" s="66">
        <v>56.528831115275231</v>
      </c>
      <c r="G163">
        <f>+_xlfn.XLOOKUP(CURVA[[#This Row],[Fecha]],AV_PLAN[Días],AV_PLAN[INICIO REAL],"",0)</f>
        <v>0</v>
      </c>
      <c r="H163">
        <f>+_xlfn.XLOOKUP(CURVA[[#This Row],[Fecha]],AV_PLAN[Días],AV_PLAN[FECHA TERMINO REAL],"",0)</f>
        <v>0</v>
      </c>
      <c r="I163" s="13"/>
      <c r="J163">
        <f>+DAY(CURVA[[#This Row],[Fecha]])</f>
        <v>28</v>
      </c>
      <c r="K163" t="str">
        <f>+TEXT(CURVA[[#This Row],[Fecha]],"MMMM")</f>
        <v>julio</v>
      </c>
      <c r="L163">
        <f>+YEAR(CURVA[[#This Row],[Fecha]])</f>
        <v>2026</v>
      </c>
      <c r="M163" s="69">
        <f>CURVA[[#This Row],[% AVANCE REAL]]*MAX(CURVA[M2 Avance Programado])</f>
        <v>0</v>
      </c>
      <c r="N163" s="69">
        <f>IF(CURVA[[#This Row],[% AVANCE REAL]]="",0,M163-M162)</f>
        <v>0</v>
      </c>
    </row>
    <row r="164" spans="1:14" x14ac:dyDescent="0.25">
      <c r="A164" s="1">
        <v>46232</v>
      </c>
      <c r="B164" s="7">
        <v>0.23904555139462813</v>
      </c>
      <c r="C164" s="7">
        <v>2.6310692148760195E-3</v>
      </c>
      <c r="D164">
        <v>50</v>
      </c>
      <c r="E164" s="66">
        <v>5068.5484061169609</v>
      </c>
      <c r="F164" s="66">
        <v>55.787282372086565</v>
      </c>
      <c r="G164">
        <f>+_xlfn.XLOOKUP(CURVA[[#This Row],[Fecha]],AV_PLAN[Días],AV_PLAN[INICIO REAL],"",0)</f>
        <v>0</v>
      </c>
      <c r="H164">
        <f>+_xlfn.XLOOKUP(CURVA[[#This Row],[Fecha]],AV_PLAN[Días],AV_PLAN[FECHA TERMINO REAL],"",0)</f>
        <v>0</v>
      </c>
      <c r="I164" s="13"/>
      <c r="J164">
        <f>+DAY(CURVA[[#This Row],[Fecha]])</f>
        <v>29</v>
      </c>
      <c r="K164" t="str">
        <f>+TEXT(CURVA[[#This Row],[Fecha]],"MMMM")</f>
        <v>julio</v>
      </c>
      <c r="L164">
        <f>+YEAR(CURVA[[#This Row],[Fecha]])</f>
        <v>2026</v>
      </c>
      <c r="M164" s="70">
        <f>CURVA[[#This Row],[% AVANCE REAL]]*MAX(CURVA[M2 Avance Programado])</f>
        <v>0</v>
      </c>
      <c r="N164" s="69">
        <f>IF(CURVA[[#This Row],[% AVANCE REAL]]="",0,M164-M163)</f>
        <v>0</v>
      </c>
    </row>
    <row r="165" spans="1:14" x14ac:dyDescent="0.25">
      <c r="A165" s="1">
        <v>46233</v>
      </c>
      <c r="B165" s="7">
        <v>0.24173688231749321</v>
      </c>
      <c r="C165" s="7">
        <v>2.6913309228650817E-3</v>
      </c>
      <c r="D165">
        <v>50</v>
      </c>
      <c r="E165" s="66">
        <v>5125.6134340157714</v>
      </c>
      <c r="F165" s="66">
        <v>57.065027898810939</v>
      </c>
      <c r="G165">
        <f>+_xlfn.XLOOKUP(CURVA[[#This Row],[Fecha]],AV_PLAN[Días],AV_PLAN[INICIO REAL],"",0)</f>
        <v>0</v>
      </c>
      <c r="H165">
        <f>+_xlfn.XLOOKUP(CURVA[[#This Row],[Fecha]],AV_PLAN[Días],AV_PLAN[FECHA TERMINO REAL],"",0)</f>
        <v>0</v>
      </c>
      <c r="I165" s="13"/>
      <c r="J165">
        <f>+DAY(CURVA[[#This Row],[Fecha]])</f>
        <v>30</v>
      </c>
      <c r="K165" t="str">
        <f>+TEXT(CURVA[[#This Row],[Fecha]],"MMMM")</f>
        <v>julio</v>
      </c>
      <c r="L165">
        <f>+YEAR(CURVA[[#This Row],[Fecha]])</f>
        <v>2026</v>
      </c>
      <c r="M165" s="69">
        <f>CURVA[[#This Row],[% AVANCE REAL]]*MAX(CURVA[M2 Avance Programado])</f>
        <v>0</v>
      </c>
      <c r="N165" s="69">
        <f>IF(CURVA[[#This Row],[% AVANCE REAL]]="",0,M165-M164)</f>
        <v>0</v>
      </c>
    </row>
    <row r="166" spans="1:14" x14ac:dyDescent="0.25">
      <c r="A166" s="1">
        <v>46234</v>
      </c>
      <c r="B166" s="7">
        <v>0.24452291021005507</v>
      </c>
      <c r="C166" s="7">
        <v>2.7860278925618542E-3</v>
      </c>
      <c r="D166">
        <v>53</v>
      </c>
      <c r="E166" s="66">
        <v>5184.6863477422849</v>
      </c>
      <c r="F166" s="66">
        <v>59.072913726513768</v>
      </c>
      <c r="G166">
        <f>+_xlfn.XLOOKUP(CURVA[[#This Row],[Fecha]],AV_PLAN[Días],AV_PLAN[INICIO REAL],"",0)</f>
        <v>0</v>
      </c>
      <c r="H166">
        <f>+_xlfn.XLOOKUP(CURVA[[#This Row],[Fecha]],AV_PLAN[Días],AV_PLAN[FECHA TERMINO REAL],"",0)</f>
        <v>0</v>
      </c>
      <c r="I166" s="13"/>
      <c r="J166">
        <f>+DAY(CURVA[[#This Row],[Fecha]])</f>
        <v>31</v>
      </c>
      <c r="K166" t="str">
        <f>+TEXT(CURVA[[#This Row],[Fecha]],"MMMM")</f>
        <v>julio</v>
      </c>
      <c r="L166">
        <f>+YEAR(CURVA[[#This Row],[Fecha]])</f>
        <v>2026</v>
      </c>
      <c r="M166" s="70">
        <f>CURVA[[#This Row],[% AVANCE REAL]]*MAX(CURVA[M2 Avance Programado])</f>
        <v>0</v>
      </c>
      <c r="N166" s="69">
        <f>IF(CURVA[[#This Row],[% AVANCE REAL]]="",0,M166-M165)</f>
        <v>0</v>
      </c>
    </row>
    <row r="167" spans="1:14" x14ac:dyDescent="0.25">
      <c r="A167" s="1">
        <v>46235</v>
      </c>
      <c r="B167" s="7">
        <v>0.24732481060606065</v>
      </c>
      <c r="C167" s="7">
        <v>2.8019003960055855E-3</v>
      </c>
      <c r="D167">
        <v>50</v>
      </c>
      <c r="E167" s="66">
        <v>5244.0958105137888</v>
      </c>
      <c r="F167" s="66">
        <v>59.409462771503101</v>
      </c>
      <c r="G167">
        <f>+_xlfn.XLOOKUP(CURVA[[#This Row],[Fecha]],AV_PLAN[Días],AV_PLAN[INICIO REAL],"",0)</f>
        <v>0</v>
      </c>
      <c r="H167">
        <f>+_xlfn.XLOOKUP(CURVA[[#This Row],[Fecha]],AV_PLAN[Días],AV_PLAN[FECHA TERMINO REAL],"",0)</f>
        <v>0</v>
      </c>
      <c r="I167" s="13"/>
      <c r="J167">
        <f>+DAY(CURVA[[#This Row],[Fecha]])</f>
        <v>1</v>
      </c>
      <c r="K167" t="str">
        <f>+TEXT(CURVA[[#This Row],[Fecha]],"MMMM")</f>
        <v>agosto</v>
      </c>
      <c r="L167">
        <f>+YEAR(CURVA[[#This Row],[Fecha]])</f>
        <v>2026</v>
      </c>
      <c r="M167" s="69">
        <f>CURVA[[#This Row],[% AVANCE REAL]]*MAX(CURVA[M2 Avance Programado])</f>
        <v>0</v>
      </c>
      <c r="N167" s="69">
        <f>IF(CURVA[[#This Row],[% AVANCE REAL]]="",0,M167-M166)</f>
        <v>0</v>
      </c>
    </row>
    <row r="168" spans="1:14" x14ac:dyDescent="0.25">
      <c r="A168" s="1">
        <v>46236</v>
      </c>
      <c r="B168" s="7">
        <v>0.25001775568181805</v>
      </c>
      <c r="C168" s="7">
        <v>2.6929450757574025E-3</v>
      </c>
      <c r="D168">
        <v>48</v>
      </c>
      <c r="E168" s="66">
        <v>5301.1950637392029</v>
      </c>
      <c r="F168" s="66">
        <v>57.099253225414465</v>
      </c>
      <c r="G168">
        <f>+_xlfn.XLOOKUP(CURVA[[#This Row],[Fecha]],AV_PLAN[Días],AV_PLAN[INICIO REAL],"",0)</f>
        <v>0</v>
      </c>
      <c r="H168">
        <f>+_xlfn.XLOOKUP(CURVA[[#This Row],[Fecha]],AV_PLAN[Días],AV_PLAN[FECHA TERMINO REAL],"",0)</f>
        <v>0</v>
      </c>
      <c r="I168" s="13"/>
      <c r="J168">
        <f>+DAY(CURVA[[#This Row],[Fecha]])</f>
        <v>2</v>
      </c>
      <c r="K168" t="str">
        <f>+TEXT(CURVA[[#This Row],[Fecha]],"MMMM")</f>
        <v>agosto</v>
      </c>
      <c r="L168">
        <f>+YEAR(CURVA[[#This Row],[Fecha]])</f>
        <v>2026</v>
      </c>
      <c r="M168" s="70">
        <f>CURVA[[#This Row],[% AVANCE REAL]]*MAX(CURVA[M2 Avance Programado])</f>
        <v>0</v>
      </c>
      <c r="N168" s="69">
        <f>IF(CURVA[[#This Row],[% AVANCE REAL]]="",0,M168-M167)</f>
        <v>0</v>
      </c>
    </row>
    <row r="169" spans="1:14" x14ac:dyDescent="0.25">
      <c r="A169" s="1">
        <v>46237</v>
      </c>
      <c r="B169" s="7">
        <v>0.25255089962121202</v>
      </c>
      <c r="C169" s="7">
        <v>2.533143939393967E-3</v>
      </c>
      <c r="D169">
        <v>47</v>
      </c>
      <c r="E169" s="66">
        <v>5354.9060096303656</v>
      </c>
      <c r="F169" s="66">
        <v>53.710945891163142</v>
      </c>
      <c r="G169">
        <f>+_xlfn.XLOOKUP(CURVA[[#This Row],[Fecha]],AV_PLAN[Días],AV_PLAN[INICIO REAL],"",0)</f>
        <v>0</v>
      </c>
      <c r="H169">
        <f>+_xlfn.XLOOKUP(CURVA[[#This Row],[Fecha]],AV_PLAN[Días],AV_PLAN[FECHA TERMINO REAL],"",0)</f>
        <v>0</v>
      </c>
      <c r="I169" s="13"/>
      <c r="J169">
        <f>+DAY(CURVA[[#This Row],[Fecha]])</f>
        <v>3</v>
      </c>
      <c r="K169" t="str">
        <f>+TEXT(CURVA[[#This Row],[Fecha]],"MMMM")</f>
        <v>agosto</v>
      </c>
      <c r="L169">
        <f>+YEAR(CURVA[[#This Row],[Fecha]])</f>
        <v>2026</v>
      </c>
      <c r="M169" s="69">
        <f>CURVA[[#This Row],[% AVANCE REAL]]*MAX(CURVA[M2 Avance Programado])</f>
        <v>0</v>
      </c>
      <c r="N169" s="69">
        <f>IF(CURVA[[#This Row],[% AVANCE REAL]]="",0,M169-M168)</f>
        <v>0</v>
      </c>
    </row>
    <row r="170" spans="1:14" x14ac:dyDescent="0.25">
      <c r="A170" s="1">
        <v>46238</v>
      </c>
      <c r="B170" s="7">
        <v>0.25506036931818171</v>
      </c>
      <c r="C170" s="7">
        <v>2.5094696969696906E-3</v>
      </c>
      <c r="D170">
        <v>48</v>
      </c>
      <c r="E170" s="66">
        <v>5408.1149840646012</v>
      </c>
      <c r="F170" s="66">
        <v>53.208974434235671</v>
      </c>
      <c r="G170">
        <f>+_xlfn.XLOOKUP(CURVA[[#This Row],[Fecha]],AV_PLAN[Días],AV_PLAN[INICIO REAL],"",0)</f>
        <v>0</v>
      </c>
      <c r="H170">
        <f>+_xlfn.XLOOKUP(CURVA[[#This Row],[Fecha]],AV_PLAN[Días],AV_PLAN[FECHA TERMINO REAL],"",0)</f>
        <v>0</v>
      </c>
      <c r="I170" s="13"/>
      <c r="J170">
        <f>+DAY(CURVA[[#This Row],[Fecha]])</f>
        <v>4</v>
      </c>
      <c r="K170" t="str">
        <f>+TEXT(CURVA[[#This Row],[Fecha]],"MMMM")</f>
        <v>agosto</v>
      </c>
      <c r="L170">
        <f>+YEAR(CURVA[[#This Row],[Fecha]])</f>
        <v>2026</v>
      </c>
      <c r="M170" s="70">
        <f>CURVA[[#This Row],[% AVANCE REAL]]*MAX(CURVA[M2 Avance Programado])</f>
        <v>0</v>
      </c>
      <c r="N170" s="69">
        <f>IF(CURVA[[#This Row],[% AVANCE REAL]]="",0,M170-M169)</f>
        <v>0</v>
      </c>
    </row>
    <row r="171" spans="1:14" x14ac:dyDescent="0.25">
      <c r="A171" s="1">
        <v>46239</v>
      </c>
      <c r="B171" s="7">
        <v>0.25757575757575746</v>
      </c>
      <c r="C171" s="7">
        <v>2.5153882575757458E-3</v>
      </c>
      <c r="D171">
        <v>47</v>
      </c>
      <c r="E171" s="66">
        <v>5461.4494513630689</v>
      </c>
      <c r="F171" s="66">
        <v>53.334467298467246</v>
      </c>
      <c r="G171">
        <f>+_xlfn.XLOOKUP(CURVA[[#This Row],[Fecha]],AV_PLAN[Días],AV_PLAN[INICIO REAL],"",0)</f>
        <v>0</v>
      </c>
      <c r="H171">
        <f>+_xlfn.XLOOKUP(CURVA[[#This Row],[Fecha]],AV_PLAN[Días],AV_PLAN[FECHA TERMINO REAL],"",0)</f>
        <v>0</v>
      </c>
      <c r="I171" s="13"/>
      <c r="J171">
        <f>+DAY(CURVA[[#This Row],[Fecha]])</f>
        <v>5</v>
      </c>
      <c r="K171" t="str">
        <f>+TEXT(CURVA[[#This Row],[Fecha]],"MMMM")</f>
        <v>agosto</v>
      </c>
      <c r="L171">
        <f>+YEAR(CURVA[[#This Row],[Fecha]])</f>
        <v>2026</v>
      </c>
      <c r="M171" s="69">
        <f>CURVA[[#This Row],[% AVANCE REAL]]*MAX(CURVA[M2 Avance Programado])</f>
        <v>0</v>
      </c>
      <c r="N171" s="69">
        <f>IF(CURVA[[#This Row],[% AVANCE REAL]]="",0,M171-M170)</f>
        <v>0</v>
      </c>
    </row>
    <row r="172" spans="1:14" x14ac:dyDescent="0.25">
      <c r="A172" s="1">
        <v>46240</v>
      </c>
      <c r="B172" s="7">
        <v>0.26016216856060609</v>
      </c>
      <c r="C172" s="7">
        <v>2.5864109848486305E-3</v>
      </c>
      <c r="D172">
        <v>49</v>
      </c>
      <c r="E172" s="66">
        <v>5516.2898330323196</v>
      </c>
      <c r="F172" s="66">
        <v>54.840381669250839</v>
      </c>
      <c r="G172">
        <f>+_xlfn.XLOOKUP(CURVA[[#This Row],[Fecha]],AV_PLAN[Días],AV_PLAN[INICIO REAL],"",0)</f>
        <v>0</v>
      </c>
      <c r="H172">
        <f>+_xlfn.XLOOKUP(CURVA[[#This Row],[Fecha]],AV_PLAN[Días],AV_PLAN[FECHA TERMINO REAL],"",0)</f>
        <v>0</v>
      </c>
      <c r="I172" s="13"/>
      <c r="J172">
        <f>+DAY(CURVA[[#This Row],[Fecha]])</f>
        <v>6</v>
      </c>
      <c r="K172" t="str">
        <f>+TEXT(CURVA[[#This Row],[Fecha]],"MMMM")</f>
        <v>agosto</v>
      </c>
      <c r="L172">
        <f>+YEAR(CURVA[[#This Row],[Fecha]])</f>
        <v>2026</v>
      </c>
      <c r="M172" s="70">
        <f>CURVA[[#This Row],[% AVANCE REAL]]*MAX(CURVA[M2 Avance Programado])</f>
        <v>0</v>
      </c>
      <c r="N172" s="69">
        <f>IF(CURVA[[#This Row],[% AVANCE REAL]]="",0,M172-M171)</f>
        <v>0</v>
      </c>
    </row>
    <row r="173" spans="1:14" x14ac:dyDescent="0.25">
      <c r="A173" s="1">
        <v>46241</v>
      </c>
      <c r="B173" s="7">
        <v>0.26277225378787877</v>
      </c>
      <c r="C173" s="7">
        <v>2.6100852272726849E-3</v>
      </c>
      <c r="D173">
        <v>49</v>
      </c>
      <c r="E173" s="66">
        <v>5571.6321861584929</v>
      </c>
      <c r="F173" s="66">
        <v>55.342353126173606</v>
      </c>
      <c r="G173">
        <f>+_xlfn.XLOOKUP(CURVA[[#This Row],[Fecha]],AV_PLAN[Días],AV_PLAN[INICIO REAL],"",0)</f>
        <v>0</v>
      </c>
      <c r="H173">
        <f>+_xlfn.XLOOKUP(CURVA[[#This Row],[Fecha]],AV_PLAN[Días],AV_PLAN[FECHA TERMINO REAL],"",0)</f>
        <v>0</v>
      </c>
      <c r="I173" s="13"/>
      <c r="J173">
        <f>+DAY(CURVA[[#This Row],[Fecha]])</f>
        <v>7</v>
      </c>
      <c r="K173" t="str">
        <f>+TEXT(CURVA[[#This Row],[Fecha]],"MMMM")</f>
        <v>agosto</v>
      </c>
      <c r="L173">
        <f>+YEAR(CURVA[[#This Row],[Fecha]])</f>
        <v>2026</v>
      </c>
      <c r="M173" s="69">
        <f>CURVA[[#This Row],[% AVANCE REAL]]*MAX(CURVA[M2 Avance Programado])</f>
        <v>0</v>
      </c>
      <c r="N173" s="69">
        <f>IF(CURVA[[#This Row],[% AVANCE REAL]]="",0,M173-M172)</f>
        <v>0</v>
      </c>
    </row>
    <row r="174" spans="1:14" x14ac:dyDescent="0.25">
      <c r="A174" s="1">
        <v>46242</v>
      </c>
      <c r="B174" s="7">
        <v>0.26545632102272737</v>
      </c>
      <c r="C174" s="7">
        <v>2.6840672348485972E-3</v>
      </c>
      <c r="D174">
        <v>48</v>
      </c>
      <c r="E174" s="66">
        <v>5628.5432000875662</v>
      </c>
      <c r="F174" s="66">
        <v>56.911013929072993</v>
      </c>
      <c r="G174">
        <f>+_xlfn.XLOOKUP(CURVA[[#This Row],[Fecha]],AV_PLAN[Días],AV_PLAN[INICIO REAL],"",0)</f>
        <v>0</v>
      </c>
      <c r="H174">
        <f>+_xlfn.XLOOKUP(CURVA[[#This Row],[Fecha]],AV_PLAN[Días],AV_PLAN[FECHA TERMINO REAL],"",0)</f>
        <v>0</v>
      </c>
      <c r="I174" s="13"/>
      <c r="J174">
        <f>+DAY(CURVA[[#This Row],[Fecha]])</f>
        <v>8</v>
      </c>
      <c r="K174" t="str">
        <f>+TEXT(CURVA[[#This Row],[Fecha]],"MMMM")</f>
        <v>agosto</v>
      </c>
      <c r="L174">
        <f>+YEAR(CURVA[[#This Row],[Fecha]])</f>
        <v>2026</v>
      </c>
      <c r="M174" s="70">
        <f>CURVA[[#This Row],[% AVANCE REAL]]*MAX(CURVA[M2 Avance Programado])</f>
        <v>0</v>
      </c>
      <c r="N174" s="69">
        <f>IF(CURVA[[#This Row],[% AVANCE REAL]]="",0,M174-M173)</f>
        <v>0</v>
      </c>
    </row>
    <row r="175" spans="1:14" x14ac:dyDescent="0.25">
      <c r="A175" s="1">
        <v>46243</v>
      </c>
      <c r="B175" s="7">
        <v>0.26809599905303033</v>
      </c>
      <c r="C175" s="7">
        <v>2.639678030302961E-3</v>
      </c>
      <c r="D175">
        <v>47</v>
      </c>
      <c r="E175" s="66">
        <v>5684.5130175348977</v>
      </c>
      <c r="F175" s="66">
        <v>55.969817447331479</v>
      </c>
      <c r="G175">
        <f>+_xlfn.XLOOKUP(CURVA[[#This Row],[Fecha]],AV_PLAN[Días],AV_PLAN[INICIO REAL],"",0)</f>
        <v>0</v>
      </c>
      <c r="H175">
        <f>+_xlfn.XLOOKUP(CURVA[[#This Row],[Fecha]],AV_PLAN[Días],AV_PLAN[FECHA TERMINO REAL],"",0)</f>
        <v>0</v>
      </c>
      <c r="I175" s="13"/>
      <c r="J175">
        <f>+DAY(CURVA[[#This Row],[Fecha]])</f>
        <v>9</v>
      </c>
      <c r="K175" t="str">
        <f>+TEXT(CURVA[[#This Row],[Fecha]],"MMMM")</f>
        <v>agosto</v>
      </c>
      <c r="L175">
        <f>+YEAR(CURVA[[#This Row],[Fecha]])</f>
        <v>2026</v>
      </c>
      <c r="M175" s="69">
        <f>CURVA[[#This Row],[% AVANCE REAL]]*MAX(CURVA[M2 Avance Programado])</f>
        <v>0</v>
      </c>
      <c r="N175" s="69">
        <f>IF(CURVA[[#This Row],[% AVANCE REAL]]="",0,M175-M174)</f>
        <v>0</v>
      </c>
    </row>
    <row r="176" spans="1:14" x14ac:dyDescent="0.25">
      <c r="A176" s="1">
        <v>46244</v>
      </c>
      <c r="B176" s="7">
        <v>0.27064689867424235</v>
      </c>
      <c r="C176" s="7">
        <v>2.5508996212120216E-3</v>
      </c>
      <c r="D176">
        <v>48</v>
      </c>
      <c r="E176" s="66">
        <v>5738.6004420187537</v>
      </c>
      <c r="F176" s="66">
        <v>54.087424483855514</v>
      </c>
      <c r="G176">
        <f>+_xlfn.XLOOKUP(CURVA[[#This Row],[Fecha]],AV_PLAN[Días],AV_PLAN[INICIO REAL],"",0)</f>
        <v>0</v>
      </c>
      <c r="H176">
        <f>+_xlfn.XLOOKUP(CURVA[[#This Row],[Fecha]],AV_PLAN[Días],AV_PLAN[FECHA TERMINO REAL],"",0)</f>
        <v>0</v>
      </c>
      <c r="I176" s="13"/>
      <c r="J176">
        <f>+DAY(CURVA[[#This Row],[Fecha]])</f>
        <v>10</v>
      </c>
      <c r="K176" t="str">
        <f>+TEXT(CURVA[[#This Row],[Fecha]],"MMMM")</f>
        <v>agosto</v>
      </c>
      <c r="L176">
        <f>+YEAR(CURVA[[#This Row],[Fecha]])</f>
        <v>2026</v>
      </c>
      <c r="M176" s="70">
        <f>CURVA[[#This Row],[% AVANCE REAL]]*MAX(CURVA[M2 Avance Programado])</f>
        <v>0</v>
      </c>
      <c r="N176" s="69">
        <f>IF(CURVA[[#This Row],[% AVANCE REAL]]="",0,M176-M175)</f>
        <v>0</v>
      </c>
    </row>
    <row r="177" spans="1:14" x14ac:dyDescent="0.25">
      <c r="A177" s="1">
        <v>46245</v>
      </c>
      <c r="B177" s="7">
        <v>0.27320075757575757</v>
      </c>
      <c r="C177" s="7">
        <v>2.5538589015152158E-3</v>
      </c>
      <c r="D177">
        <v>47</v>
      </c>
      <c r="E177" s="66">
        <v>5792.7506129347285</v>
      </c>
      <c r="F177" s="66">
        <v>54.150170915974833</v>
      </c>
      <c r="G177">
        <f>+_xlfn.XLOOKUP(CURVA[[#This Row],[Fecha]],AV_PLAN[Días],AV_PLAN[INICIO REAL],"",0)</f>
        <v>0</v>
      </c>
      <c r="H177">
        <f>+_xlfn.XLOOKUP(CURVA[[#This Row],[Fecha]],AV_PLAN[Días],AV_PLAN[FECHA TERMINO REAL],"",0)</f>
        <v>0</v>
      </c>
      <c r="I177" s="13"/>
      <c r="J177">
        <f>+DAY(CURVA[[#This Row],[Fecha]])</f>
        <v>11</v>
      </c>
      <c r="K177" t="str">
        <f>+TEXT(CURVA[[#This Row],[Fecha]],"MMMM")</f>
        <v>agosto</v>
      </c>
      <c r="L177">
        <f>+YEAR(CURVA[[#This Row],[Fecha]])</f>
        <v>2026</v>
      </c>
      <c r="M177" s="69">
        <f>CURVA[[#This Row],[% AVANCE REAL]]*MAX(CURVA[M2 Avance Programado])</f>
        <v>0</v>
      </c>
      <c r="N177" s="69">
        <f>IF(CURVA[[#This Row],[% AVANCE REAL]]="",0,M177-M176)</f>
        <v>0</v>
      </c>
    </row>
    <row r="178" spans="1:14" x14ac:dyDescent="0.25">
      <c r="A178" s="1">
        <v>46246</v>
      </c>
      <c r="B178" s="7">
        <v>0.27573390151515142</v>
      </c>
      <c r="C178" s="7">
        <v>2.533143939393856E-3</v>
      </c>
      <c r="D178">
        <v>48</v>
      </c>
      <c r="E178" s="66">
        <v>5846.4615588258894</v>
      </c>
      <c r="F178" s="66">
        <v>53.71094589116079</v>
      </c>
      <c r="G178">
        <f>+_xlfn.XLOOKUP(CURVA[[#This Row],[Fecha]],AV_PLAN[Días],AV_PLAN[INICIO REAL],"",0)</f>
        <v>0</v>
      </c>
      <c r="H178">
        <f>+_xlfn.XLOOKUP(CURVA[[#This Row],[Fecha]],AV_PLAN[Días],AV_PLAN[FECHA TERMINO REAL],"",0)</f>
        <v>0</v>
      </c>
      <c r="I178" s="13"/>
      <c r="J178">
        <f>+DAY(CURVA[[#This Row],[Fecha]])</f>
        <v>12</v>
      </c>
      <c r="K178" t="str">
        <f>+TEXT(CURVA[[#This Row],[Fecha]],"MMMM")</f>
        <v>agosto</v>
      </c>
      <c r="L178">
        <f>+YEAR(CURVA[[#This Row],[Fecha]])</f>
        <v>2026</v>
      </c>
      <c r="M178" s="70">
        <f>CURVA[[#This Row],[% AVANCE REAL]]*MAX(CURVA[M2 Avance Programado])</f>
        <v>0</v>
      </c>
      <c r="N178" s="69">
        <f>IF(CURVA[[#This Row],[% AVANCE REAL]]="",0,M178-M177)</f>
        <v>0</v>
      </c>
    </row>
    <row r="179" spans="1:14" x14ac:dyDescent="0.25">
      <c r="A179" s="1">
        <v>46247</v>
      </c>
      <c r="B179" s="7">
        <v>0.27829071969696978</v>
      </c>
      <c r="C179" s="7">
        <v>2.5568181818183544E-3</v>
      </c>
      <c r="D179">
        <v>47</v>
      </c>
      <c r="E179" s="66">
        <v>5900.6744761739819</v>
      </c>
      <c r="F179" s="66">
        <v>54.212917348092979</v>
      </c>
      <c r="G179">
        <f>+_xlfn.XLOOKUP(CURVA[[#This Row],[Fecha]],AV_PLAN[Días],AV_PLAN[INICIO REAL],"",0)</f>
        <v>0</v>
      </c>
      <c r="H179">
        <f>+_xlfn.XLOOKUP(CURVA[[#This Row],[Fecha]],AV_PLAN[Días],AV_PLAN[FECHA TERMINO REAL],"",0)</f>
        <v>0</v>
      </c>
      <c r="I179" s="13"/>
      <c r="J179">
        <f>+DAY(CURVA[[#This Row],[Fecha]])</f>
        <v>13</v>
      </c>
      <c r="K179" t="str">
        <f>+TEXT(CURVA[[#This Row],[Fecha]],"MMMM")</f>
        <v>agosto</v>
      </c>
      <c r="L179">
        <f>+YEAR(CURVA[[#This Row],[Fecha]])</f>
        <v>2026</v>
      </c>
      <c r="M179" s="69">
        <f>CURVA[[#This Row],[% AVANCE REAL]]*MAX(CURVA[M2 Avance Programado])</f>
        <v>0</v>
      </c>
      <c r="N179" s="69">
        <f>IF(CURVA[[#This Row],[% AVANCE REAL]]="",0,M179-M178)</f>
        <v>0</v>
      </c>
    </row>
    <row r="180" spans="1:14" x14ac:dyDescent="0.25">
      <c r="A180" s="1">
        <v>46248</v>
      </c>
      <c r="B180" s="7">
        <v>0.28082386363636364</v>
      </c>
      <c r="C180" s="7">
        <v>2.533143939393856E-3</v>
      </c>
      <c r="D180">
        <v>48</v>
      </c>
      <c r="E180" s="66">
        <v>5954.3854220651428</v>
      </c>
      <c r="F180" s="66">
        <v>53.71094589116079</v>
      </c>
      <c r="G180">
        <f>+_xlfn.XLOOKUP(CURVA[[#This Row],[Fecha]],AV_PLAN[Días],AV_PLAN[INICIO REAL],"",0)</f>
        <v>0</v>
      </c>
      <c r="H180">
        <f>+_xlfn.XLOOKUP(CURVA[[#This Row],[Fecha]],AV_PLAN[Días],AV_PLAN[FECHA TERMINO REAL],"",0)</f>
        <v>0</v>
      </c>
      <c r="I180" s="13"/>
      <c r="J180">
        <f>+DAY(CURVA[[#This Row],[Fecha]])</f>
        <v>14</v>
      </c>
      <c r="K180" t="str">
        <f>+TEXT(CURVA[[#This Row],[Fecha]],"MMMM")</f>
        <v>agosto</v>
      </c>
      <c r="L180">
        <f>+YEAR(CURVA[[#This Row],[Fecha]])</f>
        <v>2026</v>
      </c>
      <c r="M180" s="70">
        <f>CURVA[[#This Row],[% AVANCE REAL]]*MAX(CURVA[M2 Avance Programado])</f>
        <v>0</v>
      </c>
      <c r="N180" s="69">
        <f>IF(CURVA[[#This Row],[% AVANCE REAL]]="",0,M180-M179)</f>
        <v>0</v>
      </c>
    </row>
    <row r="181" spans="1:14" x14ac:dyDescent="0.25">
      <c r="A181" s="1">
        <v>46249</v>
      </c>
      <c r="B181" s="7">
        <v>0.28342803030303038</v>
      </c>
      <c r="C181" s="7">
        <v>2.6041666666667407E-3</v>
      </c>
      <c r="D181">
        <v>46</v>
      </c>
      <c r="E181" s="66">
        <v>6009.6022823270869</v>
      </c>
      <c r="F181" s="66">
        <v>55.21686026194439</v>
      </c>
      <c r="G181">
        <f>+_xlfn.XLOOKUP(CURVA[[#This Row],[Fecha]],AV_PLAN[Días],AV_PLAN[INICIO REAL],"",0)</f>
        <v>0</v>
      </c>
      <c r="H181">
        <f>+_xlfn.XLOOKUP(CURVA[[#This Row],[Fecha]],AV_PLAN[Días],AV_PLAN[FECHA TERMINO REAL],"",0)</f>
        <v>0</v>
      </c>
      <c r="I181" s="13"/>
      <c r="J181">
        <f>+DAY(CURVA[[#This Row],[Fecha]])</f>
        <v>15</v>
      </c>
      <c r="K181" t="str">
        <f>+TEXT(CURVA[[#This Row],[Fecha]],"MMMM")</f>
        <v>agosto</v>
      </c>
      <c r="L181">
        <f>+YEAR(CURVA[[#This Row],[Fecha]])</f>
        <v>2026</v>
      </c>
      <c r="M181" s="69">
        <f>CURVA[[#This Row],[% AVANCE REAL]]*MAX(CURVA[M2 Avance Programado])</f>
        <v>0</v>
      </c>
      <c r="N181" s="69">
        <f>IF(CURVA[[#This Row],[% AVANCE REAL]]="",0,M181-M180)</f>
        <v>0</v>
      </c>
    </row>
    <row r="182" spans="1:14" x14ac:dyDescent="0.25">
      <c r="A182" s="1">
        <v>46250</v>
      </c>
      <c r="B182" s="7">
        <v>0.28598484848484856</v>
      </c>
      <c r="C182" s="7">
        <v>2.5568181818181879E-3</v>
      </c>
      <c r="D182">
        <v>45</v>
      </c>
      <c r="E182" s="66">
        <v>6063.8151996751767</v>
      </c>
      <c r="F182" s="66">
        <v>54.212917348089441</v>
      </c>
      <c r="G182">
        <f>+_xlfn.XLOOKUP(CURVA[[#This Row],[Fecha]],AV_PLAN[Días],AV_PLAN[INICIO REAL],"",0)</f>
        <v>0</v>
      </c>
      <c r="H182">
        <f>+_xlfn.XLOOKUP(CURVA[[#This Row],[Fecha]],AV_PLAN[Días],AV_PLAN[FECHA TERMINO REAL],"",0)</f>
        <v>0</v>
      </c>
      <c r="I182" s="13"/>
      <c r="J182">
        <f>+DAY(CURVA[[#This Row],[Fecha]])</f>
        <v>16</v>
      </c>
      <c r="K182" t="str">
        <f>+TEXT(CURVA[[#This Row],[Fecha]],"MMMM")</f>
        <v>agosto</v>
      </c>
      <c r="L182">
        <f>+YEAR(CURVA[[#This Row],[Fecha]])</f>
        <v>2026</v>
      </c>
      <c r="M182" s="70">
        <f>CURVA[[#This Row],[% AVANCE REAL]]*MAX(CURVA[M2 Avance Programado])</f>
        <v>0</v>
      </c>
      <c r="N182" s="69">
        <f>IF(CURVA[[#This Row],[% AVANCE REAL]]="",0,M182-M181)</f>
        <v>0</v>
      </c>
    </row>
    <row r="183" spans="1:14" x14ac:dyDescent="0.25">
      <c r="A183" s="1">
        <v>46251</v>
      </c>
      <c r="B183" s="7">
        <v>0.28842329545454531</v>
      </c>
      <c r="C183" s="7">
        <v>2.4384469696967503E-3</v>
      </c>
      <c r="D183">
        <v>45</v>
      </c>
      <c r="E183" s="66">
        <v>6115.5182597386274</v>
      </c>
      <c r="F183" s="66">
        <v>51.703060063450899</v>
      </c>
      <c r="G183">
        <f>+_xlfn.XLOOKUP(CURVA[[#This Row],[Fecha]],AV_PLAN[Días],AV_PLAN[INICIO REAL],"",0)</f>
        <v>0</v>
      </c>
      <c r="H183">
        <f>+_xlfn.XLOOKUP(CURVA[[#This Row],[Fecha]],AV_PLAN[Días],AV_PLAN[FECHA TERMINO REAL],"",0)</f>
        <v>0</v>
      </c>
      <c r="I183" s="13"/>
      <c r="J183">
        <f>+DAY(CURVA[[#This Row],[Fecha]])</f>
        <v>17</v>
      </c>
      <c r="K183" t="str">
        <f>+TEXT(CURVA[[#This Row],[Fecha]],"MMMM")</f>
        <v>agosto</v>
      </c>
      <c r="L183">
        <f>+YEAR(CURVA[[#This Row],[Fecha]])</f>
        <v>2026</v>
      </c>
      <c r="M183" s="69">
        <f>CURVA[[#This Row],[% AVANCE REAL]]*MAX(CURVA[M2 Avance Programado])</f>
        <v>0</v>
      </c>
      <c r="N183" s="69">
        <f>IF(CURVA[[#This Row],[% AVANCE REAL]]="",0,M183-M182)</f>
        <v>0</v>
      </c>
    </row>
    <row r="184" spans="1:14" x14ac:dyDescent="0.25">
      <c r="A184" s="1">
        <v>46252</v>
      </c>
      <c r="B184" s="7">
        <v>0.29093276515151517</v>
      </c>
      <c r="C184" s="7">
        <v>2.5094696969698571E-3</v>
      </c>
      <c r="D184">
        <v>47</v>
      </c>
      <c r="E184" s="66">
        <v>6168.7272341728667</v>
      </c>
      <c r="F184" s="66">
        <v>53.208974434239202</v>
      </c>
      <c r="G184">
        <f>+_xlfn.XLOOKUP(CURVA[[#This Row],[Fecha]],AV_PLAN[Días],AV_PLAN[INICIO REAL],"",0)</f>
        <v>0</v>
      </c>
      <c r="H184">
        <f>+_xlfn.XLOOKUP(CURVA[[#This Row],[Fecha]],AV_PLAN[Días],AV_PLAN[FECHA TERMINO REAL],"",0)</f>
        <v>0</v>
      </c>
      <c r="I184" s="13"/>
      <c r="J184">
        <f>+DAY(CURVA[[#This Row],[Fecha]])</f>
        <v>18</v>
      </c>
      <c r="K184" t="str">
        <f>+TEXT(CURVA[[#This Row],[Fecha]],"MMMM")</f>
        <v>agosto</v>
      </c>
      <c r="L184">
        <f>+YEAR(CURVA[[#This Row],[Fecha]])</f>
        <v>2026</v>
      </c>
      <c r="M184" s="70">
        <f>CURVA[[#This Row],[% AVANCE REAL]]*MAX(CURVA[M2 Avance Programado])</f>
        <v>0</v>
      </c>
      <c r="N184" s="69">
        <f>IF(CURVA[[#This Row],[% AVANCE REAL]]="",0,M184-M183)</f>
        <v>0</v>
      </c>
    </row>
    <row r="185" spans="1:14" x14ac:dyDescent="0.25">
      <c r="A185" s="1">
        <v>46253</v>
      </c>
      <c r="B185" s="7">
        <v>0.29346590909090903</v>
      </c>
      <c r="C185" s="7">
        <v>2.533143939393856E-3</v>
      </c>
      <c r="D185">
        <v>47</v>
      </c>
      <c r="E185" s="66">
        <v>6222.4381800640276</v>
      </c>
      <c r="F185" s="66">
        <v>53.71094589116079</v>
      </c>
      <c r="G185">
        <f>+_xlfn.XLOOKUP(CURVA[[#This Row],[Fecha]],AV_PLAN[Días],AV_PLAN[INICIO REAL],"",0)</f>
        <v>0</v>
      </c>
      <c r="H185">
        <f>+_xlfn.XLOOKUP(CURVA[[#This Row],[Fecha]],AV_PLAN[Días],AV_PLAN[FECHA TERMINO REAL],"",0)</f>
        <v>0</v>
      </c>
      <c r="I185" s="13"/>
      <c r="J185">
        <f>+DAY(CURVA[[#This Row],[Fecha]])</f>
        <v>19</v>
      </c>
      <c r="K185" t="str">
        <f>+TEXT(CURVA[[#This Row],[Fecha]],"MMMM")</f>
        <v>agosto</v>
      </c>
      <c r="L185">
        <f>+YEAR(CURVA[[#This Row],[Fecha]])</f>
        <v>2026</v>
      </c>
      <c r="M185" s="69">
        <f>CURVA[[#This Row],[% AVANCE REAL]]*MAX(CURVA[M2 Avance Programado])</f>
        <v>0</v>
      </c>
      <c r="N185" s="69">
        <f>IF(CURVA[[#This Row],[% AVANCE REAL]]="",0,M185-M184)</f>
        <v>0</v>
      </c>
    </row>
    <row r="186" spans="1:14" x14ac:dyDescent="0.25">
      <c r="A186" s="1">
        <v>46254</v>
      </c>
      <c r="B186" s="7">
        <v>0.29602272727272733</v>
      </c>
      <c r="C186" s="7">
        <v>2.5568181818182989E-3</v>
      </c>
      <c r="D186">
        <v>48</v>
      </c>
      <c r="E186" s="66">
        <v>6276.6510974121193</v>
      </c>
      <c r="F186" s="66">
        <v>54.212917348091793</v>
      </c>
      <c r="G186">
        <f>+_xlfn.XLOOKUP(CURVA[[#This Row],[Fecha]],AV_PLAN[Días],AV_PLAN[INICIO REAL],"",0)</f>
        <v>0</v>
      </c>
      <c r="H186">
        <f>+_xlfn.XLOOKUP(CURVA[[#This Row],[Fecha]],AV_PLAN[Días],AV_PLAN[FECHA TERMINO REAL],"",0)</f>
        <v>0</v>
      </c>
      <c r="I186" s="13"/>
      <c r="J186">
        <f>+DAY(CURVA[[#This Row],[Fecha]])</f>
        <v>20</v>
      </c>
      <c r="K186" t="str">
        <f>+TEXT(CURVA[[#This Row],[Fecha]],"MMMM")</f>
        <v>agosto</v>
      </c>
      <c r="L186">
        <f>+YEAR(CURVA[[#This Row],[Fecha]])</f>
        <v>2026</v>
      </c>
      <c r="M186" s="70">
        <f>CURVA[[#This Row],[% AVANCE REAL]]*MAX(CURVA[M2 Avance Programado])</f>
        <v>0</v>
      </c>
      <c r="N186" s="69">
        <f>IF(CURVA[[#This Row],[% AVANCE REAL]]="",0,M186-M185)</f>
        <v>0</v>
      </c>
    </row>
    <row r="187" spans="1:14" x14ac:dyDescent="0.25">
      <c r="A187" s="1">
        <v>46255</v>
      </c>
      <c r="B187" s="7">
        <v>0.29857954545454546</v>
      </c>
      <c r="C187" s="7">
        <v>2.5568181818181324E-3</v>
      </c>
      <c r="D187">
        <v>47</v>
      </c>
      <c r="E187" s="66">
        <v>6330.8640147602073</v>
      </c>
      <c r="F187" s="66">
        <v>54.212917348088261</v>
      </c>
      <c r="G187">
        <f>+_xlfn.XLOOKUP(CURVA[[#This Row],[Fecha]],AV_PLAN[Días],AV_PLAN[INICIO REAL],"",0)</f>
        <v>0</v>
      </c>
      <c r="H187">
        <f>+_xlfn.XLOOKUP(CURVA[[#This Row],[Fecha]],AV_PLAN[Días],AV_PLAN[FECHA TERMINO REAL],"",0)</f>
        <v>0</v>
      </c>
      <c r="I187" s="13"/>
      <c r="J187">
        <f>+DAY(CURVA[[#This Row],[Fecha]])</f>
        <v>21</v>
      </c>
      <c r="K187" t="str">
        <f>+TEXT(CURVA[[#This Row],[Fecha]],"MMMM")</f>
        <v>agosto</v>
      </c>
      <c r="L187">
        <f>+YEAR(CURVA[[#This Row],[Fecha]])</f>
        <v>2026</v>
      </c>
      <c r="M187" s="69">
        <f>CURVA[[#This Row],[% AVANCE REAL]]*MAX(CURVA[M2 Avance Programado])</f>
        <v>0</v>
      </c>
      <c r="N187" s="69">
        <f>IF(CURVA[[#This Row],[% AVANCE REAL]]="",0,M187-M186)</f>
        <v>0</v>
      </c>
    </row>
    <row r="188" spans="1:14" x14ac:dyDescent="0.25">
      <c r="A188" s="1">
        <v>46256</v>
      </c>
      <c r="B188" s="7">
        <v>0.30118371212121214</v>
      </c>
      <c r="C188" s="7">
        <v>2.6041666666666852E-3</v>
      </c>
      <c r="D188">
        <v>46</v>
      </c>
      <c r="E188" s="66">
        <v>6386.0808750221504</v>
      </c>
      <c r="F188" s="66">
        <v>55.216860261943211</v>
      </c>
      <c r="G188">
        <f>+_xlfn.XLOOKUP(CURVA[[#This Row],[Fecha]],AV_PLAN[Días],AV_PLAN[INICIO REAL],"",0)</f>
        <v>0</v>
      </c>
      <c r="H188">
        <f>+_xlfn.XLOOKUP(CURVA[[#This Row],[Fecha]],AV_PLAN[Días],AV_PLAN[FECHA TERMINO REAL],"",0)</f>
        <v>0</v>
      </c>
      <c r="I188" s="13"/>
      <c r="J188">
        <f>+DAY(CURVA[[#This Row],[Fecha]])</f>
        <v>22</v>
      </c>
      <c r="K188" t="str">
        <f>+TEXT(CURVA[[#This Row],[Fecha]],"MMMM")</f>
        <v>agosto</v>
      </c>
      <c r="L188">
        <f>+YEAR(CURVA[[#This Row],[Fecha]])</f>
        <v>2026</v>
      </c>
      <c r="M188" s="70">
        <f>CURVA[[#This Row],[% AVANCE REAL]]*MAX(CURVA[M2 Avance Programado])</f>
        <v>0</v>
      </c>
      <c r="N188" s="69">
        <f>IF(CURVA[[#This Row],[% AVANCE REAL]]="",0,M188-M187)</f>
        <v>0</v>
      </c>
    </row>
    <row r="189" spans="1:14" x14ac:dyDescent="0.25">
      <c r="A189" s="1">
        <v>46257</v>
      </c>
      <c r="B189" s="7">
        <v>0.30369318181818195</v>
      </c>
      <c r="C189" s="7">
        <v>2.5094696969698016E-3</v>
      </c>
      <c r="D189">
        <v>44</v>
      </c>
      <c r="E189" s="66">
        <v>6439.2898494563888</v>
      </c>
      <c r="F189" s="66">
        <v>53.208974434238023</v>
      </c>
      <c r="G189">
        <f>+_xlfn.XLOOKUP(CURVA[[#This Row],[Fecha]],AV_PLAN[Días],AV_PLAN[INICIO REAL],"",0)</f>
        <v>0</v>
      </c>
      <c r="H189">
        <f>+_xlfn.XLOOKUP(CURVA[[#This Row],[Fecha]],AV_PLAN[Días],AV_PLAN[FECHA TERMINO REAL],"",0)</f>
        <v>0</v>
      </c>
      <c r="I189" s="13"/>
      <c r="J189">
        <f>+DAY(CURVA[[#This Row],[Fecha]])</f>
        <v>23</v>
      </c>
      <c r="K189" t="str">
        <f>+TEXT(CURVA[[#This Row],[Fecha]],"MMMM")</f>
        <v>agosto</v>
      </c>
      <c r="L189">
        <f>+YEAR(CURVA[[#This Row],[Fecha]])</f>
        <v>2026</v>
      </c>
      <c r="M189" s="69">
        <f>CURVA[[#This Row],[% AVANCE REAL]]*MAX(CURVA[M2 Avance Programado])</f>
        <v>0</v>
      </c>
      <c r="N189" s="69">
        <f>IF(CURVA[[#This Row],[% AVANCE REAL]]="",0,M189-M188)</f>
        <v>0</v>
      </c>
    </row>
    <row r="190" spans="1:14" x14ac:dyDescent="0.25">
      <c r="A190" s="1">
        <v>46258</v>
      </c>
      <c r="B190" s="7">
        <v>0.3061316287878787</v>
      </c>
      <c r="C190" s="7">
        <v>2.4384469696967503E-3</v>
      </c>
      <c r="D190">
        <v>46</v>
      </c>
      <c r="E190" s="66">
        <v>6490.9929095198395</v>
      </c>
      <c r="F190" s="66">
        <v>51.703060063450899</v>
      </c>
      <c r="G190">
        <f>+_xlfn.XLOOKUP(CURVA[[#This Row],[Fecha]],AV_PLAN[Días],AV_PLAN[INICIO REAL],"",0)</f>
        <v>0</v>
      </c>
      <c r="H190">
        <f>+_xlfn.XLOOKUP(CURVA[[#This Row],[Fecha]],AV_PLAN[Días],AV_PLAN[FECHA TERMINO REAL],"",0)</f>
        <v>0</v>
      </c>
      <c r="I190" s="13"/>
      <c r="J190">
        <f>+DAY(CURVA[[#This Row],[Fecha]])</f>
        <v>24</v>
      </c>
      <c r="K190" t="str">
        <f>+TEXT(CURVA[[#This Row],[Fecha]],"MMMM")</f>
        <v>agosto</v>
      </c>
      <c r="L190">
        <f>+YEAR(CURVA[[#This Row],[Fecha]])</f>
        <v>2026</v>
      </c>
      <c r="M190" s="70">
        <f>CURVA[[#This Row],[% AVANCE REAL]]*MAX(CURVA[M2 Avance Programado])</f>
        <v>0</v>
      </c>
      <c r="N190" s="69">
        <f>IF(CURVA[[#This Row],[% AVANCE REAL]]="",0,M190-M189)</f>
        <v>0</v>
      </c>
    </row>
    <row r="191" spans="1:14" x14ac:dyDescent="0.25">
      <c r="A191" s="1">
        <v>46259</v>
      </c>
      <c r="B191" s="7">
        <v>0.30868844696969694</v>
      </c>
      <c r="C191" s="7">
        <v>2.5568181818182434E-3</v>
      </c>
      <c r="D191">
        <v>47</v>
      </c>
      <c r="E191" s="66">
        <v>6545.2058268679302</v>
      </c>
      <c r="F191" s="66">
        <v>54.21291734809062</v>
      </c>
      <c r="G191">
        <f>+_xlfn.XLOOKUP(CURVA[[#This Row],[Fecha]],AV_PLAN[Días],AV_PLAN[INICIO REAL],"",0)</f>
        <v>0</v>
      </c>
      <c r="H191">
        <f>+_xlfn.XLOOKUP(CURVA[[#This Row],[Fecha]],AV_PLAN[Días],AV_PLAN[FECHA TERMINO REAL],"",0)</f>
        <v>0</v>
      </c>
      <c r="I191" s="13"/>
      <c r="J191">
        <f>+DAY(CURVA[[#This Row],[Fecha]])</f>
        <v>25</v>
      </c>
      <c r="K191" t="str">
        <f>+TEXT(CURVA[[#This Row],[Fecha]],"MMMM")</f>
        <v>agosto</v>
      </c>
      <c r="L191">
        <f>+YEAR(CURVA[[#This Row],[Fecha]])</f>
        <v>2026</v>
      </c>
      <c r="M191" s="69">
        <f>CURVA[[#This Row],[% AVANCE REAL]]*MAX(CURVA[M2 Avance Programado])</f>
        <v>0</v>
      </c>
      <c r="N191" s="69">
        <f>IF(CURVA[[#This Row],[% AVANCE REAL]]="",0,M191-M190)</f>
        <v>0</v>
      </c>
    </row>
    <row r="192" spans="1:14" x14ac:dyDescent="0.25">
      <c r="A192" s="1">
        <v>46260</v>
      </c>
      <c r="B192" s="7">
        <v>0.31122159090909085</v>
      </c>
      <c r="C192" s="7">
        <v>2.5331439393939115E-3</v>
      </c>
      <c r="D192">
        <v>48</v>
      </c>
      <c r="E192" s="66">
        <v>6598.9167727590921</v>
      </c>
      <c r="F192" s="66">
        <v>53.71094589116197</v>
      </c>
      <c r="G192">
        <f>+_xlfn.XLOOKUP(CURVA[[#This Row],[Fecha]],AV_PLAN[Días],AV_PLAN[INICIO REAL],"",0)</f>
        <v>0</v>
      </c>
      <c r="H192">
        <f>+_xlfn.XLOOKUP(CURVA[[#This Row],[Fecha]],AV_PLAN[Días],AV_PLAN[FECHA TERMINO REAL],"",0)</f>
        <v>0</v>
      </c>
      <c r="I192" s="13"/>
      <c r="J192">
        <f>+DAY(CURVA[[#This Row],[Fecha]])</f>
        <v>26</v>
      </c>
      <c r="K192" t="str">
        <f>+TEXT(CURVA[[#This Row],[Fecha]],"MMMM")</f>
        <v>agosto</v>
      </c>
      <c r="L192">
        <f>+YEAR(CURVA[[#This Row],[Fecha]])</f>
        <v>2026</v>
      </c>
      <c r="M192" s="70">
        <f>CURVA[[#This Row],[% AVANCE REAL]]*MAX(CURVA[M2 Avance Programado])</f>
        <v>0</v>
      </c>
      <c r="N192" s="69">
        <f>IF(CURVA[[#This Row],[% AVANCE REAL]]="",0,M192-M191)</f>
        <v>0</v>
      </c>
    </row>
    <row r="193" spans="1:14" x14ac:dyDescent="0.25">
      <c r="A193" s="1">
        <v>46261</v>
      </c>
      <c r="B193" s="7">
        <v>0.31375473484848482</v>
      </c>
      <c r="C193" s="7">
        <v>2.533143939393967E-3</v>
      </c>
      <c r="D193">
        <v>47</v>
      </c>
      <c r="E193" s="66">
        <v>6652.6277186502557</v>
      </c>
      <c r="F193" s="66">
        <v>53.710945891163142</v>
      </c>
      <c r="G193">
        <f>+_xlfn.XLOOKUP(CURVA[[#This Row],[Fecha]],AV_PLAN[Días],AV_PLAN[INICIO REAL],"",0)</f>
        <v>0</v>
      </c>
      <c r="H193">
        <f>+_xlfn.XLOOKUP(CURVA[[#This Row],[Fecha]],AV_PLAN[Días],AV_PLAN[FECHA TERMINO REAL],"",0)</f>
        <v>0</v>
      </c>
      <c r="I193" s="13"/>
      <c r="J193">
        <f>+DAY(CURVA[[#This Row],[Fecha]])</f>
        <v>27</v>
      </c>
      <c r="K193" t="str">
        <f>+TEXT(CURVA[[#This Row],[Fecha]],"MMMM")</f>
        <v>agosto</v>
      </c>
      <c r="L193">
        <f>+YEAR(CURVA[[#This Row],[Fecha]])</f>
        <v>2026</v>
      </c>
      <c r="M193" s="69">
        <f>CURVA[[#This Row],[% AVANCE REAL]]*MAX(CURVA[M2 Avance Programado])</f>
        <v>0</v>
      </c>
      <c r="N193" s="69">
        <f>IF(CURVA[[#This Row],[% AVANCE REAL]]="",0,M193-M192)</f>
        <v>0</v>
      </c>
    </row>
    <row r="194" spans="1:14" x14ac:dyDescent="0.25">
      <c r="A194" s="1">
        <v>46262</v>
      </c>
      <c r="B194" s="7">
        <v>0.31631155303030306</v>
      </c>
      <c r="C194" s="7">
        <v>2.5568181818182434E-3</v>
      </c>
      <c r="D194">
        <v>48</v>
      </c>
      <c r="E194" s="66">
        <v>6706.8406359983455</v>
      </c>
      <c r="F194" s="66">
        <v>54.21291734809062</v>
      </c>
      <c r="G194">
        <f>+_xlfn.XLOOKUP(CURVA[[#This Row],[Fecha]],AV_PLAN[Días],AV_PLAN[INICIO REAL],"",0)</f>
        <v>0</v>
      </c>
      <c r="H194">
        <f>+_xlfn.XLOOKUP(CURVA[[#This Row],[Fecha]],AV_PLAN[Días],AV_PLAN[FECHA TERMINO REAL],"",0)</f>
        <v>0</v>
      </c>
      <c r="I194" s="13"/>
      <c r="J194">
        <f>+DAY(CURVA[[#This Row],[Fecha]])</f>
        <v>28</v>
      </c>
      <c r="K194" t="str">
        <f>+TEXT(CURVA[[#This Row],[Fecha]],"MMMM")</f>
        <v>agosto</v>
      </c>
      <c r="L194">
        <f>+YEAR(CURVA[[#This Row],[Fecha]])</f>
        <v>2026</v>
      </c>
      <c r="M194" s="70">
        <f>CURVA[[#This Row],[% AVANCE REAL]]*MAX(CURVA[M2 Avance Programado])</f>
        <v>0</v>
      </c>
      <c r="N194" s="69">
        <f>IF(CURVA[[#This Row],[% AVANCE REAL]]="",0,M194-M193)</f>
        <v>0</v>
      </c>
    </row>
    <row r="195" spans="1:14" x14ac:dyDescent="0.25">
      <c r="A195" s="1">
        <v>46263</v>
      </c>
      <c r="B195" s="7">
        <v>0.31898674242424241</v>
      </c>
      <c r="C195" s="7">
        <v>2.6751893939393478E-3</v>
      </c>
      <c r="D195">
        <v>47</v>
      </c>
      <c r="E195" s="66">
        <v>6763.5634106310681</v>
      </c>
      <c r="F195" s="66">
        <v>56.7227746327221</v>
      </c>
      <c r="G195">
        <f>+_xlfn.XLOOKUP(CURVA[[#This Row],[Fecha]],AV_PLAN[Días],AV_PLAN[INICIO REAL],"",0)</f>
        <v>0</v>
      </c>
      <c r="H195">
        <f>+_xlfn.XLOOKUP(CURVA[[#This Row],[Fecha]],AV_PLAN[Días],AV_PLAN[FECHA TERMINO REAL],"",0)</f>
        <v>0</v>
      </c>
      <c r="I195" s="13"/>
      <c r="J195">
        <f>+DAY(CURVA[[#This Row],[Fecha]])</f>
        <v>29</v>
      </c>
      <c r="K195" t="str">
        <f>+TEXT(CURVA[[#This Row],[Fecha]],"MMMM")</f>
        <v>agosto</v>
      </c>
      <c r="L195">
        <f>+YEAR(CURVA[[#This Row],[Fecha]])</f>
        <v>2026</v>
      </c>
      <c r="M195" s="69">
        <f>CURVA[[#This Row],[% AVANCE REAL]]*MAX(CURVA[M2 Avance Programado])</f>
        <v>0</v>
      </c>
      <c r="N195" s="69">
        <f>IF(CURVA[[#This Row],[% AVANCE REAL]]="",0,M195-M194)</f>
        <v>0</v>
      </c>
    </row>
    <row r="196" spans="1:14" x14ac:dyDescent="0.25">
      <c r="A196" s="1">
        <v>46264</v>
      </c>
      <c r="B196" s="7">
        <v>0.32156723484848498</v>
      </c>
      <c r="C196" s="7">
        <v>2.5804924242425753E-3</v>
      </c>
      <c r="D196">
        <v>45</v>
      </c>
      <c r="E196" s="66">
        <v>6818.2782994360878</v>
      </c>
      <c r="F196" s="66">
        <v>54.714888805019271</v>
      </c>
      <c r="G196">
        <f>+_xlfn.XLOOKUP(CURVA[[#This Row],[Fecha]],AV_PLAN[Días],AV_PLAN[INICIO REAL],"",0)</f>
        <v>0</v>
      </c>
      <c r="H196">
        <f>+_xlfn.XLOOKUP(CURVA[[#This Row],[Fecha]],AV_PLAN[Días],AV_PLAN[FECHA TERMINO REAL],"",0)</f>
        <v>0</v>
      </c>
      <c r="I196" s="13"/>
      <c r="J196">
        <f>+DAY(CURVA[[#This Row],[Fecha]])</f>
        <v>30</v>
      </c>
      <c r="K196" t="str">
        <f>+TEXT(CURVA[[#This Row],[Fecha]],"MMMM")</f>
        <v>agosto</v>
      </c>
      <c r="L196">
        <f>+YEAR(CURVA[[#This Row],[Fecha]])</f>
        <v>2026</v>
      </c>
      <c r="M196" s="70">
        <f>CURVA[[#This Row],[% AVANCE REAL]]*MAX(CURVA[M2 Avance Programado])</f>
        <v>0</v>
      </c>
      <c r="N196" s="69">
        <f>IF(CURVA[[#This Row],[% AVANCE REAL]]="",0,M196-M195)</f>
        <v>0</v>
      </c>
    </row>
    <row r="197" spans="1:14" x14ac:dyDescent="0.25">
      <c r="A197" s="1">
        <v>46265</v>
      </c>
      <c r="B197" s="7">
        <v>0.32395833333333324</v>
      </c>
      <c r="C197" s="7">
        <v>2.391098484848253E-3</v>
      </c>
      <c r="D197">
        <v>44</v>
      </c>
      <c r="E197" s="66">
        <v>6868.9774165856843</v>
      </c>
      <c r="F197" s="66">
        <v>50.699117149597129</v>
      </c>
      <c r="G197">
        <f>+_xlfn.XLOOKUP(CURVA[[#This Row],[Fecha]],AV_PLAN[Días],AV_PLAN[INICIO REAL],"",0)</f>
        <v>0</v>
      </c>
      <c r="H197">
        <f>+_xlfn.XLOOKUP(CURVA[[#This Row],[Fecha]],AV_PLAN[Días],AV_PLAN[FECHA TERMINO REAL],"",0)</f>
        <v>0</v>
      </c>
      <c r="I197" s="13"/>
      <c r="J197">
        <f>+DAY(CURVA[[#This Row],[Fecha]])</f>
        <v>31</v>
      </c>
      <c r="K197" t="str">
        <f>+TEXT(CURVA[[#This Row],[Fecha]],"MMMM")</f>
        <v>agosto</v>
      </c>
      <c r="L197">
        <f>+YEAR(CURVA[[#This Row],[Fecha]])</f>
        <v>2026</v>
      </c>
      <c r="M197" s="69">
        <f>CURVA[[#This Row],[% AVANCE REAL]]*MAX(CURVA[M2 Avance Programado])</f>
        <v>0</v>
      </c>
      <c r="N197" s="69">
        <f>IF(CURVA[[#This Row],[% AVANCE REAL]]="",0,M197-M196)</f>
        <v>0</v>
      </c>
    </row>
    <row r="198" spans="1:14" x14ac:dyDescent="0.25">
      <c r="A198" s="1">
        <v>46266</v>
      </c>
      <c r="B198" s="7">
        <v>0.32646780303030298</v>
      </c>
      <c r="C198" s="7">
        <v>2.5094696969697461E-3</v>
      </c>
      <c r="D198">
        <v>47</v>
      </c>
      <c r="E198" s="66">
        <v>6922.1863910199218</v>
      </c>
      <c r="F198" s="66">
        <v>53.20897443423685</v>
      </c>
      <c r="G198">
        <f>+_xlfn.XLOOKUP(CURVA[[#This Row],[Fecha]],AV_PLAN[Días],AV_PLAN[INICIO REAL],"",0)</f>
        <v>0</v>
      </c>
      <c r="H198">
        <f>+_xlfn.XLOOKUP(CURVA[[#This Row],[Fecha]],AV_PLAN[Días],AV_PLAN[FECHA TERMINO REAL],"",0)</f>
        <v>0</v>
      </c>
      <c r="I198" s="13"/>
      <c r="J198">
        <f>+DAY(CURVA[[#This Row],[Fecha]])</f>
        <v>1</v>
      </c>
      <c r="K198" t="str">
        <f>+TEXT(CURVA[[#This Row],[Fecha]],"MMMM")</f>
        <v>septiembre</v>
      </c>
      <c r="L198">
        <f>+YEAR(CURVA[[#This Row],[Fecha]])</f>
        <v>2026</v>
      </c>
      <c r="M198" s="70">
        <f>CURVA[[#This Row],[% AVANCE REAL]]*MAX(CURVA[M2 Avance Programado])</f>
        <v>0</v>
      </c>
      <c r="N198" s="69">
        <f>IF(CURVA[[#This Row],[% AVANCE REAL]]="",0,M198-M197)</f>
        <v>0</v>
      </c>
    </row>
    <row r="199" spans="1:14" x14ac:dyDescent="0.25">
      <c r="A199" s="1">
        <v>46267</v>
      </c>
      <c r="B199" s="7">
        <v>0.32902462121212123</v>
      </c>
      <c r="C199" s="7">
        <v>2.5568181818182434E-3</v>
      </c>
      <c r="D199">
        <v>48</v>
      </c>
      <c r="E199" s="66">
        <v>6976.3993083680116</v>
      </c>
      <c r="F199" s="66">
        <v>54.21291734809062</v>
      </c>
      <c r="G199">
        <f>+_xlfn.XLOOKUP(CURVA[[#This Row],[Fecha]],AV_PLAN[Días],AV_PLAN[INICIO REAL],"",0)</f>
        <v>0</v>
      </c>
      <c r="H199">
        <f>+_xlfn.XLOOKUP(CURVA[[#This Row],[Fecha]],AV_PLAN[Días],AV_PLAN[FECHA TERMINO REAL],"",0)</f>
        <v>0</v>
      </c>
      <c r="I199" s="13"/>
      <c r="J199">
        <f>+DAY(CURVA[[#This Row],[Fecha]])</f>
        <v>2</v>
      </c>
      <c r="K199" t="str">
        <f>+TEXT(CURVA[[#This Row],[Fecha]],"MMMM")</f>
        <v>septiembre</v>
      </c>
      <c r="L199">
        <f>+YEAR(CURVA[[#This Row],[Fecha]])</f>
        <v>2026</v>
      </c>
      <c r="M199" s="69">
        <f>CURVA[[#This Row],[% AVANCE REAL]]*MAX(CURVA[M2 Avance Programado])</f>
        <v>0</v>
      </c>
      <c r="N199" s="69">
        <f>IF(CURVA[[#This Row],[% AVANCE REAL]]="",0,M199-M198)</f>
        <v>0</v>
      </c>
    </row>
    <row r="200" spans="1:14" x14ac:dyDescent="0.25">
      <c r="A200" s="1">
        <v>46268</v>
      </c>
      <c r="B200" s="7">
        <v>0.33162878787878786</v>
      </c>
      <c r="C200" s="7">
        <v>2.6041666666666297E-3</v>
      </c>
      <c r="D200">
        <v>49</v>
      </c>
      <c r="E200" s="66">
        <v>7031.6161686299538</v>
      </c>
      <c r="F200" s="66">
        <v>55.216860261942031</v>
      </c>
      <c r="G200">
        <f>+_xlfn.XLOOKUP(CURVA[[#This Row],[Fecha]],AV_PLAN[Días],AV_PLAN[INICIO REAL],"",0)</f>
        <v>0</v>
      </c>
      <c r="H200">
        <f>+_xlfn.XLOOKUP(CURVA[[#This Row],[Fecha]],AV_PLAN[Días],AV_PLAN[FECHA TERMINO REAL],"",0)</f>
        <v>0</v>
      </c>
      <c r="I200" s="13"/>
      <c r="J200">
        <f>+DAY(CURVA[[#This Row],[Fecha]])</f>
        <v>3</v>
      </c>
      <c r="K200" t="str">
        <f>+TEXT(CURVA[[#This Row],[Fecha]],"MMMM")</f>
        <v>septiembre</v>
      </c>
      <c r="L200">
        <f>+YEAR(CURVA[[#This Row],[Fecha]])</f>
        <v>2026</v>
      </c>
      <c r="M200" s="70">
        <f>CURVA[[#This Row],[% AVANCE REAL]]*MAX(CURVA[M2 Avance Programado])</f>
        <v>0</v>
      </c>
      <c r="N200" s="69">
        <f>IF(CURVA[[#This Row],[% AVANCE REAL]]="",0,M200-M199)</f>
        <v>0</v>
      </c>
    </row>
    <row r="201" spans="1:14" x14ac:dyDescent="0.25">
      <c r="A201" s="1">
        <v>46269</v>
      </c>
      <c r="B201" s="7">
        <v>0.3342329545454546</v>
      </c>
      <c r="C201" s="7">
        <v>2.6041666666667407E-3</v>
      </c>
      <c r="D201">
        <v>49</v>
      </c>
      <c r="E201" s="66">
        <v>7086.8330288918987</v>
      </c>
      <c r="F201" s="66">
        <v>55.21686026194439</v>
      </c>
      <c r="G201">
        <f>+_xlfn.XLOOKUP(CURVA[[#This Row],[Fecha]],AV_PLAN[Días],AV_PLAN[INICIO REAL],"",0)</f>
        <v>0</v>
      </c>
      <c r="H201">
        <f>+_xlfn.XLOOKUP(CURVA[[#This Row],[Fecha]],AV_PLAN[Días],AV_PLAN[FECHA TERMINO REAL],"",0)</f>
        <v>0</v>
      </c>
      <c r="I201" s="13"/>
      <c r="J201">
        <f>+DAY(CURVA[[#This Row],[Fecha]])</f>
        <v>4</v>
      </c>
      <c r="K201" t="str">
        <f>+TEXT(CURVA[[#This Row],[Fecha]],"MMMM")</f>
        <v>septiembre</v>
      </c>
      <c r="L201">
        <f>+YEAR(CURVA[[#This Row],[Fecha]])</f>
        <v>2026</v>
      </c>
      <c r="M201" s="69">
        <f>CURVA[[#This Row],[% AVANCE REAL]]*MAX(CURVA[M2 Avance Programado])</f>
        <v>0</v>
      </c>
      <c r="N201" s="69">
        <f>IF(CURVA[[#This Row],[% AVANCE REAL]]="",0,M201-M200)</f>
        <v>0</v>
      </c>
    </row>
    <row r="202" spans="1:14" x14ac:dyDescent="0.25">
      <c r="A202" s="1">
        <v>46270</v>
      </c>
      <c r="B202" s="7">
        <v>0.33702651515151516</v>
      </c>
      <c r="C202" s="7">
        <v>2.7935606060605633E-3</v>
      </c>
      <c r="D202">
        <v>49</v>
      </c>
      <c r="E202" s="66">
        <v>7146.065660809254</v>
      </c>
      <c r="F202" s="66">
        <v>59.232631917355931</v>
      </c>
      <c r="G202">
        <f>+_xlfn.XLOOKUP(CURVA[[#This Row],[Fecha]],AV_PLAN[Días],AV_PLAN[INICIO REAL],"",0)</f>
        <v>0</v>
      </c>
      <c r="H202">
        <f>+_xlfn.XLOOKUP(CURVA[[#This Row],[Fecha]],AV_PLAN[Días],AV_PLAN[FECHA TERMINO REAL],"",0)</f>
        <v>0</v>
      </c>
      <c r="I202" s="13"/>
      <c r="J202">
        <f>+DAY(CURVA[[#This Row],[Fecha]])</f>
        <v>5</v>
      </c>
      <c r="K202" t="str">
        <f>+TEXT(CURVA[[#This Row],[Fecha]],"MMMM")</f>
        <v>septiembre</v>
      </c>
      <c r="L202">
        <f>+YEAR(CURVA[[#This Row],[Fecha]])</f>
        <v>2026</v>
      </c>
      <c r="M202" s="70">
        <f>CURVA[[#This Row],[% AVANCE REAL]]*MAX(CURVA[M2 Avance Programado])</f>
        <v>0</v>
      </c>
      <c r="N202" s="69">
        <f>IF(CURVA[[#This Row],[% AVANCE REAL]]="",0,M202-M201)</f>
        <v>0</v>
      </c>
    </row>
    <row r="203" spans="1:14" x14ac:dyDescent="0.25">
      <c r="A203" s="1">
        <v>46271</v>
      </c>
      <c r="B203" s="7">
        <v>0.33972537878787884</v>
      </c>
      <c r="C203" s="7">
        <v>2.6988636363636798E-3</v>
      </c>
      <c r="D203">
        <v>47</v>
      </c>
      <c r="E203" s="66">
        <v>7203.2904068989046</v>
      </c>
      <c r="F203" s="66">
        <v>57.22474608965075</v>
      </c>
      <c r="G203">
        <f>+_xlfn.XLOOKUP(CURVA[[#This Row],[Fecha]],AV_PLAN[Días],AV_PLAN[INICIO REAL],"",0)</f>
        <v>0</v>
      </c>
      <c r="H203">
        <f>+_xlfn.XLOOKUP(CURVA[[#This Row],[Fecha]],AV_PLAN[Días],AV_PLAN[FECHA TERMINO REAL],"",0)</f>
        <v>0</v>
      </c>
      <c r="I203" s="13"/>
      <c r="J203">
        <f>+DAY(CURVA[[#This Row],[Fecha]])</f>
        <v>6</v>
      </c>
      <c r="K203" t="str">
        <f>+TEXT(CURVA[[#This Row],[Fecha]],"MMMM")</f>
        <v>septiembre</v>
      </c>
      <c r="L203">
        <f>+YEAR(CURVA[[#This Row],[Fecha]])</f>
        <v>2026</v>
      </c>
      <c r="M203" s="69">
        <f>CURVA[[#This Row],[% AVANCE REAL]]*MAX(CURVA[M2 Avance Programado])</f>
        <v>0</v>
      </c>
      <c r="N203" s="69">
        <f>IF(CURVA[[#This Row],[% AVANCE REAL]]="",0,M203-M202)</f>
        <v>0</v>
      </c>
    </row>
    <row r="204" spans="1:14" x14ac:dyDescent="0.25">
      <c r="A204" s="1">
        <v>46272</v>
      </c>
      <c r="B204" s="7">
        <v>0.34223484848484848</v>
      </c>
      <c r="C204" s="7">
        <v>2.5094696969696351E-3</v>
      </c>
      <c r="D204">
        <v>47</v>
      </c>
      <c r="E204" s="66">
        <v>7256.4993813331394</v>
      </c>
      <c r="F204" s="66">
        <v>53.208974434234491</v>
      </c>
      <c r="G204">
        <f>+_xlfn.XLOOKUP(CURVA[[#This Row],[Fecha]],AV_PLAN[Días],AV_PLAN[INICIO REAL],"",0)</f>
        <v>0</v>
      </c>
      <c r="H204">
        <f>+_xlfn.XLOOKUP(CURVA[[#This Row],[Fecha]],AV_PLAN[Días],AV_PLAN[FECHA TERMINO REAL],"",0)</f>
        <v>0</v>
      </c>
      <c r="I204" s="13"/>
      <c r="J204">
        <f>+DAY(CURVA[[#This Row],[Fecha]])</f>
        <v>7</v>
      </c>
      <c r="K204" t="str">
        <f>+TEXT(CURVA[[#This Row],[Fecha]],"MMMM")</f>
        <v>septiembre</v>
      </c>
      <c r="L204">
        <f>+YEAR(CURVA[[#This Row],[Fecha]])</f>
        <v>2026</v>
      </c>
      <c r="M204" s="70">
        <f>CURVA[[#This Row],[% AVANCE REAL]]*MAX(CURVA[M2 Avance Programado])</f>
        <v>0</v>
      </c>
      <c r="N204" s="69">
        <f>IF(CURVA[[#This Row],[% AVANCE REAL]]="",0,M204-M203)</f>
        <v>0</v>
      </c>
    </row>
    <row r="205" spans="1:14" x14ac:dyDescent="0.25">
      <c r="A205" s="1">
        <v>46273</v>
      </c>
      <c r="B205" s="7">
        <v>0.34486268939393933</v>
      </c>
      <c r="C205" s="7">
        <v>2.6278409090908506E-3</v>
      </c>
      <c r="D205">
        <v>49</v>
      </c>
      <c r="E205" s="66">
        <v>7312.2182130520077</v>
      </c>
      <c r="F205" s="66">
        <v>55.71883171886833</v>
      </c>
      <c r="G205">
        <f>+_xlfn.XLOOKUP(CURVA[[#This Row],[Fecha]],AV_PLAN[Días],AV_PLAN[INICIO REAL],"",0)</f>
        <v>0</v>
      </c>
      <c r="H205">
        <f>+_xlfn.XLOOKUP(CURVA[[#This Row],[Fecha]],AV_PLAN[Días],AV_PLAN[FECHA TERMINO REAL],"",0)</f>
        <v>0</v>
      </c>
      <c r="I205" s="13"/>
      <c r="J205">
        <f>+DAY(CURVA[[#This Row],[Fecha]])</f>
        <v>8</v>
      </c>
      <c r="K205" t="str">
        <f>+TEXT(CURVA[[#This Row],[Fecha]],"MMMM")</f>
        <v>septiembre</v>
      </c>
      <c r="L205">
        <f>+YEAR(CURVA[[#This Row],[Fecha]])</f>
        <v>2026</v>
      </c>
      <c r="M205" s="69">
        <f>CURVA[[#This Row],[% AVANCE REAL]]*MAX(CURVA[M2 Avance Programado])</f>
        <v>0</v>
      </c>
      <c r="N205" s="69">
        <f>IF(CURVA[[#This Row],[% AVANCE REAL]]="",0,M205-M204)</f>
        <v>0</v>
      </c>
    </row>
    <row r="206" spans="1:14" x14ac:dyDescent="0.25">
      <c r="A206" s="1">
        <v>46274</v>
      </c>
      <c r="B206" s="7">
        <v>0.34758522727272723</v>
      </c>
      <c r="C206" s="7">
        <v>2.7225378787879007E-3</v>
      </c>
      <c r="D206">
        <v>51</v>
      </c>
      <c r="E206" s="66">
        <v>7369.9449305985836</v>
      </c>
      <c r="F206" s="66">
        <v>57.726717546577042</v>
      </c>
      <c r="G206">
        <f>+_xlfn.XLOOKUP(CURVA[[#This Row],[Fecha]],AV_PLAN[Días],AV_PLAN[INICIO REAL],"",0)</f>
        <v>0</v>
      </c>
      <c r="H206">
        <f>+_xlfn.XLOOKUP(CURVA[[#This Row],[Fecha]],AV_PLAN[Días],AV_PLAN[FECHA TERMINO REAL],"",0)</f>
        <v>0</v>
      </c>
      <c r="I206" s="13"/>
      <c r="J206">
        <f>+DAY(CURVA[[#This Row],[Fecha]])</f>
        <v>9</v>
      </c>
      <c r="K206" t="str">
        <f>+TEXT(CURVA[[#This Row],[Fecha]],"MMMM")</f>
        <v>septiembre</v>
      </c>
      <c r="L206">
        <f>+YEAR(CURVA[[#This Row],[Fecha]])</f>
        <v>2026</v>
      </c>
      <c r="M206" s="70">
        <f>CURVA[[#This Row],[% AVANCE REAL]]*MAX(CURVA[M2 Avance Programado])</f>
        <v>0</v>
      </c>
      <c r="N206" s="69">
        <f>IF(CURVA[[#This Row],[% AVANCE REAL]]="",0,M206-M205)</f>
        <v>0</v>
      </c>
    </row>
    <row r="207" spans="1:14" x14ac:dyDescent="0.25">
      <c r="A207" s="1">
        <v>46275</v>
      </c>
      <c r="B207" s="7">
        <v>0.35028409090909091</v>
      </c>
      <c r="C207" s="7">
        <v>2.6988636363636798E-3</v>
      </c>
      <c r="D207">
        <v>51</v>
      </c>
      <c r="E207" s="66">
        <v>7427.169676688236</v>
      </c>
      <c r="F207" s="66">
        <v>57.22474608965075</v>
      </c>
      <c r="G207">
        <f>+_xlfn.XLOOKUP(CURVA[[#This Row],[Fecha]],AV_PLAN[Días],AV_PLAN[INICIO REAL],"",0)</f>
        <v>0</v>
      </c>
      <c r="H207">
        <f>+_xlfn.XLOOKUP(CURVA[[#This Row],[Fecha]],AV_PLAN[Días],AV_PLAN[FECHA TERMINO REAL],"",0)</f>
        <v>0</v>
      </c>
      <c r="I207" s="13"/>
      <c r="J207">
        <f>+DAY(CURVA[[#This Row],[Fecha]])</f>
        <v>10</v>
      </c>
      <c r="K207" t="str">
        <f>+TEXT(CURVA[[#This Row],[Fecha]],"MMMM")</f>
        <v>septiembre</v>
      </c>
      <c r="L207">
        <f>+YEAR(CURVA[[#This Row],[Fecha]])</f>
        <v>2026</v>
      </c>
      <c r="M207" s="69">
        <f>CURVA[[#This Row],[% AVANCE REAL]]*MAX(CURVA[M2 Avance Programado])</f>
        <v>0</v>
      </c>
      <c r="N207" s="69">
        <f>IF(CURVA[[#This Row],[% AVANCE REAL]]="",0,M207-M206)</f>
        <v>0</v>
      </c>
    </row>
    <row r="208" spans="1:14" x14ac:dyDescent="0.25">
      <c r="A208" s="1">
        <v>46276</v>
      </c>
      <c r="B208" s="7">
        <v>0.35307765151515152</v>
      </c>
      <c r="C208" s="7">
        <v>2.7935606060606188E-3</v>
      </c>
      <c r="D208">
        <v>52</v>
      </c>
      <c r="E208" s="66">
        <v>7486.402308605594</v>
      </c>
      <c r="F208" s="66">
        <v>59.232631917357111</v>
      </c>
      <c r="G208">
        <f>+_xlfn.XLOOKUP(CURVA[[#This Row],[Fecha]],AV_PLAN[Días],AV_PLAN[INICIO REAL],"",0)</f>
        <v>0</v>
      </c>
      <c r="H208">
        <f>+_xlfn.XLOOKUP(CURVA[[#This Row],[Fecha]],AV_PLAN[Días],AV_PLAN[FECHA TERMINO REAL],"",0)</f>
        <v>0</v>
      </c>
      <c r="I208" s="13"/>
      <c r="J208">
        <f>+DAY(CURVA[[#This Row],[Fecha]])</f>
        <v>11</v>
      </c>
      <c r="K208" t="str">
        <f>+TEXT(CURVA[[#This Row],[Fecha]],"MMMM")</f>
        <v>septiembre</v>
      </c>
      <c r="L208">
        <f>+YEAR(CURVA[[#This Row],[Fecha]])</f>
        <v>2026</v>
      </c>
      <c r="M208" s="70">
        <f>CURVA[[#This Row],[% AVANCE REAL]]*MAX(CURVA[M2 Avance Programado])</f>
        <v>0</v>
      </c>
      <c r="N208" s="69">
        <f>IF(CURVA[[#This Row],[% AVANCE REAL]]="",0,M208-M207)</f>
        <v>0</v>
      </c>
    </row>
    <row r="209" spans="1:14" x14ac:dyDescent="0.25">
      <c r="A209" s="1">
        <v>46277</v>
      </c>
      <c r="B209" s="7">
        <v>0.35601325757575764</v>
      </c>
      <c r="C209" s="7">
        <v>2.9356060606061107E-3</v>
      </c>
      <c r="D209">
        <v>51</v>
      </c>
      <c r="E209" s="66">
        <v>7548.646769264511</v>
      </c>
      <c r="F209" s="66">
        <v>62.24446065891842</v>
      </c>
      <c r="G209">
        <f>+_xlfn.XLOOKUP(CURVA[[#This Row],[Fecha]],AV_PLAN[Días],AV_PLAN[INICIO REAL],"",0)</f>
        <v>0</v>
      </c>
      <c r="H209">
        <f>+_xlfn.XLOOKUP(CURVA[[#This Row],[Fecha]],AV_PLAN[Días],AV_PLAN[FECHA TERMINO REAL],"",0)</f>
        <v>0</v>
      </c>
      <c r="I209" s="13"/>
      <c r="J209">
        <f>+DAY(CURVA[[#This Row],[Fecha]])</f>
        <v>12</v>
      </c>
      <c r="K209" t="str">
        <f>+TEXT(CURVA[[#This Row],[Fecha]],"MMMM")</f>
        <v>septiembre</v>
      </c>
      <c r="L209">
        <f>+YEAR(CURVA[[#This Row],[Fecha]])</f>
        <v>2026</v>
      </c>
      <c r="M209" s="69">
        <f>CURVA[[#This Row],[% AVANCE REAL]]*MAX(CURVA[M2 Avance Programado])</f>
        <v>0</v>
      </c>
      <c r="N209" s="69">
        <f>IF(CURVA[[#This Row],[% AVANCE REAL]]="",0,M209-M208)</f>
        <v>0</v>
      </c>
    </row>
    <row r="210" spans="1:14" x14ac:dyDescent="0.25">
      <c r="A210" s="1">
        <v>46278</v>
      </c>
      <c r="B210" s="7">
        <v>0.35890151515151519</v>
      </c>
      <c r="C210" s="7">
        <v>2.8882575757575579E-3</v>
      </c>
      <c r="D210">
        <v>50</v>
      </c>
      <c r="E210" s="66">
        <v>7609.8872870095747</v>
      </c>
      <c r="F210" s="66">
        <v>61.240517745063471</v>
      </c>
      <c r="G210">
        <f>+_xlfn.XLOOKUP(CURVA[[#This Row],[Fecha]],AV_PLAN[Días],AV_PLAN[INICIO REAL],"",0)</f>
        <v>0</v>
      </c>
      <c r="H210">
        <f>+_xlfn.XLOOKUP(CURVA[[#This Row],[Fecha]],AV_PLAN[Días],AV_PLAN[FECHA TERMINO REAL],"",0)</f>
        <v>0</v>
      </c>
      <c r="I210" s="13"/>
      <c r="J210">
        <f>+DAY(CURVA[[#This Row],[Fecha]])</f>
        <v>13</v>
      </c>
      <c r="K210" t="str">
        <f>+TEXT(CURVA[[#This Row],[Fecha]],"MMMM")</f>
        <v>septiembre</v>
      </c>
      <c r="L210">
        <f>+YEAR(CURVA[[#This Row],[Fecha]])</f>
        <v>2026</v>
      </c>
      <c r="M210" s="70">
        <f>CURVA[[#This Row],[% AVANCE REAL]]*MAX(CURVA[M2 Avance Programado])</f>
        <v>0</v>
      </c>
      <c r="N210" s="69">
        <f>IF(CURVA[[#This Row],[% AVANCE REAL]]="",0,M210-M209)</f>
        <v>0</v>
      </c>
    </row>
    <row r="211" spans="1:14" x14ac:dyDescent="0.25">
      <c r="A211" s="1">
        <v>46279</v>
      </c>
      <c r="B211" s="7">
        <v>0.36155303030303027</v>
      </c>
      <c r="C211" s="7">
        <v>2.6515151515150714E-3</v>
      </c>
      <c r="D211">
        <v>49</v>
      </c>
      <c r="E211" s="66">
        <v>7666.1080901853693</v>
      </c>
      <c r="F211" s="66">
        <v>56.220803175794629</v>
      </c>
      <c r="G211">
        <f>+_xlfn.XLOOKUP(CURVA[[#This Row],[Fecha]],AV_PLAN[Días],AV_PLAN[INICIO REAL],"",0)</f>
        <v>0</v>
      </c>
      <c r="H211">
        <f>+_xlfn.XLOOKUP(CURVA[[#This Row],[Fecha]],AV_PLAN[Días],AV_PLAN[FECHA TERMINO REAL],"",0)</f>
        <v>0</v>
      </c>
      <c r="I211" s="13"/>
      <c r="J211">
        <f>+DAY(CURVA[[#This Row],[Fecha]])</f>
        <v>14</v>
      </c>
      <c r="K211" t="str">
        <f>+TEXT(CURVA[[#This Row],[Fecha]],"MMMM")</f>
        <v>septiembre</v>
      </c>
      <c r="L211">
        <f>+YEAR(CURVA[[#This Row],[Fecha]])</f>
        <v>2026</v>
      </c>
      <c r="M211" s="69">
        <f>CURVA[[#This Row],[% AVANCE REAL]]*MAX(CURVA[M2 Avance Programado])</f>
        <v>0</v>
      </c>
      <c r="N211" s="69">
        <f>IF(CURVA[[#This Row],[% AVANCE REAL]]="",0,M211-M210)</f>
        <v>0</v>
      </c>
    </row>
    <row r="212" spans="1:14" x14ac:dyDescent="0.25">
      <c r="A212" s="1">
        <v>46280</v>
      </c>
      <c r="B212" s="7">
        <v>0.36429924242424244</v>
      </c>
      <c r="C212" s="7">
        <v>2.7462121212121771E-3</v>
      </c>
      <c r="D212">
        <v>51</v>
      </c>
      <c r="E212" s="66">
        <v>7724.3367791888732</v>
      </c>
      <c r="F212" s="66">
        <v>58.22868900350452</v>
      </c>
      <c r="G212">
        <f>+_xlfn.XLOOKUP(CURVA[[#This Row],[Fecha]],AV_PLAN[Días],AV_PLAN[INICIO REAL],"",0)</f>
        <v>0</v>
      </c>
      <c r="H212">
        <f>+_xlfn.XLOOKUP(CURVA[[#This Row],[Fecha]],AV_PLAN[Días],AV_PLAN[FECHA TERMINO REAL],"",0)</f>
        <v>0</v>
      </c>
      <c r="I212" s="13"/>
      <c r="J212">
        <f>+DAY(CURVA[[#This Row],[Fecha]])</f>
        <v>15</v>
      </c>
      <c r="K212" t="str">
        <f>+TEXT(CURVA[[#This Row],[Fecha]],"MMMM")</f>
        <v>septiembre</v>
      </c>
      <c r="L212">
        <f>+YEAR(CURVA[[#This Row],[Fecha]])</f>
        <v>2026</v>
      </c>
      <c r="M212" s="70">
        <f>CURVA[[#This Row],[% AVANCE REAL]]*MAX(CURVA[M2 Avance Programado])</f>
        <v>0</v>
      </c>
      <c r="N212" s="69">
        <f>IF(CURVA[[#This Row],[% AVANCE REAL]]="",0,M212-M211)</f>
        <v>0</v>
      </c>
    </row>
    <row r="213" spans="1:14" x14ac:dyDescent="0.25">
      <c r="A213" s="1">
        <v>46281</v>
      </c>
      <c r="B213" s="7">
        <v>0.36714015151515172</v>
      </c>
      <c r="C213" s="7">
        <v>2.8409090909092827E-3</v>
      </c>
      <c r="D213">
        <v>50</v>
      </c>
      <c r="E213" s="66">
        <v>7784.5733540200881</v>
      </c>
      <c r="F213" s="66">
        <v>60.236574831214419</v>
      </c>
      <c r="G213">
        <f>+_xlfn.XLOOKUP(CURVA[[#This Row],[Fecha]],AV_PLAN[Días],AV_PLAN[INICIO REAL],"",0)</f>
        <v>0</v>
      </c>
      <c r="H213">
        <f>+_xlfn.XLOOKUP(CURVA[[#This Row],[Fecha]],AV_PLAN[Días],AV_PLAN[FECHA TERMINO REAL],"",0)</f>
        <v>0</v>
      </c>
      <c r="I213" s="13"/>
      <c r="J213">
        <f>+DAY(CURVA[[#This Row],[Fecha]])</f>
        <v>16</v>
      </c>
      <c r="K213" t="str">
        <f>+TEXT(CURVA[[#This Row],[Fecha]],"MMMM")</f>
        <v>septiembre</v>
      </c>
      <c r="L213">
        <f>+YEAR(CURVA[[#This Row],[Fecha]])</f>
        <v>2026</v>
      </c>
      <c r="M213" s="69">
        <f>CURVA[[#This Row],[% AVANCE REAL]]*MAX(CURVA[M2 Avance Programado])</f>
        <v>0</v>
      </c>
      <c r="N213" s="69">
        <f>IF(CURVA[[#This Row],[% AVANCE REAL]]="",0,M213-M212)</f>
        <v>0</v>
      </c>
    </row>
    <row r="214" spans="1:14" x14ac:dyDescent="0.25">
      <c r="A214" s="1">
        <v>46282</v>
      </c>
      <c r="B214" s="7">
        <v>0.36983901515151535</v>
      </c>
      <c r="C214" s="7">
        <v>2.6988636363636243E-3</v>
      </c>
      <c r="D214">
        <v>48</v>
      </c>
      <c r="E214" s="66">
        <v>7841.7981001097378</v>
      </c>
      <c r="F214" s="66">
        <v>57.224746089649571</v>
      </c>
      <c r="G214">
        <f>+_xlfn.XLOOKUP(CURVA[[#This Row],[Fecha]],AV_PLAN[Días],AV_PLAN[INICIO REAL],"",0)</f>
        <v>0</v>
      </c>
      <c r="H214">
        <f>+_xlfn.XLOOKUP(CURVA[[#This Row],[Fecha]],AV_PLAN[Días],AV_PLAN[FECHA TERMINO REAL],"",0)</f>
        <v>0</v>
      </c>
      <c r="I214" s="13"/>
      <c r="J214">
        <f>+DAY(CURVA[[#This Row],[Fecha]])</f>
        <v>17</v>
      </c>
      <c r="K214" t="str">
        <f>+TEXT(CURVA[[#This Row],[Fecha]],"MMMM")</f>
        <v>septiembre</v>
      </c>
      <c r="L214">
        <f>+YEAR(CURVA[[#This Row],[Fecha]])</f>
        <v>2026</v>
      </c>
      <c r="M214" s="70">
        <f>CURVA[[#This Row],[% AVANCE REAL]]*MAX(CURVA[M2 Avance Programado])</f>
        <v>0</v>
      </c>
      <c r="N214" s="69">
        <f>IF(CURVA[[#This Row],[% AVANCE REAL]]="",0,M214-M213)</f>
        <v>0</v>
      </c>
    </row>
    <row r="215" spans="1:14" x14ac:dyDescent="0.25">
      <c r="A215" s="1">
        <v>46283</v>
      </c>
      <c r="B215" s="7">
        <v>0.37237215909090904</v>
      </c>
      <c r="C215" s="7">
        <v>2.5331439393936894E-3</v>
      </c>
      <c r="D215">
        <v>45</v>
      </c>
      <c r="E215" s="66">
        <v>7895.5090460008942</v>
      </c>
      <c r="F215" s="66">
        <v>53.710945891157259</v>
      </c>
      <c r="G215">
        <f>+_xlfn.XLOOKUP(CURVA[[#This Row],[Fecha]],AV_PLAN[Días],AV_PLAN[INICIO REAL],"",0)</f>
        <v>0</v>
      </c>
      <c r="H215">
        <f>+_xlfn.XLOOKUP(CURVA[[#This Row],[Fecha]],AV_PLAN[Días],AV_PLAN[FECHA TERMINO REAL],"",0)</f>
        <v>0</v>
      </c>
      <c r="I215" s="13"/>
      <c r="J215">
        <f>+DAY(CURVA[[#This Row],[Fecha]])</f>
        <v>18</v>
      </c>
      <c r="K215" t="str">
        <f>+TEXT(CURVA[[#This Row],[Fecha]],"MMMM")</f>
        <v>septiembre</v>
      </c>
      <c r="L215">
        <f>+YEAR(CURVA[[#This Row],[Fecha]])</f>
        <v>2026</v>
      </c>
      <c r="M215" s="69">
        <f>CURVA[[#This Row],[% AVANCE REAL]]*MAX(CURVA[M2 Avance Programado])</f>
        <v>0</v>
      </c>
      <c r="N215" s="69">
        <f>IF(CURVA[[#This Row],[% AVANCE REAL]]="",0,M215-M214)</f>
        <v>0</v>
      </c>
    </row>
    <row r="216" spans="1:14" x14ac:dyDescent="0.25">
      <c r="A216" s="1">
        <v>46284</v>
      </c>
      <c r="B216" s="7">
        <v>0.37485795454545445</v>
      </c>
      <c r="C216" s="7">
        <v>2.4857954545454142E-3</v>
      </c>
      <c r="D216">
        <v>44</v>
      </c>
      <c r="E216" s="66">
        <v>7948.2160489782036</v>
      </c>
      <c r="F216" s="66">
        <v>52.7070029773082</v>
      </c>
      <c r="G216">
        <f>+_xlfn.XLOOKUP(CURVA[[#This Row],[Fecha]],AV_PLAN[Días],AV_PLAN[INICIO REAL],"",0)</f>
        <v>0</v>
      </c>
      <c r="H216">
        <f>+_xlfn.XLOOKUP(CURVA[[#This Row],[Fecha]],AV_PLAN[Días],AV_PLAN[FECHA TERMINO REAL],"",0)</f>
        <v>0</v>
      </c>
      <c r="I216" s="13"/>
      <c r="J216">
        <f>+DAY(CURVA[[#This Row],[Fecha]])</f>
        <v>19</v>
      </c>
      <c r="K216" t="str">
        <f>+TEXT(CURVA[[#This Row],[Fecha]],"MMMM")</f>
        <v>septiembre</v>
      </c>
      <c r="L216">
        <f>+YEAR(CURVA[[#This Row],[Fecha]])</f>
        <v>2026</v>
      </c>
      <c r="M216" s="70">
        <f>CURVA[[#This Row],[% AVANCE REAL]]*MAX(CURVA[M2 Avance Programado])</f>
        <v>0</v>
      </c>
      <c r="N216" s="69">
        <f>IF(CURVA[[#This Row],[% AVANCE REAL]]="",0,M216-M215)</f>
        <v>0</v>
      </c>
    </row>
    <row r="217" spans="1:14" x14ac:dyDescent="0.25">
      <c r="A217" s="1">
        <v>46285</v>
      </c>
      <c r="B217" s="7">
        <v>0.37729640151515154</v>
      </c>
      <c r="C217" s="7">
        <v>2.4384469696970834E-3</v>
      </c>
      <c r="D217">
        <v>43</v>
      </c>
      <c r="E217" s="66">
        <v>7999.9191090416607</v>
      </c>
      <c r="F217" s="66">
        <v>51.703060063457961</v>
      </c>
      <c r="G217">
        <f>+_xlfn.XLOOKUP(CURVA[[#This Row],[Fecha]],AV_PLAN[Días],AV_PLAN[INICIO REAL],"",0)</f>
        <v>0</v>
      </c>
      <c r="H217">
        <f>+_xlfn.XLOOKUP(CURVA[[#This Row],[Fecha]],AV_PLAN[Días],AV_PLAN[FECHA TERMINO REAL],"",0)</f>
        <v>0</v>
      </c>
      <c r="I217" s="13"/>
      <c r="J217">
        <f>+DAY(CURVA[[#This Row],[Fecha]])</f>
        <v>20</v>
      </c>
      <c r="K217" t="str">
        <f>+TEXT(CURVA[[#This Row],[Fecha]],"MMMM")</f>
        <v>septiembre</v>
      </c>
      <c r="L217">
        <f>+YEAR(CURVA[[#This Row],[Fecha]])</f>
        <v>2026</v>
      </c>
      <c r="M217" s="69">
        <f>CURVA[[#This Row],[% AVANCE REAL]]*MAX(CURVA[M2 Avance Programado])</f>
        <v>0</v>
      </c>
      <c r="N217" s="69">
        <f>IF(CURVA[[#This Row],[% AVANCE REAL]]="",0,M217-M216)</f>
        <v>0</v>
      </c>
    </row>
    <row r="218" spans="1:14" x14ac:dyDescent="0.25">
      <c r="A218" s="1">
        <v>46286</v>
      </c>
      <c r="B218" s="7">
        <v>0.37956912878787874</v>
      </c>
      <c r="C218" s="7">
        <v>2.2727272727272041E-3</v>
      </c>
      <c r="D218">
        <v>43</v>
      </c>
      <c r="E218" s="66">
        <v>8048.108368906629</v>
      </c>
      <c r="F218" s="66">
        <v>48.189259864966822</v>
      </c>
      <c r="G218">
        <f>+_xlfn.XLOOKUP(CURVA[[#This Row],[Fecha]],AV_PLAN[Días],AV_PLAN[INICIO REAL],"",0)</f>
        <v>0</v>
      </c>
      <c r="H218">
        <f>+_xlfn.XLOOKUP(CURVA[[#This Row],[Fecha]],AV_PLAN[Días],AV_PLAN[FECHA TERMINO REAL],"",0)</f>
        <v>0</v>
      </c>
      <c r="I218" s="13"/>
      <c r="J218">
        <f>+DAY(CURVA[[#This Row],[Fecha]])</f>
        <v>21</v>
      </c>
      <c r="K218" t="str">
        <f>+TEXT(CURVA[[#This Row],[Fecha]],"MMMM")</f>
        <v>septiembre</v>
      </c>
      <c r="L218">
        <f>+YEAR(CURVA[[#This Row],[Fecha]])</f>
        <v>2026</v>
      </c>
      <c r="M218" s="70">
        <f>CURVA[[#This Row],[% AVANCE REAL]]*MAX(CURVA[M2 Avance Programado])</f>
        <v>0</v>
      </c>
      <c r="N218" s="69">
        <f>IF(CURVA[[#This Row],[% AVANCE REAL]]="",0,M218-M217)</f>
        <v>0</v>
      </c>
    </row>
    <row r="219" spans="1:14" x14ac:dyDescent="0.25">
      <c r="A219" s="1">
        <v>46287</v>
      </c>
      <c r="B219" s="7">
        <v>0.3818892045454545</v>
      </c>
      <c r="C219" s="7">
        <v>2.3200757575757569E-3</v>
      </c>
      <c r="D219">
        <v>44</v>
      </c>
      <c r="E219" s="66">
        <v>8097.3015716854497</v>
      </c>
      <c r="F219" s="66">
        <v>49.193202778821771</v>
      </c>
      <c r="G219">
        <f>+_xlfn.XLOOKUP(CURVA[[#This Row],[Fecha]],AV_PLAN[Días],AV_PLAN[INICIO REAL],"",0)</f>
        <v>0</v>
      </c>
      <c r="H219">
        <f>+_xlfn.XLOOKUP(CURVA[[#This Row],[Fecha]],AV_PLAN[Días],AV_PLAN[FECHA TERMINO REAL],"",0)</f>
        <v>0</v>
      </c>
      <c r="I219" s="13"/>
      <c r="J219">
        <f>+DAY(CURVA[[#This Row],[Fecha]])</f>
        <v>22</v>
      </c>
      <c r="K219" t="str">
        <f>+TEXT(CURVA[[#This Row],[Fecha]],"MMMM")</f>
        <v>septiembre</v>
      </c>
      <c r="L219">
        <f>+YEAR(CURVA[[#This Row],[Fecha]])</f>
        <v>2026</v>
      </c>
      <c r="M219" s="69">
        <f>CURVA[[#This Row],[% AVANCE REAL]]*MAX(CURVA[M2 Avance Programado])</f>
        <v>0</v>
      </c>
      <c r="N219" s="69">
        <f>IF(CURVA[[#This Row],[% AVANCE REAL]]="",0,M219-M218)</f>
        <v>0</v>
      </c>
    </row>
    <row r="220" spans="1:14" x14ac:dyDescent="0.25">
      <c r="A220" s="1">
        <v>46288</v>
      </c>
      <c r="B220" s="7">
        <v>0.38432765151515152</v>
      </c>
      <c r="C220" s="7">
        <v>2.4384469696970279E-3</v>
      </c>
      <c r="D220">
        <v>46</v>
      </c>
      <c r="E220" s="66">
        <v>8149.0046317489068</v>
      </c>
      <c r="F220" s="66">
        <v>51.703060063456782</v>
      </c>
      <c r="G220">
        <f>+_xlfn.XLOOKUP(CURVA[[#This Row],[Fecha]],AV_PLAN[Días],AV_PLAN[INICIO REAL],"",0)</f>
        <v>0</v>
      </c>
      <c r="H220">
        <f>+_xlfn.XLOOKUP(CURVA[[#This Row],[Fecha]],AV_PLAN[Días],AV_PLAN[FECHA TERMINO REAL],"",0)</f>
        <v>0</v>
      </c>
      <c r="I220" s="13"/>
      <c r="J220">
        <f>+DAY(CURVA[[#This Row],[Fecha]])</f>
        <v>23</v>
      </c>
      <c r="K220" t="str">
        <f>+TEXT(CURVA[[#This Row],[Fecha]],"MMMM")</f>
        <v>septiembre</v>
      </c>
      <c r="L220">
        <f>+YEAR(CURVA[[#This Row],[Fecha]])</f>
        <v>2026</v>
      </c>
      <c r="M220" s="70">
        <f>CURVA[[#This Row],[% AVANCE REAL]]*MAX(CURVA[M2 Avance Programado])</f>
        <v>0</v>
      </c>
      <c r="N220" s="69">
        <f>IF(CURVA[[#This Row],[% AVANCE REAL]]="",0,M220-M219)</f>
        <v>0</v>
      </c>
    </row>
    <row r="221" spans="1:14" x14ac:dyDescent="0.25">
      <c r="A221" s="1">
        <v>46289</v>
      </c>
      <c r="B221" s="7">
        <v>0.38681344696969711</v>
      </c>
      <c r="C221" s="7">
        <v>2.4857954545455807E-3</v>
      </c>
      <c r="D221">
        <v>47</v>
      </c>
      <c r="E221" s="66">
        <v>8201.7116347262181</v>
      </c>
      <c r="F221" s="66">
        <v>52.707002977311731</v>
      </c>
      <c r="G221">
        <f>+_xlfn.XLOOKUP(CURVA[[#This Row],[Fecha]],AV_PLAN[Días],AV_PLAN[INICIO REAL],"",0)</f>
        <v>0</v>
      </c>
      <c r="H221">
        <f>+_xlfn.XLOOKUP(CURVA[[#This Row],[Fecha]],AV_PLAN[Días],AV_PLAN[FECHA TERMINO REAL],"",0)</f>
        <v>0</v>
      </c>
      <c r="I221" s="13"/>
      <c r="J221">
        <f>+DAY(CURVA[[#This Row],[Fecha]])</f>
        <v>24</v>
      </c>
      <c r="K221" t="str">
        <f>+TEXT(CURVA[[#This Row],[Fecha]],"MMMM")</f>
        <v>septiembre</v>
      </c>
      <c r="L221">
        <f>+YEAR(CURVA[[#This Row],[Fecha]])</f>
        <v>2026</v>
      </c>
      <c r="M221" s="69">
        <f>CURVA[[#This Row],[% AVANCE REAL]]*MAX(CURVA[M2 Avance Programado])</f>
        <v>0</v>
      </c>
      <c r="N221" s="69">
        <f>IF(CURVA[[#This Row],[% AVANCE REAL]]="",0,M221-M220)</f>
        <v>0</v>
      </c>
    </row>
    <row r="222" spans="1:14" x14ac:dyDescent="0.25">
      <c r="A222" s="1">
        <v>46290</v>
      </c>
      <c r="B222" s="7">
        <v>0.38927556818181835</v>
      </c>
      <c r="C222" s="7">
        <v>2.4621212121212488E-3</v>
      </c>
      <c r="D222">
        <v>47</v>
      </c>
      <c r="E222" s="66">
        <v>8253.9166662466014</v>
      </c>
      <c r="F222" s="66">
        <v>52.205031520383081</v>
      </c>
      <c r="G222">
        <f>+_xlfn.XLOOKUP(CURVA[[#This Row],[Fecha]],AV_PLAN[Días],AV_PLAN[INICIO REAL],"",0)</f>
        <v>0</v>
      </c>
      <c r="H222">
        <f>+_xlfn.XLOOKUP(CURVA[[#This Row],[Fecha]],AV_PLAN[Días],AV_PLAN[FECHA TERMINO REAL],"",0)</f>
        <v>0</v>
      </c>
      <c r="I222" s="13"/>
      <c r="J222">
        <f>+DAY(CURVA[[#This Row],[Fecha]])</f>
        <v>25</v>
      </c>
      <c r="K222" t="str">
        <f>+TEXT(CURVA[[#This Row],[Fecha]],"MMMM")</f>
        <v>septiembre</v>
      </c>
      <c r="L222">
        <f>+YEAR(CURVA[[#This Row],[Fecha]])</f>
        <v>2026</v>
      </c>
      <c r="M222" s="70">
        <f>CURVA[[#This Row],[% AVANCE REAL]]*MAX(CURVA[M2 Avance Programado])</f>
        <v>0</v>
      </c>
      <c r="N222" s="69">
        <f>IF(CURVA[[#This Row],[% AVANCE REAL]]="",0,M222-M221)</f>
        <v>0</v>
      </c>
    </row>
    <row r="223" spans="1:14" x14ac:dyDescent="0.25">
      <c r="A223" s="1">
        <v>46291</v>
      </c>
      <c r="B223" s="7">
        <v>0.39183238636363654</v>
      </c>
      <c r="C223" s="7">
        <v>2.5568181818181879E-3</v>
      </c>
      <c r="D223">
        <v>45</v>
      </c>
      <c r="E223" s="66">
        <v>8308.1295835946912</v>
      </c>
      <c r="F223" s="66">
        <v>54.212917348089441</v>
      </c>
      <c r="G223">
        <f>+_xlfn.XLOOKUP(CURVA[[#This Row],[Fecha]],AV_PLAN[Días],AV_PLAN[INICIO REAL],"",0)</f>
        <v>0</v>
      </c>
      <c r="H223">
        <f>+_xlfn.XLOOKUP(CURVA[[#This Row],[Fecha]],AV_PLAN[Días],AV_PLAN[FECHA TERMINO REAL],"",0)</f>
        <v>0</v>
      </c>
      <c r="I223" s="13"/>
      <c r="J223">
        <f>+DAY(CURVA[[#This Row],[Fecha]])</f>
        <v>26</v>
      </c>
      <c r="K223" t="str">
        <f>+TEXT(CURVA[[#This Row],[Fecha]],"MMMM")</f>
        <v>septiembre</v>
      </c>
      <c r="L223">
        <f>+YEAR(CURVA[[#This Row],[Fecha]])</f>
        <v>2026</v>
      </c>
      <c r="M223" s="69">
        <f>CURVA[[#This Row],[% AVANCE REAL]]*MAX(CURVA[M2 Avance Programado])</f>
        <v>0</v>
      </c>
      <c r="N223" s="69">
        <f>IF(CURVA[[#This Row],[% AVANCE REAL]]="",0,M223-M222)</f>
        <v>0</v>
      </c>
    </row>
    <row r="224" spans="1:14" x14ac:dyDescent="0.25">
      <c r="A224" s="1">
        <v>46292</v>
      </c>
      <c r="B224" s="7">
        <v>0.39438920454545484</v>
      </c>
      <c r="C224" s="7">
        <v>2.5568181818182989E-3</v>
      </c>
      <c r="D224">
        <v>45</v>
      </c>
      <c r="E224" s="66">
        <v>8362.3425009427829</v>
      </c>
      <c r="F224" s="66">
        <v>54.212917348091793</v>
      </c>
      <c r="G224">
        <f>+_xlfn.XLOOKUP(CURVA[[#This Row],[Fecha]],AV_PLAN[Días],AV_PLAN[INICIO REAL],"",0)</f>
        <v>0</v>
      </c>
      <c r="H224">
        <f>+_xlfn.XLOOKUP(CURVA[[#This Row],[Fecha]],AV_PLAN[Días],AV_PLAN[FECHA TERMINO REAL],"",0)</f>
        <v>0</v>
      </c>
      <c r="I224" s="13"/>
      <c r="J224">
        <f>+DAY(CURVA[[#This Row],[Fecha]])</f>
        <v>27</v>
      </c>
      <c r="K224" t="str">
        <f>+TEXT(CURVA[[#This Row],[Fecha]],"MMMM")</f>
        <v>septiembre</v>
      </c>
      <c r="L224">
        <f>+YEAR(CURVA[[#This Row],[Fecha]])</f>
        <v>2026</v>
      </c>
      <c r="M224" s="70">
        <f>CURVA[[#This Row],[% AVANCE REAL]]*MAX(CURVA[M2 Avance Programado])</f>
        <v>0</v>
      </c>
      <c r="N224" s="69">
        <f>IF(CURVA[[#This Row],[% AVANCE REAL]]="",0,M224-M223)</f>
        <v>0</v>
      </c>
    </row>
    <row r="225" spans="1:14" x14ac:dyDescent="0.25">
      <c r="A225" s="1">
        <v>46293</v>
      </c>
      <c r="B225" s="7">
        <v>0.39670928030303032</v>
      </c>
      <c r="C225" s="7">
        <v>2.3200757575754793E-3</v>
      </c>
      <c r="D225">
        <v>44</v>
      </c>
      <c r="E225" s="66">
        <v>8411.5357037215981</v>
      </c>
      <c r="F225" s="66">
        <v>49.193202778815881</v>
      </c>
      <c r="G225">
        <f>+_xlfn.XLOOKUP(CURVA[[#This Row],[Fecha]],AV_PLAN[Días],AV_PLAN[INICIO REAL],"",0)</f>
        <v>0</v>
      </c>
      <c r="H225">
        <f>+_xlfn.XLOOKUP(CURVA[[#This Row],[Fecha]],AV_PLAN[Días],AV_PLAN[FECHA TERMINO REAL],"",0)</f>
        <v>0</v>
      </c>
      <c r="I225" s="13"/>
      <c r="J225">
        <f>+DAY(CURVA[[#This Row],[Fecha]])</f>
        <v>28</v>
      </c>
      <c r="K225" t="str">
        <f>+TEXT(CURVA[[#This Row],[Fecha]],"MMMM")</f>
        <v>septiembre</v>
      </c>
      <c r="L225">
        <f>+YEAR(CURVA[[#This Row],[Fecha]])</f>
        <v>2026</v>
      </c>
      <c r="M225" s="69">
        <f>CURVA[[#This Row],[% AVANCE REAL]]*MAX(CURVA[M2 Avance Programado])</f>
        <v>0</v>
      </c>
      <c r="N225" s="69">
        <f>IF(CURVA[[#This Row],[% AVANCE REAL]]="",0,M225-M224)</f>
        <v>0</v>
      </c>
    </row>
    <row r="226" spans="1:14" x14ac:dyDescent="0.25">
      <c r="A226" s="1">
        <v>46294</v>
      </c>
      <c r="B226" s="7">
        <v>0.39914772727272729</v>
      </c>
      <c r="C226" s="7">
        <v>2.4384469696969724E-3</v>
      </c>
      <c r="D226">
        <v>46</v>
      </c>
      <c r="E226" s="66">
        <v>8463.2387637850534</v>
      </c>
      <c r="F226" s="66">
        <v>51.703060063455602</v>
      </c>
      <c r="G226">
        <f>+_xlfn.XLOOKUP(CURVA[[#This Row],[Fecha]],AV_PLAN[Días],AV_PLAN[INICIO REAL],"",0)</f>
        <v>0</v>
      </c>
      <c r="H226">
        <f>+_xlfn.XLOOKUP(CURVA[[#This Row],[Fecha]],AV_PLAN[Días],AV_PLAN[FECHA TERMINO REAL],"",0)</f>
        <v>0</v>
      </c>
      <c r="I226" s="13"/>
      <c r="J226">
        <f>+DAY(CURVA[[#This Row],[Fecha]])</f>
        <v>29</v>
      </c>
      <c r="K226" t="str">
        <f>+TEXT(CURVA[[#This Row],[Fecha]],"MMMM")</f>
        <v>septiembre</v>
      </c>
      <c r="L226">
        <f>+YEAR(CURVA[[#This Row],[Fecha]])</f>
        <v>2026</v>
      </c>
      <c r="M226" s="70">
        <f>CURVA[[#This Row],[% AVANCE REAL]]*MAX(CURVA[M2 Avance Programado])</f>
        <v>0</v>
      </c>
      <c r="N226" s="69">
        <f>IF(CURVA[[#This Row],[% AVANCE REAL]]="",0,M226-M225)</f>
        <v>0</v>
      </c>
    </row>
    <row r="227" spans="1:14" x14ac:dyDescent="0.25">
      <c r="A227" s="1">
        <v>46295</v>
      </c>
      <c r="B227" s="7">
        <v>0.40168087121212143</v>
      </c>
      <c r="C227" s="7">
        <v>2.5331439393941335E-3</v>
      </c>
      <c r="D227">
        <v>48</v>
      </c>
      <c r="E227" s="66">
        <v>8516.9497096762207</v>
      </c>
      <c r="F227" s="66">
        <v>53.710945891166674</v>
      </c>
      <c r="G227">
        <f>+_xlfn.XLOOKUP(CURVA[[#This Row],[Fecha]],AV_PLAN[Días],AV_PLAN[INICIO REAL],"",0)</f>
        <v>0</v>
      </c>
      <c r="H227">
        <f>+_xlfn.XLOOKUP(CURVA[[#This Row],[Fecha]],AV_PLAN[Días],AV_PLAN[FECHA TERMINO REAL],"",0)</f>
        <v>0</v>
      </c>
      <c r="I227" s="13"/>
      <c r="J227">
        <f>+DAY(CURVA[[#This Row],[Fecha]])</f>
        <v>30</v>
      </c>
      <c r="K227" t="str">
        <f>+TEXT(CURVA[[#This Row],[Fecha]],"MMMM")</f>
        <v>septiembre</v>
      </c>
      <c r="L227">
        <f>+YEAR(CURVA[[#This Row],[Fecha]])</f>
        <v>2026</v>
      </c>
      <c r="M227" s="69">
        <f>CURVA[[#This Row],[% AVANCE REAL]]*MAX(CURVA[M2 Avance Programado])</f>
        <v>0</v>
      </c>
      <c r="N227" s="69">
        <f>IF(CURVA[[#This Row],[% AVANCE REAL]]="",0,M227-M226)</f>
        <v>0</v>
      </c>
    </row>
    <row r="228" spans="1:14" x14ac:dyDescent="0.25">
      <c r="A228" s="1">
        <v>46296</v>
      </c>
      <c r="B228" s="7">
        <v>0.40419034090909106</v>
      </c>
      <c r="C228" s="7">
        <v>2.5094696969696351E-3</v>
      </c>
      <c r="D228">
        <v>48</v>
      </c>
      <c r="E228" s="66">
        <v>8570.1586841104545</v>
      </c>
      <c r="F228" s="66">
        <v>53.208974434234491</v>
      </c>
      <c r="G228">
        <f>+_xlfn.XLOOKUP(CURVA[[#This Row],[Fecha]],AV_PLAN[Días],AV_PLAN[INICIO REAL],"",0)</f>
        <v>0</v>
      </c>
      <c r="H228">
        <f>+_xlfn.XLOOKUP(CURVA[[#This Row],[Fecha]],AV_PLAN[Días],AV_PLAN[FECHA TERMINO REAL],"",0)</f>
        <v>0</v>
      </c>
      <c r="I228" s="13"/>
      <c r="J228">
        <f>+DAY(CURVA[[#This Row],[Fecha]])</f>
        <v>1</v>
      </c>
      <c r="K228" t="str">
        <f>+TEXT(CURVA[[#This Row],[Fecha]],"MMMM")</f>
        <v>octubre</v>
      </c>
      <c r="L228">
        <f>+YEAR(CURVA[[#This Row],[Fecha]])</f>
        <v>2026</v>
      </c>
      <c r="M228" s="70">
        <f>CURVA[[#This Row],[% AVANCE REAL]]*MAX(CURVA[M2 Avance Programado])</f>
        <v>0</v>
      </c>
      <c r="N228" s="69">
        <f>IF(CURVA[[#This Row],[% AVANCE REAL]]="",0,M228-M227)</f>
        <v>0</v>
      </c>
    </row>
    <row r="229" spans="1:14" x14ac:dyDescent="0.25">
      <c r="A229" s="1">
        <v>46297</v>
      </c>
      <c r="B229" s="7">
        <v>0.4066998106060607</v>
      </c>
      <c r="C229" s="7">
        <v>2.5094696969696351E-3</v>
      </c>
      <c r="D229">
        <v>48</v>
      </c>
      <c r="E229" s="66">
        <v>8623.3676585446901</v>
      </c>
      <c r="F229" s="66">
        <v>53.208974434234491</v>
      </c>
      <c r="G229">
        <f>+_xlfn.XLOOKUP(CURVA[[#This Row],[Fecha]],AV_PLAN[Días],AV_PLAN[INICIO REAL],"",0)</f>
        <v>0</v>
      </c>
      <c r="H229">
        <f>+_xlfn.XLOOKUP(CURVA[[#This Row],[Fecha]],AV_PLAN[Días],AV_PLAN[FECHA TERMINO REAL],"",0)</f>
        <v>0</v>
      </c>
      <c r="I229" s="13"/>
      <c r="J229">
        <f>+DAY(CURVA[[#This Row],[Fecha]])</f>
        <v>2</v>
      </c>
      <c r="K229" t="str">
        <f>+TEXT(CURVA[[#This Row],[Fecha]],"MMMM")</f>
        <v>octubre</v>
      </c>
      <c r="L229">
        <f>+YEAR(CURVA[[#This Row],[Fecha]])</f>
        <v>2026</v>
      </c>
      <c r="M229" s="69">
        <f>CURVA[[#This Row],[% AVANCE REAL]]*MAX(CURVA[M2 Avance Programado])</f>
        <v>0</v>
      </c>
      <c r="N229" s="69">
        <f>IF(CURVA[[#This Row],[% AVANCE REAL]]="",0,M229-M228)</f>
        <v>0</v>
      </c>
    </row>
    <row r="230" spans="1:14" x14ac:dyDescent="0.25">
      <c r="A230" s="1">
        <v>46298</v>
      </c>
      <c r="B230" s="7">
        <v>0.40930397727272733</v>
      </c>
      <c r="C230" s="7">
        <v>2.6041666666666297E-3</v>
      </c>
      <c r="D230">
        <v>46</v>
      </c>
      <c r="E230" s="66">
        <v>8678.5845188066323</v>
      </c>
      <c r="F230" s="66">
        <v>55.216860261942031</v>
      </c>
      <c r="G230">
        <f>+_xlfn.XLOOKUP(CURVA[[#This Row],[Fecha]],AV_PLAN[Días],AV_PLAN[INICIO REAL],"",0)</f>
        <v>0</v>
      </c>
      <c r="H230">
        <f>+_xlfn.XLOOKUP(CURVA[[#This Row],[Fecha]],AV_PLAN[Días],AV_PLAN[FECHA TERMINO REAL],"",0)</f>
        <v>0</v>
      </c>
      <c r="I230" s="13"/>
      <c r="J230">
        <f>+DAY(CURVA[[#This Row],[Fecha]])</f>
        <v>3</v>
      </c>
      <c r="K230" t="str">
        <f>+TEXT(CURVA[[#This Row],[Fecha]],"MMMM")</f>
        <v>octubre</v>
      </c>
      <c r="L230">
        <f>+YEAR(CURVA[[#This Row],[Fecha]])</f>
        <v>2026</v>
      </c>
      <c r="M230" s="70">
        <f>CURVA[[#This Row],[% AVANCE REAL]]*MAX(CURVA[M2 Avance Programado])</f>
        <v>0</v>
      </c>
      <c r="N230" s="69">
        <f>IF(CURVA[[#This Row],[% AVANCE REAL]]="",0,M230-M229)</f>
        <v>0</v>
      </c>
    </row>
    <row r="231" spans="1:14" x14ac:dyDescent="0.25">
      <c r="A231" s="1">
        <v>46299</v>
      </c>
      <c r="B231" s="7">
        <v>0.41181344696969691</v>
      </c>
      <c r="C231" s="7">
        <v>2.5094696969695796E-3</v>
      </c>
      <c r="D231">
        <v>44</v>
      </c>
      <c r="E231" s="66">
        <v>8731.7934932408643</v>
      </c>
      <c r="F231" s="66">
        <v>53.208974434233319</v>
      </c>
      <c r="G231">
        <f>+_xlfn.XLOOKUP(CURVA[[#This Row],[Fecha]],AV_PLAN[Días],AV_PLAN[INICIO REAL],"",0)</f>
        <v>0</v>
      </c>
      <c r="H231">
        <f>+_xlfn.XLOOKUP(CURVA[[#This Row],[Fecha]],AV_PLAN[Días],AV_PLAN[FECHA TERMINO REAL],"",0)</f>
        <v>0</v>
      </c>
      <c r="I231" s="13"/>
      <c r="J231">
        <f>+DAY(CURVA[[#This Row],[Fecha]])</f>
        <v>4</v>
      </c>
      <c r="K231" t="str">
        <f>+TEXT(CURVA[[#This Row],[Fecha]],"MMMM")</f>
        <v>octubre</v>
      </c>
      <c r="L231">
        <f>+YEAR(CURVA[[#This Row],[Fecha]])</f>
        <v>2026</v>
      </c>
      <c r="M231" s="69">
        <f>CURVA[[#This Row],[% AVANCE REAL]]*MAX(CURVA[M2 Avance Programado])</f>
        <v>0</v>
      </c>
      <c r="N231" s="69">
        <f>IF(CURVA[[#This Row],[% AVANCE REAL]]="",0,M231-M230)</f>
        <v>0</v>
      </c>
    </row>
    <row r="232" spans="1:14" x14ac:dyDescent="0.25">
      <c r="A232" s="1">
        <v>46300</v>
      </c>
      <c r="B232" s="7">
        <v>0.41420454545454533</v>
      </c>
      <c r="C232" s="7">
        <v>2.3910984848484196E-3</v>
      </c>
      <c r="D232">
        <v>45</v>
      </c>
      <c r="E232" s="66">
        <v>8782.4926103904654</v>
      </c>
      <c r="F232" s="66">
        <v>50.69911714960066</v>
      </c>
      <c r="G232">
        <f>+_xlfn.XLOOKUP(CURVA[[#This Row],[Fecha]],AV_PLAN[Días],AV_PLAN[INICIO REAL],"",0)</f>
        <v>0</v>
      </c>
      <c r="H232">
        <f>+_xlfn.XLOOKUP(CURVA[[#This Row],[Fecha]],AV_PLAN[Días],AV_PLAN[FECHA TERMINO REAL],"",0)</f>
        <v>0</v>
      </c>
      <c r="I232" s="13"/>
      <c r="J232">
        <f>+DAY(CURVA[[#This Row],[Fecha]])</f>
        <v>5</v>
      </c>
      <c r="K232" t="str">
        <f>+TEXT(CURVA[[#This Row],[Fecha]],"MMMM")</f>
        <v>octubre</v>
      </c>
      <c r="L232">
        <f>+YEAR(CURVA[[#This Row],[Fecha]])</f>
        <v>2026</v>
      </c>
      <c r="M232" s="70">
        <f>CURVA[[#This Row],[% AVANCE REAL]]*MAX(CURVA[M2 Avance Programado])</f>
        <v>0</v>
      </c>
      <c r="N232" s="69">
        <f>IF(CURVA[[#This Row],[% AVANCE REAL]]="",0,M232-M231)</f>
        <v>0</v>
      </c>
    </row>
    <row r="233" spans="1:14" x14ac:dyDescent="0.25">
      <c r="A233" s="1">
        <v>46301</v>
      </c>
      <c r="B233" s="7">
        <v>0.4166903409090908</v>
      </c>
      <c r="C233" s="7">
        <v>2.4857954545454697E-3</v>
      </c>
      <c r="D233">
        <v>47</v>
      </c>
      <c r="E233" s="66">
        <v>8835.1996133677749</v>
      </c>
      <c r="F233" s="66">
        <v>52.707002977309379</v>
      </c>
      <c r="G233">
        <f>+_xlfn.XLOOKUP(CURVA[[#This Row],[Fecha]],AV_PLAN[Días],AV_PLAN[INICIO REAL],"",0)</f>
        <v>0</v>
      </c>
      <c r="H233">
        <f>+_xlfn.XLOOKUP(CURVA[[#This Row],[Fecha]],AV_PLAN[Días],AV_PLAN[FECHA TERMINO REAL],"",0)</f>
        <v>0</v>
      </c>
      <c r="I233" s="13"/>
      <c r="J233">
        <f>+DAY(CURVA[[#This Row],[Fecha]])</f>
        <v>6</v>
      </c>
      <c r="K233" t="str">
        <f>+TEXT(CURVA[[#This Row],[Fecha]],"MMMM")</f>
        <v>octubre</v>
      </c>
      <c r="L233">
        <f>+YEAR(CURVA[[#This Row],[Fecha]])</f>
        <v>2026</v>
      </c>
      <c r="M233" s="69">
        <f>CURVA[[#This Row],[% AVANCE REAL]]*MAX(CURVA[M2 Avance Programado])</f>
        <v>0</v>
      </c>
      <c r="N233" s="69">
        <f>IF(CURVA[[#This Row],[% AVANCE REAL]]="",0,M233-M232)</f>
        <v>0</v>
      </c>
    </row>
    <row r="234" spans="1:14" x14ac:dyDescent="0.25">
      <c r="A234" s="1">
        <v>46302</v>
      </c>
      <c r="B234" s="7">
        <v>0.41934185606060609</v>
      </c>
      <c r="C234" s="7">
        <v>2.6515151515152935E-3</v>
      </c>
      <c r="D234">
        <v>50</v>
      </c>
      <c r="E234" s="66">
        <v>8891.4204165435749</v>
      </c>
      <c r="F234" s="66">
        <v>56.220803175799333</v>
      </c>
      <c r="G234">
        <f>+_xlfn.XLOOKUP(CURVA[[#This Row],[Fecha]],AV_PLAN[Días],AV_PLAN[INICIO REAL],"",0)</f>
        <v>0</v>
      </c>
      <c r="H234">
        <f>+_xlfn.XLOOKUP(CURVA[[#This Row],[Fecha]],AV_PLAN[Días],AV_PLAN[FECHA TERMINO REAL],"",0)</f>
        <v>0</v>
      </c>
      <c r="I234" s="13"/>
      <c r="J234">
        <f>+DAY(CURVA[[#This Row],[Fecha]])</f>
        <v>7</v>
      </c>
      <c r="K234" t="str">
        <f>+TEXT(CURVA[[#This Row],[Fecha]],"MMMM")</f>
        <v>octubre</v>
      </c>
      <c r="L234">
        <f>+YEAR(CURVA[[#This Row],[Fecha]])</f>
        <v>2026</v>
      </c>
      <c r="M234" s="70">
        <f>CURVA[[#This Row],[% AVANCE REAL]]*MAX(CURVA[M2 Avance Programado])</f>
        <v>0</v>
      </c>
      <c r="N234" s="69">
        <f>IF(CURVA[[#This Row],[% AVANCE REAL]]="",0,M234-M233)</f>
        <v>0</v>
      </c>
    </row>
    <row r="235" spans="1:14" x14ac:dyDescent="0.25">
      <c r="A235" s="1">
        <v>46303</v>
      </c>
      <c r="B235" s="7">
        <v>0.42213541666666665</v>
      </c>
      <c r="C235" s="7">
        <v>2.7935606060605633E-3</v>
      </c>
      <c r="D235">
        <v>52</v>
      </c>
      <c r="E235" s="66">
        <v>8950.6530484609302</v>
      </c>
      <c r="F235" s="66">
        <v>59.232631917355931</v>
      </c>
      <c r="G235">
        <f>+_xlfn.XLOOKUP(CURVA[[#This Row],[Fecha]],AV_PLAN[Días],AV_PLAN[INICIO REAL],"",0)</f>
        <v>0</v>
      </c>
      <c r="H235">
        <f>+_xlfn.XLOOKUP(CURVA[[#This Row],[Fecha]],AV_PLAN[Días],AV_PLAN[FECHA TERMINO REAL],"",0)</f>
        <v>0</v>
      </c>
      <c r="I235" s="13"/>
      <c r="J235">
        <f>+DAY(CURVA[[#This Row],[Fecha]])</f>
        <v>8</v>
      </c>
      <c r="K235" t="str">
        <f>+TEXT(CURVA[[#This Row],[Fecha]],"MMMM")</f>
        <v>octubre</v>
      </c>
      <c r="L235">
        <f>+YEAR(CURVA[[#This Row],[Fecha]])</f>
        <v>2026</v>
      </c>
      <c r="M235" s="69">
        <f>CURVA[[#This Row],[% AVANCE REAL]]*MAX(CURVA[M2 Avance Programado])</f>
        <v>0</v>
      </c>
      <c r="N235" s="69">
        <f>IF(CURVA[[#This Row],[% AVANCE REAL]]="",0,M235-M234)</f>
        <v>0</v>
      </c>
    </row>
    <row r="236" spans="1:14" x14ac:dyDescent="0.25">
      <c r="A236" s="1">
        <v>46304</v>
      </c>
      <c r="B236" s="7">
        <v>0.42502367424242438</v>
      </c>
      <c r="C236" s="7">
        <v>2.8882575757577245E-3</v>
      </c>
      <c r="D236">
        <v>53</v>
      </c>
      <c r="E236" s="66">
        <v>9011.8935662059976</v>
      </c>
      <c r="F236" s="66">
        <v>61.240517745067002</v>
      </c>
      <c r="G236">
        <f>+_xlfn.XLOOKUP(CURVA[[#This Row],[Fecha]],AV_PLAN[Días],AV_PLAN[INICIO REAL],"",0)</f>
        <v>0</v>
      </c>
      <c r="H236">
        <f>+_xlfn.XLOOKUP(CURVA[[#This Row],[Fecha]],AV_PLAN[Días],AV_PLAN[FECHA TERMINO REAL],"",0)</f>
        <v>0</v>
      </c>
      <c r="I236" s="13"/>
      <c r="J236">
        <f>+DAY(CURVA[[#This Row],[Fecha]])</f>
        <v>9</v>
      </c>
      <c r="K236" t="str">
        <f>+TEXT(CURVA[[#This Row],[Fecha]],"MMMM")</f>
        <v>octubre</v>
      </c>
      <c r="L236">
        <f>+YEAR(CURVA[[#This Row],[Fecha]])</f>
        <v>2026</v>
      </c>
      <c r="M236" s="70">
        <f>CURVA[[#This Row],[% AVANCE REAL]]*MAX(CURVA[M2 Avance Programado])</f>
        <v>0</v>
      </c>
      <c r="N236" s="69">
        <f>IF(CURVA[[#This Row],[% AVANCE REAL]]="",0,M236-M235)</f>
        <v>0</v>
      </c>
    </row>
    <row r="237" spans="1:14" x14ac:dyDescent="0.25">
      <c r="A237" s="1">
        <v>46305</v>
      </c>
      <c r="B237" s="7">
        <v>0.42798295454545454</v>
      </c>
      <c r="C237" s="7">
        <v>2.9592803030301651E-3</v>
      </c>
      <c r="D237">
        <v>51</v>
      </c>
      <c r="E237" s="66">
        <v>9074.639998321838</v>
      </c>
      <c r="F237" s="66">
        <v>62.746432115841181</v>
      </c>
      <c r="G237">
        <f>+_xlfn.XLOOKUP(CURVA[[#This Row],[Fecha]],AV_PLAN[Días],AV_PLAN[INICIO REAL],"",0)</f>
        <v>0</v>
      </c>
      <c r="H237">
        <f>+_xlfn.XLOOKUP(CURVA[[#This Row],[Fecha]],AV_PLAN[Días],AV_PLAN[FECHA TERMINO REAL],"",0)</f>
        <v>0</v>
      </c>
      <c r="I237" s="13"/>
      <c r="J237">
        <f>+DAY(CURVA[[#This Row],[Fecha]])</f>
        <v>10</v>
      </c>
      <c r="K237" t="str">
        <f>+TEXT(CURVA[[#This Row],[Fecha]],"MMMM")</f>
        <v>octubre</v>
      </c>
      <c r="L237">
        <f>+YEAR(CURVA[[#This Row],[Fecha]])</f>
        <v>2026</v>
      </c>
      <c r="M237" s="69">
        <f>CURVA[[#This Row],[% AVANCE REAL]]*MAX(CURVA[M2 Avance Programado])</f>
        <v>0</v>
      </c>
      <c r="N237" s="69">
        <f>IF(CURVA[[#This Row],[% AVANCE REAL]]="",0,M237-M236)</f>
        <v>0</v>
      </c>
    </row>
    <row r="238" spans="1:14" x14ac:dyDescent="0.25">
      <c r="A238" s="1">
        <v>46306</v>
      </c>
      <c r="B238" s="7">
        <v>0.43089488636363632</v>
      </c>
      <c r="C238" s="7">
        <v>2.9119318181817788E-3</v>
      </c>
      <c r="D238">
        <v>50</v>
      </c>
      <c r="E238" s="66">
        <v>9136.3824875238279</v>
      </c>
      <c r="F238" s="66">
        <v>61.74248920198977</v>
      </c>
      <c r="G238">
        <f>+_xlfn.XLOOKUP(CURVA[[#This Row],[Fecha]],AV_PLAN[Días],AV_PLAN[INICIO REAL],"",0)</f>
        <v>0</v>
      </c>
      <c r="H238">
        <f>+_xlfn.XLOOKUP(CURVA[[#This Row],[Fecha]],AV_PLAN[Días],AV_PLAN[FECHA TERMINO REAL],"",0)</f>
        <v>0</v>
      </c>
      <c r="I238" s="13"/>
      <c r="J238">
        <f>+DAY(CURVA[[#This Row],[Fecha]])</f>
        <v>11</v>
      </c>
      <c r="K238" t="str">
        <f>+TEXT(CURVA[[#This Row],[Fecha]],"MMMM")</f>
        <v>octubre</v>
      </c>
      <c r="L238">
        <f>+YEAR(CURVA[[#This Row],[Fecha]])</f>
        <v>2026</v>
      </c>
      <c r="M238" s="70">
        <f>CURVA[[#This Row],[% AVANCE REAL]]*MAX(CURVA[M2 Avance Programado])</f>
        <v>0</v>
      </c>
      <c r="N238" s="69">
        <f>IF(CURVA[[#This Row],[% AVANCE REAL]]="",0,M238-M237)</f>
        <v>0</v>
      </c>
    </row>
    <row r="239" spans="1:14" x14ac:dyDescent="0.25">
      <c r="A239" s="1">
        <v>46307</v>
      </c>
      <c r="B239" s="7">
        <v>0.43361742424242422</v>
      </c>
      <c r="C239" s="7">
        <v>2.7225378787879007E-3</v>
      </c>
      <c r="D239">
        <v>50</v>
      </c>
      <c r="E239" s="66">
        <v>9194.1092050704046</v>
      </c>
      <c r="F239" s="66">
        <v>57.726717546577042</v>
      </c>
      <c r="G239">
        <f>+_xlfn.XLOOKUP(CURVA[[#This Row],[Fecha]],AV_PLAN[Días],AV_PLAN[INICIO REAL],"",0)</f>
        <v>0</v>
      </c>
      <c r="H239">
        <f>+_xlfn.XLOOKUP(CURVA[[#This Row],[Fecha]],AV_PLAN[Días],AV_PLAN[FECHA TERMINO REAL],"",0)</f>
        <v>0</v>
      </c>
      <c r="I239" s="13"/>
      <c r="J239">
        <f>+DAY(CURVA[[#This Row],[Fecha]])</f>
        <v>12</v>
      </c>
      <c r="K239" t="str">
        <f>+TEXT(CURVA[[#This Row],[Fecha]],"MMMM")</f>
        <v>octubre</v>
      </c>
      <c r="L239">
        <f>+YEAR(CURVA[[#This Row],[Fecha]])</f>
        <v>2026</v>
      </c>
      <c r="M239" s="69">
        <f>CURVA[[#This Row],[% AVANCE REAL]]*MAX(CURVA[M2 Avance Programado])</f>
        <v>0</v>
      </c>
      <c r="N239" s="69">
        <f>IF(CURVA[[#This Row],[% AVANCE REAL]]="",0,M239-M238)</f>
        <v>0</v>
      </c>
    </row>
    <row r="240" spans="1:14" x14ac:dyDescent="0.25">
      <c r="A240" s="1">
        <v>46308</v>
      </c>
      <c r="B240" s="7">
        <v>0.43636363636363634</v>
      </c>
      <c r="C240" s="7">
        <v>2.7462121212121215E-3</v>
      </c>
      <c r="D240">
        <v>51</v>
      </c>
      <c r="E240" s="66">
        <v>9252.3378940739094</v>
      </c>
      <c r="F240" s="66">
        <v>58.228689003503341</v>
      </c>
      <c r="G240">
        <f>+_xlfn.XLOOKUP(CURVA[[#This Row],[Fecha]],AV_PLAN[Días],AV_PLAN[INICIO REAL],"",0)</f>
        <v>0</v>
      </c>
      <c r="H240">
        <f>+_xlfn.XLOOKUP(CURVA[[#This Row],[Fecha]],AV_PLAN[Días],AV_PLAN[FECHA TERMINO REAL],"",0)</f>
        <v>0</v>
      </c>
      <c r="I240" s="13"/>
      <c r="J240">
        <f>+DAY(CURVA[[#This Row],[Fecha]])</f>
        <v>13</v>
      </c>
      <c r="K240" t="str">
        <f>+TEXT(CURVA[[#This Row],[Fecha]],"MMMM")</f>
        <v>octubre</v>
      </c>
      <c r="L240">
        <f>+YEAR(CURVA[[#This Row],[Fecha]])</f>
        <v>2026</v>
      </c>
      <c r="M240" s="70">
        <f>CURVA[[#This Row],[% AVANCE REAL]]*MAX(CURVA[M2 Avance Programado])</f>
        <v>0</v>
      </c>
      <c r="N240" s="69">
        <f>IF(CURVA[[#This Row],[% AVANCE REAL]]="",0,M240-M239)</f>
        <v>0</v>
      </c>
    </row>
    <row r="241" spans="1:14" x14ac:dyDescent="0.25">
      <c r="A241" s="1">
        <v>46309</v>
      </c>
      <c r="B241" s="7">
        <v>0.43922821969696973</v>
      </c>
      <c r="C241" s="7">
        <v>2.8645833333333925E-3</v>
      </c>
      <c r="D241">
        <v>53</v>
      </c>
      <c r="E241" s="66">
        <v>9313.0764403620469</v>
      </c>
      <c r="F241" s="66">
        <v>60.738546288138352</v>
      </c>
      <c r="G241">
        <f>+_xlfn.XLOOKUP(CURVA[[#This Row],[Fecha]],AV_PLAN[Días],AV_PLAN[INICIO REAL],"",0)</f>
        <v>0</v>
      </c>
      <c r="H241">
        <f>+_xlfn.XLOOKUP(CURVA[[#This Row],[Fecha]],AV_PLAN[Días],AV_PLAN[FECHA TERMINO REAL],"",0)</f>
        <v>0</v>
      </c>
      <c r="I241" s="13"/>
      <c r="J241">
        <f>+DAY(CURVA[[#This Row],[Fecha]])</f>
        <v>14</v>
      </c>
      <c r="K241" t="str">
        <f>+TEXT(CURVA[[#This Row],[Fecha]],"MMMM")</f>
        <v>octubre</v>
      </c>
      <c r="L241">
        <f>+YEAR(CURVA[[#This Row],[Fecha]])</f>
        <v>2026</v>
      </c>
      <c r="M241" s="69">
        <f>CURVA[[#This Row],[% AVANCE REAL]]*MAX(CURVA[M2 Avance Programado])</f>
        <v>0</v>
      </c>
      <c r="N241" s="69">
        <f>IF(CURVA[[#This Row],[% AVANCE REAL]]="",0,M241-M240)</f>
        <v>0</v>
      </c>
    </row>
    <row r="242" spans="1:14" x14ac:dyDescent="0.25">
      <c r="A242" s="1">
        <v>46310</v>
      </c>
      <c r="B242" s="7">
        <v>0.44211647727272746</v>
      </c>
      <c r="C242" s="7">
        <v>2.8882575757577245E-3</v>
      </c>
      <c r="D242">
        <v>53</v>
      </c>
      <c r="E242" s="66">
        <v>9374.3169581071143</v>
      </c>
      <c r="F242" s="66">
        <v>61.240517745067002</v>
      </c>
      <c r="G242">
        <f>+_xlfn.XLOOKUP(CURVA[[#This Row],[Fecha]],AV_PLAN[Días],AV_PLAN[INICIO REAL],"",0)</f>
        <v>0</v>
      </c>
      <c r="H242">
        <f>+_xlfn.XLOOKUP(CURVA[[#This Row],[Fecha]],AV_PLAN[Días],AV_PLAN[FECHA TERMINO REAL],"",0)</f>
        <v>0</v>
      </c>
      <c r="I242" s="13"/>
      <c r="J242">
        <f>+DAY(CURVA[[#This Row],[Fecha]])</f>
        <v>15</v>
      </c>
      <c r="K242" t="str">
        <f>+TEXT(CURVA[[#This Row],[Fecha]],"MMMM")</f>
        <v>octubre</v>
      </c>
      <c r="L242">
        <f>+YEAR(CURVA[[#This Row],[Fecha]])</f>
        <v>2026</v>
      </c>
      <c r="M242" s="70">
        <f>CURVA[[#This Row],[% AVANCE REAL]]*MAX(CURVA[M2 Avance Programado])</f>
        <v>0</v>
      </c>
      <c r="N242" s="69">
        <f>IF(CURVA[[#This Row],[% AVANCE REAL]]="",0,M242-M241)</f>
        <v>0</v>
      </c>
    </row>
    <row r="243" spans="1:14" x14ac:dyDescent="0.25">
      <c r="A243" s="1">
        <v>46311</v>
      </c>
      <c r="B243" s="7">
        <v>0.44493371212121213</v>
      </c>
      <c r="C243" s="7">
        <v>2.8172348484846732E-3</v>
      </c>
      <c r="D243">
        <v>52</v>
      </c>
      <c r="E243" s="66">
        <v>9434.0515614813939</v>
      </c>
      <c r="F243" s="66">
        <v>59.734603374279878</v>
      </c>
      <c r="G243">
        <f>+_xlfn.XLOOKUP(CURVA[[#This Row],[Fecha]],AV_PLAN[Días],AV_PLAN[INICIO REAL],"",0)</f>
        <v>0</v>
      </c>
      <c r="H243">
        <f>+_xlfn.XLOOKUP(CURVA[[#This Row],[Fecha]],AV_PLAN[Días],AV_PLAN[FECHA TERMINO REAL],"",0)</f>
        <v>0</v>
      </c>
      <c r="I243" s="13"/>
      <c r="J243">
        <f>+DAY(CURVA[[#This Row],[Fecha]])</f>
        <v>16</v>
      </c>
      <c r="K243" t="str">
        <f>+TEXT(CURVA[[#This Row],[Fecha]],"MMMM")</f>
        <v>octubre</v>
      </c>
      <c r="L243">
        <f>+YEAR(CURVA[[#This Row],[Fecha]])</f>
        <v>2026</v>
      </c>
      <c r="M243" s="69">
        <f>CURVA[[#This Row],[% AVANCE REAL]]*MAX(CURVA[M2 Avance Programado])</f>
        <v>0</v>
      </c>
      <c r="N243" s="69">
        <f>IF(CURVA[[#This Row],[% AVANCE REAL]]="",0,M243-M242)</f>
        <v>0</v>
      </c>
    </row>
    <row r="244" spans="1:14" x14ac:dyDescent="0.25">
      <c r="A244" s="1">
        <v>46312</v>
      </c>
      <c r="B244" s="7">
        <v>0.44791666666666674</v>
      </c>
      <c r="C244" s="7">
        <v>2.982954545454608E-3</v>
      </c>
      <c r="D244">
        <v>52</v>
      </c>
      <c r="E244" s="66">
        <v>9497.299965054166</v>
      </c>
      <c r="F244" s="66">
        <v>63.24840357277219</v>
      </c>
      <c r="G244">
        <f>+_xlfn.XLOOKUP(CURVA[[#This Row],[Fecha]],AV_PLAN[Días],AV_PLAN[INICIO REAL],"",0)</f>
        <v>0</v>
      </c>
      <c r="H244">
        <f>+_xlfn.XLOOKUP(CURVA[[#This Row],[Fecha]],AV_PLAN[Días],AV_PLAN[FECHA TERMINO REAL],"",0)</f>
        <v>0</v>
      </c>
      <c r="I244" s="13"/>
      <c r="J244">
        <f>+DAY(CURVA[[#This Row],[Fecha]])</f>
        <v>17</v>
      </c>
      <c r="K244" t="str">
        <f>+TEXT(CURVA[[#This Row],[Fecha]],"MMMM")</f>
        <v>octubre</v>
      </c>
      <c r="L244">
        <f>+YEAR(CURVA[[#This Row],[Fecha]])</f>
        <v>2026</v>
      </c>
      <c r="M244" s="70">
        <f>CURVA[[#This Row],[% AVANCE REAL]]*MAX(CURVA[M2 Avance Programado])</f>
        <v>0</v>
      </c>
      <c r="N244" s="69">
        <f>IF(CURVA[[#This Row],[% AVANCE REAL]]="",0,M244-M243)</f>
        <v>0</v>
      </c>
    </row>
    <row r="245" spans="1:14" x14ac:dyDescent="0.25">
      <c r="A245" s="1">
        <v>46313</v>
      </c>
      <c r="B245" s="7">
        <v>0.45089962121212129</v>
      </c>
      <c r="C245" s="7">
        <v>2.9829545454545525E-3</v>
      </c>
      <c r="D245">
        <v>52</v>
      </c>
      <c r="E245" s="66">
        <v>9560.5483686269381</v>
      </c>
      <c r="F245" s="66">
        <v>63.248403572771011</v>
      </c>
      <c r="G245">
        <f>+_xlfn.XLOOKUP(CURVA[[#This Row],[Fecha]],AV_PLAN[Días],AV_PLAN[INICIO REAL],"",0)</f>
        <v>0</v>
      </c>
      <c r="H245">
        <f>+_xlfn.XLOOKUP(CURVA[[#This Row],[Fecha]],AV_PLAN[Días],AV_PLAN[FECHA TERMINO REAL],"",0)</f>
        <v>0</v>
      </c>
      <c r="I245" s="13"/>
      <c r="J245">
        <f>+DAY(CURVA[[#This Row],[Fecha]])</f>
        <v>18</v>
      </c>
      <c r="K245" t="str">
        <f>+TEXT(CURVA[[#This Row],[Fecha]],"MMMM")</f>
        <v>octubre</v>
      </c>
      <c r="L245">
        <f>+YEAR(CURVA[[#This Row],[Fecha]])</f>
        <v>2026</v>
      </c>
      <c r="M245" s="69">
        <f>CURVA[[#This Row],[% AVANCE REAL]]*MAX(CURVA[M2 Avance Programado])</f>
        <v>0</v>
      </c>
      <c r="N245" s="69">
        <f>IF(CURVA[[#This Row],[% AVANCE REAL]]="",0,M245-M244)</f>
        <v>0</v>
      </c>
    </row>
    <row r="246" spans="1:14" x14ac:dyDescent="0.25">
      <c r="A246" s="1">
        <v>46314</v>
      </c>
      <c r="B246" s="7">
        <v>0.4537405303030303</v>
      </c>
      <c r="C246" s="7">
        <v>2.8409090909090051E-3</v>
      </c>
      <c r="D246">
        <v>53</v>
      </c>
      <c r="E246" s="66">
        <v>9620.7849434581458</v>
      </c>
      <c r="F246" s="66">
        <v>60.236574831208529</v>
      </c>
      <c r="G246">
        <f>+_xlfn.XLOOKUP(CURVA[[#This Row],[Fecha]],AV_PLAN[Días],AV_PLAN[INICIO REAL],"",0)</f>
        <v>0</v>
      </c>
      <c r="H246">
        <f>+_xlfn.XLOOKUP(CURVA[[#This Row],[Fecha]],AV_PLAN[Días],AV_PLAN[FECHA TERMINO REAL],"",0)</f>
        <v>0</v>
      </c>
      <c r="I246" s="13"/>
      <c r="J246">
        <f>+DAY(CURVA[[#This Row],[Fecha]])</f>
        <v>19</v>
      </c>
      <c r="K246" t="str">
        <f>+TEXT(CURVA[[#This Row],[Fecha]],"MMMM")</f>
        <v>octubre</v>
      </c>
      <c r="L246">
        <f>+YEAR(CURVA[[#This Row],[Fecha]])</f>
        <v>2026</v>
      </c>
      <c r="M246" s="70">
        <f>CURVA[[#This Row],[% AVANCE REAL]]*MAX(CURVA[M2 Avance Programado])</f>
        <v>0</v>
      </c>
      <c r="N246" s="69">
        <f>IF(CURVA[[#This Row],[% AVANCE REAL]]="",0,M246-M245)</f>
        <v>0</v>
      </c>
    </row>
    <row r="247" spans="1:14" x14ac:dyDescent="0.25">
      <c r="A247" s="1">
        <v>46315</v>
      </c>
      <c r="B247" s="7">
        <v>0.45669981060606052</v>
      </c>
      <c r="C247" s="7">
        <v>2.9592803030302206E-3</v>
      </c>
      <c r="D247">
        <v>55</v>
      </c>
      <c r="E247" s="66">
        <v>9683.531375573988</v>
      </c>
      <c r="F247" s="66">
        <v>62.74643211584236</v>
      </c>
      <c r="G247">
        <f>+_xlfn.XLOOKUP(CURVA[[#This Row],[Fecha]],AV_PLAN[Días],AV_PLAN[INICIO REAL],"",0)</f>
        <v>0</v>
      </c>
      <c r="H247">
        <f>+_xlfn.XLOOKUP(CURVA[[#This Row],[Fecha]],AV_PLAN[Días],AV_PLAN[FECHA TERMINO REAL],"",0)</f>
        <v>0</v>
      </c>
      <c r="I247" s="13"/>
      <c r="J247">
        <f>+DAY(CURVA[[#This Row],[Fecha]])</f>
        <v>20</v>
      </c>
      <c r="K247" t="str">
        <f>+TEXT(CURVA[[#This Row],[Fecha]],"MMMM")</f>
        <v>octubre</v>
      </c>
      <c r="L247">
        <f>+YEAR(CURVA[[#This Row],[Fecha]])</f>
        <v>2026</v>
      </c>
      <c r="M247" s="69">
        <f>CURVA[[#This Row],[% AVANCE REAL]]*MAX(CURVA[M2 Avance Programado])</f>
        <v>0</v>
      </c>
      <c r="N247" s="69">
        <f>IF(CURVA[[#This Row],[% AVANCE REAL]]="",0,M247-M246)</f>
        <v>0</v>
      </c>
    </row>
    <row r="248" spans="1:14" x14ac:dyDescent="0.25">
      <c r="A248" s="1">
        <v>46316</v>
      </c>
      <c r="B248" s="7">
        <v>0.45977746212121212</v>
      </c>
      <c r="C248" s="7">
        <v>3.0776515151516026E-3</v>
      </c>
      <c r="D248">
        <v>57</v>
      </c>
      <c r="E248" s="66">
        <v>9748.7876649744685</v>
      </c>
      <c r="F248" s="66">
        <v>65.25628940047973</v>
      </c>
      <c r="G248">
        <f>+_xlfn.XLOOKUP(CURVA[[#This Row],[Fecha]],AV_PLAN[Días],AV_PLAN[INICIO REAL],"",0)</f>
        <v>0</v>
      </c>
      <c r="H248">
        <f>+_xlfn.XLOOKUP(CURVA[[#This Row],[Fecha]],AV_PLAN[Días],AV_PLAN[FECHA TERMINO REAL],"",0)</f>
        <v>0</v>
      </c>
      <c r="I248" s="13"/>
      <c r="J248">
        <f>+DAY(CURVA[[#This Row],[Fecha]])</f>
        <v>21</v>
      </c>
      <c r="K248" t="str">
        <f>+TEXT(CURVA[[#This Row],[Fecha]],"MMMM")</f>
        <v>octubre</v>
      </c>
      <c r="L248">
        <f>+YEAR(CURVA[[#This Row],[Fecha]])</f>
        <v>2026</v>
      </c>
      <c r="M248" s="70">
        <f>CURVA[[#This Row],[% AVANCE REAL]]*MAX(CURVA[M2 Avance Programado])</f>
        <v>0</v>
      </c>
      <c r="N248" s="69">
        <f>IF(CURVA[[#This Row],[% AVANCE REAL]]="",0,M248-M247)</f>
        <v>0</v>
      </c>
    </row>
    <row r="249" spans="1:14" x14ac:dyDescent="0.25">
      <c r="A249" s="1">
        <v>46317</v>
      </c>
      <c r="B249" s="7">
        <v>0.46283143939393939</v>
      </c>
      <c r="C249" s="7">
        <v>3.0539772727272707E-3</v>
      </c>
      <c r="D249">
        <v>57</v>
      </c>
      <c r="E249" s="66">
        <v>9813.5419829180191</v>
      </c>
      <c r="F249" s="66">
        <v>64.754317943551087</v>
      </c>
      <c r="G249">
        <f>+_xlfn.XLOOKUP(CURVA[[#This Row],[Fecha]],AV_PLAN[Días],AV_PLAN[INICIO REAL],"",0)</f>
        <v>0</v>
      </c>
      <c r="H249">
        <f>+_xlfn.XLOOKUP(CURVA[[#This Row],[Fecha]],AV_PLAN[Días],AV_PLAN[FECHA TERMINO REAL],"",0)</f>
        <v>0</v>
      </c>
      <c r="I249" s="13"/>
      <c r="J249">
        <f>+DAY(CURVA[[#This Row],[Fecha]])</f>
        <v>22</v>
      </c>
      <c r="K249" t="str">
        <f>+TEXT(CURVA[[#This Row],[Fecha]],"MMMM")</f>
        <v>octubre</v>
      </c>
      <c r="L249">
        <f>+YEAR(CURVA[[#This Row],[Fecha]])</f>
        <v>2026</v>
      </c>
      <c r="M249" s="69">
        <f>CURVA[[#This Row],[% AVANCE REAL]]*MAX(CURVA[M2 Avance Programado])</f>
        <v>0</v>
      </c>
      <c r="N249" s="69">
        <f>IF(CURVA[[#This Row],[% AVANCE REAL]]="",0,M249-M248)</f>
        <v>0</v>
      </c>
    </row>
    <row r="250" spans="1:14" x14ac:dyDescent="0.25">
      <c r="A250" s="1">
        <v>46318</v>
      </c>
      <c r="B250" s="7">
        <v>0.46586174242424239</v>
      </c>
      <c r="C250" s="7">
        <v>3.0303030303029943E-3</v>
      </c>
      <c r="D250">
        <v>57</v>
      </c>
      <c r="E250" s="66">
        <v>9877.7943294046418</v>
      </c>
      <c r="F250" s="66">
        <v>64.252346486623608</v>
      </c>
      <c r="G250">
        <f>+_xlfn.XLOOKUP(CURVA[[#This Row],[Fecha]],AV_PLAN[Días],AV_PLAN[INICIO REAL],"",0)</f>
        <v>0</v>
      </c>
      <c r="H250">
        <f>+_xlfn.XLOOKUP(CURVA[[#This Row],[Fecha]],AV_PLAN[Días],AV_PLAN[FECHA TERMINO REAL],"",0)</f>
        <v>0</v>
      </c>
      <c r="I250" s="13"/>
      <c r="J250">
        <f>+DAY(CURVA[[#This Row],[Fecha]])</f>
        <v>23</v>
      </c>
      <c r="K250" t="str">
        <f>+TEXT(CURVA[[#This Row],[Fecha]],"MMMM")</f>
        <v>octubre</v>
      </c>
      <c r="L250">
        <f>+YEAR(CURVA[[#This Row],[Fecha]])</f>
        <v>2026</v>
      </c>
      <c r="M250" s="70">
        <f>CURVA[[#This Row],[% AVANCE REAL]]*MAX(CURVA[M2 Avance Programado])</f>
        <v>0</v>
      </c>
      <c r="N250" s="69">
        <f>IF(CURVA[[#This Row],[% AVANCE REAL]]="",0,M250-M249)</f>
        <v>0</v>
      </c>
    </row>
    <row r="251" spans="1:14" x14ac:dyDescent="0.25">
      <c r="A251" s="1">
        <v>46319</v>
      </c>
      <c r="B251" s="7">
        <v>0.46898674242424254</v>
      </c>
      <c r="C251" s="7">
        <v>3.1250000000001554E-3</v>
      </c>
      <c r="D251">
        <v>55</v>
      </c>
      <c r="E251" s="66">
        <v>9944.0545617189764</v>
      </c>
      <c r="F251" s="66">
        <v>66.260232314334672</v>
      </c>
      <c r="G251">
        <f>+_xlfn.XLOOKUP(CURVA[[#This Row],[Fecha]],AV_PLAN[Días],AV_PLAN[INICIO REAL],"",0)</f>
        <v>0</v>
      </c>
      <c r="H251">
        <f>+_xlfn.XLOOKUP(CURVA[[#This Row],[Fecha]],AV_PLAN[Días],AV_PLAN[FECHA TERMINO REAL],"",0)</f>
        <v>0</v>
      </c>
      <c r="I251" s="13"/>
      <c r="J251">
        <f>+DAY(CURVA[[#This Row],[Fecha]])</f>
        <v>24</v>
      </c>
      <c r="K251" t="str">
        <f>+TEXT(CURVA[[#This Row],[Fecha]],"MMMM")</f>
        <v>octubre</v>
      </c>
      <c r="L251">
        <f>+YEAR(CURVA[[#This Row],[Fecha]])</f>
        <v>2026</v>
      </c>
      <c r="M251" s="69">
        <f>CURVA[[#This Row],[% AVANCE REAL]]*MAX(CURVA[M2 Avance Programado])</f>
        <v>0</v>
      </c>
      <c r="N251" s="69">
        <f>IF(CURVA[[#This Row],[% AVANCE REAL]]="",0,M251-M250)</f>
        <v>0</v>
      </c>
    </row>
    <row r="252" spans="1:14" x14ac:dyDescent="0.25">
      <c r="A252" s="1">
        <v>46320</v>
      </c>
      <c r="B252" s="7">
        <v>0.47201704545454565</v>
      </c>
      <c r="C252" s="7">
        <v>3.0303030303031053E-3</v>
      </c>
      <c r="D252">
        <v>53</v>
      </c>
      <c r="E252" s="66">
        <v>10008.306908205604</v>
      </c>
      <c r="F252" s="66">
        <v>64.252346486625967</v>
      </c>
      <c r="G252">
        <f>+_xlfn.XLOOKUP(CURVA[[#This Row],[Fecha]],AV_PLAN[Días],AV_PLAN[INICIO REAL],"",0)</f>
        <v>0</v>
      </c>
      <c r="H252">
        <f>+_xlfn.XLOOKUP(CURVA[[#This Row],[Fecha]],AV_PLAN[Días],AV_PLAN[FECHA TERMINO REAL],"",0)</f>
        <v>0</v>
      </c>
      <c r="I252" s="13"/>
      <c r="J252">
        <f>+DAY(CURVA[[#This Row],[Fecha]])</f>
        <v>25</v>
      </c>
      <c r="K252" t="str">
        <f>+TEXT(CURVA[[#This Row],[Fecha]],"MMMM")</f>
        <v>octubre</v>
      </c>
      <c r="L252">
        <f>+YEAR(CURVA[[#This Row],[Fecha]])</f>
        <v>2026</v>
      </c>
      <c r="M252" s="70">
        <f>CURVA[[#This Row],[% AVANCE REAL]]*MAX(CURVA[M2 Avance Programado])</f>
        <v>0</v>
      </c>
      <c r="N252" s="69">
        <f>IF(CURVA[[#This Row],[% AVANCE REAL]]="",0,M252-M251)</f>
        <v>0</v>
      </c>
    </row>
    <row r="253" spans="1:14" x14ac:dyDescent="0.25">
      <c r="A253" s="1">
        <v>46321</v>
      </c>
      <c r="B253" s="7">
        <v>0.47492897727272715</v>
      </c>
      <c r="C253" s="7">
        <v>2.9119318181815013E-3</v>
      </c>
      <c r="D253">
        <v>54</v>
      </c>
      <c r="E253" s="66">
        <v>10070.049397407587</v>
      </c>
      <c r="F253" s="66">
        <v>61.742489201983886</v>
      </c>
      <c r="G253">
        <f>+_xlfn.XLOOKUP(CURVA[[#This Row],[Fecha]],AV_PLAN[Días],AV_PLAN[INICIO REAL],"",0)</f>
        <v>0</v>
      </c>
      <c r="H253">
        <f>+_xlfn.XLOOKUP(CURVA[[#This Row],[Fecha]],AV_PLAN[Días],AV_PLAN[FECHA TERMINO REAL],"",0)</f>
        <v>0</v>
      </c>
      <c r="I253" s="13"/>
      <c r="J253">
        <f>+DAY(CURVA[[#This Row],[Fecha]])</f>
        <v>26</v>
      </c>
      <c r="K253" t="str">
        <f>+TEXT(CURVA[[#This Row],[Fecha]],"MMMM")</f>
        <v>octubre</v>
      </c>
      <c r="L253">
        <f>+YEAR(CURVA[[#This Row],[Fecha]])</f>
        <v>2026</v>
      </c>
      <c r="M253" s="69">
        <f>CURVA[[#This Row],[% AVANCE REAL]]*MAX(CURVA[M2 Avance Programado])</f>
        <v>0</v>
      </c>
      <c r="N253" s="69">
        <f>IF(CURVA[[#This Row],[% AVANCE REAL]]="",0,M253-M252)</f>
        <v>0</v>
      </c>
    </row>
    <row r="254" spans="1:14" x14ac:dyDescent="0.25">
      <c r="A254" s="1">
        <v>46322</v>
      </c>
      <c r="B254" s="7">
        <v>0.47795928030303014</v>
      </c>
      <c r="C254" s="7">
        <v>3.0303030303029943E-3</v>
      </c>
      <c r="D254">
        <v>56</v>
      </c>
      <c r="E254" s="66">
        <v>10134.301743894212</v>
      </c>
      <c r="F254" s="66">
        <v>64.252346486623608</v>
      </c>
      <c r="G254">
        <f>+_xlfn.XLOOKUP(CURVA[[#This Row],[Fecha]],AV_PLAN[Días],AV_PLAN[INICIO REAL],"",0)</f>
        <v>0</v>
      </c>
      <c r="H254">
        <f>+_xlfn.XLOOKUP(CURVA[[#This Row],[Fecha]],AV_PLAN[Días],AV_PLAN[FECHA TERMINO REAL],"",0)</f>
        <v>0</v>
      </c>
      <c r="I254" s="13"/>
      <c r="J254">
        <f>+DAY(CURVA[[#This Row],[Fecha]])</f>
        <v>27</v>
      </c>
      <c r="K254" t="str">
        <f>+TEXT(CURVA[[#This Row],[Fecha]],"MMMM")</f>
        <v>octubre</v>
      </c>
      <c r="L254">
        <f>+YEAR(CURVA[[#This Row],[Fecha]])</f>
        <v>2026</v>
      </c>
      <c r="M254" s="70">
        <f>CURVA[[#This Row],[% AVANCE REAL]]*MAX(CURVA[M2 Avance Programado])</f>
        <v>0</v>
      </c>
      <c r="N254" s="69">
        <f>IF(CURVA[[#This Row],[% AVANCE REAL]]="",0,M254-M253)</f>
        <v>0</v>
      </c>
    </row>
    <row r="255" spans="1:14" x14ac:dyDescent="0.25">
      <c r="A255" s="1">
        <v>46323</v>
      </c>
      <c r="B255" s="7">
        <v>0.48101325757575758</v>
      </c>
      <c r="C255" s="7">
        <v>3.0539772727274372E-3</v>
      </c>
      <c r="D255">
        <v>57</v>
      </c>
      <c r="E255" s="66">
        <v>10199.056061837766</v>
      </c>
      <c r="F255" s="66">
        <v>64.754317943554611</v>
      </c>
      <c r="G255">
        <f>+_xlfn.XLOOKUP(CURVA[[#This Row],[Fecha]],AV_PLAN[Días],AV_PLAN[INICIO REAL],"",0)</f>
        <v>0</v>
      </c>
      <c r="H255">
        <f>+_xlfn.XLOOKUP(CURVA[[#This Row],[Fecha]],AV_PLAN[Días],AV_PLAN[FECHA TERMINO REAL],"",0)</f>
        <v>0</v>
      </c>
      <c r="I255" s="13"/>
      <c r="J255">
        <f>+DAY(CURVA[[#This Row],[Fecha]])</f>
        <v>28</v>
      </c>
      <c r="K255" t="str">
        <f>+TEXT(CURVA[[#This Row],[Fecha]],"MMMM")</f>
        <v>octubre</v>
      </c>
      <c r="L255">
        <f>+YEAR(CURVA[[#This Row],[Fecha]])</f>
        <v>2026</v>
      </c>
      <c r="M255" s="69">
        <f>CURVA[[#This Row],[% AVANCE REAL]]*MAX(CURVA[M2 Avance Programado])</f>
        <v>0</v>
      </c>
      <c r="N255" s="69">
        <f>IF(CURVA[[#This Row],[% AVANCE REAL]]="",0,M255-M254)</f>
        <v>0</v>
      </c>
    </row>
    <row r="256" spans="1:14" x14ac:dyDescent="0.25">
      <c r="A256" s="1">
        <v>46324</v>
      </c>
      <c r="B256" s="7">
        <v>0.48404356060606057</v>
      </c>
      <c r="C256" s="7">
        <v>3.0303030303029943E-3</v>
      </c>
      <c r="D256">
        <v>57</v>
      </c>
      <c r="E256" s="66">
        <v>10263.308408324388</v>
      </c>
      <c r="F256" s="66">
        <v>64.252346486623608</v>
      </c>
      <c r="G256">
        <f>+_xlfn.XLOOKUP(CURVA[[#This Row],[Fecha]],AV_PLAN[Días],AV_PLAN[INICIO REAL],"",0)</f>
        <v>0</v>
      </c>
      <c r="H256">
        <f>+_xlfn.XLOOKUP(CURVA[[#This Row],[Fecha]],AV_PLAN[Días],AV_PLAN[FECHA TERMINO REAL],"",0)</f>
        <v>0</v>
      </c>
      <c r="I256" s="13"/>
      <c r="J256">
        <f>+DAY(CURVA[[#This Row],[Fecha]])</f>
        <v>29</v>
      </c>
      <c r="K256" t="str">
        <f>+TEXT(CURVA[[#This Row],[Fecha]],"MMMM")</f>
        <v>octubre</v>
      </c>
      <c r="L256">
        <f>+YEAR(CURVA[[#This Row],[Fecha]])</f>
        <v>2026</v>
      </c>
      <c r="M256" s="70">
        <f>CURVA[[#This Row],[% AVANCE REAL]]*MAX(CURVA[M2 Avance Programado])</f>
        <v>0</v>
      </c>
      <c r="N256" s="69">
        <f>IF(CURVA[[#This Row],[% AVANCE REAL]]="",0,M256-M255)</f>
        <v>0</v>
      </c>
    </row>
    <row r="257" spans="1:14" x14ac:dyDescent="0.25">
      <c r="A257" s="1">
        <v>46325</v>
      </c>
      <c r="B257" s="7">
        <v>0.48709753787878801</v>
      </c>
      <c r="C257" s="7">
        <v>3.0539772727274372E-3</v>
      </c>
      <c r="D257">
        <v>57</v>
      </c>
      <c r="E257" s="66">
        <v>10328.062726267945</v>
      </c>
      <c r="F257" s="66">
        <v>64.754317943554611</v>
      </c>
      <c r="G257">
        <f>+_xlfn.XLOOKUP(CURVA[[#This Row],[Fecha]],AV_PLAN[Días],AV_PLAN[INICIO REAL],"",0)</f>
        <v>0</v>
      </c>
      <c r="H257">
        <f>+_xlfn.XLOOKUP(CURVA[[#This Row],[Fecha]],AV_PLAN[Días],AV_PLAN[FECHA TERMINO REAL],"",0)</f>
        <v>0</v>
      </c>
      <c r="I257" s="13"/>
      <c r="J257">
        <f>+DAY(CURVA[[#This Row],[Fecha]])</f>
        <v>30</v>
      </c>
      <c r="K257" t="str">
        <f>+TEXT(CURVA[[#This Row],[Fecha]],"MMMM")</f>
        <v>octubre</v>
      </c>
      <c r="L257">
        <f>+YEAR(CURVA[[#This Row],[Fecha]])</f>
        <v>2026</v>
      </c>
      <c r="M257" s="69">
        <f>CURVA[[#This Row],[% AVANCE REAL]]*MAX(CURVA[M2 Avance Programado])</f>
        <v>0</v>
      </c>
      <c r="N257" s="69">
        <f>IF(CURVA[[#This Row],[% AVANCE REAL]]="",0,M257-M256)</f>
        <v>0</v>
      </c>
    </row>
    <row r="258" spans="1:14" x14ac:dyDescent="0.25">
      <c r="A258" s="1">
        <v>46326</v>
      </c>
      <c r="B258" s="7">
        <v>0.49024621212121228</v>
      </c>
      <c r="C258" s="7">
        <v>3.1486742424242653E-3</v>
      </c>
      <c r="D258">
        <v>55</v>
      </c>
      <c r="E258" s="66">
        <v>10394.824930039202</v>
      </c>
      <c r="F258" s="66">
        <v>66.762203771258612</v>
      </c>
      <c r="G258">
        <f>+_xlfn.XLOOKUP(CURVA[[#This Row],[Fecha]],AV_PLAN[Días],AV_PLAN[INICIO REAL],"",0)</f>
        <v>0</v>
      </c>
      <c r="H258">
        <f>+_xlfn.XLOOKUP(CURVA[[#This Row],[Fecha]],AV_PLAN[Días],AV_PLAN[FECHA TERMINO REAL],"",0)</f>
        <v>0</v>
      </c>
      <c r="I258" s="13"/>
      <c r="J258">
        <f>+DAY(CURVA[[#This Row],[Fecha]])</f>
        <v>31</v>
      </c>
      <c r="K258" t="str">
        <f>+TEXT(CURVA[[#This Row],[Fecha]],"MMMM")</f>
        <v>octubre</v>
      </c>
      <c r="L258">
        <f>+YEAR(CURVA[[#This Row],[Fecha]])</f>
        <v>2026</v>
      </c>
      <c r="M258" s="70">
        <f>CURVA[[#This Row],[% AVANCE REAL]]*MAX(CURVA[M2 Avance Programado])</f>
        <v>0</v>
      </c>
      <c r="N258" s="69">
        <f>IF(CURVA[[#This Row],[% AVANCE REAL]]="",0,M258-M257)</f>
        <v>0</v>
      </c>
    </row>
    <row r="259" spans="1:14" x14ac:dyDescent="0.25">
      <c r="A259" s="1">
        <v>46327</v>
      </c>
      <c r="B259" s="7">
        <v>0.49334753787878788</v>
      </c>
      <c r="C259" s="7">
        <v>3.1013257575756015E-3</v>
      </c>
      <c r="D259">
        <v>54</v>
      </c>
      <c r="E259" s="66">
        <v>10460.583190896605</v>
      </c>
      <c r="F259" s="66">
        <v>65.758260857401325</v>
      </c>
      <c r="G259">
        <f>+_xlfn.XLOOKUP(CURVA[[#This Row],[Fecha]],AV_PLAN[Días],AV_PLAN[INICIO REAL],"",0)</f>
        <v>0</v>
      </c>
      <c r="H259">
        <f>+_xlfn.XLOOKUP(CURVA[[#This Row],[Fecha]],AV_PLAN[Días],AV_PLAN[FECHA TERMINO REAL],"",0)</f>
        <v>0</v>
      </c>
      <c r="I259" s="13"/>
      <c r="J259">
        <f>+DAY(CURVA[[#This Row],[Fecha]])</f>
        <v>1</v>
      </c>
      <c r="K259" t="str">
        <f>+TEXT(CURVA[[#This Row],[Fecha]],"MMMM")</f>
        <v>noviembre</v>
      </c>
      <c r="L259">
        <f>+YEAR(CURVA[[#This Row],[Fecha]])</f>
        <v>2026</v>
      </c>
      <c r="M259" s="69">
        <f>CURVA[[#This Row],[% AVANCE REAL]]*MAX(CURVA[M2 Avance Programado])</f>
        <v>0</v>
      </c>
      <c r="N259" s="69">
        <f>IF(CURVA[[#This Row],[% AVANCE REAL]]="",0,M259-M258)</f>
        <v>0</v>
      </c>
    </row>
    <row r="260" spans="1:14" x14ac:dyDescent="0.25">
      <c r="A260" s="1">
        <v>46328</v>
      </c>
      <c r="B260" s="7">
        <v>0.49633049242424226</v>
      </c>
      <c r="C260" s="7">
        <v>2.982954545454386E-3</v>
      </c>
      <c r="D260">
        <v>55</v>
      </c>
      <c r="E260" s="66">
        <v>10523.831594469371</v>
      </c>
      <c r="F260" s="66">
        <v>63.248403572767479</v>
      </c>
      <c r="G260">
        <f>+_xlfn.XLOOKUP(CURVA[[#This Row],[Fecha]],AV_PLAN[Días],AV_PLAN[INICIO REAL],"",0)</f>
        <v>0</v>
      </c>
      <c r="H260">
        <f>+_xlfn.XLOOKUP(CURVA[[#This Row],[Fecha]],AV_PLAN[Días],AV_PLAN[FECHA TERMINO REAL],"",0)</f>
        <v>0</v>
      </c>
      <c r="I260" s="13"/>
      <c r="J260">
        <f>+DAY(CURVA[[#This Row],[Fecha]])</f>
        <v>2</v>
      </c>
      <c r="K260" t="str">
        <f>+TEXT(CURVA[[#This Row],[Fecha]],"MMMM")</f>
        <v>noviembre</v>
      </c>
      <c r="L260">
        <f>+YEAR(CURVA[[#This Row],[Fecha]])</f>
        <v>2026</v>
      </c>
      <c r="M260" s="70">
        <f>CURVA[[#This Row],[% AVANCE REAL]]*MAX(CURVA[M2 Avance Programado])</f>
        <v>0</v>
      </c>
      <c r="N260" s="69">
        <f>IF(CURVA[[#This Row],[% AVANCE REAL]]="",0,M260-M259)</f>
        <v>0</v>
      </c>
    </row>
    <row r="261" spans="1:14" x14ac:dyDescent="0.25">
      <c r="A261" s="1">
        <v>46329</v>
      </c>
      <c r="B261" s="7">
        <v>0.49933712121212109</v>
      </c>
      <c r="C261" s="7">
        <v>3.0066287878788289E-3</v>
      </c>
      <c r="D261">
        <v>56</v>
      </c>
      <c r="E261" s="66">
        <v>10587.58196949907</v>
      </c>
      <c r="F261" s="66">
        <v>63.750375029698489</v>
      </c>
      <c r="G261">
        <f>+_xlfn.XLOOKUP(CURVA[[#This Row],[Fecha]],AV_PLAN[Días],AV_PLAN[INICIO REAL],"",0)</f>
        <v>0</v>
      </c>
      <c r="H261">
        <f>+_xlfn.XLOOKUP(CURVA[[#This Row],[Fecha]],AV_PLAN[Días],AV_PLAN[FECHA TERMINO REAL],"",0)</f>
        <v>0</v>
      </c>
      <c r="I261" s="13"/>
      <c r="J261">
        <f>+DAY(CURVA[[#This Row],[Fecha]])</f>
        <v>3</v>
      </c>
      <c r="K261" t="str">
        <f>+TEXT(CURVA[[#This Row],[Fecha]],"MMMM")</f>
        <v>noviembre</v>
      </c>
      <c r="L261">
        <f>+YEAR(CURVA[[#This Row],[Fecha]])</f>
        <v>2026</v>
      </c>
      <c r="M261" s="69">
        <f>CURVA[[#This Row],[% AVANCE REAL]]*MAX(CURVA[M2 Avance Programado])</f>
        <v>0</v>
      </c>
      <c r="N261" s="69">
        <f>IF(CURVA[[#This Row],[% AVANCE REAL]]="",0,M261-M260)</f>
        <v>0</v>
      </c>
    </row>
    <row r="262" spans="1:14" x14ac:dyDescent="0.25">
      <c r="A262" s="1">
        <v>46330</v>
      </c>
      <c r="B262" s="7">
        <v>0.50236742424242431</v>
      </c>
      <c r="C262" s="7">
        <v>3.0303030303032163E-3</v>
      </c>
      <c r="D262">
        <v>57</v>
      </c>
      <c r="E262" s="66">
        <v>10651.834315985698</v>
      </c>
      <c r="F262" s="66">
        <v>64.252346486628312</v>
      </c>
      <c r="G262">
        <f>+_xlfn.XLOOKUP(CURVA[[#This Row],[Fecha]],AV_PLAN[Días],AV_PLAN[INICIO REAL],"",0)</f>
        <v>0</v>
      </c>
      <c r="H262">
        <f>+_xlfn.XLOOKUP(CURVA[[#This Row],[Fecha]],AV_PLAN[Días],AV_PLAN[FECHA TERMINO REAL],"",0)</f>
        <v>0</v>
      </c>
      <c r="I262" s="13"/>
      <c r="J262">
        <f>+DAY(CURVA[[#This Row],[Fecha]])</f>
        <v>4</v>
      </c>
      <c r="K262" t="str">
        <f>+TEXT(CURVA[[#This Row],[Fecha]],"MMMM")</f>
        <v>noviembre</v>
      </c>
      <c r="L262">
        <f>+YEAR(CURVA[[#This Row],[Fecha]])</f>
        <v>2026</v>
      </c>
      <c r="M262" s="70">
        <f>CURVA[[#This Row],[% AVANCE REAL]]*MAX(CURVA[M2 Avance Programado])</f>
        <v>0</v>
      </c>
      <c r="N262" s="69">
        <f>IF(CURVA[[#This Row],[% AVANCE REAL]]="",0,M262-M261)</f>
        <v>0</v>
      </c>
    </row>
    <row r="263" spans="1:14" x14ac:dyDescent="0.25">
      <c r="A263" s="1">
        <v>46331</v>
      </c>
      <c r="B263" s="7">
        <v>0.50542140151515158</v>
      </c>
      <c r="C263" s="7">
        <v>3.0539772727272707E-3</v>
      </c>
      <c r="D263">
        <v>57</v>
      </c>
      <c r="E263" s="66">
        <v>10716.588633929248</v>
      </c>
      <c r="F263" s="66">
        <v>64.754317943551087</v>
      </c>
      <c r="G263">
        <f>+_xlfn.XLOOKUP(CURVA[[#This Row],[Fecha]],AV_PLAN[Días],AV_PLAN[INICIO REAL],"",0)</f>
        <v>0</v>
      </c>
      <c r="H263">
        <f>+_xlfn.XLOOKUP(CURVA[[#This Row],[Fecha]],AV_PLAN[Días],AV_PLAN[FECHA TERMINO REAL],"",0)</f>
        <v>0</v>
      </c>
      <c r="I263" s="13"/>
      <c r="J263">
        <f>+DAY(CURVA[[#This Row],[Fecha]])</f>
        <v>5</v>
      </c>
      <c r="K263" t="str">
        <f>+TEXT(CURVA[[#This Row],[Fecha]],"MMMM")</f>
        <v>noviembre</v>
      </c>
      <c r="L263">
        <f>+YEAR(CURVA[[#This Row],[Fecha]])</f>
        <v>2026</v>
      </c>
      <c r="M263" s="69">
        <f>CURVA[[#This Row],[% AVANCE REAL]]*MAX(CURVA[M2 Avance Programado])</f>
        <v>0</v>
      </c>
      <c r="N263" s="69">
        <f>IF(CURVA[[#This Row],[% AVANCE REAL]]="",0,M263-M262)</f>
        <v>0</v>
      </c>
    </row>
    <row r="264" spans="1:14" x14ac:dyDescent="0.25">
      <c r="A264" s="1">
        <v>46332</v>
      </c>
      <c r="B264" s="7">
        <v>0.50849905303030318</v>
      </c>
      <c r="C264" s="7">
        <v>3.0776515151516026E-3</v>
      </c>
      <c r="D264">
        <v>57</v>
      </c>
      <c r="E264" s="66">
        <v>10781.844923329729</v>
      </c>
      <c r="F264" s="66">
        <v>65.25628940047973</v>
      </c>
      <c r="G264">
        <f>+_xlfn.XLOOKUP(CURVA[[#This Row],[Fecha]],AV_PLAN[Días],AV_PLAN[INICIO REAL],"",0)</f>
        <v>0</v>
      </c>
      <c r="H264">
        <f>+_xlfn.XLOOKUP(CURVA[[#This Row],[Fecha]],AV_PLAN[Días],AV_PLAN[FECHA TERMINO REAL],"",0)</f>
        <v>0</v>
      </c>
      <c r="I264" s="13"/>
      <c r="J264">
        <f>+DAY(CURVA[[#This Row],[Fecha]])</f>
        <v>6</v>
      </c>
      <c r="K264" t="str">
        <f>+TEXT(CURVA[[#This Row],[Fecha]],"MMMM")</f>
        <v>noviembre</v>
      </c>
      <c r="L264">
        <f>+YEAR(CURVA[[#This Row],[Fecha]])</f>
        <v>2026</v>
      </c>
      <c r="M264" s="70">
        <f>CURVA[[#This Row],[% AVANCE REAL]]*MAX(CURVA[M2 Avance Programado])</f>
        <v>0</v>
      </c>
      <c r="N264" s="69">
        <f>IF(CURVA[[#This Row],[% AVANCE REAL]]="",0,M264-M263)</f>
        <v>0</v>
      </c>
    </row>
    <row r="265" spans="1:14" x14ac:dyDescent="0.25">
      <c r="A265" s="1">
        <v>46333</v>
      </c>
      <c r="B265" s="7">
        <v>0.51169507575757578</v>
      </c>
      <c r="C265" s="7">
        <v>3.1960227272725961E-3</v>
      </c>
      <c r="D265">
        <v>56</v>
      </c>
      <c r="E265" s="66">
        <v>10849.611070014837</v>
      </c>
      <c r="F265" s="66">
        <v>67.766146685108865</v>
      </c>
      <c r="G265">
        <f>+_xlfn.XLOOKUP(CURVA[[#This Row],[Fecha]],AV_PLAN[Días],AV_PLAN[INICIO REAL],"",0)</f>
        <v>0</v>
      </c>
      <c r="H265">
        <f>+_xlfn.XLOOKUP(CURVA[[#This Row],[Fecha]],AV_PLAN[Días],AV_PLAN[FECHA TERMINO REAL],"",0)</f>
        <v>0</v>
      </c>
      <c r="I265" s="13"/>
      <c r="J265">
        <f>+DAY(CURVA[[#This Row],[Fecha]])</f>
        <v>7</v>
      </c>
      <c r="K265" t="str">
        <f>+TEXT(CURVA[[#This Row],[Fecha]],"MMMM")</f>
        <v>noviembre</v>
      </c>
      <c r="L265">
        <f>+YEAR(CURVA[[#This Row],[Fecha]])</f>
        <v>2026</v>
      </c>
      <c r="M265" s="69">
        <f>CURVA[[#This Row],[% AVANCE REAL]]*MAX(CURVA[M2 Avance Programado])</f>
        <v>0</v>
      </c>
      <c r="N265" s="69">
        <f>IF(CURVA[[#This Row],[% AVANCE REAL]]="",0,M265-M264)</f>
        <v>0</v>
      </c>
    </row>
    <row r="266" spans="1:14" x14ac:dyDescent="0.25">
      <c r="A266" s="1">
        <v>46334</v>
      </c>
      <c r="B266" s="7">
        <v>0.51484374999999993</v>
      </c>
      <c r="C266" s="7">
        <v>3.1486742424241543E-3</v>
      </c>
      <c r="D266">
        <v>55</v>
      </c>
      <c r="E266" s="66">
        <v>10916.373273786094</v>
      </c>
      <c r="F266" s="66">
        <v>66.762203771256267</v>
      </c>
      <c r="G266">
        <f>+_xlfn.XLOOKUP(CURVA[[#This Row],[Fecha]],AV_PLAN[Días],AV_PLAN[INICIO REAL],"",0)</f>
        <v>0</v>
      </c>
      <c r="H266">
        <f>+_xlfn.XLOOKUP(CURVA[[#This Row],[Fecha]],AV_PLAN[Días],AV_PLAN[FECHA TERMINO REAL],"",0)</f>
        <v>0</v>
      </c>
      <c r="I266" s="13"/>
      <c r="J266">
        <f>+DAY(CURVA[[#This Row],[Fecha]])</f>
        <v>8</v>
      </c>
      <c r="K266" t="str">
        <f>+TEXT(CURVA[[#This Row],[Fecha]],"MMMM")</f>
        <v>noviembre</v>
      </c>
      <c r="L266">
        <f>+YEAR(CURVA[[#This Row],[Fecha]])</f>
        <v>2026</v>
      </c>
      <c r="M266" s="70">
        <f>CURVA[[#This Row],[% AVANCE REAL]]*MAX(CURVA[M2 Avance Programado])</f>
        <v>0</v>
      </c>
      <c r="N266" s="69">
        <f>IF(CURVA[[#This Row],[% AVANCE REAL]]="",0,M266-M265)</f>
        <v>0</v>
      </c>
    </row>
    <row r="267" spans="1:14" x14ac:dyDescent="0.25">
      <c r="A267" s="1">
        <v>46335</v>
      </c>
      <c r="B267" s="7">
        <v>0.51775568181818177</v>
      </c>
      <c r="C267" s="7">
        <v>2.9119318181818343E-3</v>
      </c>
      <c r="D267">
        <v>54</v>
      </c>
      <c r="E267" s="66">
        <v>10978.115762988084</v>
      </c>
      <c r="F267" s="66">
        <v>61.742489201990949</v>
      </c>
      <c r="G267">
        <f>+_xlfn.XLOOKUP(CURVA[[#This Row],[Fecha]],AV_PLAN[Días],AV_PLAN[INICIO REAL],"",0)</f>
        <v>0</v>
      </c>
      <c r="H267">
        <f>+_xlfn.XLOOKUP(CURVA[[#This Row],[Fecha]],AV_PLAN[Días],AV_PLAN[FECHA TERMINO REAL],"",0)</f>
        <v>0</v>
      </c>
      <c r="I267" s="13"/>
      <c r="J267">
        <f>+DAY(CURVA[[#This Row],[Fecha]])</f>
        <v>9</v>
      </c>
      <c r="K267" t="str">
        <f>+TEXT(CURVA[[#This Row],[Fecha]],"MMMM")</f>
        <v>noviembre</v>
      </c>
      <c r="L267">
        <f>+YEAR(CURVA[[#This Row],[Fecha]])</f>
        <v>2026</v>
      </c>
      <c r="M267" s="69">
        <f>CURVA[[#This Row],[% AVANCE REAL]]*MAX(CURVA[M2 Avance Programado])</f>
        <v>0</v>
      </c>
      <c r="N267" s="69">
        <f>IF(CURVA[[#This Row],[% AVANCE REAL]]="",0,M267-M266)</f>
        <v>0</v>
      </c>
    </row>
    <row r="268" spans="1:14" x14ac:dyDescent="0.25">
      <c r="A268" s="1">
        <v>46336</v>
      </c>
      <c r="B268" s="7">
        <v>0.52069128787878782</v>
      </c>
      <c r="C268" s="7">
        <v>2.9356060606060552E-3</v>
      </c>
      <c r="D268">
        <v>55</v>
      </c>
      <c r="E268" s="66">
        <v>11040.360223647</v>
      </c>
      <c r="F268" s="66">
        <v>62.244460658917241</v>
      </c>
      <c r="G268">
        <f>+_xlfn.XLOOKUP(CURVA[[#This Row],[Fecha]],AV_PLAN[Días],AV_PLAN[INICIO REAL],"",0)</f>
        <v>0</v>
      </c>
      <c r="H268">
        <f>+_xlfn.XLOOKUP(CURVA[[#This Row],[Fecha]],AV_PLAN[Días],AV_PLAN[FECHA TERMINO REAL],"",0)</f>
        <v>0</v>
      </c>
      <c r="I268" s="13"/>
      <c r="J268">
        <f>+DAY(CURVA[[#This Row],[Fecha]])</f>
        <v>10</v>
      </c>
      <c r="K268" t="str">
        <f>+TEXT(CURVA[[#This Row],[Fecha]],"MMMM")</f>
        <v>noviembre</v>
      </c>
      <c r="L268">
        <f>+YEAR(CURVA[[#This Row],[Fecha]])</f>
        <v>2026</v>
      </c>
      <c r="M268" s="70">
        <f>CURVA[[#This Row],[% AVANCE REAL]]*MAX(CURVA[M2 Avance Programado])</f>
        <v>0</v>
      </c>
      <c r="N268" s="69">
        <f>IF(CURVA[[#This Row],[% AVANCE REAL]]="",0,M268-M267)</f>
        <v>0</v>
      </c>
    </row>
    <row r="269" spans="1:14" x14ac:dyDescent="0.25">
      <c r="A269" s="1">
        <v>46337</v>
      </c>
      <c r="B269" s="7">
        <v>0.5237452651515152</v>
      </c>
      <c r="C269" s="7">
        <v>3.0539772727273817E-3</v>
      </c>
      <c r="D269">
        <v>57</v>
      </c>
      <c r="E269" s="66">
        <v>11105.114541590556</v>
      </c>
      <c r="F269" s="66">
        <v>64.754317943553431</v>
      </c>
      <c r="G269">
        <f>+_xlfn.XLOOKUP(CURVA[[#This Row],[Fecha]],AV_PLAN[Días],AV_PLAN[INICIO REAL],"",0)</f>
        <v>0</v>
      </c>
      <c r="H269">
        <f>+_xlfn.XLOOKUP(CURVA[[#This Row],[Fecha]],AV_PLAN[Días],AV_PLAN[FECHA TERMINO REAL],"",0)</f>
        <v>0</v>
      </c>
      <c r="I269" s="13"/>
      <c r="J269">
        <f>+DAY(CURVA[[#This Row],[Fecha]])</f>
        <v>11</v>
      </c>
      <c r="K269" t="str">
        <f>+TEXT(CURVA[[#This Row],[Fecha]],"MMMM")</f>
        <v>noviembre</v>
      </c>
      <c r="L269">
        <f>+YEAR(CURVA[[#This Row],[Fecha]])</f>
        <v>2026</v>
      </c>
      <c r="M269" s="69">
        <f>CURVA[[#This Row],[% AVANCE REAL]]*MAX(CURVA[M2 Avance Programado])</f>
        <v>0</v>
      </c>
      <c r="N269" s="69">
        <f>IF(CURVA[[#This Row],[% AVANCE REAL]]="",0,M269-M268)</f>
        <v>0</v>
      </c>
    </row>
    <row r="270" spans="1:14" x14ac:dyDescent="0.25">
      <c r="A270" s="1">
        <v>46338</v>
      </c>
      <c r="B270" s="7">
        <v>0.5268229166666667</v>
      </c>
      <c r="C270" s="7">
        <v>3.0776515151514916E-3</v>
      </c>
      <c r="D270">
        <v>57</v>
      </c>
      <c r="E270" s="66">
        <v>11170.370830991033</v>
      </c>
      <c r="F270" s="66">
        <v>65.256289400477371</v>
      </c>
      <c r="G270">
        <f>+_xlfn.XLOOKUP(CURVA[[#This Row],[Fecha]],AV_PLAN[Días],AV_PLAN[INICIO REAL],"",0)</f>
        <v>0</v>
      </c>
      <c r="H270">
        <f>+_xlfn.XLOOKUP(CURVA[[#This Row],[Fecha]],AV_PLAN[Días],AV_PLAN[FECHA TERMINO REAL],"",0)</f>
        <v>0</v>
      </c>
      <c r="I270" s="13"/>
      <c r="J270">
        <f>+DAY(CURVA[[#This Row],[Fecha]])</f>
        <v>12</v>
      </c>
      <c r="K270" t="str">
        <f>+TEXT(CURVA[[#This Row],[Fecha]],"MMMM")</f>
        <v>noviembre</v>
      </c>
      <c r="L270">
        <f>+YEAR(CURVA[[#This Row],[Fecha]])</f>
        <v>2026</v>
      </c>
      <c r="M270" s="70">
        <f>CURVA[[#This Row],[% AVANCE REAL]]*MAX(CURVA[M2 Avance Programado])</f>
        <v>0</v>
      </c>
      <c r="N270" s="69">
        <f>IF(CURVA[[#This Row],[% AVANCE REAL]]="",0,M270-M269)</f>
        <v>0</v>
      </c>
    </row>
    <row r="271" spans="1:14" x14ac:dyDescent="0.25">
      <c r="A271" s="1">
        <v>46339</v>
      </c>
      <c r="B271" s="7">
        <v>0.52987689393939386</v>
      </c>
      <c r="C271" s="7">
        <v>3.0539772727271597E-3</v>
      </c>
      <c r="D271">
        <v>57</v>
      </c>
      <c r="E271" s="66">
        <v>11235.12514893458</v>
      </c>
      <c r="F271" s="66">
        <v>64.754317943548727</v>
      </c>
      <c r="G271">
        <f>+_xlfn.XLOOKUP(CURVA[[#This Row],[Fecha]],AV_PLAN[Días],AV_PLAN[INICIO REAL],"",0)</f>
        <v>0</v>
      </c>
      <c r="H271">
        <f>+_xlfn.XLOOKUP(CURVA[[#This Row],[Fecha]],AV_PLAN[Días],AV_PLAN[FECHA TERMINO REAL],"",0)</f>
        <v>0</v>
      </c>
      <c r="I271" s="13"/>
      <c r="J271">
        <f>+DAY(CURVA[[#This Row],[Fecha]])</f>
        <v>13</v>
      </c>
      <c r="K271" t="str">
        <f>+TEXT(CURVA[[#This Row],[Fecha]],"MMMM")</f>
        <v>noviembre</v>
      </c>
      <c r="L271">
        <f>+YEAR(CURVA[[#This Row],[Fecha]])</f>
        <v>2026</v>
      </c>
      <c r="M271" s="69">
        <f>CURVA[[#This Row],[% AVANCE REAL]]*MAX(CURVA[M2 Avance Programado])</f>
        <v>0</v>
      </c>
      <c r="N271" s="69">
        <f>IF(CURVA[[#This Row],[% AVANCE REAL]]="",0,M271-M270)</f>
        <v>0</v>
      </c>
    </row>
    <row r="272" spans="1:14" x14ac:dyDescent="0.25">
      <c r="A272" s="1">
        <v>46340</v>
      </c>
      <c r="B272" s="7">
        <v>0.53304924242424245</v>
      </c>
      <c r="C272" s="7">
        <v>3.1723484848485972E-3</v>
      </c>
      <c r="D272">
        <v>56</v>
      </c>
      <c r="E272" s="66">
        <v>11302.389324162768</v>
      </c>
      <c r="F272" s="66">
        <v>67.26417522818727</v>
      </c>
      <c r="G272">
        <f>+_xlfn.XLOOKUP(CURVA[[#This Row],[Fecha]],AV_PLAN[Días],AV_PLAN[INICIO REAL],"",0)</f>
        <v>0</v>
      </c>
      <c r="H272">
        <f>+_xlfn.XLOOKUP(CURVA[[#This Row],[Fecha]],AV_PLAN[Días],AV_PLAN[FECHA TERMINO REAL],"",0)</f>
        <v>0</v>
      </c>
      <c r="I272" s="13"/>
      <c r="J272">
        <f>+DAY(CURVA[[#This Row],[Fecha]])</f>
        <v>14</v>
      </c>
      <c r="K272" t="str">
        <f>+TEXT(CURVA[[#This Row],[Fecha]],"MMMM")</f>
        <v>noviembre</v>
      </c>
      <c r="L272">
        <f>+YEAR(CURVA[[#This Row],[Fecha]])</f>
        <v>2026</v>
      </c>
      <c r="M272" s="70">
        <f>CURVA[[#This Row],[% AVANCE REAL]]*MAX(CURVA[M2 Avance Programado])</f>
        <v>0</v>
      </c>
      <c r="N272" s="69">
        <f>IF(CURVA[[#This Row],[% AVANCE REAL]]="",0,M272-M271)</f>
        <v>0</v>
      </c>
    </row>
    <row r="273" spans="1:14" x14ac:dyDescent="0.25">
      <c r="A273" s="1">
        <v>46341</v>
      </c>
      <c r="B273" s="7">
        <v>0.53612689393939406</v>
      </c>
      <c r="C273" s="7">
        <v>3.0776515151516026E-3</v>
      </c>
      <c r="D273">
        <v>54</v>
      </c>
      <c r="E273" s="66">
        <v>11367.645613563249</v>
      </c>
      <c r="F273" s="66">
        <v>65.25628940047973</v>
      </c>
      <c r="G273">
        <f>+_xlfn.XLOOKUP(CURVA[[#This Row],[Fecha]],AV_PLAN[Días],AV_PLAN[INICIO REAL],"",0)</f>
        <v>0</v>
      </c>
      <c r="H273">
        <f>+_xlfn.XLOOKUP(CURVA[[#This Row],[Fecha]],AV_PLAN[Días],AV_PLAN[FECHA TERMINO REAL],"",0)</f>
        <v>0</v>
      </c>
      <c r="I273" s="13"/>
      <c r="J273">
        <f>+DAY(CURVA[[#This Row],[Fecha]])</f>
        <v>15</v>
      </c>
      <c r="K273" t="str">
        <f>+TEXT(CURVA[[#This Row],[Fecha]],"MMMM")</f>
        <v>noviembre</v>
      </c>
      <c r="L273">
        <f>+YEAR(CURVA[[#This Row],[Fecha]])</f>
        <v>2026</v>
      </c>
      <c r="M273" s="69">
        <f>CURVA[[#This Row],[% AVANCE REAL]]*MAX(CURVA[M2 Avance Programado])</f>
        <v>0</v>
      </c>
      <c r="N273" s="69">
        <f>IF(CURVA[[#This Row],[% AVANCE REAL]]="",0,M273-M272)</f>
        <v>0</v>
      </c>
    </row>
    <row r="274" spans="1:14" x14ac:dyDescent="0.25">
      <c r="A274" s="1">
        <v>46342</v>
      </c>
      <c r="B274" s="7">
        <v>0.53896780303030301</v>
      </c>
      <c r="C274" s="7">
        <v>2.8409090909089496E-3</v>
      </c>
      <c r="D274">
        <v>53</v>
      </c>
      <c r="E274" s="66">
        <v>11427.882188394457</v>
      </c>
      <c r="F274" s="66">
        <v>60.236574831207349</v>
      </c>
      <c r="G274">
        <f>+_xlfn.XLOOKUP(CURVA[[#This Row],[Fecha]],AV_PLAN[Días],AV_PLAN[INICIO REAL],"",0)</f>
        <v>0</v>
      </c>
      <c r="H274">
        <f>+_xlfn.XLOOKUP(CURVA[[#This Row],[Fecha]],AV_PLAN[Días],AV_PLAN[FECHA TERMINO REAL],"",0)</f>
        <v>0</v>
      </c>
      <c r="I274" s="13"/>
      <c r="J274">
        <f>+DAY(CURVA[[#This Row],[Fecha]])</f>
        <v>16</v>
      </c>
      <c r="K274" t="str">
        <f>+TEXT(CURVA[[#This Row],[Fecha]],"MMMM")</f>
        <v>noviembre</v>
      </c>
      <c r="L274">
        <f>+YEAR(CURVA[[#This Row],[Fecha]])</f>
        <v>2026</v>
      </c>
      <c r="M274" s="70">
        <f>CURVA[[#This Row],[% AVANCE REAL]]*MAX(CURVA[M2 Avance Programado])</f>
        <v>0</v>
      </c>
      <c r="N274" s="69">
        <f>IF(CURVA[[#This Row],[% AVANCE REAL]]="",0,M274-M273)</f>
        <v>0</v>
      </c>
    </row>
    <row r="275" spans="1:14" x14ac:dyDescent="0.25">
      <c r="A275" s="1">
        <v>46343</v>
      </c>
      <c r="B275" s="7">
        <v>0.54192708333333328</v>
      </c>
      <c r="C275" s="7">
        <v>2.9592803030302761E-3</v>
      </c>
      <c r="D275">
        <v>55</v>
      </c>
      <c r="E275" s="66">
        <v>11490.628620510301</v>
      </c>
      <c r="F275" s="66">
        <v>62.74643211584354</v>
      </c>
      <c r="G275">
        <f>+_xlfn.XLOOKUP(CURVA[[#This Row],[Fecha]],AV_PLAN[Días],AV_PLAN[INICIO REAL],"",0)</f>
        <v>0</v>
      </c>
      <c r="H275">
        <f>+_xlfn.XLOOKUP(CURVA[[#This Row],[Fecha]],AV_PLAN[Días],AV_PLAN[FECHA TERMINO REAL],"",0)</f>
        <v>0</v>
      </c>
      <c r="I275" s="13"/>
      <c r="J275">
        <f>+DAY(CURVA[[#This Row],[Fecha]])</f>
        <v>17</v>
      </c>
      <c r="K275" t="str">
        <f>+TEXT(CURVA[[#This Row],[Fecha]],"MMMM")</f>
        <v>noviembre</v>
      </c>
      <c r="L275">
        <f>+YEAR(CURVA[[#This Row],[Fecha]])</f>
        <v>2026</v>
      </c>
      <c r="M275" s="69">
        <f>CURVA[[#This Row],[% AVANCE REAL]]*MAX(CURVA[M2 Avance Programado])</f>
        <v>0</v>
      </c>
      <c r="N275" s="69">
        <f>IF(CURVA[[#This Row],[% AVANCE REAL]]="",0,M275-M274)</f>
        <v>0</v>
      </c>
    </row>
    <row r="276" spans="1:14" x14ac:dyDescent="0.25">
      <c r="A276" s="1">
        <v>46344</v>
      </c>
      <c r="B276" s="7">
        <v>0.54500473484848488</v>
      </c>
      <c r="C276" s="7">
        <v>3.0776515151516026E-3</v>
      </c>
      <c r="D276">
        <v>57</v>
      </c>
      <c r="E276" s="66">
        <v>11555.884909910779</v>
      </c>
      <c r="F276" s="66">
        <v>65.25628940047973</v>
      </c>
      <c r="G276">
        <f>+_xlfn.XLOOKUP(CURVA[[#This Row],[Fecha]],AV_PLAN[Días],AV_PLAN[INICIO REAL],"",0)</f>
        <v>0</v>
      </c>
      <c r="H276">
        <f>+_xlfn.XLOOKUP(CURVA[[#This Row],[Fecha]],AV_PLAN[Días],AV_PLAN[FECHA TERMINO REAL],"",0)</f>
        <v>0</v>
      </c>
      <c r="I276" s="13"/>
      <c r="J276">
        <f>+DAY(CURVA[[#This Row],[Fecha]])</f>
        <v>18</v>
      </c>
      <c r="K276" t="str">
        <f>+TEXT(CURVA[[#This Row],[Fecha]],"MMMM")</f>
        <v>noviembre</v>
      </c>
      <c r="L276">
        <f>+YEAR(CURVA[[#This Row],[Fecha]])</f>
        <v>2026</v>
      </c>
      <c r="M276" s="70">
        <f>CURVA[[#This Row],[% AVANCE REAL]]*MAX(CURVA[M2 Avance Programado])</f>
        <v>0</v>
      </c>
      <c r="N276" s="69">
        <f>IF(CURVA[[#This Row],[% AVANCE REAL]]="",0,M276-M275)</f>
        <v>0</v>
      </c>
    </row>
    <row r="277" spans="1:14" x14ac:dyDescent="0.25">
      <c r="A277" s="1">
        <v>46345</v>
      </c>
      <c r="B277" s="7">
        <v>0.54805871212121204</v>
      </c>
      <c r="C277" s="7">
        <v>3.0539772727271597E-3</v>
      </c>
      <c r="D277">
        <v>57</v>
      </c>
      <c r="E277" s="66">
        <v>11620.639227854328</v>
      </c>
      <c r="F277" s="66">
        <v>64.754317943548727</v>
      </c>
      <c r="G277">
        <f>+_xlfn.XLOOKUP(CURVA[[#This Row],[Fecha]],AV_PLAN[Días],AV_PLAN[INICIO REAL],"",0)</f>
        <v>0</v>
      </c>
      <c r="H277">
        <f>+_xlfn.XLOOKUP(CURVA[[#This Row],[Fecha]],AV_PLAN[Días],AV_PLAN[FECHA TERMINO REAL],"",0)</f>
        <v>0</v>
      </c>
      <c r="I277" s="13"/>
      <c r="J277">
        <f>+DAY(CURVA[[#This Row],[Fecha]])</f>
        <v>19</v>
      </c>
      <c r="K277" t="str">
        <f>+TEXT(CURVA[[#This Row],[Fecha]],"MMMM")</f>
        <v>noviembre</v>
      </c>
      <c r="L277">
        <f>+YEAR(CURVA[[#This Row],[Fecha]])</f>
        <v>2026</v>
      </c>
      <c r="M277" s="69">
        <f>CURVA[[#This Row],[% AVANCE REAL]]*MAX(CURVA[M2 Avance Programado])</f>
        <v>0</v>
      </c>
      <c r="N277" s="69">
        <f>IF(CURVA[[#This Row],[% AVANCE REAL]]="",0,M277-M276)</f>
        <v>0</v>
      </c>
    </row>
    <row r="278" spans="1:14" x14ac:dyDescent="0.25">
      <c r="A278" s="1">
        <v>46346</v>
      </c>
      <c r="B278" s="7">
        <v>0.55108901515151509</v>
      </c>
      <c r="C278" s="7">
        <v>3.0303030303030498E-3</v>
      </c>
      <c r="D278">
        <v>57</v>
      </c>
      <c r="E278" s="66">
        <v>11684.891574340953</v>
      </c>
      <c r="F278" s="66">
        <v>64.252346486624788</v>
      </c>
      <c r="G278">
        <f>+_xlfn.XLOOKUP(CURVA[[#This Row],[Fecha]],AV_PLAN[Días],AV_PLAN[INICIO REAL],"",0)</f>
        <v>0</v>
      </c>
      <c r="H278">
        <f>+_xlfn.XLOOKUP(CURVA[[#This Row],[Fecha]],AV_PLAN[Días],AV_PLAN[FECHA TERMINO REAL],"",0)</f>
        <v>0</v>
      </c>
      <c r="I278" s="13"/>
      <c r="J278">
        <f>+DAY(CURVA[[#This Row],[Fecha]])</f>
        <v>20</v>
      </c>
      <c r="K278" t="str">
        <f>+TEXT(CURVA[[#This Row],[Fecha]],"MMMM")</f>
        <v>noviembre</v>
      </c>
      <c r="L278">
        <f>+YEAR(CURVA[[#This Row],[Fecha]])</f>
        <v>2026</v>
      </c>
      <c r="M278" s="70">
        <f>CURVA[[#This Row],[% AVANCE REAL]]*MAX(CURVA[M2 Avance Programado])</f>
        <v>0</v>
      </c>
      <c r="N278" s="69">
        <f>IF(CURVA[[#This Row],[% AVANCE REAL]]="",0,M278-M277)</f>
        <v>0</v>
      </c>
    </row>
    <row r="279" spans="1:14" x14ac:dyDescent="0.25">
      <c r="A279" s="1">
        <v>46347</v>
      </c>
      <c r="B279" s="7">
        <v>0.55421401515151525</v>
      </c>
      <c r="C279" s="7">
        <v>3.1250000000001554E-3</v>
      </c>
      <c r="D279">
        <v>55</v>
      </c>
      <c r="E279" s="66">
        <v>11751.151806655287</v>
      </c>
      <c r="F279" s="66">
        <v>66.260232314334672</v>
      </c>
      <c r="G279">
        <f>+_xlfn.XLOOKUP(CURVA[[#This Row],[Fecha]],AV_PLAN[Días],AV_PLAN[INICIO REAL],"",0)</f>
        <v>0</v>
      </c>
      <c r="H279">
        <f>+_xlfn.XLOOKUP(CURVA[[#This Row],[Fecha]],AV_PLAN[Días],AV_PLAN[FECHA TERMINO REAL],"",0)</f>
        <v>0</v>
      </c>
      <c r="I279" s="13"/>
      <c r="J279">
        <f>+DAY(CURVA[[#This Row],[Fecha]])</f>
        <v>21</v>
      </c>
      <c r="K279" t="str">
        <f>+TEXT(CURVA[[#This Row],[Fecha]],"MMMM")</f>
        <v>noviembre</v>
      </c>
      <c r="L279">
        <f>+YEAR(CURVA[[#This Row],[Fecha]])</f>
        <v>2026</v>
      </c>
      <c r="M279" s="69">
        <f>CURVA[[#This Row],[% AVANCE REAL]]*MAX(CURVA[M2 Avance Programado])</f>
        <v>0</v>
      </c>
      <c r="N279" s="69">
        <f>IF(CURVA[[#This Row],[% AVANCE REAL]]="",0,M279-M278)</f>
        <v>0</v>
      </c>
    </row>
    <row r="280" spans="1:14" x14ac:dyDescent="0.25">
      <c r="A280" s="1">
        <v>46348</v>
      </c>
      <c r="B280" s="7">
        <v>0.55724431818181841</v>
      </c>
      <c r="C280" s="7">
        <v>3.0303030303031608E-3</v>
      </c>
      <c r="D280">
        <v>53</v>
      </c>
      <c r="E280" s="66">
        <v>11815.404153141912</v>
      </c>
      <c r="F280" s="66">
        <v>64.252346486627133</v>
      </c>
      <c r="G280">
        <f>+_xlfn.XLOOKUP(CURVA[[#This Row],[Fecha]],AV_PLAN[Días],AV_PLAN[INICIO REAL],"",0)</f>
        <v>0</v>
      </c>
      <c r="H280">
        <f>+_xlfn.XLOOKUP(CURVA[[#This Row],[Fecha]],AV_PLAN[Días],AV_PLAN[FECHA TERMINO REAL],"",0)</f>
        <v>0</v>
      </c>
      <c r="I280" s="13"/>
      <c r="J280">
        <f>+DAY(CURVA[[#This Row],[Fecha]])</f>
        <v>22</v>
      </c>
      <c r="K280" t="str">
        <f>+TEXT(CURVA[[#This Row],[Fecha]],"MMMM")</f>
        <v>noviembre</v>
      </c>
      <c r="L280">
        <f>+YEAR(CURVA[[#This Row],[Fecha]])</f>
        <v>2026</v>
      </c>
      <c r="M280" s="70">
        <f>CURVA[[#This Row],[% AVANCE REAL]]*MAX(CURVA[M2 Avance Programado])</f>
        <v>0</v>
      </c>
      <c r="N280" s="69">
        <f>IF(CURVA[[#This Row],[% AVANCE REAL]]="",0,M280-M279)</f>
        <v>0</v>
      </c>
    </row>
    <row r="281" spans="1:14" x14ac:dyDescent="0.25">
      <c r="A281" s="1">
        <v>46349</v>
      </c>
      <c r="B281" s="7">
        <v>0.56015624999999991</v>
      </c>
      <c r="C281" s="7">
        <v>2.9119318181815013E-3</v>
      </c>
      <c r="D281">
        <v>54</v>
      </c>
      <c r="E281" s="66">
        <v>11877.146642343898</v>
      </c>
      <c r="F281" s="66">
        <v>61.742489201983886</v>
      </c>
      <c r="G281">
        <f>+_xlfn.XLOOKUP(CURVA[[#This Row],[Fecha]],AV_PLAN[Días],AV_PLAN[INICIO REAL],"",0)</f>
        <v>0</v>
      </c>
      <c r="H281">
        <f>+_xlfn.XLOOKUP(CURVA[[#This Row],[Fecha]],AV_PLAN[Días],AV_PLAN[FECHA TERMINO REAL],"",0)</f>
        <v>0</v>
      </c>
      <c r="I281" s="13"/>
      <c r="J281">
        <f>+DAY(CURVA[[#This Row],[Fecha]])</f>
        <v>23</v>
      </c>
      <c r="K281" t="str">
        <f>+TEXT(CURVA[[#This Row],[Fecha]],"MMMM")</f>
        <v>noviembre</v>
      </c>
      <c r="L281">
        <f>+YEAR(CURVA[[#This Row],[Fecha]])</f>
        <v>2026</v>
      </c>
      <c r="M281" s="69">
        <f>CURVA[[#This Row],[% AVANCE REAL]]*MAX(CURVA[M2 Avance Programado])</f>
        <v>0</v>
      </c>
      <c r="N281" s="69">
        <f>IF(CURVA[[#This Row],[% AVANCE REAL]]="",0,M281-M280)</f>
        <v>0</v>
      </c>
    </row>
    <row r="282" spans="1:14" x14ac:dyDescent="0.25">
      <c r="A282" s="1">
        <v>46350</v>
      </c>
      <c r="B282" s="7">
        <v>0.56318655303030285</v>
      </c>
      <c r="C282" s="7">
        <v>3.0303030303029388E-3</v>
      </c>
      <c r="D282">
        <v>56</v>
      </c>
      <c r="E282" s="66">
        <v>11941.39898883052</v>
      </c>
      <c r="F282" s="66">
        <v>64.252346486622429</v>
      </c>
      <c r="G282">
        <f>+_xlfn.XLOOKUP(CURVA[[#This Row],[Fecha]],AV_PLAN[Días],AV_PLAN[INICIO REAL],"",0)</f>
        <v>0</v>
      </c>
      <c r="H282">
        <f>+_xlfn.XLOOKUP(CURVA[[#This Row],[Fecha]],AV_PLAN[Días],AV_PLAN[FECHA TERMINO REAL],"",0)</f>
        <v>0</v>
      </c>
      <c r="I282" s="13"/>
      <c r="J282">
        <f>+DAY(CURVA[[#This Row],[Fecha]])</f>
        <v>24</v>
      </c>
      <c r="K282" t="str">
        <f>+TEXT(CURVA[[#This Row],[Fecha]],"MMMM")</f>
        <v>noviembre</v>
      </c>
      <c r="L282">
        <f>+YEAR(CURVA[[#This Row],[Fecha]])</f>
        <v>2026</v>
      </c>
      <c r="M282" s="70">
        <f>CURVA[[#This Row],[% AVANCE REAL]]*MAX(CURVA[M2 Avance Programado])</f>
        <v>0</v>
      </c>
      <c r="N282" s="69">
        <f>IF(CURVA[[#This Row],[% AVANCE REAL]]="",0,M282-M281)</f>
        <v>0</v>
      </c>
    </row>
    <row r="283" spans="1:14" x14ac:dyDescent="0.25">
      <c r="A283" s="1">
        <v>46351</v>
      </c>
      <c r="B283" s="7">
        <v>0.56624053030303034</v>
      </c>
      <c r="C283" s="7">
        <v>3.0539772727274928E-3</v>
      </c>
      <c r="D283">
        <v>57</v>
      </c>
      <c r="E283" s="66">
        <v>12006.153306774077</v>
      </c>
      <c r="F283" s="66">
        <v>64.75431794355579</v>
      </c>
      <c r="G283">
        <f>+_xlfn.XLOOKUP(CURVA[[#This Row],[Fecha]],AV_PLAN[Días],AV_PLAN[INICIO REAL],"",0)</f>
        <v>0</v>
      </c>
      <c r="H283">
        <f>+_xlfn.XLOOKUP(CURVA[[#This Row],[Fecha]],AV_PLAN[Días],AV_PLAN[FECHA TERMINO REAL],"",0)</f>
        <v>0</v>
      </c>
      <c r="I283" s="13"/>
      <c r="J283">
        <f>+DAY(CURVA[[#This Row],[Fecha]])</f>
        <v>25</v>
      </c>
      <c r="K283" t="str">
        <f>+TEXT(CURVA[[#This Row],[Fecha]],"MMMM")</f>
        <v>noviembre</v>
      </c>
      <c r="L283">
        <f>+YEAR(CURVA[[#This Row],[Fecha]])</f>
        <v>2026</v>
      </c>
      <c r="M283" s="69">
        <f>CURVA[[#This Row],[% AVANCE REAL]]*MAX(CURVA[M2 Avance Programado])</f>
        <v>0</v>
      </c>
      <c r="N283" s="69">
        <f>IF(CURVA[[#This Row],[% AVANCE REAL]]="",0,M283-M282)</f>
        <v>0</v>
      </c>
    </row>
    <row r="284" spans="1:14" x14ac:dyDescent="0.25">
      <c r="A284" s="1">
        <v>46352</v>
      </c>
      <c r="B284" s="7">
        <v>0.56927083333333328</v>
      </c>
      <c r="C284" s="7">
        <v>3.0303030303029388E-3</v>
      </c>
      <c r="D284">
        <v>57</v>
      </c>
      <c r="E284" s="66">
        <v>12070.405653260699</v>
      </c>
      <c r="F284" s="66">
        <v>64.252346486622429</v>
      </c>
      <c r="G284">
        <f>+_xlfn.XLOOKUP(CURVA[[#This Row],[Fecha]],AV_PLAN[Días],AV_PLAN[INICIO REAL],"",0)</f>
        <v>0</v>
      </c>
      <c r="H284">
        <f>+_xlfn.XLOOKUP(CURVA[[#This Row],[Fecha]],AV_PLAN[Días],AV_PLAN[FECHA TERMINO REAL],"",0)</f>
        <v>0</v>
      </c>
      <c r="I284" s="13"/>
      <c r="J284">
        <f>+DAY(CURVA[[#This Row],[Fecha]])</f>
        <v>26</v>
      </c>
      <c r="K284" t="str">
        <f>+TEXT(CURVA[[#This Row],[Fecha]],"MMMM")</f>
        <v>noviembre</v>
      </c>
      <c r="L284">
        <f>+YEAR(CURVA[[#This Row],[Fecha]])</f>
        <v>2026</v>
      </c>
      <c r="M284" s="70">
        <f>CURVA[[#This Row],[% AVANCE REAL]]*MAX(CURVA[M2 Avance Programado])</f>
        <v>0</v>
      </c>
      <c r="N284" s="69">
        <f>IF(CURVA[[#This Row],[% AVANCE REAL]]="",0,M284-M283)</f>
        <v>0</v>
      </c>
    </row>
    <row r="285" spans="1:14" x14ac:dyDescent="0.25">
      <c r="A285" s="1">
        <v>46353</v>
      </c>
      <c r="B285" s="7">
        <v>0.57232481060606066</v>
      </c>
      <c r="C285" s="7">
        <v>3.0539772727273817E-3</v>
      </c>
      <c r="D285">
        <v>57</v>
      </c>
      <c r="E285" s="66">
        <v>12135.159971204252</v>
      </c>
      <c r="F285" s="66">
        <v>64.754317943553431</v>
      </c>
      <c r="G285">
        <f>+_xlfn.XLOOKUP(CURVA[[#This Row],[Fecha]],AV_PLAN[Días],AV_PLAN[INICIO REAL],"",0)</f>
        <v>0</v>
      </c>
      <c r="H285">
        <f>+_xlfn.XLOOKUP(CURVA[[#This Row],[Fecha]],AV_PLAN[Días],AV_PLAN[FECHA TERMINO REAL],"",0)</f>
        <v>0</v>
      </c>
      <c r="I285" s="13"/>
      <c r="J285">
        <f>+DAY(CURVA[[#This Row],[Fecha]])</f>
        <v>27</v>
      </c>
      <c r="K285" t="str">
        <f>+TEXT(CURVA[[#This Row],[Fecha]],"MMMM")</f>
        <v>noviembre</v>
      </c>
      <c r="L285">
        <f>+YEAR(CURVA[[#This Row],[Fecha]])</f>
        <v>2026</v>
      </c>
      <c r="M285" s="69">
        <f>CURVA[[#This Row],[% AVANCE REAL]]*MAX(CURVA[M2 Avance Programado])</f>
        <v>0</v>
      </c>
      <c r="N285" s="69">
        <f>IF(CURVA[[#This Row],[% AVANCE REAL]]="",0,M285-M284)</f>
        <v>0</v>
      </c>
    </row>
    <row r="286" spans="1:14" x14ac:dyDescent="0.25">
      <c r="A286" s="1">
        <v>46354</v>
      </c>
      <c r="B286" s="7">
        <v>0.57547348484848504</v>
      </c>
      <c r="C286" s="7">
        <v>3.1486742424243763E-3</v>
      </c>
      <c r="D286">
        <v>55</v>
      </c>
      <c r="E286" s="66">
        <v>12201.922174975512</v>
      </c>
      <c r="F286" s="66">
        <v>66.762203771260971</v>
      </c>
      <c r="G286">
        <f>+_xlfn.XLOOKUP(CURVA[[#This Row],[Fecha]],AV_PLAN[Días],AV_PLAN[INICIO REAL],"",0)</f>
        <v>0</v>
      </c>
      <c r="H286">
        <f>+_xlfn.XLOOKUP(CURVA[[#This Row],[Fecha]],AV_PLAN[Días],AV_PLAN[FECHA TERMINO REAL],"",0)</f>
        <v>0</v>
      </c>
      <c r="I286" s="13"/>
      <c r="J286">
        <f>+DAY(CURVA[[#This Row],[Fecha]])</f>
        <v>28</v>
      </c>
      <c r="K286" t="str">
        <f>+TEXT(CURVA[[#This Row],[Fecha]],"MMMM")</f>
        <v>noviembre</v>
      </c>
      <c r="L286">
        <f>+YEAR(CURVA[[#This Row],[Fecha]])</f>
        <v>2026</v>
      </c>
      <c r="M286" s="70">
        <f>CURVA[[#This Row],[% AVANCE REAL]]*MAX(CURVA[M2 Avance Programado])</f>
        <v>0</v>
      </c>
      <c r="N286" s="69">
        <f>IF(CURVA[[#This Row],[% AVANCE REAL]]="",0,M286-M285)</f>
        <v>0</v>
      </c>
    </row>
    <row r="287" spans="1:14" x14ac:dyDescent="0.25">
      <c r="A287" s="1">
        <v>46355</v>
      </c>
      <c r="B287" s="7">
        <v>0.57857481060606064</v>
      </c>
      <c r="C287" s="7">
        <v>3.1013257575756015E-3</v>
      </c>
      <c r="D287">
        <v>54</v>
      </c>
      <c r="E287" s="66">
        <v>12267.680435832914</v>
      </c>
      <c r="F287" s="66">
        <v>65.758260857401325</v>
      </c>
      <c r="G287">
        <f>+_xlfn.XLOOKUP(CURVA[[#This Row],[Fecha]],AV_PLAN[Días],AV_PLAN[INICIO REAL],"",0)</f>
        <v>0</v>
      </c>
      <c r="H287">
        <f>+_xlfn.XLOOKUP(CURVA[[#This Row],[Fecha]],AV_PLAN[Días],AV_PLAN[FECHA TERMINO REAL],"",0)</f>
        <v>0</v>
      </c>
      <c r="I287" s="13"/>
      <c r="J287">
        <f>+DAY(CURVA[[#This Row],[Fecha]])</f>
        <v>29</v>
      </c>
      <c r="K287" t="str">
        <f>+TEXT(CURVA[[#This Row],[Fecha]],"MMMM")</f>
        <v>noviembre</v>
      </c>
      <c r="L287">
        <f>+YEAR(CURVA[[#This Row],[Fecha]])</f>
        <v>2026</v>
      </c>
      <c r="M287" s="69">
        <f>CURVA[[#This Row],[% AVANCE REAL]]*MAX(CURVA[M2 Avance Programado])</f>
        <v>0</v>
      </c>
      <c r="N287" s="69">
        <f>IF(CURVA[[#This Row],[% AVANCE REAL]]="",0,M287-M286)</f>
        <v>0</v>
      </c>
    </row>
    <row r="288" spans="1:14" x14ac:dyDescent="0.25">
      <c r="A288" s="1">
        <v>46356</v>
      </c>
      <c r="B288" s="7">
        <v>0.58155776515151503</v>
      </c>
      <c r="C288" s="7">
        <v>2.982954545454386E-3</v>
      </c>
      <c r="D288">
        <v>55</v>
      </c>
      <c r="E288" s="66">
        <v>12330.928839405682</v>
      </c>
      <c r="F288" s="66">
        <v>63.248403572767479</v>
      </c>
      <c r="G288">
        <f>+_xlfn.XLOOKUP(CURVA[[#This Row],[Fecha]],AV_PLAN[Días],AV_PLAN[INICIO REAL],"",0)</f>
        <v>0</v>
      </c>
      <c r="H288">
        <f>+_xlfn.XLOOKUP(CURVA[[#This Row],[Fecha]],AV_PLAN[Días],AV_PLAN[FECHA TERMINO REAL],"",0)</f>
        <v>0</v>
      </c>
      <c r="I288" s="13"/>
      <c r="J288">
        <f>+DAY(CURVA[[#This Row],[Fecha]])</f>
        <v>30</v>
      </c>
      <c r="K288" t="str">
        <f>+TEXT(CURVA[[#This Row],[Fecha]],"MMMM")</f>
        <v>noviembre</v>
      </c>
      <c r="L288">
        <f>+YEAR(CURVA[[#This Row],[Fecha]])</f>
        <v>2026</v>
      </c>
      <c r="M288" s="70">
        <f>CURVA[[#This Row],[% AVANCE REAL]]*MAX(CURVA[M2 Avance Programado])</f>
        <v>0</v>
      </c>
      <c r="N288" s="69">
        <f>IF(CURVA[[#This Row],[% AVANCE REAL]]="",0,M288-M287)</f>
        <v>0</v>
      </c>
    </row>
    <row r="289" spans="1:14" x14ac:dyDescent="0.25">
      <c r="A289" s="1">
        <v>46357</v>
      </c>
      <c r="B289" s="7">
        <v>0.58456439393939386</v>
      </c>
      <c r="C289" s="7">
        <v>3.0066287878788289E-3</v>
      </c>
      <c r="D289">
        <v>56</v>
      </c>
      <c r="E289" s="66">
        <v>12394.67921443538</v>
      </c>
      <c r="F289" s="66">
        <v>63.750375029698489</v>
      </c>
      <c r="G289">
        <f>+_xlfn.XLOOKUP(CURVA[[#This Row],[Fecha]],AV_PLAN[Días],AV_PLAN[INICIO REAL],"",0)</f>
        <v>0</v>
      </c>
      <c r="H289">
        <f>+_xlfn.XLOOKUP(CURVA[[#This Row],[Fecha]],AV_PLAN[Días],AV_PLAN[FECHA TERMINO REAL],"",0)</f>
        <v>0</v>
      </c>
      <c r="I289" s="13"/>
      <c r="J289">
        <f>+DAY(CURVA[[#This Row],[Fecha]])</f>
        <v>1</v>
      </c>
      <c r="K289" t="str">
        <f>+TEXT(CURVA[[#This Row],[Fecha]],"MMMM")</f>
        <v>diciembre</v>
      </c>
      <c r="L289">
        <f>+YEAR(CURVA[[#This Row],[Fecha]])</f>
        <v>2026</v>
      </c>
      <c r="M289" s="69">
        <f>CURVA[[#This Row],[% AVANCE REAL]]*MAX(CURVA[M2 Avance Programado])</f>
        <v>0</v>
      </c>
      <c r="N289" s="69">
        <f>IF(CURVA[[#This Row],[% AVANCE REAL]]="",0,M289-M288)</f>
        <v>0</v>
      </c>
    </row>
    <row r="290" spans="1:14" x14ac:dyDescent="0.25">
      <c r="A290" s="1">
        <v>46358</v>
      </c>
      <c r="B290" s="7">
        <v>0.58759469696969702</v>
      </c>
      <c r="C290" s="7">
        <v>3.0303030303031608E-3</v>
      </c>
      <c r="D290">
        <v>57</v>
      </c>
      <c r="E290" s="66">
        <v>12458.931560922008</v>
      </c>
      <c r="F290" s="66">
        <v>64.252346486627133</v>
      </c>
      <c r="G290">
        <f>+_xlfn.XLOOKUP(CURVA[[#This Row],[Fecha]],AV_PLAN[Días],AV_PLAN[INICIO REAL],"",0)</f>
        <v>0</v>
      </c>
      <c r="H290">
        <f>+_xlfn.XLOOKUP(CURVA[[#This Row],[Fecha]],AV_PLAN[Días],AV_PLAN[FECHA TERMINO REAL],"",0)</f>
        <v>0</v>
      </c>
      <c r="I290" s="13"/>
      <c r="J290">
        <f>+DAY(CURVA[[#This Row],[Fecha]])</f>
        <v>2</v>
      </c>
      <c r="K290" t="str">
        <f>+TEXT(CURVA[[#This Row],[Fecha]],"MMMM")</f>
        <v>diciembre</v>
      </c>
      <c r="L290">
        <f>+YEAR(CURVA[[#This Row],[Fecha]])</f>
        <v>2026</v>
      </c>
      <c r="M290" s="70">
        <f>CURVA[[#This Row],[% AVANCE REAL]]*MAX(CURVA[M2 Avance Programado])</f>
        <v>0</v>
      </c>
      <c r="N290" s="69">
        <f>IF(CURVA[[#This Row],[% AVANCE REAL]]="",0,M290-M289)</f>
        <v>0</v>
      </c>
    </row>
    <row r="291" spans="1:14" x14ac:dyDescent="0.25">
      <c r="A291" s="1">
        <v>46359</v>
      </c>
      <c r="B291" s="7">
        <v>0.59064867424242429</v>
      </c>
      <c r="C291" s="7">
        <v>3.0539772727272707E-3</v>
      </c>
      <c r="D291">
        <v>57</v>
      </c>
      <c r="E291" s="66">
        <v>12523.685878865561</v>
      </c>
      <c r="F291" s="66">
        <v>64.754317943551087</v>
      </c>
      <c r="G291">
        <f>+_xlfn.XLOOKUP(CURVA[[#This Row],[Fecha]],AV_PLAN[Días],AV_PLAN[INICIO REAL],"",0)</f>
        <v>0</v>
      </c>
      <c r="H291">
        <f>+_xlfn.XLOOKUP(CURVA[[#This Row],[Fecha]],AV_PLAN[Días],AV_PLAN[FECHA TERMINO REAL],"",0)</f>
        <v>0</v>
      </c>
      <c r="I291" s="13"/>
      <c r="J291">
        <f>+DAY(CURVA[[#This Row],[Fecha]])</f>
        <v>3</v>
      </c>
      <c r="K291" t="str">
        <f>+TEXT(CURVA[[#This Row],[Fecha]],"MMMM")</f>
        <v>diciembre</v>
      </c>
      <c r="L291">
        <f>+YEAR(CURVA[[#This Row],[Fecha]])</f>
        <v>2026</v>
      </c>
      <c r="M291" s="69">
        <f>CURVA[[#This Row],[% AVANCE REAL]]*MAX(CURVA[M2 Avance Programado])</f>
        <v>0</v>
      </c>
      <c r="N291" s="69">
        <f>IF(CURVA[[#This Row],[% AVANCE REAL]]="",0,M291-M290)</f>
        <v>0</v>
      </c>
    </row>
    <row r="292" spans="1:14" x14ac:dyDescent="0.25">
      <c r="A292" s="1">
        <v>46360</v>
      </c>
      <c r="B292" s="7">
        <v>0.59372632575757589</v>
      </c>
      <c r="C292" s="7">
        <v>3.0776515151516026E-3</v>
      </c>
      <c r="D292">
        <v>57</v>
      </c>
      <c r="E292" s="66">
        <v>12588.942168266038</v>
      </c>
      <c r="F292" s="66">
        <v>65.25628940047973</v>
      </c>
      <c r="G292">
        <f>+_xlfn.XLOOKUP(CURVA[[#This Row],[Fecha]],AV_PLAN[Días],AV_PLAN[INICIO REAL],"",0)</f>
        <v>0</v>
      </c>
      <c r="H292">
        <f>+_xlfn.XLOOKUP(CURVA[[#This Row],[Fecha]],AV_PLAN[Días],AV_PLAN[FECHA TERMINO REAL],"",0)</f>
        <v>0</v>
      </c>
      <c r="I292" s="13"/>
      <c r="J292">
        <f>+DAY(CURVA[[#This Row],[Fecha]])</f>
        <v>4</v>
      </c>
      <c r="K292" t="str">
        <f>+TEXT(CURVA[[#This Row],[Fecha]],"MMMM")</f>
        <v>diciembre</v>
      </c>
      <c r="L292">
        <f>+YEAR(CURVA[[#This Row],[Fecha]])</f>
        <v>2026</v>
      </c>
      <c r="M292" s="70">
        <f>CURVA[[#This Row],[% AVANCE REAL]]*MAX(CURVA[M2 Avance Programado])</f>
        <v>0</v>
      </c>
      <c r="N292" s="69">
        <f>IF(CURVA[[#This Row],[% AVANCE REAL]]="",0,M292-M291)</f>
        <v>0</v>
      </c>
    </row>
    <row r="293" spans="1:14" x14ac:dyDescent="0.25">
      <c r="A293" s="1">
        <v>46361</v>
      </c>
      <c r="B293" s="7">
        <v>0.59692234848484849</v>
      </c>
      <c r="C293" s="7">
        <v>3.1960227272725961E-3</v>
      </c>
      <c r="D293">
        <v>56</v>
      </c>
      <c r="E293" s="66">
        <v>12656.708314951147</v>
      </c>
      <c r="F293" s="66">
        <v>67.766146685108865</v>
      </c>
      <c r="G293">
        <f>+_xlfn.XLOOKUP(CURVA[[#This Row],[Fecha]],AV_PLAN[Días],AV_PLAN[INICIO REAL],"",0)</f>
        <v>0</v>
      </c>
      <c r="H293">
        <f>+_xlfn.XLOOKUP(CURVA[[#This Row],[Fecha]],AV_PLAN[Días],AV_PLAN[FECHA TERMINO REAL],"",0)</f>
        <v>0</v>
      </c>
      <c r="I293" s="13"/>
      <c r="J293">
        <f>+DAY(CURVA[[#This Row],[Fecha]])</f>
        <v>5</v>
      </c>
      <c r="K293" t="str">
        <f>+TEXT(CURVA[[#This Row],[Fecha]],"MMMM")</f>
        <v>diciembre</v>
      </c>
      <c r="L293">
        <f>+YEAR(CURVA[[#This Row],[Fecha]])</f>
        <v>2026</v>
      </c>
      <c r="M293" s="69">
        <f>CURVA[[#This Row],[% AVANCE REAL]]*MAX(CURVA[M2 Avance Programado])</f>
        <v>0</v>
      </c>
      <c r="N293" s="69">
        <f>IF(CURVA[[#This Row],[% AVANCE REAL]]="",0,M293-M292)</f>
        <v>0</v>
      </c>
    </row>
    <row r="294" spans="1:14" x14ac:dyDescent="0.25">
      <c r="A294" s="1">
        <v>46362</v>
      </c>
      <c r="B294" s="7">
        <v>0.60007102272727264</v>
      </c>
      <c r="C294" s="7">
        <v>3.1486742424241543E-3</v>
      </c>
      <c r="D294">
        <v>55</v>
      </c>
      <c r="E294" s="66">
        <v>12723.470518722404</v>
      </c>
      <c r="F294" s="66">
        <v>66.762203771256267</v>
      </c>
      <c r="G294">
        <f>+_xlfn.XLOOKUP(CURVA[[#This Row],[Fecha]],AV_PLAN[Días],AV_PLAN[INICIO REAL],"",0)</f>
        <v>0</v>
      </c>
      <c r="H294">
        <f>+_xlfn.XLOOKUP(CURVA[[#This Row],[Fecha]],AV_PLAN[Días],AV_PLAN[FECHA TERMINO REAL],"",0)</f>
        <v>0</v>
      </c>
      <c r="I294" s="13"/>
      <c r="J294">
        <f>+DAY(CURVA[[#This Row],[Fecha]])</f>
        <v>6</v>
      </c>
      <c r="K294" t="str">
        <f>+TEXT(CURVA[[#This Row],[Fecha]],"MMMM")</f>
        <v>diciembre</v>
      </c>
      <c r="L294">
        <f>+YEAR(CURVA[[#This Row],[Fecha]])</f>
        <v>2026</v>
      </c>
      <c r="M294" s="70">
        <f>CURVA[[#This Row],[% AVANCE REAL]]*MAX(CURVA[M2 Avance Programado])</f>
        <v>0</v>
      </c>
      <c r="N294" s="69">
        <f>IF(CURVA[[#This Row],[% AVANCE REAL]]="",0,M294-M293)</f>
        <v>0</v>
      </c>
    </row>
    <row r="295" spans="1:14" x14ac:dyDescent="0.25">
      <c r="A295" s="1">
        <v>46363</v>
      </c>
      <c r="B295" s="7">
        <v>0.60298295454545459</v>
      </c>
      <c r="C295" s="7">
        <v>2.9119318181819454E-3</v>
      </c>
      <c r="D295">
        <v>54</v>
      </c>
      <c r="E295" s="66">
        <v>12785.213007924396</v>
      </c>
      <c r="F295" s="66">
        <v>61.742489201993301</v>
      </c>
      <c r="G295">
        <f>+_xlfn.XLOOKUP(CURVA[[#This Row],[Fecha]],AV_PLAN[Días],AV_PLAN[INICIO REAL],"",0)</f>
        <v>0</v>
      </c>
      <c r="H295">
        <f>+_xlfn.XLOOKUP(CURVA[[#This Row],[Fecha]],AV_PLAN[Días],AV_PLAN[FECHA TERMINO REAL],"",0)</f>
        <v>0</v>
      </c>
      <c r="I295" s="13"/>
      <c r="J295">
        <f>+DAY(CURVA[[#This Row],[Fecha]])</f>
        <v>7</v>
      </c>
      <c r="K295" t="str">
        <f>+TEXT(CURVA[[#This Row],[Fecha]],"MMMM")</f>
        <v>diciembre</v>
      </c>
      <c r="L295">
        <f>+YEAR(CURVA[[#This Row],[Fecha]])</f>
        <v>2026</v>
      </c>
      <c r="M295" s="69">
        <f>CURVA[[#This Row],[% AVANCE REAL]]*MAX(CURVA[M2 Avance Programado])</f>
        <v>0</v>
      </c>
      <c r="N295" s="69">
        <f>IF(CURVA[[#This Row],[% AVANCE REAL]]="",0,M295-M294)</f>
        <v>0</v>
      </c>
    </row>
    <row r="296" spans="1:14" x14ac:dyDescent="0.25">
      <c r="A296" s="1">
        <v>46364</v>
      </c>
      <c r="B296" s="7">
        <v>0.60591856060606053</v>
      </c>
      <c r="C296" s="7">
        <v>2.9356060606059442E-3</v>
      </c>
      <c r="D296">
        <v>52</v>
      </c>
      <c r="E296" s="66">
        <v>12847.457468583312</v>
      </c>
      <c r="F296" s="66">
        <v>62.244460658914889</v>
      </c>
      <c r="G296">
        <f>+_xlfn.XLOOKUP(CURVA[[#This Row],[Fecha]],AV_PLAN[Días],AV_PLAN[INICIO REAL],"",0)</f>
        <v>0</v>
      </c>
      <c r="H296">
        <f>+_xlfn.XLOOKUP(CURVA[[#This Row],[Fecha]],AV_PLAN[Días],AV_PLAN[FECHA TERMINO REAL],"",0)</f>
        <v>0</v>
      </c>
      <c r="I296" s="13"/>
      <c r="J296">
        <f>+DAY(CURVA[[#This Row],[Fecha]])</f>
        <v>8</v>
      </c>
      <c r="K296" t="str">
        <f>+TEXT(CURVA[[#This Row],[Fecha]],"MMMM")</f>
        <v>diciembre</v>
      </c>
      <c r="L296">
        <f>+YEAR(CURVA[[#This Row],[Fecha]])</f>
        <v>2026</v>
      </c>
      <c r="M296" s="70">
        <f>CURVA[[#This Row],[% AVANCE REAL]]*MAX(CURVA[M2 Avance Programado])</f>
        <v>0</v>
      </c>
      <c r="N296" s="69">
        <f>IF(CURVA[[#This Row],[% AVANCE REAL]]="",0,M296-M295)</f>
        <v>0</v>
      </c>
    </row>
    <row r="297" spans="1:14" x14ac:dyDescent="0.25">
      <c r="A297" s="1">
        <v>46365</v>
      </c>
      <c r="B297" s="7">
        <v>0.60878314393939392</v>
      </c>
      <c r="C297" s="7">
        <v>2.8645833333333925E-3</v>
      </c>
      <c r="D297">
        <v>54</v>
      </c>
      <c r="E297" s="66">
        <v>12908.19601487145</v>
      </c>
      <c r="F297" s="66">
        <v>60.738546288138352</v>
      </c>
      <c r="G297">
        <f>+_xlfn.XLOOKUP(CURVA[[#This Row],[Fecha]],AV_PLAN[Días],AV_PLAN[INICIO REAL],"",0)</f>
        <v>0</v>
      </c>
      <c r="H297">
        <f>+_xlfn.XLOOKUP(CURVA[[#This Row],[Fecha]],AV_PLAN[Días],AV_PLAN[FECHA TERMINO REAL],"",0)</f>
        <v>0</v>
      </c>
      <c r="I297" s="13"/>
      <c r="J297">
        <f>+DAY(CURVA[[#This Row],[Fecha]])</f>
        <v>9</v>
      </c>
      <c r="K297" t="str">
        <f>+TEXT(CURVA[[#This Row],[Fecha]],"MMMM")</f>
        <v>diciembre</v>
      </c>
      <c r="L297">
        <f>+YEAR(CURVA[[#This Row],[Fecha]])</f>
        <v>2026</v>
      </c>
      <c r="M297" s="69">
        <f>CURVA[[#This Row],[% AVANCE REAL]]*MAX(CURVA[M2 Avance Programado])</f>
        <v>0</v>
      </c>
      <c r="N297" s="69">
        <f>IF(CURVA[[#This Row],[% AVANCE REAL]]="",0,M297-M296)</f>
        <v>0</v>
      </c>
    </row>
    <row r="298" spans="1:14" x14ac:dyDescent="0.25">
      <c r="A298" s="1">
        <v>46366</v>
      </c>
      <c r="B298" s="7">
        <v>0.61167140151515154</v>
      </c>
      <c r="C298" s="7">
        <v>2.8882575757576134E-3</v>
      </c>
      <c r="D298">
        <v>54</v>
      </c>
      <c r="E298" s="66">
        <v>12969.436532616515</v>
      </c>
      <c r="F298" s="66">
        <v>61.240517745064651</v>
      </c>
      <c r="G298">
        <f>+_xlfn.XLOOKUP(CURVA[[#This Row],[Fecha]],AV_PLAN[Días],AV_PLAN[INICIO REAL],"",0)</f>
        <v>0</v>
      </c>
      <c r="H298">
        <f>+_xlfn.XLOOKUP(CURVA[[#This Row],[Fecha]],AV_PLAN[Días],AV_PLAN[FECHA TERMINO REAL],"",0)</f>
        <v>0</v>
      </c>
      <c r="I298" s="13"/>
      <c r="J298">
        <f>+DAY(CURVA[[#This Row],[Fecha]])</f>
        <v>10</v>
      </c>
      <c r="K298" t="str">
        <f>+TEXT(CURVA[[#This Row],[Fecha]],"MMMM")</f>
        <v>diciembre</v>
      </c>
      <c r="L298">
        <f>+YEAR(CURVA[[#This Row],[Fecha]])</f>
        <v>2026</v>
      </c>
      <c r="M298" s="70">
        <f>CURVA[[#This Row],[% AVANCE REAL]]*MAX(CURVA[M2 Avance Programado])</f>
        <v>0</v>
      </c>
      <c r="N298" s="69">
        <f>IF(CURVA[[#This Row],[% AVANCE REAL]]="",0,M298-M297)</f>
        <v>0</v>
      </c>
    </row>
    <row r="299" spans="1:14" x14ac:dyDescent="0.25">
      <c r="A299" s="1">
        <v>46367</v>
      </c>
      <c r="B299" s="7">
        <v>0.61455965909090904</v>
      </c>
      <c r="C299" s="7">
        <v>2.8882575757575024E-3</v>
      </c>
      <c r="D299">
        <v>54</v>
      </c>
      <c r="E299" s="66">
        <v>13030.677050361575</v>
      </c>
      <c r="F299" s="66">
        <v>61.240517745062299</v>
      </c>
      <c r="G299">
        <f>+_xlfn.XLOOKUP(CURVA[[#This Row],[Fecha]],AV_PLAN[Días],AV_PLAN[INICIO REAL],"",0)</f>
        <v>0</v>
      </c>
      <c r="H299">
        <f>+_xlfn.XLOOKUP(CURVA[[#This Row],[Fecha]],AV_PLAN[Días],AV_PLAN[FECHA TERMINO REAL],"",0)</f>
        <v>0</v>
      </c>
      <c r="I299" s="13"/>
      <c r="J299">
        <f>+DAY(CURVA[[#This Row],[Fecha]])</f>
        <v>11</v>
      </c>
      <c r="K299" t="str">
        <f>+TEXT(CURVA[[#This Row],[Fecha]],"MMMM")</f>
        <v>diciembre</v>
      </c>
      <c r="L299">
        <f>+YEAR(CURVA[[#This Row],[Fecha]])</f>
        <v>2026</v>
      </c>
      <c r="M299" s="69">
        <f>CURVA[[#This Row],[% AVANCE REAL]]*MAX(CURVA[M2 Avance Programado])</f>
        <v>0</v>
      </c>
      <c r="N299" s="69">
        <f>IF(CURVA[[#This Row],[% AVANCE REAL]]="",0,M299-M298)</f>
        <v>0</v>
      </c>
    </row>
    <row r="300" spans="1:14" x14ac:dyDescent="0.25">
      <c r="A300" s="1">
        <v>46368</v>
      </c>
      <c r="B300" s="7">
        <v>0.61756628787878798</v>
      </c>
      <c r="C300" s="7">
        <v>3.0066287878789399E-3</v>
      </c>
      <c r="D300">
        <v>53</v>
      </c>
      <c r="E300" s="66">
        <v>13094.427425391275</v>
      </c>
      <c r="F300" s="66">
        <v>63.750375029700841</v>
      </c>
      <c r="G300">
        <f>+_xlfn.XLOOKUP(CURVA[[#This Row],[Fecha]],AV_PLAN[Días],AV_PLAN[INICIO REAL],"",0)</f>
        <v>0</v>
      </c>
      <c r="H300">
        <f>+_xlfn.XLOOKUP(CURVA[[#This Row],[Fecha]],AV_PLAN[Días],AV_PLAN[FECHA TERMINO REAL],"",0)</f>
        <v>0</v>
      </c>
      <c r="I300" s="13"/>
      <c r="J300">
        <f>+DAY(CURVA[[#This Row],[Fecha]])</f>
        <v>12</v>
      </c>
      <c r="K300" t="str">
        <f>+TEXT(CURVA[[#This Row],[Fecha]],"MMMM")</f>
        <v>diciembre</v>
      </c>
      <c r="L300">
        <f>+YEAR(CURVA[[#This Row],[Fecha]])</f>
        <v>2026</v>
      </c>
      <c r="M300" s="70">
        <f>CURVA[[#This Row],[% AVANCE REAL]]*MAX(CURVA[M2 Avance Programado])</f>
        <v>0</v>
      </c>
      <c r="N300" s="69">
        <f>IF(CURVA[[#This Row],[% AVANCE REAL]]="",0,M300-M299)</f>
        <v>0</v>
      </c>
    </row>
    <row r="301" spans="1:14" x14ac:dyDescent="0.25">
      <c r="A301" s="1">
        <v>46369</v>
      </c>
      <c r="B301" s="7">
        <v>0.6204782196969697</v>
      </c>
      <c r="C301" s="7">
        <v>2.9119318181817233E-3</v>
      </c>
      <c r="D301">
        <v>51</v>
      </c>
      <c r="E301" s="66">
        <v>13156.169914593267</v>
      </c>
      <c r="F301" s="66">
        <v>61.74248920198859</v>
      </c>
      <c r="G301">
        <f>+_xlfn.XLOOKUP(CURVA[[#This Row],[Fecha]],AV_PLAN[Días],AV_PLAN[INICIO REAL],"",0)</f>
        <v>0</v>
      </c>
      <c r="H301">
        <f>+_xlfn.XLOOKUP(CURVA[[#This Row],[Fecha]],AV_PLAN[Días],AV_PLAN[FECHA TERMINO REAL],"",0)</f>
        <v>0</v>
      </c>
      <c r="I301" s="13"/>
      <c r="J301">
        <f>+DAY(CURVA[[#This Row],[Fecha]])</f>
        <v>13</v>
      </c>
      <c r="K301" t="str">
        <f>+TEXT(CURVA[[#This Row],[Fecha]],"MMMM")</f>
        <v>diciembre</v>
      </c>
      <c r="L301">
        <f>+YEAR(CURVA[[#This Row],[Fecha]])</f>
        <v>2026</v>
      </c>
      <c r="M301" s="69">
        <f>CURVA[[#This Row],[% AVANCE REAL]]*MAX(CURVA[M2 Avance Programado])</f>
        <v>0</v>
      </c>
      <c r="N301" s="69">
        <f>IF(CURVA[[#This Row],[% AVANCE REAL]]="",0,M301-M300)</f>
        <v>0</v>
      </c>
    </row>
    <row r="302" spans="1:14" x14ac:dyDescent="0.25">
      <c r="A302" s="1">
        <v>46370</v>
      </c>
      <c r="B302" s="7">
        <v>0.62315340909090911</v>
      </c>
      <c r="C302" s="7">
        <v>2.6751893939394034E-3</v>
      </c>
      <c r="D302">
        <v>50</v>
      </c>
      <c r="E302" s="66">
        <v>13212.89268922599</v>
      </c>
      <c r="F302" s="66">
        <v>56.722774632723279</v>
      </c>
      <c r="G302">
        <f>+_xlfn.XLOOKUP(CURVA[[#This Row],[Fecha]],AV_PLAN[Días],AV_PLAN[INICIO REAL],"",0)</f>
        <v>0</v>
      </c>
      <c r="H302">
        <f>+_xlfn.XLOOKUP(CURVA[[#This Row],[Fecha]],AV_PLAN[Días],AV_PLAN[FECHA TERMINO REAL],"",0)</f>
        <v>0</v>
      </c>
      <c r="I302" s="13"/>
      <c r="J302">
        <f>+DAY(CURVA[[#This Row],[Fecha]])</f>
        <v>14</v>
      </c>
      <c r="K302" t="str">
        <f>+TEXT(CURVA[[#This Row],[Fecha]],"MMMM")</f>
        <v>diciembre</v>
      </c>
      <c r="L302">
        <f>+YEAR(CURVA[[#This Row],[Fecha]])</f>
        <v>2026</v>
      </c>
      <c r="M302" s="70">
        <f>CURVA[[#This Row],[% AVANCE REAL]]*MAX(CURVA[M2 Avance Programado])</f>
        <v>0</v>
      </c>
      <c r="N302" s="69">
        <f>IF(CURVA[[#This Row],[% AVANCE REAL]]="",0,M302-M301)</f>
        <v>0</v>
      </c>
    </row>
    <row r="303" spans="1:14" x14ac:dyDescent="0.25">
      <c r="A303" s="1">
        <v>46371</v>
      </c>
      <c r="B303" s="7">
        <v>0.62592329545454528</v>
      </c>
      <c r="C303" s="7">
        <v>2.7698863636361759E-3</v>
      </c>
      <c r="D303">
        <v>52</v>
      </c>
      <c r="E303" s="66">
        <v>13271.623349686415</v>
      </c>
      <c r="F303" s="66">
        <v>58.730660460426115</v>
      </c>
      <c r="G303">
        <f>+_xlfn.XLOOKUP(CURVA[[#This Row],[Fecha]],AV_PLAN[Días],AV_PLAN[INICIO REAL],"",0)</f>
        <v>0</v>
      </c>
      <c r="H303">
        <f>+_xlfn.XLOOKUP(CURVA[[#This Row],[Fecha]],AV_PLAN[Días],AV_PLAN[FECHA TERMINO REAL],"",0)</f>
        <v>0</v>
      </c>
      <c r="I303" s="13"/>
      <c r="J303">
        <f>+DAY(CURVA[[#This Row],[Fecha]])</f>
        <v>15</v>
      </c>
      <c r="K303" t="str">
        <f>+TEXT(CURVA[[#This Row],[Fecha]],"MMMM")</f>
        <v>diciembre</v>
      </c>
      <c r="L303">
        <f>+YEAR(CURVA[[#This Row],[Fecha]])</f>
        <v>2026</v>
      </c>
      <c r="M303" s="69">
        <f>CURVA[[#This Row],[% AVANCE REAL]]*MAX(CURVA[M2 Avance Programado])</f>
        <v>0</v>
      </c>
      <c r="N303" s="69">
        <f>IF(CURVA[[#This Row],[% AVANCE REAL]]="",0,M303-M302)</f>
        <v>0</v>
      </c>
    </row>
    <row r="304" spans="1:14" x14ac:dyDescent="0.25">
      <c r="A304" s="1">
        <v>46372</v>
      </c>
      <c r="B304" s="7">
        <v>0.62881155303030312</v>
      </c>
      <c r="C304" s="7">
        <v>2.8882575757578355E-3</v>
      </c>
      <c r="D304">
        <v>54</v>
      </c>
      <c r="E304" s="66">
        <v>13332.863867431486</v>
      </c>
      <c r="F304" s="66">
        <v>61.240517745069361</v>
      </c>
      <c r="G304">
        <f>+_xlfn.XLOOKUP(CURVA[[#This Row],[Fecha]],AV_PLAN[Días],AV_PLAN[INICIO REAL],"",0)</f>
        <v>0</v>
      </c>
      <c r="H304">
        <f>+_xlfn.XLOOKUP(CURVA[[#This Row],[Fecha]],AV_PLAN[Días],AV_PLAN[FECHA TERMINO REAL],"",0)</f>
        <v>0</v>
      </c>
      <c r="I304" s="13"/>
      <c r="J304">
        <f>+DAY(CURVA[[#This Row],[Fecha]])</f>
        <v>16</v>
      </c>
      <c r="K304" t="str">
        <f>+TEXT(CURVA[[#This Row],[Fecha]],"MMMM")</f>
        <v>diciembre</v>
      </c>
      <c r="L304">
        <f>+YEAR(CURVA[[#This Row],[Fecha]])</f>
        <v>2026</v>
      </c>
      <c r="M304" s="70">
        <f>CURVA[[#This Row],[% AVANCE REAL]]*MAX(CURVA[M2 Avance Programado])</f>
        <v>0</v>
      </c>
      <c r="N304" s="69">
        <f>IF(CURVA[[#This Row],[% AVANCE REAL]]="",0,M304-M303)</f>
        <v>0</v>
      </c>
    </row>
    <row r="305" spans="1:14" x14ac:dyDescent="0.25">
      <c r="A305" s="1">
        <v>46373</v>
      </c>
      <c r="B305" s="7">
        <v>0.63169981060606062</v>
      </c>
      <c r="C305" s="7">
        <v>2.8882575757575024E-3</v>
      </c>
      <c r="D305">
        <v>54</v>
      </c>
      <c r="E305" s="66">
        <v>13394.104385176548</v>
      </c>
      <c r="F305" s="66">
        <v>61.240517745062299</v>
      </c>
      <c r="G305">
        <f>+_xlfn.XLOOKUP(CURVA[[#This Row],[Fecha]],AV_PLAN[Días],AV_PLAN[INICIO REAL],"",0)</f>
        <v>0</v>
      </c>
      <c r="H305">
        <f>+_xlfn.XLOOKUP(CURVA[[#This Row],[Fecha]],AV_PLAN[Días],AV_PLAN[FECHA TERMINO REAL],"",0)</f>
        <v>0</v>
      </c>
      <c r="I305" s="13"/>
      <c r="J305">
        <f>+DAY(CURVA[[#This Row],[Fecha]])</f>
        <v>17</v>
      </c>
      <c r="K305" t="str">
        <f>+TEXT(CURVA[[#This Row],[Fecha]],"MMMM")</f>
        <v>diciembre</v>
      </c>
      <c r="L305">
        <f>+YEAR(CURVA[[#This Row],[Fecha]])</f>
        <v>2026</v>
      </c>
      <c r="M305" s="69">
        <f>CURVA[[#This Row],[% AVANCE REAL]]*MAX(CURVA[M2 Avance Programado])</f>
        <v>0</v>
      </c>
      <c r="N305" s="69">
        <f>IF(CURVA[[#This Row],[% AVANCE REAL]]="",0,M305-M304)</f>
        <v>0</v>
      </c>
    </row>
    <row r="306" spans="1:14" x14ac:dyDescent="0.25">
      <c r="A306" s="1">
        <v>46374</v>
      </c>
      <c r="B306" s="7">
        <v>0.63456439393939401</v>
      </c>
      <c r="C306" s="7">
        <v>2.8645833333333925E-3</v>
      </c>
      <c r="D306">
        <v>54</v>
      </c>
      <c r="E306" s="66">
        <v>13454.842931464686</v>
      </c>
      <c r="F306" s="66">
        <v>60.738546288138352</v>
      </c>
      <c r="G306">
        <f>+_xlfn.XLOOKUP(CURVA[[#This Row],[Fecha]],AV_PLAN[Días],AV_PLAN[INICIO REAL],"",0)</f>
        <v>0</v>
      </c>
      <c r="H306">
        <f>+_xlfn.XLOOKUP(CURVA[[#This Row],[Fecha]],AV_PLAN[Días],AV_PLAN[FECHA TERMINO REAL],"",0)</f>
        <v>0</v>
      </c>
      <c r="I306" s="13"/>
      <c r="J306">
        <f>+DAY(CURVA[[#This Row],[Fecha]])</f>
        <v>18</v>
      </c>
      <c r="K306" t="str">
        <f>+TEXT(CURVA[[#This Row],[Fecha]],"MMMM")</f>
        <v>diciembre</v>
      </c>
      <c r="L306">
        <f>+YEAR(CURVA[[#This Row],[Fecha]])</f>
        <v>2026</v>
      </c>
      <c r="M306" s="70">
        <f>CURVA[[#This Row],[% AVANCE REAL]]*MAX(CURVA[M2 Avance Programado])</f>
        <v>0</v>
      </c>
      <c r="N306" s="69">
        <f>IF(CURVA[[#This Row],[% AVANCE REAL]]="",0,M306-M305)</f>
        <v>0</v>
      </c>
    </row>
    <row r="307" spans="1:14" x14ac:dyDescent="0.25">
      <c r="A307" s="1">
        <v>46375</v>
      </c>
      <c r="B307" s="7">
        <v>0.63750000000000007</v>
      </c>
      <c r="C307" s="7">
        <v>2.9356060606060552E-3</v>
      </c>
      <c r="D307">
        <v>52</v>
      </c>
      <c r="E307" s="66">
        <v>13517.087392123603</v>
      </c>
      <c r="F307" s="66">
        <v>62.244460658917241</v>
      </c>
      <c r="G307">
        <f>+_xlfn.XLOOKUP(CURVA[[#This Row],[Fecha]],AV_PLAN[Días],AV_PLAN[INICIO REAL],"",0)</f>
        <v>0</v>
      </c>
      <c r="H307">
        <f>+_xlfn.XLOOKUP(CURVA[[#This Row],[Fecha]],AV_PLAN[Días],AV_PLAN[FECHA TERMINO REAL],"",0)</f>
        <v>0</v>
      </c>
      <c r="I307" s="13"/>
      <c r="J307">
        <f>+DAY(CURVA[[#This Row],[Fecha]])</f>
        <v>19</v>
      </c>
      <c r="K307" t="str">
        <f>+TEXT(CURVA[[#This Row],[Fecha]],"MMMM")</f>
        <v>diciembre</v>
      </c>
      <c r="L307">
        <f>+YEAR(CURVA[[#This Row],[Fecha]])</f>
        <v>2026</v>
      </c>
      <c r="M307" s="69">
        <f>CURVA[[#This Row],[% AVANCE REAL]]*MAX(CURVA[M2 Avance Programado])</f>
        <v>0</v>
      </c>
      <c r="N307" s="69">
        <f>IF(CURVA[[#This Row],[% AVANCE REAL]]="",0,M307-M306)</f>
        <v>0</v>
      </c>
    </row>
    <row r="308" spans="1:14" x14ac:dyDescent="0.25">
      <c r="A308" s="1">
        <v>46376</v>
      </c>
      <c r="B308" s="7">
        <v>0.64034090909090924</v>
      </c>
      <c r="C308" s="7">
        <v>2.8409090909091717E-3</v>
      </c>
      <c r="D308">
        <v>50</v>
      </c>
      <c r="E308" s="66">
        <v>13577.323966954817</v>
      </c>
      <c r="F308" s="66">
        <v>60.23657483121206</v>
      </c>
      <c r="G308">
        <f>+_xlfn.XLOOKUP(CURVA[[#This Row],[Fecha]],AV_PLAN[Días],AV_PLAN[INICIO REAL],"",0)</f>
        <v>0</v>
      </c>
      <c r="H308">
        <f>+_xlfn.XLOOKUP(CURVA[[#This Row],[Fecha]],AV_PLAN[Días],AV_PLAN[FECHA TERMINO REAL],"",0)</f>
        <v>0</v>
      </c>
      <c r="I308" s="13"/>
      <c r="J308">
        <f>+DAY(CURVA[[#This Row],[Fecha]])</f>
        <v>20</v>
      </c>
      <c r="K308" t="str">
        <f>+TEXT(CURVA[[#This Row],[Fecha]],"MMMM")</f>
        <v>diciembre</v>
      </c>
      <c r="L308">
        <f>+YEAR(CURVA[[#This Row],[Fecha]])</f>
        <v>2026</v>
      </c>
      <c r="M308" s="70">
        <f>CURVA[[#This Row],[% AVANCE REAL]]*MAX(CURVA[M2 Avance Programado])</f>
        <v>0</v>
      </c>
      <c r="N308" s="69">
        <f>IF(CURVA[[#This Row],[% AVANCE REAL]]="",0,M308-M307)</f>
        <v>0</v>
      </c>
    </row>
    <row r="309" spans="1:14" x14ac:dyDescent="0.25">
      <c r="A309" s="1">
        <v>46377</v>
      </c>
      <c r="B309" s="7">
        <v>0.64306344696969697</v>
      </c>
      <c r="C309" s="7">
        <v>2.7225378787877341E-3</v>
      </c>
      <c r="D309">
        <v>51</v>
      </c>
      <c r="E309" s="66">
        <v>13635.050684501388</v>
      </c>
      <c r="F309" s="66">
        <v>57.726717546573518</v>
      </c>
      <c r="G309">
        <f>+_xlfn.XLOOKUP(CURVA[[#This Row],[Fecha]],AV_PLAN[Días],AV_PLAN[INICIO REAL],"",0)</f>
        <v>0</v>
      </c>
      <c r="H309">
        <f>+_xlfn.XLOOKUP(CURVA[[#This Row],[Fecha]],AV_PLAN[Días],AV_PLAN[FECHA TERMINO REAL],"",0)</f>
        <v>0</v>
      </c>
      <c r="I309" s="13"/>
      <c r="J309">
        <f>+DAY(CURVA[[#This Row],[Fecha]])</f>
        <v>21</v>
      </c>
      <c r="K309" t="str">
        <f>+TEXT(CURVA[[#This Row],[Fecha]],"MMMM")</f>
        <v>diciembre</v>
      </c>
      <c r="L309">
        <f>+YEAR(CURVA[[#This Row],[Fecha]])</f>
        <v>2026</v>
      </c>
      <c r="M309" s="69">
        <f>CURVA[[#This Row],[% AVANCE REAL]]*MAX(CURVA[M2 Avance Programado])</f>
        <v>0</v>
      </c>
      <c r="N309" s="69">
        <f>IF(CURVA[[#This Row],[% AVANCE REAL]]="",0,M309-M308)</f>
        <v>0</v>
      </c>
    </row>
    <row r="310" spans="1:14" x14ac:dyDescent="0.25">
      <c r="A310" s="1">
        <v>46378</v>
      </c>
      <c r="B310" s="7">
        <v>0.64590435606060614</v>
      </c>
      <c r="C310" s="7">
        <v>2.8409090909091717E-3</v>
      </c>
      <c r="D310">
        <v>53</v>
      </c>
      <c r="E310" s="66">
        <v>13695.287259332599</v>
      </c>
      <c r="F310" s="66">
        <v>60.23657483121206</v>
      </c>
      <c r="G310">
        <f>+_xlfn.XLOOKUP(CURVA[[#This Row],[Fecha]],AV_PLAN[Días],AV_PLAN[INICIO REAL],"",0)</f>
        <v>0</v>
      </c>
      <c r="H310">
        <f>+_xlfn.XLOOKUP(CURVA[[#This Row],[Fecha]],AV_PLAN[Días],AV_PLAN[FECHA TERMINO REAL],"",0)</f>
        <v>0</v>
      </c>
      <c r="I310" s="13"/>
      <c r="J310">
        <f>+DAY(CURVA[[#This Row],[Fecha]])</f>
        <v>22</v>
      </c>
      <c r="K310" t="str">
        <f>+TEXT(CURVA[[#This Row],[Fecha]],"MMMM")</f>
        <v>diciembre</v>
      </c>
      <c r="L310">
        <f>+YEAR(CURVA[[#This Row],[Fecha]])</f>
        <v>2026</v>
      </c>
      <c r="M310" s="70">
        <f>CURVA[[#This Row],[% AVANCE REAL]]*MAX(CURVA[M2 Avance Programado])</f>
        <v>0</v>
      </c>
      <c r="N310" s="69">
        <f>IF(CURVA[[#This Row],[% AVANCE REAL]]="",0,M310-M309)</f>
        <v>0</v>
      </c>
    </row>
    <row r="311" spans="1:14" x14ac:dyDescent="0.25">
      <c r="A311" s="1">
        <v>46379</v>
      </c>
      <c r="B311" s="7">
        <v>0.64879261363636365</v>
      </c>
      <c r="C311" s="7">
        <v>2.8882575757575024E-3</v>
      </c>
      <c r="D311">
        <v>54</v>
      </c>
      <c r="E311" s="66">
        <v>13756.527777077665</v>
      </c>
      <c r="F311" s="66">
        <v>61.240517745062299</v>
      </c>
      <c r="G311">
        <f>+_xlfn.XLOOKUP(CURVA[[#This Row],[Fecha]],AV_PLAN[Días],AV_PLAN[INICIO REAL],"",0)</f>
        <v>0</v>
      </c>
      <c r="H311">
        <f>+_xlfn.XLOOKUP(CURVA[[#This Row],[Fecha]],AV_PLAN[Días],AV_PLAN[FECHA TERMINO REAL],"",0)</f>
        <v>0</v>
      </c>
      <c r="I311" s="13"/>
      <c r="J311">
        <f>+DAY(CURVA[[#This Row],[Fecha]])</f>
        <v>23</v>
      </c>
      <c r="K311" t="str">
        <f>+TEXT(CURVA[[#This Row],[Fecha]],"MMMM")</f>
        <v>diciembre</v>
      </c>
      <c r="L311">
        <f>+YEAR(CURVA[[#This Row],[Fecha]])</f>
        <v>2026</v>
      </c>
      <c r="M311" s="69">
        <f>CURVA[[#This Row],[% AVANCE REAL]]*MAX(CURVA[M2 Avance Programado])</f>
        <v>0</v>
      </c>
      <c r="N311" s="69">
        <f>IF(CURVA[[#This Row],[% AVANCE REAL]]="",0,M311-M310)</f>
        <v>0</v>
      </c>
    </row>
    <row r="312" spans="1:14" x14ac:dyDescent="0.25">
      <c r="A312" s="1">
        <v>46380</v>
      </c>
      <c r="B312" s="7">
        <v>0.65165719696969682</v>
      </c>
      <c r="C312" s="7">
        <v>2.8645833333331705E-3</v>
      </c>
      <c r="D312">
        <v>51</v>
      </c>
      <c r="E312" s="66">
        <v>13817.266323365797</v>
      </c>
      <c r="F312" s="66">
        <v>60.738546288133648</v>
      </c>
      <c r="G312">
        <f>+_xlfn.XLOOKUP(CURVA[[#This Row],[Fecha]],AV_PLAN[Días],AV_PLAN[INICIO REAL],"",0)</f>
        <v>0</v>
      </c>
      <c r="H312">
        <f>+_xlfn.XLOOKUP(CURVA[[#This Row],[Fecha]],AV_PLAN[Días],AV_PLAN[FECHA TERMINO REAL],"",0)</f>
        <v>0</v>
      </c>
      <c r="I312" s="13"/>
      <c r="J312">
        <f>+DAY(CURVA[[#This Row],[Fecha]])</f>
        <v>24</v>
      </c>
      <c r="K312" t="str">
        <f>+TEXT(CURVA[[#This Row],[Fecha]],"MMMM")</f>
        <v>diciembre</v>
      </c>
      <c r="L312">
        <f>+YEAR(CURVA[[#This Row],[Fecha]])</f>
        <v>2026</v>
      </c>
      <c r="M312" s="70">
        <f>CURVA[[#This Row],[% AVANCE REAL]]*MAX(CURVA[M2 Avance Programado])</f>
        <v>0</v>
      </c>
      <c r="N312" s="69">
        <f>IF(CURVA[[#This Row],[% AVANCE REAL]]="",0,M312-M311)</f>
        <v>0</v>
      </c>
    </row>
    <row r="313" spans="1:14" x14ac:dyDescent="0.25">
      <c r="A313" s="1">
        <v>46381</v>
      </c>
      <c r="B313" s="7">
        <v>0.65435606060606044</v>
      </c>
      <c r="C313" s="7">
        <v>2.6988636363636243E-3</v>
      </c>
      <c r="D313">
        <v>48</v>
      </c>
      <c r="E313" s="66">
        <v>13874.491069455446</v>
      </c>
      <c r="F313" s="66">
        <v>57.224746089649571</v>
      </c>
      <c r="G313">
        <f>+_xlfn.XLOOKUP(CURVA[[#This Row],[Fecha]],AV_PLAN[Días],AV_PLAN[INICIO REAL],"",0)</f>
        <v>0</v>
      </c>
      <c r="H313">
        <f>+_xlfn.XLOOKUP(CURVA[[#This Row],[Fecha]],AV_PLAN[Días],AV_PLAN[FECHA TERMINO REAL],"",0)</f>
        <v>0</v>
      </c>
      <c r="I313" s="13"/>
      <c r="J313">
        <f>+DAY(CURVA[[#This Row],[Fecha]])</f>
        <v>25</v>
      </c>
      <c r="K313" t="str">
        <f>+TEXT(CURVA[[#This Row],[Fecha]],"MMMM")</f>
        <v>diciembre</v>
      </c>
      <c r="L313">
        <f>+YEAR(CURVA[[#This Row],[Fecha]])</f>
        <v>2026</v>
      </c>
      <c r="M313" s="69">
        <f>CURVA[[#This Row],[% AVANCE REAL]]*MAX(CURVA[M2 Avance Programado])</f>
        <v>0</v>
      </c>
      <c r="N313" s="69">
        <f>IF(CURVA[[#This Row],[% AVANCE REAL]]="",0,M313-M312)</f>
        <v>0</v>
      </c>
    </row>
    <row r="314" spans="1:14" x14ac:dyDescent="0.25">
      <c r="A314" s="1">
        <v>46382</v>
      </c>
      <c r="B314" s="7">
        <v>0.65696022727272729</v>
      </c>
      <c r="C314" s="7">
        <v>2.6041666666668517E-3</v>
      </c>
      <c r="D314">
        <v>46</v>
      </c>
      <c r="E314" s="66">
        <v>13929.707929717391</v>
      </c>
      <c r="F314" s="66">
        <v>55.216860261946742</v>
      </c>
      <c r="G314">
        <f>+_xlfn.XLOOKUP(CURVA[[#This Row],[Fecha]],AV_PLAN[Días],AV_PLAN[INICIO REAL],"",0)</f>
        <v>0</v>
      </c>
      <c r="H314">
        <f>+_xlfn.XLOOKUP(CURVA[[#This Row],[Fecha]],AV_PLAN[Días],AV_PLAN[FECHA TERMINO REAL],"",0)</f>
        <v>0</v>
      </c>
      <c r="I314" s="13"/>
      <c r="J314">
        <f>+DAY(CURVA[[#This Row],[Fecha]])</f>
        <v>26</v>
      </c>
      <c r="K314" t="str">
        <f>+TEXT(CURVA[[#This Row],[Fecha]],"MMMM")</f>
        <v>diciembre</v>
      </c>
      <c r="L314">
        <f>+YEAR(CURVA[[#This Row],[Fecha]])</f>
        <v>2026</v>
      </c>
      <c r="M314" s="70">
        <f>CURVA[[#This Row],[% AVANCE REAL]]*MAX(CURVA[M2 Avance Programado])</f>
        <v>0</v>
      </c>
      <c r="N314" s="69">
        <f>IF(CURVA[[#This Row],[% AVANCE REAL]]="",0,M314-M313)</f>
        <v>0</v>
      </c>
    </row>
    <row r="315" spans="1:14" x14ac:dyDescent="0.25">
      <c r="A315" s="1">
        <v>46383</v>
      </c>
      <c r="B315" s="7">
        <v>0.65951704545454559</v>
      </c>
      <c r="C315" s="7">
        <v>2.5568181818182989E-3</v>
      </c>
      <c r="D315">
        <v>45</v>
      </c>
      <c r="E315" s="66">
        <v>13983.920847065485</v>
      </c>
      <c r="F315" s="66">
        <v>54.212917348091793</v>
      </c>
      <c r="G315">
        <f>+_xlfn.XLOOKUP(CURVA[[#This Row],[Fecha]],AV_PLAN[Días],AV_PLAN[INICIO REAL],"",0)</f>
        <v>0</v>
      </c>
      <c r="H315">
        <f>+_xlfn.XLOOKUP(CURVA[[#This Row],[Fecha]],AV_PLAN[Días],AV_PLAN[FECHA TERMINO REAL],"",0)</f>
        <v>0</v>
      </c>
      <c r="I315" s="13"/>
      <c r="J315">
        <f>+DAY(CURVA[[#This Row],[Fecha]])</f>
        <v>27</v>
      </c>
      <c r="K315" t="str">
        <f>+TEXT(CURVA[[#This Row],[Fecha]],"MMMM")</f>
        <v>diciembre</v>
      </c>
      <c r="L315">
        <f>+YEAR(CURVA[[#This Row],[Fecha]])</f>
        <v>2026</v>
      </c>
      <c r="M315" s="69">
        <f>CURVA[[#This Row],[% AVANCE REAL]]*MAX(CURVA[M2 Avance Programado])</f>
        <v>0</v>
      </c>
      <c r="N315" s="69">
        <f>IF(CURVA[[#This Row],[% AVANCE REAL]]="",0,M315-M314)</f>
        <v>0</v>
      </c>
    </row>
    <row r="316" spans="1:14" x14ac:dyDescent="0.25">
      <c r="A316" s="1">
        <v>46384</v>
      </c>
      <c r="B316" s="7">
        <v>0.66195549242424234</v>
      </c>
      <c r="C316" s="7">
        <v>2.4384469696967503E-3</v>
      </c>
      <c r="D316">
        <v>46</v>
      </c>
      <c r="E316" s="66">
        <v>14035.623907128936</v>
      </c>
      <c r="F316" s="66">
        <v>51.703060063450899</v>
      </c>
      <c r="G316">
        <f>+_xlfn.XLOOKUP(CURVA[[#This Row],[Fecha]],AV_PLAN[Días],AV_PLAN[INICIO REAL],"",0)</f>
        <v>0</v>
      </c>
      <c r="H316">
        <f>+_xlfn.XLOOKUP(CURVA[[#This Row],[Fecha]],AV_PLAN[Días],AV_PLAN[FECHA TERMINO REAL],"",0)</f>
        <v>0</v>
      </c>
      <c r="I316" s="13"/>
      <c r="J316">
        <f>+DAY(CURVA[[#This Row],[Fecha]])</f>
        <v>28</v>
      </c>
      <c r="K316" t="str">
        <f>+TEXT(CURVA[[#This Row],[Fecha]],"MMMM")</f>
        <v>diciembre</v>
      </c>
      <c r="L316">
        <f>+YEAR(CURVA[[#This Row],[Fecha]])</f>
        <v>2026</v>
      </c>
      <c r="M316" s="70">
        <f>CURVA[[#This Row],[% AVANCE REAL]]*MAX(CURVA[M2 Avance Programado])</f>
        <v>0</v>
      </c>
      <c r="N316" s="69">
        <f>IF(CURVA[[#This Row],[% AVANCE REAL]]="",0,M316-M315)</f>
        <v>0</v>
      </c>
    </row>
    <row r="317" spans="1:14" x14ac:dyDescent="0.25">
      <c r="A317" s="1">
        <v>46385</v>
      </c>
      <c r="B317" s="7">
        <v>0.66455965909090897</v>
      </c>
      <c r="C317" s="7">
        <v>2.6041666666666297E-3</v>
      </c>
      <c r="D317">
        <v>49</v>
      </c>
      <c r="E317" s="66">
        <v>14090.840767390877</v>
      </c>
      <c r="F317" s="66">
        <v>55.216860261942031</v>
      </c>
      <c r="G317">
        <f>+_xlfn.XLOOKUP(CURVA[[#This Row],[Fecha]],AV_PLAN[Días],AV_PLAN[INICIO REAL],"",0)</f>
        <v>0</v>
      </c>
      <c r="H317">
        <f>+_xlfn.XLOOKUP(CURVA[[#This Row],[Fecha]],AV_PLAN[Días],AV_PLAN[FECHA TERMINO REAL],"",0)</f>
        <v>0</v>
      </c>
      <c r="I317" s="13"/>
      <c r="J317">
        <f>+DAY(CURVA[[#This Row],[Fecha]])</f>
        <v>29</v>
      </c>
      <c r="K317" t="str">
        <f>+TEXT(CURVA[[#This Row],[Fecha]],"MMMM")</f>
        <v>diciembre</v>
      </c>
      <c r="L317">
        <f>+YEAR(CURVA[[#This Row],[Fecha]])</f>
        <v>2026</v>
      </c>
      <c r="M317" s="69">
        <f>CURVA[[#This Row],[% AVANCE REAL]]*MAX(CURVA[M2 Avance Programado])</f>
        <v>0</v>
      </c>
      <c r="N317" s="69">
        <f>IF(CURVA[[#This Row],[% AVANCE REAL]]="",0,M317-M316)</f>
        <v>0</v>
      </c>
    </row>
    <row r="318" spans="1:14" x14ac:dyDescent="0.25">
      <c r="A318" s="1">
        <v>46386</v>
      </c>
      <c r="B318" s="7">
        <v>0.66721117424242415</v>
      </c>
      <c r="C318" s="7">
        <v>2.6515151515151825E-3</v>
      </c>
      <c r="D318">
        <v>50</v>
      </c>
      <c r="E318" s="66">
        <v>14147.061570566677</v>
      </c>
      <c r="F318" s="66">
        <v>56.220803175796981</v>
      </c>
      <c r="G318">
        <f>+_xlfn.XLOOKUP(CURVA[[#This Row],[Fecha]],AV_PLAN[Días],AV_PLAN[INICIO REAL],"",0)</f>
        <v>0</v>
      </c>
      <c r="H318">
        <f>+_xlfn.XLOOKUP(CURVA[[#This Row],[Fecha]],AV_PLAN[Días],AV_PLAN[FECHA TERMINO REAL],"",0)</f>
        <v>0</v>
      </c>
      <c r="I318" s="13"/>
      <c r="J318">
        <f>+DAY(CURVA[[#This Row],[Fecha]])</f>
        <v>30</v>
      </c>
      <c r="K318" t="str">
        <f>+TEXT(CURVA[[#This Row],[Fecha]],"MMMM")</f>
        <v>diciembre</v>
      </c>
      <c r="L318">
        <f>+YEAR(CURVA[[#This Row],[Fecha]])</f>
        <v>2026</v>
      </c>
      <c r="M318" s="70">
        <f>CURVA[[#This Row],[% AVANCE REAL]]*MAX(CURVA[M2 Avance Programado])</f>
        <v>0</v>
      </c>
      <c r="N318" s="69">
        <f>IF(CURVA[[#This Row],[% AVANCE REAL]]="",0,M318-M317)</f>
        <v>0</v>
      </c>
    </row>
    <row r="319" spans="1:14" x14ac:dyDescent="0.25">
      <c r="A319" s="1">
        <v>46387</v>
      </c>
      <c r="B319" s="7">
        <v>0.66981534090909089</v>
      </c>
      <c r="C319" s="7">
        <v>2.6041666666667407E-3</v>
      </c>
      <c r="D319">
        <v>46</v>
      </c>
      <c r="E319" s="66">
        <v>14202.278430828619</v>
      </c>
      <c r="F319" s="66">
        <v>55.21686026194439</v>
      </c>
      <c r="G319">
        <f>+_xlfn.XLOOKUP(CURVA[[#This Row],[Fecha]],AV_PLAN[Días],AV_PLAN[INICIO REAL],"",0)</f>
        <v>0</v>
      </c>
      <c r="H319">
        <f>+_xlfn.XLOOKUP(CURVA[[#This Row],[Fecha]],AV_PLAN[Días],AV_PLAN[FECHA TERMINO REAL],"",0)</f>
        <v>0</v>
      </c>
      <c r="I319" s="13"/>
      <c r="J319">
        <f>+DAY(CURVA[[#This Row],[Fecha]])</f>
        <v>31</v>
      </c>
      <c r="K319" t="str">
        <f>+TEXT(CURVA[[#This Row],[Fecha]],"MMMM")</f>
        <v>diciembre</v>
      </c>
      <c r="L319">
        <f>+YEAR(CURVA[[#This Row],[Fecha]])</f>
        <v>2026</v>
      </c>
      <c r="M319" s="69">
        <f>CURVA[[#This Row],[% AVANCE REAL]]*MAX(CURVA[M2 Avance Programado])</f>
        <v>0</v>
      </c>
      <c r="N319" s="69">
        <f>IF(CURVA[[#This Row],[% AVANCE REAL]]="",0,M319-M318)</f>
        <v>0</v>
      </c>
    </row>
    <row r="320" spans="1:14" x14ac:dyDescent="0.25">
      <c r="A320" s="1">
        <v>46388</v>
      </c>
      <c r="B320" s="7">
        <v>0.67225378787878787</v>
      </c>
      <c r="C320" s="7">
        <v>2.4384469696969724E-3</v>
      </c>
      <c r="D320">
        <v>43</v>
      </c>
      <c r="E320" s="66">
        <v>14253.981490892074</v>
      </c>
      <c r="F320" s="66">
        <v>51.703060063455602</v>
      </c>
      <c r="G320">
        <f>+_xlfn.XLOOKUP(CURVA[[#This Row],[Fecha]],AV_PLAN[Días],AV_PLAN[INICIO REAL],"",0)</f>
        <v>0</v>
      </c>
      <c r="H320">
        <f>+_xlfn.XLOOKUP(CURVA[[#This Row],[Fecha]],AV_PLAN[Días],AV_PLAN[FECHA TERMINO REAL],"",0)</f>
        <v>0</v>
      </c>
      <c r="I320" s="13"/>
      <c r="J320">
        <f>+DAY(CURVA[[#This Row],[Fecha]])</f>
        <v>1</v>
      </c>
      <c r="K320" t="str">
        <f>+TEXT(CURVA[[#This Row],[Fecha]],"MMMM")</f>
        <v>enero</v>
      </c>
      <c r="L320">
        <f>+YEAR(CURVA[[#This Row],[Fecha]])</f>
        <v>2027</v>
      </c>
      <c r="M320" s="70">
        <f>CURVA[[#This Row],[% AVANCE REAL]]*MAX(CURVA[M2 Avance Programado])</f>
        <v>0</v>
      </c>
      <c r="N320" s="69">
        <f>IF(CURVA[[#This Row],[% AVANCE REAL]]="",0,M320-M319)</f>
        <v>0</v>
      </c>
    </row>
    <row r="321" spans="1:14" x14ac:dyDescent="0.25">
      <c r="A321" s="1">
        <v>46389</v>
      </c>
      <c r="B321" s="7">
        <v>0.6746448863636364</v>
      </c>
      <c r="C321" s="7">
        <v>2.3910984848485306E-3</v>
      </c>
      <c r="D321">
        <v>42</v>
      </c>
      <c r="E321" s="66">
        <v>14304.680608041675</v>
      </c>
      <c r="F321" s="66">
        <v>50.699117149603005</v>
      </c>
      <c r="G321">
        <f>+_xlfn.XLOOKUP(CURVA[[#This Row],[Fecha]],AV_PLAN[Días],AV_PLAN[INICIO REAL],"",0)</f>
        <v>0</v>
      </c>
      <c r="H321">
        <f>+_xlfn.XLOOKUP(CURVA[[#This Row],[Fecha]],AV_PLAN[Días],AV_PLAN[FECHA TERMINO REAL],"",0)</f>
        <v>0</v>
      </c>
      <c r="I321" s="13"/>
      <c r="J321">
        <f>+DAY(CURVA[[#This Row],[Fecha]])</f>
        <v>2</v>
      </c>
      <c r="K321" t="str">
        <f>+TEXT(CURVA[[#This Row],[Fecha]],"MMMM")</f>
        <v>enero</v>
      </c>
      <c r="L321">
        <f>+YEAR(CURVA[[#This Row],[Fecha]])</f>
        <v>2027</v>
      </c>
      <c r="M321" s="69">
        <f>CURVA[[#This Row],[% AVANCE REAL]]*MAX(CURVA[M2 Avance Programado])</f>
        <v>0</v>
      </c>
      <c r="N321" s="69">
        <f>IF(CURVA[[#This Row],[% AVANCE REAL]]="",0,M321-M320)</f>
        <v>0</v>
      </c>
    </row>
    <row r="322" spans="1:14" x14ac:dyDescent="0.25">
      <c r="A322" s="1">
        <v>46390</v>
      </c>
      <c r="B322" s="7">
        <v>0.67698863636363626</v>
      </c>
      <c r="C322" s="7">
        <v>2.3437499999998668E-3</v>
      </c>
      <c r="D322">
        <v>41</v>
      </c>
      <c r="E322" s="66">
        <v>14354.375782277424</v>
      </c>
      <c r="F322" s="66">
        <v>49.695174235745711</v>
      </c>
      <c r="G322">
        <f>+_xlfn.XLOOKUP(CURVA[[#This Row],[Fecha]],AV_PLAN[Días],AV_PLAN[INICIO REAL],"",0)</f>
        <v>0</v>
      </c>
      <c r="H322">
        <f>+_xlfn.XLOOKUP(CURVA[[#This Row],[Fecha]],AV_PLAN[Días],AV_PLAN[FECHA TERMINO REAL],"",0)</f>
        <v>0</v>
      </c>
      <c r="I322" s="13"/>
      <c r="J322">
        <f>+DAY(CURVA[[#This Row],[Fecha]])</f>
        <v>3</v>
      </c>
      <c r="K322" t="str">
        <f>+TEXT(CURVA[[#This Row],[Fecha]],"MMMM")</f>
        <v>enero</v>
      </c>
      <c r="L322">
        <f>+YEAR(CURVA[[#This Row],[Fecha]])</f>
        <v>2027</v>
      </c>
      <c r="M322" s="70">
        <f>CURVA[[#This Row],[% AVANCE REAL]]*MAX(CURVA[M2 Avance Programado])</f>
        <v>0</v>
      </c>
      <c r="N322" s="69">
        <f>IF(CURVA[[#This Row],[% AVANCE REAL]]="",0,M322-M321)</f>
        <v>0</v>
      </c>
    </row>
    <row r="323" spans="1:14" x14ac:dyDescent="0.25">
      <c r="A323" s="1">
        <v>46391</v>
      </c>
      <c r="B323" s="7">
        <v>0.6791666666666667</v>
      </c>
      <c r="C323" s="7">
        <v>2.1780303030304315E-3</v>
      </c>
      <c r="D323">
        <v>41</v>
      </c>
      <c r="E323" s="66">
        <v>14400.557156314688</v>
      </c>
      <c r="F323" s="66">
        <v>46.181374037263993</v>
      </c>
      <c r="G323">
        <f>+_xlfn.XLOOKUP(CURVA[[#This Row],[Fecha]],AV_PLAN[Días],AV_PLAN[INICIO REAL],"",0)</f>
        <v>0</v>
      </c>
      <c r="H323">
        <f>+_xlfn.XLOOKUP(CURVA[[#This Row],[Fecha]],AV_PLAN[Días],AV_PLAN[FECHA TERMINO REAL],"",0)</f>
        <v>0</v>
      </c>
      <c r="I323" s="13"/>
      <c r="J323">
        <f>+DAY(CURVA[[#This Row],[Fecha]])</f>
        <v>4</v>
      </c>
      <c r="K323" t="str">
        <f>+TEXT(CURVA[[#This Row],[Fecha]],"MMMM")</f>
        <v>enero</v>
      </c>
      <c r="L323">
        <f>+YEAR(CURVA[[#This Row],[Fecha]])</f>
        <v>2027</v>
      </c>
      <c r="M323" s="69">
        <f>CURVA[[#This Row],[% AVANCE REAL]]*MAX(CURVA[M2 Avance Programado])</f>
        <v>0</v>
      </c>
      <c r="N323" s="69">
        <f>IF(CURVA[[#This Row],[% AVANCE REAL]]="",0,M323-M322)</f>
        <v>0</v>
      </c>
    </row>
    <row r="324" spans="1:14" x14ac:dyDescent="0.25">
      <c r="A324" s="1">
        <v>46392</v>
      </c>
      <c r="B324" s="7">
        <v>0.68136837121212113</v>
      </c>
      <c r="C324" s="7">
        <v>2.2017045454544304E-3</v>
      </c>
      <c r="D324">
        <v>42</v>
      </c>
      <c r="E324" s="66">
        <v>14447.240501808874</v>
      </c>
      <c r="F324" s="66">
        <v>46.683345494185581</v>
      </c>
      <c r="G324">
        <f>+_xlfn.XLOOKUP(CURVA[[#This Row],[Fecha]],AV_PLAN[Días],AV_PLAN[INICIO REAL],"",0)</f>
        <v>0</v>
      </c>
      <c r="H324">
        <f>+_xlfn.XLOOKUP(CURVA[[#This Row],[Fecha]],AV_PLAN[Días],AV_PLAN[FECHA TERMINO REAL],"",0)</f>
        <v>0</v>
      </c>
      <c r="I324" s="13"/>
      <c r="J324">
        <f>+DAY(CURVA[[#This Row],[Fecha]])</f>
        <v>5</v>
      </c>
      <c r="K324" t="str">
        <f>+TEXT(CURVA[[#This Row],[Fecha]],"MMMM")</f>
        <v>enero</v>
      </c>
      <c r="L324">
        <f>+YEAR(CURVA[[#This Row],[Fecha]])</f>
        <v>2027</v>
      </c>
      <c r="M324" s="70">
        <f>CURVA[[#This Row],[% AVANCE REAL]]*MAX(CURVA[M2 Avance Programado])</f>
        <v>0</v>
      </c>
      <c r="N324" s="69">
        <f>IF(CURVA[[#This Row],[% AVANCE REAL]]="",0,M324-M323)</f>
        <v>0</v>
      </c>
    </row>
    <row r="325" spans="1:14" x14ac:dyDescent="0.25">
      <c r="A325" s="1">
        <v>46393</v>
      </c>
      <c r="B325" s="7">
        <v>0.68359375000000011</v>
      </c>
      <c r="C325" s="7">
        <v>2.2253787878789844E-3</v>
      </c>
      <c r="D325">
        <v>43</v>
      </c>
      <c r="E325" s="66">
        <v>14494.425818759992</v>
      </c>
      <c r="F325" s="66">
        <v>47.185316951118935</v>
      </c>
      <c r="G325">
        <f>+_xlfn.XLOOKUP(CURVA[[#This Row],[Fecha]],AV_PLAN[Días],AV_PLAN[INICIO REAL],"",0)</f>
        <v>0</v>
      </c>
      <c r="H325">
        <f>+_xlfn.XLOOKUP(CURVA[[#This Row],[Fecha]],AV_PLAN[Días],AV_PLAN[FECHA TERMINO REAL],"",0)</f>
        <v>0</v>
      </c>
      <c r="I325" s="13"/>
      <c r="J325">
        <f>+DAY(CURVA[[#This Row],[Fecha]])</f>
        <v>6</v>
      </c>
      <c r="K325" t="str">
        <f>+TEXT(CURVA[[#This Row],[Fecha]],"MMMM")</f>
        <v>enero</v>
      </c>
      <c r="L325">
        <f>+YEAR(CURVA[[#This Row],[Fecha]])</f>
        <v>2027</v>
      </c>
      <c r="M325" s="69">
        <f>CURVA[[#This Row],[% AVANCE REAL]]*MAX(CURVA[M2 Avance Programado])</f>
        <v>0</v>
      </c>
      <c r="N325" s="69">
        <f>IF(CURVA[[#This Row],[% AVANCE REAL]]="",0,M325-M324)</f>
        <v>0</v>
      </c>
    </row>
    <row r="326" spans="1:14" x14ac:dyDescent="0.25">
      <c r="A326" s="1">
        <v>46394</v>
      </c>
      <c r="B326" s="7">
        <v>0.68584280303030309</v>
      </c>
      <c r="C326" s="7">
        <v>2.2490530303029832E-3</v>
      </c>
      <c r="D326">
        <v>43</v>
      </c>
      <c r="E326" s="66">
        <v>14542.113107168032</v>
      </c>
      <c r="F326" s="66">
        <v>47.687288408040523</v>
      </c>
      <c r="G326">
        <f>+_xlfn.XLOOKUP(CURVA[[#This Row],[Fecha]],AV_PLAN[Días],AV_PLAN[INICIO REAL],"",0)</f>
        <v>0</v>
      </c>
      <c r="H326">
        <f>+_xlfn.XLOOKUP(CURVA[[#This Row],[Fecha]],AV_PLAN[Días],AV_PLAN[FECHA TERMINO REAL],"",0)</f>
        <v>0</v>
      </c>
      <c r="I326" s="13"/>
      <c r="J326">
        <f>+DAY(CURVA[[#This Row],[Fecha]])</f>
        <v>7</v>
      </c>
      <c r="K326" t="str">
        <f>+TEXT(CURVA[[#This Row],[Fecha]],"MMMM")</f>
        <v>enero</v>
      </c>
      <c r="L326">
        <f>+YEAR(CURVA[[#This Row],[Fecha]])</f>
        <v>2027</v>
      </c>
      <c r="M326" s="70">
        <f>CURVA[[#This Row],[% AVANCE REAL]]*MAX(CURVA[M2 Avance Programado])</f>
        <v>0</v>
      </c>
      <c r="N326" s="69">
        <f>IF(CURVA[[#This Row],[% AVANCE REAL]]="",0,M326-M325)</f>
        <v>0</v>
      </c>
    </row>
    <row r="327" spans="1:14" x14ac:dyDescent="0.25">
      <c r="A327" s="1">
        <v>46395</v>
      </c>
      <c r="B327" s="7">
        <v>0.6882102272727274</v>
      </c>
      <c r="C327" s="7">
        <v>2.3674242424243097E-3</v>
      </c>
      <c r="D327">
        <v>45</v>
      </c>
      <c r="E327" s="66">
        <v>14592.310252860709</v>
      </c>
      <c r="F327" s="66">
        <v>50.197145692676713</v>
      </c>
      <c r="G327">
        <f>+_xlfn.XLOOKUP(CURVA[[#This Row],[Fecha]],AV_PLAN[Días],AV_PLAN[INICIO REAL],"",0)</f>
        <v>0</v>
      </c>
      <c r="H327">
        <f>+_xlfn.XLOOKUP(CURVA[[#This Row],[Fecha]],AV_PLAN[Días],AV_PLAN[FECHA TERMINO REAL],"",0)</f>
        <v>0</v>
      </c>
      <c r="I327" s="13"/>
      <c r="J327">
        <f>+DAY(CURVA[[#This Row],[Fecha]])</f>
        <v>8</v>
      </c>
      <c r="K327" t="str">
        <f>+TEXT(CURVA[[#This Row],[Fecha]],"MMMM")</f>
        <v>enero</v>
      </c>
      <c r="L327">
        <f>+YEAR(CURVA[[#This Row],[Fecha]])</f>
        <v>2027</v>
      </c>
      <c r="M327" s="69">
        <f>CURVA[[#This Row],[% AVANCE REAL]]*MAX(CURVA[M2 Avance Programado])</f>
        <v>0</v>
      </c>
      <c r="N327" s="69">
        <f>IF(CURVA[[#This Row],[% AVANCE REAL]]="",0,M327-M326)</f>
        <v>0</v>
      </c>
    </row>
    <row r="328" spans="1:14" x14ac:dyDescent="0.25">
      <c r="A328" s="1">
        <v>46396</v>
      </c>
      <c r="B328" s="7">
        <v>0.69069602272727271</v>
      </c>
      <c r="C328" s="7">
        <v>2.4857954545453032E-3</v>
      </c>
      <c r="D328">
        <v>44</v>
      </c>
      <c r="E328" s="66">
        <v>14645.017255838016</v>
      </c>
      <c r="F328" s="66">
        <v>52.707002977305841</v>
      </c>
      <c r="G328">
        <f>+_xlfn.XLOOKUP(CURVA[[#This Row],[Fecha]],AV_PLAN[Días],AV_PLAN[INICIO REAL],"",0)</f>
        <v>0</v>
      </c>
      <c r="H328">
        <f>+_xlfn.XLOOKUP(CURVA[[#This Row],[Fecha]],AV_PLAN[Días],AV_PLAN[FECHA TERMINO REAL],"",0)</f>
        <v>0</v>
      </c>
      <c r="I328" s="13"/>
      <c r="J328">
        <f>+DAY(CURVA[[#This Row],[Fecha]])</f>
        <v>9</v>
      </c>
      <c r="K328" t="str">
        <f>+TEXT(CURVA[[#This Row],[Fecha]],"MMMM")</f>
        <v>enero</v>
      </c>
      <c r="L328">
        <f>+YEAR(CURVA[[#This Row],[Fecha]])</f>
        <v>2027</v>
      </c>
      <c r="M328" s="70">
        <f>CURVA[[#This Row],[% AVANCE REAL]]*MAX(CURVA[M2 Avance Programado])</f>
        <v>0</v>
      </c>
      <c r="N328" s="69">
        <f>IF(CURVA[[#This Row],[% AVANCE REAL]]="",0,M328-M327)</f>
        <v>0</v>
      </c>
    </row>
    <row r="329" spans="1:14" x14ac:dyDescent="0.25">
      <c r="A329" s="1">
        <v>46397</v>
      </c>
      <c r="B329" s="7">
        <v>0.69313446969696968</v>
      </c>
      <c r="C329" s="7">
        <v>2.4384469696969724E-3</v>
      </c>
      <c r="D329">
        <v>43</v>
      </c>
      <c r="E329" s="66">
        <v>14696.72031590147</v>
      </c>
      <c r="F329" s="66">
        <v>51.703060063455602</v>
      </c>
      <c r="G329">
        <f>+_xlfn.XLOOKUP(CURVA[[#This Row],[Fecha]],AV_PLAN[Días],AV_PLAN[INICIO REAL],"",0)</f>
        <v>0</v>
      </c>
      <c r="H329">
        <f>+_xlfn.XLOOKUP(CURVA[[#This Row],[Fecha]],AV_PLAN[Días],AV_PLAN[FECHA TERMINO REAL],"",0)</f>
        <v>0</v>
      </c>
      <c r="I329" s="13"/>
      <c r="J329">
        <f>+DAY(CURVA[[#This Row],[Fecha]])</f>
        <v>10</v>
      </c>
      <c r="K329" t="str">
        <f>+TEXT(CURVA[[#This Row],[Fecha]],"MMMM")</f>
        <v>enero</v>
      </c>
      <c r="L329">
        <f>+YEAR(CURVA[[#This Row],[Fecha]])</f>
        <v>2027</v>
      </c>
      <c r="M329" s="69">
        <f>CURVA[[#This Row],[% AVANCE REAL]]*MAX(CURVA[M2 Avance Programado])</f>
        <v>0</v>
      </c>
      <c r="N329" s="69">
        <f>IF(CURVA[[#This Row],[% AVANCE REAL]]="",0,M329-M328)</f>
        <v>0</v>
      </c>
    </row>
    <row r="330" spans="1:14" x14ac:dyDescent="0.25">
      <c r="A330" s="1">
        <v>46398</v>
      </c>
      <c r="B330" s="7">
        <v>0.69533617424242411</v>
      </c>
      <c r="C330" s="7">
        <v>2.2017045454544304E-3</v>
      </c>
      <c r="D330">
        <v>42</v>
      </c>
      <c r="E330" s="66">
        <v>14743.403661395656</v>
      </c>
      <c r="F330" s="66">
        <v>46.683345494185581</v>
      </c>
      <c r="G330">
        <f>+_xlfn.XLOOKUP(CURVA[[#This Row],[Fecha]],AV_PLAN[Días],AV_PLAN[INICIO REAL],"",0)</f>
        <v>0</v>
      </c>
      <c r="H330">
        <f>+_xlfn.XLOOKUP(CURVA[[#This Row],[Fecha]],AV_PLAN[Días],AV_PLAN[FECHA TERMINO REAL],"",0)</f>
        <v>0</v>
      </c>
      <c r="I330" s="13"/>
      <c r="J330">
        <f>+DAY(CURVA[[#This Row],[Fecha]])</f>
        <v>11</v>
      </c>
      <c r="K330" t="str">
        <f>+TEXT(CURVA[[#This Row],[Fecha]],"MMMM")</f>
        <v>enero</v>
      </c>
      <c r="L330">
        <f>+YEAR(CURVA[[#This Row],[Fecha]])</f>
        <v>2027</v>
      </c>
      <c r="M330" s="70">
        <f>CURVA[[#This Row],[% AVANCE REAL]]*MAX(CURVA[M2 Avance Programado])</f>
        <v>0</v>
      </c>
      <c r="N330" s="69">
        <f>IF(CURVA[[#This Row],[% AVANCE REAL]]="",0,M330-M329)</f>
        <v>0</v>
      </c>
    </row>
    <row r="331" spans="1:14" x14ac:dyDescent="0.25">
      <c r="A331" s="1">
        <v>46399</v>
      </c>
      <c r="B331" s="7">
        <v>0.69756155303030287</v>
      </c>
      <c r="C331" s="7">
        <v>2.2253787878787623E-3</v>
      </c>
      <c r="D331">
        <v>43</v>
      </c>
      <c r="E331" s="66">
        <v>14790.58897834677</v>
      </c>
      <c r="F331" s="66">
        <v>47.185316951114231</v>
      </c>
      <c r="G331">
        <f>+_xlfn.XLOOKUP(CURVA[[#This Row],[Fecha]],AV_PLAN[Días],AV_PLAN[INICIO REAL],"",0)</f>
        <v>0</v>
      </c>
      <c r="H331">
        <f>+_xlfn.XLOOKUP(CURVA[[#This Row],[Fecha]],AV_PLAN[Días],AV_PLAN[FECHA TERMINO REAL],"",0)</f>
        <v>0</v>
      </c>
      <c r="I331" s="13"/>
      <c r="J331">
        <f>+DAY(CURVA[[#This Row],[Fecha]])</f>
        <v>12</v>
      </c>
      <c r="K331" t="str">
        <f>+TEXT(CURVA[[#This Row],[Fecha]],"MMMM")</f>
        <v>enero</v>
      </c>
      <c r="L331">
        <f>+YEAR(CURVA[[#This Row],[Fecha]])</f>
        <v>2027</v>
      </c>
      <c r="M331" s="69">
        <f>CURVA[[#This Row],[% AVANCE REAL]]*MAX(CURVA[M2 Avance Programado])</f>
        <v>0</v>
      </c>
      <c r="N331" s="69">
        <f>IF(CURVA[[#This Row],[% AVANCE REAL]]="",0,M331-M330)</f>
        <v>0</v>
      </c>
    </row>
    <row r="332" spans="1:14" x14ac:dyDescent="0.25">
      <c r="A332" s="1">
        <v>46400</v>
      </c>
      <c r="B332" s="7">
        <v>0.69990530303030318</v>
      </c>
      <c r="C332" s="7">
        <v>2.3437500000003109E-3</v>
      </c>
      <c r="D332">
        <v>45</v>
      </c>
      <c r="E332" s="66">
        <v>14840.284152582526</v>
      </c>
      <c r="F332" s="66">
        <v>49.695174235755125</v>
      </c>
      <c r="G332">
        <f>+_xlfn.XLOOKUP(CURVA[[#This Row],[Fecha]],AV_PLAN[Días],AV_PLAN[INICIO REAL],"",0)</f>
        <v>0</v>
      </c>
      <c r="H332">
        <f>+_xlfn.XLOOKUP(CURVA[[#This Row],[Fecha]],AV_PLAN[Días],AV_PLAN[FECHA TERMINO REAL],"",0)</f>
        <v>0</v>
      </c>
      <c r="I332" s="13"/>
      <c r="J332">
        <f>+DAY(CURVA[[#This Row],[Fecha]])</f>
        <v>13</v>
      </c>
      <c r="K332" t="str">
        <f>+TEXT(CURVA[[#This Row],[Fecha]],"MMMM")</f>
        <v>enero</v>
      </c>
      <c r="L332">
        <f>+YEAR(CURVA[[#This Row],[Fecha]])</f>
        <v>2027</v>
      </c>
      <c r="M332" s="70">
        <f>CURVA[[#This Row],[% AVANCE REAL]]*MAX(CURVA[M2 Avance Programado])</f>
        <v>0</v>
      </c>
      <c r="N332" s="69">
        <f>IF(CURVA[[#This Row],[% AVANCE REAL]]="",0,M332-M331)</f>
        <v>0</v>
      </c>
    </row>
    <row r="333" spans="1:14" x14ac:dyDescent="0.25">
      <c r="A333" s="1">
        <v>46401</v>
      </c>
      <c r="B333" s="7">
        <v>0.70234375000000016</v>
      </c>
      <c r="C333" s="7">
        <v>2.4384469696969724E-3</v>
      </c>
      <c r="D333">
        <v>46</v>
      </c>
      <c r="E333" s="66">
        <v>14891.98721264598</v>
      </c>
      <c r="F333" s="66">
        <v>51.703060063455602</v>
      </c>
      <c r="G333">
        <f>+_xlfn.XLOOKUP(CURVA[[#This Row],[Fecha]],AV_PLAN[Días],AV_PLAN[INICIO REAL],"",0)</f>
        <v>0</v>
      </c>
      <c r="H333">
        <f>+_xlfn.XLOOKUP(CURVA[[#This Row],[Fecha]],AV_PLAN[Días],AV_PLAN[FECHA TERMINO REAL],"",0)</f>
        <v>0</v>
      </c>
      <c r="I333" s="13"/>
      <c r="J333">
        <f>+DAY(CURVA[[#This Row],[Fecha]])</f>
        <v>14</v>
      </c>
      <c r="K333" t="str">
        <f>+TEXT(CURVA[[#This Row],[Fecha]],"MMMM")</f>
        <v>enero</v>
      </c>
      <c r="L333">
        <f>+YEAR(CURVA[[#This Row],[Fecha]])</f>
        <v>2027</v>
      </c>
      <c r="M333" s="69">
        <f>CURVA[[#This Row],[% AVANCE REAL]]*MAX(CURVA[M2 Avance Programado])</f>
        <v>0</v>
      </c>
      <c r="N333" s="69">
        <f>IF(CURVA[[#This Row],[% AVANCE REAL]]="",0,M333-M332)</f>
        <v>0</v>
      </c>
    </row>
    <row r="334" spans="1:14" x14ac:dyDescent="0.25">
      <c r="A334" s="1">
        <v>46402</v>
      </c>
      <c r="B334" s="7">
        <v>0.70490056818181823</v>
      </c>
      <c r="C334" s="7">
        <v>2.5568181818180769E-3</v>
      </c>
      <c r="D334">
        <v>48</v>
      </c>
      <c r="E334" s="66">
        <v>14946.200129994068</v>
      </c>
      <c r="F334" s="66">
        <v>54.212917348087089</v>
      </c>
      <c r="G334">
        <f>+_xlfn.XLOOKUP(CURVA[[#This Row],[Fecha]],AV_PLAN[Días],AV_PLAN[INICIO REAL],"",0)</f>
        <v>0</v>
      </c>
      <c r="H334">
        <f>+_xlfn.XLOOKUP(CURVA[[#This Row],[Fecha]],AV_PLAN[Días],AV_PLAN[FECHA TERMINO REAL],"",0)</f>
        <v>0</v>
      </c>
      <c r="I334" s="13"/>
      <c r="J334">
        <f>+DAY(CURVA[[#This Row],[Fecha]])</f>
        <v>15</v>
      </c>
      <c r="K334" t="str">
        <f>+TEXT(CURVA[[#This Row],[Fecha]],"MMMM")</f>
        <v>enero</v>
      </c>
      <c r="L334">
        <f>+YEAR(CURVA[[#This Row],[Fecha]])</f>
        <v>2027</v>
      </c>
      <c r="M334" s="70">
        <f>CURVA[[#This Row],[% AVANCE REAL]]*MAX(CURVA[M2 Avance Programado])</f>
        <v>0</v>
      </c>
      <c r="N334" s="69">
        <f>IF(CURVA[[#This Row],[% AVANCE REAL]]="",0,M334-M333)</f>
        <v>0</v>
      </c>
    </row>
    <row r="335" spans="1:14" x14ac:dyDescent="0.25">
      <c r="A335" s="1">
        <v>46403</v>
      </c>
      <c r="B335" s="7">
        <v>0.70757575757575752</v>
      </c>
      <c r="C335" s="7">
        <v>2.6751893939392923E-3</v>
      </c>
      <c r="D335">
        <v>47</v>
      </c>
      <c r="E335" s="66">
        <v>15002.922904626788</v>
      </c>
      <c r="F335" s="66">
        <v>56.72277463272092</v>
      </c>
      <c r="G335">
        <f>+_xlfn.XLOOKUP(CURVA[[#This Row],[Fecha]],AV_PLAN[Días],AV_PLAN[INICIO REAL],"",0)</f>
        <v>0</v>
      </c>
      <c r="H335">
        <f>+_xlfn.XLOOKUP(CURVA[[#This Row],[Fecha]],AV_PLAN[Días],AV_PLAN[FECHA TERMINO REAL],"",0)</f>
        <v>0</v>
      </c>
      <c r="I335" s="13"/>
      <c r="J335">
        <f>+DAY(CURVA[[#This Row],[Fecha]])</f>
        <v>16</v>
      </c>
      <c r="K335" t="str">
        <f>+TEXT(CURVA[[#This Row],[Fecha]],"MMMM")</f>
        <v>enero</v>
      </c>
      <c r="L335">
        <f>+YEAR(CURVA[[#This Row],[Fecha]])</f>
        <v>2027</v>
      </c>
      <c r="M335" s="69">
        <f>CURVA[[#This Row],[% AVANCE REAL]]*MAX(CURVA[M2 Avance Programado])</f>
        <v>0</v>
      </c>
      <c r="N335" s="69">
        <f>IF(CURVA[[#This Row],[% AVANCE REAL]]="",0,M335-M334)</f>
        <v>0</v>
      </c>
    </row>
    <row r="336" spans="1:14" x14ac:dyDescent="0.25">
      <c r="A336" s="1">
        <v>46404</v>
      </c>
      <c r="B336" s="7">
        <v>0.71015624999999993</v>
      </c>
      <c r="C336" s="7">
        <v>2.5804924242424088E-3</v>
      </c>
      <c r="D336">
        <v>45</v>
      </c>
      <c r="E336" s="66">
        <v>15057.637793431804</v>
      </c>
      <c r="F336" s="66">
        <v>54.71488880501574</v>
      </c>
      <c r="G336">
        <f>+_xlfn.XLOOKUP(CURVA[[#This Row],[Fecha]],AV_PLAN[Días],AV_PLAN[INICIO REAL],"",0)</f>
        <v>0</v>
      </c>
      <c r="H336">
        <f>+_xlfn.XLOOKUP(CURVA[[#This Row],[Fecha]],AV_PLAN[Días],AV_PLAN[FECHA TERMINO REAL],"",0)</f>
        <v>0</v>
      </c>
      <c r="I336" s="13"/>
      <c r="J336">
        <f>+DAY(CURVA[[#This Row],[Fecha]])</f>
        <v>17</v>
      </c>
      <c r="K336" t="str">
        <f>+TEXT(CURVA[[#This Row],[Fecha]],"MMMM")</f>
        <v>enero</v>
      </c>
      <c r="L336">
        <f>+YEAR(CURVA[[#This Row],[Fecha]])</f>
        <v>2027</v>
      </c>
      <c r="M336" s="70">
        <f>CURVA[[#This Row],[% AVANCE REAL]]*MAX(CURVA[M2 Avance Programado])</f>
        <v>0</v>
      </c>
      <c r="N336" s="69">
        <f>IF(CURVA[[#This Row],[% AVANCE REAL]]="",0,M336-M335)</f>
        <v>0</v>
      </c>
    </row>
    <row r="337" spans="1:14" x14ac:dyDescent="0.25">
      <c r="A337" s="1">
        <v>46405</v>
      </c>
      <c r="B337" s="7">
        <v>0.71257102272727268</v>
      </c>
      <c r="C337" s="7">
        <v>2.4147727272727515E-3</v>
      </c>
      <c r="D337">
        <v>45</v>
      </c>
      <c r="E337" s="66">
        <v>15108.838882038332</v>
      </c>
      <c r="F337" s="66">
        <v>51.201088606529311</v>
      </c>
      <c r="G337">
        <f>+_xlfn.XLOOKUP(CURVA[[#This Row],[Fecha]],AV_PLAN[Días],AV_PLAN[INICIO REAL],"",0)</f>
        <v>0</v>
      </c>
      <c r="H337">
        <f>+_xlfn.XLOOKUP(CURVA[[#This Row],[Fecha]],AV_PLAN[Días],AV_PLAN[FECHA TERMINO REAL],"",0)</f>
        <v>0</v>
      </c>
      <c r="I337" s="13"/>
      <c r="J337">
        <f>+DAY(CURVA[[#This Row],[Fecha]])</f>
        <v>18</v>
      </c>
      <c r="K337" t="str">
        <f>+TEXT(CURVA[[#This Row],[Fecha]],"MMMM")</f>
        <v>enero</v>
      </c>
      <c r="L337">
        <f>+YEAR(CURVA[[#This Row],[Fecha]])</f>
        <v>2027</v>
      </c>
      <c r="M337" s="69">
        <f>CURVA[[#This Row],[% AVANCE REAL]]*MAX(CURVA[M2 Avance Programado])</f>
        <v>0</v>
      </c>
      <c r="N337" s="69">
        <f>IF(CURVA[[#This Row],[% AVANCE REAL]]="",0,M337-M336)</f>
        <v>0</v>
      </c>
    </row>
    <row r="338" spans="1:14" x14ac:dyDescent="0.25">
      <c r="A338" s="1">
        <v>46406</v>
      </c>
      <c r="B338" s="7">
        <v>0.71503314393939388</v>
      </c>
      <c r="C338" s="7">
        <v>2.4621212121211933E-3</v>
      </c>
      <c r="D338">
        <v>46</v>
      </c>
      <c r="E338" s="66">
        <v>15161.043913558717</v>
      </c>
      <c r="F338" s="66">
        <v>52.205031520381901</v>
      </c>
      <c r="G338">
        <f>+_xlfn.XLOOKUP(CURVA[[#This Row],[Fecha]],AV_PLAN[Días],AV_PLAN[INICIO REAL],"",0)</f>
        <v>0</v>
      </c>
      <c r="H338">
        <f>+_xlfn.XLOOKUP(CURVA[[#This Row],[Fecha]],AV_PLAN[Días],AV_PLAN[FECHA TERMINO REAL],"",0)</f>
        <v>0</v>
      </c>
      <c r="I338" s="13"/>
      <c r="J338">
        <f>+DAY(CURVA[[#This Row],[Fecha]])</f>
        <v>19</v>
      </c>
      <c r="K338" t="str">
        <f>+TEXT(CURVA[[#This Row],[Fecha]],"MMMM")</f>
        <v>enero</v>
      </c>
      <c r="L338">
        <f>+YEAR(CURVA[[#This Row],[Fecha]])</f>
        <v>2027</v>
      </c>
      <c r="M338" s="70">
        <f>CURVA[[#This Row],[% AVANCE REAL]]*MAX(CURVA[M2 Avance Programado])</f>
        <v>0</v>
      </c>
      <c r="N338" s="69">
        <f>IF(CURVA[[#This Row],[% AVANCE REAL]]="",0,M338-M337)</f>
        <v>0</v>
      </c>
    </row>
    <row r="339" spans="1:14" x14ac:dyDescent="0.25">
      <c r="A339" s="1">
        <v>46407</v>
      </c>
      <c r="B339" s="7">
        <v>0.71754261363636374</v>
      </c>
      <c r="C339" s="7">
        <v>2.5094696969698571E-3</v>
      </c>
      <c r="D339">
        <v>47</v>
      </c>
      <c r="E339" s="66">
        <v>15214.252887992956</v>
      </c>
      <c r="F339" s="66">
        <v>53.208974434239202</v>
      </c>
      <c r="G339">
        <f>+_xlfn.XLOOKUP(CURVA[[#This Row],[Fecha]],AV_PLAN[Días],AV_PLAN[INICIO REAL],"",0)</f>
        <v>0</v>
      </c>
      <c r="H339">
        <f>+_xlfn.XLOOKUP(CURVA[[#This Row],[Fecha]],AV_PLAN[Días],AV_PLAN[FECHA TERMINO REAL],"",0)</f>
        <v>0</v>
      </c>
      <c r="I339" s="13"/>
      <c r="J339">
        <f>+DAY(CURVA[[#This Row],[Fecha]])</f>
        <v>20</v>
      </c>
      <c r="K339" t="str">
        <f>+TEXT(CURVA[[#This Row],[Fecha]],"MMMM")</f>
        <v>enero</v>
      </c>
      <c r="L339">
        <f>+YEAR(CURVA[[#This Row],[Fecha]])</f>
        <v>2027</v>
      </c>
      <c r="M339" s="69">
        <f>CURVA[[#This Row],[% AVANCE REAL]]*MAX(CURVA[M2 Avance Programado])</f>
        <v>0</v>
      </c>
      <c r="N339" s="69">
        <f>IF(CURVA[[#This Row],[% AVANCE REAL]]="",0,M339-M338)</f>
        <v>0</v>
      </c>
    </row>
    <row r="340" spans="1:14" x14ac:dyDescent="0.25">
      <c r="A340" s="1">
        <v>46408</v>
      </c>
      <c r="B340" s="7">
        <v>0.72017045454545459</v>
      </c>
      <c r="C340" s="7">
        <v>2.6278409090908506E-3</v>
      </c>
      <c r="D340">
        <v>49</v>
      </c>
      <c r="E340" s="66">
        <v>15269.971719711824</v>
      </c>
      <c r="F340" s="66">
        <v>55.71883171886833</v>
      </c>
      <c r="G340">
        <f>+_xlfn.XLOOKUP(CURVA[[#This Row],[Fecha]],AV_PLAN[Días],AV_PLAN[INICIO REAL],"",0)</f>
        <v>0</v>
      </c>
      <c r="H340">
        <f>+_xlfn.XLOOKUP(CURVA[[#This Row],[Fecha]],AV_PLAN[Días],AV_PLAN[FECHA TERMINO REAL],"",0)</f>
        <v>0</v>
      </c>
      <c r="I340" s="13"/>
      <c r="J340">
        <f>+DAY(CURVA[[#This Row],[Fecha]])</f>
        <v>21</v>
      </c>
      <c r="K340" t="str">
        <f>+TEXT(CURVA[[#This Row],[Fecha]],"MMMM")</f>
        <v>enero</v>
      </c>
      <c r="L340">
        <f>+YEAR(CURVA[[#This Row],[Fecha]])</f>
        <v>2027</v>
      </c>
      <c r="M340" s="70">
        <f>CURVA[[#This Row],[% AVANCE REAL]]*MAX(CURVA[M2 Avance Programado])</f>
        <v>0</v>
      </c>
      <c r="N340" s="69">
        <f>IF(CURVA[[#This Row],[% AVANCE REAL]]="",0,M340-M339)</f>
        <v>0</v>
      </c>
    </row>
    <row r="341" spans="1:14" x14ac:dyDescent="0.25">
      <c r="A341" s="1">
        <v>46409</v>
      </c>
      <c r="B341" s="7">
        <v>0.72291666666666665</v>
      </c>
      <c r="C341" s="7">
        <v>2.746212121212066E-3</v>
      </c>
      <c r="D341">
        <v>51</v>
      </c>
      <c r="E341" s="66">
        <v>15328.200408715324</v>
      </c>
      <c r="F341" s="66">
        <v>58.228689003502168</v>
      </c>
      <c r="G341">
        <f>+_xlfn.XLOOKUP(CURVA[[#This Row],[Fecha]],AV_PLAN[Días],AV_PLAN[INICIO REAL],"",0)</f>
        <v>0</v>
      </c>
      <c r="H341">
        <f>+_xlfn.XLOOKUP(CURVA[[#This Row],[Fecha]],AV_PLAN[Días],AV_PLAN[FECHA TERMINO REAL],"",0)</f>
        <v>0</v>
      </c>
      <c r="I341" s="13"/>
      <c r="J341">
        <f>+DAY(CURVA[[#This Row],[Fecha]])</f>
        <v>22</v>
      </c>
      <c r="K341" t="str">
        <f>+TEXT(CURVA[[#This Row],[Fecha]],"MMMM")</f>
        <v>enero</v>
      </c>
      <c r="L341">
        <f>+YEAR(CURVA[[#This Row],[Fecha]])</f>
        <v>2027</v>
      </c>
      <c r="M341" s="69">
        <f>CURVA[[#This Row],[% AVANCE REAL]]*MAX(CURVA[M2 Avance Programado])</f>
        <v>0</v>
      </c>
      <c r="N341" s="69">
        <f>IF(CURVA[[#This Row],[% AVANCE REAL]]="",0,M341-M340)</f>
        <v>0</v>
      </c>
    </row>
    <row r="342" spans="1:14" x14ac:dyDescent="0.25">
      <c r="A342" s="1">
        <v>46410</v>
      </c>
      <c r="B342" s="7">
        <v>0.72575757575757593</v>
      </c>
      <c r="C342" s="7">
        <v>2.8409090909092827E-3</v>
      </c>
      <c r="D342">
        <v>49</v>
      </c>
      <c r="E342" s="66">
        <v>15388.43698354654</v>
      </c>
      <c r="F342" s="66">
        <v>60.236574831214419</v>
      </c>
      <c r="G342">
        <f>+_xlfn.XLOOKUP(CURVA[[#This Row],[Fecha]],AV_PLAN[Días],AV_PLAN[INICIO REAL],"",0)</f>
        <v>0</v>
      </c>
      <c r="H342">
        <f>+_xlfn.XLOOKUP(CURVA[[#This Row],[Fecha]],AV_PLAN[Días],AV_PLAN[FECHA TERMINO REAL],"",0)</f>
        <v>0</v>
      </c>
      <c r="I342" s="13"/>
      <c r="J342">
        <f>+DAY(CURVA[[#This Row],[Fecha]])</f>
        <v>23</v>
      </c>
      <c r="K342" t="str">
        <f>+TEXT(CURVA[[#This Row],[Fecha]],"MMMM")</f>
        <v>enero</v>
      </c>
      <c r="L342">
        <f>+YEAR(CURVA[[#This Row],[Fecha]])</f>
        <v>2027</v>
      </c>
      <c r="M342" s="70">
        <f>CURVA[[#This Row],[% AVANCE REAL]]*MAX(CURVA[M2 Avance Programado])</f>
        <v>0</v>
      </c>
      <c r="N342" s="69">
        <f>IF(CURVA[[#This Row],[% AVANCE REAL]]="",0,M342-M341)</f>
        <v>0</v>
      </c>
    </row>
    <row r="343" spans="1:14" x14ac:dyDescent="0.25">
      <c r="A343" s="1">
        <v>46411</v>
      </c>
      <c r="B343" s="7">
        <v>0.72859848484848522</v>
      </c>
      <c r="C343" s="7">
        <v>2.8409090909092827E-3</v>
      </c>
      <c r="D343">
        <v>49</v>
      </c>
      <c r="E343" s="66">
        <v>15448.673558377755</v>
      </c>
      <c r="F343" s="66">
        <v>60.236574831214419</v>
      </c>
      <c r="G343">
        <f>+_xlfn.XLOOKUP(CURVA[[#This Row],[Fecha]],AV_PLAN[Días],AV_PLAN[INICIO REAL],"",0)</f>
        <v>0</v>
      </c>
      <c r="H343">
        <f>+_xlfn.XLOOKUP(CURVA[[#This Row],[Fecha]],AV_PLAN[Días],AV_PLAN[FECHA TERMINO REAL],"",0)</f>
        <v>0</v>
      </c>
      <c r="I343" s="13"/>
      <c r="J343">
        <f>+DAY(CURVA[[#This Row],[Fecha]])</f>
        <v>24</v>
      </c>
      <c r="K343" t="str">
        <f>+TEXT(CURVA[[#This Row],[Fecha]],"MMMM")</f>
        <v>enero</v>
      </c>
      <c r="L343">
        <f>+YEAR(CURVA[[#This Row],[Fecha]])</f>
        <v>2027</v>
      </c>
      <c r="M343" s="69">
        <f>CURVA[[#This Row],[% AVANCE REAL]]*MAX(CURVA[M2 Avance Programado])</f>
        <v>0</v>
      </c>
      <c r="N343" s="69">
        <f>IF(CURVA[[#This Row],[% AVANCE REAL]]="",0,M343-M342)</f>
        <v>0</v>
      </c>
    </row>
    <row r="344" spans="1:14" x14ac:dyDescent="0.25">
      <c r="A344" s="1">
        <v>46412</v>
      </c>
      <c r="B344" s="7">
        <v>0.73136837121212084</v>
      </c>
      <c r="C344" s="7">
        <v>2.7698863636356208E-3</v>
      </c>
      <c r="D344">
        <v>51</v>
      </c>
      <c r="E344" s="66">
        <v>15507.404218838168</v>
      </c>
      <c r="F344" s="66">
        <v>58.730660460414335</v>
      </c>
      <c r="G344">
        <f>+_xlfn.XLOOKUP(CURVA[[#This Row],[Fecha]],AV_PLAN[Días],AV_PLAN[INICIO REAL],"",0)</f>
        <v>0</v>
      </c>
      <c r="H344">
        <f>+_xlfn.XLOOKUP(CURVA[[#This Row],[Fecha]],AV_PLAN[Días],AV_PLAN[FECHA TERMINO REAL],"",0)</f>
        <v>0</v>
      </c>
      <c r="I344" s="13"/>
      <c r="J344">
        <f>+DAY(CURVA[[#This Row],[Fecha]])</f>
        <v>25</v>
      </c>
      <c r="K344" t="str">
        <f>+TEXT(CURVA[[#This Row],[Fecha]],"MMMM")</f>
        <v>enero</v>
      </c>
      <c r="L344">
        <f>+YEAR(CURVA[[#This Row],[Fecha]])</f>
        <v>2027</v>
      </c>
      <c r="M344" s="70">
        <f>CURVA[[#This Row],[% AVANCE REAL]]*MAX(CURVA[M2 Avance Programado])</f>
        <v>0</v>
      </c>
      <c r="N344" s="69">
        <f>IF(CURVA[[#This Row],[% AVANCE REAL]]="",0,M344-M343)</f>
        <v>0</v>
      </c>
    </row>
    <row r="345" spans="1:14" x14ac:dyDescent="0.25">
      <c r="A345" s="1">
        <v>46413</v>
      </c>
      <c r="B345" s="7">
        <v>0.73425662878787845</v>
      </c>
      <c r="C345" s="7">
        <v>2.8882575757576134E-3</v>
      </c>
      <c r="D345">
        <v>53</v>
      </c>
      <c r="E345" s="66">
        <v>15568.644736583234</v>
      </c>
      <c r="F345" s="66">
        <v>61.240517745064651</v>
      </c>
      <c r="G345">
        <f>+_xlfn.XLOOKUP(CURVA[[#This Row],[Fecha]],AV_PLAN[Días],AV_PLAN[INICIO REAL],"",0)</f>
        <v>0</v>
      </c>
      <c r="H345">
        <f>+_xlfn.XLOOKUP(CURVA[[#This Row],[Fecha]],AV_PLAN[Días],AV_PLAN[FECHA TERMINO REAL],"",0)</f>
        <v>0</v>
      </c>
      <c r="I345" s="13"/>
      <c r="J345">
        <f>+DAY(CURVA[[#This Row],[Fecha]])</f>
        <v>26</v>
      </c>
      <c r="K345" t="str">
        <f>+TEXT(CURVA[[#This Row],[Fecha]],"MMMM")</f>
        <v>enero</v>
      </c>
      <c r="L345">
        <f>+YEAR(CURVA[[#This Row],[Fecha]])</f>
        <v>2027</v>
      </c>
      <c r="M345" s="69">
        <f>CURVA[[#This Row],[% AVANCE REAL]]*MAX(CURVA[M2 Avance Programado])</f>
        <v>0</v>
      </c>
      <c r="N345" s="69">
        <f>IF(CURVA[[#This Row],[% AVANCE REAL]]="",0,M345-M344)</f>
        <v>0</v>
      </c>
    </row>
    <row r="346" spans="1:14" x14ac:dyDescent="0.25">
      <c r="A346" s="1">
        <v>46414</v>
      </c>
      <c r="B346" s="7">
        <v>0.73716856060606051</v>
      </c>
      <c r="C346" s="7">
        <v>2.9119318181820564E-3</v>
      </c>
      <c r="D346">
        <v>54</v>
      </c>
      <c r="E346" s="66">
        <v>15630.387225785227</v>
      </c>
      <c r="F346" s="66">
        <v>61.742489201995653</v>
      </c>
      <c r="G346">
        <f>+_xlfn.XLOOKUP(CURVA[[#This Row],[Fecha]],AV_PLAN[Días],AV_PLAN[INICIO REAL],"",0)</f>
        <v>0</v>
      </c>
      <c r="H346">
        <f>+_xlfn.XLOOKUP(CURVA[[#This Row],[Fecha]],AV_PLAN[Días],AV_PLAN[FECHA TERMINO REAL],"",0)</f>
        <v>0</v>
      </c>
      <c r="I346" s="13"/>
      <c r="J346">
        <f>+DAY(CURVA[[#This Row],[Fecha]])</f>
        <v>27</v>
      </c>
      <c r="K346" t="str">
        <f>+TEXT(CURVA[[#This Row],[Fecha]],"MMMM")</f>
        <v>enero</v>
      </c>
      <c r="L346">
        <f>+YEAR(CURVA[[#This Row],[Fecha]])</f>
        <v>2027</v>
      </c>
      <c r="M346" s="70">
        <f>CURVA[[#This Row],[% AVANCE REAL]]*MAX(CURVA[M2 Avance Programado])</f>
        <v>0</v>
      </c>
      <c r="N346" s="69">
        <f>IF(CURVA[[#This Row],[% AVANCE REAL]]="",0,M346-M345)</f>
        <v>0</v>
      </c>
    </row>
    <row r="347" spans="1:14" x14ac:dyDescent="0.25">
      <c r="A347" s="1">
        <v>46415</v>
      </c>
      <c r="B347" s="7">
        <v>0.74000946969696979</v>
      </c>
      <c r="C347" s="7">
        <v>2.8409090909092827E-3</v>
      </c>
      <c r="D347">
        <v>53</v>
      </c>
      <c r="E347" s="66">
        <v>15690.623800616444</v>
      </c>
      <c r="F347" s="66">
        <v>60.236574831214419</v>
      </c>
      <c r="G347">
        <f>+_xlfn.XLOOKUP(CURVA[[#This Row],[Fecha]],AV_PLAN[Días],AV_PLAN[INICIO REAL],"",0)</f>
        <v>0</v>
      </c>
      <c r="H347">
        <f>+_xlfn.XLOOKUP(CURVA[[#This Row],[Fecha]],AV_PLAN[Días],AV_PLAN[FECHA TERMINO REAL],"",0)</f>
        <v>0</v>
      </c>
      <c r="I347" s="13"/>
      <c r="J347">
        <f>+DAY(CURVA[[#This Row],[Fecha]])</f>
        <v>28</v>
      </c>
      <c r="K347" t="str">
        <f>+TEXT(CURVA[[#This Row],[Fecha]],"MMMM")</f>
        <v>enero</v>
      </c>
      <c r="L347">
        <f>+YEAR(CURVA[[#This Row],[Fecha]])</f>
        <v>2027</v>
      </c>
      <c r="M347" s="69">
        <f>CURVA[[#This Row],[% AVANCE REAL]]*MAX(CURVA[M2 Avance Programado])</f>
        <v>0</v>
      </c>
      <c r="N347" s="69">
        <f>IF(CURVA[[#This Row],[% AVANCE REAL]]="",0,M347-M346)</f>
        <v>0</v>
      </c>
    </row>
    <row r="348" spans="1:14" x14ac:dyDescent="0.25">
      <c r="A348" s="1">
        <v>46416</v>
      </c>
      <c r="B348" s="7">
        <v>0.74292140151515185</v>
      </c>
      <c r="C348" s="7">
        <v>2.9119318181820564E-3</v>
      </c>
      <c r="D348">
        <v>54</v>
      </c>
      <c r="E348" s="66">
        <v>15752.366289818439</v>
      </c>
      <c r="F348" s="66">
        <v>61.742489201995653</v>
      </c>
      <c r="G348">
        <f>+_xlfn.XLOOKUP(CURVA[[#This Row],[Fecha]],AV_PLAN[Días],AV_PLAN[INICIO REAL],"",0)</f>
        <v>0</v>
      </c>
      <c r="H348">
        <f>+_xlfn.XLOOKUP(CURVA[[#This Row],[Fecha]],AV_PLAN[Días],AV_PLAN[FECHA TERMINO REAL],"",0)</f>
        <v>0</v>
      </c>
      <c r="I348" s="13"/>
      <c r="J348">
        <f>+DAY(CURVA[[#This Row],[Fecha]])</f>
        <v>29</v>
      </c>
      <c r="K348" t="str">
        <f>+TEXT(CURVA[[#This Row],[Fecha]],"MMMM")</f>
        <v>enero</v>
      </c>
      <c r="L348">
        <f>+YEAR(CURVA[[#This Row],[Fecha]])</f>
        <v>2027</v>
      </c>
      <c r="M348" s="70">
        <f>CURVA[[#This Row],[% AVANCE REAL]]*MAX(CURVA[M2 Avance Programado])</f>
        <v>0</v>
      </c>
      <c r="N348" s="69">
        <f>IF(CURVA[[#This Row],[% AVANCE REAL]]="",0,M348-M347)</f>
        <v>0</v>
      </c>
    </row>
    <row r="349" spans="1:14" x14ac:dyDescent="0.25">
      <c r="A349" s="1">
        <v>46417</v>
      </c>
      <c r="B349" s="7">
        <v>0.74597537878787845</v>
      </c>
      <c r="C349" s="7">
        <v>3.0539772727266046E-3</v>
      </c>
      <c r="D349">
        <v>53</v>
      </c>
      <c r="E349" s="66">
        <v>15817.120607761975</v>
      </c>
      <c r="F349" s="66">
        <v>64.754317943536961</v>
      </c>
      <c r="G349">
        <f>+_xlfn.XLOOKUP(CURVA[[#This Row],[Fecha]],AV_PLAN[Días],AV_PLAN[INICIO REAL],"",0)</f>
        <v>0</v>
      </c>
      <c r="H349">
        <f>+_xlfn.XLOOKUP(CURVA[[#This Row],[Fecha]],AV_PLAN[Días],AV_PLAN[FECHA TERMINO REAL],"",0)</f>
        <v>0</v>
      </c>
      <c r="I349" s="13"/>
      <c r="J349">
        <f>+DAY(CURVA[[#This Row],[Fecha]])</f>
        <v>30</v>
      </c>
      <c r="K349" t="str">
        <f>+TEXT(CURVA[[#This Row],[Fecha]],"MMMM")</f>
        <v>enero</v>
      </c>
      <c r="L349">
        <f>+YEAR(CURVA[[#This Row],[Fecha]])</f>
        <v>2027</v>
      </c>
      <c r="M349" s="69">
        <f>CURVA[[#This Row],[% AVANCE REAL]]*MAX(CURVA[M2 Avance Programado])</f>
        <v>0</v>
      </c>
      <c r="N349" s="69">
        <f>IF(CURVA[[#This Row],[% AVANCE REAL]]="",0,M349-M348)</f>
        <v>0</v>
      </c>
    </row>
    <row r="350" spans="1:14" x14ac:dyDescent="0.25">
      <c r="A350" s="1">
        <v>46418</v>
      </c>
      <c r="B350" s="7">
        <v>0.74902935606060594</v>
      </c>
      <c r="C350" s="7">
        <v>3.0539772727274928E-3</v>
      </c>
      <c r="D350">
        <v>53</v>
      </c>
      <c r="E350" s="66">
        <v>15881.874925705531</v>
      </c>
      <c r="F350" s="66">
        <v>64.75431794355579</v>
      </c>
      <c r="G350">
        <f>+_xlfn.XLOOKUP(CURVA[[#This Row],[Fecha]],AV_PLAN[Días],AV_PLAN[INICIO REAL],"",0)</f>
        <v>0</v>
      </c>
      <c r="H350">
        <f>+_xlfn.XLOOKUP(CURVA[[#This Row],[Fecha]],AV_PLAN[Días],AV_PLAN[FECHA TERMINO REAL],"",0)</f>
        <v>0</v>
      </c>
      <c r="I350" s="13"/>
      <c r="J350">
        <f>+DAY(CURVA[[#This Row],[Fecha]])</f>
        <v>31</v>
      </c>
      <c r="K350" t="str">
        <f>+TEXT(CURVA[[#This Row],[Fecha]],"MMMM")</f>
        <v>enero</v>
      </c>
      <c r="L350">
        <f>+YEAR(CURVA[[#This Row],[Fecha]])</f>
        <v>2027</v>
      </c>
      <c r="M350" s="70">
        <f>CURVA[[#This Row],[% AVANCE REAL]]*MAX(CURVA[M2 Avance Programado])</f>
        <v>0</v>
      </c>
      <c r="N350" s="69">
        <f>IF(CURVA[[#This Row],[% AVANCE REAL]]="",0,M350-M349)</f>
        <v>0</v>
      </c>
    </row>
    <row r="351" spans="1:14" x14ac:dyDescent="0.25">
      <c r="A351" s="1">
        <v>46419</v>
      </c>
      <c r="B351" s="7">
        <v>0.752012310606061</v>
      </c>
      <c r="C351" s="7">
        <v>2.9829545454550521E-3</v>
      </c>
      <c r="D351">
        <v>55</v>
      </c>
      <c r="E351" s="66">
        <v>15945.123329278314</v>
      </c>
      <c r="F351" s="66">
        <v>63.248403572781605</v>
      </c>
      <c r="G351">
        <f>+_xlfn.XLOOKUP(CURVA[[#This Row],[Fecha]],AV_PLAN[Días],AV_PLAN[INICIO REAL],"",0)</f>
        <v>0</v>
      </c>
      <c r="H351">
        <f>+_xlfn.XLOOKUP(CURVA[[#This Row],[Fecha]],AV_PLAN[Días],AV_PLAN[FECHA TERMINO REAL],"",0)</f>
        <v>0</v>
      </c>
      <c r="I351" s="13"/>
      <c r="J351">
        <f>+DAY(CURVA[[#This Row],[Fecha]])</f>
        <v>1</v>
      </c>
      <c r="K351" t="str">
        <f>+TEXT(CURVA[[#This Row],[Fecha]],"MMMM")</f>
        <v>febrero</v>
      </c>
      <c r="L351">
        <f>+YEAR(CURVA[[#This Row],[Fecha]])</f>
        <v>2027</v>
      </c>
      <c r="M351" s="69">
        <f>CURVA[[#This Row],[% AVANCE REAL]]*MAX(CURVA[M2 Avance Programado])</f>
        <v>0</v>
      </c>
      <c r="N351" s="69">
        <f>IF(CURVA[[#This Row],[% AVANCE REAL]]="",0,M351-M350)</f>
        <v>0</v>
      </c>
    </row>
    <row r="352" spans="1:14" x14ac:dyDescent="0.25">
      <c r="A352" s="1">
        <v>46420</v>
      </c>
      <c r="B352" s="7">
        <v>0.75501893939393916</v>
      </c>
      <c r="C352" s="7">
        <v>3.0066287878781628E-3</v>
      </c>
      <c r="D352">
        <v>56</v>
      </c>
      <c r="E352" s="66">
        <v>16008.873704307998</v>
      </c>
      <c r="F352" s="66">
        <v>63.750375029684363</v>
      </c>
      <c r="G352">
        <f>+_xlfn.XLOOKUP(CURVA[[#This Row],[Fecha]],AV_PLAN[Días],AV_PLAN[INICIO REAL],"",0)</f>
        <v>0</v>
      </c>
      <c r="H352">
        <f>+_xlfn.XLOOKUP(CURVA[[#This Row],[Fecha]],AV_PLAN[Días],AV_PLAN[FECHA TERMINO REAL],"",0)</f>
        <v>0</v>
      </c>
      <c r="I352" s="13"/>
      <c r="J352">
        <f>+DAY(CURVA[[#This Row],[Fecha]])</f>
        <v>2</v>
      </c>
      <c r="K352" t="str">
        <f>+TEXT(CURVA[[#This Row],[Fecha]],"MMMM")</f>
        <v>febrero</v>
      </c>
      <c r="L352">
        <f>+YEAR(CURVA[[#This Row],[Fecha]])</f>
        <v>2027</v>
      </c>
      <c r="M352" s="70">
        <f>CURVA[[#This Row],[% AVANCE REAL]]*MAX(CURVA[M2 Avance Programado])</f>
        <v>0</v>
      </c>
      <c r="N352" s="69">
        <f>IF(CURVA[[#This Row],[% AVANCE REAL]]="",0,M352-M351)</f>
        <v>0</v>
      </c>
    </row>
    <row r="353" spans="1:14" x14ac:dyDescent="0.25">
      <c r="A353" s="1">
        <v>46421</v>
      </c>
      <c r="B353" s="7">
        <v>0.75804924242424221</v>
      </c>
      <c r="C353" s="7">
        <v>3.0303030303030498E-3</v>
      </c>
      <c r="D353">
        <v>57</v>
      </c>
      <c r="E353" s="66">
        <v>16073.126050794624</v>
      </c>
      <c r="F353" s="66">
        <v>64.252346486624788</v>
      </c>
      <c r="G353">
        <f>+_xlfn.XLOOKUP(CURVA[[#This Row],[Fecha]],AV_PLAN[Días],AV_PLAN[INICIO REAL],"",0)</f>
        <v>0</v>
      </c>
      <c r="H353">
        <f>+_xlfn.XLOOKUP(CURVA[[#This Row],[Fecha]],AV_PLAN[Días],AV_PLAN[FECHA TERMINO REAL],"",0)</f>
        <v>0</v>
      </c>
      <c r="I353" s="13"/>
      <c r="J353">
        <f>+DAY(CURVA[[#This Row],[Fecha]])</f>
        <v>3</v>
      </c>
      <c r="K353" t="str">
        <f>+TEXT(CURVA[[#This Row],[Fecha]],"MMMM")</f>
        <v>febrero</v>
      </c>
      <c r="L353">
        <f>+YEAR(CURVA[[#This Row],[Fecha]])</f>
        <v>2027</v>
      </c>
      <c r="M353" s="69">
        <f>CURVA[[#This Row],[% AVANCE REAL]]*MAX(CURVA[M2 Avance Programado])</f>
        <v>0</v>
      </c>
      <c r="N353" s="69">
        <f>IF(CURVA[[#This Row],[% AVANCE REAL]]="",0,M353-M352)</f>
        <v>0</v>
      </c>
    </row>
    <row r="354" spans="1:14" x14ac:dyDescent="0.25">
      <c r="A354" s="1">
        <v>46422</v>
      </c>
      <c r="B354" s="7">
        <v>0.76110321969696959</v>
      </c>
      <c r="C354" s="7">
        <v>3.0539772727273817E-3</v>
      </c>
      <c r="D354">
        <v>57</v>
      </c>
      <c r="E354" s="66">
        <v>16137.880368738175</v>
      </c>
      <c r="F354" s="66">
        <v>64.754317943553431</v>
      </c>
      <c r="G354">
        <f>+_xlfn.XLOOKUP(CURVA[[#This Row],[Fecha]],AV_PLAN[Días],AV_PLAN[INICIO REAL],"",0)</f>
        <v>0</v>
      </c>
      <c r="H354">
        <f>+_xlfn.XLOOKUP(CURVA[[#This Row],[Fecha]],AV_PLAN[Días],AV_PLAN[FECHA TERMINO REAL],"",0)</f>
        <v>0</v>
      </c>
      <c r="I354" s="13"/>
      <c r="J354">
        <f>+DAY(CURVA[[#This Row],[Fecha]])</f>
        <v>4</v>
      </c>
      <c r="K354" t="str">
        <f>+TEXT(CURVA[[#This Row],[Fecha]],"MMMM")</f>
        <v>febrero</v>
      </c>
      <c r="L354">
        <f>+YEAR(CURVA[[#This Row],[Fecha]])</f>
        <v>2027</v>
      </c>
      <c r="M354" s="70">
        <f>CURVA[[#This Row],[% AVANCE REAL]]*MAX(CURVA[M2 Avance Programado])</f>
        <v>0</v>
      </c>
      <c r="N354" s="69">
        <f>IF(CURVA[[#This Row],[% AVANCE REAL]]="",0,M354-M353)</f>
        <v>0</v>
      </c>
    </row>
    <row r="355" spans="1:14" x14ac:dyDescent="0.25">
      <c r="A355" s="1">
        <v>46423</v>
      </c>
      <c r="B355" s="7">
        <v>0.76418087121212142</v>
      </c>
      <c r="C355" s="7">
        <v>3.0776515151518247E-3</v>
      </c>
      <c r="D355">
        <v>57</v>
      </c>
      <c r="E355" s="66">
        <v>16203.136658138659</v>
      </c>
      <c r="F355" s="66">
        <v>65.256289400484434</v>
      </c>
      <c r="G355">
        <f>+_xlfn.XLOOKUP(CURVA[[#This Row],[Fecha]],AV_PLAN[Días],AV_PLAN[INICIO REAL],"",0)</f>
        <v>0</v>
      </c>
      <c r="H355">
        <f>+_xlfn.XLOOKUP(CURVA[[#This Row],[Fecha]],AV_PLAN[Días],AV_PLAN[FECHA TERMINO REAL],"",0)</f>
        <v>0</v>
      </c>
      <c r="I355" s="13"/>
      <c r="J355">
        <f>+DAY(CURVA[[#This Row],[Fecha]])</f>
        <v>5</v>
      </c>
      <c r="K355" t="str">
        <f>+TEXT(CURVA[[#This Row],[Fecha]],"MMMM")</f>
        <v>febrero</v>
      </c>
      <c r="L355">
        <f>+YEAR(CURVA[[#This Row],[Fecha]])</f>
        <v>2027</v>
      </c>
      <c r="M355" s="69">
        <f>CURVA[[#This Row],[% AVANCE REAL]]*MAX(CURVA[M2 Avance Programado])</f>
        <v>0</v>
      </c>
      <c r="N355" s="69">
        <f>IF(CURVA[[#This Row],[% AVANCE REAL]]="",0,M355-M354)</f>
        <v>0</v>
      </c>
    </row>
    <row r="356" spans="1:14" x14ac:dyDescent="0.25">
      <c r="A356" s="1">
        <v>46424</v>
      </c>
      <c r="B356" s="7">
        <v>0.76737689393939401</v>
      </c>
      <c r="C356" s="7">
        <v>3.1960227272725961E-3</v>
      </c>
      <c r="D356">
        <v>56</v>
      </c>
      <c r="E356" s="66">
        <v>16270.902804823769</v>
      </c>
      <c r="F356" s="66">
        <v>67.766146685108865</v>
      </c>
      <c r="G356">
        <f>+_xlfn.XLOOKUP(CURVA[[#This Row],[Fecha]],AV_PLAN[Días],AV_PLAN[INICIO REAL],"",0)</f>
        <v>0</v>
      </c>
      <c r="H356">
        <f>+_xlfn.XLOOKUP(CURVA[[#This Row],[Fecha]],AV_PLAN[Días],AV_PLAN[FECHA TERMINO REAL],"",0)</f>
        <v>0</v>
      </c>
      <c r="I356" s="13"/>
      <c r="J356">
        <f>+DAY(CURVA[[#This Row],[Fecha]])</f>
        <v>6</v>
      </c>
      <c r="K356" t="str">
        <f>+TEXT(CURVA[[#This Row],[Fecha]],"MMMM")</f>
        <v>febrero</v>
      </c>
      <c r="L356">
        <f>+YEAR(CURVA[[#This Row],[Fecha]])</f>
        <v>2027</v>
      </c>
      <c r="M356" s="70">
        <f>CURVA[[#This Row],[% AVANCE REAL]]*MAX(CURVA[M2 Avance Programado])</f>
        <v>0</v>
      </c>
      <c r="N356" s="69">
        <f>IF(CURVA[[#This Row],[% AVANCE REAL]]="",0,M356-M355)</f>
        <v>0</v>
      </c>
    </row>
    <row r="357" spans="1:14" x14ac:dyDescent="0.25">
      <c r="A357" s="1">
        <v>46425</v>
      </c>
      <c r="B357" s="7">
        <v>0.77052556818181828</v>
      </c>
      <c r="C357" s="7">
        <v>3.1486742424242653E-3</v>
      </c>
      <c r="D357">
        <v>55</v>
      </c>
      <c r="E357" s="66">
        <v>16337.665008595028</v>
      </c>
      <c r="F357" s="66">
        <v>66.762203771258612</v>
      </c>
      <c r="G357">
        <f>+_xlfn.XLOOKUP(CURVA[[#This Row],[Fecha]],AV_PLAN[Días],AV_PLAN[INICIO REAL],"",0)</f>
        <v>0</v>
      </c>
      <c r="H357">
        <f>+_xlfn.XLOOKUP(CURVA[[#This Row],[Fecha]],AV_PLAN[Días],AV_PLAN[FECHA TERMINO REAL],"",0)</f>
        <v>0</v>
      </c>
      <c r="I357" s="13"/>
      <c r="J357">
        <f>+DAY(CURVA[[#This Row],[Fecha]])</f>
        <v>7</v>
      </c>
      <c r="K357" t="str">
        <f>+TEXT(CURVA[[#This Row],[Fecha]],"MMMM")</f>
        <v>febrero</v>
      </c>
      <c r="L357">
        <f>+YEAR(CURVA[[#This Row],[Fecha]])</f>
        <v>2027</v>
      </c>
      <c r="M357" s="69">
        <f>CURVA[[#This Row],[% AVANCE REAL]]*MAX(CURVA[M2 Avance Programado])</f>
        <v>0</v>
      </c>
      <c r="N357" s="69">
        <f>IF(CURVA[[#This Row],[% AVANCE REAL]]="",0,M357-M356)</f>
        <v>0</v>
      </c>
    </row>
    <row r="358" spans="1:14" x14ac:dyDescent="0.25">
      <c r="A358" s="1">
        <v>46426</v>
      </c>
      <c r="B358" s="7">
        <v>0.77343750000000033</v>
      </c>
      <c r="C358" s="7">
        <v>2.9119318181820564E-3</v>
      </c>
      <c r="D358">
        <v>54</v>
      </c>
      <c r="E358" s="66">
        <v>16399.407497797023</v>
      </c>
      <c r="F358" s="66">
        <v>61.742489201995653</v>
      </c>
      <c r="G358">
        <f>+_xlfn.XLOOKUP(CURVA[[#This Row],[Fecha]],AV_PLAN[Días],AV_PLAN[INICIO REAL],"",0)</f>
        <v>0</v>
      </c>
      <c r="H358">
        <f>+_xlfn.XLOOKUP(CURVA[[#This Row],[Fecha]],AV_PLAN[Días],AV_PLAN[FECHA TERMINO REAL],"",0)</f>
        <v>0</v>
      </c>
      <c r="I358" s="13"/>
      <c r="J358">
        <f>+DAY(CURVA[[#This Row],[Fecha]])</f>
        <v>8</v>
      </c>
      <c r="K358" t="str">
        <f>+TEXT(CURVA[[#This Row],[Fecha]],"MMMM")</f>
        <v>febrero</v>
      </c>
      <c r="L358">
        <f>+YEAR(CURVA[[#This Row],[Fecha]])</f>
        <v>2027</v>
      </c>
      <c r="M358" s="70">
        <f>CURVA[[#This Row],[% AVANCE REAL]]*MAX(CURVA[M2 Avance Programado])</f>
        <v>0</v>
      </c>
      <c r="N358" s="69">
        <f>IF(CURVA[[#This Row],[% AVANCE REAL]]="",0,M358-M357)</f>
        <v>0</v>
      </c>
    </row>
    <row r="359" spans="1:14" x14ac:dyDescent="0.25">
      <c r="A359" s="1">
        <v>46427</v>
      </c>
      <c r="B359" s="7">
        <v>0.77637310606060561</v>
      </c>
      <c r="C359" s="7">
        <v>2.9356060606052781E-3</v>
      </c>
      <c r="D359">
        <v>55</v>
      </c>
      <c r="E359" s="66">
        <v>16461.651958455925</v>
      </c>
      <c r="F359" s="66">
        <v>62.244460658900763</v>
      </c>
      <c r="G359">
        <f>+_xlfn.XLOOKUP(CURVA[[#This Row],[Fecha]],AV_PLAN[Días],AV_PLAN[INICIO REAL],"",0)</f>
        <v>0</v>
      </c>
      <c r="H359">
        <f>+_xlfn.XLOOKUP(CURVA[[#This Row],[Fecha]],AV_PLAN[Días],AV_PLAN[FECHA TERMINO REAL],"",0)</f>
        <v>0</v>
      </c>
      <c r="I359" s="13"/>
      <c r="J359">
        <f>+DAY(CURVA[[#This Row],[Fecha]])</f>
        <v>9</v>
      </c>
      <c r="K359" t="str">
        <f>+TEXT(CURVA[[#This Row],[Fecha]],"MMMM")</f>
        <v>febrero</v>
      </c>
      <c r="L359">
        <f>+YEAR(CURVA[[#This Row],[Fecha]])</f>
        <v>2027</v>
      </c>
      <c r="M359" s="69">
        <f>CURVA[[#This Row],[% AVANCE REAL]]*MAX(CURVA[M2 Avance Programado])</f>
        <v>0</v>
      </c>
      <c r="N359" s="69">
        <f>IF(CURVA[[#This Row],[% AVANCE REAL]]="",0,M359-M358)</f>
        <v>0</v>
      </c>
    </row>
    <row r="360" spans="1:14" x14ac:dyDescent="0.25">
      <c r="A360" s="1">
        <v>46428</v>
      </c>
      <c r="B360" s="7">
        <v>0.7794270833333331</v>
      </c>
      <c r="C360" s="7">
        <v>3.0539772727274928E-3</v>
      </c>
      <c r="D360">
        <v>57</v>
      </c>
      <c r="E360" s="66">
        <v>16526.406276399481</v>
      </c>
      <c r="F360" s="66">
        <v>64.75431794355579</v>
      </c>
      <c r="G360">
        <f>+_xlfn.XLOOKUP(CURVA[[#This Row],[Fecha]],AV_PLAN[Días],AV_PLAN[INICIO REAL],"",0)</f>
        <v>0</v>
      </c>
      <c r="H360">
        <f>+_xlfn.XLOOKUP(CURVA[[#This Row],[Fecha]],AV_PLAN[Días],AV_PLAN[FECHA TERMINO REAL],"",0)</f>
        <v>0</v>
      </c>
      <c r="I360" s="13"/>
      <c r="J360">
        <f>+DAY(CURVA[[#This Row],[Fecha]])</f>
        <v>10</v>
      </c>
      <c r="K360" t="str">
        <f>+TEXT(CURVA[[#This Row],[Fecha]],"MMMM")</f>
        <v>febrero</v>
      </c>
      <c r="L360">
        <f>+YEAR(CURVA[[#This Row],[Fecha]])</f>
        <v>2027</v>
      </c>
      <c r="M360" s="70">
        <f>CURVA[[#This Row],[% AVANCE REAL]]*MAX(CURVA[M2 Avance Programado])</f>
        <v>0</v>
      </c>
      <c r="N360" s="69">
        <f>IF(CURVA[[#This Row],[% AVANCE REAL]]="",0,M360-M359)</f>
        <v>0</v>
      </c>
    </row>
    <row r="361" spans="1:14" x14ac:dyDescent="0.25">
      <c r="A361" s="1">
        <v>46429</v>
      </c>
      <c r="B361" s="7">
        <v>0.78250473484848482</v>
      </c>
      <c r="C361" s="7">
        <v>3.0776515151517136E-3</v>
      </c>
      <c r="D361">
        <v>57</v>
      </c>
      <c r="E361" s="66">
        <v>16591.662565799961</v>
      </c>
      <c r="F361" s="66">
        <v>65.256289400482089</v>
      </c>
      <c r="G361">
        <f>+_xlfn.XLOOKUP(CURVA[[#This Row],[Fecha]],AV_PLAN[Días],AV_PLAN[INICIO REAL],"",0)</f>
        <v>0</v>
      </c>
      <c r="H361">
        <f>+_xlfn.XLOOKUP(CURVA[[#This Row],[Fecha]],AV_PLAN[Días],AV_PLAN[FECHA TERMINO REAL],"",0)</f>
        <v>0</v>
      </c>
      <c r="I361" s="13"/>
      <c r="J361">
        <f>+DAY(CURVA[[#This Row],[Fecha]])</f>
        <v>11</v>
      </c>
      <c r="K361" t="str">
        <f>+TEXT(CURVA[[#This Row],[Fecha]],"MMMM")</f>
        <v>febrero</v>
      </c>
      <c r="L361">
        <f>+YEAR(CURVA[[#This Row],[Fecha]])</f>
        <v>2027</v>
      </c>
      <c r="M361" s="69">
        <f>CURVA[[#This Row],[% AVANCE REAL]]*MAX(CURVA[M2 Avance Programado])</f>
        <v>0</v>
      </c>
      <c r="N361" s="69">
        <f>IF(CURVA[[#This Row],[% AVANCE REAL]]="",0,M361-M360)</f>
        <v>0</v>
      </c>
    </row>
    <row r="362" spans="1:14" x14ac:dyDescent="0.25">
      <c r="A362" s="1">
        <v>46430</v>
      </c>
      <c r="B362" s="7">
        <v>0.78555871212121242</v>
      </c>
      <c r="C362" s="7">
        <v>3.0539772727276038E-3</v>
      </c>
      <c r="D362">
        <v>57</v>
      </c>
      <c r="E362" s="66">
        <v>16656.416883743521</v>
      </c>
      <c r="F362" s="66">
        <v>64.754317943558135</v>
      </c>
      <c r="G362">
        <f>+_xlfn.XLOOKUP(CURVA[[#This Row],[Fecha]],AV_PLAN[Días],AV_PLAN[INICIO REAL],"",0)</f>
        <v>0</v>
      </c>
      <c r="H362">
        <f>+_xlfn.XLOOKUP(CURVA[[#This Row],[Fecha]],AV_PLAN[Días],AV_PLAN[FECHA TERMINO REAL],"",0)</f>
        <v>0</v>
      </c>
      <c r="I362" s="13"/>
      <c r="J362">
        <f>+DAY(CURVA[[#This Row],[Fecha]])</f>
        <v>12</v>
      </c>
      <c r="K362" t="str">
        <f>+TEXT(CURVA[[#This Row],[Fecha]],"MMMM")</f>
        <v>febrero</v>
      </c>
      <c r="L362">
        <f>+YEAR(CURVA[[#This Row],[Fecha]])</f>
        <v>2027</v>
      </c>
      <c r="M362" s="70">
        <f>CURVA[[#This Row],[% AVANCE REAL]]*MAX(CURVA[M2 Avance Programado])</f>
        <v>0</v>
      </c>
      <c r="N362" s="69">
        <f>IF(CURVA[[#This Row],[% AVANCE REAL]]="",0,M362-M361)</f>
        <v>0</v>
      </c>
    </row>
    <row r="363" spans="1:14" x14ac:dyDescent="0.25">
      <c r="A363" s="1">
        <v>46431</v>
      </c>
      <c r="B363" s="7">
        <v>0.7887310606060608</v>
      </c>
      <c r="C363" s="7">
        <v>3.1723484848483752E-3</v>
      </c>
      <c r="D363">
        <v>56</v>
      </c>
      <c r="E363" s="66">
        <v>16723.681058971702</v>
      </c>
      <c r="F363" s="66">
        <v>67.264175228182566</v>
      </c>
      <c r="G363">
        <f>+_xlfn.XLOOKUP(CURVA[[#This Row],[Fecha]],AV_PLAN[Días],AV_PLAN[INICIO REAL],"",0)</f>
        <v>0</v>
      </c>
      <c r="H363">
        <f>+_xlfn.XLOOKUP(CURVA[[#This Row],[Fecha]],AV_PLAN[Días],AV_PLAN[FECHA TERMINO REAL],"",0)</f>
        <v>0</v>
      </c>
      <c r="I363" s="13"/>
      <c r="J363">
        <f>+DAY(CURVA[[#This Row],[Fecha]])</f>
        <v>13</v>
      </c>
      <c r="K363" t="str">
        <f>+TEXT(CURVA[[#This Row],[Fecha]],"MMMM")</f>
        <v>febrero</v>
      </c>
      <c r="L363">
        <f>+YEAR(CURVA[[#This Row],[Fecha]])</f>
        <v>2027</v>
      </c>
      <c r="M363" s="69">
        <f>CURVA[[#This Row],[% AVANCE REAL]]*MAX(CURVA[M2 Avance Programado])</f>
        <v>0</v>
      </c>
      <c r="N363" s="69">
        <f>IF(CURVA[[#This Row],[% AVANCE REAL]]="",0,M363-M362)</f>
        <v>0</v>
      </c>
    </row>
    <row r="364" spans="1:14" x14ac:dyDescent="0.25">
      <c r="A364" s="1">
        <v>46432</v>
      </c>
      <c r="B364" s="7">
        <v>0.79180871212121207</v>
      </c>
      <c r="C364" s="7">
        <v>3.0776515151512696E-3</v>
      </c>
      <c r="D364">
        <v>54</v>
      </c>
      <c r="E364" s="66">
        <v>16788.937348372176</v>
      </c>
      <c r="F364" s="66">
        <v>65.256289400472667</v>
      </c>
      <c r="G364">
        <f>+_xlfn.XLOOKUP(CURVA[[#This Row],[Fecha]],AV_PLAN[Días],AV_PLAN[INICIO REAL],"",0)</f>
        <v>0</v>
      </c>
      <c r="H364">
        <f>+_xlfn.XLOOKUP(CURVA[[#This Row],[Fecha]],AV_PLAN[Días],AV_PLAN[FECHA TERMINO REAL],"",0)</f>
        <v>0</v>
      </c>
      <c r="I364" s="13"/>
      <c r="J364">
        <f>+DAY(CURVA[[#This Row],[Fecha]])</f>
        <v>14</v>
      </c>
      <c r="K364" t="str">
        <f>+TEXT(CURVA[[#This Row],[Fecha]],"MMMM")</f>
        <v>febrero</v>
      </c>
      <c r="L364">
        <f>+YEAR(CURVA[[#This Row],[Fecha]])</f>
        <v>2027</v>
      </c>
      <c r="M364" s="70">
        <f>CURVA[[#This Row],[% AVANCE REAL]]*MAX(CURVA[M2 Avance Programado])</f>
        <v>0</v>
      </c>
      <c r="N364" s="69">
        <f>IF(CURVA[[#This Row],[% AVANCE REAL]]="",0,M364-M363)</f>
        <v>0</v>
      </c>
    </row>
    <row r="365" spans="1:14" x14ac:dyDescent="0.25">
      <c r="A365" s="1">
        <v>46433</v>
      </c>
      <c r="B365" s="7">
        <v>0.79464962121212135</v>
      </c>
      <c r="C365" s="7">
        <v>2.8409090909092827E-3</v>
      </c>
      <c r="D365">
        <v>53</v>
      </c>
      <c r="E365" s="66">
        <v>16849.173923203391</v>
      </c>
      <c r="F365" s="66">
        <v>60.236574831214419</v>
      </c>
      <c r="G365">
        <f>+_xlfn.XLOOKUP(CURVA[[#This Row],[Fecha]],AV_PLAN[Días],AV_PLAN[INICIO REAL],"",0)</f>
        <v>0</v>
      </c>
      <c r="H365">
        <f>+_xlfn.XLOOKUP(CURVA[[#This Row],[Fecha]],AV_PLAN[Días],AV_PLAN[FECHA TERMINO REAL],"",0)</f>
        <v>0</v>
      </c>
      <c r="I365" s="13"/>
      <c r="J365">
        <f>+DAY(CURVA[[#This Row],[Fecha]])</f>
        <v>15</v>
      </c>
      <c r="K365" t="str">
        <f>+TEXT(CURVA[[#This Row],[Fecha]],"MMMM")</f>
        <v>febrero</v>
      </c>
      <c r="L365">
        <f>+YEAR(CURVA[[#This Row],[Fecha]])</f>
        <v>2027</v>
      </c>
      <c r="M365" s="69">
        <f>CURVA[[#This Row],[% AVANCE REAL]]*MAX(CURVA[M2 Avance Programado])</f>
        <v>0</v>
      </c>
      <c r="N365" s="69">
        <f>IF(CURVA[[#This Row],[% AVANCE REAL]]="",0,M365-M364)</f>
        <v>0</v>
      </c>
    </row>
    <row r="366" spans="1:14" x14ac:dyDescent="0.25">
      <c r="A366" s="1">
        <v>46434</v>
      </c>
      <c r="B366" s="7">
        <v>0.79760890151515129</v>
      </c>
      <c r="C366" s="7">
        <v>2.959280303029943E-3</v>
      </c>
      <c r="D366">
        <v>55</v>
      </c>
      <c r="E366" s="66">
        <v>16911.920355319227</v>
      </c>
      <c r="F366" s="66">
        <v>62.746432115836477</v>
      </c>
      <c r="G366">
        <f>+_xlfn.XLOOKUP(CURVA[[#This Row],[Fecha]],AV_PLAN[Días],AV_PLAN[INICIO REAL],"",0)</f>
        <v>0</v>
      </c>
      <c r="H366">
        <f>+_xlfn.XLOOKUP(CURVA[[#This Row],[Fecha]],AV_PLAN[Días],AV_PLAN[FECHA TERMINO REAL],"",0)</f>
        <v>0</v>
      </c>
      <c r="I366" s="13"/>
      <c r="J366">
        <f>+DAY(CURVA[[#This Row],[Fecha]])</f>
        <v>16</v>
      </c>
      <c r="K366" t="str">
        <f>+TEXT(CURVA[[#This Row],[Fecha]],"MMMM")</f>
        <v>febrero</v>
      </c>
      <c r="L366">
        <f>+YEAR(CURVA[[#This Row],[Fecha]])</f>
        <v>2027</v>
      </c>
      <c r="M366" s="70">
        <f>CURVA[[#This Row],[% AVANCE REAL]]*MAX(CURVA[M2 Avance Programado])</f>
        <v>0</v>
      </c>
      <c r="N366" s="69">
        <f>IF(CURVA[[#This Row],[% AVANCE REAL]]="",0,M366-M365)</f>
        <v>0</v>
      </c>
    </row>
    <row r="367" spans="1:14" x14ac:dyDescent="0.25">
      <c r="A367" s="1">
        <v>46435</v>
      </c>
      <c r="B367" s="7">
        <v>0.80068655303030278</v>
      </c>
      <c r="C367" s="7">
        <v>3.0776515151514916E-3</v>
      </c>
      <c r="D367">
        <v>57</v>
      </c>
      <c r="E367" s="66">
        <v>16977.176644719704</v>
      </c>
      <c r="F367" s="66">
        <v>65.256289400477371</v>
      </c>
      <c r="G367">
        <f>+_xlfn.XLOOKUP(CURVA[[#This Row],[Fecha]],AV_PLAN[Días],AV_PLAN[INICIO REAL],"",0)</f>
        <v>0</v>
      </c>
      <c r="H367">
        <f>+_xlfn.XLOOKUP(CURVA[[#This Row],[Fecha]],AV_PLAN[Días],AV_PLAN[FECHA TERMINO REAL],"",0)</f>
        <v>0</v>
      </c>
      <c r="I367" s="13"/>
      <c r="J367">
        <f>+DAY(CURVA[[#This Row],[Fecha]])</f>
        <v>17</v>
      </c>
      <c r="K367" t="str">
        <f>+TEXT(CURVA[[#This Row],[Fecha]],"MMMM")</f>
        <v>febrero</v>
      </c>
      <c r="L367">
        <f>+YEAR(CURVA[[#This Row],[Fecha]])</f>
        <v>2027</v>
      </c>
      <c r="M367" s="69">
        <f>CURVA[[#This Row],[% AVANCE REAL]]*MAX(CURVA[M2 Avance Programado])</f>
        <v>0</v>
      </c>
      <c r="N367" s="69">
        <f>IF(CURVA[[#This Row],[% AVANCE REAL]]="",0,M367-M366)</f>
        <v>0</v>
      </c>
    </row>
    <row r="368" spans="1:14" x14ac:dyDescent="0.25">
      <c r="A368" s="1">
        <v>46436</v>
      </c>
      <c r="B368" s="7">
        <v>0.80374053030303039</v>
      </c>
      <c r="C368" s="7">
        <v>3.0539772727276038E-3</v>
      </c>
      <c r="D368">
        <v>57</v>
      </c>
      <c r="E368" s="66">
        <v>17041.930962663264</v>
      </c>
      <c r="F368" s="66">
        <v>64.754317943558135</v>
      </c>
      <c r="G368">
        <f>+_xlfn.XLOOKUP(CURVA[[#This Row],[Fecha]],AV_PLAN[Días],AV_PLAN[INICIO REAL],"",0)</f>
        <v>0</v>
      </c>
      <c r="H368">
        <f>+_xlfn.XLOOKUP(CURVA[[#This Row],[Fecha]],AV_PLAN[Días],AV_PLAN[FECHA TERMINO REAL],"",0)</f>
        <v>0</v>
      </c>
      <c r="I368" s="13"/>
      <c r="J368">
        <f>+DAY(CURVA[[#This Row],[Fecha]])</f>
        <v>18</v>
      </c>
      <c r="K368" t="str">
        <f>+TEXT(CURVA[[#This Row],[Fecha]],"MMMM")</f>
        <v>febrero</v>
      </c>
      <c r="L368">
        <f>+YEAR(CURVA[[#This Row],[Fecha]])</f>
        <v>2027</v>
      </c>
      <c r="M368" s="70">
        <f>CURVA[[#This Row],[% AVANCE REAL]]*MAX(CURVA[M2 Avance Programado])</f>
        <v>0</v>
      </c>
      <c r="N368" s="69">
        <f>IF(CURVA[[#This Row],[% AVANCE REAL]]="",0,M368-M367)</f>
        <v>0</v>
      </c>
    </row>
    <row r="369" spans="1:14" x14ac:dyDescent="0.25">
      <c r="A369" s="1">
        <v>46437</v>
      </c>
      <c r="B369" s="7">
        <v>0.80677083333333366</v>
      </c>
      <c r="C369" s="7">
        <v>3.0303030303032719E-3</v>
      </c>
      <c r="D369">
        <v>57</v>
      </c>
      <c r="E369" s="66">
        <v>17106.183309149892</v>
      </c>
      <c r="F369" s="66">
        <v>64.252346486629492</v>
      </c>
      <c r="G369">
        <f>+_xlfn.XLOOKUP(CURVA[[#This Row],[Fecha]],AV_PLAN[Días],AV_PLAN[INICIO REAL],"",0)</f>
        <v>0</v>
      </c>
      <c r="H369">
        <f>+_xlfn.XLOOKUP(CURVA[[#This Row],[Fecha]],AV_PLAN[Días],AV_PLAN[FECHA TERMINO REAL],"",0)</f>
        <v>0</v>
      </c>
      <c r="I369" s="13"/>
      <c r="J369">
        <f>+DAY(CURVA[[#This Row],[Fecha]])</f>
        <v>19</v>
      </c>
      <c r="K369" t="str">
        <f>+TEXT(CURVA[[#This Row],[Fecha]],"MMMM")</f>
        <v>febrero</v>
      </c>
      <c r="L369">
        <f>+YEAR(CURVA[[#This Row],[Fecha]])</f>
        <v>2027</v>
      </c>
      <c r="M369" s="69">
        <f>CURVA[[#This Row],[% AVANCE REAL]]*MAX(CURVA[M2 Avance Programado])</f>
        <v>0</v>
      </c>
      <c r="N369" s="69">
        <f>IF(CURVA[[#This Row],[% AVANCE REAL]]="",0,M369-M368)</f>
        <v>0</v>
      </c>
    </row>
    <row r="370" spans="1:14" x14ac:dyDescent="0.25">
      <c r="A370" s="1">
        <v>46438</v>
      </c>
      <c r="B370" s="7">
        <v>0.80989583333333326</v>
      </c>
      <c r="C370" s="7">
        <v>3.1249999999996003E-3</v>
      </c>
      <c r="D370">
        <v>55</v>
      </c>
      <c r="E370" s="66">
        <v>17172.443541464214</v>
      </c>
      <c r="F370" s="66">
        <v>66.260232314322906</v>
      </c>
      <c r="G370">
        <f>+_xlfn.XLOOKUP(CURVA[[#This Row],[Fecha]],AV_PLAN[Días],AV_PLAN[INICIO REAL],"",0)</f>
        <v>0</v>
      </c>
      <c r="H370">
        <f>+_xlfn.XLOOKUP(CURVA[[#This Row],[Fecha]],AV_PLAN[Días],AV_PLAN[FECHA TERMINO REAL],"",0)</f>
        <v>0</v>
      </c>
      <c r="I370" s="13"/>
      <c r="J370">
        <f>+DAY(CURVA[[#This Row],[Fecha]])</f>
        <v>20</v>
      </c>
      <c r="K370" t="str">
        <f>+TEXT(CURVA[[#This Row],[Fecha]],"MMMM")</f>
        <v>febrero</v>
      </c>
      <c r="L370">
        <f>+YEAR(CURVA[[#This Row],[Fecha]])</f>
        <v>2027</v>
      </c>
      <c r="M370" s="70">
        <f>CURVA[[#This Row],[% AVANCE REAL]]*MAX(CURVA[M2 Avance Programado])</f>
        <v>0</v>
      </c>
      <c r="N370" s="69">
        <f>IF(CURVA[[#This Row],[% AVANCE REAL]]="",0,M370-M369)</f>
        <v>0</v>
      </c>
    </row>
    <row r="371" spans="1:14" x14ac:dyDescent="0.25">
      <c r="A371" s="1">
        <v>46439</v>
      </c>
      <c r="B371" s="7">
        <v>0.81292613636363609</v>
      </c>
      <c r="C371" s="7">
        <v>3.0303030303028278E-3</v>
      </c>
      <c r="D371">
        <v>53</v>
      </c>
      <c r="E371" s="66">
        <v>17236.695887950835</v>
      </c>
      <c r="F371" s="66">
        <v>64.25234648662007</v>
      </c>
      <c r="G371">
        <f>+_xlfn.XLOOKUP(CURVA[[#This Row],[Fecha]],AV_PLAN[Días],AV_PLAN[INICIO REAL],"",0)</f>
        <v>0</v>
      </c>
      <c r="H371">
        <f>+_xlfn.XLOOKUP(CURVA[[#This Row],[Fecha]],AV_PLAN[Días],AV_PLAN[FECHA TERMINO REAL],"",0)</f>
        <v>0</v>
      </c>
      <c r="I371" s="13"/>
      <c r="J371">
        <f>+DAY(CURVA[[#This Row],[Fecha]])</f>
        <v>21</v>
      </c>
      <c r="K371" t="str">
        <f>+TEXT(CURVA[[#This Row],[Fecha]],"MMMM")</f>
        <v>febrero</v>
      </c>
      <c r="L371">
        <f>+YEAR(CURVA[[#This Row],[Fecha]])</f>
        <v>2027</v>
      </c>
      <c r="M371" s="69">
        <f>CURVA[[#This Row],[% AVANCE REAL]]*MAX(CURVA[M2 Avance Programado])</f>
        <v>0</v>
      </c>
      <c r="N371" s="69">
        <f>IF(CURVA[[#This Row],[% AVANCE REAL]]="",0,M371-M370)</f>
        <v>0</v>
      </c>
    </row>
    <row r="372" spans="1:14" x14ac:dyDescent="0.25">
      <c r="A372" s="1">
        <v>46440</v>
      </c>
      <c r="B372" s="7">
        <v>0.81583806818181837</v>
      </c>
      <c r="C372" s="7">
        <v>2.9119318181822784E-3</v>
      </c>
      <c r="D372">
        <v>54</v>
      </c>
      <c r="E372" s="66">
        <v>17298.438377152834</v>
      </c>
      <c r="F372" s="66">
        <v>61.742489202000371</v>
      </c>
      <c r="G372">
        <f>+_xlfn.XLOOKUP(CURVA[[#This Row],[Fecha]],AV_PLAN[Días],AV_PLAN[INICIO REAL],"",0)</f>
        <v>0</v>
      </c>
      <c r="H372">
        <f>+_xlfn.XLOOKUP(CURVA[[#This Row],[Fecha]],AV_PLAN[Días],AV_PLAN[FECHA TERMINO REAL],"",0)</f>
        <v>0</v>
      </c>
      <c r="I372" s="13"/>
      <c r="J372">
        <f>+DAY(CURVA[[#This Row],[Fecha]])</f>
        <v>22</v>
      </c>
      <c r="K372" t="str">
        <f>+TEXT(CURVA[[#This Row],[Fecha]],"MMMM")</f>
        <v>febrero</v>
      </c>
      <c r="L372">
        <f>+YEAR(CURVA[[#This Row],[Fecha]])</f>
        <v>2027</v>
      </c>
      <c r="M372" s="70">
        <f>CURVA[[#This Row],[% AVANCE REAL]]*MAX(CURVA[M2 Avance Programado])</f>
        <v>0</v>
      </c>
      <c r="N372" s="69">
        <f>IF(CURVA[[#This Row],[% AVANCE REAL]]="",0,M372-M371)</f>
        <v>0</v>
      </c>
    </row>
    <row r="373" spans="1:14" x14ac:dyDescent="0.25">
      <c r="A373" s="1">
        <v>46441</v>
      </c>
      <c r="B373" s="7">
        <v>0.81886837121212119</v>
      </c>
      <c r="C373" s="7">
        <v>3.0303030303028278E-3</v>
      </c>
      <c r="D373">
        <v>56</v>
      </c>
      <c r="E373" s="66">
        <v>17362.690723639455</v>
      </c>
      <c r="F373" s="66">
        <v>64.25234648662007</v>
      </c>
      <c r="G373">
        <f>+_xlfn.XLOOKUP(CURVA[[#This Row],[Fecha]],AV_PLAN[Días],AV_PLAN[INICIO REAL],"",0)</f>
        <v>0</v>
      </c>
      <c r="H373">
        <f>+_xlfn.XLOOKUP(CURVA[[#This Row],[Fecha]],AV_PLAN[Días],AV_PLAN[FECHA TERMINO REAL],"",0)</f>
        <v>0</v>
      </c>
      <c r="I373" s="13"/>
      <c r="J373">
        <f>+DAY(CURVA[[#This Row],[Fecha]])</f>
        <v>23</v>
      </c>
      <c r="K373" t="str">
        <f>+TEXT(CURVA[[#This Row],[Fecha]],"MMMM")</f>
        <v>febrero</v>
      </c>
      <c r="L373">
        <f>+YEAR(CURVA[[#This Row],[Fecha]])</f>
        <v>2027</v>
      </c>
      <c r="M373" s="69">
        <f>CURVA[[#This Row],[% AVANCE REAL]]*MAX(CURVA[M2 Avance Programado])</f>
        <v>0</v>
      </c>
      <c r="N373" s="69">
        <f>IF(CURVA[[#This Row],[% AVANCE REAL]]="",0,M373-M372)</f>
        <v>0</v>
      </c>
    </row>
    <row r="374" spans="1:14" x14ac:dyDescent="0.25">
      <c r="A374" s="1">
        <v>46442</v>
      </c>
      <c r="B374" s="7">
        <v>0.82192234848484835</v>
      </c>
      <c r="C374" s="7">
        <v>3.0539772727271597E-3</v>
      </c>
      <c r="D374">
        <v>57</v>
      </c>
      <c r="E374" s="66">
        <v>17427.445041583003</v>
      </c>
      <c r="F374" s="66">
        <v>64.754317943548727</v>
      </c>
      <c r="G374">
        <f>+_xlfn.XLOOKUP(CURVA[[#This Row],[Fecha]],AV_PLAN[Días],AV_PLAN[INICIO REAL],"",0)</f>
        <v>0</v>
      </c>
      <c r="H374">
        <f>+_xlfn.XLOOKUP(CURVA[[#This Row],[Fecha]],AV_PLAN[Días],AV_PLAN[FECHA TERMINO REAL],"",0)</f>
        <v>0</v>
      </c>
      <c r="I374" s="13"/>
      <c r="J374">
        <f>+DAY(CURVA[[#This Row],[Fecha]])</f>
        <v>24</v>
      </c>
      <c r="K374" t="str">
        <f>+TEXT(CURVA[[#This Row],[Fecha]],"MMMM")</f>
        <v>febrero</v>
      </c>
      <c r="L374">
        <f>+YEAR(CURVA[[#This Row],[Fecha]])</f>
        <v>2027</v>
      </c>
      <c r="M374" s="70">
        <f>CURVA[[#This Row],[% AVANCE REAL]]*MAX(CURVA[M2 Avance Programado])</f>
        <v>0</v>
      </c>
      <c r="N374" s="69">
        <f>IF(CURVA[[#This Row],[% AVANCE REAL]]="",0,M374-M373)</f>
        <v>0</v>
      </c>
    </row>
    <row r="375" spans="1:14" x14ac:dyDescent="0.25">
      <c r="A375" s="1">
        <v>46443</v>
      </c>
      <c r="B375" s="7">
        <v>0.82495265151515129</v>
      </c>
      <c r="C375" s="7">
        <v>3.0303030303029388E-3</v>
      </c>
      <c r="D375">
        <v>57</v>
      </c>
      <c r="E375" s="66">
        <v>17491.697388069628</v>
      </c>
      <c r="F375" s="66">
        <v>64.252346486622429</v>
      </c>
      <c r="G375">
        <f>+_xlfn.XLOOKUP(CURVA[[#This Row],[Fecha]],AV_PLAN[Días],AV_PLAN[INICIO REAL],"",0)</f>
        <v>0</v>
      </c>
      <c r="H375">
        <f>+_xlfn.XLOOKUP(CURVA[[#This Row],[Fecha]],AV_PLAN[Días],AV_PLAN[FECHA TERMINO REAL],"",0)</f>
        <v>0</v>
      </c>
      <c r="I375" s="13"/>
      <c r="J375">
        <f>+DAY(CURVA[[#This Row],[Fecha]])</f>
        <v>25</v>
      </c>
      <c r="K375" t="str">
        <f>+TEXT(CURVA[[#This Row],[Fecha]],"MMMM")</f>
        <v>febrero</v>
      </c>
      <c r="L375">
        <f>+YEAR(CURVA[[#This Row],[Fecha]])</f>
        <v>2027</v>
      </c>
      <c r="M375" s="69">
        <f>CURVA[[#This Row],[% AVANCE REAL]]*MAX(CURVA[M2 Avance Programado])</f>
        <v>0</v>
      </c>
      <c r="N375" s="69">
        <f>IF(CURVA[[#This Row],[% AVANCE REAL]]="",0,M375-M374)</f>
        <v>0</v>
      </c>
    </row>
    <row r="376" spans="1:14" x14ac:dyDescent="0.25">
      <c r="A376" s="1">
        <v>46444</v>
      </c>
      <c r="B376" s="7">
        <v>0.82800662878787901</v>
      </c>
      <c r="C376" s="7">
        <v>3.0539772727277148E-3</v>
      </c>
      <c r="D376">
        <v>57</v>
      </c>
      <c r="E376" s="66">
        <v>17556.451706013188</v>
      </c>
      <c r="F376" s="66">
        <v>64.754317943560494</v>
      </c>
      <c r="G376">
        <f>+_xlfn.XLOOKUP(CURVA[[#This Row],[Fecha]],AV_PLAN[Días],AV_PLAN[INICIO REAL],"",0)</f>
        <v>0</v>
      </c>
      <c r="H376">
        <f>+_xlfn.XLOOKUP(CURVA[[#This Row],[Fecha]],AV_PLAN[Días],AV_PLAN[FECHA TERMINO REAL],"",0)</f>
        <v>0</v>
      </c>
      <c r="I376" s="13"/>
      <c r="J376">
        <f>+DAY(CURVA[[#This Row],[Fecha]])</f>
        <v>26</v>
      </c>
      <c r="K376" t="str">
        <f>+TEXT(CURVA[[#This Row],[Fecha]],"MMMM")</f>
        <v>febrero</v>
      </c>
      <c r="L376">
        <f>+YEAR(CURVA[[#This Row],[Fecha]])</f>
        <v>2027</v>
      </c>
      <c r="M376" s="70">
        <f>CURVA[[#This Row],[% AVANCE REAL]]*MAX(CURVA[M2 Avance Programado])</f>
        <v>0</v>
      </c>
      <c r="N376" s="69">
        <f>IF(CURVA[[#This Row],[% AVANCE REAL]]="",0,M376-M375)</f>
        <v>0</v>
      </c>
    </row>
    <row r="377" spans="1:14" x14ac:dyDescent="0.25">
      <c r="A377" s="1">
        <v>46445</v>
      </c>
      <c r="B377" s="7">
        <v>0.83115530303030305</v>
      </c>
      <c r="C377" s="7">
        <v>3.1486742424240433E-3</v>
      </c>
      <c r="D377">
        <v>55</v>
      </c>
      <c r="E377" s="66">
        <v>17623.213909784441</v>
      </c>
      <c r="F377" s="66">
        <v>66.762203771253908</v>
      </c>
      <c r="G377">
        <f>+_xlfn.XLOOKUP(CURVA[[#This Row],[Fecha]],AV_PLAN[Días],AV_PLAN[INICIO REAL],"",0)</f>
        <v>0</v>
      </c>
      <c r="H377">
        <f>+_xlfn.XLOOKUP(CURVA[[#This Row],[Fecha]],AV_PLAN[Días],AV_PLAN[FECHA TERMINO REAL],"",0)</f>
        <v>0</v>
      </c>
      <c r="I377" s="13"/>
      <c r="J377">
        <f>+DAY(CURVA[[#This Row],[Fecha]])</f>
        <v>27</v>
      </c>
      <c r="K377" t="str">
        <f>+TEXT(CURVA[[#This Row],[Fecha]],"MMMM")</f>
        <v>febrero</v>
      </c>
      <c r="L377">
        <f>+YEAR(CURVA[[#This Row],[Fecha]])</f>
        <v>2027</v>
      </c>
      <c r="M377" s="69">
        <f>CURVA[[#This Row],[% AVANCE REAL]]*MAX(CURVA[M2 Avance Programado])</f>
        <v>0</v>
      </c>
      <c r="N377" s="69">
        <f>IF(CURVA[[#This Row],[% AVANCE REAL]]="",0,M377-M376)</f>
        <v>0</v>
      </c>
    </row>
    <row r="378" spans="1:14" x14ac:dyDescent="0.25">
      <c r="A378" s="1">
        <v>46446</v>
      </c>
      <c r="B378" s="7">
        <v>0.83425662878787865</v>
      </c>
      <c r="C378" s="7">
        <v>3.1013257575756015E-3</v>
      </c>
      <c r="D378">
        <v>54</v>
      </c>
      <c r="E378" s="66">
        <v>17688.972170641842</v>
      </c>
      <c r="F378" s="66">
        <v>65.758260857401325</v>
      </c>
      <c r="G378">
        <f>+_xlfn.XLOOKUP(CURVA[[#This Row],[Fecha]],AV_PLAN[Días],AV_PLAN[INICIO REAL],"",0)</f>
        <v>0</v>
      </c>
      <c r="H378">
        <f>+_xlfn.XLOOKUP(CURVA[[#This Row],[Fecha]],AV_PLAN[Días],AV_PLAN[FECHA TERMINO REAL],"",0)</f>
        <v>0</v>
      </c>
      <c r="I378" s="13"/>
      <c r="J378">
        <f>+DAY(CURVA[[#This Row],[Fecha]])</f>
        <v>28</v>
      </c>
      <c r="K378" t="str">
        <f>+TEXT(CURVA[[#This Row],[Fecha]],"MMMM")</f>
        <v>febrero</v>
      </c>
      <c r="L378">
        <f>+YEAR(CURVA[[#This Row],[Fecha]])</f>
        <v>2027</v>
      </c>
      <c r="M378" s="70">
        <f>CURVA[[#This Row],[% AVANCE REAL]]*MAX(CURVA[M2 Avance Programado])</f>
        <v>0</v>
      </c>
      <c r="N378" s="69">
        <f>IF(CURVA[[#This Row],[% AVANCE REAL]]="",0,M378-M377)</f>
        <v>0</v>
      </c>
    </row>
    <row r="379" spans="1:14" x14ac:dyDescent="0.25">
      <c r="A379" s="1">
        <v>46447</v>
      </c>
      <c r="B379" s="7">
        <v>0.83723958333333359</v>
      </c>
      <c r="C379" s="7">
        <v>2.9829545454549411E-3</v>
      </c>
      <c r="D379">
        <v>55</v>
      </c>
      <c r="E379" s="66">
        <v>17752.220574214622</v>
      </c>
      <c r="F379" s="66">
        <v>63.248403572779253</v>
      </c>
      <c r="G379">
        <f>+_xlfn.XLOOKUP(CURVA[[#This Row],[Fecha]],AV_PLAN[Días],AV_PLAN[INICIO REAL],"",0)</f>
        <v>0</v>
      </c>
      <c r="H379">
        <f>+_xlfn.XLOOKUP(CURVA[[#This Row],[Fecha]],AV_PLAN[Días],AV_PLAN[FECHA TERMINO REAL],"",0)</f>
        <v>0</v>
      </c>
      <c r="I379" s="13"/>
      <c r="J379">
        <f>+DAY(CURVA[[#This Row],[Fecha]])</f>
        <v>1</v>
      </c>
      <c r="K379" t="str">
        <f>+TEXT(CURVA[[#This Row],[Fecha]],"MMMM")</f>
        <v>marzo</v>
      </c>
      <c r="L379">
        <f>+YEAR(CURVA[[#This Row],[Fecha]])</f>
        <v>2027</v>
      </c>
      <c r="M379" s="69">
        <f>CURVA[[#This Row],[% AVANCE REAL]]*MAX(CURVA[M2 Avance Programado])</f>
        <v>0</v>
      </c>
      <c r="N379" s="69">
        <f>IF(CURVA[[#This Row],[% AVANCE REAL]]="",0,M379-M378)</f>
        <v>0</v>
      </c>
    </row>
    <row r="380" spans="1:14" x14ac:dyDescent="0.25">
      <c r="A380" s="1">
        <v>46448</v>
      </c>
      <c r="B380" s="7">
        <v>0.84024621212121209</v>
      </c>
      <c r="C380" s="7">
        <v>3.0066287878784959E-3</v>
      </c>
      <c r="D380">
        <v>56</v>
      </c>
      <c r="E380" s="66">
        <v>17815.970949244314</v>
      </c>
      <c r="F380" s="66">
        <v>63.750375029691426</v>
      </c>
      <c r="G380">
        <f>+_xlfn.XLOOKUP(CURVA[[#This Row],[Fecha]],AV_PLAN[Días],AV_PLAN[INICIO REAL],"",0)</f>
        <v>0</v>
      </c>
      <c r="H380">
        <f>+_xlfn.XLOOKUP(CURVA[[#This Row],[Fecha]],AV_PLAN[Días],AV_PLAN[FECHA TERMINO REAL],"",0)</f>
        <v>0</v>
      </c>
      <c r="I380" s="13"/>
      <c r="J380">
        <f>+DAY(CURVA[[#This Row],[Fecha]])</f>
        <v>2</v>
      </c>
      <c r="K380" t="str">
        <f>+TEXT(CURVA[[#This Row],[Fecha]],"MMMM")</f>
        <v>marzo</v>
      </c>
      <c r="L380">
        <f>+YEAR(CURVA[[#This Row],[Fecha]])</f>
        <v>2027</v>
      </c>
      <c r="M380" s="70">
        <f>CURVA[[#This Row],[% AVANCE REAL]]*MAX(CURVA[M2 Avance Programado])</f>
        <v>0</v>
      </c>
      <c r="N380" s="69">
        <f>IF(CURVA[[#This Row],[% AVANCE REAL]]="",0,M380-M379)</f>
        <v>0</v>
      </c>
    </row>
    <row r="381" spans="1:14" x14ac:dyDescent="0.25">
      <c r="A381" s="1">
        <v>46449</v>
      </c>
      <c r="B381" s="7">
        <v>0.84327651515151492</v>
      </c>
      <c r="C381" s="7">
        <v>3.0303030303028278E-3</v>
      </c>
      <c r="D381">
        <v>57</v>
      </c>
      <c r="E381" s="66">
        <v>17880.223295730932</v>
      </c>
      <c r="F381" s="66">
        <v>64.25234648662007</v>
      </c>
      <c r="G381">
        <f>+_xlfn.XLOOKUP(CURVA[[#This Row],[Fecha]],AV_PLAN[Días],AV_PLAN[INICIO REAL],"",0)</f>
        <v>0</v>
      </c>
      <c r="H381">
        <f>+_xlfn.XLOOKUP(CURVA[[#This Row],[Fecha]],AV_PLAN[Días],AV_PLAN[FECHA TERMINO REAL],"",0)</f>
        <v>0</v>
      </c>
      <c r="I381" s="13"/>
      <c r="J381">
        <f>+DAY(CURVA[[#This Row],[Fecha]])</f>
        <v>3</v>
      </c>
      <c r="K381" t="str">
        <f>+TEXT(CURVA[[#This Row],[Fecha]],"MMMM")</f>
        <v>marzo</v>
      </c>
      <c r="L381">
        <f>+YEAR(CURVA[[#This Row],[Fecha]])</f>
        <v>2027</v>
      </c>
      <c r="M381" s="69">
        <f>CURVA[[#This Row],[% AVANCE REAL]]*MAX(CURVA[M2 Avance Programado])</f>
        <v>0</v>
      </c>
      <c r="N381" s="69">
        <f>IF(CURVA[[#This Row],[% AVANCE REAL]]="",0,M381-M380)</f>
        <v>0</v>
      </c>
    </row>
    <row r="382" spans="1:14" x14ac:dyDescent="0.25">
      <c r="A382" s="1">
        <v>46450</v>
      </c>
      <c r="B382" s="7">
        <v>0.84633049242424219</v>
      </c>
      <c r="C382" s="7">
        <v>3.0539772727272707E-3</v>
      </c>
      <c r="D382">
        <v>57</v>
      </c>
      <c r="E382" s="66">
        <v>17944.977613674484</v>
      </c>
      <c r="F382" s="66">
        <v>64.754317943551087</v>
      </c>
      <c r="G382">
        <f>+_xlfn.XLOOKUP(CURVA[[#This Row],[Fecha]],AV_PLAN[Días],AV_PLAN[INICIO REAL],"",0)</f>
        <v>0</v>
      </c>
      <c r="H382">
        <f>+_xlfn.XLOOKUP(CURVA[[#This Row],[Fecha]],AV_PLAN[Días],AV_PLAN[FECHA TERMINO REAL],"",0)</f>
        <v>0</v>
      </c>
      <c r="I382" s="13"/>
      <c r="J382">
        <f>+DAY(CURVA[[#This Row],[Fecha]])</f>
        <v>4</v>
      </c>
      <c r="K382" t="str">
        <f>+TEXT(CURVA[[#This Row],[Fecha]],"MMMM")</f>
        <v>marzo</v>
      </c>
      <c r="L382">
        <f>+YEAR(CURVA[[#This Row],[Fecha]])</f>
        <v>2027</v>
      </c>
      <c r="M382" s="70">
        <f>CURVA[[#This Row],[% AVANCE REAL]]*MAX(CURVA[M2 Avance Programado])</f>
        <v>0</v>
      </c>
      <c r="N382" s="69">
        <f>IF(CURVA[[#This Row],[% AVANCE REAL]]="",0,M382-M381)</f>
        <v>0</v>
      </c>
    </row>
    <row r="383" spans="1:14" x14ac:dyDescent="0.25">
      <c r="A383" s="1">
        <v>46451</v>
      </c>
      <c r="B383" s="7">
        <v>0.84940814393939412</v>
      </c>
      <c r="C383" s="7">
        <v>3.0776515151519357E-3</v>
      </c>
      <c r="D383">
        <v>57</v>
      </c>
      <c r="E383" s="66">
        <v>18010.233903074972</v>
      </c>
      <c r="F383" s="66">
        <v>65.256289400486793</v>
      </c>
      <c r="G383">
        <f>+_xlfn.XLOOKUP(CURVA[[#This Row],[Fecha]],AV_PLAN[Días],AV_PLAN[INICIO REAL],"",0)</f>
        <v>0</v>
      </c>
      <c r="H383">
        <f>+_xlfn.XLOOKUP(CURVA[[#This Row],[Fecha]],AV_PLAN[Días],AV_PLAN[FECHA TERMINO REAL],"",0)</f>
        <v>0</v>
      </c>
      <c r="I383" s="13"/>
      <c r="J383">
        <f>+DAY(CURVA[[#This Row],[Fecha]])</f>
        <v>5</v>
      </c>
      <c r="K383" t="str">
        <f>+TEXT(CURVA[[#This Row],[Fecha]],"MMMM")</f>
        <v>marzo</v>
      </c>
      <c r="L383">
        <f>+YEAR(CURVA[[#This Row],[Fecha]])</f>
        <v>2027</v>
      </c>
      <c r="M383" s="69">
        <f>CURVA[[#This Row],[% AVANCE REAL]]*MAX(CURVA[M2 Avance Programado])</f>
        <v>0</v>
      </c>
      <c r="N383" s="69">
        <f>IF(CURVA[[#This Row],[% AVANCE REAL]]="",0,M383-M382)</f>
        <v>0</v>
      </c>
    </row>
    <row r="384" spans="1:14" x14ac:dyDescent="0.25">
      <c r="A384" s="1">
        <v>46452</v>
      </c>
      <c r="B384" s="7">
        <v>0.85260416666666683</v>
      </c>
      <c r="C384" s="7">
        <v>3.1960227272727071E-3</v>
      </c>
      <c r="D384">
        <v>56</v>
      </c>
      <c r="E384" s="66">
        <v>18078.000049760081</v>
      </c>
      <c r="F384" s="66">
        <v>67.76614668511121</v>
      </c>
      <c r="G384">
        <f>+_xlfn.XLOOKUP(CURVA[[#This Row],[Fecha]],AV_PLAN[Días],AV_PLAN[INICIO REAL],"",0)</f>
        <v>0</v>
      </c>
      <c r="H384">
        <f>+_xlfn.XLOOKUP(CURVA[[#This Row],[Fecha]],AV_PLAN[Días],AV_PLAN[FECHA TERMINO REAL],"",0)</f>
        <v>0</v>
      </c>
      <c r="I384" s="13"/>
      <c r="J384">
        <f>+DAY(CURVA[[#This Row],[Fecha]])</f>
        <v>6</v>
      </c>
      <c r="K384" t="str">
        <f>+TEXT(CURVA[[#This Row],[Fecha]],"MMMM")</f>
        <v>marzo</v>
      </c>
      <c r="L384">
        <f>+YEAR(CURVA[[#This Row],[Fecha]])</f>
        <v>2027</v>
      </c>
      <c r="M384" s="70">
        <f>CURVA[[#This Row],[% AVANCE REAL]]*MAX(CURVA[M2 Avance Programado])</f>
        <v>0</v>
      </c>
      <c r="N384" s="69">
        <f>IF(CURVA[[#This Row],[% AVANCE REAL]]="",0,M384-M383)</f>
        <v>0</v>
      </c>
    </row>
    <row r="385" spans="1:14" x14ac:dyDescent="0.25">
      <c r="A385" s="1">
        <v>46453</v>
      </c>
      <c r="B385" s="7">
        <v>0.85575284090909098</v>
      </c>
      <c r="C385" s="7">
        <v>3.1486742424241543E-3</v>
      </c>
      <c r="D385">
        <v>55</v>
      </c>
      <c r="E385" s="66">
        <v>18144.762253531339</v>
      </c>
      <c r="F385" s="66">
        <v>66.762203771256267</v>
      </c>
      <c r="G385">
        <f>+_xlfn.XLOOKUP(CURVA[[#This Row],[Fecha]],AV_PLAN[Días],AV_PLAN[INICIO REAL],"",0)</f>
        <v>0</v>
      </c>
      <c r="H385">
        <f>+_xlfn.XLOOKUP(CURVA[[#This Row],[Fecha]],AV_PLAN[Días],AV_PLAN[FECHA TERMINO REAL],"",0)</f>
        <v>0</v>
      </c>
      <c r="I385" s="13"/>
      <c r="J385">
        <f>+DAY(CURVA[[#This Row],[Fecha]])</f>
        <v>7</v>
      </c>
      <c r="K385" t="str">
        <f>+TEXT(CURVA[[#This Row],[Fecha]],"MMMM")</f>
        <v>marzo</v>
      </c>
      <c r="L385">
        <f>+YEAR(CURVA[[#This Row],[Fecha]])</f>
        <v>2027</v>
      </c>
      <c r="M385" s="69">
        <f>CURVA[[#This Row],[% AVANCE REAL]]*MAX(CURVA[M2 Avance Programado])</f>
        <v>0</v>
      </c>
      <c r="N385" s="69">
        <f>IF(CURVA[[#This Row],[% AVANCE REAL]]="",0,M385-M384)</f>
        <v>0</v>
      </c>
    </row>
    <row r="386" spans="1:14" x14ac:dyDescent="0.25">
      <c r="A386" s="1">
        <v>46454</v>
      </c>
      <c r="B386" s="7">
        <v>0.85866477272727293</v>
      </c>
      <c r="C386" s="7">
        <v>2.9119318181819454E-3</v>
      </c>
      <c r="D386">
        <v>54</v>
      </c>
      <c r="E386" s="66">
        <v>18206.50474273333</v>
      </c>
      <c r="F386" s="66">
        <v>61.742489201993301</v>
      </c>
      <c r="G386">
        <f>+_xlfn.XLOOKUP(CURVA[[#This Row],[Fecha]],AV_PLAN[Días],AV_PLAN[INICIO REAL],"",0)</f>
        <v>0</v>
      </c>
      <c r="H386">
        <f>+_xlfn.XLOOKUP(CURVA[[#This Row],[Fecha]],AV_PLAN[Días],AV_PLAN[FECHA TERMINO REAL],"",0)</f>
        <v>0</v>
      </c>
      <c r="I386" s="13"/>
      <c r="J386">
        <f>+DAY(CURVA[[#This Row],[Fecha]])</f>
        <v>8</v>
      </c>
      <c r="K386" t="str">
        <f>+TEXT(CURVA[[#This Row],[Fecha]],"MMMM")</f>
        <v>marzo</v>
      </c>
      <c r="L386">
        <f>+YEAR(CURVA[[#This Row],[Fecha]])</f>
        <v>2027</v>
      </c>
      <c r="M386" s="70">
        <f>CURVA[[#This Row],[% AVANCE REAL]]*MAX(CURVA[M2 Avance Programado])</f>
        <v>0</v>
      </c>
      <c r="N386" s="69">
        <f>IF(CURVA[[#This Row],[% AVANCE REAL]]="",0,M386-M385)</f>
        <v>0</v>
      </c>
    </row>
    <row r="387" spans="1:14" x14ac:dyDescent="0.25">
      <c r="A387" s="1">
        <v>46455</v>
      </c>
      <c r="B387" s="7">
        <v>0.86160037878787854</v>
      </c>
      <c r="C387" s="7">
        <v>2.9356060606056111E-3</v>
      </c>
      <c r="D387">
        <v>55</v>
      </c>
      <c r="E387" s="66">
        <v>18268.749203392239</v>
      </c>
      <c r="F387" s="66">
        <v>62.244460658907826</v>
      </c>
      <c r="G387">
        <f>+_xlfn.XLOOKUP(CURVA[[#This Row],[Fecha]],AV_PLAN[Días],AV_PLAN[INICIO REAL],"",0)</f>
        <v>0</v>
      </c>
      <c r="H387">
        <f>+_xlfn.XLOOKUP(CURVA[[#This Row],[Fecha]],AV_PLAN[Días],AV_PLAN[FECHA TERMINO REAL],"",0)</f>
        <v>0</v>
      </c>
      <c r="I387" s="13"/>
      <c r="J387">
        <f>+DAY(CURVA[[#This Row],[Fecha]])</f>
        <v>9</v>
      </c>
      <c r="K387" t="str">
        <f>+TEXT(CURVA[[#This Row],[Fecha]],"MMMM")</f>
        <v>marzo</v>
      </c>
      <c r="L387">
        <f>+YEAR(CURVA[[#This Row],[Fecha]])</f>
        <v>2027</v>
      </c>
      <c r="M387" s="69">
        <f>CURVA[[#This Row],[% AVANCE REAL]]*MAX(CURVA[M2 Avance Programado])</f>
        <v>0</v>
      </c>
      <c r="N387" s="69">
        <f>IF(CURVA[[#This Row],[% AVANCE REAL]]="",0,M387-M386)</f>
        <v>0</v>
      </c>
    </row>
    <row r="388" spans="1:14" x14ac:dyDescent="0.25">
      <c r="A388" s="1">
        <v>46456</v>
      </c>
      <c r="B388" s="7">
        <v>0.86465435606060581</v>
      </c>
      <c r="C388" s="7">
        <v>3.0539772727272707E-3</v>
      </c>
      <c r="D388">
        <v>57</v>
      </c>
      <c r="E388" s="66">
        <v>18333.503521335791</v>
      </c>
      <c r="F388" s="66">
        <v>64.754317943551087</v>
      </c>
      <c r="G388">
        <f>+_xlfn.XLOOKUP(CURVA[[#This Row],[Fecha]],AV_PLAN[Días],AV_PLAN[INICIO REAL],"",0)</f>
        <v>0</v>
      </c>
      <c r="H388">
        <f>+_xlfn.XLOOKUP(CURVA[[#This Row],[Fecha]],AV_PLAN[Días],AV_PLAN[FECHA TERMINO REAL],"",0)</f>
        <v>0</v>
      </c>
      <c r="I388" s="13"/>
      <c r="J388">
        <f>+DAY(CURVA[[#This Row],[Fecha]])</f>
        <v>10</v>
      </c>
      <c r="K388" t="str">
        <f>+TEXT(CURVA[[#This Row],[Fecha]],"MMMM")</f>
        <v>marzo</v>
      </c>
      <c r="L388">
        <f>+YEAR(CURVA[[#This Row],[Fecha]])</f>
        <v>2027</v>
      </c>
      <c r="M388" s="70">
        <f>CURVA[[#This Row],[% AVANCE REAL]]*MAX(CURVA[M2 Avance Programado])</f>
        <v>0</v>
      </c>
      <c r="N388" s="69">
        <f>IF(CURVA[[#This Row],[% AVANCE REAL]]="",0,M388-M387)</f>
        <v>0</v>
      </c>
    </row>
    <row r="389" spans="1:14" x14ac:dyDescent="0.25">
      <c r="A389" s="1">
        <v>46457</v>
      </c>
      <c r="B389" s="7">
        <v>0.86773200757575752</v>
      </c>
      <c r="C389" s="7">
        <v>3.0776515151517136E-3</v>
      </c>
      <c r="D389">
        <v>57</v>
      </c>
      <c r="E389" s="66">
        <v>18398.759810736272</v>
      </c>
      <c r="F389" s="66">
        <v>65.256289400482089</v>
      </c>
      <c r="G389">
        <f>+_xlfn.XLOOKUP(CURVA[[#This Row],[Fecha]],AV_PLAN[Días],AV_PLAN[INICIO REAL],"",0)</f>
        <v>0</v>
      </c>
      <c r="H389">
        <f>+_xlfn.XLOOKUP(CURVA[[#This Row],[Fecha]],AV_PLAN[Días],AV_PLAN[FECHA TERMINO REAL],"",0)</f>
        <v>0</v>
      </c>
      <c r="I389" s="13"/>
      <c r="J389">
        <f>+DAY(CURVA[[#This Row],[Fecha]])</f>
        <v>11</v>
      </c>
      <c r="K389" t="str">
        <f>+TEXT(CURVA[[#This Row],[Fecha]],"MMMM")</f>
        <v>marzo</v>
      </c>
      <c r="L389">
        <f>+YEAR(CURVA[[#This Row],[Fecha]])</f>
        <v>2027</v>
      </c>
      <c r="M389" s="69">
        <f>CURVA[[#This Row],[% AVANCE REAL]]*MAX(CURVA[M2 Avance Programado])</f>
        <v>0</v>
      </c>
      <c r="N389" s="69">
        <f>IF(CURVA[[#This Row],[% AVANCE REAL]]="",0,M389-M388)</f>
        <v>0</v>
      </c>
    </row>
    <row r="390" spans="1:14" x14ac:dyDescent="0.25">
      <c r="A390" s="1">
        <v>46458</v>
      </c>
      <c r="B390" s="7">
        <v>0.87078598484848513</v>
      </c>
      <c r="C390" s="7">
        <v>3.0539772727276038E-3</v>
      </c>
      <c r="D390">
        <v>57</v>
      </c>
      <c r="E390" s="66">
        <v>18463.514128679832</v>
      </c>
      <c r="F390" s="66">
        <v>64.754317943558135</v>
      </c>
      <c r="G390">
        <f>+_xlfn.XLOOKUP(CURVA[[#This Row],[Fecha]],AV_PLAN[Días],AV_PLAN[INICIO REAL],"",0)</f>
        <v>0</v>
      </c>
      <c r="H390">
        <f>+_xlfn.XLOOKUP(CURVA[[#This Row],[Fecha]],AV_PLAN[Días],AV_PLAN[FECHA TERMINO REAL],"",0)</f>
        <v>0</v>
      </c>
      <c r="I390" s="13"/>
      <c r="J390">
        <f>+DAY(CURVA[[#This Row],[Fecha]])</f>
        <v>12</v>
      </c>
      <c r="K390" t="str">
        <f>+TEXT(CURVA[[#This Row],[Fecha]],"MMMM")</f>
        <v>marzo</v>
      </c>
      <c r="L390">
        <f>+YEAR(CURVA[[#This Row],[Fecha]])</f>
        <v>2027</v>
      </c>
      <c r="M390" s="70">
        <f>CURVA[[#This Row],[% AVANCE REAL]]*MAX(CURVA[M2 Avance Programado])</f>
        <v>0</v>
      </c>
      <c r="N390" s="69">
        <f>IF(CURVA[[#This Row],[% AVANCE REAL]]="",0,M390-M389)</f>
        <v>0</v>
      </c>
    </row>
    <row r="391" spans="1:14" x14ac:dyDescent="0.25">
      <c r="A391" s="1">
        <v>46459</v>
      </c>
      <c r="B391" s="7">
        <v>0.8739583333333335</v>
      </c>
      <c r="C391" s="7">
        <v>3.1723484848483752E-3</v>
      </c>
      <c r="D391">
        <v>56</v>
      </c>
      <c r="E391" s="66">
        <v>18530.778303908013</v>
      </c>
      <c r="F391" s="66">
        <v>67.264175228182566</v>
      </c>
      <c r="G391">
        <f>+_xlfn.XLOOKUP(CURVA[[#This Row],[Fecha]],AV_PLAN[Días],AV_PLAN[INICIO REAL],"",0)</f>
        <v>0</v>
      </c>
      <c r="H391">
        <f>+_xlfn.XLOOKUP(CURVA[[#This Row],[Fecha]],AV_PLAN[Días],AV_PLAN[FECHA TERMINO REAL],"",0)</f>
        <v>0</v>
      </c>
      <c r="I391" s="13"/>
      <c r="J391">
        <f>+DAY(CURVA[[#This Row],[Fecha]])</f>
        <v>13</v>
      </c>
      <c r="K391" t="str">
        <f>+TEXT(CURVA[[#This Row],[Fecha]],"MMMM")</f>
        <v>marzo</v>
      </c>
      <c r="L391">
        <f>+YEAR(CURVA[[#This Row],[Fecha]])</f>
        <v>2027</v>
      </c>
      <c r="M391" s="69">
        <f>CURVA[[#This Row],[% AVANCE REAL]]*MAX(CURVA[M2 Avance Programado])</f>
        <v>0</v>
      </c>
      <c r="N391" s="69">
        <f>IF(CURVA[[#This Row],[% AVANCE REAL]]="",0,M391-M390)</f>
        <v>0</v>
      </c>
    </row>
    <row r="392" spans="1:14" x14ac:dyDescent="0.25">
      <c r="A392" s="1">
        <v>46460</v>
      </c>
      <c r="B392" s="7">
        <v>0.87703598484848477</v>
      </c>
      <c r="C392" s="7">
        <v>3.0776515151512696E-3</v>
      </c>
      <c r="D392">
        <v>54</v>
      </c>
      <c r="E392" s="66">
        <v>18596.034593308486</v>
      </c>
      <c r="F392" s="66">
        <v>65.256289400472667</v>
      </c>
      <c r="G392">
        <f>+_xlfn.XLOOKUP(CURVA[[#This Row],[Fecha]],AV_PLAN[Días],AV_PLAN[INICIO REAL],"",0)</f>
        <v>0</v>
      </c>
      <c r="H392">
        <f>+_xlfn.XLOOKUP(CURVA[[#This Row],[Fecha]],AV_PLAN[Días],AV_PLAN[FECHA TERMINO REAL],"",0)</f>
        <v>0</v>
      </c>
      <c r="I392" s="13"/>
      <c r="J392">
        <f>+DAY(CURVA[[#This Row],[Fecha]])</f>
        <v>14</v>
      </c>
      <c r="K392" t="str">
        <f>+TEXT(CURVA[[#This Row],[Fecha]],"MMMM")</f>
        <v>marzo</v>
      </c>
      <c r="L392">
        <f>+YEAR(CURVA[[#This Row],[Fecha]])</f>
        <v>2027</v>
      </c>
      <c r="M392" s="70">
        <f>CURVA[[#This Row],[% AVANCE REAL]]*MAX(CURVA[M2 Avance Programado])</f>
        <v>0</v>
      </c>
      <c r="N392" s="69">
        <f>IF(CURVA[[#This Row],[% AVANCE REAL]]="",0,M392-M391)</f>
        <v>0</v>
      </c>
    </row>
    <row r="393" spans="1:14" x14ac:dyDescent="0.25">
      <c r="A393" s="1">
        <v>46461</v>
      </c>
      <c r="B393" s="7">
        <v>0.87987689393939406</v>
      </c>
      <c r="C393" s="7">
        <v>2.8409090909092827E-3</v>
      </c>
      <c r="D393">
        <v>53</v>
      </c>
      <c r="E393" s="66">
        <v>18656.271168139701</v>
      </c>
      <c r="F393" s="66">
        <v>60.236574831214419</v>
      </c>
      <c r="G393">
        <f>+_xlfn.XLOOKUP(CURVA[[#This Row],[Fecha]],AV_PLAN[Días],AV_PLAN[INICIO REAL],"",0)</f>
        <v>0</v>
      </c>
      <c r="H393">
        <f>+_xlfn.XLOOKUP(CURVA[[#This Row],[Fecha]],AV_PLAN[Días],AV_PLAN[FECHA TERMINO REAL],"",0)</f>
        <v>0</v>
      </c>
      <c r="I393" s="13"/>
      <c r="J393">
        <f>+DAY(CURVA[[#This Row],[Fecha]])</f>
        <v>15</v>
      </c>
      <c r="K393" t="str">
        <f>+TEXT(CURVA[[#This Row],[Fecha]],"MMMM")</f>
        <v>marzo</v>
      </c>
      <c r="L393">
        <f>+YEAR(CURVA[[#This Row],[Fecha]])</f>
        <v>2027</v>
      </c>
      <c r="M393" s="69">
        <f>CURVA[[#This Row],[% AVANCE REAL]]*MAX(CURVA[M2 Avance Programado])</f>
        <v>0</v>
      </c>
      <c r="N393" s="69">
        <f>IF(CURVA[[#This Row],[% AVANCE REAL]]="",0,M393-M392)</f>
        <v>0</v>
      </c>
    </row>
    <row r="394" spans="1:14" x14ac:dyDescent="0.25">
      <c r="A394" s="1">
        <v>46462</v>
      </c>
      <c r="B394" s="7">
        <v>0.88283617424242411</v>
      </c>
      <c r="C394" s="7">
        <v>2.9592803030300541E-3</v>
      </c>
      <c r="D394">
        <v>55</v>
      </c>
      <c r="E394" s="66">
        <v>18719.017600255534</v>
      </c>
      <c r="F394" s="66">
        <v>62.746432115838829</v>
      </c>
      <c r="G394">
        <f>+_xlfn.XLOOKUP(CURVA[[#This Row],[Fecha]],AV_PLAN[Días],AV_PLAN[INICIO REAL],"",0)</f>
        <v>0</v>
      </c>
      <c r="H394">
        <f>+_xlfn.XLOOKUP(CURVA[[#This Row],[Fecha]],AV_PLAN[Días],AV_PLAN[FECHA TERMINO REAL],"",0)</f>
        <v>0</v>
      </c>
      <c r="I394" s="13"/>
      <c r="J394">
        <f>+DAY(CURVA[[#This Row],[Fecha]])</f>
        <v>16</v>
      </c>
      <c r="K394" t="str">
        <f>+TEXT(CURVA[[#This Row],[Fecha]],"MMMM")</f>
        <v>marzo</v>
      </c>
      <c r="L394">
        <f>+YEAR(CURVA[[#This Row],[Fecha]])</f>
        <v>2027</v>
      </c>
      <c r="M394" s="70">
        <f>CURVA[[#This Row],[% AVANCE REAL]]*MAX(CURVA[M2 Avance Programado])</f>
        <v>0</v>
      </c>
      <c r="N394" s="69">
        <f>IF(CURVA[[#This Row],[% AVANCE REAL]]="",0,M394-M393)</f>
        <v>0</v>
      </c>
    </row>
    <row r="395" spans="1:14" x14ac:dyDescent="0.25">
      <c r="A395" s="1">
        <v>46463</v>
      </c>
      <c r="B395" s="7">
        <v>0.88591382575757549</v>
      </c>
      <c r="C395" s="7">
        <v>3.0776515151513806E-3</v>
      </c>
      <c r="D395">
        <v>57</v>
      </c>
      <c r="E395" s="66">
        <v>18784.273889656015</v>
      </c>
      <c r="F395" s="66">
        <v>65.256289400475026</v>
      </c>
      <c r="G395">
        <f>+_xlfn.XLOOKUP(CURVA[[#This Row],[Fecha]],AV_PLAN[Días],AV_PLAN[INICIO REAL],"",0)</f>
        <v>0</v>
      </c>
      <c r="H395">
        <f>+_xlfn.XLOOKUP(CURVA[[#This Row],[Fecha]],AV_PLAN[Días],AV_PLAN[FECHA TERMINO REAL],"",0)</f>
        <v>0</v>
      </c>
      <c r="I395" s="13"/>
      <c r="J395">
        <f>+DAY(CURVA[[#This Row],[Fecha]])</f>
        <v>17</v>
      </c>
      <c r="K395" t="str">
        <f>+TEXT(CURVA[[#This Row],[Fecha]],"MMMM")</f>
        <v>marzo</v>
      </c>
      <c r="L395">
        <f>+YEAR(CURVA[[#This Row],[Fecha]])</f>
        <v>2027</v>
      </c>
      <c r="M395" s="69">
        <f>CURVA[[#This Row],[% AVANCE REAL]]*MAX(CURVA[M2 Avance Programado])</f>
        <v>0</v>
      </c>
      <c r="N395" s="69">
        <f>IF(CURVA[[#This Row],[% AVANCE REAL]]="",0,M395-M394)</f>
        <v>0</v>
      </c>
    </row>
    <row r="396" spans="1:14" x14ac:dyDescent="0.25">
      <c r="A396" s="1">
        <v>46464</v>
      </c>
      <c r="B396" s="7">
        <v>0.88896780303030309</v>
      </c>
      <c r="C396" s="7">
        <v>3.0539772727276038E-3</v>
      </c>
      <c r="D396">
        <v>57</v>
      </c>
      <c r="E396" s="66">
        <v>18849.028207599571</v>
      </c>
      <c r="F396" s="66">
        <v>64.754317943558135</v>
      </c>
      <c r="G396">
        <f>+_xlfn.XLOOKUP(CURVA[[#This Row],[Fecha]],AV_PLAN[Días],AV_PLAN[INICIO REAL],"",0)</f>
        <v>0</v>
      </c>
      <c r="H396">
        <f>+_xlfn.XLOOKUP(CURVA[[#This Row],[Fecha]],AV_PLAN[Días],AV_PLAN[FECHA TERMINO REAL],"",0)</f>
        <v>0</v>
      </c>
      <c r="I396" s="13"/>
      <c r="J396">
        <f>+DAY(CURVA[[#This Row],[Fecha]])</f>
        <v>18</v>
      </c>
      <c r="K396" t="str">
        <f>+TEXT(CURVA[[#This Row],[Fecha]],"MMMM")</f>
        <v>marzo</v>
      </c>
      <c r="L396">
        <f>+YEAR(CURVA[[#This Row],[Fecha]])</f>
        <v>2027</v>
      </c>
      <c r="M396" s="70">
        <f>CURVA[[#This Row],[% AVANCE REAL]]*MAX(CURVA[M2 Avance Programado])</f>
        <v>0</v>
      </c>
      <c r="N396" s="69">
        <f>IF(CURVA[[#This Row],[% AVANCE REAL]]="",0,M396-M395)</f>
        <v>0</v>
      </c>
    </row>
    <row r="397" spans="1:14" x14ac:dyDescent="0.25">
      <c r="A397" s="1">
        <v>46465</v>
      </c>
      <c r="B397" s="7">
        <v>0.89199810606060648</v>
      </c>
      <c r="C397" s="7">
        <v>3.0303030303033829E-3</v>
      </c>
      <c r="D397">
        <v>57</v>
      </c>
      <c r="E397" s="66">
        <v>18913.280554086203</v>
      </c>
      <c r="F397" s="66">
        <v>64.252346486631851</v>
      </c>
      <c r="G397">
        <f>+_xlfn.XLOOKUP(CURVA[[#This Row],[Fecha]],AV_PLAN[Días],AV_PLAN[INICIO REAL],"",0)</f>
        <v>0</v>
      </c>
      <c r="H397">
        <f>+_xlfn.XLOOKUP(CURVA[[#This Row],[Fecha]],AV_PLAN[Días],AV_PLAN[FECHA TERMINO REAL],"",0)</f>
        <v>0</v>
      </c>
      <c r="I397" s="13"/>
      <c r="J397">
        <f>+DAY(CURVA[[#This Row],[Fecha]])</f>
        <v>19</v>
      </c>
      <c r="K397" t="str">
        <f>+TEXT(CURVA[[#This Row],[Fecha]],"MMMM")</f>
        <v>marzo</v>
      </c>
      <c r="L397">
        <f>+YEAR(CURVA[[#This Row],[Fecha]])</f>
        <v>2027</v>
      </c>
      <c r="M397" s="69">
        <f>CURVA[[#This Row],[% AVANCE REAL]]*MAX(CURVA[M2 Avance Programado])</f>
        <v>0</v>
      </c>
      <c r="N397" s="69">
        <f>IF(CURVA[[#This Row],[% AVANCE REAL]]="",0,M397-M396)</f>
        <v>0</v>
      </c>
    </row>
    <row r="398" spans="1:14" x14ac:dyDescent="0.25">
      <c r="A398" s="1">
        <v>46466</v>
      </c>
      <c r="B398" s="7">
        <v>0.89512310606060597</v>
      </c>
      <c r="C398" s="7">
        <v>3.1249999999994893E-3</v>
      </c>
      <c r="D398">
        <v>55</v>
      </c>
      <c r="E398" s="66">
        <v>18979.540786400525</v>
      </c>
      <c r="F398" s="66">
        <v>66.260232314320547</v>
      </c>
      <c r="G398">
        <f>+_xlfn.XLOOKUP(CURVA[[#This Row],[Fecha]],AV_PLAN[Días],AV_PLAN[INICIO REAL],"",0)</f>
        <v>0</v>
      </c>
      <c r="H398">
        <f>+_xlfn.XLOOKUP(CURVA[[#This Row],[Fecha]],AV_PLAN[Días],AV_PLAN[FECHA TERMINO REAL],"",0)</f>
        <v>0</v>
      </c>
      <c r="I398" s="13"/>
      <c r="J398">
        <f>+DAY(CURVA[[#This Row],[Fecha]])</f>
        <v>20</v>
      </c>
      <c r="K398" t="str">
        <f>+TEXT(CURVA[[#This Row],[Fecha]],"MMMM")</f>
        <v>marzo</v>
      </c>
      <c r="L398">
        <f>+YEAR(CURVA[[#This Row],[Fecha]])</f>
        <v>2027</v>
      </c>
      <c r="M398" s="70">
        <f>CURVA[[#This Row],[% AVANCE REAL]]*MAX(CURVA[M2 Avance Programado])</f>
        <v>0</v>
      </c>
      <c r="N398" s="69">
        <f>IF(CURVA[[#This Row],[% AVANCE REAL]]="",0,M398-M397)</f>
        <v>0</v>
      </c>
    </row>
    <row r="399" spans="1:14" x14ac:dyDescent="0.25">
      <c r="A399" s="1">
        <v>46467</v>
      </c>
      <c r="B399" s="7">
        <v>0.89815340909090891</v>
      </c>
      <c r="C399" s="7">
        <v>3.0303030303029388E-3</v>
      </c>
      <c r="D399">
        <v>53</v>
      </c>
      <c r="E399" s="66">
        <v>19043.793132887145</v>
      </c>
      <c r="F399" s="66">
        <v>64.252346486622429</v>
      </c>
      <c r="G399">
        <f>+_xlfn.XLOOKUP(CURVA[[#This Row],[Fecha]],AV_PLAN[Días],AV_PLAN[INICIO REAL],"",0)</f>
        <v>0</v>
      </c>
      <c r="H399">
        <f>+_xlfn.XLOOKUP(CURVA[[#This Row],[Fecha]],AV_PLAN[Días],AV_PLAN[FECHA TERMINO REAL],"",0)</f>
        <v>0</v>
      </c>
      <c r="I399" s="13"/>
      <c r="J399">
        <f>+DAY(CURVA[[#This Row],[Fecha]])</f>
        <v>21</v>
      </c>
      <c r="K399" t="str">
        <f>+TEXT(CURVA[[#This Row],[Fecha]],"MMMM")</f>
        <v>marzo</v>
      </c>
      <c r="L399">
        <f>+YEAR(CURVA[[#This Row],[Fecha]])</f>
        <v>2027</v>
      </c>
      <c r="M399" s="69">
        <f>CURVA[[#This Row],[% AVANCE REAL]]*MAX(CURVA[M2 Avance Programado])</f>
        <v>0</v>
      </c>
      <c r="N399" s="69">
        <f>IF(CURVA[[#This Row],[% AVANCE REAL]]="",0,M399-M398)</f>
        <v>0</v>
      </c>
    </row>
    <row r="400" spans="1:14" x14ac:dyDescent="0.25">
      <c r="A400" s="1">
        <v>46468</v>
      </c>
      <c r="B400" s="7">
        <v>0.90106534090909107</v>
      </c>
      <c r="C400" s="7">
        <v>2.9119318181821674E-3</v>
      </c>
      <c r="D400">
        <v>54</v>
      </c>
      <c r="E400" s="66">
        <v>19105.535622089144</v>
      </c>
      <c r="F400" s="66">
        <v>61.742489201998019</v>
      </c>
      <c r="G400">
        <f>+_xlfn.XLOOKUP(CURVA[[#This Row],[Fecha]],AV_PLAN[Días],AV_PLAN[INICIO REAL],"",0)</f>
        <v>0</v>
      </c>
      <c r="H400">
        <f>+_xlfn.XLOOKUP(CURVA[[#This Row],[Fecha]],AV_PLAN[Días],AV_PLAN[FECHA TERMINO REAL],"",0)</f>
        <v>0</v>
      </c>
      <c r="I400" s="13"/>
      <c r="J400">
        <f>+DAY(CURVA[[#This Row],[Fecha]])</f>
        <v>22</v>
      </c>
      <c r="K400" t="str">
        <f>+TEXT(CURVA[[#This Row],[Fecha]],"MMMM")</f>
        <v>marzo</v>
      </c>
      <c r="L400">
        <f>+YEAR(CURVA[[#This Row],[Fecha]])</f>
        <v>2027</v>
      </c>
      <c r="M400" s="70">
        <f>CURVA[[#This Row],[% AVANCE REAL]]*MAX(CURVA[M2 Avance Programado])</f>
        <v>0</v>
      </c>
      <c r="N400" s="69">
        <f>IF(CURVA[[#This Row],[% AVANCE REAL]]="",0,M400-M399)</f>
        <v>0</v>
      </c>
    </row>
    <row r="401" spans="1:14" x14ac:dyDescent="0.25">
      <c r="A401" s="1">
        <v>46469</v>
      </c>
      <c r="B401" s="7">
        <v>0.90409564393939401</v>
      </c>
      <c r="C401" s="7">
        <v>3.0303030303029388E-3</v>
      </c>
      <c r="D401">
        <v>56</v>
      </c>
      <c r="E401" s="66">
        <v>19169.787968575769</v>
      </c>
      <c r="F401" s="66">
        <v>64.252346486622429</v>
      </c>
      <c r="G401">
        <f>+_xlfn.XLOOKUP(CURVA[[#This Row],[Fecha]],AV_PLAN[Días],AV_PLAN[INICIO REAL],"",0)</f>
        <v>0</v>
      </c>
      <c r="H401">
        <f>+_xlfn.XLOOKUP(CURVA[[#This Row],[Fecha]],AV_PLAN[Días],AV_PLAN[FECHA TERMINO REAL],"",0)</f>
        <v>0</v>
      </c>
      <c r="I401" s="13"/>
      <c r="J401">
        <f>+DAY(CURVA[[#This Row],[Fecha]])</f>
        <v>23</v>
      </c>
      <c r="K401" t="str">
        <f>+TEXT(CURVA[[#This Row],[Fecha]],"MMMM")</f>
        <v>marzo</v>
      </c>
      <c r="L401">
        <f>+YEAR(CURVA[[#This Row],[Fecha]])</f>
        <v>2027</v>
      </c>
      <c r="M401" s="69">
        <f>CURVA[[#This Row],[% AVANCE REAL]]*MAX(CURVA[M2 Avance Programado])</f>
        <v>0</v>
      </c>
      <c r="N401" s="69">
        <f>IF(CURVA[[#This Row],[% AVANCE REAL]]="",0,M401-M400)</f>
        <v>0</v>
      </c>
    </row>
    <row r="402" spans="1:14" x14ac:dyDescent="0.25">
      <c r="A402" s="1">
        <v>46470</v>
      </c>
      <c r="B402" s="7">
        <v>0.90714962121212106</v>
      </c>
      <c r="C402" s="7">
        <v>3.0539772727270487E-3</v>
      </c>
      <c r="D402">
        <v>57</v>
      </c>
      <c r="E402" s="66">
        <v>19234.54228651931</v>
      </c>
      <c r="F402" s="66">
        <v>64.754317943546368</v>
      </c>
      <c r="G402">
        <f>+_xlfn.XLOOKUP(CURVA[[#This Row],[Fecha]],AV_PLAN[Días],AV_PLAN[INICIO REAL],"",0)</f>
        <v>0</v>
      </c>
      <c r="H402">
        <f>+_xlfn.XLOOKUP(CURVA[[#This Row],[Fecha]],AV_PLAN[Días],AV_PLAN[FECHA TERMINO REAL],"",0)</f>
        <v>0</v>
      </c>
      <c r="I402" s="13"/>
      <c r="J402">
        <f>+DAY(CURVA[[#This Row],[Fecha]])</f>
        <v>24</v>
      </c>
      <c r="K402" t="str">
        <f>+TEXT(CURVA[[#This Row],[Fecha]],"MMMM")</f>
        <v>marzo</v>
      </c>
      <c r="L402">
        <f>+YEAR(CURVA[[#This Row],[Fecha]])</f>
        <v>2027</v>
      </c>
      <c r="M402" s="70">
        <f>CURVA[[#This Row],[% AVANCE REAL]]*MAX(CURVA[M2 Avance Programado])</f>
        <v>0</v>
      </c>
      <c r="N402" s="69">
        <f>IF(CURVA[[#This Row],[% AVANCE REAL]]="",0,M402-M401)</f>
        <v>0</v>
      </c>
    </row>
    <row r="403" spans="1:14" x14ac:dyDescent="0.25">
      <c r="A403" s="1">
        <v>46471</v>
      </c>
      <c r="B403" s="7">
        <v>0.91017992424242411</v>
      </c>
      <c r="C403" s="7">
        <v>3.0303030303030498E-3</v>
      </c>
      <c r="D403">
        <v>57</v>
      </c>
      <c r="E403" s="66">
        <v>19298.794633005939</v>
      </c>
      <c r="F403" s="66">
        <v>64.252346486624788</v>
      </c>
      <c r="G403">
        <f>+_xlfn.XLOOKUP(CURVA[[#This Row],[Fecha]],AV_PLAN[Días],AV_PLAN[INICIO REAL],"",0)</f>
        <v>0</v>
      </c>
      <c r="H403">
        <f>+_xlfn.XLOOKUP(CURVA[[#This Row],[Fecha]],AV_PLAN[Días],AV_PLAN[FECHA TERMINO REAL],"",0)</f>
        <v>0</v>
      </c>
      <c r="I403" s="13"/>
      <c r="J403">
        <f>+DAY(CURVA[[#This Row],[Fecha]])</f>
        <v>25</v>
      </c>
      <c r="K403" t="str">
        <f>+TEXT(CURVA[[#This Row],[Fecha]],"MMMM")</f>
        <v>marzo</v>
      </c>
      <c r="L403">
        <f>+YEAR(CURVA[[#This Row],[Fecha]])</f>
        <v>2027</v>
      </c>
      <c r="M403" s="69">
        <f>CURVA[[#This Row],[% AVANCE REAL]]*MAX(CURVA[M2 Avance Programado])</f>
        <v>0</v>
      </c>
      <c r="N403" s="69">
        <f>IF(CURVA[[#This Row],[% AVANCE REAL]]="",0,M403-M402)</f>
        <v>0</v>
      </c>
    </row>
    <row r="404" spans="1:14" x14ac:dyDescent="0.25">
      <c r="A404" s="1">
        <v>46472</v>
      </c>
      <c r="B404" s="7">
        <v>0.91323390151515182</v>
      </c>
      <c r="C404" s="7">
        <v>3.0539772727277148E-3</v>
      </c>
      <c r="D404">
        <v>57</v>
      </c>
      <c r="E404" s="66">
        <v>19363.548950949495</v>
      </c>
      <c r="F404" s="66">
        <v>64.754317943560494</v>
      </c>
      <c r="G404">
        <f>+_xlfn.XLOOKUP(CURVA[[#This Row],[Fecha]],AV_PLAN[Días],AV_PLAN[INICIO REAL],"",0)</f>
        <v>0</v>
      </c>
      <c r="H404">
        <f>+_xlfn.XLOOKUP(CURVA[[#This Row],[Fecha]],AV_PLAN[Días],AV_PLAN[FECHA TERMINO REAL],"",0)</f>
        <v>0</v>
      </c>
      <c r="I404" s="13"/>
      <c r="J404">
        <f>+DAY(CURVA[[#This Row],[Fecha]])</f>
        <v>26</v>
      </c>
      <c r="K404" t="str">
        <f>+TEXT(CURVA[[#This Row],[Fecha]],"MMMM")</f>
        <v>marzo</v>
      </c>
      <c r="L404">
        <f>+YEAR(CURVA[[#This Row],[Fecha]])</f>
        <v>2027</v>
      </c>
      <c r="M404" s="70">
        <f>CURVA[[#This Row],[% AVANCE REAL]]*MAX(CURVA[M2 Avance Programado])</f>
        <v>0</v>
      </c>
      <c r="N404" s="69">
        <f>IF(CURVA[[#This Row],[% AVANCE REAL]]="",0,M404-M403)</f>
        <v>0</v>
      </c>
    </row>
    <row r="405" spans="1:14" x14ac:dyDescent="0.25">
      <c r="A405" s="1">
        <v>46473</v>
      </c>
      <c r="B405" s="7">
        <v>0.91638257575757576</v>
      </c>
      <c r="C405" s="7">
        <v>3.1486742424239322E-3</v>
      </c>
      <c r="D405">
        <v>55</v>
      </c>
      <c r="E405" s="66">
        <v>19430.311154720752</v>
      </c>
      <c r="F405" s="66">
        <v>66.762203771251563</v>
      </c>
      <c r="G405">
        <f>+_xlfn.XLOOKUP(CURVA[[#This Row],[Fecha]],AV_PLAN[Días],AV_PLAN[INICIO REAL],"",0)</f>
        <v>0</v>
      </c>
      <c r="H405">
        <f>+_xlfn.XLOOKUP(CURVA[[#This Row],[Fecha]],AV_PLAN[Días],AV_PLAN[FECHA TERMINO REAL],"",0)</f>
        <v>0</v>
      </c>
      <c r="I405" s="13"/>
      <c r="J405">
        <f>+DAY(CURVA[[#This Row],[Fecha]])</f>
        <v>27</v>
      </c>
      <c r="K405" t="str">
        <f>+TEXT(CURVA[[#This Row],[Fecha]],"MMMM")</f>
        <v>marzo</v>
      </c>
      <c r="L405">
        <f>+YEAR(CURVA[[#This Row],[Fecha]])</f>
        <v>2027</v>
      </c>
      <c r="M405" s="69">
        <f>CURVA[[#This Row],[% AVANCE REAL]]*MAX(CURVA[M2 Avance Programado])</f>
        <v>0</v>
      </c>
      <c r="N405" s="69">
        <f>IF(CURVA[[#This Row],[% AVANCE REAL]]="",0,M405-M404)</f>
        <v>0</v>
      </c>
    </row>
    <row r="406" spans="1:14" x14ac:dyDescent="0.25">
      <c r="A406" s="1">
        <v>46474</v>
      </c>
      <c r="B406" s="7">
        <v>0.91948390151515147</v>
      </c>
      <c r="C406" s="7">
        <v>3.1013257575757125E-3</v>
      </c>
      <c r="D406">
        <v>54</v>
      </c>
      <c r="E406" s="66">
        <v>19496.069415578153</v>
      </c>
      <c r="F406" s="66">
        <v>65.75826085740367</v>
      </c>
      <c r="G406">
        <f>+_xlfn.XLOOKUP(CURVA[[#This Row],[Fecha]],AV_PLAN[Días],AV_PLAN[INICIO REAL],"",0)</f>
        <v>0</v>
      </c>
      <c r="H406">
        <f>+_xlfn.XLOOKUP(CURVA[[#This Row],[Fecha]],AV_PLAN[Días],AV_PLAN[FECHA TERMINO REAL],"",0)</f>
        <v>0</v>
      </c>
      <c r="I406" s="13"/>
      <c r="J406">
        <f>+DAY(CURVA[[#This Row],[Fecha]])</f>
        <v>28</v>
      </c>
      <c r="K406" t="str">
        <f>+TEXT(CURVA[[#This Row],[Fecha]],"MMMM")</f>
        <v>marzo</v>
      </c>
      <c r="L406">
        <f>+YEAR(CURVA[[#This Row],[Fecha]])</f>
        <v>2027</v>
      </c>
      <c r="M406" s="70">
        <f>CURVA[[#This Row],[% AVANCE REAL]]*MAX(CURVA[M2 Avance Programado])</f>
        <v>0</v>
      </c>
      <c r="N406" s="69">
        <f>IF(CURVA[[#This Row],[% AVANCE REAL]]="",0,M406-M405)</f>
        <v>0</v>
      </c>
    </row>
    <row r="407" spans="1:14" x14ac:dyDescent="0.25">
      <c r="A407" s="1">
        <v>46475</v>
      </c>
      <c r="B407" s="7">
        <v>0.9224668560606063</v>
      </c>
      <c r="C407" s="7">
        <v>2.9829545454548301E-3</v>
      </c>
      <c r="D407">
        <v>55</v>
      </c>
      <c r="E407" s="66">
        <v>19559.317819150932</v>
      </c>
      <c r="F407" s="66">
        <v>63.248403572776901</v>
      </c>
      <c r="G407">
        <f>+_xlfn.XLOOKUP(CURVA[[#This Row],[Fecha]],AV_PLAN[Días],AV_PLAN[INICIO REAL],"",0)</f>
        <v>0</v>
      </c>
      <c r="H407">
        <f>+_xlfn.XLOOKUP(CURVA[[#This Row],[Fecha]],AV_PLAN[Días],AV_PLAN[FECHA TERMINO REAL],"",0)</f>
        <v>0</v>
      </c>
      <c r="I407" s="13"/>
      <c r="J407">
        <f>+DAY(CURVA[[#This Row],[Fecha]])</f>
        <v>29</v>
      </c>
      <c r="K407" t="str">
        <f>+TEXT(CURVA[[#This Row],[Fecha]],"MMMM")</f>
        <v>marzo</v>
      </c>
      <c r="L407">
        <f>+YEAR(CURVA[[#This Row],[Fecha]])</f>
        <v>2027</v>
      </c>
      <c r="M407" s="69">
        <f>CURVA[[#This Row],[% AVANCE REAL]]*MAX(CURVA[M2 Avance Programado])</f>
        <v>0</v>
      </c>
      <c r="N407" s="69">
        <f>IF(CURVA[[#This Row],[% AVANCE REAL]]="",0,M407-M406)</f>
        <v>0</v>
      </c>
    </row>
    <row r="408" spans="1:14" x14ac:dyDescent="0.25">
      <c r="A408" s="1">
        <v>46476</v>
      </c>
      <c r="B408" s="7">
        <v>0.9254734848484848</v>
      </c>
      <c r="C408" s="7">
        <v>3.0066287878784959E-3</v>
      </c>
      <c r="D408">
        <v>56</v>
      </c>
      <c r="E408" s="66">
        <v>19623.068194180625</v>
      </c>
      <c r="F408" s="66">
        <v>63.750375029691426</v>
      </c>
      <c r="G408">
        <f>+_xlfn.XLOOKUP(CURVA[[#This Row],[Fecha]],AV_PLAN[Días],AV_PLAN[INICIO REAL],"",0)</f>
        <v>0</v>
      </c>
      <c r="H408">
        <f>+_xlfn.XLOOKUP(CURVA[[#This Row],[Fecha]],AV_PLAN[Días],AV_PLAN[FECHA TERMINO REAL],"",0)</f>
        <v>0</v>
      </c>
      <c r="I408" s="13"/>
      <c r="J408">
        <f>+DAY(CURVA[[#This Row],[Fecha]])</f>
        <v>30</v>
      </c>
      <c r="K408" t="str">
        <f>+TEXT(CURVA[[#This Row],[Fecha]],"MMMM")</f>
        <v>marzo</v>
      </c>
      <c r="L408">
        <f>+YEAR(CURVA[[#This Row],[Fecha]])</f>
        <v>2027</v>
      </c>
      <c r="M408" s="70">
        <f>CURVA[[#This Row],[% AVANCE REAL]]*MAX(CURVA[M2 Avance Programado])</f>
        <v>0</v>
      </c>
      <c r="N408" s="69">
        <f>IF(CURVA[[#This Row],[% AVANCE REAL]]="",0,M408-M407)</f>
        <v>0</v>
      </c>
    </row>
    <row r="409" spans="1:14" x14ac:dyDescent="0.25">
      <c r="A409" s="1">
        <v>46477</v>
      </c>
      <c r="B409" s="7">
        <v>0.92850378787878762</v>
      </c>
      <c r="C409" s="7">
        <v>3.0303030303028278E-3</v>
      </c>
      <c r="D409">
        <v>57</v>
      </c>
      <c r="E409" s="66">
        <v>19687.320540667239</v>
      </c>
      <c r="F409" s="66">
        <v>64.25234648662007</v>
      </c>
      <c r="G409">
        <f>+_xlfn.XLOOKUP(CURVA[[#This Row],[Fecha]],AV_PLAN[Días],AV_PLAN[INICIO REAL],"",0)</f>
        <v>0</v>
      </c>
      <c r="H409">
        <f>+_xlfn.XLOOKUP(CURVA[[#This Row],[Fecha]],AV_PLAN[Días],AV_PLAN[FECHA TERMINO REAL],"",0)</f>
        <v>0</v>
      </c>
      <c r="I409" s="13"/>
      <c r="J409">
        <f>+DAY(CURVA[[#This Row],[Fecha]])</f>
        <v>31</v>
      </c>
      <c r="K409" t="str">
        <f>+TEXT(CURVA[[#This Row],[Fecha]],"MMMM")</f>
        <v>marzo</v>
      </c>
      <c r="L409">
        <f>+YEAR(CURVA[[#This Row],[Fecha]])</f>
        <v>2027</v>
      </c>
      <c r="M409" s="69">
        <f>CURVA[[#This Row],[% AVANCE REAL]]*MAX(CURVA[M2 Avance Programado])</f>
        <v>0</v>
      </c>
      <c r="N409" s="69">
        <f>IF(CURVA[[#This Row],[% AVANCE REAL]]="",0,M409-M408)</f>
        <v>0</v>
      </c>
    </row>
    <row r="410" spans="1:14" x14ac:dyDescent="0.25">
      <c r="A410" s="1">
        <v>46478</v>
      </c>
      <c r="B410" s="7">
        <v>0.93155776515151489</v>
      </c>
      <c r="C410" s="7">
        <v>3.0539772727272707E-3</v>
      </c>
      <c r="D410">
        <v>57</v>
      </c>
      <c r="E410" s="66">
        <v>19752.074858610795</v>
      </c>
      <c r="F410" s="66">
        <v>64.754317943551087</v>
      </c>
      <c r="G410">
        <f>+_xlfn.XLOOKUP(CURVA[[#This Row],[Fecha]],AV_PLAN[Días],AV_PLAN[INICIO REAL],"",0)</f>
        <v>0</v>
      </c>
      <c r="H410">
        <f>+_xlfn.XLOOKUP(CURVA[[#This Row],[Fecha]],AV_PLAN[Días],AV_PLAN[FECHA TERMINO REAL],"",0)</f>
        <v>0</v>
      </c>
      <c r="I410" s="13"/>
      <c r="J410">
        <f>+DAY(CURVA[[#This Row],[Fecha]])</f>
        <v>1</v>
      </c>
      <c r="K410" t="str">
        <f>+TEXT(CURVA[[#This Row],[Fecha]],"MMMM")</f>
        <v>abril</v>
      </c>
      <c r="L410">
        <f>+YEAR(CURVA[[#This Row],[Fecha]])</f>
        <v>2027</v>
      </c>
      <c r="M410" s="70">
        <f>CURVA[[#This Row],[% AVANCE REAL]]*MAX(CURVA[M2 Avance Programado])</f>
        <v>0</v>
      </c>
      <c r="N410" s="69">
        <f>IF(CURVA[[#This Row],[% AVANCE REAL]]="",0,M410-M409)</f>
        <v>0</v>
      </c>
    </row>
    <row r="411" spans="1:14" x14ac:dyDescent="0.25">
      <c r="A411" s="1">
        <v>46479</v>
      </c>
      <c r="B411" s="7">
        <v>0.93463541666666683</v>
      </c>
      <c r="C411" s="7">
        <v>3.0776515151519357E-3</v>
      </c>
      <c r="D411">
        <v>57</v>
      </c>
      <c r="E411" s="66">
        <v>19817.331148011279</v>
      </c>
      <c r="F411" s="66">
        <v>65.256289400486793</v>
      </c>
      <c r="G411">
        <f>+_xlfn.XLOOKUP(CURVA[[#This Row],[Fecha]],AV_PLAN[Días],AV_PLAN[INICIO REAL],"",0)</f>
        <v>0</v>
      </c>
      <c r="H411">
        <f>+_xlfn.XLOOKUP(CURVA[[#This Row],[Fecha]],AV_PLAN[Días],AV_PLAN[FECHA TERMINO REAL],"",0)</f>
        <v>0</v>
      </c>
      <c r="I411" s="13"/>
      <c r="J411">
        <f>+DAY(CURVA[[#This Row],[Fecha]])</f>
        <v>2</v>
      </c>
      <c r="K411" t="str">
        <f>+TEXT(CURVA[[#This Row],[Fecha]],"MMMM")</f>
        <v>abril</v>
      </c>
      <c r="L411">
        <f>+YEAR(CURVA[[#This Row],[Fecha]])</f>
        <v>2027</v>
      </c>
      <c r="M411" s="69">
        <f>CURVA[[#This Row],[% AVANCE REAL]]*MAX(CURVA[M2 Avance Programado])</f>
        <v>0</v>
      </c>
      <c r="N411" s="69">
        <f>IF(CURVA[[#This Row],[% AVANCE REAL]]="",0,M411-M410)</f>
        <v>0</v>
      </c>
    </row>
    <row r="412" spans="1:14" x14ac:dyDescent="0.25">
      <c r="A412" s="1">
        <v>46480</v>
      </c>
      <c r="B412" s="7">
        <v>0.93783143939393954</v>
      </c>
      <c r="C412" s="7">
        <v>3.1960227272727071E-3</v>
      </c>
      <c r="D412">
        <v>56</v>
      </c>
      <c r="E412" s="66">
        <v>19885.097294696392</v>
      </c>
      <c r="F412" s="66">
        <v>67.76614668511121</v>
      </c>
      <c r="G412">
        <f>+_xlfn.XLOOKUP(CURVA[[#This Row],[Fecha]],AV_PLAN[Días],AV_PLAN[INICIO REAL],"",0)</f>
        <v>0</v>
      </c>
      <c r="H412">
        <f>+_xlfn.XLOOKUP(CURVA[[#This Row],[Fecha]],AV_PLAN[Días],AV_PLAN[FECHA TERMINO REAL],"",0)</f>
        <v>0</v>
      </c>
      <c r="I412" s="13"/>
      <c r="J412">
        <f>+DAY(CURVA[[#This Row],[Fecha]])</f>
        <v>3</v>
      </c>
      <c r="K412" t="str">
        <f>+TEXT(CURVA[[#This Row],[Fecha]],"MMMM")</f>
        <v>abril</v>
      </c>
      <c r="L412">
        <f>+YEAR(CURVA[[#This Row],[Fecha]])</f>
        <v>2027</v>
      </c>
      <c r="M412" s="70">
        <f>CURVA[[#This Row],[% AVANCE REAL]]*MAX(CURVA[M2 Avance Programado])</f>
        <v>0</v>
      </c>
      <c r="N412" s="69">
        <f>IF(CURVA[[#This Row],[% AVANCE REAL]]="",0,M412-M411)</f>
        <v>0</v>
      </c>
    </row>
    <row r="413" spans="1:14" x14ac:dyDescent="0.25">
      <c r="A413" s="1">
        <v>46481</v>
      </c>
      <c r="B413" s="7">
        <v>0.94098011363636369</v>
      </c>
      <c r="C413" s="7">
        <v>3.1486742424241543E-3</v>
      </c>
      <c r="D413">
        <v>55</v>
      </c>
      <c r="E413" s="66">
        <v>19951.859498467649</v>
      </c>
      <c r="F413" s="66">
        <v>66.762203771256267</v>
      </c>
      <c r="G413">
        <f>+_xlfn.XLOOKUP(CURVA[[#This Row],[Fecha]],AV_PLAN[Días],AV_PLAN[INICIO REAL],"",0)</f>
        <v>0</v>
      </c>
      <c r="H413">
        <f>+_xlfn.XLOOKUP(CURVA[[#This Row],[Fecha]],AV_PLAN[Días],AV_PLAN[FECHA TERMINO REAL],"",0)</f>
        <v>0</v>
      </c>
      <c r="I413" s="13"/>
      <c r="J413">
        <f>+DAY(CURVA[[#This Row],[Fecha]])</f>
        <v>4</v>
      </c>
      <c r="K413" t="str">
        <f>+TEXT(CURVA[[#This Row],[Fecha]],"MMMM")</f>
        <v>abril</v>
      </c>
      <c r="L413">
        <f>+YEAR(CURVA[[#This Row],[Fecha]])</f>
        <v>2027</v>
      </c>
      <c r="M413" s="69">
        <f>CURVA[[#This Row],[% AVANCE REAL]]*MAX(CURVA[M2 Avance Programado])</f>
        <v>0</v>
      </c>
      <c r="N413" s="69">
        <f>IF(CURVA[[#This Row],[% AVANCE REAL]]="",0,M413-M412)</f>
        <v>0</v>
      </c>
    </row>
    <row r="414" spans="1:14" x14ac:dyDescent="0.25">
      <c r="A414" s="1">
        <v>46482</v>
      </c>
      <c r="B414" s="7">
        <v>0.94389204545454564</v>
      </c>
      <c r="C414" s="7">
        <v>2.9119318181819454E-3</v>
      </c>
      <c r="D414">
        <v>54</v>
      </c>
      <c r="E414" s="66">
        <v>20013.601987669641</v>
      </c>
      <c r="F414" s="66">
        <v>61.742489201993301</v>
      </c>
      <c r="G414">
        <f>+_xlfn.XLOOKUP(CURVA[[#This Row],[Fecha]],AV_PLAN[Días],AV_PLAN[INICIO REAL],"",0)</f>
        <v>0</v>
      </c>
      <c r="H414">
        <f>+_xlfn.XLOOKUP(CURVA[[#This Row],[Fecha]],AV_PLAN[Días],AV_PLAN[FECHA TERMINO REAL],"",0)</f>
        <v>0</v>
      </c>
      <c r="I414" s="13"/>
      <c r="J414">
        <f>+DAY(CURVA[[#This Row],[Fecha]])</f>
        <v>5</v>
      </c>
      <c r="K414" t="str">
        <f>+TEXT(CURVA[[#This Row],[Fecha]],"MMMM")</f>
        <v>abril</v>
      </c>
      <c r="L414">
        <f>+YEAR(CURVA[[#This Row],[Fecha]])</f>
        <v>2027</v>
      </c>
      <c r="M414" s="70">
        <f>CURVA[[#This Row],[% AVANCE REAL]]*MAX(CURVA[M2 Avance Programado])</f>
        <v>0</v>
      </c>
      <c r="N414" s="69">
        <f>IF(CURVA[[#This Row],[% AVANCE REAL]]="",0,M414-M413)</f>
        <v>0</v>
      </c>
    </row>
    <row r="415" spans="1:14" x14ac:dyDescent="0.25">
      <c r="A415" s="1">
        <v>46483</v>
      </c>
      <c r="B415" s="7">
        <v>0.94682765151515125</v>
      </c>
      <c r="C415" s="7">
        <v>2.9356060606056111E-3</v>
      </c>
      <c r="D415">
        <v>55</v>
      </c>
      <c r="E415" s="66">
        <v>20075.84644832855</v>
      </c>
      <c r="F415" s="66">
        <v>62.244460658907826</v>
      </c>
      <c r="G415">
        <f>+_xlfn.XLOOKUP(CURVA[[#This Row],[Fecha]],AV_PLAN[Días],AV_PLAN[INICIO REAL],"",0)</f>
        <v>0</v>
      </c>
      <c r="H415">
        <f>+_xlfn.XLOOKUP(CURVA[[#This Row],[Fecha]],AV_PLAN[Días],AV_PLAN[FECHA TERMINO REAL],"",0)</f>
        <v>0</v>
      </c>
      <c r="I415" s="13"/>
      <c r="J415">
        <f>+DAY(CURVA[[#This Row],[Fecha]])</f>
        <v>6</v>
      </c>
      <c r="K415" t="str">
        <f>+TEXT(CURVA[[#This Row],[Fecha]],"MMMM")</f>
        <v>abril</v>
      </c>
      <c r="L415">
        <f>+YEAR(CURVA[[#This Row],[Fecha]])</f>
        <v>2027</v>
      </c>
      <c r="M415" s="69">
        <f>CURVA[[#This Row],[% AVANCE REAL]]*MAX(CURVA[M2 Avance Programado])</f>
        <v>0</v>
      </c>
      <c r="N415" s="69">
        <f>IF(CURVA[[#This Row],[% AVANCE REAL]]="",0,M415-M414)</f>
        <v>0</v>
      </c>
    </row>
    <row r="416" spans="1:14" x14ac:dyDescent="0.25">
      <c r="A416" s="1">
        <v>46484</v>
      </c>
      <c r="B416" s="7">
        <v>0.94988162878787852</v>
      </c>
      <c r="C416" s="7">
        <v>3.0539772727272707E-3</v>
      </c>
      <c r="D416">
        <v>57</v>
      </c>
      <c r="E416" s="66">
        <v>20140.600766272099</v>
      </c>
      <c r="F416" s="66">
        <v>64.754317943551087</v>
      </c>
      <c r="G416">
        <f>+_xlfn.XLOOKUP(CURVA[[#This Row],[Fecha]],AV_PLAN[Días],AV_PLAN[INICIO REAL],"",0)</f>
        <v>0</v>
      </c>
      <c r="H416">
        <f>+_xlfn.XLOOKUP(CURVA[[#This Row],[Fecha]],AV_PLAN[Días],AV_PLAN[FECHA TERMINO REAL],"",0)</f>
        <v>0</v>
      </c>
      <c r="I416" s="13"/>
      <c r="J416">
        <f>+DAY(CURVA[[#This Row],[Fecha]])</f>
        <v>7</v>
      </c>
      <c r="K416" t="str">
        <f>+TEXT(CURVA[[#This Row],[Fecha]],"MMMM")</f>
        <v>abril</v>
      </c>
      <c r="L416">
        <f>+YEAR(CURVA[[#This Row],[Fecha]])</f>
        <v>2027</v>
      </c>
      <c r="M416" s="70">
        <f>CURVA[[#This Row],[% AVANCE REAL]]*MAX(CURVA[M2 Avance Programado])</f>
        <v>0</v>
      </c>
      <c r="N416" s="69">
        <f>IF(CURVA[[#This Row],[% AVANCE REAL]]="",0,M416-M415)</f>
        <v>0</v>
      </c>
    </row>
    <row r="417" spans="1:14" x14ac:dyDescent="0.25">
      <c r="A417" s="1">
        <v>46485</v>
      </c>
      <c r="B417" s="7">
        <v>0.95295928030303034</v>
      </c>
      <c r="C417" s="7">
        <v>3.0776515151518247E-3</v>
      </c>
      <c r="D417">
        <v>57</v>
      </c>
      <c r="E417" s="66">
        <v>20205.857055672583</v>
      </c>
      <c r="F417" s="66">
        <v>65.256289400484434</v>
      </c>
      <c r="G417">
        <f>+_xlfn.XLOOKUP(CURVA[[#This Row],[Fecha]],AV_PLAN[Días],AV_PLAN[INICIO REAL],"",0)</f>
        <v>0</v>
      </c>
      <c r="H417">
        <f>+_xlfn.XLOOKUP(CURVA[[#This Row],[Fecha]],AV_PLAN[Días],AV_PLAN[FECHA TERMINO REAL],"",0)</f>
        <v>0</v>
      </c>
      <c r="I417" s="13"/>
      <c r="J417">
        <f>+DAY(CURVA[[#This Row],[Fecha]])</f>
        <v>8</v>
      </c>
      <c r="K417" t="str">
        <f>+TEXT(CURVA[[#This Row],[Fecha]],"MMMM")</f>
        <v>abril</v>
      </c>
      <c r="L417">
        <f>+YEAR(CURVA[[#This Row],[Fecha]])</f>
        <v>2027</v>
      </c>
      <c r="M417" s="69">
        <f>CURVA[[#This Row],[% AVANCE REAL]]*MAX(CURVA[M2 Avance Programado])</f>
        <v>0</v>
      </c>
      <c r="N417" s="69">
        <f>IF(CURVA[[#This Row],[% AVANCE REAL]]="",0,M417-M416)</f>
        <v>0</v>
      </c>
    </row>
    <row r="418" spans="1:14" x14ac:dyDescent="0.25">
      <c r="A418" s="1">
        <v>46486</v>
      </c>
      <c r="B418" s="7">
        <v>0.95601325757575784</v>
      </c>
      <c r="C418" s="7">
        <v>3.0539772727274928E-3</v>
      </c>
      <c r="D418">
        <v>57</v>
      </c>
      <c r="E418" s="66">
        <v>20270.611373616142</v>
      </c>
      <c r="F418" s="66">
        <v>64.75431794355579</v>
      </c>
      <c r="G418">
        <f>+_xlfn.XLOOKUP(CURVA[[#This Row],[Fecha]],AV_PLAN[Días],AV_PLAN[INICIO REAL],"",0)</f>
        <v>0</v>
      </c>
      <c r="H418">
        <f>+_xlfn.XLOOKUP(CURVA[[#This Row],[Fecha]],AV_PLAN[Días],AV_PLAN[FECHA TERMINO REAL],"",0)</f>
        <v>0</v>
      </c>
      <c r="I418" s="13"/>
      <c r="J418">
        <f>+DAY(CURVA[[#This Row],[Fecha]])</f>
        <v>9</v>
      </c>
      <c r="K418" t="str">
        <f>+TEXT(CURVA[[#This Row],[Fecha]],"MMMM")</f>
        <v>abril</v>
      </c>
      <c r="L418">
        <f>+YEAR(CURVA[[#This Row],[Fecha]])</f>
        <v>2027</v>
      </c>
      <c r="M418" s="70">
        <f>CURVA[[#This Row],[% AVANCE REAL]]*MAX(CURVA[M2 Avance Programado])</f>
        <v>0</v>
      </c>
      <c r="N418" s="69">
        <f>IF(CURVA[[#This Row],[% AVANCE REAL]]="",0,M418-M417)</f>
        <v>0</v>
      </c>
    </row>
    <row r="419" spans="1:14" x14ac:dyDescent="0.25">
      <c r="A419" s="1">
        <v>46487</v>
      </c>
      <c r="B419" s="7">
        <v>0.95918560606060621</v>
      </c>
      <c r="C419" s="7">
        <v>3.1723484848483752E-3</v>
      </c>
      <c r="D419">
        <v>56</v>
      </c>
      <c r="E419" s="66">
        <v>20337.875548844324</v>
      </c>
      <c r="F419" s="66">
        <v>67.264175228182566</v>
      </c>
      <c r="G419">
        <f>+_xlfn.XLOOKUP(CURVA[[#This Row],[Fecha]],AV_PLAN[Días],AV_PLAN[INICIO REAL],"",0)</f>
        <v>0</v>
      </c>
      <c r="H419">
        <f>+_xlfn.XLOOKUP(CURVA[[#This Row],[Fecha]],AV_PLAN[Días],AV_PLAN[FECHA TERMINO REAL],"",0)</f>
        <v>0</v>
      </c>
      <c r="I419" s="13"/>
      <c r="J419">
        <f>+DAY(CURVA[[#This Row],[Fecha]])</f>
        <v>10</v>
      </c>
      <c r="K419" t="str">
        <f>+TEXT(CURVA[[#This Row],[Fecha]],"MMMM")</f>
        <v>abril</v>
      </c>
      <c r="L419">
        <f>+YEAR(CURVA[[#This Row],[Fecha]])</f>
        <v>2027</v>
      </c>
      <c r="M419" s="69">
        <f>CURVA[[#This Row],[% AVANCE REAL]]*MAX(CURVA[M2 Avance Programado])</f>
        <v>0</v>
      </c>
      <c r="N419" s="69">
        <f>IF(CURVA[[#This Row],[% AVANCE REAL]]="",0,M419-M418)</f>
        <v>0</v>
      </c>
    </row>
    <row r="420" spans="1:14" x14ac:dyDescent="0.25">
      <c r="A420" s="1">
        <v>46488</v>
      </c>
      <c r="B420" s="7">
        <v>0.96226325757575748</v>
      </c>
      <c r="C420" s="7">
        <v>3.0776515151512696E-3</v>
      </c>
      <c r="D420">
        <v>54</v>
      </c>
      <c r="E420" s="66">
        <v>20403.131838244797</v>
      </c>
      <c r="F420" s="66">
        <v>65.256289400472667</v>
      </c>
      <c r="G420">
        <f>+_xlfn.XLOOKUP(CURVA[[#This Row],[Fecha]],AV_PLAN[Días],AV_PLAN[INICIO REAL],"",0)</f>
        <v>0</v>
      </c>
      <c r="H420">
        <f>+_xlfn.XLOOKUP(CURVA[[#This Row],[Fecha]],AV_PLAN[Días],AV_PLAN[FECHA TERMINO REAL],"",0)</f>
        <v>0</v>
      </c>
      <c r="I420" s="13"/>
      <c r="J420">
        <f>+DAY(CURVA[[#This Row],[Fecha]])</f>
        <v>11</v>
      </c>
      <c r="K420" t="str">
        <f>+TEXT(CURVA[[#This Row],[Fecha]],"MMMM")</f>
        <v>abril</v>
      </c>
      <c r="L420">
        <f>+YEAR(CURVA[[#This Row],[Fecha]])</f>
        <v>2027</v>
      </c>
      <c r="M420" s="70">
        <f>CURVA[[#This Row],[% AVANCE REAL]]*MAX(CURVA[M2 Avance Programado])</f>
        <v>0</v>
      </c>
      <c r="N420" s="69">
        <f>IF(CURVA[[#This Row],[% AVANCE REAL]]="",0,M420-M419)</f>
        <v>0</v>
      </c>
    </row>
    <row r="421" spans="1:14" x14ac:dyDescent="0.25">
      <c r="A421" s="1">
        <v>46489</v>
      </c>
      <c r="B421" s="7">
        <v>0.96510416666666676</v>
      </c>
      <c r="C421" s="7">
        <v>2.8409090909092827E-3</v>
      </c>
      <c r="D421">
        <v>51</v>
      </c>
      <c r="E421" s="66">
        <v>20463.368413076008</v>
      </c>
      <c r="F421" s="66">
        <v>60.236574831214419</v>
      </c>
      <c r="G421">
        <f>+_xlfn.XLOOKUP(CURVA[[#This Row],[Fecha]],AV_PLAN[Días],AV_PLAN[INICIO REAL],"",0)</f>
        <v>0</v>
      </c>
      <c r="H421">
        <f>+_xlfn.XLOOKUP(CURVA[[#This Row],[Fecha]],AV_PLAN[Días],AV_PLAN[FECHA TERMINO REAL],"",0)</f>
        <v>0</v>
      </c>
      <c r="I421" s="13"/>
      <c r="J421">
        <f>+DAY(CURVA[[#This Row],[Fecha]])</f>
        <v>12</v>
      </c>
      <c r="K421" t="str">
        <f>+TEXT(CURVA[[#This Row],[Fecha]],"MMMM")</f>
        <v>abril</v>
      </c>
      <c r="L421">
        <f>+YEAR(CURVA[[#This Row],[Fecha]])</f>
        <v>2027</v>
      </c>
      <c r="M421" s="69">
        <f>CURVA[[#This Row],[% AVANCE REAL]]*MAX(CURVA[M2 Avance Programado])</f>
        <v>0</v>
      </c>
      <c r="N421" s="69">
        <f>IF(CURVA[[#This Row],[% AVANCE REAL]]="",0,M421-M420)</f>
        <v>0</v>
      </c>
    </row>
    <row r="422" spans="1:14" x14ac:dyDescent="0.25">
      <c r="A422" s="1">
        <v>46490</v>
      </c>
      <c r="B422" s="7">
        <v>0.96794507575757571</v>
      </c>
      <c r="C422" s="7">
        <v>2.8409090909089496E-3</v>
      </c>
      <c r="D422">
        <v>50</v>
      </c>
      <c r="E422" s="66">
        <v>20523.604987907216</v>
      </c>
      <c r="F422" s="66">
        <v>60.236574831207349</v>
      </c>
      <c r="G422">
        <f>+_xlfn.XLOOKUP(CURVA[[#This Row],[Fecha]],AV_PLAN[Días],AV_PLAN[INICIO REAL],"",0)</f>
        <v>0</v>
      </c>
      <c r="H422">
        <f>+_xlfn.XLOOKUP(CURVA[[#This Row],[Fecha]],AV_PLAN[Días],AV_PLAN[FECHA TERMINO REAL],"",0)</f>
        <v>0</v>
      </c>
      <c r="I422" s="13"/>
      <c r="J422">
        <f>+DAY(CURVA[[#This Row],[Fecha]])</f>
        <v>13</v>
      </c>
      <c r="K422" t="str">
        <f>+TEXT(CURVA[[#This Row],[Fecha]],"MMMM")</f>
        <v>abril</v>
      </c>
      <c r="L422">
        <f>+YEAR(CURVA[[#This Row],[Fecha]])</f>
        <v>2027</v>
      </c>
      <c r="M422" s="70">
        <f>CURVA[[#This Row],[% AVANCE REAL]]*MAX(CURVA[M2 Avance Programado])</f>
        <v>0</v>
      </c>
      <c r="N422" s="69">
        <f>IF(CURVA[[#This Row],[% AVANCE REAL]]="",0,M422-M421)</f>
        <v>0</v>
      </c>
    </row>
    <row r="423" spans="1:14" x14ac:dyDescent="0.25">
      <c r="A423" s="1">
        <v>46491</v>
      </c>
      <c r="B423" s="7">
        <v>0.970714962121212</v>
      </c>
      <c r="C423" s="7">
        <v>2.7698863636362869E-3</v>
      </c>
      <c r="D423">
        <v>49</v>
      </c>
      <c r="E423" s="66">
        <v>20582.335648367647</v>
      </c>
      <c r="F423" s="66">
        <v>58.73066046042846</v>
      </c>
      <c r="G423">
        <f>+_xlfn.XLOOKUP(CURVA[[#This Row],[Fecha]],AV_PLAN[Días],AV_PLAN[INICIO REAL],"",0)</f>
        <v>0</v>
      </c>
      <c r="H423">
        <f>+_xlfn.XLOOKUP(CURVA[[#This Row],[Fecha]],AV_PLAN[Días],AV_PLAN[FECHA TERMINO REAL],"",0)</f>
        <v>0</v>
      </c>
      <c r="I423" s="13"/>
      <c r="J423">
        <f>+DAY(CURVA[[#This Row],[Fecha]])</f>
        <v>14</v>
      </c>
      <c r="K423" t="str">
        <f>+TEXT(CURVA[[#This Row],[Fecha]],"MMMM")</f>
        <v>abril</v>
      </c>
      <c r="L423">
        <f>+YEAR(CURVA[[#This Row],[Fecha]])</f>
        <v>2027</v>
      </c>
      <c r="M423" s="69">
        <f>CURVA[[#This Row],[% AVANCE REAL]]*MAX(CURVA[M2 Avance Programado])</f>
        <v>0</v>
      </c>
      <c r="N423" s="69">
        <f>IF(CURVA[[#This Row],[% AVANCE REAL]]="",0,M423-M422)</f>
        <v>0</v>
      </c>
    </row>
    <row r="424" spans="1:14" x14ac:dyDescent="0.25">
      <c r="A424" s="1">
        <v>46492</v>
      </c>
      <c r="B424" s="7">
        <v>0.97329545454545463</v>
      </c>
      <c r="C424" s="7">
        <v>2.5804924242426308E-3</v>
      </c>
      <c r="D424">
        <v>46</v>
      </c>
      <c r="E424" s="66">
        <v>20637.050537172665</v>
      </c>
      <c r="F424" s="66">
        <v>54.714888805020443</v>
      </c>
      <c r="G424">
        <f>+_xlfn.XLOOKUP(CURVA[[#This Row],[Fecha]],AV_PLAN[Días],AV_PLAN[INICIO REAL],"",0)</f>
        <v>0</v>
      </c>
      <c r="H424">
        <f>+_xlfn.XLOOKUP(CURVA[[#This Row],[Fecha]],AV_PLAN[Días],AV_PLAN[FECHA TERMINO REAL],"",0)</f>
        <v>0</v>
      </c>
      <c r="I424" s="13"/>
      <c r="J424">
        <f>+DAY(CURVA[[#This Row],[Fecha]])</f>
        <v>15</v>
      </c>
      <c r="K424" t="str">
        <f>+TEXT(CURVA[[#This Row],[Fecha]],"MMMM")</f>
        <v>abril</v>
      </c>
      <c r="L424">
        <f>+YEAR(CURVA[[#This Row],[Fecha]])</f>
        <v>2027</v>
      </c>
      <c r="M424" s="70">
        <f>CURVA[[#This Row],[% AVANCE REAL]]*MAX(CURVA[M2 Avance Programado])</f>
        <v>0</v>
      </c>
      <c r="N424" s="69">
        <f>IF(CURVA[[#This Row],[% AVANCE REAL]]="",0,M424-M423)</f>
        <v>0</v>
      </c>
    </row>
    <row r="425" spans="1:14" x14ac:dyDescent="0.25">
      <c r="A425" s="1">
        <v>46493</v>
      </c>
      <c r="B425" s="7">
        <v>0.97568655303030338</v>
      </c>
      <c r="C425" s="7">
        <v>2.3910984848487526E-3</v>
      </c>
      <c r="D425">
        <v>43</v>
      </c>
      <c r="E425" s="66">
        <v>20687.749654322273</v>
      </c>
      <c r="F425" s="66">
        <v>50.699117149607723</v>
      </c>
      <c r="G425">
        <f>+_xlfn.XLOOKUP(CURVA[[#This Row],[Fecha]],AV_PLAN[Días],AV_PLAN[INICIO REAL],"",0)</f>
        <v>0</v>
      </c>
      <c r="H425">
        <f>+_xlfn.XLOOKUP(CURVA[[#This Row],[Fecha]],AV_PLAN[Días],AV_PLAN[FECHA TERMINO REAL],"",0)</f>
        <v>0</v>
      </c>
      <c r="I425" s="13"/>
      <c r="J425">
        <f>+DAY(CURVA[[#This Row],[Fecha]])</f>
        <v>16</v>
      </c>
      <c r="K425" t="str">
        <f>+TEXT(CURVA[[#This Row],[Fecha]],"MMMM")</f>
        <v>abril</v>
      </c>
      <c r="L425">
        <f>+YEAR(CURVA[[#This Row],[Fecha]])</f>
        <v>2027</v>
      </c>
      <c r="M425" s="69">
        <f>CURVA[[#This Row],[% AVANCE REAL]]*MAX(CURVA[M2 Avance Programado])</f>
        <v>0</v>
      </c>
      <c r="N425" s="69">
        <f>IF(CURVA[[#This Row],[% AVANCE REAL]]="",0,M425-M424)</f>
        <v>0</v>
      </c>
    </row>
    <row r="426" spans="1:14" x14ac:dyDescent="0.25">
      <c r="A426" s="1">
        <v>46494</v>
      </c>
      <c r="B426" s="7">
        <v>0.97798295454545436</v>
      </c>
      <c r="C426" s="7">
        <v>2.2964015151509809E-3</v>
      </c>
      <c r="D426">
        <v>41</v>
      </c>
      <c r="E426" s="66">
        <v>20736.440885644159</v>
      </c>
      <c r="F426" s="66">
        <v>48.691231321883706</v>
      </c>
      <c r="G426">
        <f>+_xlfn.XLOOKUP(CURVA[[#This Row],[Fecha]],AV_PLAN[Días],AV_PLAN[INICIO REAL],"",0)</f>
        <v>0</v>
      </c>
      <c r="H426">
        <f>+_xlfn.XLOOKUP(CURVA[[#This Row],[Fecha]],AV_PLAN[Días],AV_PLAN[FECHA TERMINO REAL],"",0)</f>
        <v>0</v>
      </c>
      <c r="I426" s="13"/>
      <c r="J426">
        <f>+DAY(CURVA[[#This Row],[Fecha]])</f>
        <v>17</v>
      </c>
      <c r="K426" t="str">
        <f>+TEXT(CURVA[[#This Row],[Fecha]],"MMMM")</f>
        <v>abril</v>
      </c>
      <c r="L426">
        <f>+YEAR(CURVA[[#This Row],[Fecha]])</f>
        <v>2027</v>
      </c>
      <c r="M426" s="70">
        <f>CURVA[[#This Row],[% AVANCE REAL]]*MAX(CURVA[M2 Avance Programado])</f>
        <v>0</v>
      </c>
      <c r="N426" s="69">
        <f>IF(CURVA[[#This Row],[% AVANCE REAL]]="",0,M426-M425)</f>
        <v>0</v>
      </c>
    </row>
    <row r="427" spans="1:14" x14ac:dyDescent="0.25">
      <c r="A427" s="1">
        <v>46495</v>
      </c>
      <c r="B427" s="7">
        <v>0.98018465909090868</v>
      </c>
      <c r="C427" s="7">
        <v>2.2017045454543194E-3</v>
      </c>
      <c r="D427">
        <v>39</v>
      </c>
      <c r="E427" s="66">
        <v>20783.124231138339</v>
      </c>
      <c r="F427" s="66">
        <v>46.683345494183222</v>
      </c>
      <c r="G427">
        <f>+_xlfn.XLOOKUP(CURVA[[#This Row],[Fecha]],AV_PLAN[Días],AV_PLAN[INICIO REAL],"",0)</f>
        <v>0</v>
      </c>
      <c r="H427">
        <f>+_xlfn.XLOOKUP(CURVA[[#This Row],[Fecha]],AV_PLAN[Días],AV_PLAN[FECHA TERMINO REAL],"",0)</f>
        <v>0</v>
      </c>
      <c r="I427" s="13"/>
      <c r="J427">
        <f>+DAY(CURVA[[#This Row],[Fecha]])</f>
        <v>18</v>
      </c>
      <c r="K427" t="str">
        <f>+TEXT(CURVA[[#This Row],[Fecha]],"MMMM")</f>
        <v>abril</v>
      </c>
      <c r="L427">
        <f>+YEAR(CURVA[[#This Row],[Fecha]])</f>
        <v>2027</v>
      </c>
      <c r="M427" s="69">
        <f>CURVA[[#This Row],[% AVANCE REAL]]*MAX(CURVA[M2 Avance Programado])</f>
        <v>0</v>
      </c>
      <c r="N427" s="69">
        <f>IF(CURVA[[#This Row],[% AVANCE REAL]]="",0,M427-M426)</f>
        <v>0</v>
      </c>
    </row>
    <row r="428" spans="1:14" x14ac:dyDescent="0.25">
      <c r="A428" s="1">
        <v>46496</v>
      </c>
      <c r="B428" s="7">
        <v>0.98226799242424268</v>
      </c>
      <c r="C428" s="7">
        <v>2.0833333333339921E-3</v>
      </c>
      <c r="D428">
        <v>37</v>
      </c>
      <c r="E428" s="66">
        <v>20827.297719347909</v>
      </c>
      <c r="F428" s="66">
        <v>44.17348820956822</v>
      </c>
      <c r="G428">
        <f>+_xlfn.XLOOKUP(CURVA[[#This Row],[Fecha]],AV_PLAN[Días],AV_PLAN[INICIO REAL],"",0)</f>
        <v>0</v>
      </c>
      <c r="H428">
        <f>+_xlfn.XLOOKUP(CURVA[[#This Row],[Fecha]],AV_PLAN[Días],AV_PLAN[FECHA TERMINO REAL],"",0)</f>
        <v>0</v>
      </c>
      <c r="I428" s="13"/>
      <c r="J428">
        <f>+DAY(CURVA[[#This Row],[Fecha]])</f>
        <v>19</v>
      </c>
      <c r="K428" t="str">
        <f>+TEXT(CURVA[[#This Row],[Fecha]],"MMMM")</f>
        <v>abril</v>
      </c>
      <c r="L428">
        <f>+YEAR(CURVA[[#This Row],[Fecha]])</f>
        <v>2027</v>
      </c>
      <c r="M428" s="70">
        <f>CURVA[[#This Row],[% AVANCE REAL]]*MAX(CURVA[M2 Avance Programado])</f>
        <v>0</v>
      </c>
      <c r="N428" s="69">
        <f>IF(CURVA[[#This Row],[% AVANCE REAL]]="",0,M428-M427)</f>
        <v>0</v>
      </c>
    </row>
    <row r="429" spans="1:14" x14ac:dyDescent="0.25">
      <c r="A429" s="1">
        <v>46497</v>
      </c>
      <c r="B429" s="7">
        <v>0.98428030303030312</v>
      </c>
      <c r="C429" s="7">
        <v>2.0123106060604412E-3</v>
      </c>
      <c r="D429">
        <v>36</v>
      </c>
      <c r="E429" s="66">
        <v>20869.96529318668</v>
      </c>
      <c r="F429" s="66">
        <v>42.667573838770501</v>
      </c>
      <c r="G429">
        <f>+_xlfn.XLOOKUP(CURVA[[#This Row],[Fecha]],AV_PLAN[Días],AV_PLAN[INICIO REAL],"",0)</f>
        <v>0</v>
      </c>
      <c r="H429">
        <f>+_xlfn.XLOOKUP(CURVA[[#This Row],[Fecha]],AV_PLAN[Días],AV_PLAN[FECHA TERMINO REAL],"",0)</f>
        <v>0</v>
      </c>
      <c r="I429" s="13"/>
      <c r="J429">
        <f>+DAY(CURVA[[#This Row],[Fecha]])</f>
        <v>20</v>
      </c>
      <c r="K429" t="str">
        <f>+TEXT(CURVA[[#This Row],[Fecha]],"MMMM")</f>
        <v>abril</v>
      </c>
      <c r="L429">
        <f>+YEAR(CURVA[[#This Row],[Fecha]])</f>
        <v>2027</v>
      </c>
      <c r="M429" s="69">
        <f>CURVA[[#This Row],[% AVANCE REAL]]*MAX(CURVA[M2 Avance Programado])</f>
        <v>0</v>
      </c>
      <c r="N429" s="69">
        <f>IF(CURVA[[#This Row],[% AVANCE REAL]]="",0,M429-M428)</f>
        <v>0</v>
      </c>
    </row>
    <row r="430" spans="1:14" x14ac:dyDescent="0.25">
      <c r="A430" s="1">
        <v>46498</v>
      </c>
      <c r="B430" s="7">
        <v>0.98615056818181801</v>
      </c>
      <c r="C430" s="7">
        <v>1.8702651515148938E-3</v>
      </c>
      <c r="D430">
        <v>34</v>
      </c>
      <c r="E430" s="66">
        <v>20909.621038283887</v>
      </c>
      <c r="F430" s="66">
        <v>39.655745097208019</v>
      </c>
      <c r="G430">
        <f>+_xlfn.XLOOKUP(CURVA[[#This Row],[Fecha]],AV_PLAN[Días],AV_PLAN[INICIO REAL],"",0)</f>
        <v>0</v>
      </c>
      <c r="H430">
        <f>+_xlfn.XLOOKUP(CURVA[[#This Row],[Fecha]],AV_PLAN[Días],AV_PLAN[FECHA TERMINO REAL],"",0)</f>
        <v>0</v>
      </c>
      <c r="I430" s="13"/>
      <c r="J430">
        <f>+DAY(CURVA[[#This Row],[Fecha]])</f>
        <v>21</v>
      </c>
      <c r="K430" t="str">
        <f>+TEXT(CURVA[[#This Row],[Fecha]],"MMMM")</f>
        <v>abril</v>
      </c>
      <c r="L430">
        <f>+YEAR(CURVA[[#This Row],[Fecha]])</f>
        <v>2027</v>
      </c>
      <c r="M430" s="70">
        <f>CURVA[[#This Row],[% AVANCE REAL]]*MAX(CURVA[M2 Avance Programado])</f>
        <v>0</v>
      </c>
      <c r="N430" s="69">
        <f>IF(CURVA[[#This Row],[% AVANCE REAL]]="",0,M430-M429)</f>
        <v>0</v>
      </c>
    </row>
    <row r="431" spans="1:14" x14ac:dyDescent="0.25">
      <c r="A431" s="1">
        <v>46499</v>
      </c>
      <c r="B431" s="7">
        <v>0.98783143939393914</v>
      </c>
      <c r="C431" s="7">
        <v>1.6808712121211267E-3</v>
      </c>
      <c r="D431">
        <v>31</v>
      </c>
      <c r="E431" s="66">
        <v>20945.261011725685</v>
      </c>
      <c r="F431" s="66">
        <v>35.639973441797643</v>
      </c>
      <c r="G431">
        <f>+_xlfn.XLOOKUP(CURVA[[#This Row],[Fecha]],AV_PLAN[Días],AV_PLAN[INICIO REAL],"",0)</f>
        <v>0</v>
      </c>
      <c r="H431">
        <f>+_xlfn.XLOOKUP(CURVA[[#This Row],[Fecha]],AV_PLAN[Días],AV_PLAN[FECHA TERMINO REAL],"",0)</f>
        <v>0</v>
      </c>
      <c r="I431" s="13"/>
      <c r="J431">
        <f>+DAY(CURVA[[#This Row],[Fecha]])</f>
        <v>22</v>
      </c>
      <c r="K431" t="str">
        <f>+TEXT(CURVA[[#This Row],[Fecha]],"MMMM")</f>
        <v>abril</v>
      </c>
      <c r="L431">
        <f>+YEAR(CURVA[[#This Row],[Fecha]])</f>
        <v>2027</v>
      </c>
      <c r="M431" s="69">
        <f>CURVA[[#This Row],[% AVANCE REAL]]*MAX(CURVA[M2 Avance Programado])</f>
        <v>0</v>
      </c>
      <c r="N431" s="69">
        <f>IF(CURVA[[#This Row],[% AVANCE REAL]]="",0,M431-M430)</f>
        <v>0</v>
      </c>
    </row>
    <row r="432" spans="1:14" x14ac:dyDescent="0.25">
      <c r="A432" s="1">
        <v>46500</v>
      </c>
      <c r="B432" s="7">
        <v>0.98934659090909105</v>
      </c>
      <c r="C432" s="7">
        <v>1.5151515151519135E-3</v>
      </c>
      <c r="D432">
        <v>28</v>
      </c>
      <c r="E432" s="66">
        <v>20977.387184969008</v>
      </c>
      <c r="F432" s="66">
        <v>32.126173243320629</v>
      </c>
      <c r="G432">
        <f>+_xlfn.XLOOKUP(CURVA[[#This Row],[Fecha]],AV_PLAN[Días],AV_PLAN[INICIO REAL],"",0)</f>
        <v>0</v>
      </c>
      <c r="H432">
        <f>+_xlfn.XLOOKUP(CURVA[[#This Row],[Fecha]],AV_PLAN[Días],AV_PLAN[FECHA TERMINO REAL],"",0)</f>
        <v>0</v>
      </c>
      <c r="I432" s="13"/>
      <c r="J432">
        <f>+DAY(CURVA[[#This Row],[Fecha]])</f>
        <v>23</v>
      </c>
      <c r="K432" t="str">
        <f>+TEXT(CURVA[[#This Row],[Fecha]],"MMMM")</f>
        <v>abril</v>
      </c>
      <c r="L432">
        <f>+YEAR(CURVA[[#This Row],[Fecha]])</f>
        <v>2027</v>
      </c>
      <c r="M432" s="70">
        <f>CURVA[[#This Row],[% AVANCE REAL]]*MAX(CURVA[M2 Avance Programado])</f>
        <v>0</v>
      </c>
      <c r="N432" s="69">
        <f>IF(CURVA[[#This Row],[% AVANCE REAL]]="",0,M432-M431)</f>
        <v>0</v>
      </c>
    </row>
    <row r="433" spans="1:14" x14ac:dyDescent="0.25">
      <c r="A433" s="1">
        <v>46501</v>
      </c>
      <c r="B433" s="7">
        <v>0.99076704545454564</v>
      </c>
      <c r="C433" s="7">
        <v>1.4204545454545858E-3</v>
      </c>
      <c r="D433">
        <v>26</v>
      </c>
      <c r="E433" s="66">
        <v>21007.505472384611</v>
      </c>
      <c r="F433" s="66">
        <v>30.11828741560603</v>
      </c>
      <c r="G433">
        <f>+_xlfn.XLOOKUP(CURVA[[#This Row],[Fecha]],AV_PLAN[Días],AV_PLAN[INICIO REAL],"",0)</f>
        <v>0</v>
      </c>
      <c r="H433">
        <f>+_xlfn.XLOOKUP(CURVA[[#This Row],[Fecha]],AV_PLAN[Días],AV_PLAN[FECHA TERMINO REAL],"",0)</f>
        <v>0</v>
      </c>
      <c r="I433" s="13"/>
      <c r="J433">
        <f>+DAY(CURVA[[#This Row],[Fecha]])</f>
        <v>24</v>
      </c>
      <c r="K433" t="str">
        <f>+TEXT(CURVA[[#This Row],[Fecha]],"MMMM")</f>
        <v>abril</v>
      </c>
      <c r="L433">
        <f>+YEAR(CURVA[[#This Row],[Fecha]])</f>
        <v>2027</v>
      </c>
      <c r="M433" s="69">
        <f>CURVA[[#This Row],[% AVANCE REAL]]*MAX(CURVA[M2 Avance Programado])</f>
        <v>0</v>
      </c>
      <c r="N433" s="69">
        <f>IF(CURVA[[#This Row],[% AVANCE REAL]]="",0,M433-M432)</f>
        <v>0</v>
      </c>
    </row>
    <row r="434" spans="1:14" x14ac:dyDescent="0.25">
      <c r="A434" s="1">
        <v>46502</v>
      </c>
      <c r="B434" s="7">
        <v>0.99214015151515145</v>
      </c>
      <c r="C434" s="7">
        <v>1.373106060605811E-3</v>
      </c>
      <c r="D434">
        <v>25</v>
      </c>
      <c r="E434" s="66">
        <v>21036.619816886359</v>
      </c>
      <c r="F434" s="66">
        <v>29.114344501746373</v>
      </c>
      <c r="G434">
        <f>+_xlfn.XLOOKUP(CURVA[[#This Row],[Fecha]],AV_PLAN[Días],AV_PLAN[INICIO REAL],"",0)</f>
        <v>0</v>
      </c>
      <c r="H434">
        <f>+_xlfn.XLOOKUP(CURVA[[#This Row],[Fecha]],AV_PLAN[Días],AV_PLAN[FECHA TERMINO REAL],"",0)</f>
        <v>0</v>
      </c>
      <c r="I434" s="13"/>
      <c r="J434">
        <f>+DAY(CURVA[[#This Row],[Fecha]])</f>
        <v>25</v>
      </c>
      <c r="K434" t="str">
        <f>+TEXT(CURVA[[#This Row],[Fecha]],"MMMM")</f>
        <v>abril</v>
      </c>
      <c r="L434">
        <f>+YEAR(CURVA[[#This Row],[Fecha]])</f>
        <v>2027</v>
      </c>
      <c r="M434" s="70">
        <f>CURVA[[#This Row],[% AVANCE REAL]]*MAX(CURVA[M2 Avance Programado])</f>
        <v>0</v>
      </c>
      <c r="N434" s="69">
        <f>IF(CURVA[[#This Row],[% AVANCE REAL]]="",0,M434-M433)</f>
        <v>0</v>
      </c>
    </row>
    <row r="435" spans="1:14" x14ac:dyDescent="0.25">
      <c r="A435" s="1">
        <v>46503</v>
      </c>
      <c r="B435" s="7">
        <v>0.9933948863636366</v>
      </c>
      <c r="C435" s="7">
        <v>1.2547348484851506E-3</v>
      </c>
      <c r="D435">
        <v>23</v>
      </c>
      <c r="E435" s="66">
        <v>21063.224304103482</v>
      </c>
      <c r="F435" s="66">
        <v>26.604487217124309</v>
      </c>
      <c r="G435">
        <f>+_xlfn.XLOOKUP(CURVA[[#This Row],[Fecha]],AV_PLAN[Días],AV_PLAN[INICIO REAL],"",0)</f>
        <v>0</v>
      </c>
      <c r="H435">
        <f>+_xlfn.XLOOKUP(CURVA[[#This Row],[Fecha]],AV_PLAN[Días],AV_PLAN[FECHA TERMINO REAL],"",0)</f>
        <v>0</v>
      </c>
      <c r="I435" s="13"/>
      <c r="J435">
        <f>+DAY(CURVA[[#This Row],[Fecha]])</f>
        <v>26</v>
      </c>
      <c r="K435" t="str">
        <f>+TEXT(CURVA[[#This Row],[Fecha]],"MMMM")</f>
        <v>abril</v>
      </c>
      <c r="L435">
        <f>+YEAR(CURVA[[#This Row],[Fecha]])</f>
        <v>2027</v>
      </c>
      <c r="M435" s="69">
        <f>CURVA[[#This Row],[% AVANCE REAL]]*MAX(CURVA[M2 Avance Programado])</f>
        <v>0</v>
      </c>
      <c r="N435" s="69">
        <f>IF(CURVA[[#This Row],[% AVANCE REAL]]="",0,M435-M434)</f>
        <v>0</v>
      </c>
    </row>
    <row r="436" spans="1:14" x14ac:dyDescent="0.25">
      <c r="A436" s="1">
        <v>46504</v>
      </c>
      <c r="B436" s="7">
        <v>0.99450757575757587</v>
      </c>
      <c r="C436" s="7">
        <v>1.1126893939392701E-3</v>
      </c>
      <c r="D436">
        <v>21</v>
      </c>
      <c r="E436" s="66">
        <v>21086.816962579036</v>
      </c>
      <c r="F436" s="66">
        <v>23.59265847555476</v>
      </c>
      <c r="G436">
        <f>+_xlfn.XLOOKUP(CURVA[[#This Row],[Fecha]],AV_PLAN[Días],AV_PLAN[INICIO REAL],"",0)</f>
        <v>0</v>
      </c>
      <c r="H436">
        <f>+_xlfn.XLOOKUP(CURVA[[#This Row],[Fecha]],AV_PLAN[Días],AV_PLAN[FECHA TERMINO REAL],"",0)</f>
        <v>0</v>
      </c>
      <c r="I436" s="13"/>
      <c r="J436">
        <f>+DAY(CURVA[[#This Row],[Fecha]])</f>
        <v>27</v>
      </c>
      <c r="K436" t="str">
        <f>+TEXT(CURVA[[#This Row],[Fecha]],"MMMM")</f>
        <v>abril</v>
      </c>
      <c r="L436">
        <f>+YEAR(CURVA[[#This Row],[Fecha]])</f>
        <v>2027</v>
      </c>
      <c r="M436" s="70">
        <f>CURVA[[#This Row],[% AVANCE REAL]]*MAX(CURVA[M2 Avance Programado])</f>
        <v>0</v>
      </c>
      <c r="N436" s="69">
        <f>IF(CURVA[[#This Row],[% AVANCE REAL]]="",0,M436-M435)</f>
        <v>0</v>
      </c>
    </row>
    <row r="437" spans="1:14" x14ac:dyDescent="0.25">
      <c r="A437" s="1">
        <v>46505</v>
      </c>
      <c r="B437" s="7">
        <v>0.99547821969696959</v>
      </c>
      <c r="C437" s="7">
        <v>9.7064393939372273E-4</v>
      </c>
      <c r="D437">
        <v>19</v>
      </c>
      <c r="E437" s="66">
        <v>21107.39779231303</v>
      </c>
      <c r="F437" s="66">
        <v>20.580829733992275</v>
      </c>
      <c r="G437">
        <f>+_xlfn.XLOOKUP(CURVA[[#This Row],[Fecha]],AV_PLAN[Días],AV_PLAN[INICIO REAL],"",0)</f>
        <v>0</v>
      </c>
      <c r="H437">
        <f>+_xlfn.XLOOKUP(CURVA[[#This Row],[Fecha]],AV_PLAN[Días],AV_PLAN[FECHA TERMINO REAL],"",0)</f>
        <v>0</v>
      </c>
      <c r="I437" s="13"/>
      <c r="J437">
        <f>+DAY(CURVA[[#This Row],[Fecha]])</f>
        <v>28</v>
      </c>
      <c r="K437" t="str">
        <f>+TEXT(CURVA[[#This Row],[Fecha]],"MMMM")</f>
        <v>abril</v>
      </c>
      <c r="L437">
        <f>+YEAR(CURVA[[#This Row],[Fecha]])</f>
        <v>2027</v>
      </c>
      <c r="M437" s="69">
        <f>CURVA[[#This Row],[% AVANCE REAL]]*MAX(CURVA[M2 Avance Programado])</f>
        <v>0</v>
      </c>
      <c r="N437" s="69">
        <f>IF(CURVA[[#This Row],[% AVANCE REAL]]="",0,M437-M436)</f>
        <v>0</v>
      </c>
    </row>
    <row r="438" spans="1:14" x14ac:dyDescent="0.25">
      <c r="A438" s="1">
        <v>46506</v>
      </c>
      <c r="B438" s="7">
        <v>0.99628314393939377</v>
      </c>
      <c r="C438" s="7">
        <v>8.0492424242417648E-4</v>
      </c>
      <c r="D438">
        <v>16</v>
      </c>
      <c r="E438" s="66">
        <v>21124.464821848534</v>
      </c>
      <c r="F438" s="66">
        <v>17.067029535508201</v>
      </c>
      <c r="G438">
        <f>+_xlfn.XLOOKUP(CURVA[[#This Row],[Fecha]],AV_PLAN[Días],AV_PLAN[INICIO REAL],"",0)</f>
        <v>0</v>
      </c>
      <c r="H438">
        <f>+_xlfn.XLOOKUP(CURVA[[#This Row],[Fecha]],AV_PLAN[Días],AV_PLAN[FECHA TERMINO REAL],"",0)</f>
        <v>0</v>
      </c>
      <c r="I438" s="13"/>
      <c r="J438">
        <f>+DAY(CURVA[[#This Row],[Fecha]])</f>
        <v>29</v>
      </c>
      <c r="K438" t="str">
        <f>+TEXT(CURVA[[#This Row],[Fecha]],"MMMM")</f>
        <v>abril</v>
      </c>
      <c r="L438">
        <f>+YEAR(CURVA[[#This Row],[Fecha]])</f>
        <v>2027</v>
      </c>
      <c r="M438" s="70">
        <f>CURVA[[#This Row],[% AVANCE REAL]]*MAX(CURVA[M2 Avance Programado])</f>
        <v>0</v>
      </c>
      <c r="N438" s="69">
        <f>IF(CURVA[[#This Row],[% AVANCE REAL]]="",0,M438-M437)</f>
        <v>0</v>
      </c>
    </row>
    <row r="439" spans="1:14" x14ac:dyDescent="0.25">
      <c r="A439" s="1">
        <v>46507</v>
      </c>
      <c r="B439" s="7">
        <v>0.99692234848484851</v>
      </c>
      <c r="C439" s="7">
        <v>6.3920454545474126E-4</v>
      </c>
      <c r="D439">
        <v>13</v>
      </c>
      <c r="E439" s="66">
        <v>21138.018051185565</v>
      </c>
      <c r="F439" s="66">
        <v>13.55322933702648</v>
      </c>
      <c r="G439">
        <f>+_xlfn.XLOOKUP(CURVA[[#This Row],[Fecha]],AV_PLAN[Días],AV_PLAN[INICIO REAL],"",0)</f>
        <v>0</v>
      </c>
      <c r="H439">
        <f>+_xlfn.XLOOKUP(CURVA[[#This Row],[Fecha]],AV_PLAN[Días],AV_PLAN[FECHA TERMINO REAL],"",0)</f>
        <v>0</v>
      </c>
      <c r="I439" s="13"/>
      <c r="J439">
        <f>+DAY(CURVA[[#This Row],[Fecha]])</f>
        <v>30</v>
      </c>
      <c r="K439" t="str">
        <f>+TEXT(CURVA[[#This Row],[Fecha]],"MMMM")</f>
        <v>abril</v>
      </c>
      <c r="L439">
        <f>+YEAR(CURVA[[#This Row],[Fecha]])</f>
        <v>2027</v>
      </c>
      <c r="M439" s="69">
        <f>CURVA[[#This Row],[% AVANCE REAL]]*MAX(CURVA[M2 Avance Programado])</f>
        <v>0</v>
      </c>
      <c r="N439" s="69">
        <f>IF(CURVA[[#This Row],[% AVANCE REAL]]="",0,M439-M438)</f>
        <v>0</v>
      </c>
    </row>
    <row r="440" spans="1:14" x14ac:dyDescent="0.25">
      <c r="A440" s="1">
        <v>46508</v>
      </c>
      <c r="B440" s="7">
        <v>0.9975142045454547</v>
      </c>
      <c r="C440" s="7">
        <v>5.9185606060618845E-4</v>
      </c>
      <c r="D440">
        <v>12</v>
      </c>
      <c r="E440" s="66">
        <v>21150.567337608736</v>
      </c>
      <c r="F440" s="66">
        <v>12.549286423171534</v>
      </c>
      <c r="G440">
        <f>+_xlfn.XLOOKUP(CURVA[[#This Row],[Fecha]],AV_PLAN[Días],AV_PLAN[INICIO REAL],"",0)</f>
        <v>0</v>
      </c>
      <c r="H440">
        <f>+_xlfn.XLOOKUP(CURVA[[#This Row],[Fecha]],AV_PLAN[Días],AV_PLAN[FECHA TERMINO REAL],"",0)</f>
        <v>0</v>
      </c>
      <c r="I440" s="13"/>
      <c r="J440">
        <f>+DAY(CURVA[[#This Row],[Fecha]])</f>
        <v>1</v>
      </c>
      <c r="K440" t="str">
        <f>+TEXT(CURVA[[#This Row],[Fecha]],"MMMM")</f>
        <v>mayo</v>
      </c>
      <c r="L440">
        <f>+YEAR(CURVA[[#This Row],[Fecha]])</f>
        <v>2027</v>
      </c>
      <c r="M440" s="70">
        <f>CURVA[[#This Row],[% AVANCE REAL]]*MAX(CURVA[M2 Avance Programado])</f>
        <v>0</v>
      </c>
      <c r="N440" s="69">
        <f>IF(CURVA[[#This Row],[% AVANCE REAL]]="",0,M440-M439)</f>
        <v>0</v>
      </c>
    </row>
    <row r="441" spans="1:14" x14ac:dyDescent="0.25">
      <c r="A441" s="1">
        <v>46509</v>
      </c>
      <c r="B441" s="7">
        <v>0.998058712121212</v>
      </c>
      <c r="C441" s="7">
        <v>5.4450757575730258E-4</v>
      </c>
      <c r="D441">
        <v>11</v>
      </c>
      <c r="E441" s="66">
        <v>21162.112681118044</v>
      </c>
      <c r="F441" s="66">
        <v>11.545343509309523</v>
      </c>
      <c r="G441">
        <f>+_xlfn.XLOOKUP(CURVA[[#This Row],[Fecha]],AV_PLAN[Días],AV_PLAN[INICIO REAL],"",0)</f>
        <v>0</v>
      </c>
      <c r="H441">
        <f>+_xlfn.XLOOKUP(CURVA[[#This Row],[Fecha]],AV_PLAN[Días],AV_PLAN[FECHA TERMINO REAL],"",0)</f>
        <v>0</v>
      </c>
      <c r="I441" s="13"/>
      <c r="J441">
        <f>+DAY(CURVA[[#This Row],[Fecha]])</f>
        <v>2</v>
      </c>
      <c r="K441" t="str">
        <f>+TEXT(CURVA[[#This Row],[Fecha]],"MMMM")</f>
        <v>mayo</v>
      </c>
      <c r="L441">
        <f>+YEAR(CURVA[[#This Row],[Fecha]])</f>
        <v>2027</v>
      </c>
      <c r="M441" s="69">
        <f>CURVA[[#This Row],[% AVANCE REAL]]*MAX(CURVA[M2 Avance Programado])</f>
        <v>0</v>
      </c>
      <c r="N441" s="69">
        <f>IF(CURVA[[#This Row],[% AVANCE REAL]]="",0,M441-M440)</f>
        <v>0</v>
      </c>
    </row>
    <row r="442" spans="1:14" x14ac:dyDescent="0.25">
      <c r="A442" s="1">
        <v>46510</v>
      </c>
      <c r="B442" s="7">
        <v>0.99843749999999976</v>
      </c>
      <c r="C442" s="7">
        <v>3.7878787878775633E-4</v>
      </c>
      <c r="D442">
        <v>8</v>
      </c>
      <c r="E442" s="66">
        <v>21170.14422442887</v>
      </c>
      <c r="F442" s="66">
        <v>8.0315433108254499</v>
      </c>
      <c r="G442">
        <f>+_xlfn.XLOOKUP(CURVA[[#This Row],[Fecha]],AV_PLAN[Días],AV_PLAN[INICIO REAL],"",0)</f>
        <v>0</v>
      </c>
      <c r="H442">
        <f>+_xlfn.XLOOKUP(CURVA[[#This Row],[Fecha]],AV_PLAN[Días],AV_PLAN[FECHA TERMINO REAL],"",0)</f>
        <v>0</v>
      </c>
      <c r="I442" s="13"/>
      <c r="J442">
        <f>+DAY(CURVA[[#This Row],[Fecha]])</f>
        <v>3</v>
      </c>
      <c r="K442" t="str">
        <f>+TEXT(CURVA[[#This Row],[Fecha]],"MMMM")</f>
        <v>mayo</v>
      </c>
      <c r="L442">
        <f>+YEAR(CURVA[[#This Row],[Fecha]])</f>
        <v>2027</v>
      </c>
      <c r="M442" s="70">
        <f>CURVA[[#This Row],[% AVANCE REAL]]*MAX(CURVA[M2 Avance Programado])</f>
        <v>0</v>
      </c>
      <c r="N442" s="69">
        <f>IF(CURVA[[#This Row],[% AVANCE REAL]]="",0,M442-M441)</f>
        <v>0</v>
      </c>
    </row>
    <row r="443" spans="1:14" x14ac:dyDescent="0.25">
      <c r="A443" s="1">
        <v>46511</v>
      </c>
      <c r="B443" s="7">
        <v>0.99881628787878796</v>
      </c>
      <c r="C443" s="7">
        <v>3.7878787878820042E-4</v>
      </c>
      <c r="D443">
        <v>8</v>
      </c>
      <c r="E443" s="66">
        <v>21178.175767739707</v>
      </c>
      <c r="F443" s="66">
        <v>8.0315433108348664</v>
      </c>
      <c r="G443">
        <f>+_xlfn.XLOOKUP(CURVA[[#This Row],[Fecha]],AV_PLAN[Días],AV_PLAN[INICIO REAL],"",0)</f>
        <v>0</v>
      </c>
      <c r="H443">
        <f>+_xlfn.XLOOKUP(CURVA[[#This Row],[Fecha]],AV_PLAN[Días],AV_PLAN[FECHA TERMINO REAL],"",0)</f>
        <v>0</v>
      </c>
      <c r="I443" s="13"/>
      <c r="J443">
        <f>+DAY(CURVA[[#This Row],[Fecha]])</f>
        <v>4</v>
      </c>
      <c r="K443" t="str">
        <f>+TEXT(CURVA[[#This Row],[Fecha]],"MMMM")</f>
        <v>mayo</v>
      </c>
      <c r="L443">
        <f>+YEAR(CURVA[[#This Row],[Fecha]])</f>
        <v>2027</v>
      </c>
      <c r="M443" s="69">
        <f>CURVA[[#This Row],[% AVANCE REAL]]*MAX(CURVA[M2 Avance Programado])</f>
        <v>0</v>
      </c>
      <c r="N443" s="69">
        <f>IF(CURVA[[#This Row],[% AVANCE REAL]]="",0,M443-M442)</f>
        <v>0</v>
      </c>
    </row>
    <row r="444" spans="1:14" x14ac:dyDescent="0.25">
      <c r="A444" s="1">
        <v>46512</v>
      </c>
      <c r="B444" s="7">
        <v>0.99919507575757571</v>
      </c>
      <c r="C444" s="7">
        <v>3.7878787878775633E-4</v>
      </c>
      <c r="D444">
        <v>8</v>
      </c>
      <c r="E444" s="66">
        <v>21186.20731105053</v>
      </c>
      <c r="F444" s="66">
        <v>8.0315433108254499</v>
      </c>
      <c r="G444">
        <f>+_xlfn.XLOOKUP(CURVA[[#This Row],[Fecha]],AV_PLAN[Días],AV_PLAN[INICIO REAL],"",0)</f>
        <v>0</v>
      </c>
      <c r="H444">
        <f>+_xlfn.XLOOKUP(CURVA[[#This Row],[Fecha]],AV_PLAN[Días],AV_PLAN[FECHA TERMINO REAL],"",0)</f>
        <v>0</v>
      </c>
      <c r="I444" s="13"/>
      <c r="J444">
        <f>+DAY(CURVA[[#This Row],[Fecha]])</f>
        <v>5</v>
      </c>
      <c r="K444" t="str">
        <f>+TEXT(CURVA[[#This Row],[Fecha]],"MMMM")</f>
        <v>mayo</v>
      </c>
      <c r="L444">
        <f>+YEAR(CURVA[[#This Row],[Fecha]])</f>
        <v>2027</v>
      </c>
      <c r="M444" s="70">
        <f>CURVA[[#This Row],[% AVANCE REAL]]*MAX(CURVA[M2 Avance Programado])</f>
        <v>0</v>
      </c>
      <c r="N444" s="69">
        <f>IF(CURVA[[#This Row],[% AVANCE REAL]]="",0,M444-M443)</f>
        <v>0</v>
      </c>
    </row>
    <row r="445" spans="1:14" x14ac:dyDescent="0.25">
      <c r="A445" s="1">
        <v>46513</v>
      </c>
      <c r="B445" s="7">
        <v>0.99947916666666647</v>
      </c>
      <c r="C445" s="7">
        <v>2.8409090909076173E-4</v>
      </c>
      <c r="D445">
        <v>6</v>
      </c>
      <c r="E445" s="66">
        <v>21192.230968533648</v>
      </c>
      <c r="F445" s="66">
        <v>6.0236574831179102</v>
      </c>
      <c r="G445">
        <f>+_xlfn.XLOOKUP(CURVA[[#This Row],[Fecha]],AV_PLAN[Días],AV_PLAN[INICIO REAL],"",0)</f>
        <v>0</v>
      </c>
      <c r="H445">
        <f>+_xlfn.XLOOKUP(CURVA[[#This Row],[Fecha]],AV_PLAN[Días],AV_PLAN[FECHA TERMINO REAL],"",0)</f>
        <v>0</v>
      </c>
      <c r="I445" s="13"/>
      <c r="J445">
        <f>+DAY(CURVA[[#This Row],[Fecha]])</f>
        <v>6</v>
      </c>
      <c r="K445" t="str">
        <f>+TEXT(CURVA[[#This Row],[Fecha]],"MMMM")</f>
        <v>mayo</v>
      </c>
      <c r="L445">
        <f>+YEAR(CURVA[[#This Row],[Fecha]])</f>
        <v>2027</v>
      </c>
      <c r="M445" s="69">
        <f>CURVA[[#This Row],[% AVANCE REAL]]*MAX(CURVA[M2 Avance Programado])</f>
        <v>0</v>
      </c>
      <c r="N445" s="69">
        <f>IF(CURVA[[#This Row],[% AVANCE REAL]]="",0,M445-M444)</f>
        <v>0</v>
      </c>
    </row>
    <row r="446" spans="1:14" x14ac:dyDescent="0.25">
      <c r="A446" s="1">
        <v>46514</v>
      </c>
      <c r="B446" s="7">
        <v>0.99971590909090902</v>
      </c>
      <c r="C446" s="7">
        <v>2.3674242424254199E-4</v>
      </c>
      <c r="D446">
        <v>5</v>
      </c>
      <c r="E446" s="66">
        <v>21197.25068310292</v>
      </c>
      <c r="F446" s="66">
        <v>5.0197145692700254</v>
      </c>
      <c r="G446">
        <f>+_xlfn.XLOOKUP(CURVA[[#This Row],[Fecha]],AV_PLAN[Días],AV_PLAN[INICIO REAL],"",0)</f>
        <v>0</v>
      </c>
      <c r="H446">
        <f>+_xlfn.XLOOKUP(CURVA[[#This Row],[Fecha]],AV_PLAN[Días],AV_PLAN[FECHA TERMINO REAL],"",0)</f>
        <v>0</v>
      </c>
      <c r="I446" s="13"/>
      <c r="J446">
        <f>+DAY(CURVA[[#This Row],[Fecha]])</f>
        <v>7</v>
      </c>
      <c r="K446" t="str">
        <f>+TEXT(CURVA[[#This Row],[Fecha]],"MMMM")</f>
        <v>mayo</v>
      </c>
      <c r="L446">
        <f>+YEAR(CURVA[[#This Row],[Fecha]])</f>
        <v>2027</v>
      </c>
      <c r="M446" s="70">
        <f>CURVA[[#This Row],[% AVANCE REAL]]*MAX(CURVA[M2 Avance Programado])</f>
        <v>0</v>
      </c>
      <c r="N446" s="69">
        <f>IF(CURVA[[#This Row],[% AVANCE REAL]]="",0,M446-M445)</f>
        <v>0</v>
      </c>
    </row>
    <row r="447" spans="1:14" x14ac:dyDescent="0.25">
      <c r="A447" s="1">
        <v>46515</v>
      </c>
      <c r="B447" s="7">
        <v>0.99990530303030312</v>
      </c>
      <c r="C447" s="7">
        <v>1.8939393939410021E-4</v>
      </c>
      <c r="D447">
        <v>4</v>
      </c>
      <c r="E447" s="66">
        <v>21201.266454758337</v>
      </c>
      <c r="F447" s="66">
        <v>4.0157716554174332</v>
      </c>
      <c r="G447">
        <f>+_xlfn.XLOOKUP(CURVA[[#This Row],[Fecha]],AV_PLAN[Días],AV_PLAN[INICIO REAL],"",0)</f>
        <v>0</v>
      </c>
      <c r="H447">
        <f>+_xlfn.XLOOKUP(CURVA[[#This Row],[Fecha]],AV_PLAN[Días],AV_PLAN[FECHA TERMINO REAL],"",0)</f>
        <v>0</v>
      </c>
      <c r="I447" s="13"/>
      <c r="J447">
        <f>+DAY(CURVA[[#This Row],[Fecha]])</f>
        <v>8</v>
      </c>
      <c r="K447" t="str">
        <f>+TEXT(CURVA[[#This Row],[Fecha]],"MMMM")</f>
        <v>mayo</v>
      </c>
      <c r="L447">
        <f>+YEAR(CURVA[[#This Row],[Fecha]])</f>
        <v>2027</v>
      </c>
      <c r="M447" s="69">
        <f>CURVA[[#This Row],[% AVANCE REAL]]*MAX(CURVA[M2 Avance Programado])</f>
        <v>0</v>
      </c>
      <c r="N447" s="69">
        <f>IF(CURVA[[#This Row],[% AVANCE REAL]]="",0,M447-M446)</f>
        <v>0</v>
      </c>
    </row>
    <row r="448" spans="1:14" x14ac:dyDescent="0.25">
      <c r="A448" s="1">
        <v>46516</v>
      </c>
      <c r="B448" s="7">
        <v>1</v>
      </c>
      <c r="C448" s="7">
        <v>9.4696969696883571E-5</v>
      </c>
      <c r="D448">
        <v>2</v>
      </c>
      <c r="E448" s="66">
        <v>21203.274340586038</v>
      </c>
      <c r="F448" s="66">
        <v>2.0078858277051852</v>
      </c>
      <c r="G448">
        <f>+_xlfn.XLOOKUP(CURVA[[#This Row],[Fecha]],AV_PLAN[Días],AV_PLAN[INICIO REAL],"",0)</f>
        <v>0</v>
      </c>
      <c r="H448">
        <f>+_xlfn.XLOOKUP(CURVA[[#This Row],[Fecha]],AV_PLAN[Días],AV_PLAN[FECHA TERMINO REAL],"",0)</f>
        <v>0</v>
      </c>
      <c r="I448" s="13"/>
      <c r="J448">
        <f>+DAY(CURVA[[#This Row],[Fecha]])</f>
        <v>9</v>
      </c>
      <c r="K448" t="str">
        <f>+TEXT(CURVA[[#This Row],[Fecha]],"MMMM")</f>
        <v>mayo</v>
      </c>
      <c r="L448">
        <f>+YEAR(CURVA[[#This Row],[Fecha]])</f>
        <v>2027</v>
      </c>
      <c r="M448" s="70">
        <f>CURVA[[#This Row],[% AVANCE REAL]]*MAX(CURVA[M2 Avance Programado])</f>
        <v>0</v>
      </c>
      <c r="N448" s="69">
        <f>IF(CURVA[[#This Row],[% AVANCE REAL]]="",0,M448-M447)</f>
        <v>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8C77A-BF71-477B-A0FE-3B723DB5D82A}">
  <dimension ref="A2:AJ707"/>
  <sheetViews>
    <sheetView showGridLines="0" topLeftCell="AF1" zoomScale="91" zoomScaleNormal="91" workbookViewId="0">
      <selection activeCell="AT52" sqref="AT52"/>
    </sheetView>
  </sheetViews>
  <sheetFormatPr baseColWidth="10" defaultRowHeight="15" x14ac:dyDescent="0.25"/>
  <cols>
    <col min="1" max="1" width="1.85546875" hidden="1" customWidth="1"/>
    <col min="2" max="2" width="23.7109375" hidden="1" customWidth="1"/>
    <col min="3" max="3" width="20.85546875" hidden="1" customWidth="1"/>
    <col min="4" max="4" width="19.85546875" hidden="1" customWidth="1"/>
    <col min="5" max="5" width="5.5703125" hidden="1" customWidth="1"/>
    <col min="6" max="6" width="18.140625" hidden="1" customWidth="1"/>
    <col min="7" max="7" width="21.85546875" hidden="1" customWidth="1"/>
    <col min="8" max="8" width="12.28515625" hidden="1" customWidth="1"/>
    <col min="9" max="9" width="2.5703125" hidden="1" customWidth="1"/>
    <col min="10" max="10" width="23.7109375" hidden="1" customWidth="1"/>
    <col min="11" max="11" width="26.42578125" hidden="1" customWidth="1"/>
    <col min="12" max="12" width="35.7109375" hidden="1" customWidth="1"/>
    <col min="13" max="13" width="3.28515625" hidden="1" customWidth="1"/>
    <col min="14" max="14" width="4.140625" hidden="1" customWidth="1"/>
    <col min="15" max="15" width="18.140625" hidden="1" customWidth="1"/>
    <col min="16" max="16" width="22.5703125" hidden="1" customWidth="1"/>
    <col min="17" max="17" width="4.140625" hidden="1" customWidth="1"/>
    <col min="18" max="18" width="2.42578125" hidden="1" customWidth="1"/>
    <col min="19" max="19" width="18.140625" hidden="1" customWidth="1"/>
    <col min="20" max="20" width="14.28515625" hidden="1" customWidth="1"/>
    <col min="21" max="21" width="23.5703125" hidden="1" customWidth="1"/>
    <col min="22" max="22" width="1.85546875" hidden="1" customWidth="1"/>
    <col min="23" max="23" width="18.140625" hidden="1" customWidth="1"/>
    <col min="24" max="24" width="29.42578125" hidden="1" customWidth="1"/>
    <col min="25" max="25" width="33.140625" hidden="1" customWidth="1"/>
    <col min="26" max="26" width="2.28515625" hidden="1" customWidth="1"/>
    <col min="27" max="27" width="18.140625" hidden="1" customWidth="1"/>
    <col min="28" max="28" width="24.7109375" hidden="1" customWidth="1"/>
    <col min="29" max="29" width="29.28515625" hidden="1" customWidth="1"/>
    <col min="30" max="30" width="23.140625" hidden="1" customWidth="1"/>
    <col min="31" max="31" width="15.28515625" hidden="1" customWidth="1"/>
    <col min="32" max="32" width="10.7109375" style="44" customWidth="1"/>
    <col min="33" max="35" width="10.5703125" customWidth="1"/>
    <col min="36" max="36" width="11.7109375" customWidth="1"/>
    <col min="37" max="62" width="10.5703125" customWidth="1"/>
    <col min="63" max="105" width="10.42578125" bestFit="1" customWidth="1"/>
    <col min="106" max="106" width="12.5703125" bestFit="1" customWidth="1"/>
  </cols>
  <sheetData>
    <row r="2" spans="2:32" x14ac:dyDescent="0.25">
      <c r="X2" s="1">
        <f ca="1">+TODAY()</f>
        <v>46188</v>
      </c>
    </row>
    <row r="3" spans="2:32" x14ac:dyDescent="0.25">
      <c r="B3" s="8" t="s">
        <v>419</v>
      </c>
      <c r="C3" t="s">
        <v>1550</v>
      </c>
      <c r="D3" t="s">
        <v>1551</v>
      </c>
      <c r="F3" s="8" t="s">
        <v>419</v>
      </c>
      <c r="G3" t="s">
        <v>1644</v>
      </c>
      <c r="H3" t="s">
        <v>1645</v>
      </c>
      <c r="J3" s="8" t="s">
        <v>1557</v>
      </c>
      <c r="K3" t="s">
        <v>1567</v>
      </c>
      <c r="L3" t="s">
        <v>1566</v>
      </c>
      <c r="O3" s="8" t="s">
        <v>419</v>
      </c>
      <c r="P3" t="s">
        <v>1559</v>
      </c>
      <c r="S3" s="8" t="s">
        <v>419</v>
      </c>
      <c r="T3" t="s">
        <v>1571</v>
      </c>
      <c r="U3" t="s">
        <v>1572</v>
      </c>
      <c r="X3" t="s">
        <v>1581</v>
      </c>
      <c r="Y3">
        <f ca="1">+_xlfn.XLOOKUP(X2,$S$4:$S$516,$T$4:$T$516,"",0)</f>
        <v>15</v>
      </c>
    </row>
    <row r="4" spans="2:32" x14ac:dyDescent="0.25">
      <c r="B4" s="39">
        <v>46174</v>
      </c>
      <c r="C4" s="24">
        <v>96</v>
      </c>
      <c r="D4" s="24">
        <v>87</v>
      </c>
      <c r="F4" s="9" t="s">
        <v>814</v>
      </c>
      <c r="G4" s="81">
        <v>15</v>
      </c>
      <c r="H4" s="81">
        <v>10</v>
      </c>
      <c r="J4" s="39">
        <v>46174</v>
      </c>
      <c r="K4" s="13">
        <v>0.90625</v>
      </c>
      <c r="L4" s="13">
        <v>0.4107142857142857</v>
      </c>
      <c r="O4" s="9" t="s">
        <v>1575</v>
      </c>
      <c r="P4" s="13">
        <v>0.5643564356435643</v>
      </c>
      <c r="S4" s="39">
        <v>46174</v>
      </c>
      <c r="T4" s="81">
        <v>9</v>
      </c>
      <c r="U4" s="81">
        <v>33</v>
      </c>
      <c r="X4" t="s">
        <v>1582</v>
      </c>
      <c r="Y4">
        <f ca="1">+_xlfn.XLOOKUP(X2,S4:S500,U4:U500,"",0)</f>
        <v>36</v>
      </c>
    </row>
    <row r="5" spans="2:32" x14ac:dyDescent="0.25">
      <c r="B5" s="39">
        <v>46175</v>
      </c>
      <c r="C5" s="24">
        <v>98</v>
      </c>
      <c r="D5" s="24">
        <v>87</v>
      </c>
      <c r="F5" s="10">
        <v>23</v>
      </c>
      <c r="G5" s="81">
        <v>6</v>
      </c>
      <c r="H5" s="81">
        <v>10</v>
      </c>
      <c r="J5" s="39">
        <v>46175</v>
      </c>
      <c r="K5" s="13">
        <v>0.88775510204081631</v>
      </c>
      <c r="L5" s="13">
        <v>0.4107142857142857</v>
      </c>
      <c r="O5" s="9" t="s">
        <v>1576</v>
      </c>
      <c r="P5" s="13">
        <v>3.9603960396039604E-2</v>
      </c>
      <c r="S5" s="39">
        <v>46175</v>
      </c>
      <c r="T5" s="81">
        <v>11</v>
      </c>
      <c r="U5" s="81">
        <v>33</v>
      </c>
    </row>
    <row r="6" spans="2:32" x14ac:dyDescent="0.25">
      <c r="B6" s="39">
        <v>46176</v>
      </c>
      <c r="C6" s="24">
        <v>100</v>
      </c>
      <c r="D6" s="24">
        <v>89</v>
      </c>
      <c r="F6" s="10">
        <v>24</v>
      </c>
      <c r="G6" s="81">
        <v>8</v>
      </c>
      <c r="H6" s="81">
        <v>10</v>
      </c>
      <c r="J6" s="39">
        <v>46176</v>
      </c>
      <c r="K6" s="13">
        <v>0.89</v>
      </c>
      <c r="L6" s="13">
        <v>0.40350877192982454</v>
      </c>
      <c r="O6" s="9" t="s">
        <v>1577</v>
      </c>
      <c r="P6" s="13">
        <v>0.39603960396039606</v>
      </c>
      <c r="S6" s="39">
        <v>46176</v>
      </c>
      <c r="T6" s="81">
        <v>11</v>
      </c>
      <c r="U6" s="81">
        <v>34</v>
      </c>
    </row>
    <row r="7" spans="2:32" x14ac:dyDescent="0.25">
      <c r="B7" s="39">
        <v>46177</v>
      </c>
      <c r="C7" s="24">
        <v>102</v>
      </c>
      <c r="D7" s="24">
        <v>91</v>
      </c>
      <c r="F7" s="10">
        <v>25</v>
      </c>
      <c r="G7" s="81">
        <v>1</v>
      </c>
      <c r="H7" s="81">
        <v>10</v>
      </c>
      <c r="J7" s="39">
        <v>46177</v>
      </c>
      <c r="K7" s="13">
        <v>0.89215686274509809</v>
      </c>
      <c r="L7" s="13">
        <v>0.42105263157894735</v>
      </c>
      <c r="O7" s="9" t="s">
        <v>420</v>
      </c>
      <c r="P7" s="13">
        <v>1</v>
      </c>
      <c r="S7" s="39">
        <v>46177</v>
      </c>
      <c r="T7" s="81">
        <v>11</v>
      </c>
      <c r="U7" s="81">
        <v>33</v>
      </c>
      <c r="X7" t="s">
        <v>1584</v>
      </c>
      <c r="Y7">
        <v>704</v>
      </c>
    </row>
    <row r="8" spans="2:32" x14ac:dyDescent="0.25">
      <c r="B8" s="39">
        <v>46178</v>
      </c>
      <c r="C8" s="24">
        <v>104</v>
      </c>
      <c r="D8" s="24">
        <v>92</v>
      </c>
      <c r="J8" s="39">
        <v>46178</v>
      </c>
      <c r="K8" s="13">
        <v>0.88461538461538458</v>
      </c>
      <c r="L8" s="13">
        <v>0.45614035087719296</v>
      </c>
      <c r="O8" s="8" t="s">
        <v>1574</v>
      </c>
      <c r="P8" t="s">
        <v>1580</v>
      </c>
      <c r="S8" s="39">
        <v>46178</v>
      </c>
      <c r="T8" s="81">
        <v>12</v>
      </c>
      <c r="U8" s="81">
        <v>31</v>
      </c>
      <c r="X8" t="s">
        <v>1585</v>
      </c>
      <c r="Y8">
        <f>+COUNTIF(AVANCE[% AVANCE],100%)</f>
        <v>38</v>
      </c>
    </row>
    <row r="9" spans="2:32" x14ac:dyDescent="0.25">
      <c r="B9" s="39">
        <v>46179</v>
      </c>
      <c r="C9" s="24">
        <v>104</v>
      </c>
      <c r="D9" s="24">
        <v>92</v>
      </c>
      <c r="J9" s="39">
        <v>46179</v>
      </c>
      <c r="K9" s="13">
        <v>0.88461538461538458</v>
      </c>
      <c r="L9" s="13">
        <v>0.44827586206896552</v>
      </c>
      <c r="S9" s="39">
        <v>46179</v>
      </c>
      <c r="T9" s="81">
        <v>12</v>
      </c>
      <c r="U9" s="81">
        <v>32</v>
      </c>
      <c r="X9" t="s">
        <v>1586</v>
      </c>
      <c r="Y9">
        <f>+Y7-Y8</f>
        <v>666</v>
      </c>
    </row>
    <row r="10" spans="2:32" x14ac:dyDescent="0.25">
      <c r="B10" s="39">
        <v>46180</v>
      </c>
      <c r="C10" s="24">
        <v>104</v>
      </c>
      <c r="D10" s="24">
        <v>92</v>
      </c>
      <c r="J10" s="39">
        <v>46180</v>
      </c>
      <c r="K10" s="13">
        <v>0.88461538461538458</v>
      </c>
      <c r="L10" s="13">
        <v>0.44067796610169491</v>
      </c>
      <c r="O10" s="8" t="s">
        <v>419</v>
      </c>
      <c r="P10" t="s">
        <v>1559</v>
      </c>
      <c r="S10" s="39">
        <v>46180</v>
      </c>
      <c r="T10" s="81">
        <v>12</v>
      </c>
      <c r="U10" s="81">
        <v>33</v>
      </c>
      <c r="X10" t="s">
        <v>1587</v>
      </c>
      <c r="Y10">
        <f>+AVERAGE(G4:G500)</f>
        <v>7.5</v>
      </c>
    </row>
    <row r="11" spans="2:32" x14ac:dyDescent="0.25">
      <c r="B11" s="39">
        <v>46181</v>
      </c>
      <c r="C11" s="24">
        <v>106</v>
      </c>
      <c r="D11" s="24">
        <v>94</v>
      </c>
      <c r="J11" s="39">
        <v>46181</v>
      </c>
      <c r="K11" s="13">
        <v>0.8867924528301887</v>
      </c>
      <c r="L11" s="13">
        <v>0.5</v>
      </c>
      <c r="O11" s="9" t="s">
        <v>1577</v>
      </c>
      <c r="P11" s="13">
        <v>0.37623762376237624</v>
      </c>
      <c r="S11" s="39">
        <v>46181</v>
      </c>
      <c r="T11" s="81">
        <v>12</v>
      </c>
      <c r="U11" s="81">
        <v>30</v>
      </c>
      <c r="X11" t="s">
        <v>1588</v>
      </c>
      <c r="Y11" s="42">
        <f>+Y9/Y10</f>
        <v>88.8</v>
      </c>
    </row>
    <row r="12" spans="2:32" x14ac:dyDescent="0.25">
      <c r="B12" s="39">
        <v>46182</v>
      </c>
      <c r="C12" s="24">
        <v>108</v>
      </c>
      <c r="D12" s="24">
        <v>94</v>
      </c>
      <c r="J12" s="39">
        <v>46182</v>
      </c>
      <c r="K12" s="13">
        <v>0.87037037037037035</v>
      </c>
      <c r="L12" s="13">
        <v>0.52459016393442626</v>
      </c>
      <c r="O12" s="9" t="s">
        <v>1579</v>
      </c>
      <c r="P12" s="13">
        <v>0.62376237623762376</v>
      </c>
      <c r="S12" s="39">
        <v>46182</v>
      </c>
      <c r="T12" s="81">
        <v>14</v>
      </c>
      <c r="U12" s="81">
        <v>29</v>
      </c>
      <c r="W12" s="8" t="s">
        <v>826</v>
      </c>
      <c r="X12" t="s">
        <v>449</v>
      </c>
      <c r="Y12" s="1"/>
    </row>
    <row r="13" spans="2:32" x14ac:dyDescent="0.25">
      <c r="B13" s="39">
        <v>46183</v>
      </c>
      <c r="C13" s="24">
        <v>110</v>
      </c>
      <c r="D13" s="24">
        <v>94</v>
      </c>
      <c r="J13" s="39">
        <v>46183</v>
      </c>
      <c r="K13" s="13">
        <v>0.8545454545454545</v>
      </c>
      <c r="L13" s="13">
        <v>0.5</v>
      </c>
      <c r="O13" s="9" t="s">
        <v>420</v>
      </c>
      <c r="P13" s="13">
        <v>1</v>
      </c>
      <c r="S13" s="39">
        <v>46183</v>
      </c>
      <c r="T13" s="81">
        <v>16</v>
      </c>
      <c r="U13" s="81">
        <v>32</v>
      </c>
      <c r="W13" s="8" t="s">
        <v>1578</v>
      </c>
      <c r="X13" t="s">
        <v>1577</v>
      </c>
      <c r="Y13" s="1"/>
    </row>
    <row r="14" spans="2:32" x14ac:dyDescent="0.25">
      <c r="B14" s="39">
        <v>46184</v>
      </c>
      <c r="C14" s="24">
        <v>112</v>
      </c>
      <c r="D14" s="24">
        <v>100</v>
      </c>
      <c r="J14" s="39">
        <v>46184</v>
      </c>
      <c r="K14" s="13">
        <v>0.8928571428571429</v>
      </c>
      <c r="L14" s="13">
        <v>0.5</v>
      </c>
      <c r="S14" s="39">
        <v>46184</v>
      </c>
      <c r="T14" s="81">
        <v>12</v>
      </c>
      <c r="U14" s="81">
        <v>33</v>
      </c>
    </row>
    <row r="15" spans="2:32" x14ac:dyDescent="0.25">
      <c r="B15" s="39">
        <v>46185</v>
      </c>
      <c r="C15" s="24">
        <v>114</v>
      </c>
      <c r="D15" s="24">
        <v>100</v>
      </c>
      <c r="J15" s="39">
        <v>46185</v>
      </c>
      <c r="K15" s="13">
        <v>0.8771929824561403</v>
      </c>
      <c r="L15" s="13">
        <v>0.55882352941176472</v>
      </c>
      <c r="S15" s="39">
        <v>46185</v>
      </c>
      <c r="T15" s="81">
        <v>14</v>
      </c>
      <c r="U15" s="81">
        <v>30</v>
      </c>
      <c r="W15" s="8" t="s">
        <v>419</v>
      </c>
      <c r="X15" t="s">
        <v>1657</v>
      </c>
      <c r="AF15"/>
    </row>
    <row r="16" spans="2:32" x14ac:dyDescent="0.25">
      <c r="B16" s="39">
        <v>46186</v>
      </c>
      <c r="C16" s="24">
        <v>114</v>
      </c>
      <c r="D16" s="24">
        <v>100</v>
      </c>
      <c r="J16" s="39">
        <v>46186</v>
      </c>
      <c r="K16" s="13">
        <v>0.8771929824561403</v>
      </c>
      <c r="L16" s="13">
        <v>0.52777777777777779</v>
      </c>
      <c r="S16" s="39">
        <v>46186</v>
      </c>
      <c r="T16" s="81">
        <v>14</v>
      </c>
      <c r="U16" s="81">
        <v>34</v>
      </c>
      <c r="W16" s="9" t="s">
        <v>114</v>
      </c>
      <c r="X16" s="81">
        <v>0</v>
      </c>
      <c r="AF16"/>
    </row>
    <row r="17" spans="2:36" x14ac:dyDescent="0.25">
      <c r="B17" s="39">
        <v>46187</v>
      </c>
      <c r="C17" s="24">
        <v>114</v>
      </c>
      <c r="D17" s="24">
        <v>100</v>
      </c>
      <c r="J17" s="39">
        <v>46187</v>
      </c>
      <c r="K17" s="13">
        <v>0.8771929824561403</v>
      </c>
      <c r="L17" s="13">
        <v>0.52054794520547942</v>
      </c>
      <c r="S17" s="39">
        <v>46187</v>
      </c>
      <c r="T17" s="81">
        <v>14</v>
      </c>
      <c r="U17" s="81">
        <v>35</v>
      </c>
      <c r="W17" s="9" t="s">
        <v>150</v>
      </c>
      <c r="X17" s="81">
        <v>0</v>
      </c>
      <c r="AF17"/>
    </row>
    <row r="18" spans="2:36" x14ac:dyDescent="0.25">
      <c r="B18" s="39">
        <v>46188</v>
      </c>
      <c r="C18" s="24">
        <v>116</v>
      </c>
      <c r="D18" s="24">
        <v>101</v>
      </c>
      <c r="J18" s="39">
        <v>46188</v>
      </c>
      <c r="K18" s="13">
        <v>0.87068965517241381</v>
      </c>
      <c r="L18" s="13">
        <v>0.51351351351351349</v>
      </c>
      <c r="S18" s="39">
        <v>46188</v>
      </c>
      <c r="T18" s="81">
        <v>15</v>
      </c>
      <c r="U18" s="81">
        <v>36</v>
      </c>
      <c r="W18" s="9" t="s">
        <v>75</v>
      </c>
      <c r="X18" s="81">
        <v>0</v>
      </c>
      <c r="AF18"/>
    </row>
    <row r="19" spans="2:36" x14ac:dyDescent="0.25">
      <c r="B19" s="39" t="s">
        <v>420</v>
      </c>
      <c r="C19" s="24">
        <v>1602</v>
      </c>
      <c r="D19" s="24">
        <v>1413</v>
      </c>
      <c r="J19" s="39" t="s">
        <v>420</v>
      </c>
      <c r="K19" s="13">
        <v>0.88245614278507067</v>
      </c>
      <c r="L19" s="13">
        <v>0.47575580558854386</v>
      </c>
      <c r="S19" s="39" t="s">
        <v>420</v>
      </c>
      <c r="T19" s="81">
        <v>189</v>
      </c>
      <c r="U19" s="81">
        <v>488</v>
      </c>
      <c r="W19" s="9" t="s">
        <v>123</v>
      </c>
      <c r="X19" s="81">
        <v>0</v>
      </c>
      <c r="AF19"/>
    </row>
    <row r="20" spans="2:36" x14ac:dyDescent="0.25">
      <c r="W20" s="9" t="s">
        <v>198</v>
      </c>
      <c r="X20" s="81">
        <v>0</v>
      </c>
      <c r="AF20"/>
    </row>
    <row r="21" spans="2:36" x14ac:dyDescent="0.25">
      <c r="W21" s="9" t="s">
        <v>200</v>
      </c>
      <c r="X21" s="81">
        <v>0</v>
      </c>
      <c r="AF21"/>
    </row>
    <row r="22" spans="2:36" x14ac:dyDescent="0.25">
      <c r="W22" s="9" t="s">
        <v>835</v>
      </c>
      <c r="X22" s="81">
        <v>0</v>
      </c>
      <c r="AF22"/>
    </row>
    <row r="23" spans="2:36" x14ac:dyDescent="0.25">
      <c r="W23" s="9" t="s">
        <v>836</v>
      </c>
      <c r="X23" s="81">
        <v>0</v>
      </c>
      <c r="AF23"/>
    </row>
    <row r="24" spans="2:36" x14ac:dyDescent="0.25">
      <c r="W24" s="9" t="s">
        <v>176</v>
      </c>
      <c r="X24" s="81">
        <v>0</v>
      </c>
      <c r="AF24"/>
    </row>
    <row r="25" spans="2:36" x14ac:dyDescent="0.25">
      <c r="W25" s="9" t="s">
        <v>837</v>
      </c>
      <c r="X25" s="81">
        <v>0</v>
      </c>
      <c r="AF25"/>
    </row>
    <row r="26" spans="2:36" x14ac:dyDescent="0.25">
      <c r="W26" s="9" t="s">
        <v>224</v>
      </c>
      <c r="X26" s="81">
        <v>0</v>
      </c>
      <c r="AF26"/>
    </row>
    <row r="27" spans="2:36" x14ac:dyDescent="0.25">
      <c r="W27" s="9" t="s">
        <v>227</v>
      </c>
      <c r="X27" s="81">
        <v>0</v>
      </c>
    </row>
    <row r="28" spans="2:36" x14ac:dyDescent="0.25">
      <c r="W28" s="9" t="s">
        <v>838</v>
      </c>
      <c r="X28" s="81">
        <v>0</v>
      </c>
    </row>
    <row r="29" spans="2:36" x14ac:dyDescent="0.25">
      <c r="W29" s="9" t="s">
        <v>839</v>
      </c>
      <c r="X29" s="81">
        <v>0</v>
      </c>
    </row>
    <row r="30" spans="2:36" x14ac:dyDescent="0.25">
      <c r="W30" s="9" t="s">
        <v>840</v>
      </c>
      <c r="X30" s="81">
        <v>0</v>
      </c>
    </row>
    <row r="31" spans="2:36" x14ac:dyDescent="0.25">
      <c r="W31" s="9" t="s">
        <v>841</v>
      </c>
      <c r="X31" s="81">
        <v>0</v>
      </c>
      <c r="AF31" s="77"/>
      <c r="AG31" s="77"/>
      <c r="AH31" s="77"/>
      <c r="AI31" s="77"/>
      <c r="AJ31" s="77"/>
    </row>
    <row r="32" spans="2:36" x14ac:dyDescent="0.25">
      <c r="W32" s="9" t="s">
        <v>842</v>
      </c>
      <c r="X32" s="81">
        <v>0</v>
      </c>
      <c r="AF32" s="77"/>
      <c r="AG32" s="77"/>
      <c r="AH32" s="77"/>
      <c r="AI32" s="77"/>
      <c r="AJ32" s="77"/>
    </row>
    <row r="33" spans="23:36" x14ac:dyDescent="0.25">
      <c r="W33" s="9" t="s">
        <v>843</v>
      </c>
      <c r="X33" s="81">
        <v>0</v>
      </c>
      <c r="AF33" s="77"/>
      <c r="AG33" s="77"/>
      <c r="AH33" s="77"/>
      <c r="AI33" s="77"/>
      <c r="AJ33" s="77"/>
    </row>
    <row r="34" spans="23:36" x14ac:dyDescent="0.25">
      <c r="W34" s="9" t="s">
        <v>844</v>
      </c>
      <c r="X34" s="81">
        <v>0</v>
      </c>
      <c r="AF34" s="77"/>
      <c r="AG34" s="77"/>
      <c r="AH34" s="77"/>
      <c r="AI34" s="77"/>
      <c r="AJ34" s="77"/>
    </row>
    <row r="35" spans="23:36" x14ac:dyDescent="0.25">
      <c r="W35" s="9" t="s">
        <v>845</v>
      </c>
      <c r="X35" s="81">
        <v>0</v>
      </c>
      <c r="AF35" s="78"/>
      <c r="AG35" s="78"/>
      <c r="AH35" s="78"/>
      <c r="AI35" s="78"/>
      <c r="AJ35" s="78"/>
    </row>
    <row r="36" spans="23:36" ht="15" customHeight="1" x14ac:dyDescent="0.25">
      <c r="W36" s="9" t="s">
        <v>846</v>
      </c>
      <c r="X36" s="81">
        <v>0</v>
      </c>
      <c r="AF36" s="78"/>
      <c r="AG36" s="78"/>
      <c r="AH36" s="78"/>
      <c r="AI36" s="78"/>
      <c r="AJ36" s="78"/>
    </row>
    <row r="37" spans="23:36" ht="15" customHeight="1" x14ac:dyDescent="0.25">
      <c r="W37" s="9" t="s">
        <v>847</v>
      </c>
      <c r="X37" s="81">
        <v>0</v>
      </c>
      <c r="AF37" s="78"/>
      <c r="AG37" s="78"/>
      <c r="AH37" s="78"/>
      <c r="AI37" s="78"/>
      <c r="AJ37" s="78"/>
    </row>
    <row r="38" spans="23:36" ht="15" customHeight="1" x14ac:dyDescent="0.25">
      <c r="W38" s="9" t="s">
        <v>848</v>
      </c>
      <c r="X38" s="81">
        <v>0</v>
      </c>
      <c r="AD38" s="43"/>
    </row>
    <row r="39" spans="23:36" ht="15" customHeight="1" x14ac:dyDescent="0.25">
      <c r="W39" s="9" t="s">
        <v>220</v>
      </c>
      <c r="X39" s="81">
        <v>0</v>
      </c>
      <c r="AD39" s="43"/>
    </row>
    <row r="40" spans="23:36" ht="15" customHeight="1" x14ac:dyDescent="0.25">
      <c r="W40" s="9" t="s">
        <v>849</v>
      </c>
      <c r="X40" s="81">
        <v>0</v>
      </c>
      <c r="AD40" s="43"/>
    </row>
    <row r="41" spans="23:36" ht="15" customHeight="1" x14ac:dyDescent="0.25">
      <c r="W41" s="9" t="s">
        <v>850</v>
      </c>
      <c r="X41" s="81">
        <v>0</v>
      </c>
    </row>
    <row r="42" spans="23:36" x14ac:dyDescent="0.25">
      <c r="W42" s="9" t="s">
        <v>851</v>
      </c>
      <c r="X42" s="81">
        <v>0</v>
      </c>
    </row>
    <row r="43" spans="23:36" x14ac:dyDescent="0.25">
      <c r="W43" s="9" t="s">
        <v>852</v>
      </c>
      <c r="X43" s="81">
        <v>0</v>
      </c>
    </row>
    <row r="44" spans="23:36" x14ac:dyDescent="0.25">
      <c r="W44" s="9" t="s">
        <v>853</v>
      </c>
      <c r="X44" s="81">
        <v>0</v>
      </c>
    </row>
    <row r="45" spans="23:36" x14ac:dyDescent="0.25">
      <c r="W45" s="9" t="s">
        <v>854</v>
      </c>
      <c r="X45" s="81">
        <v>0</v>
      </c>
    </row>
    <row r="46" spans="23:36" x14ac:dyDescent="0.25">
      <c r="W46" s="9" t="s">
        <v>855</v>
      </c>
      <c r="X46" s="81">
        <v>0</v>
      </c>
    </row>
    <row r="47" spans="23:36" x14ac:dyDescent="0.25">
      <c r="W47" s="9" t="s">
        <v>856</v>
      </c>
      <c r="X47" s="81">
        <v>0</v>
      </c>
    </row>
    <row r="48" spans="23:36" x14ac:dyDescent="0.25">
      <c r="W48" s="9" t="s">
        <v>858</v>
      </c>
      <c r="X48" s="81">
        <v>0</v>
      </c>
    </row>
    <row r="49" spans="23:24" x14ac:dyDescent="0.25">
      <c r="W49" s="9" t="s">
        <v>859</v>
      </c>
      <c r="X49" s="81">
        <v>0</v>
      </c>
    </row>
    <row r="50" spans="23:24" x14ac:dyDescent="0.25">
      <c r="W50" s="9" t="s">
        <v>860</v>
      </c>
      <c r="X50" s="81">
        <v>0</v>
      </c>
    </row>
    <row r="51" spans="23:24" x14ac:dyDescent="0.25">
      <c r="W51" s="9" t="s">
        <v>861</v>
      </c>
      <c r="X51" s="81">
        <v>0</v>
      </c>
    </row>
    <row r="52" spans="23:24" x14ac:dyDescent="0.25">
      <c r="W52" s="9" t="s">
        <v>865</v>
      </c>
      <c r="X52" s="81">
        <v>0</v>
      </c>
    </row>
    <row r="53" spans="23:24" x14ac:dyDescent="0.25">
      <c r="W53" s="9" t="s">
        <v>866</v>
      </c>
      <c r="X53" s="81">
        <v>0</v>
      </c>
    </row>
    <row r="54" spans="23:24" x14ac:dyDescent="0.25">
      <c r="W54" s="9" t="s">
        <v>420</v>
      </c>
      <c r="X54" s="81">
        <v>0</v>
      </c>
    </row>
    <row r="80" spans="7:7" x14ac:dyDescent="0.25">
      <c r="G80" s="4"/>
    </row>
    <row r="81" spans="7:7" x14ac:dyDescent="0.25">
      <c r="G81" s="4"/>
    </row>
    <row r="82" spans="7:7" x14ac:dyDescent="0.25">
      <c r="G82" s="4"/>
    </row>
    <row r="83" spans="7:7" x14ac:dyDescent="0.25">
      <c r="G83" s="4"/>
    </row>
    <row r="84" spans="7:7" x14ac:dyDescent="0.25">
      <c r="G84" s="4"/>
    </row>
    <row r="85" spans="7:7" x14ac:dyDescent="0.25">
      <c r="G85" s="4"/>
    </row>
    <row r="86" spans="7:7" x14ac:dyDescent="0.25">
      <c r="G86" s="4"/>
    </row>
    <row r="87" spans="7:7" x14ac:dyDescent="0.25">
      <c r="G87" s="4"/>
    </row>
    <row r="88" spans="7:7" x14ac:dyDescent="0.25">
      <c r="G88" s="4"/>
    </row>
    <row r="89" spans="7:7" x14ac:dyDescent="0.25">
      <c r="G89" s="4"/>
    </row>
    <row r="90" spans="7:7" x14ac:dyDescent="0.25">
      <c r="G90" s="4"/>
    </row>
    <row r="91" spans="7:7" x14ac:dyDescent="0.25">
      <c r="G91" s="4"/>
    </row>
    <row r="92" spans="7:7" x14ac:dyDescent="0.25">
      <c r="G92" s="4"/>
    </row>
    <row r="93" spans="7:7" x14ac:dyDescent="0.25">
      <c r="G93" s="4"/>
    </row>
    <row r="94" spans="7:7" x14ac:dyDescent="0.25">
      <c r="G94" s="4"/>
    </row>
    <row r="95" spans="7:7" x14ac:dyDescent="0.25">
      <c r="G95" s="4"/>
    </row>
    <row r="96" spans="7:7" x14ac:dyDescent="0.25">
      <c r="G96" s="4"/>
    </row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  <row r="201" hidden="1" x14ac:dyDescent="0.25"/>
    <row r="202" hidden="1" x14ac:dyDescent="0.25"/>
    <row r="203" hidden="1" x14ac:dyDescent="0.25"/>
    <row r="204" hidden="1" x14ac:dyDescent="0.25"/>
    <row r="205" hidden="1" x14ac:dyDescent="0.25"/>
    <row r="206" hidden="1" x14ac:dyDescent="0.25"/>
    <row r="207" hidden="1" x14ac:dyDescent="0.25"/>
    <row r="208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spans="2:29" hidden="1" x14ac:dyDescent="0.25"/>
    <row r="498" spans="2:29" hidden="1" x14ac:dyDescent="0.25"/>
    <row r="499" spans="2:29" hidden="1" x14ac:dyDescent="0.25"/>
    <row r="503" spans="2:29" x14ac:dyDescent="0.25">
      <c r="B503" s="8" t="s">
        <v>419</v>
      </c>
      <c r="C503" t="s">
        <v>1552</v>
      </c>
      <c r="D503" t="s">
        <v>1553</v>
      </c>
      <c r="F503" s="8" t="s">
        <v>419</v>
      </c>
      <c r="G503" t="s">
        <v>1559</v>
      </c>
      <c r="J503" s="8" t="s">
        <v>419</v>
      </c>
      <c r="K503" t="s">
        <v>1555</v>
      </c>
      <c r="L503" t="s">
        <v>1643</v>
      </c>
      <c r="O503" s="8" t="s">
        <v>419</v>
      </c>
      <c r="P503" t="s">
        <v>1590</v>
      </c>
      <c r="S503" s="8" t="s">
        <v>419</v>
      </c>
      <c r="T503" t="s">
        <v>1705</v>
      </c>
      <c r="U503" t="s">
        <v>1706</v>
      </c>
      <c r="W503" s="8" t="s">
        <v>419</v>
      </c>
      <c r="X503" t="s">
        <v>1725</v>
      </c>
      <c r="Y503" t="s">
        <v>1726</v>
      </c>
      <c r="AA503" s="8" t="s">
        <v>419</v>
      </c>
      <c r="AB503" t="s">
        <v>1730</v>
      </c>
      <c r="AC503" t="s">
        <v>1729</v>
      </c>
    </row>
    <row r="504" spans="2:29" x14ac:dyDescent="0.25">
      <c r="B504" s="39">
        <v>46174</v>
      </c>
      <c r="C504" s="81">
        <v>56</v>
      </c>
      <c r="D504" s="81">
        <v>23</v>
      </c>
      <c r="F504" s="9" t="s">
        <v>1561</v>
      </c>
      <c r="G504" s="81">
        <v>3</v>
      </c>
      <c r="J504" s="9">
        <v>23</v>
      </c>
      <c r="K504" s="81">
        <v>6</v>
      </c>
      <c r="L504" s="24">
        <v>10</v>
      </c>
      <c r="O504" s="9" t="s">
        <v>1589</v>
      </c>
      <c r="P504" s="13">
        <v>0</v>
      </c>
      <c r="S504" s="9" t="s">
        <v>424</v>
      </c>
      <c r="T504" s="13">
        <v>8.4654888297492422E-4</v>
      </c>
      <c r="U504" s="13">
        <v>1.3964559800471526E-3</v>
      </c>
      <c r="W504" s="9" t="s">
        <v>424</v>
      </c>
      <c r="X504" s="71">
        <v>29.609439249491725</v>
      </c>
      <c r="Y504" s="72">
        <v>17.949608208433983</v>
      </c>
      <c r="AA504" s="9" t="s">
        <v>423</v>
      </c>
      <c r="AB504" s="72">
        <v>1679.5964948769129</v>
      </c>
      <c r="AC504" s="75">
        <v>0</v>
      </c>
    </row>
    <row r="505" spans="2:29" x14ac:dyDescent="0.25">
      <c r="B505" s="39">
        <v>46175</v>
      </c>
      <c r="C505" s="81">
        <v>56</v>
      </c>
      <c r="D505" s="81">
        <v>23</v>
      </c>
      <c r="F505" s="9" t="s">
        <v>1562</v>
      </c>
      <c r="G505" s="81">
        <v>7</v>
      </c>
      <c r="J505" s="9">
        <v>24</v>
      </c>
      <c r="K505" s="81">
        <v>8</v>
      </c>
      <c r="L505" s="24">
        <v>10</v>
      </c>
      <c r="O505" s="9" t="s">
        <v>424</v>
      </c>
      <c r="P505" s="13">
        <v>0.99999999999999978</v>
      </c>
      <c r="S505" s="9" t="s">
        <v>425</v>
      </c>
      <c r="T505" s="13">
        <v>9.3647233775872099E-3</v>
      </c>
      <c r="U505" s="13">
        <v>1.52686946647998E-2</v>
      </c>
      <c r="W505" s="9" t="s">
        <v>425</v>
      </c>
      <c r="X505" s="71">
        <v>323.74632180039259</v>
      </c>
      <c r="Y505" s="72">
        <v>198.56279889868111</v>
      </c>
      <c r="AA505" s="9" t="s">
        <v>424</v>
      </c>
      <c r="AB505" s="72">
        <v>1836.7066841858016</v>
      </c>
      <c r="AC505" s="75" t="e">
        <v>#VALUE!</v>
      </c>
    </row>
    <row r="506" spans="2:29" x14ac:dyDescent="0.25">
      <c r="B506" s="39">
        <v>46176</v>
      </c>
      <c r="C506" s="81">
        <v>57</v>
      </c>
      <c r="D506" s="81">
        <v>23</v>
      </c>
      <c r="F506" s="9" t="s">
        <v>1563</v>
      </c>
      <c r="G506" s="81">
        <v>7</v>
      </c>
      <c r="J506" s="9">
        <v>25</v>
      </c>
      <c r="K506" s="81">
        <v>1</v>
      </c>
      <c r="L506" s="24">
        <v>10</v>
      </c>
      <c r="O506" s="9" t="s">
        <v>425</v>
      </c>
      <c r="P506" s="13">
        <v>0.99999999999999978</v>
      </c>
      <c r="S506" s="9" t="s">
        <v>455</v>
      </c>
      <c r="T506" s="13">
        <v>3.4398712573989215E-2</v>
      </c>
      <c r="U506" s="13">
        <v>5.368932585398551E-2</v>
      </c>
      <c r="W506" s="9" t="s">
        <v>455</v>
      </c>
      <c r="X506" s="71">
        <v>1138.3895052431735</v>
      </c>
      <c r="Y506" s="72">
        <v>729.36533966925981</v>
      </c>
      <c r="AA506" s="9" t="s">
        <v>425</v>
      </c>
      <c r="AB506" s="72">
        <v>2292.4852525763017</v>
      </c>
      <c r="AC506" s="75">
        <v>180.61319069024711</v>
      </c>
    </row>
    <row r="507" spans="2:29" x14ac:dyDescent="0.25">
      <c r="B507" s="39">
        <v>46177</v>
      </c>
      <c r="C507" s="81">
        <v>57</v>
      </c>
      <c r="D507" s="81">
        <v>24</v>
      </c>
      <c r="F507" s="9" t="s">
        <v>1564</v>
      </c>
      <c r="G507" s="81">
        <v>9</v>
      </c>
      <c r="J507" s="9" t="s">
        <v>420</v>
      </c>
      <c r="K507" s="81">
        <v>15</v>
      </c>
      <c r="L507" s="24">
        <v>10</v>
      </c>
      <c r="O507" s="9" t="s">
        <v>455</v>
      </c>
      <c r="P507" s="13">
        <v>0.95326923076923076</v>
      </c>
      <c r="S507" s="9" t="s">
        <v>781</v>
      </c>
      <c r="T507" s="13">
        <v>9.2752758885822087E-2</v>
      </c>
      <c r="U507" s="13">
        <v>0.10405226706624732</v>
      </c>
      <c r="W507" s="9" t="s">
        <v>781</v>
      </c>
      <c r="X507" s="71">
        <v>2206.2487643655677</v>
      </c>
      <c r="Y507" s="72">
        <v>1966.6621925023151</v>
      </c>
      <c r="AA507" s="9" t="s">
        <v>455</v>
      </c>
      <c r="AB507" s="72">
        <v>2265.3406939611027</v>
      </c>
      <c r="AC507" s="75">
        <v>530.80254077057862</v>
      </c>
    </row>
    <row r="508" spans="2:29" x14ac:dyDescent="0.25">
      <c r="B508" s="39">
        <v>46178</v>
      </c>
      <c r="C508" s="81">
        <v>57</v>
      </c>
      <c r="D508" s="81">
        <v>26</v>
      </c>
      <c r="F508" s="9" t="s">
        <v>1565</v>
      </c>
      <c r="G508" s="81">
        <v>21</v>
      </c>
      <c r="O508" s="9" t="s">
        <v>781</v>
      </c>
      <c r="P508" s="13">
        <v>0.75850000000000006</v>
      </c>
      <c r="S508" s="9" t="s">
        <v>1596</v>
      </c>
      <c r="T508" s="13">
        <v>0.11550000000000001</v>
      </c>
      <c r="U508" s="13">
        <v>0.16602659701966191</v>
      </c>
      <c r="W508" s="9" t="s">
        <v>1596</v>
      </c>
      <c r="X508" s="71">
        <v>3520.3074844418165</v>
      </c>
      <c r="Y508" s="72">
        <v>2448.9781863376875</v>
      </c>
      <c r="AA508" s="9" t="s">
        <v>781</v>
      </c>
      <c r="AB508" s="72">
        <v>1133.1155485228714</v>
      </c>
      <c r="AC508" s="75">
        <v>1237.2968528330553</v>
      </c>
    </row>
    <row r="509" spans="2:29" x14ac:dyDescent="0.25">
      <c r="B509" s="39">
        <v>46179</v>
      </c>
      <c r="C509" s="81">
        <v>58</v>
      </c>
      <c r="D509" s="81">
        <v>26</v>
      </c>
      <c r="F509" s="9" t="s">
        <v>1568</v>
      </c>
      <c r="G509" s="81">
        <v>38</v>
      </c>
      <c r="O509" s="9" t="s">
        <v>1596</v>
      </c>
      <c r="P509" s="13">
        <v>0.37133333333333335</v>
      </c>
      <c r="S509" s="9" t="s">
        <v>420</v>
      </c>
      <c r="T509" s="13">
        <v>0.11550000000000001</v>
      </c>
      <c r="U509" s="13">
        <v>0.16602659701966191</v>
      </c>
      <c r="W509" s="9" t="s">
        <v>420</v>
      </c>
      <c r="X509" s="71">
        <v>3520.3074844418165</v>
      </c>
      <c r="Y509" s="72">
        <v>2448.9781863376875</v>
      </c>
      <c r="AA509" s="9" t="s">
        <v>1596</v>
      </c>
      <c r="AB509" s="72">
        <v>1314.0587200762486</v>
      </c>
      <c r="AC509" s="75">
        <v>482.31599383537241</v>
      </c>
    </row>
    <row r="510" spans="2:29" x14ac:dyDescent="0.25">
      <c r="B510" s="39">
        <v>46180</v>
      </c>
      <c r="C510" s="81">
        <v>59</v>
      </c>
      <c r="D510" s="81">
        <v>26</v>
      </c>
      <c r="F510" s="9" t="s">
        <v>420</v>
      </c>
      <c r="G510" s="81">
        <v>85</v>
      </c>
      <c r="O510" s="9" t="s">
        <v>420</v>
      </c>
      <c r="P510" s="13">
        <v>0.11805397727272728</v>
      </c>
      <c r="AA510" s="9" t="s">
        <v>420</v>
      </c>
      <c r="AB510" s="72">
        <v>10521.30339419924</v>
      </c>
      <c r="AC510" s="75" t="e">
        <v>#VALUE!</v>
      </c>
    </row>
    <row r="511" spans="2:29" x14ac:dyDescent="0.25">
      <c r="B511" s="39">
        <v>46181</v>
      </c>
      <c r="C511" s="81">
        <v>60</v>
      </c>
      <c r="D511" s="81">
        <v>30</v>
      </c>
    </row>
    <row r="512" spans="2:29" x14ac:dyDescent="0.25">
      <c r="B512" s="39">
        <v>46182</v>
      </c>
      <c r="C512" s="81">
        <v>61</v>
      </c>
      <c r="D512" s="81">
        <v>32</v>
      </c>
    </row>
    <row r="513" spans="2:36" x14ac:dyDescent="0.25">
      <c r="B513" s="39">
        <v>46183</v>
      </c>
      <c r="C513" s="81">
        <v>64</v>
      </c>
      <c r="D513" s="81">
        <v>32</v>
      </c>
    </row>
    <row r="514" spans="2:36" x14ac:dyDescent="0.25">
      <c r="B514" s="39">
        <v>46184</v>
      </c>
      <c r="C514" s="81">
        <v>66</v>
      </c>
      <c r="D514" s="81">
        <v>33</v>
      </c>
    </row>
    <row r="515" spans="2:36" x14ac:dyDescent="0.25">
      <c r="B515" s="39">
        <v>46185</v>
      </c>
      <c r="C515" s="81">
        <v>68</v>
      </c>
      <c r="D515" s="81">
        <v>38</v>
      </c>
    </row>
    <row r="516" spans="2:36" x14ac:dyDescent="0.25">
      <c r="B516" s="39">
        <v>46186</v>
      </c>
      <c r="C516" s="81">
        <v>72</v>
      </c>
      <c r="D516" s="81">
        <v>38</v>
      </c>
      <c r="AG516" s="73">
        <f>+GETPIVOTDATA("% AVANCE",$O$503)</f>
        <v>0.11805397727272728</v>
      </c>
      <c r="AH516" s="73">
        <f>+AI516-AG516</f>
        <v>0.88194602272727274</v>
      </c>
      <c r="AI516" s="73">
        <v>1</v>
      </c>
      <c r="AJ516" s="52"/>
    </row>
    <row r="517" spans="2:36" x14ac:dyDescent="0.25">
      <c r="B517" s="39">
        <v>46187</v>
      </c>
      <c r="C517" s="81">
        <v>73</v>
      </c>
      <c r="D517" s="81">
        <v>38</v>
      </c>
    </row>
    <row r="518" spans="2:36" x14ac:dyDescent="0.25">
      <c r="B518" s="39">
        <v>46188</v>
      </c>
      <c r="C518" s="81">
        <v>74</v>
      </c>
      <c r="D518" s="81">
        <v>38</v>
      </c>
    </row>
    <row r="519" spans="2:36" x14ac:dyDescent="0.25">
      <c r="B519" s="39" t="s">
        <v>420</v>
      </c>
      <c r="C519" s="81">
        <v>938</v>
      </c>
      <c r="D519" s="81">
        <v>450</v>
      </c>
    </row>
    <row r="707" spans="19:32" s="46" customFormat="1" x14ac:dyDescent="0.25">
      <c r="S707"/>
      <c r="W707"/>
      <c r="X707"/>
      <c r="AF707" s="45"/>
    </row>
  </sheetData>
  <mergeCells count="2">
    <mergeCell ref="AF31:AJ34"/>
    <mergeCell ref="AF35:AJ37"/>
  </mergeCells>
  <conditionalFormatting sqref="AF35 AD38:AD40">
    <cfRule type="iconSet" priority="1">
      <iconSet iconSet="3Symbols2" reverse="1">
        <cfvo type="percent" val="0"/>
        <cfvo type="num" val="$Y$13" gte="0"/>
        <cfvo type="num" val="$Y$13" gte="0"/>
      </iconSet>
    </cfRule>
  </conditionalFormatting>
  <pageMargins left="0.7" right="0.7" top="0.75" bottom="0.75" header="0.3" footer="0.3"/>
  <drawing r:id="rId15"/>
  <extLst>
    <ext xmlns:x14="http://schemas.microsoft.com/office/spreadsheetml/2009/9/main" uri="{A8765BA9-456A-4dab-B4F3-ACF838C121DE}">
      <x14:slicerList>
        <x14:slicer r:id="rId16"/>
      </x14:slicerList>
    </ext>
    <ext xmlns:x15="http://schemas.microsoft.com/office/spreadsheetml/2010/11/main" uri="{7E03D99C-DC04-49d9-9315-930204A7B6E9}">
      <x15:timelineRefs>
        <x15:timelineRef r:id="rId17"/>
      </x15:timelineRef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79773-ADD0-4ACE-84A3-39FDC11910EC}">
  <dimension ref="B2:BC764"/>
  <sheetViews>
    <sheetView showGridLines="0" topLeftCell="A168" zoomScale="80" zoomScaleNormal="80" workbookViewId="0">
      <selection activeCell="F266" sqref="F266"/>
    </sheetView>
  </sheetViews>
  <sheetFormatPr baseColWidth="10" defaultRowHeight="15" x14ac:dyDescent="0.25"/>
  <cols>
    <col min="1" max="1" width="17.140625" customWidth="1"/>
    <col min="2" max="2" width="68.140625" bestFit="1" customWidth="1"/>
    <col min="3" max="3" width="13.5703125" bestFit="1" customWidth="1"/>
    <col min="4" max="4" width="10.85546875" bestFit="1" customWidth="1"/>
    <col min="5" max="5" width="17.140625" bestFit="1" customWidth="1"/>
    <col min="6" max="6" width="29.7109375" bestFit="1" customWidth="1"/>
    <col min="7" max="8" width="18.5703125" customWidth="1"/>
    <col min="9" max="9" width="15.7109375" customWidth="1"/>
    <col min="10" max="10" width="18.5703125" customWidth="1"/>
    <col min="11" max="11" width="17.7109375" customWidth="1"/>
    <col min="12" max="12" width="26.42578125" customWidth="1"/>
    <col min="13" max="13" width="38.5703125" customWidth="1"/>
    <col min="14" max="14" width="40.140625" customWidth="1"/>
    <col min="15" max="15" width="16.7109375" customWidth="1"/>
    <col min="16" max="16" width="31.7109375" customWidth="1"/>
    <col min="17" max="17" width="29.140625" customWidth="1"/>
    <col min="18" max="18" width="31.7109375" customWidth="1"/>
    <col min="19" max="19" width="29.140625" customWidth="1"/>
    <col min="20" max="20" width="31.7109375" customWidth="1"/>
    <col min="21" max="21" width="29.140625" customWidth="1"/>
    <col min="22" max="22" width="31.7109375" customWidth="1"/>
    <col min="23" max="23" width="38.5703125" customWidth="1"/>
    <col min="24" max="24" width="31.7109375" customWidth="1"/>
    <col min="25" max="25" width="40.140625" customWidth="1"/>
    <col min="26" max="26" width="31.7109375" customWidth="1"/>
    <col min="27" max="27" width="35.7109375" customWidth="1"/>
    <col min="28" max="28" width="38.28515625" customWidth="1"/>
    <col min="29" max="33" width="11.42578125" customWidth="1"/>
    <col min="49" max="49" width="11.7109375" customWidth="1"/>
    <col min="50" max="50" width="13.42578125" customWidth="1"/>
    <col min="51" max="51" width="13.85546875" customWidth="1"/>
    <col min="52" max="52" width="13.5703125" bestFit="1" customWidth="1"/>
    <col min="53" max="53" width="59.140625" bestFit="1" customWidth="1"/>
    <col min="54" max="54" width="24.42578125" customWidth="1"/>
    <col min="55" max="55" width="17.28515625" bestFit="1" customWidth="1"/>
    <col min="56" max="56" width="15.7109375" bestFit="1" customWidth="1"/>
  </cols>
  <sheetData>
    <row r="2" spans="2:55" x14ac:dyDescent="0.25">
      <c r="B2" s="8" t="s">
        <v>319</v>
      </c>
      <c r="C2" t="s">
        <v>319</v>
      </c>
    </row>
    <row r="4" spans="2:55" x14ac:dyDescent="0.25">
      <c r="B4" s="8" t="s">
        <v>419</v>
      </c>
      <c r="C4" t="s">
        <v>526</v>
      </c>
    </row>
    <row r="5" spans="2:55" x14ac:dyDescent="0.25">
      <c r="B5" s="9">
        <v>0</v>
      </c>
      <c r="C5" s="24">
        <v>72.885373067966469</v>
      </c>
    </row>
    <row r="6" spans="2:55" x14ac:dyDescent="0.25">
      <c r="B6" s="9" t="s">
        <v>550</v>
      </c>
      <c r="C6" s="24">
        <v>76.617182314614311</v>
      </c>
    </row>
    <row r="7" spans="2:55" x14ac:dyDescent="0.25">
      <c r="B7" s="9" t="s">
        <v>540</v>
      </c>
      <c r="C7" s="24">
        <v>99.422835543065915</v>
      </c>
    </row>
    <row r="8" spans="2:55" x14ac:dyDescent="0.25">
      <c r="B8" s="9" t="s">
        <v>544</v>
      </c>
      <c r="C8" s="24">
        <v>48.53756224967352</v>
      </c>
    </row>
    <row r="9" spans="2:55" x14ac:dyDescent="0.25">
      <c r="B9" s="9" t="s">
        <v>533</v>
      </c>
      <c r="C9" s="24">
        <v>14.765596160945002</v>
      </c>
    </row>
    <row r="10" spans="2:55" x14ac:dyDescent="0.25">
      <c r="B10" s="9" t="s">
        <v>543</v>
      </c>
      <c r="C10" s="24">
        <v>45.299539170506897</v>
      </c>
    </row>
    <row r="11" spans="2:55" x14ac:dyDescent="0.25">
      <c r="B11" s="9" t="s">
        <v>531</v>
      </c>
      <c r="C11" s="24">
        <v>0</v>
      </c>
    </row>
    <row r="12" spans="2:55" x14ac:dyDescent="0.25">
      <c r="B12" s="9" t="s">
        <v>546</v>
      </c>
      <c r="C12" s="24">
        <v>81.556522886162782</v>
      </c>
    </row>
    <row r="13" spans="2:55" x14ac:dyDescent="0.25">
      <c r="B13" s="9" t="s">
        <v>541</v>
      </c>
      <c r="C13" s="24">
        <v>123.75180375180373</v>
      </c>
    </row>
    <row r="14" spans="2:55" x14ac:dyDescent="0.25">
      <c r="B14" s="9" t="s">
        <v>535</v>
      </c>
      <c r="C14" s="24">
        <v>100.76872622327173</v>
      </c>
      <c r="AH14" s="7">
        <f>+GETPIVOTDATA(" % AVANCE TOTAL",$B$526)</f>
        <v>0.12661477752311481</v>
      </c>
      <c r="AI14" s="7">
        <f>+AJ14-AH14</f>
        <v>0.87338522247688521</v>
      </c>
      <c r="AJ14" s="12">
        <v>1</v>
      </c>
      <c r="BA14" t="s">
        <v>419</v>
      </c>
      <c r="BB14" t="s">
        <v>462</v>
      </c>
      <c r="BC14" t="s">
        <v>414</v>
      </c>
    </row>
    <row r="15" spans="2:55" x14ac:dyDescent="0.25">
      <c r="B15" s="9" t="s">
        <v>538</v>
      </c>
      <c r="C15" s="24">
        <v>56.974960196844719</v>
      </c>
      <c r="BA15" t="str">
        <f t="shared" ref="BA15:BA34" si="0">+B262</f>
        <v>PINO 2X6X320</v>
      </c>
      <c r="BB15" s="7">
        <f t="shared" ref="BB15:BB34" si="1">+C262</f>
        <v>-0.27886614139446153</v>
      </c>
      <c r="BC15" s="2">
        <f t="shared" ref="BC15:BC34" si="2">+D262</f>
        <v>20107495</v>
      </c>
    </row>
    <row r="16" spans="2:55" x14ac:dyDescent="0.25">
      <c r="B16" s="9" t="s">
        <v>537</v>
      </c>
      <c r="C16" s="24">
        <v>86.616541353383397</v>
      </c>
      <c r="BA16" t="str">
        <f t="shared" si="0"/>
        <v>CUBREJUNTA</v>
      </c>
      <c r="BB16" s="7">
        <f t="shared" si="1"/>
        <v>-0.2588701488390206</v>
      </c>
      <c r="BC16" s="2">
        <f t="shared" si="2"/>
        <v>4894523</v>
      </c>
    </row>
    <row r="17" spans="2:55" x14ac:dyDescent="0.25">
      <c r="B17" s="9" t="s">
        <v>547</v>
      </c>
      <c r="C17" s="24">
        <v>131.28427128427128</v>
      </c>
      <c r="BA17" t="str">
        <f t="shared" si="0"/>
        <v>VOLCANITA EMPAPELADA CIELO</v>
      </c>
      <c r="BB17" s="7">
        <f t="shared" si="1"/>
        <v>-0.17890895084818992</v>
      </c>
      <c r="BC17" s="2">
        <f t="shared" si="2"/>
        <v>21504261</v>
      </c>
    </row>
    <row r="18" spans="2:55" x14ac:dyDescent="0.25">
      <c r="B18" s="9" t="s">
        <v>536</v>
      </c>
      <c r="C18" s="24">
        <v>28.54299928926795</v>
      </c>
      <c r="BA18" t="str">
        <f t="shared" si="0"/>
        <v>PINO 3X8X320</v>
      </c>
      <c r="BB18" s="7">
        <f t="shared" si="1"/>
        <v>-0.17727435758694721</v>
      </c>
      <c r="BC18" s="2">
        <f t="shared" si="2"/>
        <v>12485068</v>
      </c>
    </row>
    <row r="19" spans="2:55" x14ac:dyDescent="0.25">
      <c r="B19" s="9" t="s">
        <v>528</v>
      </c>
      <c r="C19" s="24">
        <v>128.25396825396825</v>
      </c>
      <c r="BA19" t="str">
        <f t="shared" si="0"/>
        <v>PINO 2X6X400</v>
      </c>
      <c r="BB19" s="7">
        <f t="shared" si="1"/>
        <v>-0.17559875266549096</v>
      </c>
      <c r="BC19" s="2">
        <f t="shared" si="2"/>
        <v>46820539</v>
      </c>
    </row>
    <row r="20" spans="2:55" x14ac:dyDescent="0.25">
      <c r="B20" s="9" t="s">
        <v>534</v>
      </c>
      <c r="C20" s="24">
        <v>84.072249589490966</v>
      </c>
      <c r="BA20" t="str">
        <f t="shared" si="0"/>
        <v>PAPEL KRAFT</v>
      </c>
      <c r="BB20" s="7">
        <f t="shared" si="1"/>
        <v>-0.17152393567889601</v>
      </c>
      <c r="BC20" s="2">
        <f t="shared" si="2"/>
        <v>12545027</v>
      </c>
    </row>
    <row r="21" spans="2:55" x14ac:dyDescent="0.25">
      <c r="B21" s="9" t="s">
        <v>532</v>
      </c>
      <c r="C21" s="24">
        <v>40.476190476190467</v>
      </c>
      <c r="L21" s="3"/>
      <c r="BA21" t="str">
        <f t="shared" si="0"/>
        <v>OSB 11MM</v>
      </c>
      <c r="BB21" s="7">
        <f t="shared" si="1"/>
        <v>-0.1676590113612183</v>
      </c>
      <c r="BC21" s="2">
        <f t="shared" si="2"/>
        <v>12389283</v>
      </c>
    </row>
    <row r="22" spans="2:55" x14ac:dyDescent="0.25">
      <c r="B22" s="9" t="s">
        <v>590</v>
      </c>
      <c r="C22" s="24">
        <v>111.29251700680273</v>
      </c>
      <c r="L22" s="3"/>
      <c r="BA22" t="str">
        <f t="shared" si="0"/>
        <v>SIMPLISIMA</v>
      </c>
      <c r="BB22" s="7">
        <f t="shared" si="1"/>
        <v>-0.16320767340952591</v>
      </c>
      <c r="BC22" s="2">
        <f t="shared" si="2"/>
        <v>9320133</v>
      </c>
    </row>
    <row r="23" spans="2:55" x14ac:dyDescent="0.25">
      <c r="B23" s="9" t="s">
        <v>545</v>
      </c>
      <c r="C23" s="24">
        <v>94.733735747820276</v>
      </c>
      <c r="L23" s="7"/>
      <c r="BA23" t="str">
        <f t="shared" si="0"/>
        <v>AISLAN GLASS 90MM</v>
      </c>
      <c r="BB23" s="7">
        <f t="shared" si="1"/>
        <v>-0.1627723362719522</v>
      </c>
      <c r="BC23" s="2">
        <f t="shared" si="2"/>
        <v>12785089</v>
      </c>
    </row>
    <row r="24" spans="2:55" x14ac:dyDescent="0.25">
      <c r="B24" s="9" t="s">
        <v>539</v>
      </c>
      <c r="C24" s="24">
        <v>99.470422051067175</v>
      </c>
      <c r="BA24" t="str">
        <f t="shared" si="0"/>
        <v>HOLDOWN PB2</v>
      </c>
      <c r="BB24" s="7">
        <f t="shared" si="1"/>
        <v>-0.16079105862364274</v>
      </c>
      <c r="BC24" s="2">
        <f t="shared" si="2"/>
        <v>31293935</v>
      </c>
    </row>
    <row r="25" spans="2:55" x14ac:dyDescent="0.25">
      <c r="B25" s="9" t="s">
        <v>549</v>
      </c>
      <c r="C25" s="24">
        <v>94.044217687074834</v>
      </c>
      <c r="BA25" t="str">
        <f t="shared" si="0"/>
        <v>PINO 2X4X320</v>
      </c>
      <c r="BB25" s="7">
        <f t="shared" si="1"/>
        <v>-0.1506982731931007</v>
      </c>
      <c r="BC25" s="2">
        <f t="shared" si="2"/>
        <v>49703385</v>
      </c>
    </row>
    <row r="26" spans="2:55" x14ac:dyDescent="0.25">
      <c r="B26" s="9" t="s">
        <v>530</v>
      </c>
      <c r="C26" s="24">
        <v>78.095238095238088</v>
      </c>
      <c r="BA26" t="str">
        <f t="shared" si="0"/>
        <v>TORNILLO SIMPSON 6"</v>
      </c>
      <c r="BB26" s="7">
        <f t="shared" si="1"/>
        <v>-0.14437462002354551</v>
      </c>
      <c r="BC26" s="2">
        <f t="shared" si="2"/>
        <v>25839815</v>
      </c>
    </row>
    <row r="27" spans="2:55" x14ac:dyDescent="0.25">
      <c r="B27" s="9" t="s">
        <v>529</v>
      </c>
      <c r="C27" s="24">
        <v>72.38095238095238</v>
      </c>
      <c r="BA27" t="str">
        <f t="shared" si="0"/>
        <v>OSB 9.5</v>
      </c>
      <c r="BB27" s="7">
        <f t="shared" si="1"/>
        <v>-0.14358755403366175</v>
      </c>
      <c r="BC27" s="2">
        <f t="shared" si="2"/>
        <v>46341721</v>
      </c>
    </row>
    <row r="28" spans="2:55" x14ac:dyDescent="0.25">
      <c r="B28" s="9" t="s">
        <v>542</v>
      </c>
      <c r="C28" s="24">
        <v>84.641856742697087</v>
      </c>
      <c r="BA28" t="str">
        <f t="shared" si="0"/>
        <v>TERCIADO FENOLICO</v>
      </c>
      <c r="BB28" s="7">
        <f t="shared" si="1"/>
        <v>-0.13919426285914227</v>
      </c>
      <c r="BC28" s="2">
        <f t="shared" si="2"/>
        <v>34768107</v>
      </c>
    </row>
    <row r="29" spans="2:55" x14ac:dyDescent="0.25">
      <c r="B29" s="9" t="s">
        <v>548</v>
      </c>
      <c r="C29" s="24">
        <v>134.8853615520282</v>
      </c>
      <c r="BA29" t="str">
        <f t="shared" si="0"/>
        <v>VOLCOGLASS</v>
      </c>
      <c r="BB29" s="7">
        <f t="shared" si="1"/>
        <v>-0.13338933396044594</v>
      </c>
      <c r="BC29" s="2">
        <f t="shared" si="2"/>
        <v>15495874</v>
      </c>
    </row>
    <row r="30" spans="2:55" x14ac:dyDescent="0.25">
      <c r="B30" s="9" t="s">
        <v>300</v>
      </c>
      <c r="C30" s="24">
        <v>94.331065759637184</v>
      </c>
      <c r="BA30" t="str">
        <f t="shared" si="0"/>
        <v>AISLAN GLASS 140MM</v>
      </c>
      <c r="BB30" s="7">
        <f t="shared" si="1"/>
        <v>-0.1277477373797743</v>
      </c>
      <c r="BC30" s="2">
        <f t="shared" si="2"/>
        <v>8849507</v>
      </c>
    </row>
    <row r="31" spans="2:55" x14ac:dyDescent="0.25">
      <c r="B31" s="9" t="s">
        <v>552</v>
      </c>
      <c r="C31" s="24">
        <v>101.33333333333333</v>
      </c>
      <c r="BA31" t="str">
        <f t="shared" si="0"/>
        <v>HOLDOWN PB1</v>
      </c>
      <c r="BB31" s="7">
        <f t="shared" si="1"/>
        <v>-0.12769276552752518</v>
      </c>
      <c r="BC31" s="2">
        <f t="shared" si="2"/>
        <v>42755890</v>
      </c>
    </row>
    <row r="32" spans="2:55" x14ac:dyDescent="0.25">
      <c r="B32" s="9" t="s">
        <v>551</v>
      </c>
      <c r="C32" s="24">
        <v>85.194805194805184</v>
      </c>
      <c r="BA32" t="str">
        <f t="shared" si="0"/>
        <v>MEMBRANA PVC</v>
      </c>
      <c r="BB32" s="7">
        <f t="shared" si="1"/>
        <v>-0.12766037560093335</v>
      </c>
      <c r="BC32" s="2">
        <f t="shared" si="2"/>
        <v>8942514</v>
      </c>
    </row>
    <row r="33" spans="2:55" x14ac:dyDescent="0.25">
      <c r="B33" s="9" t="s">
        <v>420</v>
      </c>
      <c r="C33" s="24">
        <v>2270.2298273628835</v>
      </c>
      <c r="BA33" t="str">
        <f t="shared" si="0"/>
        <v>SMARTPANEL</v>
      </c>
      <c r="BB33" s="7">
        <f t="shared" si="1"/>
        <v>-0.12101876785949506</v>
      </c>
      <c r="BC33" s="2">
        <f t="shared" si="2"/>
        <v>47625002</v>
      </c>
    </row>
    <row r="34" spans="2:55" hidden="1" x14ac:dyDescent="0.25">
      <c r="BA34" t="str">
        <f t="shared" si="0"/>
        <v>VENTANA V-01</v>
      </c>
      <c r="BB34" s="7">
        <f t="shared" si="1"/>
        <v>-0.11271491680798251</v>
      </c>
      <c r="BC34" s="2">
        <f t="shared" si="2"/>
        <v>23168467</v>
      </c>
    </row>
    <row r="35" spans="2:55" hidden="1" x14ac:dyDescent="0.25"/>
    <row r="36" spans="2:55" hidden="1" x14ac:dyDescent="0.25"/>
    <row r="37" spans="2:55" hidden="1" x14ac:dyDescent="0.25"/>
    <row r="38" spans="2:55" hidden="1" x14ac:dyDescent="0.25"/>
    <row r="39" spans="2:55" hidden="1" x14ac:dyDescent="0.25"/>
    <row r="40" spans="2:55" hidden="1" x14ac:dyDescent="0.25"/>
    <row r="41" spans="2:55" hidden="1" x14ac:dyDescent="0.25"/>
    <row r="42" spans="2:55" hidden="1" x14ac:dyDescent="0.25"/>
    <row r="43" spans="2:55" hidden="1" x14ac:dyDescent="0.25"/>
    <row r="44" spans="2:55" hidden="1" x14ac:dyDescent="0.25"/>
    <row r="45" spans="2:55" hidden="1" x14ac:dyDescent="0.25"/>
    <row r="46" spans="2:55" hidden="1" x14ac:dyDescent="0.25"/>
    <row r="47" spans="2:55" hidden="1" x14ac:dyDescent="0.25"/>
    <row r="48" spans="2:55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spans="2:46" hidden="1" x14ac:dyDescent="0.25"/>
    <row r="162" spans="2:46" hidden="1" x14ac:dyDescent="0.25"/>
    <row r="163" spans="2:46" hidden="1" x14ac:dyDescent="0.25"/>
    <row r="164" spans="2:46" hidden="1" x14ac:dyDescent="0.25"/>
    <row r="165" spans="2:46" hidden="1" x14ac:dyDescent="0.25"/>
    <row r="168" spans="2:46" ht="15" customHeight="1" x14ac:dyDescent="0.25"/>
    <row r="169" spans="2:46" ht="15" customHeight="1" x14ac:dyDescent="0.25">
      <c r="AQ169" s="80" t="s">
        <v>1583</v>
      </c>
      <c r="AR169" s="80"/>
      <c r="AS169" s="79"/>
      <c r="AT169" s="79"/>
    </row>
    <row r="170" spans="2:46" ht="15" customHeight="1" x14ac:dyDescent="0.25">
      <c r="AQ170" s="80"/>
      <c r="AR170" s="80"/>
      <c r="AS170" s="79"/>
      <c r="AT170" s="79"/>
    </row>
    <row r="171" spans="2:46" ht="15" customHeight="1" x14ac:dyDescent="0.25">
      <c r="B171" s="8" t="s">
        <v>319</v>
      </c>
      <c r="C171" t="s">
        <v>319</v>
      </c>
      <c r="AQ171" s="80"/>
      <c r="AR171" s="80"/>
      <c r="AS171" s="79"/>
      <c r="AT171" s="79"/>
    </row>
    <row r="172" spans="2:46" ht="15" customHeight="1" x14ac:dyDescent="0.25">
      <c r="AQ172" s="80"/>
      <c r="AR172" s="80"/>
      <c r="AS172" s="79"/>
      <c r="AT172" s="79"/>
    </row>
    <row r="173" spans="2:46" x14ac:dyDescent="0.25">
      <c r="B173" s="8" t="s">
        <v>419</v>
      </c>
      <c r="C173" t="s">
        <v>523</v>
      </c>
      <c r="AQ173" s="80"/>
      <c r="AR173" s="80"/>
      <c r="AS173" s="79"/>
      <c r="AT173" s="79"/>
    </row>
    <row r="174" spans="2:46" x14ac:dyDescent="0.25">
      <c r="B174" s="9" t="s">
        <v>278</v>
      </c>
      <c r="C174" s="13">
        <v>4.3626760630287649E-2</v>
      </c>
    </row>
    <row r="175" spans="2:46" x14ac:dyDescent="0.25">
      <c r="B175" s="9" t="s">
        <v>279</v>
      </c>
      <c r="C175" s="13">
        <v>3.2397546149265273E-2</v>
      </c>
    </row>
    <row r="176" spans="2:46" x14ac:dyDescent="0.25">
      <c r="B176" s="9" t="s">
        <v>39</v>
      </c>
      <c r="C176" s="13">
        <v>1.9644849815333591E-2</v>
      </c>
    </row>
    <row r="177" spans="2:55" x14ac:dyDescent="0.25">
      <c r="B177" s="9" t="s">
        <v>83</v>
      </c>
      <c r="C177" s="13">
        <v>5.6833264160054998E-3</v>
      </c>
    </row>
    <row r="178" spans="2:55" x14ac:dyDescent="0.25">
      <c r="B178" s="9" t="s">
        <v>249</v>
      </c>
      <c r="C178" s="13">
        <v>1.8244181243102897E-2</v>
      </c>
    </row>
    <row r="179" spans="2:55" x14ac:dyDescent="0.25">
      <c r="B179" s="9" t="s">
        <v>40</v>
      </c>
      <c r="C179" s="13">
        <v>4.4606045059827883E-2</v>
      </c>
    </row>
    <row r="180" spans="2:55" x14ac:dyDescent="0.25">
      <c r="B180" s="9" t="s">
        <v>41</v>
      </c>
      <c r="C180" s="13">
        <v>3.6523948740267667E-2</v>
      </c>
      <c r="BA180" t="s">
        <v>419</v>
      </c>
      <c r="BB180" s="7" t="s">
        <v>462</v>
      </c>
      <c r="BC180" t="s">
        <v>414</v>
      </c>
    </row>
    <row r="181" spans="2:55" x14ac:dyDescent="0.25">
      <c r="B181" s="9" t="s">
        <v>337</v>
      </c>
      <c r="C181" s="13">
        <v>1.6183098622817593E-2</v>
      </c>
      <c r="BA181" t="str">
        <f t="shared" ref="BA181:BA189" si="3">+B422</f>
        <v>CERRADURA DE EMB 85000 MULTIPLE C/REC</v>
      </c>
      <c r="BB181" s="7">
        <f t="shared" ref="BB181:BB189" si="4">+C422</f>
        <v>0.45965664642525339</v>
      </c>
      <c r="BC181" s="2">
        <f t="shared" ref="BC181:BC189" si="5">+D422</f>
        <v>467224</v>
      </c>
    </row>
    <row r="182" spans="2:55" x14ac:dyDescent="0.25">
      <c r="B182" s="9" t="s">
        <v>256</v>
      </c>
      <c r="C182" s="13">
        <v>3.4759805909700521E-2</v>
      </c>
      <c r="BA182" t="str">
        <f t="shared" si="3"/>
        <v>ESPEJO RECTO AL. BLANCO DE 50x70 CMS</v>
      </c>
      <c r="BB182" s="7">
        <f t="shared" si="4"/>
        <v>0.13590462014685412</v>
      </c>
      <c r="BC182" s="2">
        <f t="shared" si="5"/>
        <v>804173</v>
      </c>
    </row>
    <row r="183" spans="2:55" x14ac:dyDescent="0.25">
      <c r="B183" s="9" t="s">
        <v>247</v>
      </c>
      <c r="C183" s="13">
        <v>1.1210383266775757E-2</v>
      </c>
      <c r="BA183" t="str">
        <f t="shared" si="3"/>
        <v>MANILLA JUEGO 2816-C 19MM REVERSIBLE SIN BOC.</v>
      </c>
      <c r="BB183" s="7">
        <f t="shared" si="4"/>
        <v>8.2194051348848829E-2</v>
      </c>
      <c r="BC183" s="2">
        <f t="shared" si="5"/>
        <v>324133</v>
      </c>
    </row>
    <row r="184" spans="2:55" x14ac:dyDescent="0.25">
      <c r="B184" s="9" t="s">
        <v>126</v>
      </c>
      <c r="C184" s="13">
        <v>0</v>
      </c>
      <c r="BA184" t="str">
        <f t="shared" si="3"/>
        <v>V03- VENTANA BAÑO PROYECTANTE (550X550 MM)</v>
      </c>
      <c r="BB184" s="7">
        <f t="shared" si="4"/>
        <v>6.7553476675368485E-2</v>
      </c>
      <c r="BC184" s="2">
        <f t="shared" si="5"/>
        <v>4443304</v>
      </c>
    </row>
    <row r="185" spans="2:55" x14ac:dyDescent="0.25">
      <c r="B185" s="9" t="s">
        <v>356</v>
      </c>
      <c r="C185" s="13">
        <v>0</v>
      </c>
      <c r="BA185" t="str">
        <f t="shared" si="3"/>
        <v>CILINDRO 03 LLAVE/LLAVE 70MM (35X35) AI</v>
      </c>
      <c r="BB185" s="7">
        <f t="shared" si="4"/>
        <v>3.9570700828236216E-2</v>
      </c>
      <c r="BC185" s="2">
        <f t="shared" si="5"/>
        <v>353888</v>
      </c>
    </row>
    <row r="186" spans="2:55" x14ac:dyDescent="0.25">
      <c r="B186" s="9" t="s">
        <v>246</v>
      </c>
      <c r="C186" s="13">
        <v>2.4918521872716634E-2</v>
      </c>
      <c r="BA186" t="str">
        <f t="shared" si="3"/>
        <v>AISLAN ROCA 90 MM D: 32 KG/M3 DE 0.375x1.200 MM (5.4 M2) SKU 3000481</v>
      </c>
      <c r="BB186" s="7">
        <f t="shared" si="4"/>
        <v>1.6624245809110816E-2</v>
      </c>
      <c r="BC186" s="2">
        <f t="shared" si="5"/>
        <v>8900548</v>
      </c>
    </row>
    <row r="187" spans="2:55" x14ac:dyDescent="0.25">
      <c r="B187" s="9" t="s">
        <v>323</v>
      </c>
      <c r="C187" s="13">
        <v>4.5702760826944896E-2</v>
      </c>
      <c r="BA187" t="str">
        <f t="shared" si="3"/>
        <v>Total general</v>
      </c>
      <c r="BB187" s="7">
        <f t="shared" si="4"/>
        <v>0.80150374123367185</v>
      </c>
      <c r="BC187" s="2">
        <f t="shared" si="5"/>
        <v>15293270</v>
      </c>
    </row>
    <row r="188" spans="2:55" x14ac:dyDescent="0.25">
      <c r="B188" s="9" t="s">
        <v>115</v>
      </c>
      <c r="C188" s="13">
        <v>6.081240073375057E-2</v>
      </c>
      <c r="BA188">
        <f t="shared" si="3"/>
        <v>0</v>
      </c>
      <c r="BB188" s="7">
        <f t="shared" si="4"/>
        <v>0</v>
      </c>
      <c r="BC188" s="2">
        <f t="shared" si="5"/>
        <v>0</v>
      </c>
    </row>
    <row r="189" spans="2:55" x14ac:dyDescent="0.25">
      <c r="B189" s="9" t="s">
        <v>22</v>
      </c>
      <c r="C189" s="13">
        <v>5.9096045349501476E-2</v>
      </c>
      <c r="BA189">
        <f t="shared" si="3"/>
        <v>0</v>
      </c>
      <c r="BB189" s="7">
        <f t="shared" si="4"/>
        <v>0</v>
      </c>
      <c r="BC189" s="2">
        <f t="shared" si="5"/>
        <v>0</v>
      </c>
    </row>
    <row r="190" spans="2:55" x14ac:dyDescent="0.25">
      <c r="B190" s="9" t="s">
        <v>167</v>
      </c>
      <c r="C190" s="13">
        <v>3.597743126317967E-2</v>
      </c>
    </row>
    <row r="191" spans="2:55" x14ac:dyDescent="0.25">
      <c r="B191" s="9" t="s">
        <v>72</v>
      </c>
      <c r="C191" s="13">
        <v>4.9813162595142901E-2</v>
      </c>
    </row>
    <row r="192" spans="2:55" x14ac:dyDescent="0.25">
      <c r="B192" s="9" t="s">
        <v>17</v>
      </c>
      <c r="C192" s="13">
        <v>4.4315992606619253E-2</v>
      </c>
    </row>
    <row r="193" spans="2:3" x14ac:dyDescent="0.25">
      <c r="B193" s="9" t="s">
        <v>80</v>
      </c>
      <c r="C193" s="13">
        <v>5.6579134531435163E-2</v>
      </c>
    </row>
    <row r="194" spans="2:3" x14ac:dyDescent="0.25">
      <c r="B194" s="9" t="s">
        <v>37</v>
      </c>
      <c r="C194" s="13">
        <v>4.1249253515256767E-2</v>
      </c>
    </row>
    <row r="195" spans="2:3" x14ac:dyDescent="0.25">
      <c r="B195" s="9" t="s">
        <v>197</v>
      </c>
      <c r="C195" s="13">
        <v>6.2875814679365497E-2</v>
      </c>
    </row>
    <row r="196" spans="2:3" x14ac:dyDescent="0.25">
      <c r="B196" s="9" t="s">
        <v>204</v>
      </c>
      <c r="C196" s="13">
        <v>3.6254497576189176E-2</v>
      </c>
    </row>
    <row r="197" spans="2:3" x14ac:dyDescent="0.25">
      <c r="B197" s="9" t="s">
        <v>347</v>
      </c>
      <c r="C197" s="13">
        <v>0</v>
      </c>
    </row>
    <row r="198" spans="2:3" x14ac:dyDescent="0.25">
      <c r="B198" s="9" t="s">
        <v>318</v>
      </c>
      <c r="C198" s="13">
        <v>4.3651077393345332E-2</v>
      </c>
    </row>
    <row r="199" spans="2:3" x14ac:dyDescent="0.25">
      <c r="B199" s="9" t="s">
        <v>30</v>
      </c>
      <c r="C199" s="13">
        <v>4.0902731060279307E-2</v>
      </c>
    </row>
    <row r="200" spans="2:3" x14ac:dyDescent="0.25">
      <c r="B200" s="9" t="s">
        <v>297</v>
      </c>
      <c r="C200" s="13">
        <v>3.0400983665624545E-2</v>
      </c>
    </row>
    <row r="201" spans="2:3" x14ac:dyDescent="0.25">
      <c r="B201" s="9" t="s">
        <v>289</v>
      </c>
      <c r="C201" s="13">
        <v>2.9511959109273088E-2</v>
      </c>
    </row>
    <row r="202" spans="2:3" x14ac:dyDescent="0.25">
      <c r="B202" s="9" t="s">
        <v>287</v>
      </c>
      <c r="C202" s="13">
        <v>3.310052323448482E-2</v>
      </c>
    </row>
    <row r="203" spans="2:3" x14ac:dyDescent="0.25">
      <c r="B203" s="9" t="s">
        <v>338</v>
      </c>
      <c r="C203" s="13">
        <v>9.1097064267913006E-4</v>
      </c>
    </row>
    <row r="204" spans="2:3" x14ac:dyDescent="0.25">
      <c r="B204" s="9" t="s">
        <v>316</v>
      </c>
      <c r="C204" s="13">
        <v>4.104679349082746E-2</v>
      </c>
    </row>
    <row r="205" spans="2:3" x14ac:dyDescent="0.25">
      <c r="B205" s="9" t="s">
        <v>420</v>
      </c>
      <c r="C205" s="13">
        <v>1</v>
      </c>
    </row>
    <row r="207" spans="2:3" hidden="1" x14ac:dyDescent="0.25"/>
    <row r="208" spans="2:3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9" spans="2:4" x14ac:dyDescent="0.25">
      <c r="B259" s="8" t="s">
        <v>319</v>
      </c>
      <c r="C259" t="s">
        <v>319</v>
      </c>
    </row>
    <row r="261" spans="2:4" x14ac:dyDescent="0.25">
      <c r="B261" s="8" t="s">
        <v>524</v>
      </c>
      <c r="C261" t="s">
        <v>462</v>
      </c>
      <c r="D261" t="s">
        <v>414</v>
      </c>
    </row>
    <row r="262" spans="2:4" x14ac:dyDescent="0.25">
      <c r="B262" s="9" t="s">
        <v>537</v>
      </c>
      <c r="C262" s="13">
        <v>-0.27886614139446153</v>
      </c>
      <c r="D262" s="14">
        <v>20107495</v>
      </c>
    </row>
    <row r="263" spans="2:4" x14ac:dyDescent="0.25">
      <c r="B263" s="9" t="s">
        <v>543</v>
      </c>
      <c r="C263" s="13">
        <v>-0.2588701488390206</v>
      </c>
      <c r="D263" s="14">
        <v>4894523</v>
      </c>
    </row>
    <row r="264" spans="2:4" x14ac:dyDescent="0.25">
      <c r="B264" s="9" t="s">
        <v>548</v>
      </c>
      <c r="C264" s="13">
        <v>-0.17890895084818992</v>
      </c>
      <c r="D264" s="14">
        <v>21504261</v>
      </c>
    </row>
    <row r="265" spans="2:4" x14ac:dyDescent="0.25">
      <c r="B265" s="9" t="s">
        <v>528</v>
      </c>
      <c r="C265" s="13">
        <v>-0.17727435758694721</v>
      </c>
      <c r="D265" s="14">
        <v>12485068</v>
      </c>
    </row>
    <row r="266" spans="2:4" x14ac:dyDescent="0.25">
      <c r="B266" s="9" t="s">
        <v>547</v>
      </c>
      <c r="C266" s="13">
        <v>-0.17559875266549096</v>
      </c>
      <c r="D266" s="14">
        <v>46820539</v>
      </c>
    </row>
    <row r="267" spans="2:4" x14ac:dyDescent="0.25">
      <c r="B267" s="9" t="s">
        <v>2008</v>
      </c>
      <c r="C267" s="13">
        <v>-0.17152393567889601</v>
      </c>
      <c r="D267" s="14">
        <v>12545027</v>
      </c>
    </row>
    <row r="268" spans="2:4" x14ac:dyDescent="0.25">
      <c r="B268" s="9" t="s">
        <v>541</v>
      </c>
      <c r="C268" s="13">
        <v>-0.1676590113612183</v>
      </c>
      <c r="D268" s="14">
        <v>12389283</v>
      </c>
    </row>
    <row r="269" spans="2:4" x14ac:dyDescent="0.25">
      <c r="B269" s="9" t="s">
        <v>590</v>
      </c>
      <c r="C269" s="13">
        <v>-0.16320767340952591</v>
      </c>
      <c r="D269" s="14">
        <v>9320133</v>
      </c>
    </row>
    <row r="270" spans="2:4" x14ac:dyDescent="0.25">
      <c r="B270" s="9" t="s">
        <v>540</v>
      </c>
      <c r="C270" s="13">
        <v>-0.1627723362719522</v>
      </c>
      <c r="D270" s="14">
        <v>12785089</v>
      </c>
    </row>
    <row r="271" spans="2:4" x14ac:dyDescent="0.25">
      <c r="B271" s="9" t="s">
        <v>748</v>
      </c>
      <c r="C271" s="13">
        <v>-0.16079105862364274</v>
      </c>
      <c r="D271" s="14">
        <v>31293935</v>
      </c>
    </row>
    <row r="272" spans="2:4" x14ac:dyDescent="0.25">
      <c r="B272" s="9" t="s">
        <v>538</v>
      </c>
      <c r="C272" s="13">
        <v>-0.1506982731931007</v>
      </c>
      <c r="D272" s="14">
        <v>49703385</v>
      </c>
    </row>
    <row r="273" spans="2:7" x14ac:dyDescent="0.25">
      <c r="B273" s="9" t="s">
        <v>549</v>
      </c>
      <c r="C273" s="13">
        <v>-0.14437462002354551</v>
      </c>
      <c r="D273" s="14">
        <v>25839815</v>
      </c>
    </row>
    <row r="274" spans="2:7" x14ac:dyDescent="0.25">
      <c r="B274" s="9" t="s">
        <v>535</v>
      </c>
      <c r="C274" s="13">
        <v>-0.14358755403366175</v>
      </c>
      <c r="D274" s="14">
        <v>46341721</v>
      </c>
    </row>
    <row r="275" spans="2:7" x14ac:dyDescent="0.25">
      <c r="B275" s="9" t="s">
        <v>539</v>
      </c>
      <c r="C275" s="13">
        <v>-0.13919426285914227</v>
      </c>
      <c r="D275" s="14">
        <v>34768107</v>
      </c>
    </row>
    <row r="276" spans="2:7" x14ac:dyDescent="0.25">
      <c r="B276" s="9" t="s">
        <v>300</v>
      </c>
      <c r="C276" s="13">
        <v>-0.13338933396044594</v>
      </c>
      <c r="D276" s="14">
        <v>15495874</v>
      </c>
    </row>
    <row r="277" spans="2:7" x14ac:dyDescent="0.25">
      <c r="B277" s="9" t="s">
        <v>550</v>
      </c>
      <c r="C277" s="13">
        <v>-0.1277477373797743</v>
      </c>
      <c r="D277" s="14">
        <v>8849507</v>
      </c>
    </row>
    <row r="278" spans="2:7" x14ac:dyDescent="0.25">
      <c r="B278" s="9" t="s">
        <v>747</v>
      </c>
      <c r="C278" s="13">
        <v>-0.12769276552752518</v>
      </c>
      <c r="D278" s="14">
        <v>42755890</v>
      </c>
    </row>
    <row r="279" spans="2:7" x14ac:dyDescent="0.25">
      <c r="B279" s="9" t="s">
        <v>546</v>
      </c>
      <c r="C279" s="13">
        <v>-0.12766037560093335</v>
      </c>
      <c r="D279" s="14">
        <v>8942514</v>
      </c>
    </row>
    <row r="280" spans="2:7" x14ac:dyDescent="0.25">
      <c r="B280" s="9" t="s">
        <v>545</v>
      </c>
      <c r="C280" s="13">
        <v>-0.12101876785949506</v>
      </c>
      <c r="D280" s="14">
        <v>47625002</v>
      </c>
    </row>
    <row r="281" spans="2:7" x14ac:dyDescent="0.25">
      <c r="B281" s="9" t="s">
        <v>529</v>
      </c>
      <c r="C281" s="13">
        <v>-0.11271491680798251</v>
      </c>
      <c r="D281" s="14">
        <v>23168467</v>
      </c>
    </row>
    <row r="282" spans="2:7" x14ac:dyDescent="0.25">
      <c r="B282" s="9" t="s">
        <v>542</v>
      </c>
      <c r="C282" s="13">
        <v>-0.10886711764967671</v>
      </c>
      <c r="D282" s="14">
        <v>42903640</v>
      </c>
    </row>
    <row r="283" spans="2:7" x14ac:dyDescent="0.25">
      <c r="B283" s="9" t="s">
        <v>532</v>
      </c>
      <c r="C283" s="13">
        <v>-7.5901332635025964E-2</v>
      </c>
      <c r="D283" s="14">
        <v>4410352</v>
      </c>
      <c r="G283" s="7"/>
    </row>
    <row r="284" spans="2:7" x14ac:dyDescent="0.25">
      <c r="B284" s="9" t="s">
        <v>536</v>
      </c>
      <c r="C284" s="13">
        <v>-3.6441633910114568E-2</v>
      </c>
      <c r="D284" s="14">
        <v>49484597</v>
      </c>
      <c r="G284" s="7"/>
    </row>
    <row r="285" spans="2:7" x14ac:dyDescent="0.25">
      <c r="B285" s="9" t="s">
        <v>530</v>
      </c>
      <c r="C285" s="13">
        <v>-3.0339958523053157E-2</v>
      </c>
      <c r="D285" s="14">
        <v>15656989</v>
      </c>
      <c r="G285" s="7"/>
    </row>
    <row r="286" spans="2:7" x14ac:dyDescent="0.25">
      <c r="B286" s="9" t="s">
        <v>533</v>
      </c>
      <c r="C286" s="13">
        <v>-2.5777045211070493E-2</v>
      </c>
      <c r="D286" s="14">
        <v>1874688</v>
      </c>
      <c r="G286" s="7"/>
    </row>
    <row r="287" spans="2:7" x14ac:dyDescent="0.25">
      <c r="B287" s="9" t="s">
        <v>534</v>
      </c>
      <c r="C287" s="13">
        <v>-5.576351258238188E-3</v>
      </c>
      <c r="D287" s="14">
        <v>8587895</v>
      </c>
      <c r="G287" s="7"/>
    </row>
    <row r="288" spans="2:7" x14ac:dyDescent="0.25">
      <c r="B288" s="9" t="s">
        <v>531</v>
      </c>
      <c r="C288" s="13">
        <v>0</v>
      </c>
      <c r="D288" s="14">
        <v>0</v>
      </c>
      <c r="G288" s="7"/>
    </row>
    <row r="289" spans="2:4" x14ac:dyDescent="0.25">
      <c r="B289" s="9" t="s">
        <v>2007</v>
      </c>
      <c r="C289" s="13">
        <v>0</v>
      </c>
      <c r="D289" s="14">
        <v>73473574</v>
      </c>
    </row>
    <row r="290" spans="2:4" x14ac:dyDescent="0.25">
      <c r="B290" s="9" t="s">
        <v>544</v>
      </c>
      <c r="C290" s="13">
        <v>1.6624245809110816E-2</v>
      </c>
      <c r="D290" s="14">
        <v>8900548</v>
      </c>
    </row>
    <row r="291" spans="2:4" x14ac:dyDescent="0.25">
      <c r="B291" s="9" t="s">
        <v>236</v>
      </c>
      <c r="C291" s="13">
        <v>6.7553476675368485E-2</v>
      </c>
      <c r="D291" s="14">
        <v>4443304</v>
      </c>
    </row>
    <row r="292" spans="2:4" x14ac:dyDescent="0.25">
      <c r="B292" s="9" t="s">
        <v>420</v>
      </c>
      <c r="C292" s="13">
        <v>-3.4222766906276503</v>
      </c>
      <c r="D292" s="14">
        <v>697371222</v>
      </c>
    </row>
    <row r="294" spans="2:4" hidden="1" x14ac:dyDescent="0.25"/>
    <row r="295" spans="2:4" hidden="1" x14ac:dyDescent="0.25"/>
    <row r="296" spans="2:4" hidden="1" x14ac:dyDescent="0.25"/>
    <row r="297" spans="2:4" hidden="1" x14ac:dyDescent="0.25"/>
    <row r="298" spans="2:4" hidden="1" x14ac:dyDescent="0.25"/>
    <row r="299" spans="2:4" hidden="1" x14ac:dyDescent="0.25"/>
    <row r="300" spans="2:4" hidden="1" x14ac:dyDescent="0.25"/>
    <row r="301" spans="2:4" hidden="1" x14ac:dyDescent="0.25"/>
    <row r="302" spans="2:4" hidden="1" x14ac:dyDescent="0.25"/>
    <row r="303" spans="2:4" hidden="1" x14ac:dyDescent="0.25"/>
    <row r="304" spans="2: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9" spans="2:4" x14ac:dyDescent="0.25">
      <c r="B419" s="8" t="s">
        <v>319</v>
      </c>
      <c r="C419" t="s">
        <v>449</v>
      </c>
    </row>
    <row r="421" spans="2:4" x14ac:dyDescent="0.25">
      <c r="B421" s="8" t="s">
        <v>524</v>
      </c>
      <c r="C421" t="s">
        <v>462</v>
      </c>
      <c r="D421" t="s">
        <v>414</v>
      </c>
    </row>
    <row r="422" spans="2:4" x14ac:dyDescent="0.25">
      <c r="B422" s="9" t="s">
        <v>484</v>
      </c>
      <c r="C422" s="13">
        <v>0.45965664642525339</v>
      </c>
      <c r="D422" s="34">
        <v>467224</v>
      </c>
    </row>
    <row r="423" spans="2:4" x14ac:dyDescent="0.25">
      <c r="B423" s="9" t="s">
        <v>192</v>
      </c>
      <c r="C423" s="13">
        <v>0.13590462014685412</v>
      </c>
      <c r="D423" s="34">
        <v>804173</v>
      </c>
    </row>
    <row r="424" spans="2:4" x14ac:dyDescent="0.25">
      <c r="B424" s="9" t="s">
        <v>486</v>
      </c>
      <c r="C424" s="13">
        <v>8.2194051348848829E-2</v>
      </c>
      <c r="D424" s="34">
        <v>324133</v>
      </c>
    </row>
    <row r="425" spans="2:4" x14ac:dyDescent="0.25">
      <c r="B425" s="9" t="s">
        <v>289</v>
      </c>
      <c r="C425" s="13">
        <v>6.7553476675368485E-2</v>
      </c>
      <c r="D425" s="34">
        <v>4443304</v>
      </c>
    </row>
    <row r="426" spans="2:4" x14ac:dyDescent="0.25">
      <c r="B426" s="9" t="s">
        <v>485</v>
      </c>
      <c r="C426" s="13">
        <v>3.9570700828236216E-2</v>
      </c>
      <c r="D426" s="34">
        <v>353888</v>
      </c>
    </row>
    <row r="427" spans="2:4" x14ac:dyDescent="0.25">
      <c r="B427" s="9" t="s">
        <v>39</v>
      </c>
      <c r="C427" s="13">
        <v>1.6624245809110816E-2</v>
      </c>
      <c r="D427" s="34">
        <v>8900548</v>
      </c>
    </row>
    <row r="428" spans="2:4" x14ac:dyDescent="0.25">
      <c r="B428" s="9" t="s">
        <v>420</v>
      </c>
      <c r="C428" s="13">
        <v>0.80150374123367185</v>
      </c>
      <c r="D428" s="34">
        <v>15293270</v>
      </c>
    </row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spans="2:5" hidden="1" x14ac:dyDescent="0.25"/>
    <row r="514" spans="2:5" hidden="1" x14ac:dyDescent="0.25"/>
    <row r="515" spans="2:5" hidden="1" x14ac:dyDescent="0.25"/>
    <row r="516" spans="2:5" hidden="1" x14ac:dyDescent="0.25"/>
    <row r="517" spans="2:5" hidden="1" x14ac:dyDescent="0.25"/>
    <row r="518" spans="2:5" hidden="1" x14ac:dyDescent="0.25"/>
    <row r="524" spans="2:5" x14ac:dyDescent="0.25">
      <c r="B524" s="8" t="s">
        <v>319</v>
      </c>
      <c r="C524" t="s">
        <v>319</v>
      </c>
    </row>
    <row r="526" spans="2:5" x14ac:dyDescent="0.25">
      <c r="B526" s="8" t="s">
        <v>553</v>
      </c>
      <c r="C526" t="s">
        <v>556</v>
      </c>
      <c r="D526" t="s">
        <v>554</v>
      </c>
      <c r="E526" t="s">
        <v>557</v>
      </c>
    </row>
    <row r="527" spans="2:5" x14ac:dyDescent="0.25">
      <c r="B527" t="s">
        <v>531</v>
      </c>
      <c r="C527" s="36">
        <v>12346.424999999999</v>
      </c>
      <c r="D527" s="35">
        <v>0</v>
      </c>
      <c r="E527" s="13">
        <v>0</v>
      </c>
    </row>
    <row r="528" spans="2:5" x14ac:dyDescent="0.25">
      <c r="B528" t="s">
        <v>2008</v>
      </c>
      <c r="C528" s="36">
        <v>91494.933075000023</v>
      </c>
      <c r="D528" s="35">
        <v>314</v>
      </c>
      <c r="E528" s="13">
        <v>3.4318840338689424E-3</v>
      </c>
    </row>
    <row r="529" spans="2:5" x14ac:dyDescent="0.25">
      <c r="B529" t="s">
        <v>533</v>
      </c>
      <c r="C529" s="36">
        <v>2424.6904499999996</v>
      </c>
      <c r="D529" s="35">
        <v>51</v>
      </c>
      <c r="E529" s="13">
        <v>2.1033612764878917E-2</v>
      </c>
    </row>
    <row r="530" spans="2:5" x14ac:dyDescent="0.25">
      <c r="B530" t="s">
        <v>532</v>
      </c>
      <c r="C530" s="36">
        <v>1474.2000000000003</v>
      </c>
      <c r="D530" s="35">
        <v>85</v>
      </c>
      <c r="E530" s="13">
        <v>5.7658390991724318E-2</v>
      </c>
    </row>
    <row r="531" spans="2:5" x14ac:dyDescent="0.25">
      <c r="B531" t="s">
        <v>543</v>
      </c>
      <c r="C531" s="36">
        <v>45700.200000000019</v>
      </c>
      <c r="D531" s="35">
        <v>2949</v>
      </c>
      <c r="E531" s="13">
        <v>6.4529258077645146E-2</v>
      </c>
    </row>
    <row r="532" spans="2:5" x14ac:dyDescent="0.25">
      <c r="B532" t="s">
        <v>544</v>
      </c>
      <c r="C532" s="36">
        <v>28087.195499999998</v>
      </c>
      <c r="D532" s="35">
        <v>1942</v>
      </c>
      <c r="E532" s="13">
        <v>6.91418265664865E-2</v>
      </c>
    </row>
    <row r="533" spans="2:5" x14ac:dyDescent="0.25">
      <c r="B533" t="s">
        <v>538</v>
      </c>
      <c r="C533" s="36">
        <v>121252.94999999995</v>
      </c>
      <c r="D533" s="35">
        <v>10441</v>
      </c>
      <c r="E533" s="13">
        <v>8.6109245177127688E-2</v>
      </c>
    </row>
    <row r="534" spans="2:5" x14ac:dyDescent="0.25">
      <c r="B534" t="s">
        <v>236</v>
      </c>
      <c r="C534" s="36">
        <v>368.55</v>
      </c>
      <c r="D534" s="35">
        <v>37</v>
      </c>
      <c r="E534" s="13">
        <v>0.10039343372676705</v>
      </c>
    </row>
    <row r="535" spans="2:5" x14ac:dyDescent="0.25">
      <c r="B535" t="s">
        <v>529</v>
      </c>
      <c r="C535" s="36">
        <v>1105.6500000000001</v>
      </c>
      <c r="D535" s="35">
        <v>114</v>
      </c>
      <c r="E535" s="13">
        <v>0.10310676977343643</v>
      </c>
    </row>
    <row r="536" spans="2:5" x14ac:dyDescent="0.25">
      <c r="B536" t="s">
        <v>550</v>
      </c>
      <c r="C536" s="36">
        <v>22319.693159400002</v>
      </c>
      <c r="D536" s="35">
        <v>2436</v>
      </c>
      <c r="E536" s="13">
        <v>0.10914128534845345</v>
      </c>
    </row>
    <row r="537" spans="2:5" x14ac:dyDescent="0.25">
      <c r="B537" t="s">
        <v>530</v>
      </c>
      <c r="C537" s="36">
        <v>368.55</v>
      </c>
      <c r="D537" s="35">
        <v>41</v>
      </c>
      <c r="E537" s="13">
        <v>0.11124677791344458</v>
      </c>
    </row>
    <row r="538" spans="2:5" x14ac:dyDescent="0.25">
      <c r="B538" t="s">
        <v>546</v>
      </c>
      <c r="C538" s="36">
        <v>499.23658536585361</v>
      </c>
      <c r="D538" s="35">
        <v>58</v>
      </c>
      <c r="E538" s="13">
        <v>0.11617738302872191</v>
      </c>
    </row>
    <row r="539" spans="2:5" x14ac:dyDescent="0.25">
      <c r="B539" t="s">
        <v>534</v>
      </c>
      <c r="C539" s="36">
        <v>5343.9749999999995</v>
      </c>
      <c r="D539" s="35">
        <v>640</v>
      </c>
      <c r="E539" s="13">
        <v>0.1197610393012692</v>
      </c>
    </row>
    <row r="540" spans="2:5" x14ac:dyDescent="0.25">
      <c r="B540" t="s">
        <v>542</v>
      </c>
      <c r="C540" s="36">
        <v>21928.724999999999</v>
      </c>
      <c r="D540" s="35">
        <v>2644</v>
      </c>
      <c r="E540" s="13">
        <v>0.1205724455024175</v>
      </c>
    </row>
    <row r="541" spans="2:5" x14ac:dyDescent="0.25">
      <c r="B541" t="s">
        <v>747</v>
      </c>
      <c r="C541" s="36">
        <v>4054.05</v>
      </c>
      <c r="D541" s="35">
        <v>492</v>
      </c>
      <c r="E541" s="13">
        <v>0.12136012136012135</v>
      </c>
    </row>
    <row r="542" spans="2:5" x14ac:dyDescent="0.25">
      <c r="B542" t="s">
        <v>549</v>
      </c>
      <c r="C542" s="36">
        <v>412776</v>
      </c>
      <c r="D542" s="35">
        <v>55298</v>
      </c>
      <c r="E542" s="13">
        <v>0.13396612206136016</v>
      </c>
    </row>
    <row r="543" spans="2:5" x14ac:dyDescent="0.25">
      <c r="B543" t="s">
        <v>300</v>
      </c>
      <c r="C543" s="36">
        <v>3869.7750000000001</v>
      </c>
      <c r="D543" s="35">
        <v>520</v>
      </c>
      <c r="E543" s="13">
        <v>0.13437473754934073</v>
      </c>
    </row>
    <row r="544" spans="2:5" x14ac:dyDescent="0.25">
      <c r="B544" t="s">
        <v>545</v>
      </c>
      <c r="C544" s="36">
        <v>16354.406249999998</v>
      </c>
      <c r="D544" s="35">
        <v>2207</v>
      </c>
      <c r="E544" s="13">
        <v>0.13494834152111149</v>
      </c>
    </row>
    <row r="545" spans="2:5" x14ac:dyDescent="0.25">
      <c r="B545" t="s">
        <v>540</v>
      </c>
      <c r="C545" s="36">
        <v>43826.088606300007</v>
      </c>
      <c r="D545" s="35">
        <v>6207</v>
      </c>
      <c r="E545" s="13">
        <v>0.14162797085906825</v>
      </c>
    </row>
    <row r="546" spans="2:5" x14ac:dyDescent="0.25">
      <c r="B546" t="s">
        <v>539</v>
      </c>
      <c r="C546" s="36">
        <v>16337.821500000005</v>
      </c>
      <c r="D546" s="35">
        <v>2315</v>
      </c>
      <c r="E546" s="13">
        <v>0.14169575790750311</v>
      </c>
    </row>
    <row r="547" spans="2:5" x14ac:dyDescent="0.25">
      <c r="B547" t="s">
        <v>535</v>
      </c>
      <c r="C547" s="36">
        <v>33445.912499999984</v>
      </c>
      <c r="D547" s="35">
        <v>4801</v>
      </c>
      <c r="E547" s="13">
        <v>0.14354519405024463</v>
      </c>
    </row>
    <row r="548" spans="2:5" x14ac:dyDescent="0.25">
      <c r="B548" t="s">
        <v>748</v>
      </c>
      <c r="C548" s="36">
        <v>5528.25</v>
      </c>
      <c r="D548" s="35">
        <v>798</v>
      </c>
      <c r="E548" s="13">
        <v>0.14434947768281101</v>
      </c>
    </row>
    <row r="549" spans="2:5" x14ac:dyDescent="0.25">
      <c r="B549" t="s">
        <v>536</v>
      </c>
      <c r="C549" s="36">
        <v>24692.85</v>
      </c>
      <c r="D549" s="35">
        <v>3602</v>
      </c>
      <c r="E549" s="13">
        <v>0.14587218567318069</v>
      </c>
    </row>
    <row r="550" spans="2:5" x14ac:dyDescent="0.25">
      <c r="B550" t="s">
        <v>537</v>
      </c>
      <c r="C550" s="36">
        <v>24508.575000000015</v>
      </c>
      <c r="D550" s="35">
        <v>3612</v>
      </c>
      <c r="E550" s="13">
        <v>0.14737698948225256</v>
      </c>
    </row>
    <row r="551" spans="2:5" x14ac:dyDescent="0.25">
      <c r="B551" t="s">
        <v>590</v>
      </c>
      <c r="C551" s="36">
        <v>2579.85</v>
      </c>
      <c r="D551" s="35">
        <v>409</v>
      </c>
      <c r="E551" s="13">
        <v>0.15853634901253949</v>
      </c>
    </row>
    <row r="552" spans="2:5" x14ac:dyDescent="0.25">
      <c r="B552" t="s">
        <v>541</v>
      </c>
      <c r="C552" s="36">
        <v>6081.0750000000007</v>
      </c>
      <c r="D552" s="35">
        <v>1072</v>
      </c>
      <c r="E552" s="13">
        <v>0.17628462072906514</v>
      </c>
    </row>
    <row r="553" spans="2:5" x14ac:dyDescent="0.25">
      <c r="B553" t="s">
        <v>528</v>
      </c>
      <c r="C553" s="36">
        <v>4422.6000000000004</v>
      </c>
      <c r="D553" s="35">
        <v>808</v>
      </c>
      <c r="E553" s="13">
        <v>0.18269796047573825</v>
      </c>
    </row>
    <row r="554" spans="2:5" x14ac:dyDescent="0.25">
      <c r="B554" t="s">
        <v>547</v>
      </c>
      <c r="C554" s="36">
        <v>24324.3</v>
      </c>
      <c r="D554" s="35">
        <v>4549</v>
      </c>
      <c r="E554" s="13">
        <v>0.1870146314590759</v>
      </c>
    </row>
    <row r="555" spans="2:5" x14ac:dyDescent="0.25">
      <c r="B555" t="s">
        <v>548</v>
      </c>
      <c r="C555" s="36">
        <v>4975.4250000000011</v>
      </c>
      <c r="D555" s="35">
        <v>956</v>
      </c>
      <c r="E555" s="13">
        <v>0.19214438967525382</v>
      </c>
    </row>
    <row r="556" spans="2:5" x14ac:dyDescent="0.25">
      <c r="B556" t="s">
        <v>2007</v>
      </c>
      <c r="C556" s="36">
        <v>0</v>
      </c>
      <c r="D556" s="35">
        <v>15000</v>
      </c>
      <c r="E556" s="13" t="e">
        <v>#DIV/0!</v>
      </c>
    </row>
    <row r="557" spans="2:5" x14ac:dyDescent="0.25">
      <c r="B557" t="s">
        <v>420</v>
      </c>
      <c r="C557" s="36">
        <v>982491.95262606593</v>
      </c>
      <c r="D557" s="35">
        <v>124398</v>
      </c>
      <c r="E557" s="13">
        <v>0.12661477752311481</v>
      </c>
    </row>
    <row r="559" spans="2:5" hidden="1" x14ac:dyDescent="0.25"/>
    <row r="560" spans="2:5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spans="3:3" hidden="1" x14ac:dyDescent="0.25"/>
    <row r="738" spans="3:3" hidden="1" x14ac:dyDescent="0.25"/>
    <row r="739" spans="3:3" hidden="1" x14ac:dyDescent="0.25"/>
    <row r="740" spans="3:3" hidden="1" x14ac:dyDescent="0.25"/>
    <row r="741" spans="3:3" hidden="1" x14ac:dyDescent="0.25"/>
    <row r="742" spans="3:3" hidden="1" x14ac:dyDescent="0.25"/>
    <row r="743" spans="3:3" hidden="1" x14ac:dyDescent="0.25"/>
    <row r="744" spans="3:3" hidden="1" x14ac:dyDescent="0.25"/>
    <row r="745" spans="3:3" hidden="1" x14ac:dyDescent="0.25"/>
    <row r="746" spans="3:3" hidden="1" x14ac:dyDescent="0.25"/>
    <row r="747" spans="3:3" hidden="1" x14ac:dyDescent="0.25"/>
    <row r="748" spans="3:3" hidden="1" x14ac:dyDescent="0.25"/>
    <row r="749" spans="3:3" hidden="1" x14ac:dyDescent="0.25"/>
    <row r="750" spans="3:3" hidden="1" x14ac:dyDescent="0.25"/>
    <row r="752" spans="3:3" x14ac:dyDescent="0.25">
      <c r="C752" s="8" t="s">
        <v>432</v>
      </c>
    </row>
    <row r="753" spans="2:6" x14ac:dyDescent="0.25">
      <c r="C753" t="s">
        <v>540</v>
      </c>
      <c r="E753" t="s">
        <v>794</v>
      </c>
      <c r="F753" t="s">
        <v>795</v>
      </c>
    </row>
    <row r="754" spans="2:6" x14ac:dyDescent="0.25">
      <c r="B754" s="8" t="s">
        <v>419</v>
      </c>
      <c r="C754" t="s">
        <v>793</v>
      </c>
      <c r="D754" t="s">
        <v>796</v>
      </c>
    </row>
    <row r="755" spans="2:6" x14ac:dyDescent="0.25">
      <c r="B755" s="39">
        <v>46132</v>
      </c>
      <c r="C755" s="81">
        <v>3559</v>
      </c>
      <c r="D755" s="81">
        <v>57.52012283472687</v>
      </c>
      <c r="E755" s="81">
        <v>3559</v>
      </c>
      <c r="F755" s="81">
        <v>57.52012283472687</v>
      </c>
    </row>
    <row r="756" spans="2:6" x14ac:dyDescent="0.25">
      <c r="B756" s="39">
        <v>46139</v>
      </c>
      <c r="C756" s="81">
        <v>3766</v>
      </c>
      <c r="D756" s="81">
        <v>60.755729855783628</v>
      </c>
      <c r="E756" s="81">
        <v>3766</v>
      </c>
      <c r="F756" s="81">
        <v>60.755729855783628</v>
      </c>
    </row>
    <row r="757" spans="2:6" x14ac:dyDescent="0.25">
      <c r="B757" s="39">
        <v>46146</v>
      </c>
      <c r="C757" s="81">
        <v>3787</v>
      </c>
      <c r="D757" s="81">
        <v>60.755729855783628</v>
      </c>
      <c r="E757" s="81">
        <v>3787</v>
      </c>
      <c r="F757" s="81">
        <v>60.755729855783628</v>
      </c>
    </row>
    <row r="758" spans="2:6" x14ac:dyDescent="0.25">
      <c r="B758" s="39">
        <v>46153</v>
      </c>
      <c r="C758" s="81">
        <v>4307</v>
      </c>
      <c r="D758" s="81">
        <v>69.405372387321506</v>
      </c>
      <c r="E758" s="81">
        <v>4307</v>
      </c>
      <c r="F758" s="81">
        <v>69.405372387321506</v>
      </c>
    </row>
    <row r="759" spans="2:6" x14ac:dyDescent="0.25">
      <c r="B759" s="39">
        <v>46160</v>
      </c>
      <c r="C759" s="81">
        <v>4738</v>
      </c>
      <c r="D759" s="81">
        <v>75.892604285974912</v>
      </c>
      <c r="E759" s="81">
        <v>4738</v>
      </c>
      <c r="F759" s="81">
        <v>75.892604285974912</v>
      </c>
    </row>
    <row r="760" spans="2:6" x14ac:dyDescent="0.25">
      <c r="B760" s="39">
        <v>46167</v>
      </c>
      <c r="C760" s="81">
        <v>5245</v>
      </c>
      <c r="D760" s="81">
        <v>84.54224681751279</v>
      </c>
      <c r="E760" s="81">
        <v>5245</v>
      </c>
      <c r="F760" s="81">
        <v>84.54224681751279</v>
      </c>
    </row>
    <row r="761" spans="2:6" x14ac:dyDescent="0.25">
      <c r="B761" s="39">
        <v>46174</v>
      </c>
      <c r="C761" s="81">
        <v>5984</v>
      </c>
      <c r="D761" s="81">
        <v>96.651746361665815</v>
      </c>
      <c r="E761" s="81">
        <v>5984</v>
      </c>
      <c r="F761" s="81">
        <v>96.651746361665815</v>
      </c>
    </row>
    <row r="762" spans="2:6" x14ac:dyDescent="0.25">
      <c r="B762" s="39">
        <v>46181</v>
      </c>
      <c r="C762" s="81">
        <v>6253</v>
      </c>
      <c r="D762" s="81">
        <v>100.97656762743475</v>
      </c>
      <c r="E762" s="81">
        <v>6253</v>
      </c>
      <c r="F762" s="81">
        <v>100.97656762743475</v>
      </c>
    </row>
    <row r="763" spans="2:6" x14ac:dyDescent="0.25">
      <c r="B763" s="39">
        <v>46188</v>
      </c>
      <c r="C763" s="81">
        <v>6297</v>
      </c>
      <c r="D763" s="81">
        <v>100.97656762743475</v>
      </c>
      <c r="E763" s="81">
        <v>6297</v>
      </c>
      <c r="F763" s="81">
        <v>100.97656762743475</v>
      </c>
    </row>
    <row r="764" spans="2:6" x14ac:dyDescent="0.25">
      <c r="B764" s="39" t="s">
        <v>420</v>
      </c>
      <c r="C764" s="81">
        <v>43936</v>
      </c>
      <c r="D764" s="81">
        <v>707.47668765363869</v>
      </c>
      <c r="E764" s="81">
        <v>43936</v>
      </c>
      <c r="F764" s="81">
        <v>707.47668765363869</v>
      </c>
    </row>
  </sheetData>
  <mergeCells count="2">
    <mergeCell ref="AS169:AT173"/>
    <mergeCell ref="AQ169:AR173"/>
  </mergeCells>
  <pageMargins left="0.7" right="0.7" top="0.75" bottom="0.75" header="0.3" footer="0.3"/>
  <drawing r:id="rId7"/>
  <tableParts count="2">
    <tablePart r:id="rId8"/>
    <tablePart r:id="rId9"/>
  </tableParts>
  <extLst>
    <ext xmlns:x14="http://schemas.microsoft.com/office/spreadsheetml/2009/9/main" uri="{A8765BA9-456A-4dab-B4F3-ACF838C121DE}">
      <x14:slicerList>
        <x14:slicer r:id="rId10"/>
      </x14:slicerList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491EB-B7C0-42CB-B067-EBC646C632AE}">
  <sheetPr codeName="Hoja8"/>
  <dimension ref="A1"/>
  <sheetViews>
    <sheetView showGridLines="0" topLeftCell="A346" zoomScale="90" zoomScaleNormal="90" workbookViewId="0">
      <selection activeCell="U249" sqref="U249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EF802-9487-4A1F-AC61-39367DF73837}">
  <sheetPr codeName="Hoja9"/>
  <dimension ref="B7:AV90"/>
  <sheetViews>
    <sheetView showGridLines="0" topLeftCell="B1" workbookViewId="0">
      <selection activeCell="F36" sqref="F36"/>
    </sheetView>
  </sheetViews>
  <sheetFormatPr baseColWidth="10" defaultRowHeight="15" x14ac:dyDescent="0.25"/>
  <cols>
    <col min="1" max="1" width="1.7109375" customWidth="1"/>
    <col min="2" max="2" width="99.140625" bestFit="1" customWidth="1"/>
    <col min="3" max="3" width="22.85546875" bestFit="1" customWidth="1"/>
    <col min="4" max="5" width="4.5703125" bestFit="1" customWidth="1"/>
    <col min="6" max="8" width="5.28515625" bestFit="1" customWidth="1"/>
    <col min="9" max="9" width="12.5703125" hidden="1" customWidth="1"/>
    <col min="10" max="41" width="11.42578125" hidden="1" customWidth="1"/>
    <col min="42" max="42" width="99.140625" bestFit="1" customWidth="1"/>
    <col min="43" max="43" width="22.85546875" bestFit="1" customWidth="1"/>
    <col min="44" max="44" width="11.5703125" bestFit="1" customWidth="1"/>
    <col min="45" max="45" width="10" bestFit="1" customWidth="1"/>
    <col min="46" max="49" width="11.5703125" bestFit="1" customWidth="1"/>
  </cols>
  <sheetData>
    <row r="7" spans="2:48" hidden="1" x14ac:dyDescent="0.25"/>
    <row r="8" spans="2:48" hidden="1" x14ac:dyDescent="0.25">
      <c r="B8" s="82" t="s">
        <v>416</v>
      </c>
      <c r="C8" s="82" t="s">
        <v>319</v>
      </c>
      <c r="AP8" s="82" t="s">
        <v>416</v>
      </c>
      <c r="AQ8" s="82" t="s">
        <v>319</v>
      </c>
    </row>
    <row r="10" spans="2:48" x14ac:dyDescent="0.25">
      <c r="B10" s="82" t="s">
        <v>433</v>
      </c>
      <c r="C10" s="82" t="s">
        <v>432</v>
      </c>
      <c r="D10" s="82"/>
      <c r="E10" s="82"/>
      <c r="F10" s="82"/>
      <c r="G10" s="82"/>
      <c r="H10" s="82"/>
      <c r="AP10" s="82" t="s">
        <v>436</v>
      </c>
      <c r="AQ10" s="82" t="s">
        <v>432</v>
      </c>
      <c r="AR10" s="82"/>
      <c r="AS10" s="82"/>
      <c r="AT10" s="82"/>
      <c r="AU10" s="82"/>
      <c r="AV10" s="82"/>
    </row>
    <row r="11" spans="2:48" x14ac:dyDescent="0.25">
      <c r="B11" s="82" t="s">
        <v>419</v>
      </c>
      <c r="C11" s="82" t="s">
        <v>423</v>
      </c>
      <c r="D11" s="82" t="s">
        <v>424</v>
      </c>
      <c r="E11" s="82" t="s">
        <v>425</v>
      </c>
      <c r="F11" s="82" t="s">
        <v>455</v>
      </c>
      <c r="G11" s="82" t="s">
        <v>781</v>
      </c>
      <c r="H11" s="82" t="s">
        <v>1596</v>
      </c>
      <c r="AP11" s="82" t="s">
        <v>419</v>
      </c>
      <c r="AQ11" s="82" t="s">
        <v>423</v>
      </c>
      <c r="AR11" s="82" t="s">
        <v>424</v>
      </c>
      <c r="AS11" s="82" t="s">
        <v>425</v>
      </c>
      <c r="AT11" s="82" t="s">
        <v>455</v>
      </c>
      <c r="AU11" s="82" t="s">
        <v>781</v>
      </c>
      <c r="AV11" s="82" t="s">
        <v>1596</v>
      </c>
    </row>
    <row r="12" spans="2:48" x14ac:dyDescent="0.25">
      <c r="B12" s="83" t="s">
        <v>278</v>
      </c>
      <c r="C12" s="84">
        <v>-7.412689858622261E-3</v>
      </c>
      <c r="D12" s="84">
        <v>-1.1980081873821649E-2</v>
      </c>
      <c r="E12" s="84">
        <v>-1.6617515363608035E-2</v>
      </c>
      <c r="F12" s="84">
        <v>-3.0999427393787877E-2</v>
      </c>
      <c r="G12" s="84">
        <v>-2.9313698938629069E-2</v>
      </c>
      <c r="H12" s="84">
        <v>-2.6371691954328879E-2</v>
      </c>
      <c r="AP12" s="83" t="s">
        <v>278</v>
      </c>
      <c r="AQ12" s="85">
        <v>1049.3172</v>
      </c>
      <c r="AR12" s="85">
        <v>31182.953999999998</v>
      </c>
      <c r="AS12" s="85">
        <v>49893.618799999997</v>
      </c>
      <c r="AT12" s="85">
        <v>76359.758499999996</v>
      </c>
      <c r="AU12" s="85">
        <v>130836.3407</v>
      </c>
      <c r="AV12" s="85">
        <v>15043.8603</v>
      </c>
    </row>
    <row r="13" spans="2:48" x14ac:dyDescent="0.25">
      <c r="B13" s="83" t="s">
        <v>279</v>
      </c>
      <c r="C13" s="84"/>
      <c r="D13" s="84"/>
      <c r="E13" s="84">
        <v>-9.7962138567680157E-3</v>
      </c>
      <c r="F13" s="84">
        <v>-2.0144626364230016E-2</v>
      </c>
      <c r="G13" s="84">
        <v>-3.0172353946348724E-2</v>
      </c>
      <c r="H13" s="84">
        <v>-1.9237539090421453E-2</v>
      </c>
      <c r="AP13" s="83" t="s">
        <v>279</v>
      </c>
      <c r="AQ13" s="85"/>
      <c r="AR13" s="85"/>
      <c r="AS13" s="85">
        <v>13515.9295</v>
      </c>
      <c r="AT13" s="85">
        <v>63906.984700000001</v>
      </c>
      <c r="AU13" s="85">
        <v>91361.916100000002</v>
      </c>
      <c r="AV13" s="85">
        <v>23134.2012</v>
      </c>
    </row>
    <row r="14" spans="2:48" x14ac:dyDescent="0.25">
      <c r="B14" s="83" t="s">
        <v>39</v>
      </c>
      <c r="C14" s="84"/>
      <c r="D14" s="84">
        <v>4.5265924064784857E-7</v>
      </c>
      <c r="E14" s="84">
        <v>5.0652908541701222E-2</v>
      </c>
      <c r="F14" s="84">
        <v>5.5363691568571176E-2</v>
      </c>
      <c r="G14" s="84">
        <v>0.12275422647337536</v>
      </c>
      <c r="H14" s="84">
        <v>0.15715761825859639</v>
      </c>
      <c r="AP14" s="83" t="s">
        <v>39</v>
      </c>
      <c r="AQ14" s="85"/>
      <c r="AR14" s="85">
        <v>-0.15210000000000001</v>
      </c>
      <c r="AS14" s="85">
        <v>-84213.0432</v>
      </c>
      <c r="AT14" s="85">
        <v>-89406.477899999998</v>
      </c>
      <c r="AU14" s="85">
        <v>-430120.81839999999</v>
      </c>
      <c r="AV14" s="85">
        <v>-142485.739</v>
      </c>
    </row>
    <row r="15" spans="2:48" x14ac:dyDescent="0.25">
      <c r="B15" s="83" t="s">
        <v>83</v>
      </c>
      <c r="C15" s="84">
        <v>3.2977422720500759E-4</v>
      </c>
      <c r="D15" s="84">
        <v>1.6396399048868287E-4</v>
      </c>
      <c r="E15" s="84">
        <v>4.0985583407098652E-7</v>
      </c>
      <c r="F15" s="84">
        <v>4.92151853628979E-6</v>
      </c>
      <c r="G15" s="84">
        <v>2.1013909591487685E-6</v>
      </c>
      <c r="H15" s="84">
        <v>-2.9737558372914081E-6</v>
      </c>
      <c r="AP15" s="83" t="s">
        <v>83</v>
      </c>
      <c r="AQ15" s="85">
        <v>-24.363600000000002</v>
      </c>
      <c r="AR15" s="85">
        <v>-24.090900000000001</v>
      </c>
      <c r="AS15" s="85">
        <v>0.27270000000000005</v>
      </c>
      <c r="AT15" s="85">
        <v>-0.90899999999999992</v>
      </c>
      <c r="AU15" s="85">
        <v>-0.36359999999999998</v>
      </c>
      <c r="AV15" s="85">
        <v>0.72720000000000007</v>
      </c>
    </row>
    <row r="16" spans="2:48" x14ac:dyDescent="0.25">
      <c r="B16" s="83" t="s">
        <v>40</v>
      </c>
      <c r="C16" s="84"/>
      <c r="D16" s="84">
        <v>4.9913022879252244E-7</v>
      </c>
      <c r="E16" s="84">
        <v>-1.5325601192799035E-2</v>
      </c>
      <c r="F16" s="84">
        <v>-1.5325479326695507E-2</v>
      </c>
      <c r="G16" s="84">
        <v>-2.8770676543685706E-2</v>
      </c>
      <c r="H16" s="84">
        <v>-4.6205424388506111E-2</v>
      </c>
      <c r="AP16" s="83" t="s">
        <v>40</v>
      </c>
      <c r="AQ16" s="85"/>
      <c r="AR16" s="85">
        <v>0.60749999999999993</v>
      </c>
      <c r="AS16" s="85">
        <v>95025.614399999991</v>
      </c>
      <c r="AT16" s="85">
        <v>148974.58259999999</v>
      </c>
      <c r="AU16" s="85">
        <v>314656.26529999997</v>
      </c>
      <c r="AV16" s="85">
        <v>81327.484100000001</v>
      </c>
    </row>
    <row r="17" spans="2:48" x14ac:dyDescent="0.25">
      <c r="B17" s="83" t="s">
        <v>41</v>
      </c>
      <c r="C17" s="84"/>
      <c r="D17" s="84">
        <v>-2.9463005046736822E-7</v>
      </c>
      <c r="E17" s="84">
        <v>-8.1179429215373911E-3</v>
      </c>
      <c r="F17" s="84">
        <v>-9.3703741547551036E-3</v>
      </c>
      <c r="G17" s="84">
        <v>-1.0029469571410684E-2</v>
      </c>
      <c r="H17" s="84"/>
      <c r="AP17" s="83" t="s">
        <v>41</v>
      </c>
      <c r="AQ17" s="85"/>
      <c r="AR17" s="85">
        <v>0.61939999999999995</v>
      </c>
      <c r="AS17" s="85">
        <v>61256.398300000001</v>
      </c>
      <c r="AT17" s="85">
        <v>173954.80540000001</v>
      </c>
      <c r="AU17" s="85">
        <v>140520.7965</v>
      </c>
      <c r="AV17" s="85"/>
    </row>
    <row r="18" spans="2:48" x14ac:dyDescent="0.25">
      <c r="B18" s="83" t="s">
        <v>337</v>
      </c>
      <c r="C18" s="84"/>
      <c r="D18" s="84"/>
      <c r="E18" s="84">
        <v>5.6119946793133037E-4</v>
      </c>
      <c r="F18" s="84">
        <v>2.116284001311004E-4</v>
      </c>
      <c r="G18" s="84">
        <v>1.6667365488790849E-4</v>
      </c>
      <c r="H18" s="84">
        <v>1.6493358780096941E-4</v>
      </c>
      <c r="AP18" s="83" t="s">
        <v>337</v>
      </c>
      <c r="AQ18" s="85"/>
      <c r="AR18" s="85"/>
      <c r="AS18" s="85">
        <v>-524</v>
      </c>
      <c r="AT18" s="85">
        <v>-211</v>
      </c>
      <c r="AU18" s="85">
        <v>-335</v>
      </c>
      <c r="AV18" s="85">
        <v>-77</v>
      </c>
    </row>
    <row r="19" spans="2:48" x14ac:dyDescent="0.25">
      <c r="B19" s="83" t="s">
        <v>256</v>
      </c>
      <c r="C19" s="84"/>
      <c r="D19" s="84"/>
      <c r="E19" s="84">
        <v>-8.6615510185605992E-3</v>
      </c>
      <c r="F19" s="84">
        <v>-1.0699381086970799E-2</v>
      </c>
      <c r="G19" s="84"/>
      <c r="H19" s="84">
        <v>-2.1678407657369312E-2</v>
      </c>
      <c r="AP19" s="83" t="s">
        <v>256</v>
      </c>
      <c r="AQ19" s="85"/>
      <c r="AR19" s="85"/>
      <c r="AS19" s="85">
        <v>24362.999999999996</v>
      </c>
      <c r="AT19" s="85">
        <v>28981.333399999996</v>
      </c>
      <c r="AU19" s="85"/>
      <c r="AV19" s="85">
        <v>67753.333400000003</v>
      </c>
    </row>
    <row r="20" spans="2:48" x14ac:dyDescent="0.25">
      <c r="B20" s="83" t="s">
        <v>247</v>
      </c>
      <c r="C20" s="84">
        <v>1.8039430750302635E-2</v>
      </c>
      <c r="D20" s="84">
        <v>9.0198756553502742E-3</v>
      </c>
      <c r="E20" s="84">
        <v>0</v>
      </c>
      <c r="F20" s="84">
        <v>-2.0583561990643574E-2</v>
      </c>
      <c r="G20" s="84"/>
      <c r="H20" s="84"/>
      <c r="AP20" s="83" t="s">
        <v>247</v>
      </c>
      <c r="AQ20" s="85">
        <v>-23275.521800000002</v>
      </c>
      <c r="AR20" s="85">
        <v>-31199.712600000003</v>
      </c>
      <c r="AS20" s="85">
        <v>8.2000000000000007E-3</v>
      </c>
      <c r="AT20" s="85">
        <v>33903.504099999998</v>
      </c>
      <c r="AU20" s="85"/>
      <c r="AV20" s="85"/>
    </row>
    <row r="21" spans="2:48" x14ac:dyDescent="0.25">
      <c r="B21" s="83" t="s">
        <v>126</v>
      </c>
      <c r="C21" s="84"/>
      <c r="D21" s="84">
        <v>0.13530489883992025</v>
      </c>
      <c r="E21" s="84">
        <v>5.7213656929864035E-3</v>
      </c>
      <c r="F21" s="84">
        <v>-4.1717157664144654E-2</v>
      </c>
      <c r="G21" s="84">
        <v>-3.1949423424559946E-3</v>
      </c>
      <c r="H21" s="84">
        <v>3.3028264917764359E-2</v>
      </c>
      <c r="AP21" s="83" t="s">
        <v>126</v>
      </c>
      <c r="AQ21" s="85"/>
      <c r="AR21" s="85">
        <v>-328356.99190000002</v>
      </c>
      <c r="AS21" s="85">
        <v>-8471.9441999999999</v>
      </c>
      <c r="AT21" s="85">
        <v>400523.44639999996</v>
      </c>
      <c r="AU21" s="85">
        <v>96216.502200000017</v>
      </c>
      <c r="AV21" s="85">
        <v>-195626.77679999999</v>
      </c>
    </row>
    <row r="22" spans="2:48" x14ac:dyDescent="0.25">
      <c r="B22" s="83" t="s">
        <v>356</v>
      </c>
      <c r="C22" s="84"/>
      <c r="D22" s="84"/>
      <c r="E22" s="84">
        <v>-1.9280588132325571E-5</v>
      </c>
      <c r="F22" s="84">
        <v>-9.9510037258383116E-2</v>
      </c>
      <c r="G22" s="84">
        <v>-0.1990509364607036</v>
      </c>
      <c r="H22" s="84">
        <v>-0.21102554699807455</v>
      </c>
      <c r="AP22" s="83" t="s">
        <v>356</v>
      </c>
      <c r="AQ22" s="85"/>
      <c r="AR22" s="85"/>
      <c r="AS22" s="85">
        <v>238</v>
      </c>
      <c r="AT22" s="85">
        <v>2860750</v>
      </c>
      <c r="AU22" s="85">
        <v>6741191</v>
      </c>
      <c r="AV22" s="85">
        <v>2619247</v>
      </c>
    </row>
    <row r="23" spans="2:48" x14ac:dyDescent="0.25">
      <c r="B23" s="83" t="s">
        <v>246</v>
      </c>
      <c r="C23" s="84">
        <v>5.6162210584814798E-2</v>
      </c>
      <c r="D23" s="84">
        <v>1.9308160296967018E-2</v>
      </c>
      <c r="E23" s="84">
        <v>-2.1838246107261119E-2</v>
      </c>
      <c r="F23" s="84">
        <v>-3.2866908902128844E-2</v>
      </c>
      <c r="G23" s="84">
        <v>-3.575459176396175E-2</v>
      </c>
      <c r="H23" s="84">
        <v>-5.6710480156095013E-2</v>
      </c>
      <c r="AP23" s="83" t="s">
        <v>246</v>
      </c>
      <c r="AQ23" s="85">
        <v>-196979.0716</v>
      </c>
      <c r="AR23" s="85">
        <v>-377971.20270000002</v>
      </c>
      <c r="AS23" s="85">
        <v>250155.76150000002</v>
      </c>
      <c r="AT23" s="85">
        <v>121250.81950000001</v>
      </c>
      <c r="AU23" s="85">
        <v>285790.94209999999</v>
      </c>
      <c r="AV23" s="85">
        <v>69737.606499999994</v>
      </c>
    </row>
    <row r="24" spans="2:48" x14ac:dyDescent="0.25">
      <c r="B24" s="83" t="s">
        <v>323</v>
      </c>
      <c r="C24" s="84"/>
      <c r="D24" s="84">
        <v>1.2840903544094539E-2</v>
      </c>
      <c r="E24" s="84">
        <v>-5.981447777337251E-3</v>
      </c>
      <c r="F24" s="84"/>
      <c r="G24" s="84">
        <v>1.4134265576328126E-2</v>
      </c>
      <c r="H24" s="84">
        <v>2.5689668229515197E-2</v>
      </c>
      <c r="AP24" s="83" t="s">
        <v>323</v>
      </c>
      <c r="AQ24" s="85"/>
      <c r="AR24" s="85">
        <v>-78132.419599999994</v>
      </c>
      <c r="AS24" s="85">
        <v>29777.876700000001</v>
      </c>
      <c r="AT24" s="85"/>
      <c r="AU24" s="85">
        <v>-117275.48120000001</v>
      </c>
      <c r="AV24" s="85">
        <v>-28420.5308</v>
      </c>
    </row>
    <row r="25" spans="2:48" x14ac:dyDescent="0.25">
      <c r="B25" s="83" t="s">
        <v>115</v>
      </c>
      <c r="C25" s="84">
        <v>1.6339825779270491E-2</v>
      </c>
      <c r="D25" s="84">
        <v>4.6826011680977622E-2</v>
      </c>
      <c r="E25" s="84">
        <v>3.0682943047648445E-3</v>
      </c>
      <c r="F25" s="84">
        <v>-3.3789560550217482E-3</v>
      </c>
      <c r="G25" s="84">
        <v>-3.3788871343097995E-3</v>
      </c>
      <c r="H25" s="84">
        <v>2.161142499299017E-2</v>
      </c>
      <c r="AP25" s="83" t="s">
        <v>115</v>
      </c>
      <c r="AQ25" s="85">
        <v>-47795.641600000003</v>
      </c>
      <c r="AR25" s="85">
        <v>-454102.55359999998</v>
      </c>
      <c r="AS25" s="85">
        <v>-50121.507699999995</v>
      </c>
      <c r="AT25" s="85">
        <v>11531.0849</v>
      </c>
      <c r="AU25" s="85">
        <v>42828.8868</v>
      </c>
      <c r="AV25" s="85">
        <v>-148010.0141</v>
      </c>
    </row>
    <row r="26" spans="2:48" x14ac:dyDescent="0.25">
      <c r="B26" s="83" t="s">
        <v>22</v>
      </c>
      <c r="C26" s="84">
        <v>4.6290863127898658E-2</v>
      </c>
      <c r="D26" s="84">
        <v>1.2925959739273171E-2</v>
      </c>
      <c r="E26" s="84">
        <v>-1.8229519378380471E-7</v>
      </c>
      <c r="F26" s="84">
        <v>-4.7201434034948341E-8</v>
      </c>
      <c r="G26" s="84">
        <v>-1.8229519378380471E-7</v>
      </c>
      <c r="H26" s="84">
        <v>-1.8229519378380471E-7</v>
      </c>
      <c r="AP26" s="83" t="s">
        <v>22</v>
      </c>
      <c r="AQ26" s="85">
        <v>-42660.832900000001</v>
      </c>
      <c r="AR26" s="85">
        <v>-23824.665800000002</v>
      </c>
      <c r="AS26" s="85">
        <v>0.1671</v>
      </c>
      <c r="AT26" s="85">
        <v>6.7900000000000016E-2</v>
      </c>
      <c r="AU26" s="85">
        <v>0.50129999999999997</v>
      </c>
      <c r="AV26" s="85">
        <v>0.4456</v>
      </c>
    </row>
    <row r="27" spans="2:48" x14ac:dyDescent="0.25">
      <c r="B27" s="83" t="s">
        <v>167</v>
      </c>
      <c r="C27" s="84">
        <v>0.66784657821177518</v>
      </c>
      <c r="D27" s="84"/>
      <c r="E27" s="84">
        <v>9.337976586339182E-2</v>
      </c>
      <c r="F27" s="84">
        <v>9.3378976880564624E-2</v>
      </c>
      <c r="G27" s="84">
        <v>9.3379415204357552E-2</v>
      </c>
      <c r="H27" s="84">
        <v>9.3379765863391889E-2</v>
      </c>
      <c r="AP27" s="83" t="s">
        <v>167</v>
      </c>
      <c r="AQ27" s="85">
        <v>-317424.48330000002</v>
      </c>
      <c r="AR27" s="85"/>
      <c r="AS27" s="85">
        <v>-88765.9666</v>
      </c>
      <c r="AT27" s="85">
        <v>-221913.41649999999</v>
      </c>
      <c r="AU27" s="85">
        <v>-266296.89980000001</v>
      </c>
      <c r="AV27" s="85">
        <v>-88765.9666</v>
      </c>
    </row>
    <row r="28" spans="2:48" x14ac:dyDescent="0.25">
      <c r="B28" s="83" t="s">
        <v>72</v>
      </c>
      <c r="C28" s="84"/>
      <c r="D28" s="84"/>
      <c r="E28" s="84">
        <v>-6.0882660265830701E-3</v>
      </c>
      <c r="F28" s="84">
        <v>-6.0882660265830701E-3</v>
      </c>
      <c r="G28" s="84">
        <v>-6.248193312356814E-3</v>
      </c>
      <c r="H28" s="84">
        <v>-6.3281569552436868E-3</v>
      </c>
      <c r="AP28" s="83" t="s">
        <v>72</v>
      </c>
      <c r="AQ28" s="85"/>
      <c r="AR28" s="85"/>
      <c r="AS28" s="85">
        <v>11166.8966</v>
      </c>
      <c r="AT28" s="85">
        <v>11166.8966</v>
      </c>
      <c r="AU28" s="85">
        <v>11496.896499999999</v>
      </c>
      <c r="AV28" s="85">
        <v>23213.793099999999</v>
      </c>
    </row>
    <row r="29" spans="2:48" x14ac:dyDescent="0.25">
      <c r="B29" s="83" t="s">
        <v>17</v>
      </c>
      <c r="C29" s="84"/>
      <c r="D29" s="84">
        <v>5.6084362541316693E-3</v>
      </c>
      <c r="E29" s="84">
        <v>-2.6926158995392146E-3</v>
      </c>
      <c r="F29" s="84">
        <v>-4.1930227003145843E-3</v>
      </c>
      <c r="G29" s="84">
        <v>-3.9872740481370402E-3</v>
      </c>
      <c r="H29" s="84">
        <v>-4.8973201176111441E-3</v>
      </c>
      <c r="AP29" s="83" t="s">
        <v>17</v>
      </c>
      <c r="AQ29" s="85"/>
      <c r="AR29" s="85">
        <v>-27299.060999999998</v>
      </c>
      <c r="AS29" s="85">
        <v>20828.4902</v>
      </c>
      <c r="AT29" s="85">
        <v>54337.2048</v>
      </c>
      <c r="AU29" s="85">
        <v>62430.534400000004</v>
      </c>
      <c r="AV29" s="85">
        <v>23837.326799999999</v>
      </c>
    </row>
    <row r="30" spans="2:48" x14ac:dyDescent="0.25">
      <c r="B30" s="83" t="s">
        <v>80</v>
      </c>
      <c r="C30" s="84"/>
      <c r="D30" s="84">
        <v>2.2718628144562506E-7</v>
      </c>
      <c r="E30" s="84">
        <v>-9.4314025441193054E-3</v>
      </c>
      <c r="F30" s="84">
        <v>-9.4314025441193054E-3</v>
      </c>
      <c r="G30" s="84">
        <v>-1.8853269817874271E-2</v>
      </c>
      <c r="H30" s="84">
        <v>-2.1341695769083589E-2</v>
      </c>
      <c r="AP30" s="83" t="s">
        <v>80</v>
      </c>
      <c r="AQ30" s="85"/>
      <c r="AR30" s="85">
        <v>-0.34200000000000003</v>
      </c>
      <c r="AS30" s="85">
        <v>31085.670399999999</v>
      </c>
      <c r="AT30" s="85">
        <v>7771.4175999999998</v>
      </c>
      <c r="AU30" s="85">
        <v>66246.554999999993</v>
      </c>
      <c r="AV30" s="85">
        <v>17585.417600000001</v>
      </c>
    </row>
    <row r="31" spans="2:48" x14ac:dyDescent="0.25">
      <c r="B31" s="83" t="s">
        <v>37</v>
      </c>
      <c r="C31" s="84"/>
      <c r="D31" s="84">
        <v>-3.3887922999464319E-7</v>
      </c>
      <c r="E31" s="84">
        <v>7.4009858900478519E-3</v>
      </c>
      <c r="F31" s="84">
        <v>1.7124200873019566E-2</v>
      </c>
      <c r="G31" s="84">
        <v>1.8054425788159613E-2</v>
      </c>
      <c r="H31" s="84">
        <v>1.8936105413128724E-2</v>
      </c>
      <c r="AP31" s="83" t="s">
        <v>37</v>
      </c>
      <c r="AQ31" s="85"/>
      <c r="AR31" s="85">
        <v>0.65800000000000003</v>
      </c>
      <c r="AS31" s="85">
        <v>-26264.940000000002</v>
      </c>
      <c r="AT31" s="85">
        <v>-288450.33499999996</v>
      </c>
      <c r="AU31" s="85">
        <v>-306718.16320000001</v>
      </c>
      <c r="AV31" s="85">
        <v>-28967.485000000001</v>
      </c>
    </row>
    <row r="32" spans="2:48" x14ac:dyDescent="0.25">
      <c r="B32" s="83" t="s">
        <v>197</v>
      </c>
      <c r="C32" s="84"/>
      <c r="D32" s="84">
        <v>-4.2897563296451848E-5</v>
      </c>
      <c r="E32" s="84">
        <v>1.2733937511400339E-2</v>
      </c>
      <c r="F32" s="84">
        <v>2.67665149060053E-2</v>
      </c>
      <c r="G32" s="84">
        <v>2.1975315061667871E-2</v>
      </c>
      <c r="H32" s="84">
        <v>1.6561961136119494E-2</v>
      </c>
      <c r="AP32" s="83" t="s">
        <v>197</v>
      </c>
      <c r="AQ32" s="85"/>
      <c r="AR32" s="85">
        <v>314.64269999999999</v>
      </c>
      <c r="AS32" s="85">
        <v>-42301.584199999998</v>
      </c>
      <c r="AT32" s="85">
        <v>-142265.93459999998</v>
      </c>
      <c r="AU32" s="85">
        <v>-104070.9347</v>
      </c>
      <c r="AV32" s="85">
        <v>-44014.467400000001</v>
      </c>
    </row>
    <row r="33" spans="2:48" x14ac:dyDescent="0.25">
      <c r="B33" s="83" t="s">
        <v>204</v>
      </c>
      <c r="C33" s="84"/>
      <c r="D33" s="84">
        <v>-5.4542315908450529E-3</v>
      </c>
      <c r="E33" s="84">
        <v>3.0091232174022303E-2</v>
      </c>
      <c r="F33" s="84">
        <v>2.0782763762165916E-2</v>
      </c>
      <c r="G33" s="84">
        <v>1.0786228197442255E-2</v>
      </c>
      <c r="H33" s="84">
        <v>1.834476259715106E-3</v>
      </c>
      <c r="AP33" s="83" t="s">
        <v>204</v>
      </c>
      <c r="AQ33" s="85"/>
      <c r="AR33" s="85">
        <v>18348.993999999999</v>
      </c>
      <c r="AS33" s="85">
        <v>-256765.02030000003</v>
      </c>
      <c r="AT33" s="85">
        <v>-163139.01430000001</v>
      </c>
      <c r="AU33" s="85">
        <v>-133164.1954</v>
      </c>
      <c r="AV33" s="85">
        <v>-12343.0123</v>
      </c>
    </row>
    <row r="34" spans="2:48" x14ac:dyDescent="0.25">
      <c r="B34" s="83" t="s">
        <v>318</v>
      </c>
      <c r="C34" s="84"/>
      <c r="D34" s="84"/>
      <c r="E34" s="84">
        <v>-3.8506207448970633E-5</v>
      </c>
      <c r="F34" s="84">
        <v>-5.1827748854225033E-5</v>
      </c>
      <c r="G34" s="84">
        <v>-5.1778801228166833E-5</v>
      </c>
      <c r="H34" s="84">
        <v>1.475599830908199E-2</v>
      </c>
      <c r="AP34" s="83" t="s">
        <v>318</v>
      </c>
      <c r="AQ34" s="85"/>
      <c r="AR34" s="85"/>
      <c r="AS34" s="85">
        <v>150</v>
      </c>
      <c r="AT34" s="85">
        <v>656</v>
      </c>
      <c r="AU34" s="85">
        <v>636</v>
      </c>
      <c r="AV34" s="85">
        <v>-86219</v>
      </c>
    </row>
    <row r="35" spans="2:48" x14ac:dyDescent="0.25">
      <c r="B35" s="83" t="s">
        <v>30</v>
      </c>
      <c r="C35" s="84">
        <v>-4.8607788405414781E-6</v>
      </c>
      <c r="D35" s="84">
        <v>5.4947934714289629E-7</v>
      </c>
      <c r="E35" s="84">
        <v>-3.5223035127167927E-8</v>
      </c>
      <c r="F35" s="84">
        <v>-9.0573518795461584E-8</v>
      </c>
      <c r="G35" s="84">
        <v>-2.2345740013424233E-2</v>
      </c>
      <c r="H35" s="84">
        <v>-5.958849914365761E-2</v>
      </c>
      <c r="AP35" s="83" t="s">
        <v>30</v>
      </c>
      <c r="AQ35" s="85">
        <v>-0.34850000000000003</v>
      </c>
      <c r="AR35" s="85">
        <v>-1.3200000000000003</v>
      </c>
      <c r="AS35" s="85">
        <v>-3.0000000000000054E-2</v>
      </c>
      <c r="AT35" s="85">
        <v>0.59999999999999987</v>
      </c>
      <c r="AU35" s="85">
        <v>197371.46000000002</v>
      </c>
      <c r="AV35" s="85">
        <v>140979.20000000001</v>
      </c>
    </row>
    <row r="36" spans="2:48" x14ac:dyDescent="0.25">
      <c r="B36" s="83" t="s">
        <v>338</v>
      </c>
      <c r="C36" s="84"/>
      <c r="D36" s="84">
        <v>0.61384980355283925</v>
      </c>
      <c r="E36" s="84">
        <v>0.31267000235064979</v>
      </c>
      <c r="F36" s="84">
        <v>0.31116866499882473</v>
      </c>
      <c r="G36" s="84">
        <v>0.31206682897343768</v>
      </c>
      <c r="H36" s="84">
        <v>0.31745562644816822</v>
      </c>
      <c r="AP36" s="83" t="s">
        <v>338</v>
      </c>
      <c r="AQ36" s="85"/>
      <c r="AR36" s="85">
        <v>-548395</v>
      </c>
      <c r="AS36" s="85">
        <v>-698325</v>
      </c>
      <c r="AT36" s="85">
        <v>-602309</v>
      </c>
      <c r="AU36" s="85">
        <v>-825449</v>
      </c>
      <c r="AV36" s="85">
        <v>-519943</v>
      </c>
    </row>
    <row r="37" spans="2:48" x14ac:dyDescent="0.25">
      <c r="B37" s="83" t="s">
        <v>316</v>
      </c>
      <c r="C37" s="84"/>
      <c r="D37" s="84"/>
      <c r="E37" s="84">
        <v>0</v>
      </c>
      <c r="F37" s="84">
        <v>-1.6790355619894913E-6</v>
      </c>
      <c r="G37" s="84">
        <v>-4.1975889049330066E-6</v>
      </c>
      <c r="H37" s="84">
        <v>2.2708955975687564E-3</v>
      </c>
      <c r="AP37" s="83" t="s">
        <v>316</v>
      </c>
      <c r="AQ37" s="85"/>
      <c r="AR37" s="85"/>
      <c r="AS37" s="85">
        <v>0</v>
      </c>
      <c r="AT37" s="85">
        <v>6</v>
      </c>
      <c r="AU37" s="85">
        <v>20</v>
      </c>
      <c r="AV37" s="85">
        <v>-10820</v>
      </c>
    </row>
    <row r="38" spans="2:48" x14ac:dyDescent="0.25">
      <c r="B38" s="83" t="s">
        <v>249</v>
      </c>
      <c r="C38" s="84"/>
      <c r="D38" s="84"/>
      <c r="E38" s="84"/>
      <c r="F38" s="84">
        <v>-0.14305995398520233</v>
      </c>
      <c r="G38" s="84">
        <v>-0.23698754338345313</v>
      </c>
      <c r="H38" s="84">
        <v>-0.18437382691640256</v>
      </c>
      <c r="AP38" s="83" t="s">
        <v>249</v>
      </c>
      <c r="AQ38" s="85"/>
      <c r="AR38" s="85"/>
      <c r="AS38" s="85"/>
      <c r="AT38" s="85">
        <v>155270.36660000001</v>
      </c>
      <c r="AU38" s="85">
        <v>969103.11179999972</v>
      </c>
      <c r="AV38" s="85">
        <v>160291.0515</v>
      </c>
    </row>
    <row r="39" spans="2:48" x14ac:dyDescent="0.25">
      <c r="B39" s="83" t="s">
        <v>297</v>
      </c>
      <c r="C39" s="84"/>
      <c r="D39" s="84"/>
      <c r="E39" s="84"/>
      <c r="F39" s="84">
        <v>-1.2769793673965982E-2</v>
      </c>
      <c r="G39" s="84">
        <v>-9.1581508515815088E-3</v>
      </c>
      <c r="H39" s="84"/>
      <c r="AP39" s="83" t="s">
        <v>297</v>
      </c>
      <c r="AQ39" s="85"/>
      <c r="AR39" s="85"/>
      <c r="AS39" s="85"/>
      <c r="AT39" s="85">
        <v>149579</v>
      </c>
      <c r="AU39" s="85">
        <v>108954</v>
      </c>
      <c r="AV39" s="85"/>
    </row>
    <row r="40" spans="2:48" x14ac:dyDescent="0.25">
      <c r="B40" s="83" t="s">
        <v>289</v>
      </c>
      <c r="C40" s="84"/>
      <c r="D40" s="84"/>
      <c r="E40" s="84"/>
      <c r="F40" s="84">
        <v>0.18298478351065403</v>
      </c>
      <c r="G40" s="84">
        <v>0.19031601616137667</v>
      </c>
      <c r="H40" s="84"/>
      <c r="AP40" s="83" t="s">
        <v>289</v>
      </c>
      <c r="AQ40" s="85"/>
      <c r="AR40" s="85"/>
      <c r="AS40" s="85"/>
      <c r="AT40" s="85">
        <v>-351944</v>
      </c>
      <c r="AU40" s="85">
        <v>-345887</v>
      </c>
      <c r="AV40" s="85"/>
    </row>
    <row r="41" spans="2:48" x14ac:dyDescent="0.25">
      <c r="B41" s="83" t="s">
        <v>287</v>
      </c>
      <c r="C41" s="84"/>
      <c r="D41" s="84"/>
      <c r="E41" s="84"/>
      <c r="F41" s="84">
        <v>8.9570443595257815E-2</v>
      </c>
      <c r="G41" s="84">
        <v>9.169101414009867E-2</v>
      </c>
      <c r="H41" s="84"/>
      <c r="AP41" s="83" t="s">
        <v>287</v>
      </c>
      <c r="AQ41" s="85"/>
      <c r="AR41" s="85"/>
      <c r="AS41" s="85"/>
      <c r="AT41" s="85">
        <v>-595880</v>
      </c>
      <c r="AU41" s="85">
        <v>-705410</v>
      </c>
      <c r="AV41" s="85"/>
    </row>
    <row r="42" spans="2:48" x14ac:dyDescent="0.25">
      <c r="B42" s="83" t="s">
        <v>420</v>
      </c>
      <c r="C42" s="84">
        <v>6.6696486584676029E-2</v>
      </c>
      <c r="D42" s="84">
        <v>1.8991047827091288E-2</v>
      </c>
      <c r="E42" s="84">
        <v>1.7625864057232227E-2</v>
      </c>
      <c r="F42" s="84">
        <v>-4.4187427551196066E-4</v>
      </c>
      <c r="G42" s="84">
        <v>-7.1854693251312393E-4</v>
      </c>
      <c r="H42" s="84">
        <v>-3.6206591071355435E-3</v>
      </c>
      <c r="AP42" s="83" t="s">
        <v>420</v>
      </c>
      <c r="AQ42" s="85">
        <v>-627110.94609999994</v>
      </c>
      <c r="AR42" s="85">
        <v>-1819459.0366</v>
      </c>
      <c r="AS42" s="85">
        <v>-668295.33179999993</v>
      </c>
      <c r="AT42" s="85">
        <v>1843403.7857000008</v>
      </c>
      <c r="AU42" s="85">
        <v>6024933.8523999993</v>
      </c>
      <c r="AV42" s="85">
        <v>1936458.4553000005</v>
      </c>
    </row>
    <row r="47" spans="2:48" hidden="1" x14ac:dyDescent="0.25"/>
    <row r="48" spans="2: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8691C-7AB0-4050-8151-B1DD419AD3FC}">
  <dimension ref="B6:AO43"/>
  <sheetViews>
    <sheetView showGridLines="0" zoomScale="90" zoomScaleNormal="90" workbookViewId="0">
      <selection activeCell="AJ45" sqref="AJ45"/>
    </sheetView>
  </sheetViews>
  <sheetFormatPr baseColWidth="10" defaultRowHeight="15" x14ac:dyDescent="0.25"/>
  <cols>
    <col min="1" max="1" width="2.5703125" customWidth="1"/>
    <col min="2" max="2" width="99.140625" bestFit="1" customWidth="1"/>
    <col min="3" max="3" width="22.85546875" bestFit="1" customWidth="1"/>
    <col min="4" max="4" width="12" bestFit="1" customWidth="1"/>
    <col min="5" max="7" width="13.140625" bestFit="1" customWidth="1"/>
    <col min="8" max="8" width="12" bestFit="1" customWidth="1"/>
    <col min="9" max="32" width="13.5703125" hidden="1" customWidth="1"/>
    <col min="33" max="33" width="12.5703125" hidden="1" customWidth="1"/>
    <col min="34" max="34" width="2.42578125" customWidth="1"/>
    <col min="35" max="35" width="32.5703125" hidden="1" customWidth="1"/>
    <col min="36" max="36" width="21" bestFit="1" customWidth="1"/>
    <col min="37" max="41" width="7.140625" bestFit="1" customWidth="1"/>
    <col min="42" max="42" width="9.140625" bestFit="1" customWidth="1"/>
    <col min="43" max="43" width="5.5703125" bestFit="1" customWidth="1"/>
  </cols>
  <sheetData>
    <row r="6" spans="2:41" hidden="1" x14ac:dyDescent="0.25">
      <c r="B6" s="8" t="s">
        <v>416</v>
      </c>
      <c r="C6" t="s">
        <v>319</v>
      </c>
      <c r="AI6" s="8" t="s">
        <v>416</v>
      </c>
      <c r="AJ6" t="s">
        <v>319</v>
      </c>
    </row>
    <row r="8" spans="2:41" x14ac:dyDescent="0.25">
      <c r="B8" s="8" t="s">
        <v>446</v>
      </c>
      <c r="C8" s="8" t="s">
        <v>432</v>
      </c>
      <c r="AI8" s="8" t="s">
        <v>792</v>
      </c>
      <c r="AJ8" s="8" t="s">
        <v>1591</v>
      </c>
    </row>
    <row r="9" spans="2:41" x14ac:dyDescent="0.25">
      <c r="B9" s="8" t="s">
        <v>419</v>
      </c>
      <c r="C9" t="s">
        <v>423</v>
      </c>
      <c r="D9" t="s">
        <v>424</v>
      </c>
      <c r="E9" t="s">
        <v>425</v>
      </c>
      <c r="F9" t="s">
        <v>455</v>
      </c>
      <c r="G9" t="s">
        <v>781</v>
      </c>
      <c r="H9" t="s">
        <v>1596</v>
      </c>
      <c r="AI9" s="8" t="s">
        <v>419</v>
      </c>
      <c r="AJ9" t="s">
        <v>423</v>
      </c>
      <c r="AK9" t="s">
        <v>424</v>
      </c>
      <c r="AL9" t="s">
        <v>425</v>
      </c>
      <c r="AM9" t="s">
        <v>455</v>
      </c>
      <c r="AN9" t="s">
        <v>781</v>
      </c>
      <c r="AO9" t="s">
        <v>1596</v>
      </c>
    </row>
    <row r="10" spans="2:41" x14ac:dyDescent="0.25">
      <c r="B10" s="9" t="s">
        <v>278</v>
      </c>
      <c r="C10" s="25">
        <v>140508</v>
      </c>
      <c r="D10" s="25">
        <v>1593557</v>
      </c>
      <c r="E10" s="25">
        <v>2943938</v>
      </c>
      <c r="F10" s="25">
        <v>2347017</v>
      </c>
      <c r="G10" s="25">
        <v>4603939</v>
      </c>
      <c r="H10" s="25">
        <v>555411</v>
      </c>
      <c r="AI10" s="9" t="s">
        <v>278</v>
      </c>
      <c r="AJ10" s="36">
        <v>67</v>
      </c>
      <c r="AK10" s="36">
        <v>769</v>
      </c>
      <c r="AL10" s="36">
        <v>1417</v>
      </c>
      <c r="AM10" s="36">
        <v>1147</v>
      </c>
      <c r="AN10" s="36">
        <v>2241</v>
      </c>
      <c r="AO10" s="36">
        <v>270</v>
      </c>
    </row>
    <row r="11" spans="2:41" x14ac:dyDescent="0.25">
      <c r="B11" s="9" t="s">
        <v>279</v>
      </c>
      <c r="C11" s="25"/>
      <c r="D11" s="25"/>
      <c r="E11" s="25">
        <v>1667833</v>
      </c>
      <c r="F11" s="25">
        <v>3090942</v>
      </c>
      <c r="G11" s="25">
        <v>2911312</v>
      </c>
      <c r="H11" s="25">
        <v>1179420</v>
      </c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H11" s="7"/>
      <c r="AI11" s="9" t="s">
        <v>279</v>
      </c>
      <c r="AJ11" s="36"/>
      <c r="AK11" s="36"/>
      <c r="AL11" s="36">
        <v>453</v>
      </c>
      <c r="AM11" s="36">
        <v>850</v>
      </c>
      <c r="AN11" s="36">
        <v>809</v>
      </c>
      <c r="AO11" s="36">
        <v>324</v>
      </c>
    </row>
    <row r="12" spans="2:41" x14ac:dyDescent="0.25">
      <c r="B12" s="9" t="s">
        <v>39</v>
      </c>
      <c r="C12" s="25"/>
      <c r="D12" s="25">
        <v>339991</v>
      </c>
      <c r="E12" s="25">
        <v>1670837</v>
      </c>
      <c r="F12" s="25">
        <v>1902691</v>
      </c>
      <c r="G12" s="25">
        <v>3666330</v>
      </c>
      <c r="H12" s="25">
        <v>1049128</v>
      </c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I12" s="9" t="s">
        <v>39</v>
      </c>
      <c r="AJ12" s="36"/>
      <c r="AK12" s="36">
        <v>81</v>
      </c>
      <c r="AL12" s="36">
        <v>378</v>
      </c>
      <c r="AM12" s="36">
        <v>432</v>
      </c>
      <c r="AN12" s="36">
        <v>771</v>
      </c>
      <c r="AO12" s="36">
        <v>216</v>
      </c>
    </row>
    <row r="13" spans="2:41" x14ac:dyDescent="0.25">
      <c r="B13" s="9" t="s">
        <v>83</v>
      </c>
      <c r="C13" s="25">
        <v>73904</v>
      </c>
      <c r="D13" s="25">
        <v>221663</v>
      </c>
      <c r="E13" s="25">
        <v>554097</v>
      </c>
      <c r="F13" s="25">
        <v>184700</v>
      </c>
      <c r="G13" s="25">
        <v>480218</v>
      </c>
      <c r="H13" s="25">
        <v>258578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I13" s="9" t="s">
        <v>83</v>
      </c>
      <c r="AJ13" s="36">
        <v>2</v>
      </c>
      <c r="AK13" s="36">
        <v>6</v>
      </c>
      <c r="AL13" s="36">
        <v>15</v>
      </c>
      <c r="AM13" s="36">
        <v>5</v>
      </c>
      <c r="AN13" s="36">
        <v>13</v>
      </c>
      <c r="AO13" s="36">
        <v>7</v>
      </c>
    </row>
    <row r="14" spans="2:41" x14ac:dyDescent="0.25">
      <c r="B14" s="9" t="s">
        <v>40</v>
      </c>
      <c r="C14" s="25"/>
      <c r="D14" s="25">
        <v>3200233</v>
      </c>
      <c r="E14" s="25">
        <v>6105427</v>
      </c>
      <c r="F14" s="25">
        <v>9571735</v>
      </c>
      <c r="G14" s="25">
        <v>10566138</v>
      </c>
      <c r="H14" s="25">
        <v>1678801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I14" s="9" t="s">
        <v>40</v>
      </c>
      <c r="AJ14" s="36"/>
      <c r="AK14" s="36">
        <v>80</v>
      </c>
      <c r="AL14" s="36">
        <v>155</v>
      </c>
      <c r="AM14" s="36">
        <v>243</v>
      </c>
      <c r="AN14" s="36">
        <v>272</v>
      </c>
      <c r="AO14" s="36">
        <v>44</v>
      </c>
    </row>
    <row r="15" spans="2:41" x14ac:dyDescent="0.25">
      <c r="B15" s="9" t="s">
        <v>41</v>
      </c>
      <c r="C15" s="25"/>
      <c r="D15" s="25">
        <v>2101618</v>
      </c>
      <c r="E15" s="25">
        <v>6944139</v>
      </c>
      <c r="F15" s="25">
        <v>18390343</v>
      </c>
      <c r="G15" s="25">
        <v>13870270</v>
      </c>
      <c r="H15" s="2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I15" s="9" t="s">
        <v>41</v>
      </c>
      <c r="AJ15" s="36"/>
      <c r="AK15" s="36">
        <v>24</v>
      </c>
      <c r="AL15" s="36">
        <v>80</v>
      </c>
      <c r="AM15" s="36">
        <v>212</v>
      </c>
      <c r="AN15" s="36">
        <v>160</v>
      </c>
      <c r="AO15" s="36"/>
    </row>
    <row r="16" spans="2:41" x14ac:dyDescent="0.25">
      <c r="B16" s="9" t="s">
        <v>337</v>
      </c>
      <c r="C16" s="25"/>
      <c r="D16" s="25"/>
      <c r="E16" s="25">
        <v>934238</v>
      </c>
      <c r="F16" s="25">
        <v>985798</v>
      </c>
      <c r="G16" s="25">
        <v>2023382</v>
      </c>
      <c r="H16" s="25">
        <v>466934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I16" s="9" t="s">
        <v>337</v>
      </c>
      <c r="AJ16" s="36"/>
      <c r="AK16" s="36"/>
      <c r="AL16" s="36">
        <v>18</v>
      </c>
      <c r="AM16" s="36">
        <v>19</v>
      </c>
      <c r="AN16" s="36">
        <v>39</v>
      </c>
      <c r="AO16" s="36">
        <v>9</v>
      </c>
    </row>
    <row r="17" spans="2:41" x14ac:dyDescent="0.25">
      <c r="B17" s="9" t="s">
        <v>256</v>
      </c>
      <c r="C17" s="25"/>
      <c r="D17" s="25"/>
      <c r="E17" s="25">
        <v>2788482</v>
      </c>
      <c r="F17" s="25">
        <v>3096402</v>
      </c>
      <c r="G17" s="25"/>
      <c r="H17" s="25">
        <v>3057630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I17" s="9" t="s">
        <v>256</v>
      </c>
      <c r="AJ17" s="36"/>
      <c r="AK17" s="36"/>
      <c r="AL17" s="36">
        <v>18</v>
      </c>
      <c r="AM17" s="36">
        <v>20</v>
      </c>
      <c r="AN17" s="36"/>
      <c r="AO17" s="36">
        <v>20</v>
      </c>
    </row>
    <row r="18" spans="2:41" x14ac:dyDescent="0.25">
      <c r="B18" s="9" t="s">
        <v>247</v>
      </c>
      <c r="C18" s="25">
        <v>1313516</v>
      </c>
      <c r="D18" s="25">
        <v>5054902</v>
      </c>
      <c r="E18" s="25">
        <v>3294231</v>
      </c>
      <c r="F18" s="25">
        <v>1613212</v>
      </c>
      <c r="G18" s="25"/>
      <c r="H18" s="2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I18" s="9" t="s">
        <v>247</v>
      </c>
      <c r="AJ18" s="36">
        <v>94</v>
      </c>
      <c r="AK18" s="36">
        <v>366</v>
      </c>
      <c r="AL18" s="36">
        <v>240</v>
      </c>
      <c r="AM18" s="36">
        <v>120</v>
      </c>
      <c r="AN18" s="36"/>
      <c r="AO18" s="36"/>
    </row>
    <row r="19" spans="2:41" x14ac:dyDescent="0.25">
      <c r="B19" s="9" t="s">
        <v>126</v>
      </c>
      <c r="C19" s="25"/>
      <c r="D19" s="25">
        <v>2755150</v>
      </c>
      <c r="E19" s="25">
        <v>1489227</v>
      </c>
      <c r="F19" s="25">
        <v>11445517</v>
      </c>
      <c r="G19" s="25">
        <v>13230579</v>
      </c>
      <c r="H19" s="25">
        <v>6118647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I19" s="9" t="s">
        <v>126</v>
      </c>
      <c r="AJ19" s="36"/>
      <c r="AK19" s="36">
        <v>177</v>
      </c>
      <c r="AL19" s="36">
        <v>108</v>
      </c>
      <c r="AM19" s="36">
        <v>864</v>
      </c>
      <c r="AN19" s="36">
        <v>972</v>
      </c>
      <c r="AO19" s="36">
        <v>432</v>
      </c>
    </row>
    <row r="20" spans="2:41" x14ac:dyDescent="0.25">
      <c r="B20" s="9" t="s">
        <v>356</v>
      </c>
      <c r="C20" s="25"/>
      <c r="D20" s="25"/>
      <c r="E20" s="25">
        <v>12339842</v>
      </c>
      <c r="F20" s="25">
        <v>24150314</v>
      </c>
      <c r="G20" s="25">
        <v>27125473</v>
      </c>
      <c r="H20" s="25">
        <v>9857945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I20" s="9" t="s">
        <v>356</v>
      </c>
      <c r="AJ20" s="36"/>
      <c r="AK20" s="36"/>
      <c r="AL20" s="36">
        <v>2160</v>
      </c>
      <c r="AM20" s="36">
        <v>4728</v>
      </c>
      <c r="AN20" s="36">
        <v>5928</v>
      </c>
      <c r="AO20" s="36">
        <v>2184</v>
      </c>
    </row>
    <row r="21" spans="2:41" x14ac:dyDescent="0.25">
      <c r="B21" s="9" t="s">
        <v>246</v>
      </c>
      <c r="C21" s="25">
        <v>3701660</v>
      </c>
      <c r="D21" s="25">
        <v>17404367</v>
      </c>
      <c r="E21" s="25">
        <v>11432114</v>
      </c>
      <c r="F21" s="25">
        <v>3567887</v>
      </c>
      <c r="G21" s="25">
        <v>7707341</v>
      </c>
      <c r="H21" s="25">
        <v>1159975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I21" s="9" t="s">
        <v>246</v>
      </c>
      <c r="AJ21" s="36">
        <v>684</v>
      </c>
      <c r="AK21" s="36">
        <v>3323</v>
      </c>
      <c r="AL21" s="36">
        <v>2280</v>
      </c>
      <c r="AM21" s="36">
        <v>720</v>
      </c>
      <c r="AN21" s="36">
        <v>1560</v>
      </c>
      <c r="AO21" s="36">
        <v>240</v>
      </c>
    </row>
    <row r="22" spans="2:41" x14ac:dyDescent="0.25">
      <c r="B22" s="9" t="s">
        <v>323</v>
      </c>
      <c r="C22" s="25"/>
      <c r="D22" s="25">
        <v>6162796</v>
      </c>
      <c r="E22" s="25">
        <v>4395432</v>
      </c>
      <c r="F22" s="25"/>
      <c r="G22" s="25">
        <v>8414544</v>
      </c>
      <c r="H22" s="25">
        <v>1134723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I22" s="9" t="s">
        <v>323</v>
      </c>
      <c r="AJ22" s="36"/>
      <c r="AK22" s="36">
        <v>924</v>
      </c>
      <c r="AL22" s="36">
        <v>672</v>
      </c>
      <c r="AM22" s="36"/>
      <c r="AN22" s="36">
        <v>1260</v>
      </c>
      <c r="AO22" s="36">
        <v>168</v>
      </c>
    </row>
    <row r="23" spans="2:41" x14ac:dyDescent="0.25">
      <c r="B23" s="9" t="s">
        <v>115</v>
      </c>
      <c r="C23" s="25">
        <v>2972896</v>
      </c>
      <c r="D23" s="25">
        <v>9422379</v>
      </c>
      <c r="E23" s="25">
        <v>8713700</v>
      </c>
      <c r="F23" s="25">
        <v>3401086</v>
      </c>
      <c r="G23" s="25">
        <v>12632606</v>
      </c>
      <c r="H23" s="25">
        <v>8192036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I23" s="9" t="s">
        <v>115</v>
      </c>
      <c r="AJ23" s="36">
        <v>288</v>
      </c>
      <c r="AK23" s="36">
        <v>883</v>
      </c>
      <c r="AL23" s="36">
        <v>853</v>
      </c>
      <c r="AM23" s="36">
        <v>336</v>
      </c>
      <c r="AN23" s="36">
        <v>1248</v>
      </c>
      <c r="AO23" s="36">
        <v>792</v>
      </c>
    </row>
    <row r="24" spans="2:41" x14ac:dyDescent="0.25">
      <c r="B24" s="9" t="s">
        <v>22</v>
      </c>
      <c r="C24" s="25">
        <v>964243</v>
      </c>
      <c r="D24" s="25">
        <v>1866989</v>
      </c>
      <c r="E24" s="25">
        <v>921582</v>
      </c>
      <c r="F24" s="25">
        <v>2580430</v>
      </c>
      <c r="G24" s="25">
        <v>2764746</v>
      </c>
      <c r="H24" s="25">
        <v>2457552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I24" s="9" t="s">
        <v>22</v>
      </c>
      <c r="AJ24" s="36">
        <v>60</v>
      </c>
      <c r="AK24" s="36">
        <v>120</v>
      </c>
      <c r="AL24" s="36">
        <v>60</v>
      </c>
      <c r="AM24" s="36">
        <v>168</v>
      </c>
      <c r="AN24" s="36">
        <v>180</v>
      </c>
      <c r="AO24" s="36">
        <v>160</v>
      </c>
    </row>
    <row r="25" spans="2:41" x14ac:dyDescent="0.25">
      <c r="B25" s="9" t="s">
        <v>167</v>
      </c>
      <c r="C25" s="25">
        <v>792720</v>
      </c>
      <c r="D25" s="25"/>
      <c r="E25" s="25">
        <v>1039357</v>
      </c>
      <c r="F25" s="25">
        <v>2598391</v>
      </c>
      <c r="G25" s="25">
        <v>3118070</v>
      </c>
      <c r="H25" s="25">
        <v>1039357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I25" s="9" t="s">
        <v>167</v>
      </c>
      <c r="AJ25" s="36">
        <v>40</v>
      </c>
      <c r="AK25" s="36"/>
      <c r="AL25" s="36">
        <v>80</v>
      </c>
      <c r="AM25" s="36">
        <v>200</v>
      </c>
      <c r="AN25" s="36">
        <v>240</v>
      </c>
      <c r="AO25" s="36">
        <v>80</v>
      </c>
    </row>
    <row r="26" spans="2:41" x14ac:dyDescent="0.25">
      <c r="B26" s="9" t="s">
        <v>72</v>
      </c>
      <c r="C26" s="25"/>
      <c r="D26" s="25"/>
      <c r="E26" s="25">
        <v>1823000</v>
      </c>
      <c r="F26" s="25">
        <v>1823000</v>
      </c>
      <c r="G26" s="25">
        <v>1822670</v>
      </c>
      <c r="H26" s="25">
        <v>3645120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I26" s="9" t="s">
        <v>72</v>
      </c>
      <c r="AJ26" s="36"/>
      <c r="AK26" s="36"/>
      <c r="AL26" s="36">
        <v>80</v>
      </c>
      <c r="AM26" s="36">
        <v>80</v>
      </c>
      <c r="AN26" s="36">
        <v>80</v>
      </c>
      <c r="AO26" s="36">
        <v>160</v>
      </c>
    </row>
    <row r="27" spans="2:41" x14ac:dyDescent="0.25">
      <c r="B27" s="9" t="s">
        <v>17</v>
      </c>
      <c r="C27" s="25"/>
      <c r="D27" s="25">
        <v>4083486</v>
      </c>
      <c r="E27" s="25">
        <v>7280308</v>
      </c>
      <c r="F27" s="25">
        <v>12925461</v>
      </c>
      <c r="G27" s="25">
        <v>15698753</v>
      </c>
      <c r="H27" s="25">
        <v>4843587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I27" s="9" t="s">
        <v>17</v>
      </c>
      <c r="AJ27" s="36"/>
      <c r="AK27" s="36">
        <v>420</v>
      </c>
      <c r="AL27" s="36">
        <v>756</v>
      </c>
      <c r="AM27" s="36">
        <v>1344</v>
      </c>
      <c r="AN27" s="36">
        <v>1632</v>
      </c>
      <c r="AO27" s="36">
        <v>504</v>
      </c>
    </row>
    <row r="28" spans="2:41" x14ac:dyDescent="0.25">
      <c r="B28" s="9" t="s">
        <v>80</v>
      </c>
      <c r="C28" s="25"/>
      <c r="D28" s="25">
        <v>1544988</v>
      </c>
      <c r="E28" s="25">
        <v>3264888</v>
      </c>
      <c r="F28" s="25">
        <v>816222</v>
      </c>
      <c r="G28" s="25">
        <v>3550169</v>
      </c>
      <c r="H28" s="25">
        <v>806408</v>
      </c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I28" s="9" t="s">
        <v>80</v>
      </c>
      <c r="AJ28" s="36"/>
      <c r="AK28" s="36">
        <v>135</v>
      </c>
      <c r="AL28" s="36">
        <v>288</v>
      </c>
      <c r="AM28" s="36">
        <v>72</v>
      </c>
      <c r="AN28" s="36">
        <v>316</v>
      </c>
      <c r="AO28" s="36">
        <v>72</v>
      </c>
    </row>
    <row r="29" spans="2:41" x14ac:dyDescent="0.25">
      <c r="B29" s="9" t="s">
        <v>37</v>
      </c>
      <c r="C29" s="25"/>
      <c r="D29" s="25">
        <v>1954678</v>
      </c>
      <c r="E29" s="25">
        <v>6145259</v>
      </c>
      <c r="F29" s="25">
        <v>17115684</v>
      </c>
      <c r="G29" s="25">
        <v>17643868</v>
      </c>
      <c r="H29" s="25">
        <v>1558716</v>
      </c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I29" s="9" t="s">
        <v>37</v>
      </c>
      <c r="AJ29" s="36"/>
      <c r="AK29" s="36">
        <v>92</v>
      </c>
      <c r="AL29" s="36">
        <v>288</v>
      </c>
      <c r="AM29" s="36">
        <v>792</v>
      </c>
      <c r="AN29" s="36">
        <v>816</v>
      </c>
      <c r="AO29" s="36">
        <v>72</v>
      </c>
    </row>
    <row r="30" spans="2:41" x14ac:dyDescent="0.25">
      <c r="B30" s="9" t="s">
        <v>197</v>
      </c>
      <c r="C30" s="25"/>
      <c r="D30" s="25">
        <v>4495397</v>
      </c>
      <c r="E30" s="25">
        <v>3364256</v>
      </c>
      <c r="F30" s="25">
        <v>5457393</v>
      </c>
      <c r="G30" s="25">
        <v>5419198</v>
      </c>
      <c r="H30" s="25">
        <v>2701578</v>
      </c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I30" s="9" t="s">
        <v>197</v>
      </c>
      <c r="AJ30" s="36"/>
      <c r="AK30" s="36">
        <v>203</v>
      </c>
      <c r="AL30" s="36">
        <v>150</v>
      </c>
      <c r="AM30" s="36">
        <v>240</v>
      </c>
      <c r="AN30" s="36">
        <v>240</v>
      </c>
      <c r="AO30" s="36">
        <v>120</v>
      </c>
    </row>
    <row r="31" spans="2:41" x14ac:dyDescent="0.25">
      <c r="B31" s="9" t="s">
        <v>204</v>
      </c>
      <c r="C31" s="25"/>
      <c r="D31" s="25">
        <v>3345827</v>
      </c>
      <c r="E31" s="25">
        <v>11470685</v>
      </c>
      <c r="F31" s="25">
        <v>8012883</v>
      </c>
      <c r="G31" s="25">
        <v>13333550</v>
      </c>
      <c r="H31" s="25">
        <v>6740695</v>
      </c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I31" s="9" t="s">
        <v>204</v>
      </c>
      <c r="AJ31" s="36"/>
      <c r="AK31" s="36">
        <v>210</v>
      </c>
      <c r="AL31" s="36">
        <v>700</v>
      </c>
      <c r="AM31" s="36">
        <v>490</v>
      </c>
      <c r="AN31" s="36">
        <v>824</v>
      </c>
      <c r="AO31" s="36">
        <v>420</v>
      </c>
    </row>
    <row r="32" spans="2:41" x14ac:dyDescent="0.25">
      <c r="B32" s="9" t="s">
        <v>318</v>
      </c>
      <c r="C32" s="25"/>
      <c r="D32" s="25"/>
      <c r="E32" s="25">
        <v>3895170</v>
      </c>
      <c r="F32" s="25">
        <v>12659134</v>
      </c>
      <c r="G32" s="25">
        <v>12284604</v>
      </c>
      <c r="H32" s="25">
        <v>5929199</v>
      </c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I32" s="9" t="s">
        <v>318</v>
      </c>
      <c r="AJ32" s="36"/>
      <c r="AK32" s="36"/>
      <c r="AL32" s="36">
        <v>260</v>
      </c>
      <c r="AM32" s="36">
        <v>845</v>
      </c>
      <c r="AN32" s="36">
        <v>820</v>
      </c>
      <c r="AO32" s="36">
        <v>390</v>
      </c>
    </row>
    <row r="33" spans="2:41" x14ac:dyDescent="0.25">
      <c r="B33" s="9" t="s">
        <v>30</v>
      </c>
      <c r="C33" s="25">
        <v>495888</v>
      </c>
      <c r="D33" s="25">
        <v>3312228</v>
      </c>
      <c r="E33" s="25">
        <v>4376871</v>
      </c>
      <c r="F33" s="25">
        <v>7097628</v>
      </c>
      <c r="G33" s="25">
        <v>7610020</v>
      </c>
      <c r="H33" s="25">
        <v>2224897</v>
      </c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I33" s="9" t="s">
        <v>30</v>
      </c>
      <c r="AJ33" s="36">
        <v>1048</v>
      </c>
      <c r="AK33" s="36">
        <v>7000</v>
      </c>
      <c r="AL33" s="36">
        <v>9250</v>
      </c>
      <c r="AM33" s="36">
        <v>15000</v>
      </c>
      <c r="AN33" s="36">
        <v>16500</v>
      </c>
      <c r="AO33" s="36">
        <v>5000</v>
      </c>
    </row>
    <row r="34" spans="2:41" x14ac:dyDescent="0.25">
      <c r="B34" s="9" t="s">
        <v>338</v>
      </c>
      <c r="C34" s="25"/>
      <c r="D34" s="25">
        <v>1441765</v>
      </c>
      <c r="E34" s="25">
        <v>2931750</v>
      </c>
      <c r="F34" s="25">
        <v>2537944</v>
      </c>
      <c r="G34" s="25">
        <v>3475780</v>
      </c>
      <c r="H34" s="25">
        <v>2157788</v>
      </c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I34" s="9" t="s">
        <v>338</v>
      </c>
      <c r="AJ34" s="36"/>
      <c r="AK34" s="36">
        <v>30</v>
      </c>
      <c r="AL34" s="36">
        <v>75</v>
      </c>
      <c r="AM34" s="36">
        <v>65</v>
      </c>
      <c r="AN34" s="36">
        <v>89</v>
      </c>
      <c r="AO34" s="36">
        <v>55</v>
      </c>
    </row>
    <row r="35" spans="2:41" x14ac:dyDescent="0.25">
      <c r="B35" s="9" t="s">
        <v>316</v>
      </c>
      <c r="C35" s="25"/>
      <c r="D35" s="25"/>
      <c r="E35" s="25">
        <v>2382320</v>
      </c>
      <c r="F35" s="25">
        <v>3573474</v>
      </c>
      <c r="G35" s="25">
        <v>4764620</v>
      </c>
      <c r="H35" s="25">
        <v>4775460</v>
      </c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I35" s="9" t="s">
        <v>316</v>
      </c>
      <c r="AJ35" s="36"/>
      <c r="AK35" s="36"/>
      <c r="AL35" s="36">
        <v>80</v>
      </c>
      <c r="AM35" s="36">
        <v>120</v>
      </c>
      <c r="AN35" s="36">
        <v>160</v>
      </c>
      <c r="AO35" s="36">
        <v>160</v>
      </c>
    </row>
    <row r="36" spans="2:41" x14ac:dyDescent="0.25">
      <c r="B36" s="9" t="s">
        <v>249</v>
      </c>
      <c r="C36" s="25"/>
      <c r="D36" s="25"/>
      <c r="E36" s="25"/>
      <c r="F36" s="25">
        <v>930121</v>
      </c>
      <c r="G36" s="25">
        <v>3286553</v>
      </c>
      <c r="H36" s="25">
        <v>677849</v>
      </c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I36" s="9" t="s">
        <v>249</v>
      </c>
      <c r="AJ36" s="36"/>
      <c r="AK36" s="36"/>
      <c r="AL36" s="36"/>
      <c r="AM36" s="36">
        <v>518</v>
      </c>
      <c r="AN36" s="36">
        <v>2031</v>
      </c>
      <c r="AO36" s="36">
        <v>400</v>
      </c>
    </row>
    <row r="37" spans="2:41" x14ac:dyDescent="0.25">
      <c r="B37" s="9" t="s">
        <v>297</v>
      </c>
      <c r="C37" s="25"/>
      <c r="D37" s="25"/>
      <c r="E37" s="25"/>
      <c r="F37" s="25">
        <v>11563921</v>
      </c>
      <c r="G37" s="25">
        <v>11604546</v>
      </c>
      <c r="H37" s="2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I37" s="9" t="s">
        <v>297</v>
      </c>
      <c r="AJ37" s="36"/>
      <c r="AK37" s="36"/>
      <c r="AL37" s="36"/>
      <c r="AM37" s="36">
        <v>57</v>
      </c>
      <c r="AN37" s="36">
        <v>57</v>
      </c>
      <c r="AO37" s="36"/>
    </row>
    <row r="38" spans="2:41" x14ac:dyDescent="0.25">
      <c r="B38" s="9" t="s">
        <v>289</v>
      </c>
      <c r="C38" s="25"/>
      <c r="D38" s="25"/>
      <c r="E38" s="25"/>
      <c r="F38" s="25">
        <v>2275295</v>
      </c>
      <c r="G38" s="25">
        <v>2168009</v>
      </c>
      <c r="H38" s="2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I38" s="9" t="s">
        <v>289</v>
      </c>
      <c r="AJ38" s="36"/>
      <c r="AK38" s="36"/>
      <c r="AL38" s="36"/>
      <c r="AM38" s="36">
        <v>19</v>
      </c>
      <c r="AN38" s="36">
        <v>18</v>
      </c>
      <c r="AO38" s="36"/>
    </row>
    <row r="39" spans="2:41" x14ac:dyDescent="0.25">
      <c r="B39" s="9" t="s">
        <v>287</v>
      </c>
      <c r="C39" s="25"/>
      <c r="D39" s="25"/>
      <c r="E39" s="25"/>
      <c r="F39" s="25">
        <v>7248521</v>
      </c>
      <c r="G39" s="25">
        <v>8408468</v>
      </c>
      <c r="H39" s="2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I39" s="9" t="s">
        <v>287</v>
      </c>
      <c r="AJ39" s="36"/>
      <c r="AK39" s="36"/>
      <c r="AL39" s="36"/>
      <c r="AM39" s="36">
        <v>19</v>
      </c>
      <c r="AN39" s="36">
        <v>22</v>
      </c>
      <c r="AO39" s="36"/>
    </row>
    <row r="40" spans="2:41" x14ac:dyDescent="0.25">
      <c r="B40" s="9" t="s">
        <v>420</v>
      </c>
      <c r="C40" s="25">
        <v>10455335</v>
      </c>
      <c r="D40" s="25">
        <v>70302014</v>
      </c>
      <c r="E40" s="25">
        <v>114168983</v>
      </c>
      <c r="F40" s="25">
        <v>182963146</v>
      </c>
      <c r="G40" s="25">
        <v>224185756</v>
      </c>
      <c r="H40" s="25">
        <v>74267434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I40" s="9" t="s">
        <v>420</v>
      </c>
      <c r="AJ40" s="36">
        <v>2283</v>
      </c>
      <c r="AK40" s="36">
        <v>14843</v>
      </c>
      <c r="AL40" s="36">
        <v>20914</v>
      </c>
      <c r="AM40" s="36">
        <v>29725</v>
      </c>
      <c r="AN40" s="36">
        <v>39298</v>
      </c>
      <c r="AO40" s="36">
        <v>12299</v>
      </c>
    </row>
    <row r="41" spans="2:41" x14ac:dyDescent="0.25"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</row>
    <row r="42" spans="2:41" x14ac:dyDescent="0.25"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</row>
    <row r="43" spans="2:41" x14ac:dyDescent="0.25"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</row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7F0DD07E8564049B6F9EBB1F13F757B" ma:contentTypeVersion="3" ma:contentTypeDescription="Crear nuevo documento." ma:contentTypeScope="" ma:versionID="88aa38002f596b7477d7987a1f0ce38d">
  <xsd:schema xmlns:xsd="http://www.w3.org/2001/XMLSchema" xmlns:xs="http://www.w3.org/2001/XMLSchema" xmlns:p="http://schemas.microsoft.com/office/2006/metadata/properties" xmlns:ns2="42d0a825-28ab-45f1-9d18-4a461538d66f" targetNamespace="http://schemas.microsoft.com/office/2006/metadata/properties" ma:root="true" ma:fieldsID="7d5e89c4d1961f5057278afcdeb7edd8" ns2:_="">
    <xsd:import namespace="42d0a825-28ab-45f1-9d18-4a461538d66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d0a825-28ab-45f1-9d18-4a461538d66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0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1.xml>�� 
</file>

<file path=customXml/itemProps1.xml><?xml version="1.0" encoding="utf-8"?>
<ds:datastoreItem xmlns:ds="http://schemas.openxmlformats.org/officeDocument/2006/customXml" ds:itemID="{ABC8CCA3-48C9-467B-B677-C896E5170021}">
  <ds:schemaRefs>
    <ds:schemaRef ds:uri="http://schemas.openxmlformats.org/package/2006/metadata/core-properties"/>
    <ds:schemaRef ds:uri="http://www.w3.org/XML/1998/namespace"/>
    <ds:schemaRef ds:uri="http://purl.org/dc/terms/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42d0a825-28ab-45f1-9d18-4a461538d66f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FBF75978-3F3C-4363-9890-4DEEE7BE5CD6}">
  <ds:schemaRefs/>
</ds:datastoreItem>
</file>

<file path=customXml/itemProps3.xml><?xml version="1.0" encoding="utf-8"?>
<ds:datastoreItem xmlns:ds="http://schemas.openxmlformats.org/officeDocument/2006/customXml" ds:itemID="{87F8C08C-B840-4DD9-BF71-50D7DC59037C}">
  <ds:schemaRefs/>
</ds:datastoreItem>
</file>

<file path=customXml/itemProps4.xml><?xml version="1.0" encoding="utf-8"?>
<ds:datastoreItem xmlns:ds="http://schemas.openxmlformats.org/officeDocument/2006/customXml" ds:itemID="{7671548E-212E-491F-B29F-FCE958C2D199}">
  <ds:schemaRefs/>
</ds:datastoreItem>
</file>

<file path=customXml/itemProps5.xml><?xml version="1.0" encoding="utf-8"?>
<ds:datastoreItem xmlns:ds="http://schemas.openxmlformats.org/officeDocument/2006/customXml" ds:itemID="{4C5A3442-770D-4AAE-8627-1A1028A9203A}">
  <ds:schemaRefs/>
</ds:datastoreItem>
</file>

<file path=customXml/itemProps6.xml><?xml version="1.0" encoding="utf-8"?>
<ds:datastoreItem xmlns:ds="http://schemas.openxmlformats.org/officeDocument/2006/customXml" ds:itemID="{93356C5E-16AD-4973-B270-FE5AE2ED6166}">
  <ds:schemaRefs/>
</ds:datastoreItem>
</file>

<file path=customXml/itemProps7.xml><?xml version="1.0" encoding="utf-8"?>
<ds:datastoreItem xmlns:ds="http://schemas.openxmlformats.org/officeDocument/2006/customXml" ds:itemID="{6A072B12-584F-4B30-B4D7-BDAAE5871D23}">
  <ds:schemaRefs/>
</ds:datastoreItem>
</file>

<file path=customXml/itemProps8.xml><?xml version="1.0" encoding="utf-8"?>
<ds:datastoreItem xmlns:ds="http://schemas.openxmlformats.org/officeDocument/2006/customXml" ds:itemID="{2B504060-FFDE-49F4-910F-653A6BD0A14A}">
  <ds:schemaRefs/>
</ds:datastoreItem>
</file>

<file path=customXml/itemProps9.xml><?xml version="1.0" encoding="utf-8"?>
<ds:datastoreItem xmlns:ds="http://schemas.openxmlformats.org/officeDocument/2006/customXml" ds:itemID="{1A7072D1-5D01-4092-8B2C-891B9A581F01}">
  <ds:schemaRefs/>
</ds:datastoreItem>
</file>

<file path=customXml/itemProps10.xml><?xml version="1.0" encoding="utf-8"?>
<ds:datastoreItem xmlns:ds="http://schemas.openxmlformats.org/officeDocument/2006/customXml" ds:itemID="{294E8E4D-6FC0-4235-8E25-34B34FE2FC9F}">
  <ds:schemaRefs/>
</ds:datastoreItem>
</file>

<file path=customXml/itemProps11.xml><?xml version="1.0" encoding="utf-8"?>
<ds:datastoreItem xmlns:ds="http://schemas.openxmlformats.org/officeDocument/2006/customXml" ds:itemID="{EC639338-79BA-4D87-BEE0-9BEA894A17B3}">
  <ds:schemaRefs/>
</ds:datastoreItem>
</file>

<file path=customXml/itemProps12.xml><?xml version="1.0" encoding="utf-8"?>
<ds:datastoreItem xmlns:ds="http://schemas.openxmlformats.org/officeDocument/2006/customXml" ds:itemID="{FBD82763-EE05-470A-8D6D-42CCA27C1203}">
  <ds:schemaRefs/>
</ds:datastoreItem>
</file>

<file path=customXml/itemProps13.xml><?xml version="1.0" encoding="utf-8"?>
<ds:datastoreItem xmlns:ds="http://schemas.openxmlformats.org/officeDocument/2006/customXml" ds:itemID="{979CA64C-BDF3-44EF-8294-845AC55DBEA3}">
  <ds:schemaRefs/>
</ds:datastoreItem>
</file>

<file path=customXml/itemProps14.xml><?xml version="1.0" encoding="utf-8"?>
<ds:datastoreItem xmlns:ds="http://schemas.openxmlformats.org/officeDocument/2006/customXml" ds:itemID="{40F692E9-BFC6-49A9-940A-21A5866E05C6}">
  <ds:schemaRefs/>
</ds:datastoreItem>
</file>

<file path=customXml/itemProps15.xml><?xml version="1.0" encoding="utf-8"?>
<ds:datastoreItem xmlns:ds="http://schemas.openxmlformats.org/officeDocument/2006/customXml" ds:itemID="{C5EA01F5-E94E-4FA7-9911-C7355609C730}">
  <ds:schemaRefs/>
</ds:datastoreItem>
</file>

<file path=customXml/itemProps16.xml><?xml version="1.0" encoding="utf-8"?>
<ds:datastoreItem xmlns:ds="http://schemas.openxmlformats.org/officeDocument/2006/customXml" ds:itemID="{16621111-623A-47B5-9F62-53649686D761}">
  <ds:schemaRefs/>
</ds:datastoreItem>
</file>

<file path=customXml/itemProps17.xml><?xml version="1.0" encoding="utf-8"?>
<ds:datastoreItem xmlns:ds="http://schemas.openxmlformats.org/officeDocument/2006/customXml" ds:itemID="{76E5009E-6B12-4D86-A5A4-29E7C6675774}">
  <ds:schemaRefs/>
</ds:datastoreItem>
</file>

<file path=customXml/itemProps18.xml><?xml version="1.0" encoding="utf-8"?>
<ds:datastoreItem xmlns:ds="http://schemas.openxmlformats.org/officeDocument/2006/customXml" ds:itemID="{E1C92807-90C4-4195-9DDC-5B8999469C5F}">
  <ds:schemaRefs/>
</ds:datastoreItem>
</file>

<file path=customXml/itemProps19.xml><?xml version="1.0" encoding="utf-8"?>
<ds:datastoreItem xmlns:ds="http://schemas.openxmlformats.org/officeDocument/2006/customXml" ds:itemID="{41DA04DC-B0D4-44EF-8E5F-7AEA86BB11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2d0a825-28ab-45f1-9d18-4a461538d66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0.xml><?xml version="1.0" encoding="utf-8"?>
<ds:datastoreItem xmlns:ds="http://schemas.openxmlformats.org/officeDocument/2006/customXml" ds:itemID="{08F93973-F9BF-4243-BAD6-9E821BC10347}">
  <ds:schemaRefs>
    <ds:schemaRef ds:uri="http://schemas.microsoft.com/sharepoint/v3/contenttype/forms"/>
  </ds:schemaRefs>
</ds:datastoreItem>
</file>

<file path=customXml/itemProps21.xml><?xml version="1.0" encoding="utf-8"?>
<ds:datastoreItem xmlns:ds="http://schemas.openxmlformats.org/officeDocument/2006/customXml" ds:itemID="{63878548-F6CC-44D9-96E9-DF9CC2B166C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18</vt:i4>
      </vt:variant>
    </vt:vector>
  </HeadingPairs>
  <TitlesOfParts>
    <vt:vector size="18" baseType="lpstr">
      <vt:lpstr>BD_MODULO</vt:lpstr>
      <vt:lpstr>P_CRITICOS</vt:lpstr>
      <vt:lpstr>PRODUCTOS</vt:lpstr>
      <vt:lpstr>REG STOCK</vt:lpstr>
      <vt:lpstr>DETALLE GD</vt:lpstr>
      <vt:lpstr>CUBICACION</vt:lpstr>
      <vt:lpstr>CUB_GP</vt:lpstr>
      <vt:lpstr>GD_MODULOS</vt:lpstr>
      <vt:lpstr>HOME AVANCE</vt:lpstr>
      <vt:lpstr>HOME COMPRAS</vt:lpstr>
      <vt:lpstr>AV_PLAN</vt:lpstr>
      <vt:lpstr>AVANCE</vt:lpstr>
      <vt:lpstr>CURVA</vt:lpstr>
      <vt:lpstr>HOME FISICO</vt:lpstr>
      <vt:lpstr>HOME CONSUMO</vt:lpstr>
      <vt:lpstr>GRAFICOS</vt:lpstr>
      <vt:lpstr>DIFERENCIAS </vt:lpstr>
      <vt:lpstr>DETALLE COMPRAS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ARIEL ENRIQUE  PINTO ALCAYAGA</dc:creator>
  <cp:lastModifiedBy>ARIEL   PINTO ALCAYAGA</cp:lastModifiedBy>
  <dcterms:created xsi:type="dcterms:W3CDTF">2026-03-06T17:28:32Z</dcterms:created>
  <dcterms:modified xsi:type="dcterms:W3CDTF">2026-06-15T19:13:32Z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0x01010037F0DD07E8564049B6F9EBB1F13F757B</vt:lpwstr>
  </property>
</Properties>
</file>